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hat's Changed" sheetId="1" r:id="rId1"/>
    <sheet name="Per-Unit" sheetId="2" r:id="rId2"/>
    <sheet name="Biggest" sheetId="3" r:id="rId3"/>
    <sheet name="H1 by Unit" sheetId="4" r:id="rId4"/>
    <sheet name="PADD by Unit" sheetId="5" r:id="rId5"/>
    <sheet name="ExxonMobil" sheetId="6" r:id="rId6"/>
    <sheet name="HVN" sheetId="7" r:id="rId7"/>
    <sheet name="Forecast" sheetId="8" r:id="rId8"/>
    <sheet name="Scenarios" sheetId="9" r:id="rId9"/>
    <sheet name="Historicals" sheetId="10" r:id="rId10"/>
    <sheet name="Data Quality" sheetId="11" r:id="rId11"/>
    <sheet name="Data" sheetId="12" r:id="rId12"/>
  </sheets>
  <definedNames>
    <definedName name="_xlnm._FilterDatabase" localSheetId="11" hidden="1">Data!$A$4:$N$8827</definedName>
    <definedName name="_xlnm._FilterDatabase" localSheetId="9" hidden="1">Historicals!$A$4:$Q$64</definedName>
    <definedName name="_xlnm._FilterDatabase" localSheetId="4" hidden="1">'PADD by Unit'!$A$4:$H$604</definedName>
    <definedName name="conn_p1">Scenarios!$B$29</definedName>
    <definedName name="conn_p2">Scenarios!$B$30</definedName>
    <definedName name="conn_p3">Scenarios!$B$31</definedName>
    <definedName name="conn_p4">Scenarios!$B$32</definedName>
    <definedName name="conn_p5">Scenarios!$B$33</definedName>
    <definedName name="growth">Scenarios!$B$42</definedName>
    <definedName name="inv_amp">Forecast!$B$61</definedName>
    <definedName name="mult_act">Forecast!$B$27</definedName>
    <definedName name="mult_avg">Forecast!$B$26</definedName>
    <definedName name="mult_cons">Forecast!$B$25</definedName>
    <definedName name="naph_yield">HVN!$D$23</definedName>
    <definedName name="ref_intake">HVN!$D$24</definedName>
  </definedNames>
  <calcPr calcId="124519" fullCalcOnLoad="1"/>
</workbook>
</file>

<file path=xl/sharedStrings.xml><?xml version="1.0" encoding="utf-8"?>
<sst xmlns="http://schemas.openxmlformats.org/spreadsheetml/2006/main" count="64514" uniqueCount="1453">
  <si>
    <t>What's Changed: rolling MoM &amp; WoW (as of Jun 30, 2026)</t>
  </si>
  <si>
    <t>Month-over-month is live off Data -- the balance that prices. Week-over-week compares your weekly pulls (source is monthly, so the rolling log grows one row per build).</t>
  </si>
  <si>
    <t>Month-over-month (live off Data -- this is the balance that prices)</t>
  </si>
  <si>
    <t>As-of month (edit year / month)</t>
  </si>
  <si>
    <t>Prior month</t>
  </si>
  <si>
    <t>Metric</t>
  </si>
  <si>
    <t>This month</t>
  </si>
  <si>
    <t>Δ</t>
  </si>
  <si>
    <t>Δ%</t>
  </si>
  <si>
    <t>Total offline</t>
  </si>
  <si>
    <t>Planned</t>
  </si>
  <si>
    <t>Unplanned</t>
  </si>
  <si>
    <t>CDU</t>
  </si>
  <si>
    <t>FCC</t>
  </si>
  <si>
    <t>Hydrocracker</t>
  </si>
  <si>
    <t>Reformer</t>
  </si>
  <si>
    <t>Rolling: trailing 6 months (live)</t>
  </si>
  <si>
    <t>Month</t>
  </si>
  <si>
    <t>Total</t>
  </si>
  <si>
    <t>Jan 2026</t>
  </si>
  <si>
    <t>Feb 2026</t>
  </si>
  <si>
    <t>Mar 2026</t>
  </si>
  <si>
    <t>Apr 2026</t>
  </si>
  <si>
    <t>May 2026</t>
  </si>
  <si>
    <t>Jun 2026</t>
  </si>
  <si>
    <t>Week-over-week: your weekly pulls (rolling; one row per build)</t>
  </si>
  <si>
    <t>Pull date</t>
  </si>
  <si>
    <t>Δ vs prior pull</t>
  </si>
  <si>
    <t>2026-07 next mo</t>
  </si>
  <si>
    <t>2026-06-27</t>
  </si>
  <si>
    <t>2026-06-29</t>
  </si>
  <si>
    <t>2026-06-30</t>
  </si>
  <si>
    <t>Each build appends today's snapshot (current + next 6 months' offline) to data/whatschanged_log.csv. Run it weekly after refreshing the Snowflake and the Δ shows what the vendor added/pulled since last week. Δ on the current month is the contract-relevant move.</t>
  </si>
  <si>
    <t>New this month (Jun 2026) -- not down the prior month</t>
  </si>
  <si>
    <t>Plant</t>
  </si>
  <si>
    <t>Unit</t>
  </si>
  <si>
    <t>PADD</t>
  </si>
  <si>
    <t>kbd</t>
  </si>
  <si>
    <t xml:space="preserve">Corpus Christi Refinery </t>
  </si>
  <si>
    <t>ATMOS DISTILLATION</t>
  </si>
  <si>
    <t>PADD 3</t>
  </si>
  <si>
    <t>Trainer Refinery</t>
  </si>
  <si>
    <t>PADD 1</t>
  </si>
  <si>
    <t>Texas City Refinery</t>
  </si>
  <si>
    <t>HYDROTREATING</t>
  </si>
  <si>
    <t>Par East Refinery</t>
  </si>
  <si>
    <t>PADD 5</t>
  </si>
  <si>
    <t>Port Arthur Refinery (To</t>
  </si>
  <si>
    <t>Back online this month -- down the prior month, not now</t>
  </si>
  <si>
    <t>Robinson Refinery</t>
  </si>
  <si>
    <t>PADD 2</t>
  </si>
  <si>
    <t>Baytown Refinery</t>
  </si>
  <si>
    <t>El Segundo Refinery</t>
  </si>
  <si>
    <t>Kenai Refinery</t>
  </si>
  <si>
    <t>Cherry Point Refinery</t>
  </si>
  <si>
    <t>Valdez Refinery</t>
  </si>
  <si>
    <t>Per-Unit Concurrent Capacity Offline (kbd, day-weighted) = SUMIFS over Data</t>
  </si>
  <si>
    <t>Each focus unit on its own, by month and year. Never summed across units.</t>
  </si>
  <si>
    <t>Crude (CDU)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</si>
  <si>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</si>
  <si>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</si>
  <si>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</si>
  <si>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</si>
  <si>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</si>
  <si>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</si>
  <si>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</si>
  <si>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</si>
  <si>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</si>
  <si>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</si>
  <si>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</si>
  <si>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</si>
  <si>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</si>
  <si>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</si>
  <si>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</si>
  <si>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</si>
  <si>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</si>
  <si>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</si>
  <si>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Class</t>
  </si>
  <si>
    <t>Window</t>
  </si>
  <si>
    <t>Type</t>
  </si>
  <si>
    <t>Status</t>
  </si>
  <si>
    <t>Joliet</t>
  </si>
  <si>
    <t>Crude</t>
  </si>
  <si>
    <t>Apr-May</t>
  </si>
  <si>
    <t>confirmed</t>
  </si>
  <si>
    <t>Cherry Point</t>
  </si>
  <si>
    <t>Norco</t>
  </si>
  <si>
    <t>DU-5 (Distilling Unit) (Sweet)</t>
  </si>
  <si>
    <t>Oct-Nov</t>
  </si>
  <si>
    <t>indicative (H2)</t>
  </si>
  <si>
    <t>Richmond</t>
  </si>
  <si>
    <t>Lemont</t>
  </si>
  <si>
    <t>Crude Distillation 111</t>
  </si>
  <si>
    <t>Martinez (PBF)</t>
  </si>
  <si>
    <t>DH Crude</t>
  </si>
  <si>
    <t>Jan-Mar</t>
  </si>
  <si>
    <t>Garyville</t>
  </si>
  <si>
    <t>Crude 10 B-Train Sour/Sweet</t>
  </si>
  <si>
    <t>Sep-Nov</t>
  </si>
  <si>
    <t>Crude 10 A-Train/Sour</t>
  </si>
  <si>
    <t>Crude 210</t>
  </si>
  <si>
    <t>Jan-Feb</t>
  </si>
  <si>
    <t>Baytown</t>
  </si>
  <si>
    <t>FCCU 3 (Fuels East)</t>
  </si>
  <si>
    <t>Feb-Apr</t>
  </si>
  <si>
    <t>Beaumont</t>
  </si>
  <si>
    <t>FCCU</t>
  </si>
  <si>
    <t>Memphis</t>
  </si>
  <si>
    <t>Crude East</t>
  </si>
  <si>
    <t>Sep-Oct</t>
  </si>
  <si>
    <t>Lake Charles (Phillips 66)</t>
  </si>
  <si>
    <t>Crude 3 (Sour) LUBES</t>
  </si>
  <si>
    <t>Houston (Valero)</t>
  </si>
  <si>
    <t>Crude (Combo Unit)</t>
  </si>
  <si>
    <t>Baton Rouge</t>
  </si>
  <si>
    <t>PSLA 9 (Pipestill)</t>
  </si>
  <si>
    <t>Crude Topping Unit</t>
  </si>
  <si>
    <t>Sweeny</t>
  </si>
  <si>
    <t>Crude 9 (SWEET)</t>
  </si>
  <si>
    <t>Mar-Apr</t>
  </si>
  <si>
    <t>Ferndale</t>
  </si>
  <si>
    <t>Pasadena</t>
  </si>
  <si>
    <t>Catlettsburg 2 - North</t>
  </si>
  <si>
    <t>Chalmette</t>
  </si>
  <si>
    <t>Crude 1 (Sweet)</t>
  </si>
  <si>
    <t>Jun-Aug</t>
  </si>
  <si>
    <t>Bill Greehey-East</t>
  </si>
  <si>
    <t>Crude (Heavy Sour)</t>
  </si>
  <si>
    <t>Feb-Mar</t>
  </si>
  <si>
    <t>Ponca City</t>
  </si>
  <si>
    <t>CTU 1 (Crude Topping) (Sour)</t>
  </si>
  <si>
    <t>Three Rivers</t>
  </si>
  <si>
    <t>Crude 1</t>
  </si>
  <si>
    <t>Ardmore</t>
  </si>
  <si>
    <t>Crude (Sour)</t>
  </si>
  <si>
    <t>El Segundo</t>
  </si>
  <si>
    <t>Crude 2</t>
  </si>
  <si>
    <t>El Dorado (Delek)</t>
  </si>
  <si>
    <t>Crude 4</t>
  </si>
  <si>
    <t>Crude West (Jet Fuels Treater)</t>
  </si>
  <si>
    <t>Pascagoula</t>
  </si>
  <si>
    <t>FCCU (16 Plant)</t>
  </si>
  <si>
    <t>Heavy Oil Cracker 27-1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</si>
  <si>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</si>
  <si>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</si>
  <si>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</si>
  <si>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</si>
  <si>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</si>
  <si>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Mon</t>
  </si>
  <si>
    <t>Period</t>
  </si>
  <si>
    <t>MoM %</t>
  </si>
  <si>
    <t>YoY %</t>
  </si>
  <si>
    <t>P1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</si>
  <si>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</si>
  <si>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</si>
  <si>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</si>
  <si>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</si>
  <si>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</si>
  <si>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</si>
  <si>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</si>
  <si>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</si>
  <si>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</si>
  <si>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</si>
  <si>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</si>
  <si>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</si>
  <si>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</si>
  <si>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</si>
  <si>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</si>
  <si>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</si>
  <si>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</si>
  <si>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</si>
  <si>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</si>
  <si>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</si>
  <si>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</si>
  <si>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</si>
  <si>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</si>
  <si>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</si>
  <si>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</si>
  <si>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</si>
  <si>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</si>
  <si>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</si>
  <si>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</si>
  <si>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</si>
  <si>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</si>
  <si>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</si>
  <si>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</si>
  <si>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</si>
  <si>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</si>
  <si>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</si>
  <si>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</si>
  <si>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</si>
  <si>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</si>
  <si>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</si>
  <si>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</si>
  <si>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</si>
  <si>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</si>
  <si>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</si>
  <si>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</si>
  <si>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</si>
  <si>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</si>
  <si>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</si>
  <si>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</si>
  <si>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</si>
  <si>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</si>
  <si>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</si>
  <si>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</si>
  <si>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</si>
  <si>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</si>
  <si>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</si>
  <si>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</si>
  <si>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</si>
  <si>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</si>
  <si>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</si>
  <si>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</si>
  <si>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</si>
  <si>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</si>
  <si>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</si>
  <si>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</si>
  <si>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</si>
  <si>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</si>
  <si>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</si>
  <si>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</si>
  <si>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</si>
  <si>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Crude (CDU) 2027 by PADD &amp; month (chart source)</t>
  </si>
  <si>
    <t>FCC (cat cracker) 2027 by PADD &amp; month (chart source)</t>
  </si>
  <si>
    <t>Tied to a crude turnaround vs standalone -- 2027 planned downstream offline (live off Data!N)</t>
  </si>
  <si>
    <t>Tied = the crude unit at that refinery is also down that month (site-wide TA). Standalone = the unit is down while crude keeps running -- the cleaner octane / product-tightening signal.</t>
  </si>
  <si>
    <t>By unit</t>
  </si>
  <si>
    <t>Tied kbd</t>
  </si>
  <si>
    <t>Standalone kbd</t>
  </si>
  <si>
    <t>% tied</t>
  </si>
  <si>
    <t>% standalone</t>
  </si>
  <si>
    <t>All three</t>
  </si>
  <si>
    <t>By PADD</t>
  </si>
  <si>
    <t>P3 (Gulf)</t>
  </si>
  <si>
    <t>All PADDs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</si>
  <si>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</si>
  <si>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</si>
  <si>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</si>
  <si>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</si>
  <si>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Reformer CCR</t>
  </si>
  <si>
    <t>HVN (Heavy Virgin Naphtha) Balance: CDU Supply vs Reformer Demand (kbd) = live model</t>
  </si>
  <si>
    <t>Reformer-feed naphtha. CDU/reformer offline pulled from Data; supply, demand and net recompute off the gold yield cells below. All PADDs, then PADD 3 (Gulf) only.</t>
  </si>
  <si>
    <t>CDU offline</t>
  </si>
  <si>
    <t>HVN supply removed</t>
  </si>
  <si>
    <t>Reformer offline</t>
  </si>
  <si>
    <t>HVN demand removed</t>
  </si>
  <si>
    <t>Net balance</t>
  </si>
  <si>
    <t>Net &lt; 0 = deficit (HVN short, bullish reformate); net &gt; 0 = surplus.</t>
  </si>
  <si>
    <t>2027 annual net = -1,347 kbd (11 deficit months, 0 surplus).</t>
  </si>
  <si>
    <t>Live inputs (edit -- supply &amp; demand above recompute)</t>
  </si>
  <si>
    <t>Naphtha yield (per bbl crude)</t>
  </si>
  <si>
    <t>Reformer naphtha intake (per bbl capacity)</t>
  </si>
  <si>
    <t>PADD 3 (Gulf) only -- CDU &amp; reformer filtered to PADD 3</t>
  </si>
  <si>
    <t>PADD 3 2027 annual net = -892 kbd (10 deficit months) -- the Gulf share of the HVN deficit.</t>
  </si>
  <si>
    <t>Outlook: 2027 unplanned scenario + rest-of-2026 book (kbd &amp; relatives, live)</t>
  </si>
  <si>
    <t>Top: 2027 unplanned = baseline x multiplier, by month (peak/avg = real levels). Below: the rest-of-2026 book, the scenario-vs-plan relatives, a seasonal-risk index and the inventory knob. Annual Sigma is a reference magnitude, not a level.</t>
  </si>
  <si>
    <t>Unplanned scenario (kbd/mo)</t>
  </si>
  <si>
    <t>Peak/mo</t>
  </si>
  <si>
    <t>Avg/mo</t>
  </si>
  <si>
    <t>Annual Σ</t>
  </si>
  <si>
    <t>Baseline (2023-2026, completeness-aware)</t>
  </si>
  <si>
    <t>Conservative</t>
  </si>
  <si>
    <t>Average</t>
  </si>
  <si>
    <t>Active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</si>
  <si>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</si>
  <si>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</si>
  <si>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</si>
  <si>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</si>
  <si>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</si>
  <si>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</si>
  <si>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</si>
  <si>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</si>
  <si>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</si>
  <si>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</si>
  <si>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</si>
  <si>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Scenario multipliers (x baseline -- the paths above recompute live)</t>
  </si>
  <si>
    <t>Baseline window 2023-2026  |  actuals reported through Jul 2026</t>
  </si>
  <si>
    <t>Rest of 2026 outlook: the booked turnaround book + the unplanned scenario, sized vs prior years (relatives)</t>
  </si>
  <si>
    <t>H2 planned offline (kbd-mo)</t>
  </si>
  <si>
    <t>H2 2024</t>
  </si>
  <si>
    <t>H2 2025</t>
  </si>
  <si>
    <t>H2 2026 booked</t>
  </si>
  <si>
    <t>2026 vs 2025</t>
  </si>
  <si>
    <t>vs 2024</t>
  </si>
  <si>
    <t>H2 = Jul-Dec planned, day-weighted (the rest of 2026's already-booked book). Relatives vs the same half a year / two years earlier; negative = a lighter back half than that year.</t>
  </si>
  <si>
    <t>Rest of 2026 (Jul-Dec): Average unplanned scenario + booked planned, by month (kbd/mo)</t>
  </si>
  <si>
    <t>Peak</t>
  </si>
  <si>
    <t>Unplanned (Avg scenario)</t>
  </si>
  <si>
    <t>Booked planned</t>
  </si>
  <si>
    <t>Implied total</t>
  </si>
  <si>
    <t>Rest-of-2026 unplanned uses the same baseline seasonal shape (Jul-Dec) x the Average multiplier; flex it with mult_avg above or the inventory knob below.</t>
  </si>
  <si>
    <t>2027 scenario implied peak-month vs the booked plan (the relative read)</t>
  </si>
  <si>
    <t>Implied peak (kbd)</t>
  </si>
  <si>
    <t>% of booked plan</t>
  </si>
  <si>
    <t>Avg x thin inventory</t>
  </si>
  <si>
    <t>Seasonal risk index - baseline unplanned as % of an average month</t>
  </si>
  <si>
    <t>% of avg month</t>
  </si>
  <si>
    <t>Above 100% = a heavier-than-normal unplanned-risk month: the Feb freeze and the Sep-Oct turnaround/hurricane overlap. Summer and December sit below normal.</t>
  </si>
  <si>
    <t>Inventory tightness knob - thin stocks make an equal outage bite harder</t>
  </si>
  <si>
    <t>Gasoline vs 5-yr avg</t>
  </si>
  <si>
    <t>Distillate vs 5-yr avg</t>
  </si>
  <si>
    <t>Crude vs 5-yr avg</t>
  </si>
  <si>
    <t>Avg cushion (mean of the three)</t>
  </si>
  <si>
    <t>Tightness sensitivity k</t>
  </si>
  <si>
    <t>Inventory amplifier = 1 + k x (-cushion)</t>
  </si>
  <si>
    <t>A desk-judgment framing knob (not a fitted model): at the current ~-7% cushion and k=1.0 the Average peak reads ~7% bigger. Edit the gold cells; the % table and chart recompute.</t>
  </si>
  <si>
    <t>Scenarios &amp; Sensitivities: stressing the 2027 book (peak-month kbd)</t>
  </si>
  <si>
    <t>Three forward what-ifs in one place. Peak-month = the worst single month of total capacity offline. Edit the gold cells; everything recomputes live.</t>
  </si>
  <si>
    <t>1) Peak-month sensitivity grid (unplanned multiplier x one-off shock)</t>
  </si>
  <si>
    <t>mult v / shock &gt;</t>
  </si>
  <si>
    <t>Rows = unplanned multiplier x baseline; columns = one-off shock added to that month. Peak-month implied = worst month of (baseline x (1+growth) x multiplier + booked planned) + shock. Base = 1.0 / 0; growth &amp; inventory toggles in section 4.</t>
  </si>
  <si>
    <t>2) Named stress shocks on the book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</si>
  <si>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</si>
  <si>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</si>
  <si>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</si>
  <si>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</si>
  <si>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</si>
  <si>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</si>
  <si>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</si>
  <si>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</si>
  <si>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</si>
  <si>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</si>
  <si>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</si>
  <si>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</si>
  <si>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</si>
  <si>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</si>
  <si>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</si>
  <si>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+ other shock. Naphtha impact = -naphtha_yield x crude shock (more crude down = shorter naphtha).</t>
  </si>
  <si>
    <t>3) PADD connectivity: effective crude-outage impact (edit the pass-through cells)</t>
  </si>
  <si>
    <t>Pass-thru</t>
  </si>
  <si>
    <t>2026 CDU (Σ kbd)</t>
  </si>
  <si>
    <t>2026 effective</t>
  </si>
  <si>
    <t>2027 CDU (Σ kbd)</t>
  </si>
  <si>
    <t>2027 effective</t>
  </si>
  <si>
    <t>PADD 4</t>
  </si>
  <si>
    <t>Buffered by connectivity (nominal - effective):</t>
  </si>
  <si>
    <t>Low pass-through = well-connected (P3 Gulf): downstream keeps running on piped-in intermediates. High (P2 / P4 / P5, parts of P1): islanded, the outage cascades. Edit the pass-through cells (column B).</t>
  </si>
  <si>
    <t>4) Global toggles: structural growth + inventory tightness (flex the whole book)</t>
  </si>
  <si>
    <t>Structural growth on baseline (g)</t>
  </si>
  <si>
    <t>baseline x (1+g) in the grid (demand / activity drift)</t>
  </si>
  <si>
    <t>Inventory amplifier (from Forecast)</t>
  </si>
  <si>
    <t>thin stocks make an equal outage bite harder (edit the inventory cells on Forecast)</t>
  </si>
  <si>
    <t>Average implied peak (kbd)</t>
  </si>
  <si>
    <t>Average peak x thin inventory (kbd)</t>
  </si>
  <si>
    <t>Edit any gold cell (multipliers / shocks above, growth &amp; inventory here); the grid, the readouts and the Forecast charts all recompute.</t>
  </si>
  <si>
    <t>Historicals: monthly offline 2023-2027 (kbd) = SUMIFS over Data</t>
  </si>
  <si>
    <t>Total / planned / unplanned, unplanned %, per focus unit and per PADD. The series the stats use.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</si>
  <si>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</si>
  <si>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</si>
  <si>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</si>
  <si>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</si>
  <si>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</si>
  <si>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</si>
  <si>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</si>
  <si>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</si>
  <si>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Annual (kbd) and YoY%</t>
  </si>
  <si>
    <t>Total YoY%</t>
  </si>
  <si>
    <t>n/a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</si>
  <si>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</si>
  <si>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</si>
  <si>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</si>
  <si>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Prev TA</t>
  </si>
  <si>
    <t>Next TA</t>
  </si>
  <si>
    <t>Gap yr</t>
  </si>
  <si>
    <t>kbd prev</t>
  </si>
  <si>
    <t>kbd next</t>
  </si>
  <si>
    <t>Crude (Sweet &amp; Sour) Plant</t>
  </si>
  <si>
    <t>Norco Refinery</t>
  </si>
  <si>
    <t>DU-5 (Distilling Unit) (Sw</t>
  </si>
  <si>
    <t>Joliet Refinery</t>
  </si>
  <si>
    <t>Wood River Refinery</t>
  </si>
  <si>
    <t>DU-2 Distilling Unit (Swee</t>
  </si>
  <si>
    <t>Garyville Refinery</t>
  </si>
  <si>
    <t>Crude 10 B-Train Sour/Swee</t>
  </si>
  <si>
    <t>Martinez Refinery (PBF)</t>
  </si>
  <si>
    <t>El Dorado Refinery (HF Sincl</t>
  </si>
  <si>
    <t>Lemont Refinery</t>
  </si>
  <si>
    <t>Chalmette Refinery</t>
  </si>
  <si>
    <t>Crude 2 (Sour)</t>
  </si>
  <si>
    <t>Lima Refinery</t>
  </si>
  <si>
    <t>Crude 2 (Sweet)</t>
  </si>
  <si>
    <t>Beaumont Refinery</t>
  </si>
  <si>
    <t>El Dorado Refinery (Delek)</t>
  </si>
  <si>
    <t>Sweeny Refinery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</si>
  <si>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</si>
  <si>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</si>
  <si>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</si>
  <si>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</si>
  <si>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</si>
  <si>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Pipe Still 3 (PS-3)</t>
  </si>
  <si>
    <t>PLANNED+UNPLANNED</t>
  </si>
  <si>
    <t>Port Arthur Refinery (</t>
  </si>
  <si>
    <t>FCCU 1241</t>
  </si>
  <si>
    <t>UNPLANNED</t>
  </si>
  <si>
    <t>Toledo Refinery (PBF)</t>
  </si>
  <si>
    <t>El Dorado Refinery (HF</t>
  </si>
  <si>
    <t>Reformer CRU 1</t>
  </si>
  <si>
    <t>PLANNED</t>
  </si>
  <si>
    <t>AVU 146 (Crude Still)</t>
  </si>
  <si>
    <t>Hydrocracker 942</t>
  </si>
  <si>
    <t>6 focus unit-months in 2026-2027 exceed nameplate (~184 excess kbd-months) -- small vs the totals, but each is an overlap or a duplicate record (or one event logged as both planned and unplanned).</t>
  </si>
  <si>
    <t>Data: Snowflake golden record (paste refreshes here; Focus/PADD/Tied?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</si>
  <si>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</si>
  <si>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</si>
  <si>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</si>
  <si>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</si>
  <si>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</si>
  <si>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</si>
  <si>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</si>
  <si>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</si>
  <si>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</si>
  <si>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</si>
  <si>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</si>
  <si>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</si>
  <si>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</si>
  <si>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</si>
  <si>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tied?</t>
  </si>
  <si>
    <t>Alliance Refinery</t>
  </si>
  <si>
    <t>PHILLIPS 66</t>
  </si>
  <si>
    <t>Crude 191</t>
  </si>
  <si>
    <t>PADD III</t>
  </si>
  <si>
    <t>Toledo Refinery (Cenovus)</t>
  </si>
  <si>
    <t>CENOVUS ENERGY INCORPORATED</t>
  </si>
  <si>
    <t>Crude 1 (Sour)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</si>
  <si>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</si>
  <si>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</si>
  <si>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</si>
  <si>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</si>
  <si>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</si>
  <si>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</si>
  <si>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</si>
  <si>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</si>
  <si>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TOLEDO REFINING COMPANY LLC</t>
  </si>
  <si>
    <t>Crude 3 (Sweet)</t>
  </si>
  <si>
    <t>MARTINEZ REFINING COMPANY LLC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</si>
  <si>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</si>
  <si>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</si>
  <si>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</si>
  <si>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</si>
  <si>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</si>
  <si>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</si>
  <si>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</si>
  <si>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</si>
  <si>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</si>
  <si>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</si>
  <si>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</si>
  <si>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</si>
  <si>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</si>
  <si>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</si>
  <si>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</si>
  <si>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</si>
  <si>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</si>
  <si>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</si>
  <si>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</si>
  <si>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</si>
  <si>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</si>
  <si>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</si>
  <si>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</si>
  <si>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</si>
  <si>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</si>
  <si>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</si>
  <si>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</si>
  <si>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</si>
  <si>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</si>
  <si>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</si>
  <si>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</si>
  <si>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</si>
  <si>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</si>
  <si>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VF-3 Vacuum Flasher</t>
  </si>
  <si>
    <t>Superior Refinery</t>
  </si>
  <si>
    <t>REFORMING</t>
  </si>
  <si>
    <t>Reformer 1391</t>
  </si>
  <si>
    <t>Reformer 3 (CCR)</t>
  </si>
  <si>
    <t>Reformer Feed Hydrotreater 6-1</t>
  </si>
  <si>
    <t>Cat B (FCCU)</t>
  </si>
  <si>
    <t>FCCU 2 (Unit 835)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</si>
  <si>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</si>
  <si>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</si>
  <si>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</si>
  <si>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</si>
  <si>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</si>
  <si>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</si>
  <si>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</si>
  <si>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</si>
  <si>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</si>
  <si>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</si>
  <si>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</si>
  <si>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</si>
  <si>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</si>
  <si>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</si>
  <si>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</si>
  <si>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</si>
  <si>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</si>
  <si>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</si>
  <si>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</si>
  <si>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</si>
  <si>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</si>
  <si>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</si>
  <si>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</si>
  <si>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</si>
  <si>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</si>
  <si>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</si>
  <si>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</si>
  <si>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</si>
  <si>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</si>
  <si>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</si>
  <si>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</si>
  <si>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Gasoline Desulfurizer</t>
  </si>
  <si>
    <t>Delayed Coker (Unit 860)</t>
  </si>
  <si>
    <t>ALKYLATION</t>
  </si>
  <si>
    <t>SF Alkylation</t>
  </si>
  <si>
    <t>Denver Refinery - Plant 1 (West)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</si>
  <si>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</si>
  <si>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</si>
  <si>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</si>
  <si>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</si>
  <si>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</si>
  <si>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</si>
  <si>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</si>
  <si>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</si>
  <si>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</si>
  <si>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</si>
  <si>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</si>
  <si>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</si>
  <si>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</si>
  <si>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</si>
  <si>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</si>
  <si>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</si>
  <si>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</si>
  <si>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</si>
  <si>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</si>
  <si>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</si>
  <si>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</si>
  <si>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</si>
  <si>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</si>
  <si>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</si>
  <si>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</si>
  <si>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</si>
  <si>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</si>
  <si>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</si>
  <si>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</si>
  <si>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</si>
  <si>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</si>
  <si>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</si>
  <si>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</si>
  <si>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</si>
  <si>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</si>
  <si>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</si>
  <si>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</si>
  <si>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</si>
  <si>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</si>
  <si>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</si>
  <si>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</si>
  <si>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</si>
  <si>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</si>
  <si>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</si>
  <si>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</si>
  <si>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</si>
  <si>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</si>
  <si>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</si>
  <si>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</si>
  <si>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</si>
  <si>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</si>
  <si>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</si>
  <si>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</si>
  <si>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</si>
  <si>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</si>
  <si>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</si>
  <si>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</si>
  <si>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</si>
  <si>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</si>
  <si>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</si>
  <si>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</si>
  <si>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</si>
  <si>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</si>
  <si>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</si>
  <si>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</si>
  <si>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</si>
  <si>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</si>
  <si>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</si>
  <si>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</si>
  <si>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</si>
  <si>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</si>
  <si>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</si>
  <si>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</si>
  <si>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</si>
  <si>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</si>
  <si>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</si>
  <si>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</si>
  <si>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</si>
  <si>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</si>
  <si>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</si>
  <si>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</si>
  <si>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</si>
  <si>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</si>
  <si>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</si>
  <si>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</si>
  <si>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</si>
  <si>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</si>
  <si>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</si>
  <si>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</si>
  <si>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DELEK US HOLDINGS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</si>
  <si>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</si>
  <si>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</si>
  <si>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</si>
  <si>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</si>
  <si>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</si>
  <si>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</si>
  <si>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</si>
  <si>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</si>
  <si>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</si>
  <si>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</si>
  <si>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</si>
  <si>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</si>
  <si>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</si>
  <si>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</si>
  <si>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</si>
  <si>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</si>
  <si>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</si>
  <si>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</si>
  <si>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</si>
  <si>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</si>
  <si>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</si>
  <si>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</si>
  <si>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</si>
  <si>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</si>
  <si>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</si>
  <si>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Delayed Coker (Unit 200)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</si>
  <si>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</si>
  <si>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</si>
  <si>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</si>
  <si>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</si>
  <si>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</si>
  <si>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</si>
  <si>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</si>
  <si>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</si>
  <si>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</si>
  <si>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</si>
  <si>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</si>
  <si>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</si>
  <si>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</si>
  <si>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</si>
  <si>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</si>
  <si>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</si>
  <si>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</si>
  <si>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</si>
  <si>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</si>
  <si>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</si>
  <si>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</si>
  <si>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</si>
  <si>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</si>
  <si>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</si>
  <si>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</si>
  <si>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</si>
  <si>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</si>
  <si>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</si>
  <si>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</si>
  <si>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</si>
  <si>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</si>
  <si>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</si>
  <si>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</si>
  <si>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</si>
  <si>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</si>
  <si>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</si>
  <si>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</si>
  <si>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</si>
  <si>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</si>
  <si>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</si>
  <si>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</si>
  <si>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</si>
  <si>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</si>
  <si>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</si>
  <si>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</si>
  <si>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</si>
  <si>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</si>
  <si>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</si>
  <si>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</si>
  <si>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</si>
  <si>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</si>
  <si>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</si>
  <si>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</si>
  <si>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</si>
  <si>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</si>
  <si>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</si>
  <si>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</si>
  <si>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</si>
  <si>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</si>
  <si>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</si>
  <si>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Puget Sound Refinery</t>
  </si>
  <si>
    <t>Crude (VPS)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</si>
  <si>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</si>
  <si>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</si>
  <si>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</si>
  <si>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</si>
  <si>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</si>
  <si>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</si>
  <si>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</si>
  <si>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</si>
  <si>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</si>
  <si>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</si>
  <si>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</si>
  <si>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</si>
  <si>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</si>
  <si>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</si>
  <si>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</si>
  <si>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</si>
  <si>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</si>
  <si>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</si>
  <si>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</si>
  <si>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</si>
  <si>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</si>
  <si>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</si>
  <si>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</si>
  <si>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</si>
  <si>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</si>
  <si>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</si>
  <si>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</si>
  <si>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</si>
  <si>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</si>
  <si>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</si>
  <si>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CRU 3 (Reformer)</t>
  </si>
  <si>
    <t>SF Alkylation 110</t>
  </si>
  <si>
    <t>Reformer 100</t>
  </si>
  <si>
    <t>HDS Diesel Hydrotreater (ULSD)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</si>
  <si>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</si>
  <si>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</si>
  <si>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</si>
  <si>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</si>
  <si>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</si>
  <si>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</si>
  <si>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</si>
  <si>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</si>
  <si>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</si>
  <si>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</si>
  <si>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</si>
  <si>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</si>
  <si>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</si>
  <si>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</si>
  <si>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</si>
  <si>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</si>
  <si>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</si>
  <si>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</si>
  <si>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</si>
  <si>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</si>
  <si>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</si>
  <si>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</si>
  <si>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</si>
  <si>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</si>
  <si>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</si>
  <si>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</si>
  <si>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</si>
  <si>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</si>
  <si>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</si>
  <si>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</si>
  <si>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</si>
  <si>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</si>
  <si>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</si>
  <si>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</si>
  <si>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</si>
  <si>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</si>
  <si>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</si>
  <si>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</si>
  <si>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</si>
  <si>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</si>
  <si>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</si>
  <si>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</si>
  <si>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</si>
  <si>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</si>
  <si>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</si>
  <si>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</si>
  <si>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</si>
  <si>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</si>
  <si>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</si>
  <si>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</si>
  <si>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</si>
  <si>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</si>
  <si>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Congo Refinery</t>
  </si>
  <si>
    <t>ERGON WEST VIRGINIA INCORPORATED</t>
  </si>
  <si>
    <t>Crude 25-1 (SOUR)</t>
  </si>
  <si>
    <t>Port Allen Refinery</t>
  </si>
  <si>
    <t>PLACID REFINING COMPANY LLC</t>
  </si>
  <si>
    <t>Laurel Refinery</t>
  </si>
  <si>
    <t>CENEX HARVEST STATES INCORPORATED</t>
  </si>
  <si>
    <t>North Isomax TKN (Distillate Hydrocracker)</t>
  </si>
  <si>
    <t>Diesel Hydrotreater (DHT)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</si>
  <si>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</si>
  <si>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</si>
  <si>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</si>
  <si>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</si>
  <si>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</si>
  <si>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</si>
  <si>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</si>
  <si>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</si>
  <si>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</si>
  <si>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</si>
  <si>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</si>
  <si>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</si>
  <si>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</si>
  <si>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</si>
  <si>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</si>
  <si>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</si>
  <si>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</si>
  <si>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</si>
  <si>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</si>
  <si>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</si>
  <si>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</si>
  <si>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</si>
  <si>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</si>
  <si>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</si>
  <si>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</si>
  <si>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</si>
  <si>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</si>
  <si>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</si>
  <si>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</si>
  <si>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</si>
  <si>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</si>
  <si>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</si>
  <si>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</si>
  <si>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Pipe Still 8 (PS-8)</t>
  </si>
  <si>
    <t>Tuscaloosa Refinery</t>
  </si>
  <si>
    <t>Crude Atmospheric Tower</t>
  </si>
  <si>
    <t>Bill Greehey Refinery-West</t>
  </si>
  <si>
    <t>HOC Heavy Oil Cracker (Unit 21)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</si>
  <si>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</si>
  <si>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</si>
  <si>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</si>
  <si>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</si>
  <si>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</si>
  <si>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</si>
  <si>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</si>
  <si>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</si>
  <si>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</si>
  <si>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</si>
  <si>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</si>
  <si>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</si>
  <si>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</si>
  <si>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</si>
  <si>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</si>
  <si>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</si>
  <si>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</si>
  <si>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</si>
  <si>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</si>
  <si>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</si>
  <si>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</si>
  <si>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</si>
  <si>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</si>
  <si>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</si>
  <si>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</si>
  <si>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</si>
  <si>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</si>
  <si>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</si>
  <si>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</si>
  <si>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</si>
  <si>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</si>
  <si>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</si>
  <si>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</si>
  <si>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</si>
  <si>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</si>
  <si>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</si>
  <si>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</si>
  <si>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</si>
  <si>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</si>
  <si>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</si>
  <si>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</si>
  <si>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</si>
  <si>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</si>
  <si>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</si>
  <si>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</si>
  <si>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</si>
  <si>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</si>
  <si>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</si>
  <si>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</si>
  <si>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</si>
  <si>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</si>
  <si>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</si>
  <si>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</si>
  <si>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</si>
  <si>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</si>
  <si>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</si>
  <si>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</si>
  <si>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</si>
  <si>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</si>
  <si>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</si>
  <si>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</si>
  <si>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</si>
  <si>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</si>
  <si>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</si>
  <si>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</si>
  <si>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</si>
  <si>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</si>
  <si>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</si>
  <si>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</si>
  <si>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</si>
  <si>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</si>
  <si>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</si>
  <si>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</si>
  <si>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</si>
  <si>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</si>
  <si>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</si>
  <si>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</si>
  <si>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</si>
  <si>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</si>
  <si>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</si>
  <si>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</si>
  <si>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</si>
  <si>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</si>
  <si>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</si>
  <si>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</si>
  <si>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</si>
  <si>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</si>
  <si>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</si>
  <si>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</si>
  <si>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</si>
  <si>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</si>
  <si>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</si>
  <si>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</si>
  <si>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</si>
  <si>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</si>
  <si>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</si>
  <si>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</si>
  <si>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</si>
  <si>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</si>
  <si>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</si>
  <si>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Pipe Still 12 (Sour)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</si>
  <si>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</si>
  <si>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</si>
  <si>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</si>
  <si>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</si>
  <si>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</si>
  <si>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</si>
  <si>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</si>
  <si>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</si>
  <si>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</si>
  <si>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</si>
  <si>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</si>
  <si>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</si>
  <si>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</si>
  <si>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</si>
  <si>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</si>
  <si>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</si>
  <si>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</si>
  <si>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</si>
  <si>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</si>
  <si>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</si>
  <si>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</si>
  <si>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</si>
  <si>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</si>
  <si>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</si>
  <si>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</si>
  <si>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</si>
  <si>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</si>
  <si>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</si>
  <si>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</si>
  <si>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</si>
  <si>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</si>
  <si>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</si>
  <si>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</si>
  <si>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</si>
  <si>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</si>
  <si>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</si>
  <si>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</si>
  <si>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</si>
  <si>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</si>
  <si>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</si>
  <si>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</si>
  <si>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</si>
  <si>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</si>
  <si>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</si>
  <si>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</si>
  <si>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</si>
  <si>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</si>
  <si>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</si>
  <si>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</si>
  <si>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</si>
  <si>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</si>
  <si>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</si>
  <si>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</si>
  <si>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</si>
  <si>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</si>
  <si>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</si>
  <si>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</si>
  <si>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</si>
  <si>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</si>
  <si>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</si>
  <si>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</si>
  <si>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</si>
  <si>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</si>
  <si>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</si>
  <si>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</si>
  <si>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Unicracker</t>
  </si>
  <si>
    <t>PTR 4 CCR</t>
  </si>
  <si>
    <t>Vacuum Distillation 10A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</si>
  <si>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</si>
  <si>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</si>
  <si>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</si>
  <si>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</si>
  <si>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</si>
  <si>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</si>
  <si>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</si>
  <si>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</si>
  <si>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</si>
  <si>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</si>
  <si>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</si>
  <si>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</si>
  <si>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</si>
  <si>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</si>
  <si>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</si>
  <si>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</si>
  <si>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</si>
  <si>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</si>
  <si>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</si>
  <si>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</si>
  <si>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</si>
  <si>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</si>
  <si>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</si>
  <si>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</si>
  <si>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</si>
  <si>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</si>
  <si>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</si>
  <si>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</si>
  <si>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</si>
  <si>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</si>
  <si>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</si>
  <si>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</si>
  <si>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</si>
  <si>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</si>
  <si>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Old Crude 11-2</t>
  </si>
  <si>
    <t>PSLA 7 (Pipestill)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</si>
  <si>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</si>
  <si>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</si>
  <si>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</si>
  <si>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</si>
  <si>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</si>
  <si>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</si>
  <si>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</si>
  <si>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</si>
  <si>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</si>
  <si>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</si>
  <si>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</si>
  <si>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</si>
  <si>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</si>
  <si>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</si>
  <si>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</si>
  <si>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</si>
  <si>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</si>
  <si>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</si>
  <si>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</si>
  <si>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</si>
  <si>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</si>
  <si>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</si>
  <si>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</si>
  <si>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</si>
  <si>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</si>
  <si>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</si>
  <si>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</si>
  <si>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</si>
  <si>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</si>
  <si>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</si>
  <si>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</si>
  <si>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</si>
  <si>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</si>
  <si>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</si>
  <si>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</si>
  <si>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</si>
  <si>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</si>
  <si>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</si>
  <si>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</si>
  <si>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</si>
  <si>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</si>
  <si>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</si>
  <si>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</si>
  <si>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</si>
  <si>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</si>
  <si>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</si>
  <si>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</si>
  <si>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</si>
  <si>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</si>
  <si>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</si>
  <si>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</si>
  <si>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</si>
  <si>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</si>
  <si>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</si>
  <si>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</si>
  <si>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</si>
  <si>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</si>
  <si>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</si>
  <si>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</si>
  <si>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</si>
  <si>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</si>
  <si>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</si>
  <si>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</si>
  <si>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</si>
  <si>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</si>
  <si>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</si>
  <si>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</si>
  <si>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</si>
  <si>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</si>
  <si>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</si>
  <si>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</si>
  <si>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</si>
  <si>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</si>
  <si>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</si>
  <si>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</si>
  <si>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</si>
  <si>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</si>
  <si>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</si>
  <si>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Ultraformer Hydrotreater</t>
  </si>
  <si>
    <t>Crude 5 (Sweet)</t>
  </si>
  <si>
    <t>Sponge Coker 113</t>
  </si>
  <si>
    <t>Catlettsburg Refinery 2 - North</t>
  </si>
  <si>
    <t>Platformer 1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</si>
  <si>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</si>
  <si>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</si>
  <si>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</si>
  <si>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</si>
  <si>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</si>
  <si>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</si>
  <si>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</si>
  <si>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</si>
  <si>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</si>
  <si>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</si>
  <si>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</si>
  <si>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</si>
  <si>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</si>
  <si>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</si>
  <si>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</si>
  <si>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</si>
  <si>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</si>
  <si>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</si>
  <si>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</si>
  <si>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</si>
  <si>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</si>
  <si>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</si>
  <si>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</si>
  <si>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</si>
  <si>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</si>
  <si>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</si>
  <si>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</si>
  <si>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</si>
  <si>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</si>
  <si>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</si>
  <si>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</si>
  <si>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</si>
  <si>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</si>
  <si>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</si>
  <si>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</si>
  <si>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</si>
  <si>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</si>
  <si>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</si>
  <si>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</si>
  <si>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</si>
  <si>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</si>
  <si>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</si>
  <si>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</si>
  <si>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</si>
  <si>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</si>
  <si>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</si>
  <si>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</si>
  <si>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</si>
  <si>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</si>
  <si>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</si>
  <si>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</si>
  <si>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</si>
  <si>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</si>
  <si>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</si>
  <si>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</si>
  <si>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</si>
  <si>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</si>
  <si>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</si>
  <si>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</si>
  <si>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</si>
  <si>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</si>
  <si>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</si>
  <si>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</si>
  <si>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</si>
  <si>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</si>
  <si>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</si>
  <si>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</si>
  <si>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</si>
  <si>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</si>
  <si>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</si>
  <si>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</si>
  <si>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</si>
  <si>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</si>
  <si>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</si>
  <si>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</si>
  <si>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</si>
  <si>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</si>
  <si>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</si>
  <si>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</si>
  <si>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</si>
  <si>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</si>
  <si>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</si>
  <si>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</si>
  <si>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</si>
  <si>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</si>
  <si>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</si>
  <si>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</si>
  <si>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</si>
  <si>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</si>
  <si>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</si>
  <si>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</si>
  <si>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</si>
  <si>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</si>
  <si>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</si>
  <si>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</si>
  <si>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</si>
  <si>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</si>
  <si>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</si>
  <si>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</si>
  <si>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</si>
  <si>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</si>
  <si>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</si>
  <si>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</si>
  <si>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</si>
  <si>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</si>
  <si>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</si>
  <si>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</si>
  <si>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</si>
  <si>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</si>
  <si>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</si>
  <si>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</si>
  <si>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</si>
  <si>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</si>
  <si>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</si>
  <si>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</si>
  <si>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</si>
  <si>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</si>
  <si>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</si>
  <si>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</si>
  <si>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</si>
  <si>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</si>
  <si>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</si>
  <si>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</si>
  <si>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</si>
  <si>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</si>
  <si>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</si>
  <si>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</si>
  <si>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</si>
  <si>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</si>
  <si>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</si>
  <si>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</si>
  <si>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</si>
  <si>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</si>
  <si>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</si>
  <si>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</si>
  <si>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</si>
  <si>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</si>
  <si>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</si>
  <si>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</si>
  <si>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</si>
  <si>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</si>
  <si>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HULA Diesel Hydrofining Unit (ULSD)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</si>
  <si>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</si>
  <si>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</si>
  <si>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</si>
  <si>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</si>
  <si>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</si>
  <si>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</si>
  <si>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</si>
  <si>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</si>
  <si>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</si>
  <si>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</si>
  <si>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</si>
  <si>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</si>
  <si>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</si>
  <si>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</si>
  <si>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</si>
  <si>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</si>
  <si>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</si>
  <si>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</si>
  <si>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</si>
  <si>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</si>
  <si>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</si>
  <si>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</si>
  <si>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</si>
  <si>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</si>
  <si>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</si>
  <si>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</si>
  <si>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</si>
  <si>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</si>
  <si>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</si>
  <si>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</si>
  <si>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</si>
  <si>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</si>
  <si>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</si>
  <si>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</si>
  <si>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</si>
  <si>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</si>
  <si>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</si>
  <si>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</si>
  <si>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</si>
  <si>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</si>
  <si>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</si>
  <si>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</si>
  <si>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</si>
  <si>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</si>
  <si>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</si>
  <si>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</si>
  <si>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</si>
  <si>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</si>
  <si>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</si>
  <si>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</si>
  <si>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</si>
  <si>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</si>
  <si>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</si>
  <si>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</si>
  <si>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</si>
  <si>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</si>
  <si>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</si>
  <si>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</si>
  <si>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</si>
  <si>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</si>
  <si>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</si>
  <si>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</si>
  <si>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</si>
  <si>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</si>
  <si>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</si>
  <si>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</si>
  <si>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</si>
  <si>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</si>
  <si>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</si>
  <si>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</si>
  <si>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</si>
  <si>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</si>
  <si>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</si>
  <si>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</si>
  <si>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</si>
  <si>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</si>
  <si>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</si>
  <si>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</si>
  <si>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</si>
  <si>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</si>
  <si>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</si>
  <si>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</si>
  <si>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</si>
  <si>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</si>
  <si>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</si>
  <si>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</si>
  <si>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</si>
  <si>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</si>
  <si>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</si>
  <si>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</si>
  <si>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</si>
  <si>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</si>
  <si>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</si>
  <si>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</si>
  <si>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</si>
  <si>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</si>
  <si>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</si>
  <si>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</si>
  <si>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</si>
  <si>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</si>
  <si>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</si>
  <si>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</si>
  <si>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</si>
  <si>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</si>
  <si>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</si>
  <si>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</si>
  <si>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</si>
  <si>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</si>
  <si>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</si>
  <si>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</si>
  <si>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</si>
  <si>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</si>
  <si>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</si>
  <si>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</si>
  <si>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</si>
  <si>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</si>
  <si>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</si>
  <si>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</si>
  <si>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</si>
  <si>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</si>
  <si>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</si>
  <si>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</si>
  <si>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</si>
  <si>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</si>
  <si>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</si>
  <si>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</si>
  <si>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</si>
  <si>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</si>
  <si>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</si>
  <si>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</si>
  <si>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</si>
  <si>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Reformer Plant 35</t>
  </si>
  <si>
    <t>Platformer CCR 2</t>
  </si>
  <si>
    <t>DFH Jet Hydrofiner</t>
  </si>
  <si>
    <t>NHT 2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</si>
  <si>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</si>
  <si>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</si>
  <si>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</si>
  <si>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</si>
  <si>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</si>
  <si>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</si>
  <si>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</si>
  <si>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</si>
  <si>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</si>
  <si>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Benicia Asphalt Refinery</t>
  </si>
  <si>
    <t>Naphtha Hydrotreater (NDU 2)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</si>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</sst>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BF9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164" fontId="4" fillId="2" borderId="2" xfId="0" applyNumberFormat="1" applyFont="1" applyFill="1" applyBorder="1" applyAlignment="1">
      <alignment horizontal="center"/>
    </xf>
    <xf numFmtId="0" fontId="0" fillId="0" borderId="3" xfId="0" applyBorder="1"/>
    <xf numFmtId="0" fontId="5" fillId="3" borderId="4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center" vertical="center"/>
    </xf>
    <xf numFmtId="0" fontId="4" fillId="4" borderId="5" xfId="0" applyFont="1" applyFill="1" applyBorder="1"/>
    <xf numFmtId="165" fontId="0" fillId="0" borderId="3" xfId="0" applyNumberFormat="1" applyBorder="1"/>
    <xf numFmtId="166" fontId="0" fillId="0" borderId="3" xfId="0" applyNumberFormat="1" applyBorder="1"/>
    <xf numFmtId="0" fontId="0" fillId="0" borderId="0" xfId="0" applyAlignment="1">
      <alignment vertical="top" wrapText="1"/>
    </xf>
    <xf numFmtId="166" fontId="4" fillId="0" borderId="3" xfId="0" applyNumberFormat="1" applyFont="1" applyBorder="1" applyAlignment="1">
      <alignment horizontal="center"/>
    </xf>
    <xf numFmtId="0" fontId="6" fillId="0" borderId="0" xfId="0" applyFont="1"/>
    <xf numFmtId="166" fontId="4" fillId="2" borderId="2" xfId="0" applyNumberFormat="1" applyFont="1" applyFill="1" applyBorder="1" applyAlignment="1">
      <alignment horizontal="center"/>
    </xf>
    <xf numFmtId="164" fontId="0" fillId="0" borderId="3" xfId="0" applyNumberFormat="1" applyBorder="1"/>
    <xf numFmtId="165" fontId="0" fillId="2" borderId="2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Concurrent Offline by Unit &amp; Month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Crude (CDU)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'Per-Unit'!$B$10:$M$10</c:f>
              <c:numCache>
                <c:formatCode>General</c:formatCode>
                <c:ptCount val="12"/>
                <c:pt idx="0">
                  <c:v>365.125</c:v>
                </c:pt>
                <c:pt idx="1">
                  <c:v>683.258</c:v>
                </c:pt>
                <c:pt idx="2">
                  <c:v>1062.14</c:v>
                </c:pt>
                <c:pt idx="3">
                  <c:v>663.255</c:v>
                </c:pt>
                <c:pt idx="4">
                  <c:v>320.192</c:v>
                </c:pt>
                <c:pt idx="5">
                  <c:v>96.0</c:v>
                </c:pt>
                <c:pt idx="6">
                  <c:v>96.0</c:v>
                </c:pt>
                <c:pt idx="7">
                  <c:v>27.84</c:v>
                </c:pt>
                <c:pt idx="8">
                  <c:v>976.735</c:v>
                </c:pt>
                <c:pt idx="9">
                  <c:v>1307.315</c:v>
                </c:pt>
                <c:pt idx="10">
                  <c:v>283.90000000000003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FCC (cat cracker)</c:v>
          </c:tx>
          <c:spPr>
            <a:solidFill>
              <a:srgbClr val="C00000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'Per-Unit'!$B$19:$M$19</c:f>
              <c:numCache>
                <c:formatCode>General</c:formatCode>
                <c:ptCount val="12"/>
                <c:pt idx="0">
                  <c:v>250.98000000000002</c:v>
                </c:pt>
                <c:pt idx="1">
                  <c:v>450.5215</c:v>
                </c:pt>
                <c:pt idx="2">
                  <c:v>447.892</c:v>
                </c:pt>
                <c:pt idx="3">
                  <c:v>150.455</c:v>
                </c:pt>
                <c:pt idx="4">
                  <c:v>23.3</c:v>
                </c:pt>
                <c:pt idx="5">
                  <c:v>68.255</c:v>
                </c:pt>
                <c:pt idx="6">
                  <c:v>68.0</c:v>
                </c:pt>
                <c:pt idx="7">
                  <c:v>19.72</c:v>
                </c:pt>
                <c:pt idx="8">
                  <c:v>176.274</c:v>
                </c:pt>
                <c:pt idx="9">
                  <c:v>189.624</c:v>
                </c:pt>
                <c:pt idx="10">
                  <c:v>54.870000000000005</c:v>
                </c:pt>
                <c:pt idx="11">
                  <c:v>0.0</c:v>
                </c:pt>
              </c:numCache>
            </c:numRef>
          </c:val>
        </c:ser>
        <c:ser>
          <c:idx val="2"/>
          <c:order val="2"/>
          <c:tx>
            <c:v>Hydrocracker</c:v>
          </c:tx>
          <c:spPr>
            <a:solidFill>
              <a:srgbClr val="548235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'Per-Unit'!$B$28:$M$28</c:f>
              <c:numCache>
                <c:formatCode>General</c:formatCode>
                <c:ptCount val="12"/>
                <c:pt idx="0">
                  <c:v>121.41</c:v>
                </c:pt>
                <c:pt idx="1">
                  <c:v>141.67000000000002</c:v>
                </c:pt>
                <c:pt idx="2">
                  <c:v>75.53</c:v>
                </c:pt>
                <c:pt idx="3">
                  <c:v>39.15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104.88</c:v>
                </c:pt>
                <c:pt idx="9">
                  <c:v>63.940000000000005</c:v>
                </c:pt>
                <c:pt idx="10">
                  <c:v>17.653</c:v>
                </c:pt>
                <c:pt idx="11">
                  <c:v>0.0</c:v>
                </c:pt>
              </c:numCache>
            </c:numRef>
          </c:val>
        </c:ser>
        <c:ser>
          <c:idx val="3"/>
          <c:order val="3"/>
          <c:tx>
            <c:v>Reformer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'Per-Unit'!$B$37:$M$37</c:f>
              <c:numCache>
                <c:formatCode>General</c:formatCode>
                <c:ptCount val="12"/>
                <c:pt idx="0">
                  <c:v>29.125</c:v>
                </c:pt>
                <c:pt idx="1">
                  <c:v>68.78</c:v>
                </c:pt>
                <c:pt idx="2">
                  <c:v>184.88899999999998</c:v>
                </c:pt>
                <c:pt idx="3">
                  <c:v>141.475</c:v>
                </c:pt>
                <c:pt idx="4">
                  <c:v>45.428</c:v>
                </c:pt>
                <c:pt idx="5">
                  <c:v>0.3</c:v>
                </c:pt>
                <c:pt idx="6">
                  <c:v>0.0</c:v>
                </c:pt>
                <c:pt idx="7">
                  <c:v>0.0</c:v>
                </c:pt>
                <c:pt idx="8">
                  <c:v>112.05</c:v>
                </c:pt>
                <c:pt idx="9">
                  <c:v>109.94500000000001</c:v>
                </c:pt>
                <c:pt idx="10">
                  <c:v>20.105</c:v>
                </c:pt>
                <c:pt idx="11">
                  <c:v>0.0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Biggest Individual 2027 Outages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Biggest 2027 outages (kbd)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Biggest!$A$5:$A$16</c:f>
              <c:strCache>
                <c:ptCount val="12"/>
                <c:pt idx="0">
                  <c:v>Joliet</c:v>
                </c:pt>
                <c:pt idx="1">
                  <c:v>Cherry Point</c:v>
                </c:pt>
                <c:pt idx="2">
                  <c:v>Norco</c:v>
                </c:pt>
                <c:pt idx="3">
                  <c:v>Richmond</c:v>
                </c:pt>
                <c:pt idx="4">
                  <c:v>Lemont</c:v>
                </c:pt>
                <c:pt idx="5">
                  <c:v>Martinez (PBF)</c:v>
                </c:pt>
                <c:pt idx="6">
                  <c:v>Garyville</c:v>
                </c:pt>
                <c:pt idx="7">
                  <c:v>Garyville</c:v>
                </c:pt>
                <c:pt idx="8">
                  <c:v>Garyville</c:v>
                </c:pt>
                <c:pt idx="9">
                  <c:v>Baytown</c:v>
                </c:pt>
                <c:pt idx="10">
                  <c:v>Beaumont</c:v>
                </c:pt>
                <c:pt idx="11">
                  <c:v>Memphis</c:v>
                </c:pt>
              </c:strCache>
            </c:strRef>
          </c:cat>
          <c:val>
            <c:numRef>
              <c:f>Biggest!$E$5:$E$16</c:f>
              <c:numCache>
                <c:formatCode>General</c:formatCode>
                <c:ptCount val="12"/>
                <c:pt idx="0">
                  <c:v>250</c:v>
                </c:pt>
                <c:pt idx="1">
                  <c:v>250</c:v>
                </c:pt>
                <c:pt idx="2">
                  <c:v>240</c:v>
                </c:pt>
                <c:pt idx="3">
                  <c:v>240</c:v>
                </c:pt>
                <c:pt idx="4">
                  <c:v>175</c:v>
                </c:pt>
                <c:pt idx="5">
                  <c:v>155</c:v>
                </c:pt>
                <c:pt idx="6">
                  <c:v>145</c:v>
                </c:pt>
                <c:pt idx="7">
                  <c:v>145</c:v>
                </c:pt>
                <c:pt idx="8">
                  <c:v>138</c:v>
                </c:pt>
                <c:pt idx="9">
                  <c:v>125</c:v>
                </c:pt>
                <c:pt idx="10">
                  <c:v>120</c:v>
                </c:pt>
                <c:pt idx="11">
                  <c:v>110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H1 Average Planned Offline by Unit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</c:v>
          </c:tx>
          <c:spPr>
            <a:solidFill>
              <a:srgbClr val="9DB0CE"/>
            </a:solidFill>
            <a:ln>
              <a:noFill/>
            </a:ln>
          </c:spPr>
          <c:cat>
            <c:strRef>
              <c:f>'H1 by Unit'!$A$34:$A$37</c:f>
              <c:strCache>
                <c:ptCount val="4"/>
                <c:pt idx="0">
                  <c:v>Crude (CDU)</c:v>
                </c:pt>
                <c:pt idx="1">
                  <c:v>FCC (cat cracker)</c:v>
                </c:pt>
                <c:pt idx="2">
                  <c:v>Hydrocracker</c:v>
                </c:pt>
                <c:pt idx="3">
                  <c:v>Reformer</c:v>
                </c:pt>
              </c:strCache>
            </c:strRef>
          </c:cat>
          <c:val>
            <c:numRef>
              <c:f>'H1 by Unit'!$B$34:$B$37</c:f>
              <c:numCache>
                <c:formatCode>General</c:formatCode>
                <c:ptCount val="4"/>
                <c:pt idx="0">
                  <c:v>704.9314166666665</c:v>
                </c:pt>
                <c:pt idx="1">
                  <c:v>187.615</c:v>
                </c:pt>
                <c:pt idx="2">
                  <c:v>48.26833333333334</c:v>
                </c:pt>
                <c:pt idx="3">
                  <c:v>124.08383333333336</c:v>
                </c:pt>
              </c:numCache>
            </c:numRef>
          </c:val>
        </c:ser>
        <c:ser>
          <c:idx val="1"/>
          <c:order val="1"/>
          <c:tx>
            <c:v>2026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'H1 by Unit'!$A$34:$A$37</c:f>
              <c:strCache>
                <c:ptCount val="4"/>
                <c:pt idx="0">
                  <c:v>Crude (CDU)</c:v>
                </c:pt>
                <c:pt idx="1">
                  <c:v>FCC (cat cracker)</c:v>
                </c:pt>
                <c:pt idx="2">
                  <c:v>Hydrocracker</c:v>
                </c:pt>
                <c:pt idx="3">
                  <c:v>Reformer</c:v>
                </c:pt>
              </c:strCache>
            </c:strRef>
          </c:cat>
          <c:val>
            <c:numRef>
              <c:f>'H1 by Unit'!$C$34:$C$37</c:f>
              <c:numCache>
                <c:formatCode>General</c:formatCode>
                <c:ptCount val="4"/>
                <c:pt idx="0">
                  <c:v>497.59383333333335</c:v>
                </c:pt>
                <c:pt idx="1">
                  <c:v>139.7553333333333</c:v>
                </c:pt>
                <c:pt idx="2">
                  <c:v>57.79083333333333</c:v>
                </c:pt>
                <c:pt idx="3">
                  <c:v>56.860166666666665</c:v>
                </c:pt>
              </c:numCache>
            </c:numRef>
          </c:val>
        </c:ser>
        <c:ser>
          <c:idx val="2"/>
          <c:order val="2"/>
          <c:tx>
            <c:v>2027</c:v>
          </c:tx>
          <c:spPr>
            <a:solidFill>
              <a:srgbClr val="C00000"/>
            </a:solidFill>
            <a:ln>
              <a:noFill/>
            </a:ln>
          </c:spPr>
          <c:cat>
            <c:strRef>
              <c:f>'H1 by Unit'!$A$34:$A$37</c:f>
              <c:strCache>
                <c:ptCount val="4"/>
                <c:pt idx="0">
                  <c:v>Crude (CDU)</c:v>
                </c:pt>
                <c:pt idx="1">
                  <c:v>FCC (cat cracker)</c:v>
                </c:pt>
                <c:pt idx="2">
                  <c:v>Hydrocracker</c:v>
                </c:pt>
                <c:pt idx="3">
                  <c:v>Reformer</c:v>
                </c:pt>
              </c:strCache>
            </c:strRef>
          </c:cat>
          <c:val>
            <c:numRef>
              <c:f>'H1 by Unit'!$D$34:$D$37</c:f>
              <c:numCache>
                <c:formatCode>General</c:formatCode>
                <c:ptCount val="4"/>
                <c:pt idx="0">
                  <c:v>531.6616666666667</c:v>
                </c:pt>
                <c:pt idx="1">
                  <c:v>231.90058333333332</c:v>
                </c:pt>
                <c:pt idx="2">
                  <c:v>62.96</c:v>
                </c:pt>
                <c:pt idx="3">
                  <c:v>78.33283333333334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Crude (CDU) Offline by Month &amp; PADD,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P1</c:v>
          </c:tx>
          <c:spPr>
            <a:solidFill>
              <a:srgbClr val="9DB0CE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Unit'!$B$625:$B$636</c:f>
              <c:numCache>
                <c:formatCode>General</c:formatCode>
                <c:ptCount val="12"/>
                <c:pt idx="0">
                  <c:v>0.0</c:v>
                </c:pt>
                <c:pt idx="1">
                  <c:v>0.0</c:v>
                </c:pt>
                <c:pt idx="2">
                  <c:v>108.75</c:v>
                </c:pt>
                <c:pt idx="3">
                  <c:v>44.95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P2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Unit'!$C$625:$C$636</c:f>
              <c:numCache>
                <c:formatCode>General</c:formatCode>
                <c:ptCount val="12"/>
                <c:pt idx="0">
                  <c:v>0.0</c:v>
                </c:pt>
                <c:pt idx="1">
                  <c:v>67.8</c:v>
                </c:pt>
                <c:pt idx="2">
                  <c:v>224.45</c:v>
                </c:pt>
                <c:pt idx="3">
                  <c:v>357.4</c:v>
                </c:pt>
                <c:pt idx="4">
                  <c:v>206.5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325.095</c:v>
                </c:pt>
                <c:pt idx="9">
                  <c:v>95.225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2"/>
          <c:order val="2"/>
          <c:tx>
            <c:v>P3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Unit'!$D$625:$D$636</c:f>
              <c:numCache>
                <c:formatCode>General</c:formatCode>
                <c:ptCount val="12"/>
                <c:pt idx="0">
                  <c:v>210.575</c:v>
                </c:pt>
                <c:pt idx="1">
                  <c:v>355.17</c:v>
                </c:pt>
                <c:pt idx="2">
                  <c:v>468.97</c:v>
                </c:pt>
                <c:pt idx="3">
                  <c:v>178.92999999999998</c:v>
                </c:pt>
                <c:pt idx="4">
                  <c:v>0.0</c:v>
                </c:pt>
                <c:pt idx="5">
                  <c:v>96.0</c:v>
                </c:pt>
                <c:pt idx="6">
                  <c:v>96.0</c:v>
                </c:pt>
                <c:pt idx="7">
                  <c:v>27.84</c:v>
                </c:pt>
                <c:pt idx="8">
                  <c:v>583.89</c:v>
                </c:pt>
                <c:pt idx="9">
                  <c:v>865.76</c:v>
                </c:pt>
                <c:pt idx="10">
                  <c:v>250.90000000000003</c:v>
                </c:pt>
                <c:pt idx="11">
                  <c:v>0.0</c:v>
                </c:pt>
              </c:numCache>
            </c:numRef>
          </c:val>
        </c:ser>
        <c:ser>
          <c:idx val="3"/>
          <c:order val="3"/>
          <c:tx>
            <c:v>P4</c:v>
          </c:tx>
          <c:spPr>
            <a:solidFill>
              <a:srgbClr val="548235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Unit'!$E$625:$E$636</c:f>
              <c:numCache>
                <c:formatCode>General</c:formatCode>
                <c:ptCount val="12"/>
                <c:pt idx="0">
                  <c:v>0.0</c:v>
                </c:pt>
                <c:pt idx="1">
                  <c:v>61.44</c:v>
                </c:pt>
                <c:pt idx="2">
                  <c:v>110.52</c:v>
                </c:pt>
                <c:pt idx="3">
                  <c:v>77.37</c:v>
                </c:pt>
                <c:pt idx="4">
                  <c:v>65.852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20.75</c:v>
                </c:pt>
                <c:pt idx="9">
                  <c:v>13.53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4"/>
          <c:order val="4"/>
          <c:tx>
            <c:v>P5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Unit'!$F$625:$F$636</c:f>
              <c:numCache>
                <c:formatCode>General</c:formatCode>
                <c:ptCount val="12"/>
                <c:pt idx="0">
                  <c:v>154.55</c:v>
                </c:pt>
                <c:pt idx="1">
                  <c:v>198.84799999999998</c:v>
                </c:pt>
                <c:pt idx="2">
                  <c:v>149.45</c:v>
                </c:pt>
                <c:pt idx="3">
                  <c:v>4.605</c:v>
                </c:pt>
                <c:pt idx="4">
                  <c:v>47.839999999999996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47.0</c:v>
                </c:pt>
                <c:pt idx="9">
                  <c:v>332.8</c:v>
                </c:pt>
                <c:pt idx="10">
                  <c:v>33.0</c:v>
                </c:pt>
                <c:pt idx="11">
                  <c:v>0.0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FCC (cat cracker) Offline by Month &amp; PADD,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P1</c:v>
          </c:tx>
          <c:spPr>
            <a:solidFill>
              <a:srgbClr val="9DB0CE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Unit'!$B$640:$B$651</c:f>
              <c:numCache>
                <c:formatCode>General</c:formatCode>
                <c:ptCount val="12"/>
                <c:pt idx="0">
                  <c:v>0.0</c:v>
                </c:pt>
                <c:pt idx="1">
                  <c:v>0.0</c:v>
                </c:pt>
                <c:pt idx="2">
                  <c:v>18.27</c:v>
                </c:pt>
                <c:pt idx="3">
                  <c:v>9.03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P2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Unit'!$C$640:$C$651</c:f>
              <c:numCache>
                <c:formatCode>General</c:formatCode>
                <c:ptCount val="12"/>
                <c:pt idx="0">
                  <c:v>0.0</c:v>
                </c:pt>
                <c:pt idx="1">
                  <c:v>35.44</c:v>
                </c:pt>
                <c:pt idx="2">
                  <c:v>40.72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157.5</c:v>
                </c:pt>
                <c:pt idx="9">
                  <c:v>111.47999999999999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2"/>
          <c:order val="2"/>
          <c:tx>
            <c:v>P3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Unit'!$D$640:$D$651</c:f>
              <c:numCache>
                <c:formatCode>General</c:formatCode>
                <c:ptCount val="12"/>
                <c:pt idx="0">
                  <c:v>250.98000000000002</c:v>
                </c:pt>
                <c:pt idx="1">
                  <c:v>389.7375</c:v>
                </c:pt>
                <c:pt idx="2">
                  <c:v>344.305</c:v>
                </c:pt>
                <c:pt idx="3">
                  <c:v>115.2</c:v>
                </c:pt>
                <c:pt idx="4">
                  <c:v>0.0</c:v>
                </c:pt>
                <c:pt idx="5">
                  <c:v>68.0</c:v>
                </c:pt>
                <c:pt idx="6">
                  <c:v>68.0</c:v>
                </c:pt>
                <c:pt idx="7">
                  <c:v>19.72</c:v>
                </c:pt>
                <c:pt idx="8">
                  <c:v>0.0</c:v>
                </c:pt>
                <c:pt idx="9">
                  <c:v>41.8</c:v>
                </c:pt>
                <c:pt idx="10">
                  <c:v>43.32</c:v>
                </c:pt>
                <c:pt idx="11">
                  <c:v>0.0</c:v>
                </c:pt>
              </c:numCache>
            </c:numRef>
          </c:val>
        </c:ser>
        <c:ser>
          <c:idx val="3"/>
          <c:order val="3"/>
          <c:tx>
            <c:v>P4</c:v>
          </c:tx>
          <c:spPr>
            <a:solidFill>
              <a:srgbClr val="548235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Unit'!$E$640:$E$651</c:f>
              <c:numCache>
                <c:formatCode>General</c:formatCode>
                <c:ptCount val="12"/>
                <c:pt idx="0">
                  <c:v>0.0</c:v>
                </c:pt>
                <c:pt idx="1">
                  <c:v>25.344</c:v>
                </c:pt>
                <c:pt idx="2">
                  <c:v>44.597</c:v>
                </c:pt>
                <c:pt idx="3">
                  <c:v>26.225</c:v>
                </c:pt>
                <c:pt idx="4">
                  <c:v>23.3</c:v>
                </c:pt>
                <c:pt idx="5">
                  <c:v>0.255</c:v>
                </c:pt>
                <c:pt idx="6">
                  <c:v>0.0</c:v>
                </c:pt>
                <c:pt idx="7">
                  <c:v>0.0</c:v>
                </c:pt>
                <c:pt idx="8">
                  <c:v>2.324</c:v>
                </c:pt>
                <c:pt idx="9">
                  <c:v>1.344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4"/>
          <c:order val="4"/>
          <c:tx>
            <c:v>P5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Unit'!$F$640:$F$651</c:f>
              <c:numCache>
                <c:formatCode>General</c:formatCode>
                <c:ptCount val="1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16.45</c:v>
                </c:pt>
                <c:pt idx="9">
                  <c:v>35.0</c:v>
                </c:pt>
                <c:pt idx="10">
                  <c:v>11.55</c:v>
                </c:pt>
                <c:pt idx="11">
                  <c:v>0.0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Tied vs Standalone by Unit, 2027 (% of planned offline)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v>Tied to crude TA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'PADD by Unit'!$A$657:$A$659</c:f>
              <c:strCache>
                <c:ptCount val="3"/>
                <c:pt idx="0">
                  <c:v>FCC (cat cracker)</c:v>
                </c:pt>
                <c:pt idx="1">
                  <c:v>Hydrocracker</c:v>
                </c:pt>
                <c:pt idx="2">
                  <c:v>Reformer</c:v>
                </c:pt>
              </c:strCache>
            </c:strRef>
          </c:cat>
          <c:val>
            <c:numRef>
              <c:f>'PADD by Unit'!$B$657:$B$659</c:f>
              <c:numCache>
                <c:formatCode>General</c:formatCode>
                <c:ptCount val="3"/>
                <c:pt idx="0">
                  <c:v>817.394</c:v>
                </c:pt>
                <c:pt idx="1">
                  <c:v>141.41999999999996</c:v>
                </c:pt>
                <c:pt idx="2">
                  <c:v>458.14700000000005</c:v>
                </c:pt>
              </c:numCache>
            </c:numRef>
          </c:val>
        </c:ser>
        <c:ser>
          <c:idx val="1"/>
          <c:order val="1"/>
          <c:tx>
            <c:v>Standalone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'PADD by Unit'!$A$657:$A$659</c:f>
              <c:strCache>
                <c:ptCount val="3"/>
                <c:pt idx="0">
                  <c:v>FCC (cat cracker)</c:v>
                </c:pt>
                <c:pt idx="1">
                  <c:v>Hydrocracker</c:v>
                </c:pt>
                <c:pt idx="2">
                  <c:v>Reformer</c:v>
                </c:pt>
              </c:strCache>
            </c:strRef>
          </c:cat>
          <c:val>
            <c:numRef>
              <c:f>'PADD by Unit'!$C$657:$C$659</c:f>
              <c:numCache>
                <c:formatCode>General</c:formatCode>
                <c:ptCount val="3"/>
                <c:pt idx="0">
                  <c:v>1082.4975</c:v>
                </c:pt>
                <c:pt idx="1">
                  <c:v>422.813</c:v>
                </c:pt>
                <c:pt idx="2">
                  <c:v>253.95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of unit's planned offline</a:t>
                </a:r>
              </a:p>
            </c:rich>
          </c:tx>
          <c:layout/>
        </c:title>
        <c:numFmt formatCode="0%" sourceLinked="1"/>
        <c:tickLblPos val="nextTo"/>
        <c:crossAx val="500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HVN Balance by Month,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Reformer down: HVN demand removed</c:v>
          </c:tx>
          <c:spPr>
            <a:solidFill>
              <a:srgbClr val="70AD47"/>
            </a:solidFill>
            <a:ln>
              <a:noFill/>
            </a:ln>
          </c:spPr>
          <c:cat>
            <c:strRef>
              <c:f>HVN!$A$5:$A$16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HVN!$E$5:$E$16</c:f>
              <c:numCache>
                <c:formatCode>General</c:formatCode>
                <c:ptCount val="12"/>
                <c:pt idx="0">
                  <c:v>29.125</c:v>
                </c:pt>
                <c:pt idx="1">
                  <c:v>68.78</c:v>
                </c:pt>
                <c:pt idx="2">
                  <c:v>184.88899999999998</c:v>
                </c:pt>
                <c:pt idx="3">
                  <c:v>141.475</c:v>
                </c:pt>
                <c:pt idx="4">
                  <c:v>45.428</c:v>
                </c:pt>
                <c:pt idx="5">
                  <c:v>0.3</c:v>
                </c:pt>
                <c:pt idx="6">
                  <c:v>0.0</c:v>
                </c:pt>
                <c:pt idx="7">
                  <c:v>0.0</c:v>
                </c:pt>
                <c:pt idx="8">
                  <c:v>112.05</c:v>
                </c:pt>
                <c:pt idx="9">
                  <c:v>109.94500000000001</c:v>
                </c:pt>
                <c:pt idx="10">
                  <c:v>20.105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CDU down: HVN supply removed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HVN!$A$5:$A$16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HVN!$G$5:$G$16</c:f>
              <c:numCache>
                <c:formatCode>General</c:formatCode>
                <c:ptCount val="12"/>
                <c:pt idx="0">
                  <c:v>-127.79374999999999</c:v>
                </c:pt>
                <c:pt idx="1">
                  <c:v>-239.1403</c:v>
                </c:pt>
                <c:pt idx="2">
                  <c:v>-371.749</c:v>
                </c:pt>
                <c:pt idx="3">
                  <c:v>-232.13924999999998</c:v>
                </c:pt>
                <c:pt idx="4">
                  <c:v>-112.0672</c:v>
                </c:pt>
                <c:pt idx="5">
                  <c:v>-33.599999999999994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-341.85724999999996</c:v>
                </c:pt>
                <c:pt idx="9">
                  <c:v>-457.56025</c:v>
                </c:pt>
                <c:pt idx="10">
                  <c:v>-99.36500000000001</c:v>
                </c:pt>
                <c:pt idx="11">
                  <c:v>-0.0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v>Net HVN balance</c:v>
          </c:tx>
          <c:spPr>
            <a:ln w="28575">
              <a:solidFill>
                <a:srgbClr val="23272E"/>
              </a:solidFill>
            </a:ln>
          </c:spPr>
          <c:marker>
            <c:symbol val="circle"/>
            <c:size val="4"/>
            <c:spPr>
              <a:solidFill>
                <a:srgbClr val="23272E"/>
              </a:solidFill>
              <a:ln>
                <a:solidFill>
                  <a:srgbClr val="23272E"/>
                </a:solidFill>
              </a:ln>
            </c:spPr>
          </c:marker>
          <c:cat>
            <c:strRef>
              <c:f>HVN!$A$5:$A$16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HVN!$F$5:$F$16</c:f>
              <c:numCache>
                <c:formatCode>General</c:formatCode>
                <c:ptCount val="12"/>
                <c:pt idx="0">
                  <c:v>-98.66874999999999</c:v>
                </c:pt>
                <c:pt idx="1">
                  <c:v>-170.3603</c:v>
                </c:pt>
                <c:pt idx="2">
                  <c:v>-186.86000000000004</c:v>
                </c:pt>
                <c:pt idx="3">
                  <c:v>-90.66424999999998</c:v>
                </c:pt>
                <c:pt idx="4">
                  <c:v>-66.6392</c:v>
                </c:pt>
                <c:pt idx="5">
                  <c:v>-33.3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-229.80724999999995</c:v>
                </c:pt>
                <c:pt idx="9">
                  <c:v>-347.61525</c:v>
                </c:pt>
                <c:pt idx="10">
                  <c:v>-79.26</c:v>
                </c:pt>
                <c:pt idx="11">
                  <c:v>0.0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 HVN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HVN Balance -- PADD 3 (Gulf),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Reformer down: HVN demand removed</c:v>
          </c:tx>
          <c:spPr>
            <a:solidFill>
              <a:srgbClr val="70AD47"/>
            </a:solidFill>
            <a:ln>
              <a:noFill/>
            </a:ln>
          </c:spPr>
          <c:cat>
            <c:strRef>
              <c:f>HVN!$A$28:$A$39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HVN!$E$28:$E$39</c:f>
              <c:numCache>
                <c:formatCode>General</c:formatCode>
                <c:ptCount val="12"/>
                <c:pt idx="0">
                  <c:v>5.8</c:v>
                </c:pt>
                <c:pt idx="1">
                  <c:v>17.36</c:v>
                </c:pt>
                <c:pt idx="2">
                  <c:v>100.37</c:v>
                </c:pt>
                <c:pt idx="3">
                  <c:v>52.91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15.015</c:v>
                </c:pt>
                <c:pt idx="10">
                  <c:v>13.024999999999999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CDU down: HVN supply removed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HVN!$A$28:$A$39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HVN!$G$28:$G$39</c:f>
              <c:numCache>
                <c:formatCode>General</c:formatCode>
                <c:ptCount val="12"/>
                <c:pt idx="0">
                  <c:v>-73.70124999999999</c:v>
                </c:pt>
                <c:pt idx="1">
                  <c:v>-124.3095</c:v>
                </c:pt>
                <c:pt idx="2">
                  <c:v>-164.1395</c:v>
                </c:pt>
                <c:pt idx="3">
                  <c:v>-62.62549999999999</c:v>
                </c:pt>
                <c:pt idx="4">
                  <c:v>-0.0</c:v>
                </c:pt>
                <c:pt idx="5">
                  <c:v>-33.599999999999994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-204.36149999999998</c:v>
                </c:pt>
                <c:pt idx="9">
                  <c:v>-303.01599999999996</c:v>
                </c:pt>
                <c:pt idx="10">
                  <c:v>-87.81500000000001</c:v>
                </c:pt>
                <c:pt idx="11">
                  <c:v>-0.0</c:v>
                </c:pt>
              </c:numCache>
            </c:numRef>
          </c:val>
        </c:ser>
        <c:overlap val="100"/>
        <c:axId val="50080001"/>
        <c:axId val="50080002"/>
      </c:barChart>
      <c:lineChart>
        <c:grouping val="standard"/>
        <c:ser>
          <c:idx val="2"/>
          <c:order val="2"/>
          <c:tx>
            <c:v>Net HVN balance</c:v>
          </c:tx>
          <c:spPr>
            <a:ln w="28575">
              <a:solidFill>
                <a:srgbClr val="23272E"/>
              </a:solidFill>
            </a:ln>
          </c:spPr>
          <c:marker>
            <c:symbol val="circle"/>
            <c:size val="4"/>
            <c:spPr>
              <a:solidFill>
                <a:srgbClr val="23272E"/>
              </a:solidFill>
              <a:ln>
                <a:solidFill>
                  <a:srgbClr val="23272E"/>
                </a:solidFill>
              </a:ln>
            </c:spPr>
          </c:marker>
          <c:cat>
            <c:strRef>
              <c:f>HVN!$A$28:$A$39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HVN!$F$28:$F$39</c:f>
              <c:numCache>
                <c:formatCode>General</c:formatCode>
                <c:ptCount val="12"/>
                <c:pt idx="0">
                  <c:v>-67.90124999999999</c:v>
                </c:pt>
                <c:pt idx="1">
                  <c:v>-106.9495</c:v>
                </c:pt>
                <c:pt idx="2">
                  <c:v>-63.769499999999994</c:v>
                </c:pt>
                <c:pt idx="3">
                  <c:v>-9.715499999999992</c:v>
                </c:pt>
                <c:pt idx="4">
                  <c:v>0.0</c:v>
                </c:pt>
                <c:pt idx="5">
                  <c:v>-33.599999999999994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-204.36149999999998</c:v>
                </c:pt>
                <c:pt idx="9">
                  <c:v>-288.001</c:v>
                </c:pt>
                <c:pt idx="10">
                  <c:v>-74.79000000000002</c:v>
                </c:pt>
                <c:pt idx="11">
                  <c:v>0.0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 HVN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(kbd/month)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</c:v>
          </c:tx>
          <c:spPr>
            <a:ln w="1905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Forecast!$B$5:$M$5</c:f>
              <c:numCache>
                <c:formatCode>General</c:formatCode>
                <c:ptCount val="12"/>
                <c:pt idx="0">
                  <c:v>1946.227825</c:v>
                </c:pt>
                <c:pt idx="1">
                  <c:v>2880.22435</c:v>
                </c:pt>
                <c:pt idx="2">
                  <c:v>2118.63895</c:v>
                </c:pt>
                <c:pt idx="3">
                  <c:v>2253.8666</c:v>
                </c:pt>
                <c:pt idx="4">
                  <c:v>1411.2534</c:v>
                </c:pt>
                <c:pt idx="5">
                  <c:v>1333.755225</c:v>
                </c:pt>
                <c:pt idx="6">
                  <c:v>1173.224525</c:v>
                </c:pt>
                <c:pt idx="7">
                  <c:v>1212.6027</c:v>
                </c:pt>
                <c:pt idx="8">
                  <c:v>1621.180633333333</c:v>
                </c:pt>
                <c:pt idx="9">
                  <c:v>2132.550833333333</c:v>
                </c:pt>
                <c:pt idx="10">
                  <c:v>1240.659633333333</c:v>
                </c:pt>
                <c:pt idx="11">
                  <c:v>806.3173666666667</c:v>
                </c:pt>
              </c:numCache>
            </c:numRef>
          </c:val>
        </c:ser>
        <c:ser>
          <c:idx val="1"/>
          <c:order val="1"/>
          <c:tx>
            <c:v>Conservative</c:v>
          </c:tx>
          <c:spPr>
            <a:ln w="1905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Forecast!$B$6:$M$6</c:f>
              <c:numCache>
                <c:formatCode>General</c:formatCode>
                <c:ptCount val="12"/>
                <c:pt idx="0">
                  <c:v>1556.9822599999998</c:v>
                </c:pt>
                <c:pt idx="1">
                  <c:v>2304.1794800000002</c:v>
                </c:pt>
                <c:pt idx="2">
                  <c:v>1694.91116</c:v>
                </c:pt>
                <c:pt idx="3">
                  <c:v>1803.09328</c:v>
                </c:pt>
                <c:pt idx="4">
                  <c:v>1129.0027200000002</c:v>
                </c:pt>
                <c:pt idx="5">
                  <c:v>1067.0041800000001</c:v>
                </c:pt>
                <c:pt idx="6">
                  <c:v>938.57962</c:v>
                </c:pt>
                <c:pt idx="7">
                  <c:v>970.0821600000002</c:v>
                </c:pt>
                <c:pt idx="8">
                  <c:v>1296.9445066666667</c:v>
                </c:pt>
                <c:pt idx="9">
                  <c:v>1706.0406666666668</c:v>
                </c:pt>
                <c:pt idx="10">
                  <c:v>992.5277066666667</c:v>
                </c:pt>
                <c:pt idx="11">
                  <c:v>645.0538933333333</c:v>
                </c:pt>
              </c:numCache>
            </c:numRef>
          </c:val>
        </c:ser>
        <c:ser>
          <c:idx val="2"/>
          <c:order val="2"/>
          <c:tx>
            <c:v>Average</c:v>
          </c:tx>
          <c:spPr>
            <a:ln w="2857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Forecast!$B$7:$M$7</c:f>
              <c:numCache>
                <c:formatCode>General</c:formatCode>
                <c:ptCount val="12"/>
                <c:pt idx="0">
                  <c:v>1946.2278249999997</c:v>
                </c:pt>
                <c:pt idx="1">
                  <c:v>2880.22435</c:v>
                </c:pt>
                <c:pt idx="2">
                  <c:v>2118.63895</c:v>
                </c:pt>
                <c:pt idx="3">
                  <c:v>2253.8666</c:v>
                </c:pt>
                <c:pt idx="4">
                  <c:v>1411.2534</c:v>
                </c:pt>
                <c:pt idx="5">
                  <c:v>1333.755225</c:v>
                </c:pt>
                <c:pt idx="6">
                  <c:v>1173.2245249999999</c:v>
                </c:pt>
                <c:pt idx="7">
                  <c:v>1212.6027000000001</c:v>
                </c:pt>
                <c:pt idx="8">
                  <c:v>1621.1806333333334</c:v>
                </c:pt>
                <c:pt idx="9">
                  <c:v>2132.5508333333332</c:v>
                </c:pt>
                <c:pt idx="10">
                  <c:v>1240.6596333333334</c:v>
                </c:pt>
                <c:pt idx="11">
                  <c:v>806.3173666666667</c:v>
                </c:pt>
              </c:numCache>
            </c:numRef>
          </c:val>
        </c:ser>
        <c:ser>
          <c:idx val="3"/>
          <c:order val="3"/>
          <c:tx>
            <c:v>Active</c:v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Forecast!$B$8:$M$8</c:f>
              <c:numCache>
                <c:formatCode>General</c:formatCode>
                <c:ptCount val="12"/>
                <c:pt idx="0">
                  <c:v>2530.0961724999997</c:v>
                </c:pt>
                <c:pt idx="1">
                  <c:v>3744.291655</c:v>
                </c:pt>
                <c:pt idx="2">
                  <c:v>2754.2306350000003</c:v>
                </c:pt>
                <c:pt idx="3">
                  <c:v>2930.0265799999997</c:v>
                </c:pt>
                <c:pt idx="4">
                  <c:v>1834.6294200000002</c:v>
                </c:pt>
                <c:pt idx="5">
                  <c:v>1733.8817925000003</c:v>
                </c:pt>
                <c:pt idx="6">
                  <c:v>1525.1918824999998</c:v>
                </c:pt>
                <c:pt idx="7">
                  <c:v>1576.3835100000003</c:v>
                </c:pt>
                <c:pt idx="8">
                  <c:v>2107.5348233333334</c:v>
                </c:pt>
                <c:pt idx="9">
                  <c:v>2772.316083333333</c:v>
                </c:pt>
                <c:pt idx="10">
                  <c:v>1612.8575233333336</c:v>
                </c:pt>
                <c:pt idx="11">
                  <c:v>1048.2125766666668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kbd/month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Peak-Month Offline vs the Booked Plan (%)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Implied peak vs booked plan</c:v>
          </c:tx>
          <c:dPt>
            <c:idx val="0"/>
            <c:spPr>
              <a:solidFill>
                <a:srgbClr val="548235"/>
              </a:solidFill>
            </c:spPr>
          </c:dPt>
          <c:dPt>
            <c:idx val="1"/>
            <c:spPr>
              <a:solidFill>
                <a:srgbClr val="BF9000"/>
              </a:solidFill>
            </c:spPr>
          </c:dPt>
          <c:dPt>
            <c:idx val="2"/>
            <c:spPr>
              <a:solidFill>
                <a:srgbClr val="C00000"/>
              </a:solidFill>
            </c:spPr>
          </c:dPt>
          <c:dPt>
            <c:idx val="3"/>
            <c:spPr>
              <a:solidFill>
                <a:srgbClr val="7030A0"/>
              </a:solidFill>
            </c:spPr>
          </c:dPt>
          <c:dLbls>
            <c:numFmt formatCode="0%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Forecast!$A$46:$A$49</c:f>
              <c:strCache>
                <c:ptCount val="4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  <c:pt idx="3">
                  <c:v>Avg x thin inventory</c:v>
                </c:pt>
              </c:strCache>
            </c:strRef>
          </c:cat>
          <c:val>
            <c:numRef>
              <c:f>Forecast!$C$46:$C$49</c:f>
              <c:numCache>
                <c:formatCode>General</c:formatCode>
                <c:ptCount val="4"/>
                <c:pt idx="0">
                  <c:v>1.5866059185652093</c:v>
                </c:pt>
                <c:pt idx="1">
                  <c:v>1.7332573982065116</c:v>
                </c:pt>
                <c:pt idx="2">
                  <c:v>2.0277595622382223</c:v>
                </c:pt>
                <c:pt idx="3">
                  <c:v>1.8603629407416558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Scenario</a:t>
                </a:r>
              </a:p>
            </c:rich>
          </c:tx>
          <c:layout/>
        </c:title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of booked-plan peak</a:t>
                </a:r>
              </a:p>
            </c:rich>
          </c:tx>
          <c:layout/>
        </c:title>
        <c:numFmt formatCode="0%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25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419100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17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17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17</xdr:col>
      <xdr:colOff>457200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655</xdr:row>
      <xdr:rowOff>0</xdr:rowOff>
    </xdr:from>
    <xdr:to>
      <xdr:col>15</xdr:col>
      <xdr:colOff>38100</xdr:colOff>
      <xdr:row>668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17</xdr:col>
      <xdr:colOff>381000</xdr:colOff>
      <xdr:row>19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17</xdr:col>
      <xdr:colOff>381000</xdr:colOff>
      <xdr:row>41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28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23</xdr:row>
      <xdr:rowOff>0</xdr:rowOff>
    </xdr:from>
    <xdr:to>
      <xdr:col>27</xdr:col>
      <xdr:colOff>190500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E49"/>
  <sheetViews>
    <sheetView showGridLines="0" tabSelected="1" zoomScale="110" zoomScaleNormal="110" workbookViewId="0"/>
  </sheetViews>
  <sheetFormatPr defaultRowHeight="15"/>
  <cols>
    <col min="1" max="1" width="26.7109375" customWidth="1"/>
    <col min="2" max="7" width="12.7109375" customWidth="1"/>
  </cols>
  <sheetData>
    <row r="1" spans="1:5" ht="22" customHeight="1">
      <c r="A1" s="1" t="s">
        <v>0</v>
      </c>
    </row>
    <row r="2" spans="1:5">
      <c r="A2" s="2" t="s">
        <v>1</v>
      </c>
    </row>
    <row r="4" spans="1:5">
      <c r="A4" s="3" t="s">
        <v>2</v>
      </c>
    </row>
    <row r="5" spans="1:5">
      <c r="A5" s="4" t="s">
        <v>3</v>
      </c>
      <c r="B5" s="5">
        <v>2026</v>
      </c>
      <c r="C5" s="5">
        <v>6</v>
      </c>
    </row>
    <row r="6" spans="1:5">
      <c r="A6" s="4" t="s">
        <v>4</v>
      </c>
      <c r="B6" s="6">
        <f>IF(C5=1,B5-1,B5)</f>
        <v>2026</v>
      </c>
      <c r="C6" s="6">
        <f>IF(C5=1,12,C5-1)</f>
        <v>5</v>
      </c>
    </row>
    <row r="8" spans="1:5">
      <c r="A8" s="7" t="s">
        <v>5</v>
      </c>
      <c r="B8" s="8" t="s">
        <v>6</v>
      </c>
      <c r="C8" s="8" t="s">
        <v>4</v>
      </c>
      <c r="D8" s="8" t="s">
        <v>7</v>
      </c>
      <c r="E8" s="8" t="s">
        <v>8</v>
      </c>
    </row>
    <row r="9" spans="1:5">
      <c r="A9" s="9" t="s">
        <v>9</v>
      </c>
      <c r="B9" s="10">
        <f>SUMIFS(Data!$K:$K,Data!$A:$A,$B$5,Data!$B:$B,$C$5)</f>
        <v>1349.6756999999998</v>
      </c>
      <c r="C9" s="10">
        <f>SUMIFS(Data!$K:$K,Data!$A:$A,$B$6,Data!$B:$B,$C$6)</f>
        <v>2203.7437</v>
      </c>
      <c r="D9" s="10">
        <f>B9-C9</f>
        <v>-854.0680000000002</v>
      </c>
      <c r="E9" s="11">
        <f>IFERROR(D9/C9,"")</f>
        <v>-0.3875532349791857</v>
      </c>
    </row>
    <row r="10" spans="1:5">
      <c r="A10" s="9" t="s">
        <v>10</v>
      </c>
      <c r="B10" s="10">
        <f>SUMIFS(Data!$K:$K,Data!$A:$A,$B$5,Data!$B:$B,$C$5,Data!$J:$J,"PLANNED")</f>
        <v>182.45000000000002</v>
      </c>
      <c r="C10" s="10">
        <f>SUMIFS(Data!$K:$K,Data!$A:$A,$B$6,Data!$B:$B,$C$6,Data!$J:$J,"PLANNED")</f>
        <v>1001.3308000000001</v>
      </c>
      <c r="D10" s="10">
        <f>B10-C10</f>
        <v>-818.8808</v>
      </c>
      <c r="E10" s="11">
        <f>IFERROR(D10/C10,"")</f>
        <v>-0.8177924817652668</v>
      </c>
    </row>
    <row r="11" spans="1:5">
      <c r="A11" s="9" t="s">
        <v>11</v>
      </c>
      <c r="B11" s="10">
        <f>SUMIFS(Data!$K:$K,Data!$A:$A,$B$5,Data!$B:$B,$C$5,Data!$J:$J,"UNPLANNED")</f>
        <v>1167.2257</v>
      </c>
      <c r="C11" s="10">
        <f>SUMIFS(Data!$K:$K,Data!$A:$A,$B$6,Data!$B:$B,$C$6,Data!$J:$J,"UNPLANNED")</f>
        <v>1202.4128999999998</v>
      </c>
      <c r="D11" s="10">
        <f>B11-C11</f>
        <v>-35.18719999999985</v>
      </c>
      <c r="E11" s="11">
        <f>IFERROR(D11/C11,"")</f>
        <v>-0.02926382443169051</v>
      </c>
    </row>
    <row r="12" spans="1:5">
      <c r="A12" s="9" t="s">
        <v>12</v>
      </c>
      <c r="B12" s="10">
        <f>SUMIFS(Data!$K:$K,Data!$A:$A,$B$5,Data!$B:$B,$C$5,Data!$G:$G,"CDU")</f>
        <v>435.03</v>
      </c>
      <c r="C12" s="10">
        <f>SUMIFS(Data!$K:$K,Data!$A:$A,$B$6,Data!$B:$B,$C$6,Data!$G:$G,"CDU")</f>
        <v>841.2020000000001</v>
      </c>
      <c r="D12" s="10">
        <f>B12-C12</f>
        <v>-406.17200000000014</v>
      </c>
      <c r="E12" s="11">
        <f>IFERROR(D12/C12,"")</f>
        <v>-0.48284716393922045</v>
      </c>
    </row>
    <row r="13" spans="1:5">
      <c r="A13" s="9" t="s">
        <v>13</v>
      </c>
      <c r="B13" s="10">
        <f>SUMIFS(Data!$K:$K,Data!$A:$A,$B$5,Data!$B:$B,$C$5,Data!$G:$G,"FCC")</f>
        <v>147.405</v>
      </c>
      <c r="C13" s="10">
        <f>SUMIFS(Data!$K:$K,Data!$A:$A,$B$6,Data!$B:$B,$C$6,Data!$G:$G,"FCC")</f>
        <v>360.08150000000006</v>
      </c>
      <c r="D13" s="10">
        <f>B13-C13</f>
        <v>-212.67650000000006</v>
      </c>
      <c r="E13" s="11">
        <f>IFERROR(D13/C13,"")</f>
        <v>-0.5906343425030167</v>
      </c>
    </row>
    <row r="14" spans="1:5">
      <c r="A14" s="9" t="s">
        <v>14</v>
      </c>
      <c r="B14" s="10">
        <f>SUMIFS(Data!$K:$K,Data!$A:$A,$B$5,Data!$B:$B,$C$5,Data!$G:$G,"Hydrocracker")</f>
        <v>21.380000000000003</v>
      </c>
      <c r="C14" s="10">
        <f>SUMIFS(Data!$K:$K,Data!$A:$A,$B$6,Data!$B:$B,$C$6,Data!$G:$G,"Hydrocracker")</f>
        <v>92.77</v>
      </c>
      <c r="D14" s="10">
        <f>B14-C14</f>
        <v>-71.38999999999999</v>
      </c>
      <c r="E14" s="11">
        <f>IFERROR(D14/C14,"")</f>
        <v>-0.7695375660234989</v>
      </c>
    </row>
    <row r="15" spans="1:5">
      <c r="A15" s="9" t="s">
        <v>15</v>
      </c>
      <c r="B15" s="10">
        <f>SUMIFS(Data!$K:$K,Data!$A:$A,$B$5,Data!$B:$B,$C$5,Data!$G:$G,"Reformer")</f>
        <v>130.51</v>
      </c>
      <c r="C15" s="10">
        <f>SUMIFS(Data!$K:$K,Data!$A:$A,$B$6,Data!$B:$B,$C$6,Data!$G:$G,"Reformer")</f>
        <v>157.769</v>
      </c>
      <c r="D15" s="10">
        <f>B15-C15</f>
        <v>-27.259000000000015</v>
      </c>
      <c r="E15" s="11">
        <f>IFERROR(D15/C15,"")</f>
        <v>-0.17277792215200716</v>
      </c>
    </row>
    <row r="17" spans="1:5">
      <c r="A17" s="3" t="s">
        <v>16</v>
      </c>
    </row>
    <row r="18" spans="1:5">
      <c r="A18" s="7" t="s">
        <v>17</v>
      </c>
      <c r="B18" s="8" t="s">
        <v>18</v>
      </c>
      <c r="C18" s="8" t="s">
        <v>10</v>
      </c>
      <c r="D18" s="8" t="s">
        <v>11</v>
      </c>
    </row>
    <row r="19" spans="1:5">
      <c r="A19" s="9" t="s">
        <v>19</v>
      </c>
      <c r="B19" s="10">
        <f>SUMIFS(Data!$K:$K,Data!$A:$A,2026,Data!$B:$B,1)</f>
        <v>1849.6688</v>
      </c>
      <c r="C19" s="10">
        <f>SUMIFS(Data!$K:$K,Data!$A:$A,2026,Data!$B:$B,1,Data!$J:$J,"PLANNED")</f>
        <v>1062.6823000000002</v>
      </c>
      <c r="D19" s="10">
        <f>SUMIFS(Data!$K:$K,Data!$A:$A,2026,Data!$B:$B,1,Data!$J:$J,"UNPLANNED")</f>
        <v>786.9864999999999</v>
      </c>
    </row>
    <row r="20" spans="1:5">
      <c r="A20" s="9" t="s">
        <v>20</v>
      </c>
      <c r="B20" s="10">
        <f>SUMIFS(Data!$K:$K,Data!$A:$A,2026,Data!$B:$B,2)</f>
        <v>3739.2241000000004</v>
      </c>
      <c r="C20" s="10">
        <f>SUMIFS(Data!$K:$K,Data!$A:$A,2026,Data!$B:$B,2,Data!$J:$J,"PLANNED")</f>
        <v>1946.2561</v>
      </c>
      <c r="D20" s="10">
        <f>SUMIFS(Data!$K:$K,Data!$A:$A,2026,Data!$B:$B,2,Data!$J:$J,"UNPLANNED")</f>
        <v>1792.9679999999998</v>
      </c>
    </row>
    <row r="21" spans="1:5">
      <c r="A21" s="9" t="s">
        <v>21</v>
      </c>
      <c r="B21" s="10">
        <f>SUMIFS(Data!$K:$K,Data!$A:$A,2026,Data!$B:$B,3)</f>
        <v>3152.1816</v>
      </c>
      <c r="C21" s="10">
        <f>SUMIFS(Data!$K:$K,Data!$A:$A,2026,Data!$B:$B,3,Data!$J:$J,"PLANNED")</f>
        <v>2033.7659</v>
      </c>
      <c r="D21" s="10">
        <f>SUMIFS(Data!$K:$K,Data!$A:$A,2026,Data!$B:$B,3,Data!$J:$J,"UNPLANNED")</f>
        <v>1118.4157</v>
      </c>
    </row>
    <row r="22" spans="1:5">
      <c r="A22" s="9" t="s">
        <v>22</v>
      </c>
      <c r="B22" s="10">
        <f>SUMIFS(Data!$K:$K,Data!$A:$A,2026,Data!$B:$B,4)</f>
        <v>3982.502</v>
      </c>
      <c r="C22" s="10">
        <f>SUMIFS(Data!$K:$K,Data!$A:$A,2026,Data!$B:$B,4,Data!$J:$J,"PLANNED")</f>
        <v>1938.51</v>
      </c>
      <c r="D22" s="10">
        <f>SUMIFS(Data!$K:$K,Data!$A:$A,2026,Data!$B:$B,4,Data!$J:$J,"UNPLANNED")</f>
        <v>2043.9919999999997</v>
      </c>
    </row>
    <row r="23" spans="1:5">
      <c r="A23" s="9" t="s">
        <v>23</v>
      </c>
      <c r="B23" s="10">
        <f>SUMIFS(Data!$K:$K,Data!$A:$A,2026,Data!$B:$B,5)</f>
        <v>2203.7437</v>
      </c>
      <c r="C23" s="10">
        <f>SUMIFS(Data!$K:$K,Data!$A:$A,2026,Data!$B:$B,5,Data!$J:$J,"PLANNED")</f>
        <v>1001.3308000000001</v>
      </c>
      <c r="D23" s="10">
        <f>SUMIFS(Data!$K:$K,Data!$A:$A,2026,Data!$B:$B,5,Data!$J:$J,"UNPLANNED")</f>
        <v>1202.4128999999998</v>
      </c>
    </row>
    <row r="24" spans="1:5">
      <c r="A24" s="9" t="s">
        <v>24</v>
      </c>
      <c r="B24" s="10">
        <f>SUMIFS(Data!$K:$K,Data!$A:$A,2026,Data!$B:$B,6)</f>
        <v>1349.6756999999998</v>
      </c>
      <c r="C24" s="10">
        <f>SUMIFS(Data!$K:$K,Data!$A:$A,2026,Data!$B:$B,6,Data!$J:$J,"PLANNED")</f>
        <v>182.45000000000002</v>
      </c>
      <c r="D24" s="10">
        <f>SUMIFS(Data!$K:$K,Data!$A:$A,2026,Data!$B:$B,6,Data!$J:$J,"UNPLANNED")</f>
        <v>1167.2257</v>
      </c>
    </row>
    <row r="26" spans="1:5">
      <c r="A26" s="3" t="s">
        <v>25</v>
      </c>
    </row>
    <row r="27" spans="1:5">
      <c r="A27" s="7" t="s">
        <v>26</v>
      </c>
      <c r="B27" s="8" t="s">
        <v>24</v>
      </c>
      <c r="C27" s="8" t="s">
        <v>27</v>
      </c>
      <c r="D27" s="8" t="s">
        <v>28</v>
      </c>
    </row>
    <row r="28" spans="1:5">
      <c r="A28" s="6" t="s">
        <v>29</v>
      </c>
      <c r="B28" s="10">
        <v>1349.7</v>
      </c>
      <c r="C28" s="6"/>
      <c r="D28" s="10">
        <v>1075</v>
      </c>
    </row>
    <row r="29" spans="1:5">
      <c r="A29" s="6" t="s">
        <v>30</v>
      </c>
      <c r="B29" s="10">
        <v>1349.7</v>
      </c>
      <c r="C29" s="10">
        <v>0</v>
      </c>
      <c r="D29" s="10">
        <v>1075</v>
      </c>
    </row>
    <row r="30" spans="1:5">
      <c r="A30" s="6" t="s">
        <v>31</v>
      </c>
      <c r="B30" s="10">
        <v>1349.7</v>
      </c>
      <c r="C30" s="10">
        <v>0</v>
      </c>
      <c r="D30" s="10">
        <v>1075</v>
      </c>
    </row>
    <row r="31" spans="1:5">
      <c r="A31" s="12" t="s">
        <v>32</v>
      </c>
      <c r="B31" s="12"/>
      <c r="C31" s="12"/>
      <c r="D31" s="12"/>
      <c r="E31" s="12"/>
    </row>
    <row r="33" spans="1:4">
      <c r="A33" s="3" t="s">
        <v>33</v>
      </c>
    </row>
    <row r="34" spans="1:4">
      <c r="A34" s="7" t="s">
        <v>34</v>
      </c>
      <c r="B34" s="7" t="s">
        <v>35</v>
      </c>
      <c r="C34" s="8" t="s">
        <v>36</v>
      </c>
      <c r="D34" s="8" t="s">
        <v>37</v>
      </c>
    </row>
    <row r="35" spans="1:4">
      <c r="A35" s="6" t="s">
        <v>38</v>
      </c>
      <c r="B35" s="6" t="s">
        <v>39</v>
      </c>
      <c r="C35" s="6" t="s">
        <v>40</v>
      </c>
      <c r="D35" s="10">
        <v>104</v>
      </c>
    </row>
    <row r="36" spans="1:4">
      <c r="A36" s="6" t="s">
        <v>41</v>
      </c>
      <c r="B36" s="6" t="s">
        <v>39</v>
      </c>
      <c r="C36" s="6" t="s">
        <v>42</v>
      </c>
      <c r="D36" s="10">
        <v>52</v>
      </c>
    </row>
    <row r="37" spans="1:4">
      <c r="A37" s="6" t="s">
        <v>43</v>
      </c>
      <c r="B37" s="6" t="s">
        <v>44</v>
      </c>
      <c r="C37" s="6" t="s">
        <v>40</v>
      </c>
      <c r="D37" s="10">
        <v>51.7</v>
      </c>
    </row>
    <row r="38" spans="1:4">
      <c r="A38" s="6" t="s">
        <v>41</v>
      </c>
      <c r="B38" s="6" t="s">
        <v>39</v>
      </c>
      <c r="C38" s="6" t="s">
        <v>42</v>
      </c>
      <c r="D38" s="10">
        <v>48.9</v>
      </c>
    </row>
    <row r="39" spans="1:4">
      <c r="A39" s="6" t="s">
        <v>45</v>
      </c>
      <c r="B39" s="6" t="s">
        <v>39</v>
      </c>
      <c r="C39" s="6" t="s">
        <v>46</v>
      </c>
      <c r="D39" s="10">
        <v>45</v>
      </c>
    </row>
    <row r="40" spans="1:4">
      <c r="A40" s="6" t="s">
        <v>47</v>
      </c>
      <c r="B40" s="6" t="s">
        <v>39</v>
      </c>
      <c r="C40" s="6" t="s">
        <v>40</v>
      </c>
      <c r="D40" s="10">
        <v>40.5</v>
      </c>
    </row>
    <row r="42" spans="1:4">
      <c r="A42" s="3" t="s">
        <v>48</v>
      </c>
    </row>
    <row r="43" spans="1:4">
      <c r="A43" s="7" t="s">
        <v>34</v>
      </c>
      <c r="B43" s="7" t="s">
        <v>35</v>
      </c>
      <c r="C43" s="8" t="s">
        <v>36</v>
      </c>
      <c r="D43" s="8" t="s">
        <v>37</v>
      </c>
    </row>
    <row r="44" spans="1:4">
      <c r="A44" s="6" t="s">
        <v>49</v>
      </c>
      <c r="B44" s="6" t="s">
        <v>39</v>
      </c>
      <c r="C44" s="6" t="s">
        <v>50</v>
      </c>
      <c r="D44" s="10">
        <v>180.7</v>
      </c>
    </row>
    <row r="45" spans="1:4">
      <c r="A45" s="6" t="s">
        <v>51</v>
      </c>
      <c r="B45" s="6" t="s">
        <v>39</v>
      </c>
      <c r="C45" s="6" t="s">
        <v>40</v>
      </c>
      <c r="D45" s="10">
        <v>113.4</v>
      </c>
    </row>
    <row r="46" spans="1:4">
      <c r="A46" s="6" t="s">
        <v>52</v>
      </c>
      <c r="B46" s="6" t="s">
        <v>44</v>
      </c>
      <c r="C46" s="6" t="s">
        <v>46</v>
      </c>
      <c r="D46" s="10">
        <v>58.8</v>
      </c>
    </row>
    <row r="47" spans="1:4">
      <c r="A47" s="6" t="s">
        <v>53</v>
      </c>
      <c r="B47" s="6" t="s">
        <v>39</v>
      </c>
      <c r="C47" s="6" t="s">
        <v>46</v>
      </c>
      <c r="D47" s="10">
        <v>53.3</v>
      </c>
    </row>
    <row r="48" spans="1:4">
      <c r="A48" s="6" t="s">
        <v>54</v>
      </c>
      <c r="B48" s="6" t="s">
        <v>39</v>
      </c>
      <c r="C48" s="6" t="s">
        <v>46</v>
      </c>
      <c r="D48" s="10">
        <v>47.5</v>
      </c>
    </row>
    <row r="49" spans="1:4">
      <c r="A49" s="6" t="s">
        <v>55</v>
      </c>
      <c r="B49" s="6" t="s">
        <v>39</v>
      </c>
      <c r="C49" s="6" t="s">
        <v>46</v>
      </c>
      <c r="D49" s="10">
        <v>34.8</v>
      </c>
    </row>
  </sheetData>
  <mergeCells count="1">
    <mergeCell ref="A31:E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8B8B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56</v>
      </c>
    </row>
    <row r="2" spans="1:13">
      <c r="A2" s="2" t="s">
        <v>57</v>
      </c>
    </row>
    <row r="4" spans="1:13">
      <c r="A4" s="3" t="s">
        <v>58</v>
      </c>
    </row>
    <row r="5" spans="1:13">
      <c r="A5" s="7" t="s">
        <v>59</v>
      </c>
      <c r="B5" s="8" t="s">
        <v>60</v>
      </c>
      <c r="C5" s="8" t="s">
        <v>61</v>
      </c>
      <c r="D5" s="8" t="s">
        <v>62</v>
      </c>
      <c r="E5" s="8" t="s">
        <v>63</v>
      </c>
      <c r="F5" s="8" t="s">
        <v>64</v>
      </c>
      <c r="G5" s="8" t="s">
        <v>65</v>
      </c>
      <c r="H5" s="8" t="s">
        <v>66</v>
      </c>
      <c r="I5" s="8" t="s">
        <v>67</v>
      </c>
      <c r="J5" s="8" t="s">
        <v>68</v>
      </c>
      <c r="K5" s="8" t="s">
        <v>69</v>
      </c>
      <c r="L5" s="8" t="s">
        <v>70</v>
      </c>
      <c r="M5" s="8" t="s">
        <v>71</v>
      </c>
    </row>
    <row r="6" spans="1:13">
      <c r="A6" s="9">
        <v>2023</v>
      </c>
      <c r="B6" s="10">
        <f>SUMIFS(Data!$K:$K,Data!$A:$A,2023,Data!$B:$B,1,Data!$G:$G,"CDU")</f>
        <v>1739.5449999999998</v>
      </c>
      <c r="C6" s="10">
        <f>SUMIFS(Data!$K:$K,Data!$A:$A,2023,Data!$B:$B,2,Data!$G:$G,"CDU")</f>
        <v>2180.255</v>
      </c>
      <c r="D6" s="10">
        <f>SUMIFS(Data!$K:$K,Data!$A:$A,2023,Data!$B:$B,3,Data!$G:$G,"CDU")</f>
        <v>2060.2019999999998</v>
      </c>
      <c r="E6" s="10">
        <f>SUMIFS(Data!$K:$K,Data!$A:$A,2023,Data!$B:$B,4,Data!$G:$G,"CDU")</f>
        <v>1806.215</v>
      </c>
      <c r="F6" s="10">
        <f>SUMIFS(Data!$K:$K,Data!$A:$A,2023,Data!$B:$B,5,Data!$G:$G,"CDU")</f>
        <v>1061.1038</v>
      </c>
      <c r="G6" s="10">
        <f>SUMIFS(Data!$K:$K,Data!$A:$A,2023,Data!$B:$B,6,Data!$G:$G,"CDU")</f>
        <v>794.9545</v>
      </c>
      <c r="H6" s="10">
        <f>SUMIFS(Data!$K:$K,Data!$A:$A,2023,Data!$B:$B,7,Data!$G:$G,"CDU")</f>
        <v>510.65</v>
      </c>
      <c r="I6" s="10">
        <f>SUMIFS(Data!$K:$K,Data!$A:$A,2023,Data!$B:$B,8,Data!$G:$G,"CDU")</f>
        <v>510.13</v>
      </c>
      <c r="J6" s="10">
        <f>SUMIFS(Data!$K:$K,Data!$A:$A,2023,Data!$B:$B,9,Data!$G:$G,"CDU")</f>
        <v>1099.23</v>
      </c>
      <c r="K6" s="10">
        <f>SUMIFS(Data!$K:$K,Data!$A:$A,2023,Data!$B:$B,10,Data!$G:$G,"CDU")</f>
        <v>2033.6085</v>
      </c>
      <c r="L6" s="10">
        <f>SUMIFS(Data!$K:$K,Data!$A:$A,2023,Data!$B:$B,11,Data!$G:$G,"CDU")</f>
        <v>881.0600000000001</v>
      </c>
      <c r="M6" s="10">
        <f>SUMIFS(Data!$K:$K,Data!$A:$A,2023,Data!$B:$B,12,Data!$G:$G,"CDU")</f>
        <v>256.08000000000004</v>
      </c>
    </row>
    <row r="7" spans="1:13">
      <c r="A7" s="9">
        <v>2024</v>
      </c>
      <c r="B7" s="10">
        <f>SUMIFS(Data!$K:$K,Data!$A:$A,2024,Data!$B:$B,1,Data!$G:$G,"CDU")</f>
        <v>1313.892</v>
      </c>
      <c r="C7" s="10">
        <f>SUMIFS(Data!$K:$K,Data!$A:$A,2024,Data!$B:$B,2,Data!$G:$G,"CDU")</f>
        <v>2142.5348</v>
      </c>
      <c r="D7" s="10">
        <f>SUMIFS(Data!$K:$K,Data!$A:$A,2024,Data!$B:$B,3,Data!$G:$G,"CDU")</f>
        <v>1268.1126</v>
      </c>
      <c r="E7" s="10">
        <f>SUMIFS(Data!$K:$K,Data!$A:$A,2024,Data!$B:$B,4,Data!$G:$G,"CDU")</f>
        <v>1440.7505</v>
      </c>
      <c r="F7" s="10">
        <f>SUMIFS(Data!$K:$K,Data!$A:$A,2024,Data!$B:$B,5,Data!$G:$G,"CDU")</f>
        <v>501.391</v>
      </c>
      <c r="G7" s="10">
        <f>SUMIFS(Data!$K:$K,Data!$A:$A,2024,Data!$B:$B,6,Data!$G:$G,"CDU")</f>
        <v>455.03</v>
      </c>
      <c r="H7" s="10">
        <f>SUMIFS(Data!$K:$K,Data!$A:$A,2024,Data!$B:$B,7,Data!$G:$G,"CDU")</f>
        <v>646.8299999999999</v>
      </c>
      <c r="I7" s="10">
        <f>SUMIFS(Data!$K:$K,Data!$A:$A,2024,Data!$B:$B,8,Data!$G:$G,"CDU")</f>
        <v>550.098</v>
      </c>
      <c r="J7" s="10">
        <f>SUMIFS(Data!$K:$K,Data!$A:$A,2024,Data!$B:$B,9,Data!$G:$G,"CDU")</f>
        <v>1090.8784</v>
      </c>
      <c r="K7" s="10">
        <f>SUMIFS(Data!$K:$K,Data!$A:$A,2024,Data!$B:$B,10,Data!$G:$G,"CDU")</f>
        <v>1122.32</v>
      </c>
      <c r="L7" s="10">
        <f>SUMIFS(Data!$K:$K,Data!$A:$A,2024,Data!$B:$B,11,Data!$G:$G,"CDU")</f>
        <v>715.6</v>
      </c>
      <c r="M7" s="10">
        <f>SUMIFS(Data!$K:$K,Data!$A:$A,2024,Data!$B:$B,12,Data!$G:$G,"CDU")</f>
        <v>288.8526</v>
      </c>
    </row>
    <row r="8" spans="1:13">
      <c r="A8" s="9">
        <v>2025</v>
      </c>
      <c r="B8" s="10">
        <f>SUMIFS(Data!$K:$K,Data!$A:$A,2025,Data!$B:$B,1,Data!$G:$G,"CDU")</f>
        <v>1256.145</v>
      </c>
      <c r="C8" s="10">
        <f>SUMIFS(Data!$K:$K,Data!$A:$A,2025,Data!$B:$B,2,Data!$G:$G,"CDU")</f>
        <v>1649.407</v>
      </c>
      <c r="D8" s="10">
        <f>SUMIFS(Data!$K:$K,Data!$A:$A,2025,Data!$B:$B,3,Data!$G:$G,"CDU")</f>
        <v>1632.123</v>
      </c>
      <c r="E8" s="10">
        <f>SUMIFS(Data!$K:$K,Data!$A:$A,2025,Data!$B:$B,4,Data!$G:$G,"CDU")</f>
        <v>1850.1686</v>
      </c>
      <c r="F8" s="10">
        <f>SUMIFS(Data!$K:$K,Data!$A:$A,2025,Data!$B:$B,5,Data!$G:$G,"CDU")</f>
        <v>956.3466</v>
      </c>
      <c r="G8" s="10">
        <f>SUMIFS(Data!$K:$K,Data!$A:$A,2025,Data!$B:$B,6,Data!$G:$G,"CDU")</f>
        <v>488.1771</v>
      </c>
      <c r="H8" s="10">
        <f>SUMIFS(Data!$K:$K,Data!$A:$A,2025,Data!$B:$B,7,Data!$G:$G,"CDU")</f>
        <v>349.903</v>
      </c>
      <c r="I8" s="10">
        <f>SUMIFS(Data!$K:$K,Data!$A:$A,2025,Data!$B:$B,8,Data!$G:$G,"CDU")</f>
        <v>393.86580000000004</v>
      </c>
      <c r="J8" s="10">
        <f>SUMIFS(Data!$K:$K,Data!$A:$A,2025,Data!$B:$B,9,Data!$G:$G,"CDU")</f>
        <v>1152.71</v>
      </c>
      <c r="K8" s="10">
        <f>SUMIFS(Data!$K:$K,Data!$A:$A,2025,Data!$B:$B,10,Data!$G:$G,"CDU")</f>
        <v>1864.885</v>
      </c>
      <c r="L8" s="10">
        <f>SUMIFS(Data!$K:$K,Data!$A:$A,2025,Data!$B:$B,11,Data!$G:$G,"CDU")</f>
        <v>989.6356</v>
      </c>
      <c r="M8" s="10">
        <f>SUMIFS(Data!$K:$K,Data!$A:$A,2025,Data!$B:$B,12,Data!$G:$G,"CDU")</f>
        <v>313.306</v>
      </c>
    </row>
    <row r="9" spans="1:13">
      <c r="A9" s="9">
        <v>2026</v>
      </c>
      <c r="B9" s="10">
        <f>SUMIFS(Data!$K:$K,Data!$A:$A,2026,Data!$B:$B,1,Data!$G:$G,"CDU")</f>
        <v>531.3</v>
      </c>
      <c r="C9" s="10">
        <f>SUMIFS(Data!$K:$K,Data!$A:$A,2026,Data!$B:$B,2,Data!$G:$G,"CDU")</f>
        <v>1246.845</v>
      </c>
      <c r="D9" s="10">
        <f>SUMIFS(Data!$K:$K,Data!$A:$A,2026,Data!$B:$B,3,Data!$G:$G,"CDU")</f>
        <v>968.521</v>
      </c>
      <c r="E9" s="10">
        <f>SUMIFS(Data!$K:$K,Data!$A:$A,2026,Data!$B:$B,4,Data!$G:$G,"CDU")</f>
        <v>1411.605</v>
      </c>
      <c r="F9" s="10">
        <f>SUMIFS(Data!$K:$K,Data!$A:$A,2026,Data!$B:$B,5,Data!$G:$G,"CDU")</f>
        <v>841.202</v>
      </c>
      <c r="G9" s="10">
        <f>SUMIFS(Data!$K:$K,Data!$A:$A,2026,Data!$B:$B,6,Data!$G:$G,"CDU")</f>
        <v>435.03</v>
      </c>
      <c r="H9" s="10">
        <f>SUMIFS(Data!$K:$K,Data!$A:$A,2026,Data!$B:$B,7,Data!$G:$G,"CDU")</f>
        <v>378.602</v>
      </c>
      <c r="I9" s="10">
        <f>SUMIFS(Data!$K:$K,Data!$A:$A,2026,Data!$B:$B,8,Data!$G:$G,"CDU")</f>
        <v>126.0</v>
      </c>
      <c r="J9" s="10">
        <f>SUMIFS(Data!$K:$K,Data!$A:$A,2026,Data!$B:$B,9,Data!$G:$G,"CDU")</f>
        <v>448.14</v>
      </c>
      <c r="K9" s="10">
        <f>SUMIFS(Data!$K:$K,Data!$A:$A,2026,Data!$B:$B,10,Data!$G:$G,"CDU")</f>
        <v>661.633</v>
      </c>
      <c r="L9" s="10">
        <f>SUMIFS(Data!$K:$K,Data!$A:$A,2026,Data!$B:$B,11,Data!$G:$G,"CDU")</f>
        <v>214.3</v>
      </c>
      <c r="M9" s="10">
        <f>SUMIFS(Data!$K:$K,Data!$A:$A,2026,Data!$B:$B,12,Data!$G:$G,"CDU")</f>
        <v>0.0</v>
      </c>
    </row>
    <row r="10" spans="1:13">
      <c r="A10" s="9">
        <v>2027</v>
      </c>
      <c r="B10" s="10">
        <f>SUMIFS(Data!$K:$K,Data!$A:$A,2027,Data!$B:$B,1,Data!$G:$G,"CDU")</f>
        <v>365.125</v>
      </c>
      <c r="C10" s="10">
        <f>SUMIFS(Data!$K:$K,Data!$A:$A,2027,Data!$B:$B,2,Data!$G:$G,"CDU")</f>
        <v>683.258</v>
      </c>
      <c r="D10" s="10">
        <f>SUMIFS(Data!$K:$K,Data!$A:$A,2027,Data!$B:$B,3,Data!$G:$G,"CDU")</f>
        <v>1062.14</v>
      </c>
      <c r="E10" s="10">
        <f>SUMIFS(Data!$K:$K,Data!$A:$A,2027,Data!$B:$B,4,Data!$G:$G,"CDU")</f>
        <v>663.255</v>
      </c>
      <c r="F10" s="10">
        <f>SUMIFS(Data!$K:$K,Data!$A:$A,2027,Data!$B:$B,5,Data!$G:$G,"CDU")</f>
        <v>320.192</v>
      </c>
      <c r="G10" s="10">
        <f>SUMIFS(Data!$K:$K,Data!$A:$A,2027,Data!$B:$B,6,Data!$G:$G,"CDU")</f>
        <v>96.0</v>
      </c>
      <c r="H10" s="10">
        <f>SUMIFS(Data!$K:$K,Data!$A:$A,2027,Data!$B:$B,7,Data!$G:$G,"CDU")</f>
        <v>96.0</v>
      </c>
      <c r="I10" s="10">
        <f>SUMIFS(Data!$K:$K,Data!$A:$A,2027,Data!$B:$B,8,Data!$G:$G,"CDU")</f>
        <v>27.84</v>
      </c>
      <c r="J10" s="10">
        <f>SUMIFS(Data!$K:$K,Data!$A:$A,2027,Data!$B:$B,9,Data!$G:$G,"CDU")</f>
        <v>976.735</v>
      </c>
      <c r="K10" s="10">
        <f>SUMIFS(Data!$K:$K,Data!$A:$A,2027,Data!$B:$B,10,Data!$G:$G,"CDU")</f>
        <v>1307.315</v>
      </c>
      <c r="L10" s="10">
        <f>SUMIFS(Data!$K:$K,Data!$A:$A,2027,Data!$B:$B,11,Data!$G:$G,"CDU")</f>
        <v>283.90000000000003</v>
      </c>
      <c r="M10" s="10">
        <f>SUMIFS(Data!$K:$K,Data!$A:$A,2027,Data!$B:$B,12,Data!$G:$G,"CDU")</f>
        <v>0.0</v>
      </c>
    </row>
    <row r="13" spans="1:13">
      <c r="A13" s="3" t="s">
        <v>72</v>
      </c>
    </row>
    <row r="14" spans="1:13">
      <c r="A14" s="7" t="s">
        <v>59</v>
      </c>
      <c r="B14" s="8" t="s">
        <v>60</v>
      </c>
      <c r="C14" s="8" t="s">
        <v>61</v>
      </c>
      <c r="D14" s="8" t="s">
        <v>62</v>
      </c>
      <c r="E14" s="8" t="s">
        <v>63</v>
      </c>
      <c r="F14" s="8" t="s">
        <v>64</v>
      </c>
      <c r="G14" s="8" t="s">
        <v>65</v>
      </c>
      <c r="H14" s="8" t="s">
        <v>66</v>
      </c>
      <c r="I14" s="8" t="s">
        <v>67</v>
      </c>
      <c r="J14" s="8" t="s">
        <v>68</v>
      </c>
      <c r="K14" s="8" t="s">
        <v>69</v>
      </c>
      <c r="L14" s="8" t="s">
        <v>70</v>
      </c>
      <c r="M14" s="8" t="s">
        <v>71</v>
      </c>
    </row>
    <row r="15" spans="1:13">
      <c r="A15" s="9">
        <v>2023</v>
      </c>
      <c r="B15" s="10">
        <f>SUMIFS(Data!$K:$K,Data!$A:$A,2023,Data!$B:$B,1,Data!$G:$G,"FCC")</f>
        <v>810.943</v>
      </c>
      <c r="C15" s="10">
        <f>SUMIFS(Data!$K:$K,Data!$A:$A,2023,Data!$B:$B,2,Data!$G:$G,"FCC")</f>
        <v>1025.05</v>
      </c>
      <c r="D15" s="10">
        <f>SUMIFS(Data!$K:$K,Data!$A:$A,2023,Data!$B:$B,3,Data!$G:$G,"FCC")</f>
        <v>880.265</v>
      </c>
      <c r="E15" s="10">
        <f>SUMIFS(Data!$K:$K,Data!$A:$A,2023,Data!$B:$B,4,Data!$G:$G,"FCC")</f>
        <v>615.626</v>
      </c>
      <c r="F15" s="10">
        <f>SUMIFS(Data!$K:$K,Data!$A:$A,2023,Data!$B:$B,5,Data!$G:$G,"FCC")</f>
        <v>530.395</v>
      </c>
      <c r="G15" s="10">
        <f>SUMIFS(Data!$K:$K,Data!$A:$A,2023,Data!$B:$B,6,Data!$G:$G,"FCC")</f>
        <v>406.9475</v>
      </c>
      <c r="H15" s="10">
        <f>SUMIFS(Data!$K:$K,Data!$A:$A,2023,Data!$B:$B,7,Data!$G:$G,"FCC")</f>
        <v>232.66</v>
      </c>
      <c r="I15" s="10">
        <f>SUMIFS(Data!$K:$K,Data!$A:$A,2023,Data!$B:$B,8,Data!$G:$G,"FCC")</f>
        <v>161.055</v>
      </c>
      <c r="J15" s="10">
        <f>SUMIFS(Data!$K:$K,Data!$A:$A,2023,Data!$B:$B,9,Data!$G:$G,"FCC")</f>
        <v>407.94</v>
      </c>
      <c r="K15" s="10">
        <f>SUMIFS(Data!$K:$K,Data!$A:$A,2023,Data!$B:$B,10,Data!$G:$G,"FCC")</f>
        <v>590.53</v>
      </c>
      <c r="L15" s="10">
        <f>SUMIFS(Data!$K:$K,Data!$A:$A,2023,Data!$B:$B,11,Data!$G:$G,"FCC")</f>
        <v>347.605</v>
      </c>
      <c r="M15" s="10">
        <f>SUMIFS(Data!$K:$K,Data!$A:$A,2023,Data!$B:$B,12,Data!$G:$G,"FCC")</f>
        <v>152.404</v>
      </c>
    </row>
    <row r="16" spans="1:13">
      <c r="A16" s="9">
        <v>2024</v>
      </c>
      <c r="B16" s="10">
        <f>SUMIFS(Data!$K:$K,Data!$A:$A,2024,Data!$B:$B,1,Data!$G:$G,"FCC")</f>
        <v>313.199</v>
      </c>
      <c r="C16" s="10">
        <f>SUMIFS(Data!$K:$K,Data!$A:$A,2024,Data!$B:$B,2,Data!$G:$G,"FCC")</f>
        <v>1054.9718</v>
      </c>
      <c r="D16" s="10">
        <f>SUMIFS(Data!$K:$K,Data!$A:$A,2024,Data!$B:$B,3,Data!$G:$G,"FCC")</f>
        <v>579.138</v>
      </c>
      <c r="E16" s="10">
        <f>SUMIFS(Data!$K:$K,Data!$A:$A,2024,Data!$B:$B,4,Data!$G:$G,"FCC")</f>
        <v>489.937</v>
      </c>
      <c r="F16" s="10">
        <f>SUMIFS(Data!$K:$K,Data!$A:$A,2024,Data!$B:$B,5,Data!$G:$G,"FCC")</f>
        <v>277.135</v>
      </c>
      <c r="G16" s="10">
        <f>SUMIFS(Data!$K:$K,Data!$A:$A,2024,Data!$B:$B,6,Data!$G:$G,"FCC")</f>
        <v>334.165</v>
      </c>
      <c r="H16" s="10">
        <f>SUMIFS(Data!$K:$K,Data!$A:$A,2024,Data!$B:$B,7,Data!$G:$G,"FCC")</f>
        <v>356.206</v>
      </c>
      <c r="I16" s="10">
        <f>SUMIFS(Data!$K:$K,Data!$A:$A,2024,Data!$B:$B,8,Data!$G:$G,"FCC")</f>
        <v>309.4394</v>
      </c>
      <c r="J16" s="10">
        <f>SUMIFS(Data!$K:$K,Data!$A:$A,2024,Data!$B:$B,9,Data!$G:$G,"FCC")</f>
        <v>652.189</v>
      </c>
      <c r="K16" s="10">
        <f>SUMIFS(Data!$K:$K,Data!$A:$A,2024,Data!$B:$B,10,Data!$G:$G,"FCC")</f>
        <v>453.501</v>
      </c>
      <c r="L16" s="10">
        <f>SUMIFS(Data!$K:$K,Data!$A:$A,2024,Data!$B:$B,11,Data!$G:$G,"FCC")</f>
        <v>153.011</v>
      </c>
      <c r="M16" s="10">
        <f>SUMIFS(Data!$K:$K,Data!$A:$A,2024,Data!$B:$B,12,Data!$G:$G,"FCC")</f>
        <v>59.754</v>
      </c>
    </row>
    <row r="17" spans="1:13">
      <c r="A17" s="9">
        <v>2025</v>
      </c>
      <c r="B17" s="10">
        <f>SUMIFS(Data!$K:$K,Data!$A:$A,2025,Data!$B:$B,1,Data!$G:$G,"FCC")</f>
        <v>297.316</v>
      </c>
      <c r="C17" s="10">
        <f>SUMIFS(Data!$K:$K,Data!$A:$A,2025,Data!$B:$B,2,Data!$G:$G,"FCC")</f>
        <v>403.831</v>
      </c>
      <c r="D17" s="10">
        <f>SUMIFS(Data!$K:$K,Data!$A:$A,2025,Data!$B:$B,3,Data!$G:$G,"FCC")</f>
        <v>472.933</v>
      </c>
      <c r="E17" s="10">
        <f>SUMIFS(Data!$K:$K,Data!$A:$A,2025,Data!$B:$B,4,Data!$G:$G,"FCC")</f>
        <v>576.225</v>
      </c>
      <c r="F17" s="10">
        <f>SUMIFS(Data!$K:$K,Data!$A:$A,2025,Data!$B:$B,5,Data!$G:$G,"FCC")</f>
        <v>393.455</v>
      </c>
      <c r="G17" s="10">
        <f>SUMIFS(Data!$K:$K,Data!$A:$A,2025,Data!$B:$B,6,Data!$G:$G,"FCC")</f>
        <v>215.541</v>
      </c>
      <c r="H17" s="10">
        <f>SUMIFS(Data!$K:$K,Data!$A:$A,2025,Data!$B:$B,7,Data!$G:$G,"FCC")</f>
        <v>183.557</v>
      </c>
      <c r="I17" s="10">
        <f>SUMIFS(Data!$K:$K,Data!$A:$A,2025,Data!$B:$B,8,Data!$G:$G,"FCC")</f>
        <v>235.215</v>
      </c>
      <c r="J17" s="10">
        <f>SUMIFS(Data!$K:$K,Data!$A:$A,2025,Data!$B:$B,9,Data!$G:$G,"FCC")</f>
        <v>364.325</v>
      </c>
      <c r="K17" s="10">
        <f>SUMIFS(Data!$K:$K,Data!$A:$A,2025,Data!$B:$B,10,Data!$G:$G,"FCC")</f>
        <v>702.5715</v>
      </c>
      <c r="L17" s="10">
        <f>SUMIFS(Data!$K:$K,Data!$A:$A,2025,Data!$B:$B,11,Data!$G:$G,"FCC")</f>
        <v>409.0129</v>
      </c>
      <c r="M17" s="10">
        <f>SUMIFS(Data!$K:$K,Data!$A:$A,2025,Data!$B:$B,12,Data!$G:$G,"FCC")</f>
        <v>75.961</v>
      </c>
    </row>
    <row r="18" spans="1:13">
      <c r="A18" s="9">
        <v>2026</v>
      </c>
      <c r="B18" s="10">
        <f>SUMIFS(Data!$K:$K,Data!$A:$A,2026,Data!$B:$B,1,Data!$G:$G,"FCC")</f>
        <v>299.98</v>
      </c>
      <c r="C18" s="10">
        <f>SUMIFS(Data!$K:$K,Data!$A:$A,2026,Data!$B:$B,2,Data!$G:$G,"FCC")</f>
        <v>559.7625</v>
      </c>
      <c r="D18" s="10">
        <f>SUMIFS(Data!$K:$K,Data!$A:$A,2026,Data!$B:$B,3,Data!$G:$G,"FCC")</f>
        <v>331.375</v>
      </c>
      <c r="E18" s="10">
        <f>SUMIFS(Data!$K:$K,Data!$A:$A,2026,Data!$B:$B,4,Data!$G:$G,"FCC")</f>
        <v>558.008</v>
      </c>
      <c r="F18" s="10">
        <f>SUMIFS(Data!$K:$K,Data!$A:$A,2026,Data!$B:$B,5,Data!$G:$G,"FCC")</f>
        <v>360.0815</v>
      </c>
      <c r="G18" s="10">
        <f>SUMIFS(Data!$K:$K,Data!$A:$A,2026,Data!$B:$B,6,Data!$G:$G,"FCC")</f>
        <v>147.405</v>
      </c>
      <c r="H18" s="10">
        <f>SUMIFS(Data!$K:$K,Data!$A:$A,2026,Data!$B:$B,7,Data!$G:$G,"FCC")</f>
        <v>69.8</v>
      </c>
      <c r="I18" s="10">
        <f>SUMIFS(Data!$K:$K,Data!$A:$A,2026,Data!$B:$B,8,Data!$G:$G,"FCC")</f>
        <v>30.6</v>
      </c>
      <c r="J18" s="10">
        <f>SUMIFS(Data!$K:$K,Data!$A:$A,2026,Data!$B:$B,9,Data!$G:$G,"FCC")</f>
        <v>68.93</v>
      </c>
      <c r="K18" s="10">
        <f>SUMIFS(Data!$K:$K,Data!$A:$A,2026,Data!$B:$B,10,Data!$G:$G,"FCC")</f>
        <v>189.01</v>
      </c>
      <c r="L18" s="10">
        <f>SUMIFS(Data!$K:$K,Data!$A:$A,2026,Data!$B:$B,11,Data!$G:$G,"FCC")</f>
        <v>127.225</v>
      </c>
      <c r="M18" s="10">
        <f>SUMIFS(Data!$K:$K,Data!$A:$A,2026,Data!$B:$B,12,Data!$G:$G,"FCC")</f>
        <v>4.8</v>
      </c>
    </row>
    <row r="19" spans="1:13">
      <c r="A19" s="9">
        <v>2027</v>
      </c>
      <c r="B19" s="10">
        <f>SUMIFS(Data!$K:$K,Data!$A:$A,2027,Data!$B:$B,1,Data!$G:$G,"FCC")</f>
        <v>250.98000000000002</v>
      </c>
      <c r="C19" s="10">
        <f>SUMIFS(Data!$K:$K,Data!$A:$A,2027,Data!$B:$B,2,Data!$G:$G,"FCC")</f>
        <v>450.5215</v>
      </c>
      <c r="D19" s="10">
        <f>SUMIFS(Data!$K:$K,Data!$A:$A,2027,Data!$B:$B,3,Data!$G:$G,"FCC")</f>
        <v>447.892</v>
      </c>
      <c r="E19" s="10">
        <f>SUMIFS(Data!$K:$K,Data!$A:$A,2027,Data!$B:$B,4,Data!$G:$G,"FCC")</f>
        <v>150.455</v>
      </c>
      <c r="F19" s="10">
        <f>SUMIFS(Data!$K:$K,Data!$A:$A,2027,Data!$B:$B,5,Data!$G:$G,"FCC")</f>
        <v>23.3</v>
      </c>
      <c r="G19" s="10">
        <f>SUMIFS(Data!$K:$K,Data!$A:$A,2027,Data!$B:$B,6,Data!$G:$G,"FCC")</f>
        <v>68.255</v>
      </c>
      <c r="H19" s="10">
        <f>SUMIFS(Data!$K:$K,Data!$A:$A,2027,Data!$B:$B,7,Data!$G:$G,"FCC")</f>
        <v>68.0</v>
      </c>
      <c r="I19" s="10">
        <f>SUMIFS(Data!$K:$K,Data!$A:$A,2027,Data!$B:$B,8,Data!$G:$G,"FCC")</f>
        <v>19.72</v>
      </c>
      <c r="J19" s="10">
        <f>SUMIFS(Data!$K:$K,Data!$A:$A,2027,Data!$B:$B,9,Data!$G:$G,"FCC")</f>
        <v>176.274</v>
      </c>
      <c r="K19" s="10">
        <f>SUMIFS(Data!$K:$K,Data!$A:$A,2027,Data!$B:$B,10,Data!$G:$G,"FCC")</f>
        <v>189.624</v>
      </c>
      <c r="L19" s="10">
        <f>SUMIFS(Data!$K:$K,Data!$A:$A,2027,Data!$B:$B,11,Data!$G:$G,"FCC")</f>
        <v>54.870000000000005</v>
      </c>
      <c r="M19" s="10">
        <f>SUMIFS(Data!$K:$K,Data!$A:$A,2027,Data!$B:$B,12,Data!$G:$G,"FCC")</f>
        <v>0.0</v>
      </c>
    </row>
    <row r="22" spans="1:13">
      <c r="A22" s="3" t="s">
        <v>14</v>
      </c>
    </row>
    <row r="23" spans="1:13">
      <c r="A23" s="7" t="s">
        <v>59</v>
      </c>
      <c r="B23" s="8" t="s">
        <v>60</v>
      </c>
      <c r="C23" s="8" t="s">
        <v>61</v>
      </c>
      <c r="D23" s="8" t="s">
        <v>62</v>
      </c>
      <c r="E23" s="8" t="s">
        <v>63</v>
      </c>
      <c r="F23" s="8" t="s">
        <v>64</v>
      </c>
      <c r="G23" s="8" t="s">
        <v>65</v>
      </c>
      <c r="H23" s="8" t="s">
        <v>66</v>
      </c>
      <c r="I23" s="8" t="s">
        <v>67</v>
      </c>
      <c r="J23" s="8" t="s">
        <v>68</v>
      </c>
      <c r="K23" s="8" t="s">
        <v>69</v>
      </c>
      <c r="L23" s="8" t="s">
        <v>70</v>
      </c>
      <c r="M23" s="8" t="s">
        <v>71</v>
      </c>
    </row>
    <row r="24" spans="1:13">
      <c r="A24" s="9">
        <v>2023</v>
      </c>
      <c r="B24" s="10">
        <f>SUMIFS(Data!$K:$K,Data!$A:$A,2023,Data!$B:$B,1,Data!$G:$G,"Hydrocracker")</f>
        <v>281.7</v>
      </c>
      <c r="C24" s="10">
        <f>SUMIFS(Data!$K:$K,Data!$A:$A,2023,Data!$B:$B,2,Data!$G:$G,"Hydrocracker")</f>
        <v>420.495</v>
      </c>
      <c r="D24" s="10">
        <f>SUMIFS(Data!$K:$K,Data!$A:$A,2023,Data!$B:$B,3,Data!$G:$G,"Hydrocracker")</f>
        <v>492.64300000000003</v>
      </c>
      <c r="E24" s="10">
        <f>SUMIFS(Data!$K:$K,Data!$A:$A,2023,Data!$B:$B,4,Data!$G:$G,"Hydrocracker")</f>
        <v>424.371</v>
      </c>
      <c r="F24" s="10">
        <f>SUMIFS(Data!$K:$K,Data!$A:$A,2023,Data!$B:$B,5,Data!$G:$G,"Hydrocracker")</f>
        <v>158.444</v>
      </c>
      <c r="G24" s="10">
        <f>SUMIFS(Data!$K:$K,Data!$A:$A,2023,Data!$B:$B,6,Data!$G:$G,"Hydrocracker")</f>
        <v>11.7462</v>
      </c>
      <c r="H24" s="10">
        <f>SUMIFS(Data!$K:$K,Data!$A:$A,2023,Data!$B:$B,7,Data!$G:$G,"Hydrocracker")</f>
        <v>40.6884</v>
      </c>
      <c r="I24" s="10">
        <f>SUMIFS(Data!$K:$K,Data!$A:$A,2023,Data!$B:$B,8,Data!$G:$G,"Hydrocracker")</f>
        <v>64.31299999999999</v>
      </c>
      <c r="J24" s="10">
        <f>SUMIFS(Data!$K:$K,Data!$A:$A,2023,Data!$B:$B,9,Data!$G:$G,"Hydrocracker")</f>
        <v>85.565</v>
      </c>
      <c r="K24" s="10">
        <f>SUMIFS(Data!$K:$K,Data!$A:$A,2023,Data!$B:$B,10,Data!$G:$G,"Hydrocracker")</f>
        <v>169.43</v>
      </c>
      <c r="L24" s="10">
        <f>SUMIFS(Data!$K:$K,Data!$A:$A,2023,Data!$B:$B,11,Data!$G:$G,"Hydrocracker")</f>
        <v>66.22</v>
      </c>
      <c r="M24" s="10">
        <f>SUMIFS(Data!$K:$K,Data!$A:$A,2023,Data!$B:$B,12,Data!$G:$G,"Hydrocracker")</f>
        <v>60.28</v>
      </c>
    </row>
    <row r="25" spans="1:13">
      <c r="A25" s="9">
        <v>2024</v>
      </c>
      <c r="B25" s="10">
        <f>SUMIFS(Data!$K:$K,Data!$A:$A,2024,Data!$B:$B,1,Data!$G:$G,"Hydrocracker")</f>
        <v>248.172</v>
      </c>
      <c r="C25" s="10">
        <f>SUMIFS(Data!$K:$K,Data!$A:$A,2024,Data!$B:$B,2,Data!$G:$G,"Hydrocracker")</f>
        <v>429.613</v>
      </c>
      <c r="D25" s="10">
        <f>SUMIFS(Data!$K:$K,Data!$A:$A,2024,Data!$B:$B,3,Data!$G:$G,"Hydrocracker")</f>
        <v>305.265</v>
      </c>
      <c r="E25" s="10">
        <f>SUMIFS(Data!$K:$K,Data!$A:$A,2024,Data!$B:$B,4,Data!$G:$G,"Hydrocracker")</f>
        <v>142.443</v>
      </c>
      <c r="F25" s="10">
        <f>SUMIFS(Data!$K:$K,Data!$A:$A,2024,Data!$B:$B,5,Data!$G:$G,"Hydrocracker")</f>
        <v>153.69</v>
      </c>
      <c r="G25" s="10">
        <f>SUMIFS(Data!$K:$K,Data!$A:$A,2024,Data!$B:$B,6,Data!$G:$G,"Hydrocracker")</f>
        <v>81.81</v>
      </c>
      <c r="H25" s="10">
        <f>SUMIFS(Data!$K:$K,Data!$A:$A,2024,Data!$B:$B,7,Data!$G:$G,"Hydrocracker")</f>
        <v>44.115</v>
      </c>
      <c r="I25" s="10">
        <f>SUMIFS(Data!$K:$K,Data!$A:$A,2024,Data!$B:$B,8,Data!$G:$G,"Hydrocracker")</f>
        <v>39.24</v>
      </c>
      <c r="J25" s="10">
        <f>SUMIFS(Data!$K:$K,Data!$A:$A,2024,Data!$B:$B,9,Data!$G:$G,"Hydrocracker")</f>
        <v>212.99</v>
      </c>
      <c r="K25" s="10">
        <f>SUMIFS(Data!$K:$K,Data!$A:$A,2024,Data!$B:$B,10,Data!$G:$G,"Hydrocracker")</f>
        <v>245.07999999999998</v>
      </c>
      <c r="L25" s="10">
        <f>SUMIFS(Data!$K:$K,Data!$A:$A,2024,Data!$B:$B,11,Data!$G:$G,"Hydrocracker")</f>
        <v>91.11</v>
      </c>
      <c r="M25" s="10">
        <f>SUMIFS(Data!$K:$K,Data!$A:$A,2024,Data!$B:$B,12,Data!$G:$G,"Hydrocracker")</f>
        <v>64.27</v>
      </c>
    </row>
    <row r="26" spans="1:13">
      <c r="A26" s="9">
        <v>2025</v>
      </c>
      <c r="B26" s="10">
        <f>SUMIFS(Data!$K:$K,Data!$A:$A,2025,Data!$B:$B,1,Data!$G:$G,"Hydrocracker")</f>
        <v>158.245</v>
      </c>
      <c r="C26" s="10">
        <f>SUMIFS(Data!$K:$K,Data!$A:$A,2025,Data!$B:$B,2,Data!$G:$G,"Hydrocracker")</f>
        <v>255.94</v>
      </c>
      <c r="D26" s="10">
        <f>SUMIFS(Data!$K:$K,Data!$A:$A,2025,Data!$B:$B,3,Data!$G:$G,"Hydrocracker")</f>
        <v>219.599</v>
      </c>
      <c r="E26" s="10">
        <f>SUMIFS(Data!$K:$K,Data!$A:$A,2025,Data!$B:$B,4,Data!$G:$G,"Hydrocracker")</f>
        <v>244.39000000000001</v>
      </c>
      <c r="F26" s="10">
        <f>SUMIFS(Data!$K:$K,Data!$A:$A,2025,Data!$B:$B,5,Data!$G:$G,"Hydrocracker")</f>
        <v>128.7</v>
      </c>
      <c r="G26" s="10">
        <f>SUMIFS(Data!$K:$K,Data!$A:$A,2025,Data!$B:$B,6,Data!$G:$G,"Hydrocracker")</f>
        <v>149.126</v>
      </c>
      <c r="H26" s="10">
        <f>SUMIFS(Data!$K:$K,Data!$A:$A,2025,Data!$B:$B,7,Data!$G:$G,"Hydrocracker")</f>
        <v>155.39499999999998</v>
      </c>
      <c r="I26" s="10">
        <f>SUMIFS(Data!$K:$K,Data!$A:$A,2025,Data!$B:$B,8,Data!$G:$G,"Hydrocracker")</f>
        <v>201.5</v>
      </c>
      <c r="J26" s="10">
        <f>SUMIFS(Data!$K:$K,Data!$A:$A,2025,Data!$B:$B,9,Data!$G:$G,"Hydrocracker")</f>
        <v>144.05</v>
      </c>
      <c r="K26" s="10">
        <f>SUMIFS(Data!$K:$K,Data!$A:$A,2025,Data!$B:$B,10,Data!$G:$G,"Hydrocracker")</f>
        <v>242.68</v>
      </c>
      <c r="L26" s="10">
        <f>SUMIFS(Data!$K:$K,Data!$A:$A,2025,Data!$B:$B,11,Data!$G:$G,"Hydrocracker")</f>
        <v>146.955</v>
      </c>
      <c r="M26" s="10">
        <f>SUMIFS(Data!$K:$K,Data!$A:$A,2025,Data!$B:$B,12,Data!$G:$G,"Hydrocracker")</f>
        <v>84.29</v>
      </c>
    </row>
    <row r="27" spans="1:13">
      <c r="A27" s="9">
        <v>2026</v>
      </c>
      <c r="B27" s="10">
        <f>SUMIFS(Data!$K:$K,Data!$A:$A,2026,Data!$B:$B,1,Data!$G:$G,"Hydrocracker")</f>
        <v>50.92</v>
      </c>
      <c r="C27" s="10">
        <f>SUMIFS(Data!$K:$K,Data!$A:$A,2026,Data!$B:$B,2,Data!$G:$G,"Hydrocracker")</f>
        <v>68.32</v>
      </c>
      <c r="D27" s="10">
        <f>SUMIFS(Data!$K:$K,Data!$A:$A,2026,Data!$B:$B,3,Data!$G:$G,"Hydrocracker")</f>
        <v>145.776</v>
      </c>
      <c r="E27" s="10">
        <f>SUMIFS(Data!$K:$K,Data!$A:$A,2026,Data!$B:$B,4,Data!$G:$G,"Hydrocracker")</f>
        <v>172.765</v>
      </c>
      <c r="F27" s="10">
        <f>SUMIFS(Data!$K:$K,Data!$A:$A,2026,Data!$B:$B,5,Data!$G:$G,"Hydrocracker")</f>
        <v>92.77</v>
      </c>
      <c r="G27" s="10">
        <f>SUMIFS(Data!$K:$K,Data!$A:$A,2026,Data!$B:$B,6,Data!$G:$G,"Hydrocracker")</f>
        <v>21.38</v>
      </c>
      <c r="H27" s="10">
        <f>SUMIFS(Data!$K:$K,Data!$A:$A,2026,Data!$B:$B,7,Data!$G:$G,"Hydrocracker")</f>
        <v>30.240000000000002</v>
      </c>
      <c r="I27" s="10">
        <f>SUMIFS(Data!$K:$K,Data!$A:$A,2026,Data!$B:$B,8,Data!$G:$G,"Hydrocracker")</f>
        <v>69.66</v>
      </c>
      <c r="J27" s="10">
        <f>SUMIFS(Data!$K:$K,Data!$A:$A,2026,Data!$B:$B,9,Data!$G:$G,"Hydrocracker")</f>
        <v>149.15</v>
      </c>
      <c r="K27" s="10">
        <f>SUMIFS(Data!$K:$K,Data!$A:$A,2026,Data!$B:$B,10,Data!$G:$G,"Hydrocracker")</f>
        <v>73.97999999999999</v>
      </c>
      <c r="L27" s="10">
        <f>SUMIFS(Data!$K:$K,Data!$A:$A,2026,Data!$B:$B,11,Data!$G:$G,"Hydrocracker")</f>
        <v>17.296</v>
      </c>
      <c r="M27" s="10">
        <f>SUMIFS(Data!$K:$K,Data!$A:$A,2026,Data!$B:$B,12,Data!$G:$G,"Hydrocracker")</f>
        <v>0.0</v>
      </c>
    </row>
    <row r="28" spans="1:13">
      <c r="A28" s="9">
        <v>2027</v>
      </c>
      <c r="B28" s="10">
        <f>SUMIFS(Data!$K:$K,Data!$A:$A,2027,Data!$B:$B,1,Data!$G:$G,"Hydrocracker")</f>
        <v>121.41</v>
      </c>
      <c r="C28" s="10">
        <f>SUMIFS(Data!$K:$K,Data!$A:$A,2027,Data!$B:$B,2,Data!$G:$G,"Hydrocracker")</f>
        <v>141.67000000000002</v>
      </c>
      <c r="D28" s="10">
        <f>SUMIFS(Data!$K:$K,Data!$A:$A,2027,Data!$B:$B,3,Data!$G:$G,"Hydrocracker")</f>
        <v>75.53</v>
      </c>
      <c r="E28" s="10">
        <f>SUMIFS(Data!$K:$K,Data!$A:$A,2027,Data!$B:$B,4,Data!$G:$G,"Hydrocracker")</f>
        <v>39.15</v>
      </c>
      <c r="F28" s="10">
        <f>SUMIFS(Data!$K:$K,Data!$A:$A,2027,Data!$B:$B,5,Data!$G:$G,"Hydrocracker")</f>
        <v>0.0</v>
      </c>
      <c r="G28" s="10">
        <f>SUMIFS(Data!$K:$K,Data!$A:$A,2027,Data!$B:$B,6,Data!$G:$G,"Hydrocracker")</f>
        <v>0.0</v>
      </c>
      <c r="H28" s="10">
        <f>SUMIFS(Data!$K:$K,Data!$A:$A,2027,Data!$B:$B,7,Data!$G:$G,"Hydrocracker")</f>
        <v>0.0</v>
      </c>
      <c r="I28" s="10">
        <f>SUMIFS(Data!$K:$K,Data!$A:$A,2027,Data!$B:$B,8,Data!$G:$G,"Hydrocracker")</f>
        <v>0.0</v>
      </c>
      <c r="J28" s="10">
        <f>SUMIFS(Data!$K:$K,Data!$A:$A,2027,Data!$B:$B,9,Data!$G:$G,"Hydrocracker")</f>
        <v>104.88</v>
      </c>
      <c r="K28" s="10">
        <f>SUMIFS(Data!$K:$K,Data!$A:$A,2027,Data!$B:$B,10,Data!$G:$G,"Hydrocracker")</f>
        <v>63.940000000000005</v>
      </c>
      <c r="L28" s="10">
        <f>SUMIFS(Data!$K:$K,Data!$A:$A,2027,Data!$B:$B,11,Data!$G:$G,"Hydrocracker")</f>
        <v>17.653</v>
      </c>
      <c r="M28" s="10">
        <f>SUMIFS(Data!$K:$K,Data!$A:$A,2027,Data!$B:$B,12,Data!$G:$G,"Hydrocracker")</f>
        <v>0.0</v>
      </c>
    </row>
    <row r="31" spans="1:13">
      <c r="A31" s="3" t="s">
        <v>15</v>
      </c>
    </row>
    <row r="32" spans="1:13">
      <c r="A32" s="7" t="s">
        <v>59</v>
      </c>
      <c r="B32" s="8" t="s">
        <v>60</v>
      </c>
      <c r="C32" s="8" t="s">
        <v>61</v>
      </c>
      <c r="D32" s="8" t="s">
        <v>62</v>
      </c>
      <c r="E32" s="8" t="s">
        <v>63</v>
      </c>
      <c r="F32" s="8" t="s">
        <v>64</v>
      </c>
      <c r="G32" s="8" t="s">
        <v>65</v>
      </c>
      <c r="H32" s="8" t="s">
        <v>66</v>
      </c>
      <c r="I32" s="8" t="s">
        <v>67</v>
      </c>
      <c r="J32" s="8" t="s">
        <v>68</v>
      </c>
      <c r="K32" s="8" t="s">
        <v>69</v>
      </c>
      <c r="L32" s="8" t="s">
        <v>70</v>
      </c>
      <c r="M32" s="8" t="s">
        <v>71</v>
      </c>
    </row>
    <row r="33" spans="1:13">
      <c r="A33" s="9">
        <v>2023</v>
      </c>
      <c r="B33" s="10">
        <f>SUMIFS(Data!$K:$K,Data!$A:$A,2023,Data!$B:$B,1,Data!$G:$G,"Reformer")</f>
        <v>432.859</v>
      </c>
      <c r="C33" s="10">
        <f>SUMIFS(Data!$K:$K,Data!$A:$A,2023,Data!$B:$B,2,Data!$G:$G,"Reformer")</f>
        <v>453.94</v>
      </c>
      <c r="D33" s="10">
        <f>SUMIFS(Data!$K:$K,Data!$A:$A,2023,Data!$B:$B,3,Data!$G:$G,"Reformer")</f>
        <v>486.416</v>
      </c>
      <c r="E33" s="10">
        <f>SUMIFS(Data!$K:$K,Data!$A:$A,2023,Data!$B:$B,4,Data!$G:$G,"Reformer")</f>
        <v>495.342</v>
      </c>
      <c r="F33" s="10">
        <f>SUMIFS(Data!$K:$K,Data!$A:$A,2023,Data!$B:$B,5,Data!$G:$G,"Reformer")</f>
        <v>360.457</v>
      </c>
      <c r="G33" s="10">
        <f>SUMIFS(Data!$K:$K,Data!$A:$A,2023,Data!$B:$B,6,Data!$G:$G,"Reformer")</f>
        <v>198.97</v>
      </c>
      <c r="H33" s="10">
        <f>SUMIFS(Data!$K:$K,Data!$A:$A,2023,Data!$B:$B,7,Data!$G:$G,"Reformer")</f>
        <v>147.233</v>
      </c>
      <c r="I33" s="10">
        <f>SUMIFS(Data!$K:$K,Data!$A:$A,2023,Data!$B:$B,8,Data!$G:$G,"Reformer")</f>
        <v>238.18</v>
      </c>
      <c r="J33" s="10">
        <f>SUMIFS(Data!$K:$K,Data!$A:$A,2023,Data!$B:$B,9,Data!$G:$G,"Reformer")</f>
        <v>236.457</v>
      </c>
      <c r="K33" s="10">
        <f>SUMIFS(Data!$K:$K,Data!$A:$A,2023,Data!$B:$B,10,Data!$G:$G,"Reformer")</f>
        <v>529.1175</v>
      </c>
      <c r="L33" s="10">
        <f>SUMIFS(Data!$K:$K,Data!$A:$A,2023,Data!$B:$B,11,Data!$G:$G,"Reformer")</f>
        <v>371.958</v>
      </c>
      <c r="M33" s="10">
        <f>SUMIFS(Data!$K:$K,Data!$A:$A,2023,Data!$B:$B,12,Data!$G:$G,"Reformer")</f>
        <v>67.175</v>
      </c>
    </row>
    <row r="34" spans="1:13">
      <c r="A34" s="9">
        <v>2024</v>
      </c>
      <c r="B34" s="10">
        <f>SUMIFS(Data!$K:$K,Data!$A:$A,2024,Data!$B:$B,1,Data!$G:$G,"Reformer")</f>
        <v>436.8612</v>
      </c>
      <c r="C34" s="10">
        <f>SUMIFS(Data!$K:$K,Data!$A:$A,2024,Data!$B:$B,2,Data!$G:$G,"Reformer")</f>
        <v>843.04</v>
      </c>
      <c r="D34" s="10">
        <f>SUMIFS(Data!$K:$K,Data!$A:$A,2024,Data!$B:$B,3,Data!$G:$G,"Reformer")</f>
        <v>439.2958</v>
      </c>
      <c r="E34" s="10">
        <f>SUMIFS(Data!$K:$K,Data!$A:$A,2024,Data!$B:$B,4,Data!$G:$G,"Reformer")</f>
        <v>470.9954</v>
      </c>
      <c r="F34" s="10">
        <f>SUMIFS(Data!$K:$K,Data!$A:$A,2024,Data!$B:$B,5,Data!$G:$G,"Reformer")</f>
        <v>285.8775</v>
      </c>
      <c r="G34" s="10">
        <f>SUMIFS(Data!$K:$K,Data!$A:$A,2024,Data!$B:$B,6,Data!$G:$G,"Reformer")</f>
        <v>303.314</v>
      </c>
      <c r="H34" s="10">
        <f>SUMIFS(Data!$K:$K,Data!$A:$A,2024,Data!$B:$B,7,Data!$G:$G,"Reformer")</f>
        <v>129.5725</v>
      </c>
      <c r="I34" s="10">
        <f>SUMIFS(Data!$K:$K,Data!$A:$A,2024,Data!$B:$B,8,Data!$G:$G,"Reformer")</f>
        <v>149.935</v>
      </c>
      <c r="J34" s="10">
        <f>SUMIFS(Data!$K:$K,Data!$A:$A,2024,Data!$B:$B,9,Data!$G:$G,"Reformer")</f>
        <v>319.02</v>
      </c>
      <c r="K34" s="10">
        <f>SUMIFS(Data!$K:$K,Data!$A:$A,2024,Data!$B:$B,10,Data!$G:$G,"Reformer")</f>
        <v>587.828</v>
      </c>
      <c r="L34" s="10">
        <f>SUMIFS(Data!$K:$K,Data!$A:$A,2024,Data!$B:$B,11,Data!$G:$G,"Reformer")</f>
        <v>228.1725</v>
      </c>
      <c r="M34" s="10">
        <f>SUMIFS(Data!$K:$K,Data!$A:$A,2024,Data!$B:$B,12,Data!$G:$G,"Reformer")</f>
        <v>29.63</v>
      </c>
    </row>
    <row r="35" spans="1:13">
      <c r="A35" s="9">
        <v>2025</v>
      </c>
      <c r="B35" s="10">
        <f>SUMIFS(Data!$K:$K,Data!$A:$A,2025,Data!$B:$B,1,Data!$G:$G,"Reformer")</f>
        <v>160.3135</v>
      </c>
      <c r="C35" s="10">
        <f>SUMIFS(Data!$K:$K,Data!$A:$A,2025,Data!$B:$B,2,Data!$G:$G,"Reformer")</f>
        <v>251.5285</v>
      </c>
      <c r="D35" s="10">
        <f>SUMIFS(Data!$K:$K,Data!$A:$A,2025,Data!$B:$B,3,Data!$G:$G,"Reformer")</f>
        <v>301.84</v>
      </c>
      <c r="E35" s="10">
        <f>SUMIFS(Data!$K:$K,Data!$A:$A,2025,Data!$B:$B,4,Data!$G:$G,"Reformer")</f>
        <v>443.2805</v>
      </c>
      <c r="F35" s="10">
        <f>SUMIFS(Data!$K:$K,Data!$A:$A,2025,Data!$B:$B,5,Data!$G:$G,"Reformer")</f>
        <v>213.1394</v>
      </c>
      <c r="G35" s="10">
        <f>SUMIFS(Data!$K:$K,Data!$A:$A,2025,Data!$B:$B,6,Data!$G:$G,"Reformer")</f>
        <v>90.0075</v>
      </c>
      <c r="H35" s="10">
        <f>SUMIFS(Data!$K:$K,Data!$A:$A,2025,Data!$B:$B,7,Data!$G:$G,"Reformer")</f>
        <v>37.819</v>
      </c>
      <c r="I35" s="10">
        <f>SUMIFS(Data!$K:$K,Data!$A:$A,2025,Data!$B:$B,8,Data!$G:$G,"Reformer")</f>
        <v>87.89999999999999</v>
      </c>
      <c r="J35" s="10">
        <f>SUMIFS(Data!$K:$K,Data!$A:$A,2025,Data!$B:$B,9,Data!$G:$G,"Reformer")</f>
        <v>131.7565</v>
      </c>
      <c r="K35" s="10">
        <f>SUMIFS(Data!$K:$K,Data!$A:$A,2025,Data!$B:$B,10,Data!$G:$G,"Reformer")</f>
        <v>379.416</v>
      </c>
      <c r="L35" s="10">
        <f>SUMIFS(Data!$K:$K,Data!$A:$A,2025,Data!$B:$B,11,Data!$G:$G,"Reformer")</f>
        <v>227.80949999999999</v>
      </c>
      <c r="M35" s="10">
        <f>SUMIFS(Data!$K:$K,Data!$A:$A,2025,Data!$B:$B,12,Data!$G:$G,"Reformer")</f>
        <v>25.235</v>
      </c>
    </row>
    <row r="36" spans="1:13">
      <c r="A36" s="9">
        <v>2026</v>
      </c>
      <c r="B36" s="10">
        <f>SUMIFS(Data!$K:$K,Data!$A:$A,2026,Data!$B:$B,1,Data!$G:$G,"Reformer")</f>
        <v>95.4175</v>
      </c>
      <c r="C36" s="10">
        <f>SUMIFS(Data!$K:$K,Data!$A:$A,2026,Data!$B:$B,2,Data!$G:$G,"Reformer")</f>
        <v>210.5685</v>
      </c>
      <c r="D36" s="10">
        <f>SUMIFS(Data!$K:$K,Data!$A:$A,2026,Data!$B:$B,3,Data!$G:$G,"Reformer")</f>
        <v>159.17</v>
      </c>
      <c r="E36" s="10">
        <f>SUMIFS(Data!$K:$K,Data!$A:$A,2026,Data!$B:$B,4,Data!$G:$G,"Reformer")</f>
        <v>154.28300000000002</v>
      </c>
      <c r="F36" s="10">
        <f>SUMIFS(Data!$K:$K,Data!$A:$A,2026,Data!$B:$B,5,Data!$G:$G,"Reformer")</f>
        <v>157.769</v>
      </c>
      <c r="G36" s="10">
        <f>SUMIFS(Data!$K:$K,Data!$A:$A,2026,Data!$B:$B,6,Data!$G:$G,"Reformer")</f>
        <v>130.51</v>
      </c>
      <c r="H36" s="10">
        <f>SUMIFS(Data!$K:$K,Data!$A:$A,2026,Data!$B:$B,7,Data!$G:$G,"Reformer")</f>
        <v>98.20400000000001</v>
      </c>
      <c r="I36" s="10">
        <f>SUMIFS(Data!$K:$K,Data!$A:$A,2026,Data!$B:$B,8,Data!$G:$G,"Reformer")</f>
        <v>44.905</v>
      </c>
      <c r="J36" s="10">
        <f>SUMIFS(Data!$K:$K,Data!$A:$A,2026,Data!$B:$B,9,Data!$G:$G,"Reformer")</f>
        <v>137.55</v>
      </c>
      <c r="K36" s="10">
        <f>SUMIFS(Data!$K:$K,Data!$A:$A,2026,Data!$B:$B,10,Data!$G:$G,"Reformer")</f>
        <v>166.385</v>
      </c>
      <c r="L36" s="10">
        <f>SUMIFS(Data!$K:$K,Data!$A:$A,2026,Data!$B:$B,11,Data!$G:$G,"Reformer")</f>
        <v>68.1</v>
      </c>
      <c r="M36" s="10">
        <f>SUMIFS(Data!$K:$K,Data!$A:$A,2026,Data!$B:$B,12,Data!$G:$G,"Reformer")</f>
        <v>0.0</v>
      </c>
    </row>
    <row r="37" spans="1:13">
      <c r="A37" s="9">
        <v>2027</v>
      </c>
      <c r="B37" s="10">
        <f>SUMIFS(Data!$K:$K,Data!$A:$A,2027,Data!$B:$B,1,Data!$G:$G,"Reformer")</f>
        <v>29.125</v>
      </c>
      <c r="C37" s="10">
        <f>SUMIFS(Data!$K:$K,Data!$A:$A,2027,Data!$B:$B,2,Data!$G:$G,"Reformer")</f>
        <v>68.78</v>
      </c>
      <c r="D37" s="10">
        <f>SUMIFS(Data!$K:$K,Data!$A:$A,2027,Data!$B:$B,3,Data!$G:$G,"Reformer")</f>
        <v>184.88899999999998</v>
      </c>
      <c r="E37" s="10">
        <f>SUMIFS(Data!$K:$K,Data!$A:$A,2027,Data!$B:$B,4,Data!$G:$G,"Reformer")</f>
        <v>141.475</v>
      </c>
      <c r="F37" s="10">
        <f>SUMIFS(Data!$K:$K,Data!$A:$A,2027,Data!$B:$B,5,Data!$G:$G,"Reformer")</f>
        <v>45.428</v>
      </c>
      <c r="G37" s="10">
        <f>SUMIFS(Data!$K:$K,Data!$A:$A,2027,Data!$B:$B,6,Data!$G:$G,"Reformer")</f>
        <v>0.3</v>
      </c>
      <c r="H37" s="10">
        <f>SUMIFS(Data!$K:$K,Data!$A:$A,2027,Data!$B:$B,7,Data!$G:$G,"Reformer")</f>
        <v>0.0</v>
      </c>
      <c r="I37" s="10">
        <f>SUMIFS(Data!$K:$K,Data!$A:$A,2027,Data!$B:$B,8,Data!$G:$G,"Reformer")</f>
        <v>0.0</v>
      </c>
      <c r="J37" s="10">
        <f>SUMIFS(Data!$K:$K,Data!$A:$A,2027,Data!$B:$B,9,Data!$G:$G,"Reformer")</f>
        <v>112.05</v>
      </c>
      <c r="K37" s="10">
        <f>SUMIFS(Data!$K:$K,Data!$A:$A,2027,Data!$B:$B,10,Data!$G:$G,"Reformer")</f>
        <v>109.94500000000001</v>
      </c>
      <c r="L37" s="10">
        <f>SUMIFS(Data!$K:$K,Data!$A:$A,2027,Data!$B:$B,11,Data!$G:$G,"Reformer")</f>
        <v>20.105</v>
      </c>
      <c r="M37" s="10">
        <f>SUMIFS(Data!$K:$K,Data!$A:$A,2027,Data!$B:$B,12,Data!$G:$G,"Reformer")</f>
        <v>0.0</v>
      </c>
    </row>
    <row r="40" spans="1:13">
      <c r="A40" s="3" t="s">
        <v>73</v>
      </c>
    </row>
    <row r="41" spans="1:13">
      <c r="A41" s="7" t="s">
        <v>59</v>
      </c>
      <c r="B41" s="8" t="s">
        <v>58</v>
      </c>
      <c r="C41" s="8" t="s">
        <v>72</v>
      </c>
      <c r="D41" s="8" t="s">
        <v>14</v>
      </c>
      <c r="E41" s="8" t="s">
        <v>15</v>
      </c>
    </row>
    <row r="42" spans="1:13">
      <c r="A42" s="9">
        <v>2023</v>
      </c>
      <c r="B42" s="10">
        <f>MAX(B6:M6)</f>
        <v>2180.255</v>
      </c>
      <c r="C42" s="10">
        <f>MAX(B15:M15)</f>
        <v>1025.05</v>
      </c>
      <c r="D42" s="10">
        <f>MAX(B24:M24)</f>
        <v>492.64300000000003</v>
      </c>
      <c r="E42" s="10">
        <f>MAX(B33:M33)</f>
        <v>529.1175</v>
      </c>
    </row>
    <row r="43" spans="1:13">
      <c r="A43" s="9">
        <v>2024</v>
      </c>
      <c r="B43" s="10">
        <f>MAX(B7:M7)</f>
        <v>2142.5348</v>
      </c>
      <c r="C43" s="10">
        <f>MAX(B16:M16)</f>
        <v>1054.9718</v>
      </c>
      <c r="D43" s="10">
        <f>MAX(B25:M25)</f>
        <v>429.613</v>
      </c>
      <c r="E43" s="10">
        <f>MAX(B34:M34)</f>
        <v>843.04</v>
      </c>
    </row>
    <row r="44" spans="1:13">
      <c r="A44" s="9">
        <v>2025</v>
      </c>
      <c r="B44" s="10">
        <f>MAX(B8:M8)</f>
        <v>1864.885</v>
      </c>
      <c r="C44" s="10">
        <f>MAX(B17:M17)</f>
        <v>702.5715</v>
      </c>
      <c r="D44" s="10">
        <f>MAX(B26:M26)</f>
        <v>255.94</v>
      </c>
      <c r="E44" s="10">
        <f>MAX(B35:M35)</f>
        <v>443.2805</v>
      </c>
    </row>
    <row r="45" spans="1:13">
      <c r="A45" s="9">
        <v>2026</v>
      </c>
      <c r="B45" s="10">
        <f>MAX(B9:M9)</f>
        <v>1411.605</v>
      </c>
      <c r="C45" s="10">
        <f>MAX(B18:M18)</f>
        <v>559.7625</v>
      </c>
      <c r="D45" s="10">
        <f>MAX(B27:M27)</f>
        <v>172.765</v>
      </c>
      <c r="E45" s="10">
        <f>MAX(B36:M36)</f>
        <v>210.5685</v>
      </c>
    </row>
    <row r="46" spans="1:13">
      <c r="A46" s="9">
        <v>2027</v>
      </c>
      <c r="B46" s="10">
        <f>MAX(B10:M10)</f>
        <v>1307.315</v>
      </c>
      <c r="C46" s="10">
        <f>MAX(B19:M19)</f>
        <v>450.5215</v>
      </c>
      <c r="D46" s="10">
        <f>MAX(B28:M28)</f>
        <v>141.67000000000002</v>
      </c>
      <c r="E46" s="10">
        <f>MAX(B37:M37)</f>
        <v>184.88899999999998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8B8B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74</v>
      </c>
    </row>
    <row r="2" spans="1:8">
      <c r="A2" s="2" t="s">
        <v>75</v>
      </c>
    </row>
    <row r="4" spans="1:8">
      <c r="A4" s="7" t="s">
        <v>76</v>
      </c>
      <c r="B4" s="7" t="s">
        <v>35</v>
      </c>
      <c r="C4" s="8" t="s">
        <v>77</v>
      </c>
      <c r="D4" s="8" t="s">
        <v>36</v>
      </c>
      <c r="E4" s="8" t="s">
        <v>37</v>
      </c>
      <c r="F4" s="8" t="s">
        <v>78</v>
      </c>
      <c r="G4" s="8" t="s">
        <v>79</v>
      </c>
      <c r="H4" s="8" t="s">
        <v>80</v>
      </c>
    </row>
    <row r="5" spans="1:8">
      <c r="A5" s="6" t="s">
        <v>81</v>
      </c>
      <c r="B5" s="6" t="s">
        <v>82</v>
      </c>
      <c r="C5" s="6" t="s">
        <v>12</v>
      </c>
      <c r="D5" s="6" t="s">
        <v>50</v>
      </c>
      <c r="E5" s="10">
        <v>250</v>
      </c>
      <c r="F5" s="6" t="s">
        <v>83</v>
      </c>
      <c r="G5" s="6" t="s">
        <v>10</v>
      </c>
      <c r="H5" s="6" t="s">
        <v>84</v>
      </c>
    </row>
    <row r="6" spans="1:8">
      <c r="A6" s="6" t="s">
        <v>85</v>
      </c>
      <c r="B6" s="6" t="s">
        <v>82</v>
      </c>
      <c r="C6" s="6" t="s">
        <v>12</v>
      </c>
      <c r="D6" s="6" t="s">
        <v>46</v>
      </c>
      <c r="E6" s="10">
        <v>250</v>
      </c>
      <c r="F6" s="6" t="s">
        <v>62</v>
      </c>
      <c r="G6" s="6" t="s">
        <v>10</v>
      </c>
      <c r="H6" s="6" t="s">
        <v>84</v>
      </c>
    </row>
    <row r="7" spans="1:8">
      <c r="A7" s="6" t="s">
        <v>86</v>
      </c>
      <c r="B7" s="6" t="s">
        <v>87</v>
      </c>
      <c r="C7" s="6" t="s">
        <v>12</v>
      </c>
      <c r="D7" s="6" t="s">
        <v>40</v>
      </c>
      <c r="E7" s="10">
        <v>240</v>
      </c>
      <c r="F7" s="6" t="s">
        <v>88</v>
      </c>
      <c r="G7" s="6" t="s">
        <v>10</v>
      </c>
      <c r="H7" s="6" t="s">
        <v>89</v>
      </c>
    </row>
    <row r="8" spans="1:8">
      <c r="A8" s="6" t="s">
        <v>90</v>
      </c>
      <c r="B8" s="6" t="s">
        <v>82</v>
      </c>
      <c r="C8" s="6" t="s">
        <v>12</v>
      </c>
      <c r="D8" s="6" t="s">
        <v>46</v>
      </c>
      <c r="E8" s="10">
        <v>240</v>
      </c>
      <c r="F8" s="6" t="s">
        <v>69</v>
      </c>
      <c r="G8" s="6" t="s">
        <v>10</v>
      </c>
      <c r="H8" s="6" t="s">
        <v>89</v>
      </c>
    </row>
    <row r="9" spans="1:8">
      <c r="A9" s="6" t="s">
        <v>91</v>
      </c>
      <c r="B9" s="6" t="s">
        <v>92</v>
      </c>
      <c r="C9" s="6" t="s">
        <v>12</v>
      </c>
      <c r="D9" s="6" t="s">
        <v>50</v>
      </c>
      <c r="E9" s="10">
        <v>175</v>
      </c>
      <c r="F9" s="6" t="s">
        <v>83</v>
      </c>
      <c r="G9" s="6" t="s">
        <v>10</v>
      </c>
      <c r="H9" s="6" t="s">
        <v>84</v>
      </c>
    </row>
    <row r="10" spans="1:8">
      <c r="A10" s="6" t="s">
        <v>93</v>
      </c>
      <c r="B10" s="6" t="s">
        <v>94</v>
      </c>
      <c r="C10" s="6" t="s">
        <v>12</v>
      </c>
      <c r="D10" s="6" t="s">
        <v>46</v>
      </c>
      <c r="E10" s="10">
        <v>155</v>
      </c>
      <c r="F10" s="6" t="s">
        <v>95</v>
      </c>
      <c r="G10" s="6" t="s">
        <v>10</v>
      </c>
      <c r="H10" s="6" t="s">
        <v>84</v>
      </c>
    </row>
    <row r="11" spans="1:8">
      <c r="A11" s="6" t="s">
        <v>96</v>
      </c>
      <c r="B11" s="6" t="s">
        <v>97</v>
      </c>
      <c r="C11" s="6" t="s">
        <v>12</v>
      </c>
      <c r="D11" s="6" t="s">
        <v>40</v>
      </c>
      <c r="E11" s="10">
        <v>145</v>
      </c>
      <c r="F11" s="6" t="s">
        <v>98</v>
      </c>
      <c r="G11" s="6" t="s">
        <v>10</v>
      </c>
      <c r="H11" s="6" t="s">
        <v>89</v>
      </c>
    </row>
    <row r="12" spans="1:8">
      <c r="A12" s="6" t="s">
        <v>96</v>
      </c>
      <c r="B12" s="6" t="s">
        <v>99</v>
      </c>
      <c r="C12" s="6" t="s">
        <v>12</v>
      </c>
      <c r="D12" s="6" t="s">
        <v>40</v>
      </c>
      <c r="E12" s="10">
        <v>145</v>
      </c>
      <c r="F12" s="6" t="s">
        <v>98</v>
      </c>
      <c r="G12" s="6" t="s">
        <v>10</v>
      </c>
      <c r="H12" s="6" t="s">
        <v>89</v>
      </c>
    </row>
    <row r="13" spans="1:8">
      <c r="A13" s="6" t="s">
        <v>96</v>
      </c>
      <c r="B13" s="6" t="s">
        <v>100</v>
      </c>
      <c r="C13" s="6" t="s">
        <v>12</v>
      </c>
      <c r="D13" s="6" t="s">
        <v>40</v>
      </c>
      <c r="E13" s="10">
        <v>138</v>
      </c>
      <c r="F13" s="6" t="s">
        <v>101</v>
      </c>
      <c r="G13" s="6" t="s">
        <v>10</v>
      </c>
      <c r="H13" s="6" t="s">
        <v>84</v>
      </c>
    </row>
    <row r="14" spans="1:8">
      <c r="A14" s="6" t="s">
        <v>102</v>
      </c>
      <c r="B14" s="6" t="s">
        <v>103</v>
      </c>
      <c r="C14" s="6" t="s">
        <v>13</v>
      </c>
      <c r="D14" s="6" t="s">
        <v>40</v>
      </c>
      <c r="E14" s="10">
        <v>125</v>
      </c>
      <c r="F14" s="6" t="s">
        <v>104</v>
      </c>
      <c r="G14" s="6" t="s">
        <v>10</v>
      </c>
      <c r="H14" s="6" t="s">
        <v>84</v>
      </c>
    </row>
    <row r="15" spans="1:8">
      <c r="A15" s="6" t="s">
        <v>105</v>
      </c>
      <c r="B15" s="6" t="s">
        <v>106</v>
      </c>
      <c r="C15" s="6" t="s">
        <v>13</v>
      </c>
      <c r="D15" s="6" t="s">
        <v>40</v>
      </c>
      <c r="E15" s="10">
        <v>120</v>
      </c>
      <c r="F15" s="6" t="s">
        <v>101</v>
      </c>
      <c r="G15" s="6" t="s">
        <v>10</v>
      </c>
      <c r="H15" s="6" t="s">
        <v>84</v>
      </c>
    </row>
    <row r="16" spans="1:8">
      <c r="A16" s="6" t="s">
        <v>107</v>
      </c>
      <c r="B16" s="6" t="s">
        <v>108</v>
      </c>
      <c r="C16" s="6" t="s">
        <v>12</v>
      </c>
      <c r="D16" s="6" t="s">
        <v>50</v>
      </c>
      <c r="E16" s="10">
        <v>110</v>
      </c>
      <c r="F16" s="6" t="s">
        <v>109</v>
      </c>
      <c r="G16" s="6" t="s">
        <v>10</v>
      </c>
      <c r="H16" s="6" t="s">
        <v>89</v>
      </c>
    </row>
    <row r="17" spans="1:8">
      <c r="A17" s="6" t="s">
        <v>110</v>
      </c>
      <c r="B17" s="6" t="s">
        <v>111</v>
      </c>
      <c r="C17" s="6" t="s">
        <v>12</v>
      </c>
      <c r="D17" s="6" t="s">
        <v>40</v>
      </c>
      <c r="E17" s="10">
        <v>110</v>
      </c>
      <c r="F17" s="6" t="s">
        <v>109</v>
      </c>
      <c r="G17" s="6" t="s">
        <v>10</v>
      </c>
      <c r="H17" s="6" t="s">
        <v>89</v>
      </c>
    </row>
    <row r="18" spans="1:8">
      <c r="A18" s="6" t="s">
        <v>112</v>
      </c>
      <c r="B18" s="6" t="s">
        <v>113</v>
      </c>
      <c r="C18" s="6" t="s">
        <v>12</v>
      </c>
      <c r="D18" s="6" t="s">
        <v>40</v>
      </c>
      <c r="E18" s="10">
        <v>110</v>
      </c>
      <c r="F18" s="6" t="s">
        <v>109</v>
      </c>
      <c r="G18" s="6" t="s">
        <v>10</v>
      </c>
      <c r="H18" s="6" t="s">
        <v>89</v>
      </c>
    </row>
    <row r="19" spans="1:8">
      <c r="A19" s="6" t="s">
        <v>114</v>
      </c>
      <c r="B19" s="6" t="s">
        <v>115</v>
      </c>
      <c r="C19" s="6" t="s">
        <v>12</v>
      </c>
      <c r="D19" s="6" t="s">
        <v>40</v>
      </c>
      <c r="E19" s="10">
        <v>110</v>
      </c>
      <c r="F19" s="6" t="s">
        <v>109</v>
      </c>
      <c r="G19" s="6" t="s">
        <v>10</v>
      </c>
      <c r="H19" s="6" t="s">
        <v>84</v>
      </c>
    </row>
    <row r="20" spans="1:8">
      <c r="A20" s="6" t="s">
        <v>112</v>
      </c>
      <c r="B20" s="6" t="s">
        <v>116</v>
      </c>
      <c r="C20" s="6" t="s">
        <v>12</v>
      </c>
      <c r="D20" s="6" t="s">
        <v>40</v>
      </c>
      <c r="E20" s="10">
        <v>107</v>
      </c>
      <c r="F20" s="6" t="s">
        <v>109</v>
      </c>
      <c r="G20" s="6" t="s">
        <v>10</v>
      </c>
      <c r="H20" s="6" t="s">
        <v>89</v>
      </c>
    </row>
    <row r="21" spans="1:8">
      <c r="A21" s="6" t="s">
        <v>117</v>
      </c>
      <c r="B21" s="6" t="s">
        <v>118</v>
      </c>
      <c r="C21" s="6" t="s">
        <v>12</v>
      </c>
      <c r="D21" s="6" t="s">
        <v>40</v>
      </c>
      <c r="E21" s="10">
        <v>101</v>
      </c>
      <c r="F21" s="6" t="s">
        <v>119</v>
      </c>
      <c r="G21" s="6" t="s">
        <v>10</v>
      </c>
      <c r="H21" s="6" t="s">
        <v>84</v>
      </c>
    </row>
    <row r="22" spans="1:8">
      <c r="A22" s="6" t="s">
        <v>120</v>
      </c>
      <c r="B22" s="6" t="s">
        <v>82</v>
      </c>
      <c r="C22" s="6" t="s">
        <v>12</v>
      </c>
      <c r="D22" s="6" t="s">
        <v>46</v>
      </c>
      <c r="E22" s="10">
        <v>100</v>
      </c>
      <c r="F22" s="6" t="s">
        <v>98</v>
      </c>
      <c r="G22" s="6" t="s">
        <v>10</v>
      </c>
      <c r="H22" s="6" t="s">
        <v>89</v>
      </c>
    </row>
    <row r="23" spans="1:8">
      <c r="A23" s="6" t="s">
        <v>121</v>
      </c>
      <c r="B23" s="6" t="s">
        <v>82</v>
      </c>
      <c r="C23" s="6" t="s">
        <v>12</v>
      </c>
      <c r="D23" s="6" t="s">
        <v>40</v>
      </c>
      <c r="E23" s="10">
        <v>100</v>
      </c>
      <c r="F23" s="6" t="s">
        <v>109</v>
      </c>
      <c r="G23" s="6" t="s">
        <v>10</v>
      </c>
      <c r="H23" s="6" t="s">
        <v>89</v>
      </c>
    </row>
    <row r="24" spans="1:8">
      <c r="A24" s="6" t="s">
        <v>122</v>
      </c>
      <c r="B24" s="6" t="s">
        <v>106</v>
      </c>
      <c r="C24" s="6" t="s">
        <v>13</v>
      </c>
      <c r="D24" s="6" t="s">
        <v>50</v>
      </c>
      <c r="E24" s="10">
        <v>98</v>
      </c>
      <c r="F24" s="6" t="s">
        <v>109</v>
      </c>
      <c r="G24" s="6" t="s">
        <v>10</v>
      </c>
      <c r="H24" s="6" t="s">
        <v>89</v>
      </c>
    </row>
    <row r="25" spans="1:8">
      <c r="A25" s="6" t="s">
        <v>123</v>
      </c>
      <c r="B25" s="6" t="s">
        <v>124</v>
      </c>
      <c r="C25" s="6" t="s">
        <v>12</v>
      </c>
      <c r="D25" s="6" t="s">
        <v>40</v>
      </c>
      <c r="E25" s="10">
        <v>96</v>
      </c>
      <c r="F25" s="6" t="s">
        <v>125</v>
      </c>
      <c r="G25" s="6" t="s">
        <v>10</v>
      </c>
      <c r="H25" s="6" t="s">
        <v>84</v>
      </c>
    </row>
    <row r="26" spans="1:8">
      <c r="A26" s="6" t="s">
        <v>126</v>
      </c>
      <c r="B26" s="6" t="s">
        <v>127</v>
      </c>
      <c r="C26" s="6" t="s">
        <v>12</v>
      </c>
      <c r="D26" s="6" t="s">
        <v>40</v>
      </c>
      <c r="E26" s="10">
        <v>96</v>
      </c>
      <c r="F26" s="6" t="s">
        <v>128</v>
      </c>
      <c r="G26" s="6" t="s">
        <v>10</v>
      </c>
      <c r="H26" s="6" t="s">
        <v>84</v>
      </c>
    </row>
    <row r="27" spans="1:8">
      <c r="A27" s="6" t="s">
        <v>129</v>
      </c>
      <c r="B27" s="6" t="s">
        <v>130</v>
      </c>
      <c r="C27" s="6" t="s">
        <v>12</v>
      </c>
      <c r="D27" s="6" t="s">
        <v>50</v>
      </c>
      <c r="E27" s="10">
        <v>95</v>
      </c>
      <c r="F27" s="6" t="s">
        <v>109</v>
      </c>
      <c r="G27" s="6" t="s">
        <v>10</v>
      </c>
      <c r="H27" s="6" t="s">
        <v>89</v>
      </c>
    </row>
    <row r="28" spans="1:8">
      <c r="A28" s="6" t="s">
        <v>131</v>
      </c>
      <c r="B28" s="6" t="s">
        <v>132</v>
      </c>
      <c r="C28" s="6" t="s">
        <v>12</v>
      </c>
      <c r="D28" s="6" t="s">
        <v>40</v>
      </c>
      <c r="E28" s="10">
        <v>95</v>
      </c>
      <c r="F28" s="6" t="s">
        <v>101</v>
      </c>
      <c r="G28" s="6" t="s">
        <v>10</v>
      </c>
      <c r="H28" s="6" t="s">
        <v>84</v>
      </c>
    </row>
    <row r="29" spans="1:8">
      <c r="A29" s="6" t="s">
        <v>133</v>
      </c>
      <c r="B29" s="6" t="s">
        <v>134</v>
      </c>
      <c r="C29" s="6" t="s">
        <v>12</v>
      </c>
      <c r="D29" s="6" t="s">
        <v>50</v>
      </c>
      <c r="E29" s="10">
        <v>91.5</v>
      </c>
      <c r="F29" s="6" t="s">
        <v>109</v>
      </c>
      <c r="G29" s="6" t="s">
        <v>10</v>
      </c>
      <c r="H29" s="6" t="s">
        <v>89</v>
      </c>
    </row>
    <row r="30" spans="1:8">
      <c r="A30" s="6" t="s">
        <v>135</v>
      </c>
      <c r="B30" s="6" t="s">
        <v>136</v>
      </c>
      <c r="C30" s="6" t="s">
        <v>12</v>
      </c>
      <c r="D30" s="6" t="s">
        <v>46</v>
      </c>
      <c r="E30" s="10">
        <v>90</v>
      </c>
      <c r="F30" s="6" t="s">
        <v>101</v>
      </c>
      <c r="G30" s="6" t="s">
        <v>10</v>
      </c>
      <c r="H30" s="6" t="s">
        <v>84</v>
      </c>
    </row>
    <row r="31" spans="1:8">
      <c r="A31" s="6" t="s">
        <v>137</v>
      </c>
      <c r="B31" s="6" t="s">
        <v>138</v>
      </c>
      <c r="C31" s="6" t="s">
        <v>12</v>
      </c>
      <c r="D31" s="6" t="s">
        <v>40</v>
      </c>
      <c r="E31" s="10">
        <v>80</v>
      </c>
      <c r="F31" s="6" t="s">
        <v>104</v>
      </c>
      <c r="G31" s="6" t="s">
        <v>10</v>
      </c>
      <c r="H31" s="6" t="s">
        <v>84</v>
      </c>
    </row>
    <row r="32" spans="1:8">
      <c r="A32" s="6" t="s">
        <v>107</v>
      </c>
      <c r="B32" s="6" t="s">
        <v>139</v>
      </c>
      <c r="C32" s="6" t="s">
        <v>12</v>
      </c>
      <c r="D32" s="6" t="s">
        <v>50</v>
      </c>
      <c r="E32" s="10">
        <v>80</v>
      </c>
      <c r="F32" s="6" t="s">
        <v>119</v>
      </c>
      <c r="G32" s="6" t="s">
        <v>10</v>
      </c>
      <c r="H32" s="6" t="s">
        <v>84</v>
      </c>
    </row>
    <row r="33" spans="1:8">
      <c r="A33" s="6" t="s">
        <v>140</v>
      </c>
      <c r="B33" s="6" t="s">
        <v>141</v>
      </c>
      <c r="C33" s="6" t="s">
        <v>13</v>
      </c>
      <c r="D33" s="6" t="s">
        <v>40</v>
      </c>
      <c r="E33" s="10">
        <v>78.75</v>
      </c>
      <c r="F33" s="6" t="s">
        <v>128</v>
      </c>
      <c r="G33" s="6" t="s">
        <v>10</v>
      </c>
      <c r="H33" s="6" t="s">
        <v>84</v>
      </c>
    </row>
    <row r="34" spans="1:8">
      <c r="A34" s="6" t="s">
        <v>117</v>
      </c>
      <c r="B34" s="6" t="s">
        <v>142</v>
      </c>
      <c r="C34" s="6" t="s">
        <v>13</v>
      </c>
      <c r="D34" s="6" t="s">
        <v>40</v>
      </c>
      <c r="E34" s="10">
        <v>78</v>
      </c>
      <c r="F34" s="6" t="s">
        <v>95</v>
      </c>
      <c r="G34" s="6" t="s">
        <v>10</v>
      </c>
      <c r="H34" s="6" t="s">
        <v>84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8B8B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143</v>
      </c>
    </row>
    <row r="2" spans="1:7">
      <c r="A2" s="2" t="s">
        <v>144</v>
      </c>
    </row>
    <row r="4" spans="1:7">
      <c r="A4" s="3" t="s">
        <v>58</v>
      </c>
    </row>
    <row r="5" spans="1:7">
      <c r="A5" s="7" t="s">
        <v>59</v>
      </c>
      <c r="B5" s="8" t="s">
        <v>60</v>
      </c>
      <c r="C5" s="8" t="s">
        <v>61</v>
      </c>
      <c r="D5" s="8" t="s">
        <v>62</v>
      </c>
      <c r="E5" s="8" t="s">
        <v>63</v>
      </c>
      <c r="F5" s="8" t="s">
        <v>64</v>
      </c>
      <c r="G5" s="8" t="s">
        <v>65</v>
      </c>
    </row>
    <row r="6" spans="1:7">
      <c r="A6" s="9">
        <v>2025</v>
      </c>
      <c r="B6" s="10">
        <f>SUMIFS(Data!$K:$K,Data!$A:$A,2025,Data!$B:$B,1,Data!$G:$G,"CDU",Data!$J:$J,"PLANNED")</f>
        <v>757.195</v>
      </c>
      <c r="C6" s="10">
        <f>SUMIFS(Data!$K:$K,Data!$A:$A,2025,Data!$B:$B,2,Data!$G:$G,"CDU",Data!$J:$J,"PLANNED")</f>
        <v>1058.991</v>
      </c>
      <c r="D6" s="10">
        <f>SUMIFS(Data!$K:$K,Data!$A:$A,2025,Data!$B:$B,3,Data!$G:$G,"CDU",Data!$J:$J,"PLANNED")</f>
        <v>935.345</v>
      </c>
      <c r="E6" s="10">
        <f>SUMIFS(Data!$K:$K,Data!$A:$A,2025,Data!$B:$B,4,Data!$G:$G,"CDU",Data!$J:$J,"PLANNED")</f>
        <v>1072.7975</v>
      </c>
      <c r="F6" s="10">
        <f>SUMIFS(Data!$K:$K,Data!$A:$A,2025,Data!$B:$B,5,Data!$G:$G,"CDU",Data!$J:$J,"PLANNED")</f>
        <v>286.61</v>
      </c>
      <c r="G6" s="10">
        <f>SUMIFS(Data!$K:$K,Data!$A:$A,2025,Data!$B:$B,6,Data!$G:$G,"CDU",Data!$J:$J,"PLANNED")</f>
        <v>118.65</v>
      </c>
    </row>
    <row r="7" spans="1:7">
      <c r="A7" s="9">
        <v>2026</v>
      </c>
      <c r="B7" s="10">
        <f>SUMIFS(Data!$K:$K,Data!$A:$A,2026,Data!$B:$B,1,Data!$G:$G,"CDU",Data!$J:$J,"PLANNED")</f>
        <v>284.73</v>
      </c>
      <c r="C7" s="10">
        <f>SUMIFS(Data!$K:$K,Data!$A:$A,2026,Data!$B:$B,2,Data!$G:$G,"CDU",Data!$J:$J,"PLANNED")</f>
        <v>699.13</v>
      </c>
      <c r="D7" s="10">
        <f>SUMIFS(Data!$K:$K,Data!$A:$A,2026,Data!$B:$B,3,Data!$G:$G,"CDU",Data!$J:$J,"PLANNED")</f>
        <v>638.401</v>
      </c>
      <c r="E7" s="10">
        <f>SUMIFS(Data!$K:$K,Data!$A:$A,2026,Data!$B:$B,4,Data!$G:$G,"CDU",Data!$J:$J,"PLANNED")</f>
        <v>720.29</v>
      </c>
      <c r="F7" s="10">
        <f>SUMIFS(Data!$K:$K,Data!$A:$A,2026,Data!$B:$B,5,Data!$G:$G,"CDU",Data!$J:$J,"PLANNED")</f>
        <v>516.362</v>
      </c>
      <c r="G7" s="10">
        <f>SUMIFS(Data!$K:$K,Data!$A:$A,2026,Data!$B:$B,6,Data!$G:$G,"CDU",Data!$J:$J,"PLANNED")</f>
        <v>126.65</v>
      </c>
    </row>
    <row r="8" spans="1:7">
      <c r="A8" s="9">
        <v>2027</v>
      </c>
      <c r="B8" s="10">
        <f>SUMIFS(Data!$K:$K,Data!$A:$A,2027,Data!$B:$B,1,Data!$G:$G,"CDU",Data!$J:$J,"PLANNED")</f>
        <v>365.125</v>
      </c>
      <c r="C8" s="10">
        <f>SUMIFS(Data!$K:$K,Data!$A:$A,2027,Data!$B:$B,2,Data!$G:$G,"CDU",Data!$J:$J,"PLANNED")</f>
        <v>683.258</v>
      </c>
      <c r="D8" s="10">
        <f>SUMIFS(Data!$K:$K,Data!$A:$A,2027,Data!$B:$B,3,Data!$G:$G,"CDU",Data!$J:$J,"PLANNED")</f>
        <v>1062.14</v>
      </c>
      <c r="E8" s="10">
        <f>SUMIFS(Data!$K:$K,Data!$A:$A,2027,Data!$B:$B,4,Data!$G:$G,"CDU",Data!$J:$J,"PLANNED")</f>
        <v>663.255</v>
      </c>
      <c r="F8" s="10">
        <f>SUMIFS(Data!$K:$K,Data!$A:$A,2027,Data!$B:$B,5,Data!$G:$G,"CDU",Data!$J:$J,"PLANNED")</f>
        <v>320.192</v>
      </c>
      <c r="G8" s="10">
        <f>SUMIFS(Data!$K:$K,Data!$A:$A,2027,Data!$B:$B,6,Data!$G:$G,"CDU",Data!$J:$J,"PLANNED")</f>
        <v>96.0</v>
      </c>
    </row>
    <row r="11" spans="1:7">
      <c r="A11" s="3" t="s">
        <v>72</v>
      </c>
    </row>
    <row r="12" spans="1:7">
      <c r="A12" s="7" t="s">
        <v>59</v>
      </c>
      <c r="B12" s="8" t="s">
        <v>60</v>
      </c>
      <c r="C12" s="8" t="s">
        <v>61</v>
      </c>
      <c r="D12" s="8" t="s">
        <v>62</v>
      </c>
      <c r="E12" s="8" t="s">
        <v>63</v>
      </c>
      <c r="F12" s="8" t="s">
        <v>64</v>
      </c>
      <c r="G12" s="8" t="s">
        <v>65</v>
      </c>
    </row>
    <row r="13" spans="1:7">
      <c r="A13" s="9">
        <v>2025</v>
      </c>
      <c r="B13" s="10">
        <f>SUMIFS(Data!$K:$K,Data!$A:$A,2025,Data!$B:$B,1,Data!$G:$G,"FCC",Data!$J:$J,"PLANNED")</f>
        <v>150.66</v>
      </c>
      <c r="C13" s="10">
        <f>SUMIFS(Data!$K:$K,Data!$A:$A,2025,Data!$B:$B,2,Data!$G:$G,"FCC",Data!$J:$J,"PLANNED")</f>
        <v>209.57</v>
      </c>
      <c r="D13" s="10">
        <f>SUMIFS(Data!$K:$K,Data!$A:$A,2025,Data!$B:$B,3,Data!$G:$G,"FCC",Data!$J:$J,"PLANNED")</f>
        <v>240.735</v>
      </c>
      <c r="E13" s="10">
        <f>SUMIFS(Data!$K:$K,Data!$A:$A,2025,Data!$B:$B,4,Data!$G:$G,"FCC",Data!$J:$J,"PLANNED")</f>
        <v>331.825</v>
      </c>
      <c r="F13" s="10">
        <f>SUMIFS(Data!$K:$K,Data!$A:$A,2025,Data!$B:$B,5,Data!$G:$G,"FCC",Data!$J:$J,"PLANNED")</f>
        <v>171.93</v>
      </c>
      <c r="G13" s="10">
        <f>SUMIFS(Data!$K:$K,Data!$A:$A,2025,Data!$B:$B,6,Data!$G:$G,"FCC",Data!$J:$J,"PLANNED")</f>
        <v>20.97</v>
      </c>
    </row>
    <row r="14" spans="1:7">
      <c r="A14" s="9">
        <v>2026</v>
      </c>
      <c r="B14" s="10">
        <f>SUMIFS(Data!$K:$K,Data!$A:$A,2026,Data!$B:$B,1,Data!$G:$G,"FCC",Data!$J:$J,"PLANNED")</f>
        <v>168.25</v>
      </c>
      <c r="C14" s="10">
        <f>SUMIFS(Data!$K:$K,Data!$A:$A,2026,Data!$B:$B,2,Data!$G:$G,"FCC",Data!$J:$J,"PLANNED")</f>
        <v>303.52</v>
      </c>
      <c r="D14" s="10">
        <f>SUMIFS(Data!$K:$K,Data!$A:$A,2026,Data!$B:$B,3,Data!$G:$G,"FCC",Data!$J:$J,"PLANNED")</f>
        <v>199.243</v>
      </c>
      <c r="E14" s="10">
        <f>SUMIFS(Data!$K:$K,Data!$A:$A,2026,Data!$B:$B,4,Data!$G:$G,"FCC",Data!$J:$J,"PLANNED")</f>
        <v>135.45</v>
      </c>
      <c r="F14" s="10">
        <f>SUMIFS(Data!$K:$K,Data!$A:$A,2026,Data!$B:$B,5,Data!$G:$G,"FCC",Data!$J:$J,"PLANNED")</f>
        <v>32.069</v>
      </c>
      <c r="G14" s="10">
        <f>SUMIFS(Data!$K:$K,Data!$A:$A,2026,Data!$B:$B,6,Data!$G:$G,"FCC",Data!$J:$J,"PLANNED")</f>
        <v>0.0</v>
      </c>
    </row>
    <row r="15" spans="1:7">
      <c r="A15" s="9">
        <v>2027</v>
      </c>
      <c r="B15" s="10">
        <f>SUMIFS(Data!$K:$K,Data!$A:$A,2027,Data!$B:$B,1,Data!$G:$G,"FCC",Data!$J:$J,"PLANNED")</f>
        <v>250.98000000000002</v>
      </c>
      <c r="C15" s="10">
        <f>SUMIFS(Data!$K:$K,Data!$A:$A,2027,Data!$B:$B,2,Data!$G:$G,"FCC",Data!$J:$J,"PLANNED")</f>
        <v>450.5215</v>
      </c>
      <c r="D15" s="10">
        <f>SUMIFS(Data!$K:$K,Data!$A:$A,2027,Data!$B:$B,3,Data!$G:$G,"FCC",Data!$J:$J,"PLANNED")</f>
        <v>447.892</v>
      </c>
      <c r="E15" s="10">
        <f>SUMIFS(Data!$K:$K,Data!$A:$A,2027,Data!$B:$B,4,Data!$G:$G,"FCC",Data!$J:$J,"PLANNED")</f>
        <v>150.455</v>
      </c>
      <c r="F15" s="10">
        <f>SUMIFS(Data!$K:$K,Data!$A:$A,2027,Data!$B:$B,5,Data!$G:$G,"FCC",Data!$J:$J,"PLANNED")</f>
        <v>23.3</v>
      </c>
      <c r="G15" s="10">
        <f>SUMIFS(Data!$K:$K,Data!$A:$A,2027,Data!$B:$B,6,Data!$G:$G,"FCC",Data!$J:$J,"PLANNED")</f>
        <v>68.255</v>
      </c>
    </row>
    <row r="18" spans="1:7">
      <c r="A18" s="3" t="s">
        <v>14</v>
      </c>
    </row>
    <row r="19" spans="1:7">
      <c r="A19" s="7" t="s">
        <v>59</v>
      </c>
      <c r="B19" s="8" t="s">
        <v>60</v>
      </c>
      <c r="C19" s="8" t="s">
        <v>61</v>
      </c>
      <c r="D19" s="8" t="s">
        <v>62</v>
      </c>
      <c r="E19" s="8" t="s">
        <v>63</v>
      </c>
      <c r="F19" s="8" t="s">
        <v>64</v>
      </c>
      <c r="G19" s="8" t="s">
        <v>65</v>
      </c>
    </row>
    <row r="20" spans="1:7">
      <c r="A20" s="9">
        <v>2025</v>
      </c>
      <c r="B20" s="10">
        <f>SUMIFS(Data!$K:$K,Data!$A:$A,2025,Data!$B:$B,1,Data!$G:$G,"Hydrocracker",Data!$J:$J,"PLANNED")</f>
        <v>84.48</v>
      </c>
      <c r="C20" s="10">
        <f>SUMIFS(Data!$K:$K,Data!$A:$A,2025,Data!$B:$B,2,Data!$G:$G,"Hydrocracker",Data!$J:$J,"PLANNED")</f>
        <v>64.74</v>
      </c>
      <c r="D20" s="10">
        <f>SUMIFS(Data!$K:$K,Data!$A:$A,2025,Data!$B:$B,3,Data!$G:$G,"Hydrocracker",Data!$J:$J,"PLANNED")</f>
        <v>9.669</v>
      </c>
      <c r="E20" s="10">
        <f>SUMIFS(Data!$K:$K,Data!$A:$A,2025,Data!$B:$B,4,Data!$G:$G,"Hydrocracker",Data!$J:$J,"PLANNED")</f>
        <v>64.31</v>
      </c>
      <c r="F20" s="10">
        <f>SUMIFS(Data!$K:$K,Data!$A:$A,2025,Data!$B:$B,5,Data!$G:$G,"Hydrocracker",Data!$J:$J,"PLANNED")</f>
        <v>45.6</v>
      </c>
      <c r="G20" s="10">
        <f>SUMIFS(Data!$K:$K,Data!$A:$A,2025,Data!$B:$B,6,Data!$G:$G,"Hydrocracker",Data!$J:$J,"PLANNED")</f>
        <v>20.811</v>
      </c>
    </row>
    <row r="21" spans="1:7">
      <c r="A21" s="9">
        <v>2026</v>
      </c>
      <c r="B21" s="10">
        <f>SUMIFS(Data!$K:$K,Data!$A:$A,2026,Data!$B:$B,1,Data!$G:$G,"Hydrocracker",Data!$J:$J,"PLANNED")</f>
        <v>44.379999999999995</v>
      </c>
      <c r="C21" s="10">
        <f>SUMIFS(Data!$K:$K,Data!$A:$A,2026,Data!$B:$B,2,Data!$G:$G,"Hydrocracker",Data!$J:$J,"PLANNED")</f>
        <v>49.32</v>
      </c>
      <c r="D21" s="10">
        <f>SUMIFS(Data!$K:$K,Data!$A:$A,2026,Data!$B:$B,3,Data!$G:$G,"Hydrocracker",Data!$J:$J,"PLANNED")</f>
        <v>81.24499999999999</v>
      </c>
      <c r="E21" s="10">
        <f>SUMIFS(Data!$K:$K,Data!$A:$A,2026,Data!$B:$B,4,Data!$G:$G,"Hydrocracker",Data!$J:$J,"PLANNED")</f>
        <v>106.25</v>
      </c>
      <c r="F21" s="10">
        <f>SUMIFS(Data!$K:$K,Data!$A:$A,2026,Data!$B:$B,5,Data!$G:$G,"Hydrocracker",Data!$J:$J,"PLANNED")</f>
        <v>59.05</v>
      </c>
      <c r="G21" s="10">
        <f>SUMIFS(Data!$K:$K,Data!$A:$A,2026,Data!$B:$B,6,Data!$G:$G,"Hydrocracker",Data!$J:$J,"PLANNED")</f>
        <v>6.5</v>
      </c>
    </row>
    <row r="22" spans="1:7">
      <c r="A22" s="9">
        <v>2027</v>
      </c>
      <c r="B22" s="10">
        <f>SUMIFS(Data!$K:$K,Data!$A:$A,2027,Data!$B:$B,1,Data!$G:$G,"Hydrocracker",Data!$J:$J,"PLANNED")</f>
        <v>121.41</v>
      </c>
      <c r="C22" s="10">
        <f>SUMIFS(Data!$K:$K,Data!$A:$A,2027,Data!$B:$B,2,Data!$G:$G,"Hydrocracker",Data!$J:$J,"PLANNED")</f>
        <v>141.67000000000002</v>
      </c>
      <c r="D22" s="10">
        <f>SUMIFS(Data!$K:$K,Data!$A:$A,2027,Data!$B:$B,3,Data!$G:$G,"Hydrocracker",Data!$J:$J,"PLANNED")</f>
        <v>75.53</v>
      </c>
      <c r="E22" s="10">
        <f>SUMIFS(Data!$K:$K,Data!$A:$A,2027,Data!$B:$B,4,Data!$G:$G,"Hydrocracker",Data!$J:$J,"PLANNED")</f>
        <v>39.15</v>
      </c>
      <c r="F22" s="10">
        <f>SUMIFS(Data!$K:$K,Data!$A:$A,2027,Data!$B:$B,5,Data!$G:$G,"Hydrocracker",Data!$J:$J,"PLANNED")</f>
        <v>0.0</v>
      </c>
      <c r="G22" s="10">
        <f>SUMIFS(Data!$K:$K,Data!$A:$A,2027,Data!$B:$B,6,Data!$G:$G,"Hydrocracker",Data!$J:$J,"PLANNED")</f>
        <v>0.0</v>
      </c>
    </row>
    <row r="25" spans="1:7">
      <c r="A25" s="3" t="s">
        <v>15</v>
      </c>
    </row>
    <row r="26" spans="1:7">
      <c r="A26" s="7" t="s">
        <v>59</v>
      </c>
      <c r="B26" s="8" t="s">
        <v>60</v>
      </c>
      <c r="C26" s="8" t="s">
        <v>61</v>
      </c>
      <c r="D26" s="8" t="s">
        <v>62</v>
      </c>
      <c r="E26" s="8" t="s">
        <v>63</v>
      </c>
      <c r="F26" s="8" t="s">
        <v>64</v>
      </c>
      <c r="G26" s="8" t="s">
        <v>65</v>
      </c>
    </row>
    <row r="27" spans="1:7">
      <c r="A27" s="9">
        <v>2025</v>
      </c>
      <c r="B27" s="10">
        <f>SUMIFS(Data!$K:$K,Data!$A:$A,2025,Data!$B:$B,1,Data!$G:$G,"Reformer",Data!$J:$J,"PLANNED")</f>
        <v>78.466</v>
      </c>
      <c r="C27" s="10">
        <f>SUMIFS(Data!$K:$K,Data!$A:$A,2025,Data!$B:$B,2,Data!$G:$G,"Reformer",Data!$J:$J,"PLANNED")</f>
        <v>145.75</v>
      </c>
      <c r="D27" s="10">
        <f>SUMIFS(Data!$K:$K,Data!$A:$A,2025,Data!$B:$B,3,Data!$G:$G,"Reformer",Data!$J:$J,"PLANNED")</f>
        <v>160.432</v>
      </c>
      <c r="E27" s="10">
        <f>SUMIFS(Data!$K:$K,Data!$A:$A,2025,Data!$B:$B,4,Data!$G:$G,"Reformer",Data!$J:$J,"PLANNED")</f>
        <v>202.358</v>
      </c>
      <c r="F27" s="10">
        <f>SUMIFS(Data!$K:$K,Data!$A:$A,2025,Data!$B:$B,5,Data!$G:$G,"Reformer",Data!$J:$J,"PLANNED")</f>
        <v>113.691</v>
      </c>
      <c r="G27" s="10">
        <f>SUMIFS(Data!$K:$K,Data!$A:$A,2025,Data!$B:$B,6,Data!$G:$G,"Reformer",Data!$J:$J,"PLANNED")</f>
        <v>43.806</v>
      </c>
    </row>
    <row r="28" spans="1:7">
      <c r="A28" s="9">
        <v>2026</v>
      </c>
      <c r="B28" s="10">
        <f>SUMIFS(Data!$K:$K,Data!$A:$A,2026,Data!$B:$B,1,Data!$G:$G,"Reformer",Data!$J:$J,"PLANNED")</f>
        <v>44.665</v>
      </c>
      <c r="C28" s="10">
        <f>SUMIFS(Data!$K:$K,Data!$A:$A,2026,Data!$B:$B,2,Data!$G:$G,"Reformer",Data!$J:$J,"PLANNED")</f>
        <v>60.616</v>
      </c>
      <c r="D28" s="10">
        <f>SUMIFS(Data!$K:$K,Data!$A:$A,2026,Data!$B:$B,3,Data!$G:$G,"Reformer",Data!$J:$J,"PLANNED")</f>
        <v>85.93</v>
      </c>
      <c r="E28" s="10">
        <f>SUMIFS(Data!$K:$K,Data!$A:$A,2026,Data!$B:$B,4,Data!$G:$G,"Reformer",Data!$J:$J,"PLANNED")</f>
        <v>92.18</v>
      </c>
      <c r="F28" s="10">
        <f>SUMIFS(Data!$K:$K,Data!$A:$A,2026,Data!$B:$B,5,Data!$G:$G,"Reformer",Data!$J:$J,"PLANNED")</f>
        <v>51.27</v>
      </c>
      <c r="G28" s="10">
        <f>SUMIFS(Data!$K:$K,Data!$A:$A,2026,Data!$B:$B,6,Data!$G:$G,"Reformer",Data!$J:$J,"PLANNED")</f>
        <v>6.5</v>
      </c>
    </row>
    <row r="29" spans="1:7">
      <c r="A29" s="9">
        <v>2027</v>
      </c>
      <c r="B29" s="10">
        <f>SUMIFS(Data!$K:$K,Data!$A:$A,2027,Data!$B:$B,1,Data!$G:$G,"Reformer",Data!$J:$J,"PLANNED")</f>
        <v>29.125</v>
      </c>
      <c r="C29" s="10">
        <f>SUMIFS(Data!$K:$K,Data!$A:$A,2027,Data!$B:$B,2,Data!$G:$G,"Reformer",Data!$J:$J,"PLANNED")</f>
        <v>68.78</v>
      </c>
      <c r="D29" s="10">
        <f>SUMIFS(Data!$K:$K,Data!$A:$A,2027,Data!$B:$B,3,Data!$G:$G,"Reformer",Data!$J:$J,"PLANNED")</f>
        <v>184.88899999999998</v>
      </c>
      <c r="E29" s="10">
        <f>SUMIFS(Data!$K:$K,Data!$A:$A,2027,Data!$B:$B,4,Data!$G:$G,"Reformer",Data!$J:$J,"PLANNED")</f>
        <v>141.475</v>
      </c>
      <c r="F29" s="10">
        <f>SUMIFS(Data!$K:$K,Data!$A:$A,2027,Data!$B:$B,5,Data!$G:$G,"Reformer",Data!$J:$J,"PLANNED")</f>
        <v>45.428</v>
      </c>
      <c r="G29" s="10">
        <f>SUMIFS(Data!$K:$K,Data!$A:$A,2027,Data!$B:$B,6,Data!$G:$G,"Reformer",Data!$J:$J,"PLANNED")</f>
        <v>0.3</v>
      </c>
    </row>
    <row r="32" spans="1:7">
      <c r="A32" s="3" t="s">
        <v>145</v>
      </c>
    </row>
    <row r="33" spans="1:4">
      <c r="A33" s="7" t="s">
        <v>35</v>
      </c>
      <c r="B33" s="8">
        <v>2025</v>
      </c>
      <c r="C33" s="8">
        <v>2026</v>
      </c>
      <c r="D33" s="8">
        <v>2027</v>
      </c>
    </row>
    <row r="34" spans="1:4">
      <c r="A34" s="9" t="s">
        <v>58</v>
      </c>
      <c r="B34" s="10">
        <f>AVERAGE(B6:G6)</f>
        <v>704.9314166666665</v>
      </c>
      <c r="C34" s="10">
        <f>AVERAGE(B7:G7)</f>
        <v>497.59383333333335</v>
      </c>
      <c r="D34" s="10">
        <f>AVERAGE(B8:G8)</f>
        <v>531.6616666666667</v>
      </c>
    </row>
    <row r="35" spans="1:4">
      <c r="A35" s="9" t="s">
        <v>72</v>
      </c>
      <c r="B35" s="10">
        <f>AVERAGE(B13:G13)</f>
        <v>187.615</v>
      </c>
      <c r="C35" s="10">
        <f>AVERAGE(B14:G14)</f>
        <v>139.7553333333333</v>
      </c>
      <c r="D35" s="10">
        <f>AVERAGE(B15:G15)</f>
        <v>231.90058333333332</v>
      </c>
    </row>
    <row r="36" spans="1:4">
      <c r="A36" s="9" t="s">
        <v>14</v>
      </c>
      <c r="B36" s="10">
        <f>AVERAGE(B20:G20)</f>
        <v>48.26833333333334</v>
      </c>
      <c r="C36" s="10">
        <f>AVERAGE(B21:G21)</f>
        <v>57.79083333333333</v>
      </c>
      <c r="D36" s="10">
        <f>AVERAGE(B22:G22)</f>
        <v>62.96</v>
      </c>
    </row>
    <row r="37" spans="1:4">
      <c r="A37" s="9" t="s">
        <v>15</v>
      </c>
      <c r="B37" s="10">
        <f>AVERAGE(B27:G27)</f>
        <v>124.08383333333336</v>
      </c>
      <c r="C37" s="10">
        <f>AVERAGE(B28:G28)</f>
        <v>56.860166666666665</v>
      </c>
      <c r="D37" s="10">
        <f>AVERAGE(B29:G29)</f>
        <v>78.33283333333334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8B8B"/>
  </sheetPr>
  <dimension ref="A1:J67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146</v>
      </c>
    </row>
    <row r="2" spans="1:8">
      <c r="A2" s="2" t="s">
        <v>147</v>
      </c>
    </row>
    <row r="4" spans="1:8">
      <c r="A4" s="7" t="s">
        <v>35</v>
      </c>
      <c r="B4" s="7" t="s">
        <v>36</v>
      </c>
      <c r="C4" s="7" t="s">
        <v>59</v>
      </c>
      <c r="D4" s="7" t="s">
        <v>148</v>
      </c>
      <c r="E4" s="7" t="s">
        <v>149</v>
      </c>
      <c r="F4" s="8" t="s">
        <v>37</v>
      </c>
      <c r="G4" s="8" t="s">
        <v>150</v>
      </c>
      <c r="H4" s="8" t="s">
        <v>151</v>
      </c>
    </row>
    <row r="5" spans="1:8">
      <c r="A5" s="6" t="s">
        <v>12</v>
      </c>
      <c r="B5" s="6" t="s">
        <v>152</v>
      </c>
      <c r="C5" s="6">
        <v>2023</v>
      </c>
      <c r="D5" s="6">
        <v>1</v>
      </c>
      <c r="E5" s="9" t="s">
        <v>153</v>
      </c>
      <c r="F5" s="10">
        <f>SUMIFS(Data!$K:$K,Data!$A:$A,2023,Data!$B:$B,1,Data!$G:$G,"CDU",Data!$F:$F,"PADD 1")</f>
        <v>63.260000000000005</v>
      </c>
    </row>
    <row r="6" spans="1:8">
      <c r="A6" s="6" t="s">
        <v>12</v>
      </c>
      <c r="B6" s="6" t="s">
        <v>152</v>
      </c>
      <c r="C6" s="6">
        <v>2023</v>
      </c>
      <c r="D6" s="6">
        <v>2</v>
      </c>
      <c r="E6" s="9" t="s">
        <v>154</v>
      </c>
      <c r="F6" s="10">
        <f>SUMIFS(Data!$K:$K,Data!$A:$A,2023,Data!$B:$B,2,Data!$G:$G,"CDU",Data!$F:$F,"PADD 1")</f>
        <v>129.0</v>
      </c>
      <c r="G6" s="11">
        <f>IFERROR(F6/F5-1,"")</f>
        <v>1.0392032880177045</v>
      </c>
    </row>
    <row r="7" spans="1:8">
      <c r="A7" s="6" t="s">
        <v>12</v>
      </c>
      <c r="B7" s="6" t="s">
        <v>152</v>
      </c>
      <c r="C7" s="6">
        <v>2023</v>
      </c>
      <c r="D7" s="6">
        <v>3</v>
      </c>
      <c r="E7" s="9" t="s">
        <v>155</v>
      </c>
      <c r="F7" s="10">
        <f>SUMIFS(Data!$K:$K,Data!$A:$A,2023,Data!$B:$B,3,Data!$G:$G,"CDU",Data!$F:$F,"PADD 1")</f>
        <v>189.71</v>
      </c>
      <c r="G7" s="11">
        <f>IFERROR(F7/F6-1,"")</f>
        <v>0.47062015503875965</v>
      </c>
    </row>
    <row r="8" spans="1:8">
      <c r="A8" s="6" t="s">
        <v>12</v>
      </c>
      <c r="B8" s="6" t="s">
        <v>152</v>
      </c>
      <c r="C8" s="6">
        <v>2023</v>
      </c>
      <c r="D8" s="6">
        <v>4</v>
      </c>
      <c r="E8" s="9" t="s">
        <v>156</v>
      </c>
      <c r="F8" s="10">
        <f>SUMIFS(Data!$K:$K,Data!$A:$A,2023,Data!$B:$B,4,Data!$G:$G,"CDU",Data!$F:$F,"PADD 1")</f>
        <v>22.31</v>
      </c>
      <c r="G8" s="11">
        <f>IFERROR(F8/F7-1,"")</f>
        <v>-0.8823994517948448</v>
      </c>
    </row>
    <row r="9" spans="1:8">
      <c r="A9" s="6" t="s">
        <v>12</v>
      </c>
      <c r="B9" s="6" t="s">
        <v>152</v>
      </c>
      <c r="C9" s="6">
        <v>2023</v>
      </c>
      <c r="D9" s="6">
        <v>5</v>
      </c>
      <c r="E9" s="9" t="s">
        <v>157</v>
      </c>
      <c r="F9" s="10">
        <f>SUMIFS(Data!$K:$K,Data!$A:$A,2023,Data!$B:$B,5,Data!$G:$G,"CDU",Data!$F:$F,"PADD 1")</f>
        <v>0.0</v>
      </c>
      <c r="G9" s="11">
        <f>IFERROR(F9/F8-1,"")</f>
        <v>-1.0</v>
      </c>
    </row>
    <row r="10" spans="1:8">
      <c r="A10" s="6" t="s">
        <v>12</v>
      </c>
      <c r="B10" s="6" t="s">
        <v>152</v>
      </c>
      <c r="C10" s="6">
        <v>2023</v>
      </c>
      <c r="D10" s="6">
        <v>6</v>
      </c>
      <c r="E10" s="9" t="s">
        <v>158</v>
      </c>
      <c r="F10" s="10">
        <f>SUMIFS(Data!$K:$K,Data!$A:$A,2023,Data!$B:$B,6,Data!$G:$G,"CDU",Data!$F:$F,"PADD 1")</f>
        <v>99.52250000000001</v>
      </c>
      <c r="G10" s="11">
        <f>IFERROR(F10/F9-1,"")</f>
        <v/>
      </c>
    </row>
    <row r="11" spans="1:8">
      <c r="A11" s="6" t="s">
        <v>12</v>
      </c>
      <c r="B11" s="6" t="s">
        <v>152</v>
      </c>
      <c r="C11" s="6">
        <v>2023</v>
      </c>
      <c r="D11" s="6">
        <v>7</v>
      </c>
      <c r="E11" s="9" t="s">
        <v>159</v>
      </c>
      <c r="F11" s="10">
        <f>SUMIFS(Data!$K:$K,Data!$A:$A,2023,Data!$B:$B,7,Data!$G:$G,"CDU",Data!$F:$F,"PADD 1")</f>
        <v>87.89</v>
      </c>
      <c r="G11" s="11">
        <f>IFERROR(F11/F10-1,"")</f>
        <v>-0.11688311688311692</v>
      </c>
    </row>
    <row r="12" spans="1:8">
      <c r="A12" s="6" t="s">
        <v>12</v>
      </c>
      <c r="B12" s="6" t="s">
        <v>152</v>
      </c>
      <c r="C12" s="6">
        <v>2023</v>
      </c>
      <c r="D12" s="6">
        <v>8</v>
      </c>
      <c r="E12" s="9" t="s">
        <v>160</v>
      </c>
      <c r="F12" s="10">
        <f>SUMIFS(Data!$K:$K,Data!$A:$A,2023,Data!$B:$B,8,Data!$G:$G,"CDU",Data!$F:$F,"PADD 1")</f>
        <v>0.0</v>
      </c>
      <c r="G12" s="11">
        <f>IFERROR(F12/F11-1,"")</f>
        <v>-1.0</v>
      </c>
    </row>
    <row r="13" spans="1:8">
      <c r="A13" s="6" t="s">
        <v>12</v>
      </c>
      <c r="B13" s="6" t="s">
        <v>152</v>
      </c>
      <c r="C13" s="6">
        <v>2023</v>
      </c>
      <c r="D13" s="6">
        <v>9</v>
      </c>
      <c r="E13" s="9" t="s">
        <v>161</v>
      </c>
      <c r="F13" s="10">
        <f>SUMIFS(Data!$K:$K,Data!$A:$A,2023,Data!$B:$B,9,Data!$G:$G,"CDU",Data!$F:$F,"PADD 1")</f>
        <v>100.725</v>
      </c>
      <c r="G13" s="11">
        <f>IFERROR(F13/F12-1,"")</f>
        <v/>
      </c>
    </row>
    <row r="14" spans="1:8">
      <c r="A14" s="6" t="s">
        <v>12</v>
      </c>
      <c r="B14" s="6" t="s">
        <v>152</v>
      </c>
      <c r="C14" s="6">
        <v>2023</v>
      </c>
      <c r="D14" s="6">
        <v>10</v>
      </c>
      <c r="E14" s="9" t="s">
        <v>162</v>
      </c>
      <c r="F14" s="10">
        <f>SUMIFS(Data!$K:$K,Data!$A:$A,2023,Data!$B:$B,10,Data!$G:$G,"CDU",Data!$F:$F,"PADD 1")</f>
        <v>185.0</v>
      </c>
      <c r="G14" s="11">
        <f>IFERROR(F14/F13-1,"")</f>
        <v>0.8366840407048897</v>
      </c>
    </row>
    <row r="15" spans="1:8">
      <c r="A15" s="6" t="s">
        <v>12</v>
      </c>
      <c r="B15" s="6" t="s">
        <v>152</v>
      </c>
      <c r="C15" s="6">
        <v>2023</v>
      </c>
      <c r="D15" s="6">
        <v>11</v>
      </c>
      <c r="E15" s="9" t="s">
        <v>163</v>
      </c>
      <c r="F15" s="10">
        <f>SUMIFS(Data!$K:$K,Data!$A:$A,2023,Data!$B:$B,11,Data!$G:$G,"CDU",Data!$F:$F,"PADD 1")</f>
        <v>55.5</v>
      </c>
      <c r="G15" s="11">
        <f>IFERROR(F15/F14-1,"")</f>
        <v>-0.7</v>
      </c>
    </row>
    <row r="16" spans="1:8">
      <c r="A16" s="6" t="s">
        <v>12</v>
      </c>
      <c r="B16" s="6" t="s">
        <v>152</v>
      </c>
      <c r="C16" s="6">
        <v>2023</v>
      </c>
      <c r="D16" s="6">
        <v>12</v>
      </c>
      <c r="E16" s="9" t="s">
        <v>164</v>
      </c>
      <c r="F16" s="10">
        <f>SUMIFS(Data!$K:$K,Data!$A:$A,2023,Data!$B:$B,12,Data!$G:$G,"CDU",Data!$F:$F,"PADD 1")</f>
        <v>25.85</v>
      </c>
      <c r="G16" s="11">
        <f>IFERROR(F16/F15-1,"")</f>
        <v>-0.5342342342342342</v>
      </c>
    </row>
    <row r="17" spans="1:8">
      <c r="A17" s="6" t="s">
        <v>12</v>
      </c>
      <c r="B17" s="6" t="s">
        <v>152</v>
      </c>
      <c r="C17" s="6">
        <v>2024</v>
      </c>
      <c r="D17" s="6">
        <v>1</v>
      </c>
      <c r="E17" s="9" t="s">
        <v>165</v>
      </c>
      <c r="F17" s="10">
        <f>SUMIFS(Data!$K:$K,Data!$A:$A,2024,Data!$B:$B,1,Data!$G:$G,"CDU",Data!$F:$F,"PADD 1")</f>
        <v>39.56</v>
      </c>
      <c r="G17" s="11">
        <f>IFERROR(F17/F16-1,"")</f>
        <v>0.53036750483559</v>
      </c>
      <c r="H17" s="11">
        <f>IFERROR(F17/F5-1,"")</f>
        <v>-0.3746443250079039</v>
      </c>
    </row>
    <row r="18" spans="1:8">
      <c r="A18" s="6" t="s">
        <v>12</v>
      </c>
      <c r="B18" s="6" t="s">
        <v>152</v>
      </c>
      <c r="C18" s="6">
        <v>2024</v>
      </c>
      <c r="D18" s="6">
        <v>2</v>
      </c>
      <c r="E18" s="9" t="s">
        <v>166</v>
      </c>
      <c r="F18" s="10">
        <f>SUMIFS(Data!$K:$K,Data!$A:$A,2024,Data!$B:$B,2,Data!$G:$G,"CDU",Data!$F:$F,"PADD 1")</f>
        <v>0.0</v>
      </c>
      <c r="G18" s="11">
        <f>IFERROR(F18/F17-1,"")</f>
        <v>-1.0</v>
      </c>
      <c r="H18" s="11">
        <f>IFERROR(F18/F6-1,"")</f>
        <v>-1.0</v>
      </c>
    </row>
    <row r="19" spans="1:8">
      <c r="A19" s="6" t="s">
        <v>12</v>
      </c>
      <c r="B19" s="6" t="s">
        <v>152</v>
      </c>
      <c r="C19" s="6">
        <v>2024</v>
      </c>
      <c r="D19" s="6">
        <v>3</v>
      </c>
      <c r="E19" s="9" t="s">
        <v>167</v>
      </c>
      <c r="F19" s="10">
        <f>SUMIFS(Data!$K:$K,Data!$A:$A,2024,Data!$B:$B,3,Data!$G:$G,"CDU",Data!$F:$F,"PADD 1")</f>
        <v>60.55</v>
      </c>
      <c r="G19" s="11">
        <f>IFERROR(F19/F18-1,"")</f>
        <v/>
      </c>
      <c r="H19" s="11">
        <f>IFERROR(F19/F7-1,"")</f>
        <v>-0.6808286331769543</v>
      </c>
    </row>
    <row r="20" spans="1:8">
      <c r="A20" s="6" t="s">
        <v>12</v>
      </c>
      <c r="B20" s="6" t="s">
        <v>152</v>
      </c>
      <c r="C20" s="6">
        <v>2024</v>
      </c>
      <c r="D20" s="6">
        <v>4</v>
      </c>
      <c r="E20" s="9" t="s">
        <v>168</v>
      </c>
      <c r="F20" s="10">
        <f>SUMIFS(Data!$K:$K,Data!$A:$A,2024,Data!$B:$B,4,Data!$G:$G,"CDU",Data!$F:$F,"PADD 1")</f>
        <v>47.775</v>
      </c>
      <c r="G20" s="11">
        <f>IFERROR(F20/F19-1,"")</f>
        <v>-0.2109826589595376</v>
      </c>
      <c r="H20" s="11">
        <f>IFERROR(F20/F8-1,"")</f>
        <v>1.141416405199462</v>
      </c>
    </row>
    <row r="21" spans="1:8">
      <c r="A21" s="6" t="s">
        <v>12</v>
      </c>
      <c r="B21" s="6" t="s">
        <v>152</v>
      </c>
      <c r="C21" s="6">
        <v>2024</v>
      </c>
      <c r="D21" s="6">
        <v>5</v>
      </c>
      <c r="E21" s="9" t="s">
        <v>169</v>
      </c>
      <c r="F21" s="10">
        <f>SUMIFS(Data!$K:$K,Data!$A:$A,2024,Data!$B:$B,5,Data!$G:$G,"CDU",Data!$F:$F,"PADD 1")</f>
        <v>0.0</v>
      </c>
      <c r="G21" s="11">
        <f>IFERROR(F21/F20-1,"")</f>
        <v>-1.0</v>
      </c>
      <c r="H21" s="11">
        <f>IFERROR(F21/F9-1,"")</f>
        <v/>
      </c>
    </row>
    <row r="22" spans="1:8">
      <c r="A22" s="6" t="s">
        <v>12</v>
      </c>
      <c r="B22" s="6" t="s">
        <v>152</v>
      </c>
      <c r="C22" s="6">
        <v>2024</v>
      </c>
      <c r="D22" s="6">
        <v>6</v>
      </c>
      <c r="E22" s="9" t="s">
        <v>170</v>
      </c>
      <c r="F22" s="10">
        <f>SUMIFS(Data!$K:$K,Data!$A:$A,2024,Data!$B:$B,6,Data!$G:$G,"CDU",Data!$F:$F,"PADD 1")</f>
        <v>0.0</v>
      </c>
      <c r="G22" s="11">
        <f>IFERROR(F22/F21-1,"")</f>
        <v/>
      </c>
      <c r="H22" s="11">
        <f>IFERROR(F22/F10-1,"")</f>
        <v>-1.0</v>
      </c>
    </row>
    <row r="23" spans="1:8">
      <c r="A23" s="6" t="s">
        <v>12</v>
      </c>
      <c r="B23" s="6" t="s">
        <v>152</v>
      </c>
      <c r="C23" s="6">
        <v>2024</v>
      </c>
      <c r="D23" s="6">
        <v>7</v>
      </c>
      <c r="E23" s="9" t="s">
        <v>171</v>
      </c>
      <c r="F23" s="10">
        <f>SUMIFS(Data!$K:$K,Data!$A:$A,2024,Data!$B:$B,7,Data!$G:$G,"CDU",Data!$F:$F,"PADD 1")</f>
        <v>11.25</v>
      </c>
      <c r="G23" s="11">
        <f>IFERROR(F23/F22-1,"")</f>
        <v/>
      </c>
      <c r="H23" s="11">
        <f>IFERROR(F23/F11-1,"")</f>
        <v>-0.871999089771305</v>
      </c>
    </row>
    <row r="24" spans="1:8">
      <c r="A24" s="6" t="s">
        <v>12</v>
      </c>
      <c r="B24" s="6" t="s">
        <v>152</v>
      </c>
      <c r="C24" s="6">
        <v>2024</v>
      </c>
      <c r="D24" s="6">
        <v>8</v>
      </c>
      <c r="E24" s="9" t="s">
        <v>172</v>
      </c>
      <c r="F24" s="10">
        <f>SUMIFS(Data!$K:$K,Data!$A:$A,2024,Data!$B:$B,8,Data!$G:$G,"CDU",Data!$F:$F,"PADD 1")</f>
        <v>0.0</v>
      </c>
      <c r="G24" s="11">
        <f>IFERROR(F24/F23-1,"")</f>
        <v>-1.0</v>
      </c>
      <c r="H24" s="11">
        <f>IFERROR(F24/F12-1,"")</f>
        <v/>
      </c>
    </row>
    <row r="25" spans="1:8">
      <c r="A25" s="6" t="s">
        <v>12</v>
      </c>
      <c r="B25" s="6" t="s">
        <v>152</v>
      </c>
      <c r="C25" s="6">
        <v>2024</v>
      </c>
      <c r="D25" s="6">
        <v>9</v>
      </c>
      <c r="E25" s="9" t="s">
        <v>173</v>
      </c>
      <c r="F25" s="10">
        <f>SUMIFS(Data!$K:$K,Data!$A:$A,2024,Data!$B:$B,9,Data!$G:$G,"CDU",Data!$F:$F,"PADD 1")</f>
        <v>0.0</v>
      </c>
      <c r="G25" s="11">
        <f>IFERROR(F25/F24-1,"")</f>
        <v/>
      </c>
      <c r="H25" s="11">
        <f>IFERROR(F25/F13-1,"")</f>
        <v>-1.0</v>
      </c>
    </row>
    <row r="26" spans="1:8">
      <c r="A26" s="6" t="s">
        <v>12</v>
      </c>
      <c r="B26" s="6" t="s">
        <v>152</v>
      </c>
      <c r="C26" s="6">
        <v>2024</v>
      </c>
      <c r="D26" s="6">
        <v>10</v>
      </c>
      <c r="E26" s="9" t="s">
        <v>174</v>
      </c>
      <c r="F26" s="10">
        <f>SUMIFS(Data!$K:$K,Data!$A:$A,2024,Data!$B:$B,10,Data!$G:$G,"CDU",Data!$F:$F,"PADD 1")</f>
        <v>73.08</v>
      </c>
      <c r="G26" s="11">
        <f>IFERROR(F26/F25-1,"")</f>
        <v/>
      </c>
      <c r="H26" s="11">
        <f>IFERROR(F26/F14-1,"")</f>
        <v>-0.6049729729729729</v>
      </c>
    </row>
    <row r="27" spans="1:8">
      <c r="A27" s="6" t="s">
        <v>12</v>
      </c>
      <c r="B27" s="6" t="s">
        <v>152</v>
      </c>
      <c r="C27" s="6">
        <v>2024</v>
      </c>
      <c r="D27" s="6">
        <v>11</v>
      </c>
      <c r="E27" s="9" t="s">
        <v>175</v>
      </c>
      <c r="F27" s="10">
        <f>SUMIFS(Data!$K:$K,Data!$A:$A,2024,Data!$B:$B,11,Data!$G:$G,"CDU",Data!$F:$F,"PADD 1")</f>
        <v>116.9</v>
      </c>
      <c r="G27" s="11">
        <f>IFERROR(F27/F26-1,"")</f>
        <v>0.5996168582375481</v>
      </c>
      <c r="H27" s="11">
        <f>IFERROR(F27/F15-1,"")</f>
        <v>1.1063063063063066</v>
      </c>
    </row>
    <row r="28" spans="1:8">
      <c r="A28" s="6" t="s">
        <v>12</v>
      </c>
      <c r="B28" s="6" t="s">
        <v>152</v>
      </c>
      <c r="C28" s="6">
        <v>2024</v>
      </c>
      <c r="D28" s="6">
        <v>12</v>
      </c>
      <c r="E28" s="9" t="s">
        <v>176</v>
      </c>
      <c r="F28" s="10">
        <f>SUMIFS(Data!$K:$K,Data!$A:$A,2024,Data!$B:$B,12,Data!$G:$G,"CDU",Data!$F:$F,"PADD 1")</f>
        <v>159.85</v>
      </c>
      <c r="G28" s="11">
        <f>IFERROR(F28/F27-1,"")</f>
        <v>0.36740804106073566</v>
      </c>
      <c r="H28" s="11">
        <f>IFERROR(F28/F16-1,"")</f>
        <v>5.18375241779497</v>
      </c>
    </row>
    <row r="29" spans="1:8">
      <c r="A29" s="6" t="s">
        <v>12</v>
      </c>
      <c r="B29" s="6" t="s">
        <v>152</v>
      </c>
      <c r="C29" s="6">
        <v>2025</v>
      </c>
      <c r="D29" s="6">
        <v>1</v>
      </c>
      <c r="E29" s="9" t="s">
        <v>177</v>
      </c>
      <c r="F29" s="10">
        <f>SUMIFS(Data!$K:$K,Data!$A:$A,2025,Data!$B:$B,1,Data!$G:$G,"CDU",Data!$F:$F,"PADD 1")</f>
        <v>170.12</v>
      </c>
      <c r="G29" s="11">
        <f>IFERROR(F29/F28-1,"")</f>
        <v>0.06424773224898339</v>
      </c>
      <c r="H29" s="11">
        <f>IFERROR(F29/F17-1,"")</f>
        <v>3.300303336703741</v>
      </c>
    </row>
    <row r="30" spans="1:8">
      <c r="A30" s="6" t="s">
        <v>12</v>
      </c>
      <c r="B30" s="6" t="s">
        <v>152</v>
      </c>
      <c r="C30" s="6">
        <v>2025</v>
      </c>
      <c r="D30" s="6">
        <v>2</v>
      </c>
      <c r="E30" s="9" t="s">
        <v>178</v>
      </c>
      <c r="F30" s="10">
        <f>SUMIFS(Data!$K:$K,Data!$A:$A,2025,Data!$B:$B,2,Data!$G:$G,"CDU",Data!$F:$F,"PADD 1")</f>
        <v>306.59000000000003</v>
      </c>
      <c r="G30" s="11">
        <f>IFERROR(F30/F29-1,"")</f>
        <v>0.8021984481542441</v>
      </c>
      <c r="H30" s="11">
        <f>IFERROR(F30/F18-1,"")</f>
        <v/>
      </c>
    </row>
    <row r="31" spans="1:8">
      <c r="A31" s="6" t="s">
        <v>12</v>
      </c>
      <c r="B31" s="6" t="s">
        <v>152</v>
      </c>
      <c r="C31" s="6">
        <v>2025</v>
      </c>
      <c r="D31" s="6">
        <v>3</v>
      </c>
      <c r="E31" s="9" t="s">
        <v>179</v>
      </c>
      <c r="F31" s="10">
        <f>SUMIFS(Data!$K:$K,Data!$A:$A,2025,Data!$B:$B,3,Data!$G:$G,"CDU",Data!$F:$F,"PADD 1")</f>
        <v>426.19</v>
      </c>
      <c r="G31" s="11">
        <f>IFERROR(F31/F30-1,"")</f>
        <v>0.39009752438109513</v>
      </c>
      <c r="H31" s="11">
        <f>IFERROR(F31/F19-1,"")</f>
        <v>6.038645747316268</v>
      </c>
    </row>
    <row r="32" spans="1:8">
      <c r="A32" s="6" t="s">
        <v>12</v>
      </c>
      <c r="B32" s="6" t="s">
        <v>152</v>
      </c>
      <c r="C32" s="6">
        <v>2025</v>
      </c>
      <c r="D32" s="6">
        <v>4</v>
      </c>
      <c r="E32" s="9" t="s">
        <v>180</v>
      </c>
      <c r="F32" s="10">
        <f>SUMIFS(Data!$K:$K,Data!$A:$A,2025,Data!$B:$B,4,Data!$G:$G,"CDU",Data!$F:$F,"PADD 1")</f>
        <v>128.3961</v>
      </c>
      <c r="G32" s="11">
        <f>IFERROR(F32/F31-1,"")</f>
        <v>-0.6987350712123701</v>
      </c>
      <c r="H32" s="11">
        <f>IFERROR(F32/F20-1,"")</f>
        <v>1.6875164835164833</v>
      </c>
    </row>
    <row r="33" spans="1:8">
      <c r="A33" s="6" t="s">
        <v>12</v>
      </c>
      <c r="B33" s="6" t="s">
        <v>152</v>
      </c>
      <c r="C33" s="6">
        <v>2025</v>
      </c>
      <c r="D33" s="6">
        <v>5</v>
      </c>
      <c r="E33" s="9" t="s">
        <v>181</v>
      </c>
      <c r="F33" s="10">
        <f>SUMIFS(Data!$K:$K,Data!$A:$A,2025,Data!$B:$B,5,Data!$G:$G,"CDU",Data!$F:$F,"PADD 1")</f>
        <v>87.63</v>
      </c>
      <c r="G33" s="11">
        <f>IFERROR(F33/F32-1,"")</f>
        <v>-0.31750263442581195</v>
      </c>
      <c r="H33" s="11">
        <f>IFERROR(F33/F21-1,"")</f>
        <v/>
      </c>
    </row>
    <row r="34" spans="1:8">
      <c r="A34" s="6" t="s">
        <v>12</v>
      </c>
      <c r="B34" s="6" t="s">
        <v>152</v>
      </c>
      <c r="C34" s="6">
        <v>2025</v>
      </c>
      <c r="D34" s="6">
        <v>6</v>
      </c>
      <c r="E34" s="9" t="s">
        <v>182</v>
      </c>
      <c r="F34" s="10">
        <f>SUMIFS(Data!$K:$K,Data!$A:$A,2025,Data!$B:$B,6,Data!$G:$G,"CDU",Data!$F:$F,"PADD 1")</f>
        <v>70.0371</v>
      </c>
      <c r="G34" s="11">
        <f>IFERROR(F34/F33-1,"")</f>
        <v>-0.20076343717904832</v>
      </c>
      <c r="H34" s="11">
        <f>IFERROR(F34/F22-1,"")</f>
        <v/>
      </c>
    </row>
    <row r="35" spans="1:8">
      <c r="A35" s="6" t="s">
        <v>12</v>
      </c>
      <c r="B35" s="6" t="s">
        <v>152</v>
      </c>
      <c r="C35" s="6">
        <v>2025</v>
      </c>
      <c r="D35" s="6">
        <v>7</v>
      </c>
      <c r="E35" s="9" t="s">
        <v>183</v>
      </c>
      <c r="F35" s="10">
        <f>SUMIFS(Data!$K:$K,Data!$A:$A,2025,Data!$B:$B,7,Data!$G:$G,"CDU",Data!$F:$F,"PADD 1")</f>
        <v>78.435</v>
      </c>
      <c r="G35" s="11">
        <f>IFERROR(F35/F34-1,"")</f>
        <v>0.1199064495817217</v>
      </c>
      <c r="H35" s="11">
        <f>IFERROR(F35/F23-1,"")</f>
        <v>5.972</v>
      </c>
    </row>
    <row r="36" spans="1:8">
      <c r="A36" s="6" t="s">
        <v>12</v>
      </c>
      <c r="B36" s="6" t="s">
        <v>152</v>
      </c>
      <c r="C36" s="6">
        <v>2025</v>
      </c>
      <c r="D36" s="6">
        <v>8</v>
      </c>
      <c r="E36" s="9" t="s">
        <v>184</v>
      </c>
      <c r="F36" s="10">
        <f>SUMIFS(Data!$K:$K,Data!$A:$A,2025,Data!$B:$B,8,Data!$G:$G,"CDU",Data!$F:$F,"PADD 1")</f>
        <v>0.0</v>
      </c>
      <c r="G36" s="11">
        <f>IFERROR(F36/F35-1,"")</f>
        <v>-1.0</v>
      </c>
      <c r="H36" s="11">
        <f>IFERROR(F36/F24-1,"")</f>
        <v/>
      </c>
    </row>
    <row r="37" spans="1:8">
      <c r="A37" s="6" t="s">
        <v>12</v>
      </c>
      <c r="B37" s="6" t="s">
        <v>152</v>
      </c>
      <c r="C37" s="6">
        <v>2025</v>
      </c>
      <c r="D37" s="6">
        <v>9</v>
      </c>
      <c r="E37" s="9" t="s">
        <v>185</v>
      </c>
      <c r="F37" s="10">
        <f>SUMIFS(Data!$K:$K,Data!$A:$A,2025,Data!$B:$B,9,Data!$G:$G,"CDU",Data!$F:$F,"PADD 1")</f>
        <v>0.0</v>
      </c>
      <c r="G37" s="11">
        <f>IFERROR(F37/F36-1,"")</f>
        <v/>
      </c>
      <c r="H37" s="11">
        <f>IFERROR(F37/F25-1,"")</f>
        <v/>
      </c>
    </row>
    <row r="38" spans="1:8">
      <c r="A38" s="6" t="s">
        <v>12</v>
      </c>
      <c r="B38" s="6" t="s">
        <v>152</v>
      </c>
      <c r="C38" s="6">
        <v>2025</v>
      </c>
      <c r="D38" s="6">
        <v>10</v>
      </c>
      <c r="E38" s="9" t="s">
        <v>186</v>
      </c>
      <c r="F38" s="10">
        <f>SUMIFS(Data!$K:$K,Data!$A:$A,2025,Data!$B:$B,10,Data!$G:$G,"CDU",Data!$F:$F,"PADD 1")</f>
        <v>0.0</v>
      </c>
      <c r="G38" s="11">
        <f>IFERROR(F38/F37-1,"")</f>
        <v/>
      </c>
      <c r="H38" s="11">
        <f>IFERROR(F38/F26-1,"")</f>
        <v>-1.0</v>
      </c>
    </row>
    <row r="39" spans="1:8">
      <c r="A39" s="6" t="s">
        <v>12</v>
      </c>
      <c r="B39" s="6" t="s">
        <v>152</v>
      </c>
      <c r="C39" s="6">
        <v>2025</v>
      </c>
      <c r="D39" s="6">
        <v>11</v>
      </c>
      <c r="E39" s="9" t="s">
        <v>187</v>
      </c>
      <c r="F39" s="10">
        <f>SUMIFS(Data!$K:$K,Data!$A:$A,2025,Data!$B:$B,11,Data!$G:$G,"CDU",Data!$F:$F,"PADD 1")</f>
        <v>0.0</v>
      </c>
      <c r="G39" s="11">
        <f>IFERROR(F39/F38-1,"")</f>
        <v/>
      </c>
      <c r="H39" s="11">
        <f>IFERROR(F39/F27-1,"")</f>
        <v>-1.0</v>
      </c>
    </row>
    <row r="40" spans="1:8">
      <c r="A40" s="6" t="s">
        <v>12</v>
      </c>
      <c r="B40" s="6" t="s">
        <v>152</v>
      </c>
      <c r="C40" s="6">
        <v>2025</v>
      </c>
      <c r="D40" s="6">
        <v>12</v>
      </c>
      <c r="E40" s="9" t="s">
        <v>188</v>
      </c>
      <c r="F40" s="10">
        <f>SUMIFS(Data!$K:$K,Data!$A:$A,2025,Data!$B:$B,12,Data!$G:$G,"CDU",Data!$F:$F,"PADD 1")</f>
        <v>0.0</v>
      </c>
      <c r="G40" s="11">
        <f>IFERROR(F40/F39-1,"")</f>
        <v/>
      </c>
      <c r="H40" s="11">
        <f>IFERROR(F40/F28-1,"")</f>
        <v>-1.0</v>
      </c>
    </row>
    <row r="41" spans="1:8">
      <c r="A41" s="6" t="s">
        <v>12</v>
      </c>
      <c r="B41" s="6" t="s">
        <v>152</v>
      </c>
      <c r="C41" s="6">
        <v>2026</v>
      </c>
      <c r="D41" s="6">
        <v>1</v>
      </c>
      <c r="E41" s="9" t="s">
        <v>189</v>
      </c>
      <c r="F41" s="10">
        <f>SUMIFS(Data!$K:$K,Data!$A:$A,2026,Data!$B:$B,1,Data!$G:$G,"CDU",Data!$F:$F,"PADD 1")</f>
        <v>17.6</v>
      </c>
      <c r="G41" s="11">
        <f>IFERROR(F41/F40-1,"")</f>
        <v/>
      </c>
      <c r="H41" s="11">
        <f>IFERROR(F41/F29-1,"")</f>
        <v>-0.8965436162708676</v>
      </c>
    </row>
    <row r="42" spans="1:8">
      <c r="A42" s="6" t="s">
        <v>12</v>
      </c>
      <c r="B42" s="6" t="s">
        <v>152</v>
      </c>
      <c r="C42" s="6">
        <v>2026</v>
      </c>
      <c r="D42" s="6">
        <v>2</v>
      </c>
      <c r="E42" s="9" t="s">
        <v>190</v>
      </c>
      <c r="F42" s="10">
        <f>SUMIFS(Data!$K:$K,Data!$A:$A,2026,Data!$B:$B,2,Data!$G:$G,"CDU",Data!$F:$F,"PADD 1")</f>
        <v>12.1</v>
      </c>
      <c r="G42" s="11">
        <f>IFERROR(F42/F41-1,"")</f>
        <v>-0.3125000000000001</v>
      </c>
      <c r="H42" s="11">
        <f>IFERROR(F42/F30-1,"")</f>
        <v>-0.9605336116637855</v>
      </c>
    </row>
    <row r="43" spans="1:8">
      <c r="A43" s="6" t="s">
        <v>12</v>
      </c>
      <c r="B43" s="6" t="s">
        <v>152</v>
      </c>
      <c r="C43" s="6">
        <v>2026</v>
      </c>
      <c r="D43" s="6">
        <v>3</v>
      </c>
      <c r="E43" s="9" t="s">
        <v>191</v>
      </c>
      <c r="F43" s="10">
        <f>SUMIFS(Data!$K:$K,Data!$A:$A,2026,Data!$B:$B,3,Data!$G:$G,"CDU",Data!$F:$F,"PADD 1")</f>
        <v>21.84</v>
      </c>
      <c r="G43" s="11">
        <f>IFERROR(F43/F42-1,"")</f>
        <v>0.8049586776859505</v>
      </c>
      <c r="H43" s="11">
        <f>IFERROR(F43/F31-1,"")</f>
        <v>-0.9487552500058659</v>
      </c>
    </row>
    <row r="44" spans="1:8">
      <c r="A44" s="6" t="s">
        <v>12</v>
      </c>
      <c r="B44" s="6" t="s">
        <v>152</v>
      </c>
      <c r="C44" s="6">
        <v>2026</v>
      </c>
      <c r="D44" s="6">
        <v>4</v>
      </c>
      <c r="E44" s="9" t="s">
        <v>192</v>
      </c>
      <c r="F44" s="10">
        <f>SUMIFS(Data!$K:$K,Data!$A:$A,2026,Data!$B:$B,4,Data!$G:$G,"CDU",Data!$F:$F,"PADD 1")</f>
        <v>0.0</v>
      </c>
      <c r="G44" s="11">
        <f>IFERROR(F44/F43-1,"")</f>
        <v>-1.0</v>
      </c>
      <c r="H44" s="11">
        <f>IFERROR(F44/F32-1,"")</f>
        <v>-1.0</v>
      </c>
    </row>
    <row r="45" spans="1:8">
      <c r="A45" s="6" t="s">
        <v>12</v>
      </c>
      <c r="B45" s="6" t="s">
        <v>152</v>
      </c>
      <c r="C45" s="6">
        <v>2026</v>
      </c>
      <c r="D45" s="6">
        <v>5</v>
      </c>
      <c r="E45" s="9" t="s">
        <v>193</v>
      </c>
      <c r="F45" s="10">
        <f>SUMIFS(Data!$K:$K,Data!$A:$A,2026,Data!$B:$B,5,Data!$G:$G,"CDU",Data!$F:$F,"PADD 1")</f>
        <v>11.0</v>
      </c>
      <c r="G45" s="11">
        <f>IFERROR(F45/F44-1,"")</f>
        <v/>
      </c>
      <c r="H45" s="11">
        <f>IFERROR(F45/F33-1,"")</f>
        <v>-0.8744722127125414</v>
      </c>
    </row>
    <row r="46" spans="1:8">
      <c r="A46" s="6" t="s">
        <v>12</v>
      </c>
      <c r="B46" s="6" t="s">
        <v>152</v>
      </c>
      <c r="C46" s="6">
        <v>2026</v>
      </c>
      <c r="D46" s="6">
        <v>6</v>
      </c>
      <c r="E46" s="9" t="s">
        <v>194</v>
      </c>
      <c r="F46" s="10">
        <f>SUMIFS(Data!$K:$K,Data!$A:$A,2026,Data!$B:$B,6,Data!$G:$G,"CDU",Data!$F:$F,"PADD 1")</f>
        <v>100.88</v>
      </c>
      <c r="G46" s="11">
        <f>IFERROR(F46/F45-1,"")</f>
        <v>8.17090909090909</v>
      </c>
      <c r="H46" s="11">
        <f>IFERROR(F46/F34-1,"")</f>
        <v>0.4403794560311607</v>
      </c>
    </row>
    <row r="47" spans="1:8">
      <c r="A47" s="6" t="s">
        <v>12</v>
      </c>
      <c r="B47" s="6" t="s">
        <v>152</v>
      </c>
      <c r="C47" s="6">
        <v>2026</v>
      </c>
      <c r="D47" s="6">
        <v>7</v>
      </c>
      <c r="E47" s="9" t="s">
        <v>195</v>
      </c>
      <c r="F47" s="10">
        <f>SUMIFS(Data!$K:$K,Data!$A:$A,2026,Data!$B:$B,7,Data!$G:$G,"CDU",Data!$F:$F,"PADD 1")</f>
        <v>208.0</v>
      </c>
      <c r="G47" s="11">
        <f>IFERROR(F47/F46-1,"")</f>
        <v>1.061855670103093</v>
      </c>
      <c r="H47" s="11">
        <f>IFERROR(F47/F35-1,"")</f>
        <v>1.6518773506725313</v>
      </c>
    </row>
    <row r="48" spans="1:8">
      <c r="A48" s="6" t="s">
        <v>12</v>
      </c>
      <c r="B48" s="6" t="s">
        <v>152</v>
      </c>
      <c r="C48" s="6">
        <v>2026</v>
      </c>
      <c r="D48" s="6">
        <v>8</v>
      </c>
      <c r="E48" s="9" t="s">
        <v>196</v>
      </c>
      <c r="F48" s="10">
        <f>SUMIFS(Data!$K:$K,Data!$A:$A,2026,Data!$B:$B,8,Data!$G:$G,"CDU",Data!$F:$F,"PADD 1")</f>
        <v>93.6</v>
      </c>
      <c r="G48" s="11">
        <f>IFERROR(F48/F47-1,"")</f>
        <v>-0.55</v>
      </c>
      <c r="H48" s="11">
        <f>IFERROR(F48/F36-1,"")</f>
        <v/>
      </c>
    </row>
    <row r="49" spans="1:8">
      <c r="A49" s="6" t="s">
        <v>12</v>
      </c>
      <c r="B49" s="6" t="s">
        <v>152</v>
      </c>
      <c r="C49" s="6">
        <v>2026</v>
      </c>
      <c r="D49" s="6">
        <v>9</v>
      </c>
      <c r="E49" s="9" t="s">
        <v>197</v>
      </c>
      <c r="F49" s="10">
        <f>SUMIFS(Data!$K:$K,Data!$A:$A,2026,Data!$B:$B,9,Data!$G:$G,"CDU",Data!$F:$F,"PADD 1")</f>
        <v>51.7</v>
      </c>
      <c r="G49" s="11">
        <f>IFERROR(F49/F48-1,"")</f>
        <v>-0.4476495726495726</v>
      </c>
      <c r="H49" s="11">
        <f>IFERROR(F49/F37-1,"")</f>
        <v/>
      </c>
    </row>
    <row r="50" spans="1:8">
      <c r="A50" s="6" t="s">
        <v>12</v>
      </c>
      <c r="B50" s="6" t="s">
        <v>152</v>
      </c>
      <c r="C50" s="6">
        <v>2026</v>
      </c>
      <c r="D50" s="6">
        <v>10</v>
      </c>
      <c r="E50" s="9" t="s">
        <v>198</v>
      </c>
      <c r="F50" s="10">
        <f>SUMIFS(Data!$K:$K,Data!$A:$A,2026,Data!$B:$B,10,Data!$G:$G,"CDU",Data!$F:$F,"PADD 1")</f>
        <v>74.8</v>
      </c>
      <c r="G50" s="11">
        <f>IFERROR(F50/F49-1,"")</f>
        <v>0.44680851063829774</v>
      </c>
      <c r="H50" s="11">
        <f>IFERROR(F50/F38-1,"")</f>
        <v/>
      </c>
    </row>
    <row r="51" spans="1:8">
      <c r="A51" s="6" t="s">
        <v>12</v>
      </c>
      <c r="B51" s="6" t="s">
        <v>152</v>
      </c>
      <c r="C51" s="6">
        <v>2026</v>
      </c>
      <c r="D51" s="6">
        <v>11</v>
      </c>
      <c r="E51" s="9" t="s">
        <v>199</v>
      </c>
      <c r="F51" s="10">
        <f>SUMIFS(Data!$K:$K,Data!$A:$A,2026,Data!$B:$B,11,Data!$G:$G,"CDU",Data!$F:$F,"PADD 1")</f>
        <v>0.0</v>
      </c>
      <c r="G51" s="11">
        <f>IFERROR(F51/F50-1,"")</f>
        <v>-1.0</v>
      </c>
      <c r="H51" s="11">
        <f>IFERROR(F51/F39-1,"")</f>
        <v/>
      </c>
    </row>
    <row r="52" spans="1:8">
      <c r="A52" s="6" t="s">
        <v>12</v>
      </c>
      <c r="B52" s="6" t="s">
        <v>152</v>
      </c>
      <c r="C52" s="6">
        <v>2026</v>
      </c>
      <c r="D52" s="6">
        <v>12</v>
      </c>
      <c r="E52" s="9" t="s">
        <v>200</v>
      </c>
      <c r="F52" s="10">
        <f>SUMIFS(Data!$K:$K,Data!$A:$A,2026,Data!$B:$B,12,Data!$G:$G,"CDU",Data!$F:$F,"PADD 1")</f>
        <v>0.0</v>
      </c>
      <c r="G52" s="11">
        <f>IFERROR(F52/F51-1,"")</f>
        <v/>
      </c>
      <c r="H52" s="11">
        <f>IFERROR(F52/F40-1,"")</f>
        <v/>
      </c>
    </row>
    <row r="53" spans="1:8">
      <c r="A53" s="6" t="s">
        <v>12</v>
      </c>
      <c r="B53" s="6" t="s">
        <v>152</v>
      </c>
      <c r="C53" s="6">
        <v>2027</v>
      </c>
      <c r="D53" s="6">
        <v>1</v>
      </c>
      <c r="E53" s="9" t="s">
        <v>201</v>
      </c>
      <c r="F53" s="10">
        <f>SUMIFS(Data!$K:$K,Data!$A:$A,2027,Data!$B:$B,1,Data!$G:$G,"CDU",Data!$F:$F,"PADD 1")</f>
        <v>0.0</v>
      </c>
      <c r="G53" s="11">
        <f>IFERROR(F53/F52-1,"")</f>
        <v/>
      </c>
      <c r="H53" s="11">
        <f>IFERROR(F53/F41-1,"")</f>
        <v>-1.0</v>
      </c>
    </row>
    <row r="54" spans="1:8">
      <c r="A54" s="6" t="s">
        <v>12</v>
      </c>
      <c r="B54" s="6" t="s">
        <v>152</v>
      </c>
      <c r="C54" s="6">
        <v>2027</v>
      </c>
      <c r="D54" s="6">
        <v>2</v>
      </c>
      <c r="E54" s="9" t="s">
        <v>202</v>
      </c>
      <c r="F54" s="10">
        <f>SUMIFS(Data!$K:$K,Data!$A:$A,2027,Data!$B:$B,2,Data!$G:$G,"CDU",Data!$F:$F,"PADD 1")</f>
        <v>0.0</v>
      </c>
      <c r="G54" s="11">
        <f>IFERROR(F54/F53-1,"")</f>
        <v/>
      </c>
      <c r="H54" s="11">
        <f>IFERROR(F54/F42-1,"")</f>
        <v>-1.0</v>
      </c>
    </row>
    <row r="55" spans="1:8">
      <c r="A55" s="6" t="s">
        <v>12</v>
      </c>
      <c r="B55" s="6" t="s">
        <v>152</v>
      </c>
      <c r="C55" s="6">
        <v>2027</v>
      </c>
      <c r="D55" s="6">
        <v>3</v>
      </c>
      <c r="E55" s="9" t="s">
        <v>203</v>
      </c>
      <c r="F55" s="10">
        <f>SUMIFS(Data!$K:$K,Data!$A:$A,2027,Data!$B:$B,3,Data!$G:$G,"CDU",Data!$F:$F,"PADD 1")</f>
        <v>108.75</v>
      </c>
      <c r="G55" s="11">
        <f>IFERROR(F55/F54-1,"")</f>
        <v/>
      </c>
      <c r="H55" s="11">
        <f>IFERROR(F55/F43-1,"")</f>
        <v>3.979395604395604</v>
      </c>
    </row>
    <row r="56" spans="1:8">
      <c r="A56" s="6" t="s">
        <v>12</v>
      </c>
      <c r="B56" s="6" t="s">
        <v>152</v>
      </c>
      <c r="C56" s="6">
        <v>2027</v>
      </c>
      <c r="D56" s="6">
        <v>4</v>
      </c>
      <c r="E56" s="9" t="s">
        <v>204</v>
      </c>
      <c r="F56" s="10">
        <f>SUMIFS(Data!$K:$K,Data!$A:$A,2027,Data!$B:$B,4,Data!$G:$G,"CDU",Data!$F:$F,"PADD 1")</f>
        <v>44.95</v>
      </c>
      <c r="G56" s="11">
        <f>IFERROR(F56/F55-1,"")</f>
        <v>-0.5866666666666667</v>
      </c>
      <c r="H56" s="11">
        <f>IFERROR(F56/F44-1,"")</f>
        <v/>
      </c>
    </row>
    <row r="57" spans="1:8">
      <c r="A57" s="6" t="s">
        <v>12</v>
      </c>
      <c r="B57" s="6" t="s">
        <v>152</v>
      </c>
      <c r="C57" s="6">
        <v>2027</v>
      </c>
      <c r="D57" s="6">
        <v>5</v>
      </c>
      <c r="E57" s="9" t="s">
        <v>205</v>
      </c>
      <c r="F57" s="10">
        <f>SUMIFS(Data!$K:$K,Data!$A:$A,2027,Data!$B:$B,5,Data!$G:$G,"CDU",Data!$F:$F,"PADD 1")</f>
        <v>0.0</v>
      </c>
      <c r="G57" s="11">
        <f>IFERROR(F57/F56-1,"")</f>
        <v>-1.0</v>
      </c>
      <c r="H57" s="11">
        <f>IFERROR(F57/F45-1,"")</f>
        <v>-1.0</v>
      </c>
    </row>
    <row r="58" spans="1:8">
      <c r="A58" s="6" t="s">
        <v>12</v>
      </c>
      <c r="B58" s="6" t="s">
        <v>152</v>
      </c>
      <c r="C58" s="6">
        <v>2027</v>
      </c>
      <c r="D58" s="6">
        <v>6</v>
      </c>
      <c r="E58" s="9" t="s">
        <v>206</v>
      </c>
      <c r="F58" s="10">
        <f>SUMIFS(Data!$K:$K,Data!$A:$A,2027,Data!$B:$B,6,Data!$G:$G,"CDU",Data!$F:$F,"PADD 1")</f>
        <v>0.0</v>
      </c>
      <c r="G58" s="11">
        <f>IFERROR(F58/F57-1,"")</f>
        <v/>
      </c>
      <c r="H58" s="11">
        <f>IFERROR(F58/F46-1,"")</f>
        <v>-1.0</v>
      </c>
    </row>
    <row r="59" spans="1:8">
      <c r="A59" s="6" t="s">
        <v>12</v>
      </c>
      <c r="B59" s="6" t="s">
        <v>152</v>
      </c>
      <c r="C59" s="6">
        <v>2027</v>
      </c>
      <c r="D59" s="6">
        <v>7</v>
      </c>
      <c r="E59" s="9" t="s">
        <v>207</v>
      </c>
      <c r="F59" s="10">
        <f>SUMIFS(Data!$K:$K,Data!$A:$A,2027,Data!$B:$B,7,Data!$G:$G,"CDU",Data!$F:$F,"PADD 1")</f>
        <v>0.0</v>
      </c>
      <c r="G59" s="11">
        <f>IFERROR(F59/F58-1,"")</f>
        <v/>
      </c>
      <c r="H59" s="11">
        <f>IFERROR(F59/F47-1,"")</f>
        <v>-1.0</v>
      </c>
    </row>
    <row r="60" spans="1:8">
      <c r="A60" s="6" t="s">
        <v>12</v>
      </c>
      <c r="B60" s="6" t="s">
        <v>152</v>
      </c>
      <c r="C60" s="6">
        <v>2027</v>
      </c>
      <c r="D60" s="6">
        <v>8</v>
      </c>
      <c r="E60" s="9" t="s">
        <v>208</v>
      </c>
      <c r="F60" s="10">
        <f>SUMIFS(Data!$K:$K,Data!$A:$A,2027,Data!$B:$B,8,Data!$G:$G,"CDU",Data!$F:$F,"PADD 1")</f>
        <v>0.0</v>
      </c>
      <c r="G60" s="11">
        <f>IFERROR(F60/F59-1,"")</f>
        <v/>
      </c>
      <c r="H60" s="11">
        <f>IFERROR(F60/F48-1,"")</f>
        <v>-1.0</v>
      </c>
    </row>
    <row r="61" spans="1:8">
      <c r="A61" s="6" t="s">
        <v>12</v>
      </c>
      <c r="B61" s="6" t="s">
        <v>152</v>
      </c>
      <c r="C61" s="6">
        <v>2027</v>
      </c>
      <c r="D61" s="6">
        <v>9</v>
      </c>
      <c r="E61" s="9" t="s">
        <v>209</v>
      </c>
      <c r="F61" s="10">
        <f>SUMIFS(Data!$K:$K,Data!$A:$A,2027,Data!$B:$B,9,Data!$G:$G,"CDU",Data!$F:$F,"PADD 1")</f>
        <v>0.0</v>
      </c>
      <c r="G61" s="11">
        <f>IFERROR(F61/F60-1,"")</f>
        <v/>
      </c>
      <c r="H61" s="11">
        <f>IFERROR(F61/F49-1,"")</f>
        <v>-1.0</v>
      </c>
    </row>
    <row r="62" spans="1:8">
      <c r="A62" s="6" t="s">
        <v>12</v>
      </c>
      <c r="B62" s="6" t="s">
        <v>152</v>
      </c>
      <c r="C62" s="6">
        <v>2027</v>
      </c>
      <c r="D62" s="6">
        <v>10</v>
      </c>
      <c r="E62" s="9" t="s">
        <v>210</v>
      </c>
      <c r="F62" s="10">
        <f>SUMIFS(Data!$K:$K,Data!$A:$A,2027,Data!$B:$B,10,Data!$G:$G,"CDU",Data!$F:$F,"PADD 1")</f>
        <v>0.0</v>
      </c>
      <c r="G62" s="11">
        <f>IFERROR(F62/F61-1,"")</f>
        <v/>
      </c>
      <c r="H62" s="11">
        <f>IFERROR(F62/F50-1,"")</f>
        <v>-1.0</v>
      </c>
    </row>
    <row r="63" spans="1:8">
      <c r="A63" s="6" t="s">
        <v>12</v>
      </c>
      <c r="B63" s="6" t="s">
        <v>152</v>
      </c>
      <c r="C63" s="6">
        <v>2027</v>
      </c>
      <c r="D63" s="6">
        <v>11</v>
      </c>
      <c r="E63" s="9" t="s">
        <v>211</v>
      </c>
      <c r="F63" s="10">
        <f>SUMIFS(Data!$K:$K,Data!$A:$A,2027,Data!$B:$B,11,Data!$G:$G,"CDU",Data!$F:$F,"PADD 1")</f>
        <v>0.0</v>
      </c>
      <c r="G63" s="11">
        <f>IFERROR(F63/F62-1,"")</f>
        <v/>
      </c>
      <c r="H63" s="11">
        <f>IFERROR(F63/F51-1,"")</f>
        <v/>
      </c>
    </row>
    <row r="64" spans="1:8">
      <c r="A64" s="6" t="s">
        <v>12</v>
      </c>
      <c r="B64" s="6" t="s">
        <v>152</v>
      </c>
      <c r="C64" s="6">
        <v>2027</v>
      </c>
      <c r="D64" s="6">
        <v>12</v>
      </c>
      <c r="E64" s="9" t="s">
        <v>212</v>
      </c>
      <c r="F64" s="10">
        <f>SUMIFS(Data!$K:$K,Data!$A:$A,2027,Data!$B:$B,12,Data!$G:$G,"CDU",Data!$F:$F,"PADD 1")</f>
        <v>0.0</v>
      </c>
      <c r="G64" s="11">
        <f>IFERROR(F64/F63-1,"")</f>
        <v/>
      </c>
      <c r="H64" s="11">
        <f>IFERROR(F64/F52-1,"")</f>
        <v/>
      </c>
    </row>
    <row r="65" spans="1:8">
      <c r="A65" s="6" t="s">
        <v>12</v>
      </c>
      <c r="B65" s="6" t="s">
        <v>213</v>
      </c>
      <c r="C65" s="6">
        <v>2023</v>
      </c>
      <c r="D65" s="6">
        <v>1</v>
      </c>
      <c r="E65" s="9" t="s">
        <v>153</v>
      </c>
      <c r="F65" s="10">
        <f>SUMIFS(Data!$K:$K,Data!$A:$A,2023,Data!$B:$B,1,Data!$G:$G,"CDU",Data!$F:$F,"PADD 2")</f>
        <v>380.68</v>
      </c>
    </row>
    <row r="66" spans="1:8">
      <c r="A66" s="6" t="s">
        <v>12</v>
      </c>
      <c r="B66" s="6" t="s">
        <v>213</v>
      </c>
      <c r="C66" s="6">
        <v>2023</v>
      </c>
      <c r="D66" s="6">
        <v>2</v>
      </c>
      <c r="E66" s="9" t="s">
        <v>154</v>
      </c>
      <c r="F66" s="10">
        <f>SUMIFS(Data!$K:$K,Data!$A:$A,2023,Data!$B:$B,2,Data!$G:$G,"CDU",Data!$F:$F,"PADD 2")</f>
        <v>366.59</v>
      </c>
      <c r="G66" s="11">
        <f>IFERROR(F66/F65-1,"")</f>
        <v>-0.03701271409057483</v>
      </c>
    </row>
    <row r="67" spans="1:8">
      <c r="A67" s="6" t="s">
        <v>12</v>
      </c>
      <c r="B67" s="6" t="s">
        <v>213</v>
      </c>
      <c r="C67" s="6">
        <v>2023</v>
      </c>
      <c r="D67" s="6">
        <v>3</v>
      </c>
      <c r="E67" s="9" t="s">
        <v>155</v>
      </c>
      <c r="F67" s="10">
        <f>SUMIFS(Data!$K:$K,Data!$A:$A,2023,Data!$B:$B,3,Data!$G:$G,"CDU",Data!$F:$F,"PADD 2")</f>
        <v>633.205</v>
      </c>
      <c r="G67" s="11">
        <f>IFERROR(F67/F66-1,"")</f>
        <v>0.7272838866308413</v>
      </c>
    </row>
    <row r="68" spans="1:8">
      <c r="A68" s="6" t="s">
        <v>12</v>
      </c>
      <c r="B68" s="6" t="s">
        <v>213</v>
      </c>
      <c r="C68" s="6">
        <v>2023</v>
      </c>
      <c r="D68" s="6">
        <v>4</v>
      </c>
      <c r="E68" s="9" t="s">
        <v>156</v>
      </c>
      <c r="F68" s="10">
        <f>SUMIFS(Data!$K:$K,Data!$A:$A,2023,Data!$B:$B,4,Data!$G:$G,"CDU",Data!$F:$F,"PADD 2")</f>
        <v>738.695</v>
      </c>
      <c r="G68" s="11">
        <f>IFERROR(F68/F67-1,"")</f>
        <v>0.16659691569081114</v>
      </c>
    </row>
    <row r="69" spans="1:8">
      <c r="A69" s="6" t="s">
        <v>12</v>
      </c>
      <c r="B69" s="6" t="s">
        <v>213</v>
      </c>
      <c r="C69" s="6">
        <v>2023</v>
      </c>
      <c r="D69" s="6">
        <v>5</v>
      </c>
      <c r="E69" s="9" t="s">
        <v>157</v>
      </c>
      <c r="F69" s="10">
        <f>SUMIFS(Data!$K:$K,Data!$A:$A,2023,Data!$B:$B,5,Data!$G:$G,"CDU",Data!$F:$F,"PADD 2")</f>
        <v>373.07</v>
      </c>
      <c r="G69" s="11">
        <f>IFERROR(F69/F68-1,"")</f>
        <v>-0.494960707734586</v>
      </c>
    </row>
    <row r="70" spans="1:8">
      <c r="A70" s="6" t="s">
        <v>12</v>
      </c>
      <c r="B70" s="6" t="s">
        <v>213</v>
      </c>
      <c r="C70" s="6">
        <v>2023</v>
      </c>
      <c r="D70" s="6">
        <v>6</v>
      </c>
      <c r="E70" s="9" t="s">
        <v>158</v>
      </c>
      <c r="F70" s="10">
        <f>SUMIFS(Data!$K:$K,Data!$A:$A,2023,Data!$B:$B,6,Data!$G:$G,"CDU",Data!$F:$F,"PADD 2")</f>
        <v>173.55</v>
      </c>
      <c r="G70" s="11">
        <f>IFERROR(F70/F69-1,"")</f>
        <v>-0.5348058005200096</v>
      </c>
    </row>
    <row r="71" spans="1:8">
      <c r="A71" s="6" t="s">
        <v>12</v>
      </c>
      <c r="B71" s="6" t="s">
        <v>213</v>
      </c>
      <c r="C71" s="6">
        <v>2023</v>
      </c>
      <c r="D71" s="6">
        <v>7</v>
      </c>
      <c r="E71" s="9" t="s">
        <v>159</v>
      </c>
      <c r="F71" s="10">
        <f>SUMIFS(Data!$K:$K,Data!$A:$A,2023,Data!$B:$B,7,Data!$G:$G,"CDU",Data!$F:$F,"PADD 2")</f>
        <v>168.67000000000002</v>
      </c>
      <c r="G71" s="11">
        <f>IFERROR(F71/F70-1,"")</f>
        <v>-0.02811869778161913</v>
      </c>
    </row>
    <row r="72" spans="1:8">
      <c r="A72" s="6" t="s">
        <v>12</v>
      </c>
      <c r="B72" s="6" t="s">
        <v>213</v>
      </c>
      <c r="C72" s="6">
        <v>2023</v>
      </c>
      <c r="D72" s="6">
        <v>8</v>
      </c>
      <c r="E72" s="9" t="s">
        <v>160</v>
      </c>
      <c r="F72" s="10">
        <f>SUMIFS(Data!$K:$K,Data!$A:$A,2023,Data!$B:$B,8,Data!$G:$G,"CDU",Data!$F:$F,"PADD 2")</f>
        <v>60.55</v>
      </c>
      <c r="G72" s="11">
        <f>IFERROR(F72/F71-1,"")</f>
        <v>-0.6410149997035632</v>
      </c>
    </row>
    <row r="73" spans="1:8">
      <c r="A73" s="6" t="s">
        <v>12</v>
      </c>
      <c r="B73" s="6" t="s">
        <v>213</v>
      </c>
      <c r="C73" s="6">
        <v>2023</v>
      </c>
      <c r="D73" s="6">
        <v>9</v>
      </c>
      <c r="E73" s="9" t="s">
        <v>161</v>
      </c>
      <c r="F73" s="10">
        <f>SUMIFS(Data!$K:$K,Data!$A:$A,2023,Data!$B:$B,9,Data!$G:$G,"CDU",Data!$F:$F,"PADD 2")</f>
        <v>369.5875</v>
      </c>
      <c r="G73" s="11">
        <f>IFERROR(F73/F72-1,"")</f>
        <v>5.10383980181668</v>
      </c>
    </row>
    <row r="74" spans="1:8">
      <c r="A74" s="6" t="s">
        <v>12</v>
      </c>
      <c r="B74" s="6" t="s">
        <v>213</v>
      </c>
      <c r="C74" s="6">
        <v>2023</v>
      </c>
      <c r="D74" s="6">
        <v>10</v>
      </c>
      <c r="E74" s="9" t="s">
        <v>162</v>
      </c>
      <c r="F74" s="10">
        <f>SUMIFS(Data!$K:$K,Data!$A:$A,2023,Data!$B:$B,10,Data!$G:$G,"CDU",Data!$F:$F,"PADD 2")</f>
        <v>495.6475</v>
      </c>
      <c r="G74" s="11">
        <f>IFERROR(F74/F73-1,"")</f>
        <v>0.34108296411539896</v>
      </c>
    </row>
    <row r="75" spans="1:8">
      <c r="A75" s="6" t="s">
        <v>12</v>
      </c>
      <c r="B75" s="6" t="s">
        <v>213</v>
      </c>
      <c r="C75" s="6">
        <v>2023</v>
      </c>
      <c r="D75" s="6">
        <v>11</v>
      </c>
      <c r="E75" s="9" t="s">
        <v>163</v>
      </c>
      <c r="F75" s="10">
        <f>SUMIFS(Data!$K:$K,Data!$A:$A,2023,Data!$B:$B,11,Data!$G:$G,"CDU",Data!$F:$F,"PADD 2")</f>
        <v>162.85</v>
      </c>
      <c r="G75" s="11">
        <f>IFERROR(F75/F74-1,"")</f>
        <v>-0.6714398841918904</v>
      </c>
    </row>
    <row r="76" spans="1:8">
      <c r="A76" s="6" t="s">
        <v>12</v>
      </c>
      <c r="B76" s="6" t="s">
        <v>213</v>
      </c>
      <c r="C76" s="6">
        <v>2023</v>
      </c>
      <c r="D76" s="6">
        <v>12</v>
      </c>
      <c r="E76" s="9" t="s">
        <v>164</v>
      </c>
      <c r="F76" s="10">
        <f>SUMIFS(Data!$K:$K,Data!$A:$A,2023,Data!$B:$B,12,Data!$G:$G,"CDU",Data!$F:$F,"PADD 2")</f>
        <v>0.0</v>
      </c>
      <c r="G76" s="11">
        <f>IFERROR(F76/F75-1,"")</f>
        <v>-1.0</v>
      </c>
    </row>
    <row r="77" spans="1:8">
      <c r="A77" s="6" t="s">
        <v>12</v>
      </c>
      <c r="B77" s="6" t="s">
        <v>213</v>
      </c>
      <c r="C77" s="6">
        <v>2024</v>
      </c>
      <c r="D77" s="6">
        <v>1</v>
      </c>
      <c r="E77" s="9" t="s">
        <v>165</v>
      </c>
      <c r="F77" s="10">
        <f>SUMIFS(Data!$K:$K,Data!$A:$A,2024,Data!$B:$B,1,Data!$G:$G,"CDU",Data!$F:$F,"PADD 2")</f>
        <v>10.9</v>
      </c>
      <c r="G77" s="11">
        <f>IFERROR(F77/F76-1,"")</f>
        <v/>
      </c>
      <c r="H77" s="11">
        <f>IFERROR(F77/F65-1,"")</f>
        <v>-0.9713670274246086</v>
      </c>
    </row>
    <row r="78" spans="1:8">
      <c r="A78" s="6" t="s">
        <v>12</v>
      </c>
      <c r="B78" s="6" t="s">
        <v>213</v>
      </c>
      <c r="C78" s="6">
        <v>2024</v>
      </c>
      <c r="D78" s="6">
        <v>2</v>
      </c>
      <c r="E78" s="9" t="s">
        <v>166</v>
      </c>
      <c r="F78" s="10">
        <f>SUMIFS(Data!$K:$K,Data!$A:$A,2024,Data!$B:$B,2,Data!$G:$G,"CDU",Data!$F:$F,"PADD 2")</f>
        <v>454.5258</v>
      </c>
      <c r="G78" s="11">
        <f>IFERROR(F78/F77-1,"")</f>
        <v>40.69961467889908</v>
      </c>
      <c r="H78" s="11">
        <f>IFERROR(F78/F66-1,"")</f>
        <v>0.23987506478627352</v>
      </c>
    </row>
    <row r="79" spans="1:8">
      <c r="A79" s="6" t="s">
        <v>12</v>
      </c>
      <c r="B79" s="6" t="s">
        <v>213</v>
      </c>
      <c r="C79" s="6">
        <v>2024</v>
      </c>
      <c r="D79" s="6">
        <v>3</v>
      </c>
      <c r="E79" s="9" t="s">
        <v>167</v>
      </c>
      <c r="F79" s="10">
        <f>SUMIFS(Data!$K:$K,Data!$A:$A,2024,Data!$B:$B,3,Data!$G:$G,"CDU",Data!$F:$F,"PADD 2")</f>
        <v>388.1406</v>
      </c>
      <c r="G79" s="11">
        <f>IFERROR(F79/F78-1,"")</f>
        <v>-0.14605375536438192</v>
      </c>
      <c r="H79" s="11">
        <f>IFERROR(F79/F67-1,"")</f>
        <v>-0.3870222123956697</v>
      </c>
    </row>
    <row r="80" spans="1:8">
      <c r="A80" s="6" t="s">
        <v>12</v>
      </c>
      <c r="B80" s="6" t="s">
        <v>213</v>
      </c>
      <c r="C80" s="6">
        <v>2024</v>
      </c>
      <c r="D80" s="6">
        <v>4</v>
      </c>
      <c r="E80" s="9" t="s">
        <v>168</v>
      </c>
      <c r="F80" s="10">
        <f>SUMIFS(Data!$K:$K,Data!$A:$A,2024,Data!$B:$B,4,Data!$G:$G,"CDU",Data!$F:$F,"PADD 2")</f>
        <v>454.9725</v>
      </c>
      <c r="G80" s="11">
        <f>IFERROR(F80/F79-1,"")</f>
        <v>0.17218477015803035</v>
      </c>
      <c r="H80" s="11">
        <f>IFERROR(F80/F68-1,"")</f>
        <v>-0.38408612485531923</v>
      </c>
    </row>
    <row r="81" spans="1:8">
      <c r="A81" s="6" t="s">
        <v>12</v>
      </c>
      <c r="B81" s="6" t="s">
        <v>213</v>
      </c>
      <c r="C81" s="6">
        <v>2024</v>
      </c>
      <c r="D81" s="6">
        <v>5</v>
      </c>
      <c r="E81" s="9" t="s">
        <v>169</v>
      </c>
      <c r="F81" s="10">
        <f>SUMIFS(Data!$K:$K,Data!$A:$A,2024,Data!$B:$B,5,Data!$G:$G,"CDU",Data!$F:$F,"PADD 2")</f>
        <v>180.145</v>
      </c>
      <c r="G81" s="11">
        <f>IFERROR(F81/F80-1,"")</f>
        <v>-0.6040529922138151</v>
      </c>
      <c r="H81" s="11">
        <f>IFERROR(F81/F69-1,"")</f>
        <v>-0.5171281528935587</v>
      </c>
    </row>
    <row r="82" spans="1:8">
      <c r="A82" s="6" t="s">
        <v>12</v>
      </c>
      <c r="B82" s="6" t="s">
        <v>213</v>
      </c>
      <c r="C82" s="6">
        <v>2024</v>
      </c>
      <c r="D82" s="6">
        <v>6</v>
      </c>
      <c r="E82" s="9" t="s">
        <v>170</v>
      </c>
      <c r="F82" s="10">
        <f>SUMIFS(Data!$K:$K,Data!$A:$A,2024,Data!$B:$B,6,Data!$G:$G,"CDU",Data!$F:$F,"PADD 2")</f>
        <v>95.82000000000001</v>
      </c>
      <c r="G82" s="11">
        <f>IFERROR(F82/F81-1,"")</f>
        <v>-0.4680951455771739</v>
      </c>
      <c r="H82" s="11">
        <f>IFERROR(F82/F70-1,"")</f>
        <v>-0.44788245462402765</v>
      </c>
    </row>
    <row r="83" spans="1:8">
      <c r="A83" s="6" t="s">
        <v>12</v>
      </c>
      <c r="B83" s="6" t="s">
        <v>213</v>
      </c>
      <c r="C83" s="6">
        <v>2024</v>
      </c>
      <c r="D83" s="6">
        <v>7</v>
      </c>
      <c r="E83" s="9" t="s">
        <v>171</v>
      </c>
      <c r="F83" s="10">
        <f>SUMIFS(Data!$K:$K,Data!$A:$A,2024,Data!$B:$B,7,Data!$G:$G,"CDU",Data!$F:$F,"PADD 2")</f>
        <v>267.71999999999997</v>
      </c>
      <c r="G83" s="11">
        <f>IFERROR(F83/F82-1,"")</f>
        <v>1.7939887288666245</v>
      </c>
      <c r="H83" s="11">
        <f>IFERROR(F83/F71-1,"")</f>
        <v>0.5872413588664251</v>
      </c>
    </row>
    <row r="84" spans="1:8">
      <c r="A84" s="6" t="s">
        <v>12</v>
      </c>
      <c r="B84" s="6" t="s">
        <v>213</v>
      </c>
      <c r="C84" s="6">
        <v>2024</v>
      </c>
      <c r="D84" s="6">
        <v>8</v>
      </c>
      <c r="E84" s="9" t="s">
        <v>172</v>
      </c>
      <c r="F84" s="10">
        <f>SUMIFS(Data!$K:$K,Data!$A:$A,2024,Data!$B:$B,8,Data!$G:$G,"CDU",Data!$F:$F,"PADD 2")</f>
        <v>185.56</v>
      </c>
      <c r="G84" s="11">
        <f>IFERROR(F84/F83-1,"")</f>
        <v>-0.3068877932167936</v>
      </c>
      <c r="H84" s="11">
        <f>IFERROR(F84/F72-1,"")</f>
        <v>2.064574731626755</v>
      </c>
    </row>
    <row r="85" spans="1:8">
      <c r="A85" s="6" t="s">
        <v>12</v>
      </c>
      <c r="B85" s="6" t="s">
        <v>213</v>
      </c>
      <c r="C85" s="6">
        <v>2024</v>
      </c>
      <c r="D85" s="6">
        <v>9</v>
      </c>
      <c r="E85" s="9" t="s">
        <v>173</v>
      </c>
      <c r="F85" s="10">
        <f>SUMIFS(Data!$K:$K,Data!$A:$A,2024,Data!$B:$B,9,Data!$G:$G,"CDU",Data!$F:$F,"PADD 2")</f>
        <v>422.68039999999996</v>
      </c>
      <c r="G85" s="11">
        <f>IFERROR(F85/F84-1,"")</f>
        <v>1.2778637637421855</v>
      </c>
      <c r="H85" s="11">
        <f>IFERROR(F85/F73-1,"")</f>
        <v>0.14365447965637368</v>
      </c>
    </row>
    <row r="86" spans="1:8">
      <c r="A86" s="6" t="s">
        <v>12</v>
      </c>
      <c r="B86" s="6" t="s">
        <v>213</v>
      </c>
      <c r="C86" s="6">
        <v>2024</v>
      </c>
      <c r="D86" s="6">
        <v>10</v>
      </c>
      <c r="E86" s="9" t="s">
        <v>174</v>
      </c>
      <c r="F86" s="10">
        <f>SUMIFS(Data!$K:$K,Data!$A:$A,2024,Data!$B:$B,10,Data!$G:$G,"CDU",Data!$F:$F,"PADD 2")</f>
        <v>495.33</v>
      </c>
      <c r="G86" s="11">
        <f>IFERROR(F86/F85-1,"")</f>
        <v>0.17187832698180472</v>
      </c>
      <c r="H86" s="11">
        <f>IFERROR(F86/F74-1,"")</f>
        <v>-0.0006405762159599204</v>
      </c>
    </row>
    <row r="87" spans="1:8">
      <c r="A87" s="6" t="s">
        <v>12</v>
      </c>
      <c r="B87" s="6" t="s">
        <v>213</v>
      </c>
      <c r="C87" s="6">
        <v>2024</v>
      </c>
      <c r="D87" s="6">
        <v>11</v>
      </c>
      <c r="E87" s="9" t="s">
        <v>175</v>
      </c>
      <c r="F87" s="10">
        <f>SUMIFS(Data!$K:$K,Data!$A:$A,2024,Data!$B:$B,11,Data!$G:$G,"CDU",Data!$F:$F,"PADD 2")</f>
        <v>221.08</v>
      </c>
      <c r="G87" s="11">
        <f>IFERROR(F87/F86-1,"")</f>
        <v>-0.5536712898471725</v>
      </c>
      <c r="H87" s="11">
        <f>IFERROR(F87/F75-1,"")</f>
        <v>0.35756831439975456</v>
      </c>
    </row>
    <row r="88" spans="1:8">
      <c r="A88" s="6" t="s">
        <v>12</v>
      </c>
      <c r="B88" s="6" t="s">
        <v>213</v>
      </c>
      <c r="C88" s="6">
        <v>2024</v>
      </c>
      <c r="D88" s="6">
        <v>12</v>
      </c>
      <c r="E88" s="9" t="s">
        <v>176</v>
      </c>
      <c r="F88" s="10">
        <f>SUMIFS(Data!$K:$K,Data!$A:$A,2024,Data!$B:$B,12,Data!$G:$G,"CDU",Data!$F:$F,"PADD 2")</f>
        <v>3.9006</v>
      </c>
      <c r="G88" s="11">
        <f>IFERROR(F88/F87-1,"")</f>
        <v>-0.9823566129907726</v>
      </c>
      <c r="H88" s="11">
        <f>IFERROR(F88/F76-1,"")</f>
        <v/>
      </c>
    </row>
    <row r="89" spans="1:8">
      <c r="A89" s="6" t="s">
        <v>12</v>
      </c>
      <c r="B89" s="6" t="s">
        <v>213</v>
      </c>
      <c r="C89" s="6">
        <v>2025</v>
      </c>
      <c r="D89" s="6">
        <v>1</v>
      </c>
      <c r="E89" s="9" t="s">
        <v>177</v>
      </c>
      <c r="F89" s="10">
        <f>SUMIFS(Data!$K:$K,Data!$A:$A,2025,Data!$B:$B,1,Data!$G:$G,"CDU",Data!$F:$F,"PADD 2")</f>
        <v>44.79</v>
      </c>
      <c r="G89" s="11">
        <f>IFERROR(F89/F88-1,"")</f>
        <v>10.482848792493463</v>
      </c>
      <c r="H89" s="11">
        <f>IFERROR(F89/F77-1,"")</f>
        <v>3.109174311926605</v>
      </c>
    </row>
    <row r="90" spans="1:8">
      <c r="A90" s="6" t="s">
        <v>12</v>
      </c>
      <c r="B90" s="6" t="s">
        <v>213</v>
      </c>
      <c r="C90" s="6">
        <v>2025</v>
      </c>
      <c r="D90" s="6">
        <v>2</v>
      </c>
      <c r="E90" s="9" t="s">
        <v>178</v>
      </c>
      <c r="F90" s="10">
        <f>SUMIFS(Data!$K:$K,Data!$A:$A,2025,Data!$B:$B,2,Data!$G:$G,"CDU",Data!$F:$F,"PADD 2")</f>
        <v>215.325</v>
      </c>
      <c r="G90" s="11">
        <f>IFERROR(F90/F89-1,"")</f>
        <v>3.807434695244474</v>
      </c>
      <c r="H90" s="11">
        <f>IFERROR(F90/F78-1,"")</f>
        <v>-0.526264515677658</v>
      </c>
    </row>
    <row r="91" spans="1:8">
      <c r="A91" s="6" t="s">
        <v>12</v>
      </c>
      <c r="B91" s="6" t="s">
        <v>213</v>
      </c>
      <c r="C91" s="6">
        <v>2025</v>
      </c>
      <c r="D91" s="6">
        <v>3</v>
      </c>
      <c r="E91" s="9" t="s">
        <v>179</v>
      </c>
      <c r="F91" s="10">
        <f>SUMIFS(Data!$K:$K,Data!$A:$A,2025,Data!$B:$B,3,Data!$G:$G,"CDU",Data!$F:$F,"PADD 2")</f>
        <v>467.395</v>
      </c>
      <c r="G91" s="11">
        <f>IFERROR(F91/F90-1,"")</f>
        <v>1.1706490189248808</v>
      </c>
      <c r="H91" s="11">
        <f>IFERROR(F91/F79-1,"")</f>
        <v>0.20418992499109856</v>
      </c>
    </row>
    <row r="92" spans="1:8">
      <c r="A92" s="6" t="s">
        <v>12</v>
      </c>
      <c r="B92" s="6" t="s">
        <v>213</v>
      </c>
      <c r="C92" s="6">
        <v>2025</v>
      </c>
      <c r="D92" s="6">
        <v>4</v>
      </c>
      <c r="E92" s="9" t="s">
        <v>180</v>
      </c>
      <c r="F92" s="10">
        <f>SUMIFS(Data!$K:$K,Data!$A:$A,2025,Data!$B:$B,4,Data!$G:$G,"CDU",Data!$F:$F,"PADD 2")</f>
        <v>800.2825</v>
      </c>
      <c r="G92" s="11">
        <f>IFERROR(F92/F91-1,"")</f>
        <v>0.7122187871072649</v>
      </c>
      <c r="H92" s="11">
        <f>IFERROR(F92/F80-1,"")</f>
        <v>0.758968948672722</v>
      </c>
    </row>
    <row r="93" spans="1:8">
      <c r="A93" s="6" t="s">
        <v>12</v>
      </c>
      <c r="B93" s="6" t="s">
        <v>213</v>
      </c>
      <c r="C93" s="6">
        <v>2025</v>
      </c>
      <c r="D93" s="6">
        <v>5</v>
      </c>
      <c r="E93" s="9" t="s">
        <v>181</v>
      </c>
      <c r="F93" s="10">
        <f>SUMIFS(Data!$K:$K,Data!$A:$A,2025,Data!$B:$B,5,Data!$G:$G,"CDU",Data!$F:$F,"PADD 2")</f>
        <v>317.8306</v>
      </c>
      <c r="G93" s="11">
        <f>IFERROR(F93/F92-1,"")</f>
        <v>-0.6028519928900107</v>
      </c>
      <c r="H93" s="11">
        <f>IFERROR(F93/F81-1,"")</f>
        <v>0.7643043104166087</v>
      </c>
    </row>
    <row r="94" spans="1:8">
      <c r="A94" s="6" t="s">
        <v>12</v>
      </c>
      <c r="B94" s="6" t="s">
        <v>213</v>
      </c>
      <c r="C94" s="6">
        <v>2025</v>
      </c>
      <c r="D94" s="6">
        <v>6</v>
      </c>
      <c r="E94" s="9" t="s">
        <v>182</v>
      </c>
      <c r="F94" s="10">
        <f>SUMIFS(Data!$K:$K,Data!$A:$A,2025,Data!$B:$B,6,Data!$G:$G,"CDU",Data!$F:$F,"PADD 2")</f>
        <v>97.31</v>
      </c>
      <c r="G94" s="11">
        <f>IFERROR(F94/F93-1,"")</f>
        <v>-0.6938306129114062</v>
      </c>
      <c r="H94" s="11">
        <f>IFERROR(F94/F82-1,"")</f>
        <v>0.01554998956376541</v>
      </c>
    </row>
    <row r="95" spans="1:8">
      <c r="A95" s="6" t="s">
        <v>12</v>
      </c>
      <c r="B95" s="6" t="s">
        <v>213</v>
      </c>
      <c r="C95" s="6">
        <v>2025</v>
      </c>
      <c r="D95" s="6">
        <v>7</v>
      </c>
      <c r="E95" s="9" t="s">
        <v>183</v>
      </c>
      <c r="F95" s="10">
        <f>SUMIFS(Data!$K:$K,Data!$A:$A,2025,Data!$B:$B,7,Data!$G:$G,"CDU",Data!$F:$F,"PADD 2")</f>
        <v>75.827</v>
      </c>
      <c r="G95" s="11">
        <f>IFERROR(F95/F94-1,"")</f>
        <v>-0.2207686774226698</v>
      </c>
      <c r="H95" s="11">
        <f>IFERROR(F95/F83-1,"")</f>
        <v>-0.7167675183027042</v>
      </c>
    </row>
    <row r="96" spans="1:8">
      <c r="A96" s="6" t="s">
        <v>12</v>
      </c>
      <c r="B96" s="6" t="s">
        <v>213</v>
      </c>
      <c r="C96" s="6">
        <v>2025</v>
      </c>
      <c r="D96" s="6">
        <v>8</v>
      </c>
      <c r="E96" s="9" t="s">
        <v>184</v>
      </c>
      <c r="F96" s="10">
        <f>SUMIFS(Data!$K:$K,Data!$A:$A,2025,Data!$B:$B,8,Data!$G:$G,"CDU",Data!$F:$F,"PADD 2")</f>
        <v>248.1758</v>
      </c>
      <c r="G96" s="11">
        <f>IFERROR(F96/F95-1,"")</f>
        <v>2.272921254961953</v>
      </c>
      <c r="H96" s="11">
        <f>IFERROR(F96/F84-1,"")</f>
        <v>0.33744233671049795</v>
      </c>
    </row>
    <row r="97" spans="1:8">
      <c r="A97" s="6" t="s">
        <v>12</v>
      </c>
      <c r="B97" s="6" t="s">
        <v>213</v>
      </c>
      <c r="C97" s="6">
        <v>2025</v>
      </c>
      <c r="D97" s="6">
        <v>9</v>
      </c>
      <c r="E97" s="9" t="s">
        <v>185</v>
      </c>
      <c r="F97" s="10">
        <f>SUMIFS(Data!$K:$K,Data!$A:$A,2025,Data!$B:$B,9,Data!$G:$G,"CDU",Data!$F:$F,"PADD 2")</f>
        <v>383.205</v>
      </c>
      <c r="G97" s="11">
        <f>IFERROR(F97/F96-1,"")</f>
        <v>0.5440868932426126</v>
      </c>
      <c r="H97" s="11">
        <f>IFERROR(F97/F85-1,"")</f>
        <v>-0.09339302224564938</v>
      </c>
    </row>
    <row r="98" spans="1:8">
      <c r="A98" s="6" t="s">
        <v>12</v>
      </c>
      <c r="B98" s="6" t="s">
        <v>213</v>
      </c>
      <c r="C98" s="6">
        <v>2025</v>
      </c>
      <c r="D98" s="6">
        <v>10</v>
      </c>
      <c r="E98" s="9" t="s">
        <v>186</v>
      </c>
      <c r="F98" s="10">
        <f>SUMIFS(Data!$K:$K,Data!$A:$A,2025,Data!$B:$B,10,Data!$G:$G,"CDU",Data!$F:$F,"PADD 2")</f>
        <v>592.82</v>
      </c>
      <c r="G98" s="11">
        <f>IFERROR(F98/F97-1,"")</f>
        <v>0.5470048668467271</v>
      </c>
      <c r="H98" s="11">
        <f>IFERROR(F98/F86-1,"")</f>
        <v>0.19681828276098767</v>
      </c>
    </row>
    <row r="99" spans="1:8">
      <c r="A99" s="6" t="s">
        <v>12</v>
      </c>
      <c r="B99" s="6" t="s">
        <v>213</v>
      </c>
      <c r="C99" s="6">
        <v>2025</v>
      </c>
      <c r="D99" s="6">
        <v>11</v>
      </c>
      <c r="E99" s="9" t="s">
        <v>187</v>
      </c>
      <c r="F99" s="10">
        <f>SUMIFS(Data!$K:$K,Data!$A:$A,2025,Data!$B:$B,11,Data!$G:$G,"CDU",Data!$F:$F,"PADD 2")</f>
        <v>120.2906</v>
      </c>
      <c r="G99" s="11">
        <f>IFERROR(F99/F98-1,"")</f>
        <v>-0.7970874801794812</v>
      </c>
      <c r="H99" s="11">
        <f>IFERROR(F99/F87-1,"")</f>
        <v>-0.4558956034014837</v>
      </c>
    </row>
    <row r="100" spans="1:8">
      <c r="A100" s="6" t="s">
        <v>12</v>
      </c>
      <c r="B100" s="6" t="s">
        <v>213</v>
      </c>
      <c r="C100" s="6">
        <v>2025</v>
      </c>
      <c r="D100" s="6">
        <v>12</v>
      </c>
      <c r="E100" s="9" t="s">
        <v>188</v>
      </c>
      <c r="F100" s="10">
        <f>SUMIFS(Data!$K:$K,Data!$A:$A,2025,Data!$B:$B,12,Data!$G:$G,"CDU",Data!$F:$F,"PADD 2")</f>
        <v>40.620000000000005</v>
      </c>
      <c r="G100" s="11">
        <f>IFERROR(F100/F99-1,"")</f>
        <v>-0.662317753839452</v>
      </c>
      <c r="H100" s="11">
        <f>IFERROR(F100/F88-1,"")</f>
        <v>9.41378249500077</v>
      </c>
    </row>
    <row r="101" spans="1:8">
      <c r="A101" s="6" t="s">
        <v>12</v>
      </c>
      <c r="B101" s="6" t="s">
        <v>213</v>
      </c>
      <c r="C101" s="6">
        <v>2026</v>
      </c>
      <c r="D101" s="6">
        <v>1</v>
      </c>
      <c r="E101" s="9" t="s">
        <v>189</v>
      </c>
      <c r="F101" s="10">
        <f>SUMIFS(Data!$K:$K,Data!$A:$A,2026,Data!$B:$B,1,Data!$G:$G,"CDU",Data!$F:$F,"PADD 2")</f>
        <v>65.19</v>
      </c>
      <c r="G101" s="11">
        <f>IFERROR(F101/F100-1,"")</f>
        <v>0.6048744460856719</v>
      </c>
      <c r="H101" s="11">
        <f>IFERROR(F101/F89-1,"")</f>
        <v>0.45545880776959136</v>
      </c>
    </row>
    <row r="102" spans="1:8">
      <c r="A102" s="6" t="s">
        <v>12</v>
      </c>
      <c r="B102" s="6" t="s">
        <v>213</v>
      </c>
      <c r="C102" s="6">
        <v>2026</v>
      </c>
      <c r="D102" s="6">
        <v>2</v>
      </c>
      <c r="E102" s="9" t="s">
        <v>190</v>
      </c>
      <c r="F102" s="10">
        <f>SUMIFS(Data!$K:$K,Data!$A:$A,2026,Data!$B:$B,2,Data!$G:$G,"CDU",Data!$F:$F,"PADD 2")</f>
        <v>219.81</v>
      </c>
      <c r="G102" s="11">
        <f>IFERROR(F102/F101-1,"")</f>
        <v>2.3718361711919007</v>
      </c>
      <c r="H102" s="11">
        <f>IFERROR(F102/F90-1,"")</f>
        <v>0.020828979449669216</v>
      </c>
    </row>
    <row r="103" spans="1:8">
      <c r="A103" s="6" t="s">
        <v>12</v>
      </c>
      <c r="B103" s="6" t="s">
        <v>213</v>
      </c>
      <c r="C103" s="6">
        <v>2026</v>
      </c>
      <c r="D103" s="6">
        <v>3</v>
      </c>
      <c r="E103" s="9" t="s">
        <v>191</v>
      </c>
      <c r="F103" s="10">
        <f>SUMIFS(Data!$K:$K,Data!$A:$A,2026,Data!$B:$B,3,Data!$G:$G,"CDU",Data!$F:$F,"PADD 2")</f>
        <v>444.9</v>
      </c>
      <c r="G103" s="11">
        <f>IFERROR(F103/F102-1,"")</f>
        <v>1.0240207451890266</v>
      </c>
      <c r="H103" s="11">
        <f>IFERROR(F103/F91-1,"")</f>
        <v>-0.04812845665871479</v>
      </c>
    </row>
    <row r="104" spans="1:8">
      <c r="A104" s="6" t="s">
        <v>12</v>
      </c>
      <c r="B104" s="6" t="s">
        <v>213</v>
      </c>
      <c r="C104" s="6">
        <v>2026</v>
      </c>
      <c r="D104" s="6">
        <v>4</v>
      </c>
      <c r="E104" s="9" t="s">
        <v>192</v>
      </c>
      <c r="F104" s="10">
        <f>SUMIFS(Data!$K:$K,Data!$A:$A,2026,Data!$B:$B,4,Data!$G:$G,"CDU",Data!$F:$F,"PADD 2")</f>
        <v>565.15</v>
      </c>
      <c r="G104" s="11">
        <f>IFERROR(F104/F103-1,"")</f>
        <v>0.2702854574061586</v>
      </c>
      <c r="H104" s="11">
        <f>IFERROR(F104/F92-1,"")</f>
        <v>-0.293811872682459</v>
      </c>
    </row>
    <row r="105" spans="1:8">
      <c r="A105" s="6" t="s">
        <v>12</v>
      </c>
      <c r="B105" s="6" t="s">
        <v>213</v>
      </c>
      <c r="C105" s="6">
        <v>2026</v>
      </c>
      <c r="D105" s="6">
        <v>5</v>
      </c>
      <c r="E105" s="9" t="s">
        <v>193</v>
      </c>
      <c r="F105" s="10">
        <f>SUMIFS(Data!$K:$K,Data!$A:$A,2026,Data!$B:$B,5,Data!$G:$G,"CDU",Data!$F:$F,"PADD 2")</f>
        <v>335.79</v>
      </c>
      <c r="G105" s="11">
        <f>IFERROR(F105/F104-1,"")</f>
        <v>-0.4058391577457312</v>
      </c>
      <c r="H105" s="11">
        <f>IFERROR(F105/F93-1,"")</f>
        <v>0.05650620173136267</v>
      </c>
    </row>
    <row r="106" spans="1:8">
      <c r="A106" s="6" t="s">
        <v>12</v>
      </c>
      <c r="B106" s="6" t="s">
        <v>213</v>
      </c>
      <c r="C106" s="6">
        <v>2026</v>
      </c>
      <c r="D106" s="6">
        <v>6</v>
      </c>
      <c r="E106" s="9" t="s">
        <v>194</v>
      </c>
      <c r="F106" s="10">
        <f>SUMIFS(Data!$K:$K,Data!$A:$A,2026,Data!$B:$B,6,Data!$G:$G,"CDU",Data!$F:$F,"PADD 2")</f>
        <v>23.85</v>
      </c>
      <c r="G106" s="11">
        <f>IFERROR(F106/F105-1,"")</f>
        <v>-0.9289734655588314</v>
      </c>
      <c r="H106" s="11">
        <f>IFERROR(F106/F94-1,"")</f>
        <v>-0.7549069982530059</v>
      </c>
    </row>
    <row r="107" spans="1:8">
      <c r="A107" s="6" t="s">
        <v>12</v>
      </c>
      <c r="B107" s="6" t="s">
        <v>213</v>
      </c>
      <c r="C107" s="6">
        <v>2026</v>
      </c>
      <c r="D107" s="6">
        <v>7</v>
      </c>
      <c r="E107" s="9" t="s">
        <v>195</v>
      </c>
      <c r="F107" s="10">
        <f>SUMIFS(Data!$K:$K,Data!$A:$A,2026,Data!$B:$B,7,Data!$G:$G,"CDU",Data!$F:$F,"PADD 2")</f>
        <v>0.0</v>
      </c>
      <c r="G107" s="11">
        <f>IFERROR(F107/F106-1,"")</f>
        <v>-1.0</v>
      </c>
      <c r="H107" s="11">
        <f>IFERROR(F107/F95-1,"")</f>
        <v>-1.0</v>
      </c>
    </row>
    <row r="108" spans="1:8">
      <c r="A108" s="6" t="s">
        <v>12</v>
      </c>
      <c r="B108" s="6" t="s">
        <v>213</v>
      </c>
      <c r="C108" s="6">
        <v>2026</v>
      </c>
      <c r="D108" s="6">
        <v>8</v>
      </c>
      <c r="E108" s="9" t="s">
        <v>196</v>
      </c>
      <c r="F108" s="10">
        <f>SUMIFS(Data!$K:$K,Data!$A:$A,2026,Data!$B:$B,8,Data!$G:$G,"CDU",Data!$F:$F,"PADD 2")</f>
        <v>0.0</v>
      </c>
      <c r="G108" s="11">
        <f>IFERROR(F108/F107-1,"")</f>
        <v/>
      </c>
      <c r="H108" s="11">
        <f>IFERROR(F108/F96-1,"")</f>
        <v>-1.0</v>
      </c>
    </row>
    <row r="109" spans="1:8">
      <c r="A109" s="6" t="s">
        <v>12</v>
      </c>
      <c r="B109" s="6" t="s">
        <v>213</v>
      </c>
      <c r="C109" s="6">
        <v>2026</v>
      </c>
      <c r="D109" s="6">
        <v>9</v>
      </c>
      <c r="E109" s="9" t="s">
        <v>197</v>
      </c>
      <c r="F109" s="10">
        <f>SUMIFS(Data!$K:$K,Data!$A:$A,2026,Data!$B:$B,9,Data!$G:$G,"CDU",Data!$F:$F,"PADD 2")</f>
        <v>212.08999999999997</v>
      </c>
      <c r="G109" s="11">
        <f>IFERROR(F109/F108-1,"")</f>
        <v/>
      </c>
      <c r="H109" s="11">
        <f>IFERROR(F109/F97-1,"")</f>
        <v>-0.4465364491590663</v>
      </c>
    </row>
    <row r="110" spans="1:8">
      <c r="A110" s="6" t="s">
        <v>12</v>
      </c>
      <c r="B110" s="6" t="s">
        <v>213</v>
      </c>
      <c r="C110" s="6">
        <v>2026</v>
      </c>
      <c r="D110" s="6">
        <v>10</v>
      </c>
      <c r="E110" s="9" t="s">
        <v>198</v>
      </c>
      <c r="F110" s="10">
        <f>SUMIFS(Data!$K:$K,Data!$A:$A,2026,Data!$B:$B,10,Data!$G:$G,"CDU",Data!$F:$F,"PADD 2")</f>
        <v>284.01</v>
      </c>
      <c r="G110" s="11">
        <f>IFERROR(F110/F109-1,"")</f>
        <v>0.3391013249092367</v>
      </c>
      <c r="H110" s="11">
        <f>IFERROR(F110/F98-1,"")</f>
        <v>-0.5209169731115685</v>
      </c>
    </row>
    <row r="111" spans="1:8">
      <c r="A111" s="6" t="s">
        <v>12</v>
      </c>
      <c r="B111" s="6" t="s">
        <v>213</v>
      </c>
      <c r="C111" s="6">
        <v>2026</v>
      </c>
      <c r="D111" s="6">
        <v>11</v>
      </c>
      <c r="E111" s="9" t="s">
        <v>199</v>
      </c>
      <c r="F111" s="10">
        <f>SUMIFS(Data!$K:$K,Data!$A:$A,2026,Data!$B:$B,11,Data!$G:$G,"CDU",Data!$F:$F,"PADD 2")</f>
        <v>162.0</v>
      </c>
      <c r="G111" s="11">
        <f>IFERROR(F111/F110-1,"")</f>
        <v>-0.42959754938206396</v>
      </c>
      <c r="H111" s="11">
        <f>IFERROR(F111/F99-1,"")</f>
        <v>0.3467386479076504</v>
      </c>
    </row>
    <row r="112" spans="1:8">
      <c r="A112" s="6" t="s">
        <v>12</v>
      </c>
      <c r="B112" s="6" t="s">
        <v>213</v>
      </c>
      <c r="C112" s="6">
        <v>2026</v>
      </c>
      <c r="D112" s="6">
        <v>12</v>
      </c>
      <c r="E112" s="9" t="s">
        <v>200</v>
      </c>
      <c r="F112" s="10">
        <f>SUMIFS(Data!$K:$K,Data!$A:$A,2026,Data!$B:$B,12,Data!$G:$G,"CDU",Data!$F:$F,"PADD 2")</f>
        <v>0.0</v>
      </c>
      <c r="G112" s="11">
        <f>IFERROR(F112/F111-1,"")</f>
        <v>-1.0</v>
      </c>
      <c r="H112" s="11">
        <f>IFERROR(F112/F100-1,"")</f>
        <v>-1.0</v>
      </c>
    </row>
    <row r="113" spans="1:8">
      <c r="A113" s="6" t="s">
        <v>12</v>
      </c>
      <c r="B113" s="6" t="s">
        <v>213</v>
      </c>
      <c r="C113" s="6">
        <v>2027</v>
      </c>
      <c r="D113" s="6">
        <v>1</v>
      </c>
      <c r="E113" s="9" t="s">
        <v>201</v>
      </c>
      <c r="F113" s="10">
        <f>SUMIFS(Data!$K:$K,Data!$A:$A,2027,Data!$B:$B,1,Data!$G:$G,"CDU",Data!$F:$F,"PADD 2")</f>
        <v>0.0</v>
      </c>
      <c r="G113" s="11">
        <f>IFERROR(F113/F112-1,"")</f>
        <v/>
      </c>
      <c r="H113" s="11">
        <f>IFERROR(F113/F101-1,"")</f>
        <v>-1.0</v>
      </c>
    </row>
    <row r="114" spans="1:8">
      <c r="A114" s="6" t="s">
        <v>12</v>
      </c>
      <c r="B114" s="6" t="s">
        <v>213</v>
      </c>
      <c r="C114" s="6">
        <v>2027</v>
      </c>
      <c r="D114" s="6">
        <v>2</v>
      </c>
      <c r="E114" s="9" t="s">
        <v>202</v>
      </c>
      <c r="F114" s="10">
        <f>SUMIFS(Data!$K:$K,Data!$A:$A,2027,Data!$B:$B,2,Data!$G:$G,"CDU",Data!$F:$F,"PADD 2")</f>
        <v>67.8</v>
      </c>
      <c r="G114" s="11">
        <f>IFERROR(F114/F113-1,"")</f>
        <v/>
      </c>
      <c r="H114" s="11">
        <f>IFERROR(F114/F102-1,"")</f>
        <v>-0.6915517947318138</v>
      </c>
    </row>
    <row r="115" spans="1:8">
      <c r="A115" s="6" t="s">
        <v>12</v>
      </c>
      <c r="B115" s="6" t="s">
        <v>213</v>
      </c>
      <c r="C115" s="6">
        <v>2027</v>
      </c>
      <c r="D115" s="6">
        <v>3</v>
      </c>
      <c r="E115" s="9" t="s">
        <v>203</v>
      </c>
      <c r="F115" s="10">
        <f>SUMIFS(Data!$K:$K,Data!$A:$A,2027,Data!$B:$B,3,Data!$G:$G,"CDU",Data!$F:$F,"PADD 2")</f>
        <v>224.45</v>
      </c>
      <c r="G115" s="11">
        <f>IFERROR(F115/F114-1,"")</f>
        <v>2.31047197640118</v>
      </c>
      <c r="H115" s="11">
        <f>IFERROR(F115/F103-1,"")</f>
        <v>-0.49550460777702854</v>
      </c>
    </row>
    <row r="116" spans="1:8">
      <c r="A116" s="6" t="s">
        <v>12</v>
      </c>
      <c r="B116" s="6" t="s">
        <v>213</v>
      </c>
      <c r="C116" s="6">
        <v>2027</v>
      </c>
      <c r="D116" s="6">
        <v>4</v>
      </c>
      <c r="E116" s="9" t="s">
        <v>204</v>
      </c>
      <c r="F116" s="10">
        <f>SUMIFS(Data!$K:$K,Data!$A:$A,2027,Data!$B:$B,4,Data!$G:$G,"CDU",Data!$F:$F,"PADD 2")</f>
        <v>357.4</v>
      </c>
      <c r="G116" s="11">
        <f>IFERROR(F116/F115-1,"")</f>
        <v>0.5923368233459567</v>
      </c>
      <c r="H116" s="11">
        <f>IFERROR(F116/F104-1,"")</f>
        <v>-0.36760152171989735</v>
      </c>
    </row>
    <row r="117" spans="1:8">
      <c r="A117" s="6" t="s">
        <v>12</v>
      </c>
      <c r="B117" s="6" t="s">
        <v>213</v>
      </c>
      <c r="C117" s="6">
        <v>2027</v>
      </c>
      <c r="D117" s="6">
        <v>5</v>
      </c>
      <c r="E117" s="9" t="s">
        <v>205</v>
      </c>
      <c r="F117" s="10">
        <f>SUMIFS(Data!$K:$K,Data!$A:$A,2027,Data!$B:$B,5,Data!$G:$G,"CDU",Data!$F:$F,"PADD 2")</f>
        <v>206.5</v>
      </c>
      <c r="G117" s="11">
        <f>IFERROR(F117/F116-1,"")</f>
        <v>-0.42221600447677665</v>
      </c>
      <c r="H117" s="11">
        <f>IFERROR(F117/F105-1,"")</f>
        <v>-0.38503231186158016</v>
      </c>
    </row>
    <row r="118" spans="1:8">
      <c r="A118" s="6" t="s">
        <v>12</v>
      </c>
      <c r="B118" s="6" t="s">
        <v>213</v>
      </c>
      <c r="C118" s="6">
        <v>2027</v>
      </c>
      <c r="D118" s="6">
        <v>6</v>
      </c>
      <c r="E118" s="9" t="s">
        <v>206</v>
      </c>
      <c r="F118" s="10">
        <f>SUMIFS(Data!$K:$K,Data!$A:$A,2027,Data!$B:$B,6,Data!$G:$G,"CDU",Data!$F:$F,"PADD 2")</f>
        <v>0.0</v>
      </c>
      <c r="G118" s="11">
        <f>IFERROR(F118/F117-1,"")</f>
        <v>-1.0</v>
      </c>
      <c r="H118" s="11">
        <f>IFERROR(F118/F106-1,"")</f>
        <v>-1.0</v>
      </c>
    </row>
    <row r="119" spans="1:8">
      <c r="A119" s="6" t="s">
        <v>12</v>
      </c>
      <c r="B119" s="6" t="s">
        <v>213</v>
      </c>
      <c r="C119" s="6">
        <v>2027</v>
      </c>
      <c r="D119" s="6">
        <v>7</v>
      </c>
      <c r="E119" s="9" t="s">
        <v>207</v>
      </c>
      <c r="F119" s="10">
        <f>SUMIFS(Data!$K:$K,Data!$A:$A,2027,Data!$B:$B,7,Data!$G:$G,"CDU",Data!$F:$F,"PADD 2")</f>
        <v>0.0</v>
      </c>
      <c r="G119" s="11">
        <f>IFERROR(F119/F118-1,"")</f>
        <v/>
      </c>
      <c r="H119" s="11">
        <f>IFERROR(F119/F107-1,"")</f>
        <v/>
      </c>
    </row>
    <row r="120" spans="1:8">
      <c r="A120" s="6" t="s">
        <v>12</v>
      </c>
      <c r="B120" s="6" t="s">
        <v>213</v>
      </c>
      <c r="C120" s="6">
        <v>2027</v>
      </c>
      <c r="D120" s="6">
        <v>8</v>
      </c>
      <c r="E120" s="9" t="s">
        <v>208</v>
      </c>
      <c r="F120" s="10">
        <f>SUMIFS(Data!$K:$K,Data!$A:$A,2027,Data!$B:$B,8,Data!$G:$G,"CDU",Data!$F:$F,"PADD 2")</f>
        <v>0.0</v>
      </c>
      <c r="G120" s="11">
        <f>IFERROR(F120/F119-1,"")</f>
        <v/>
      </c>
      <c r="H120" s="11">
        <f>IFERROR(F120/F108-1,"")</f>
        <v/>
      </c>
    </row>
    <row r="121" spans="1:8">
      <c r="A121" s="6" t="s">
        <v>12</v>
      </c>
      <c r="B121" s="6" t="s">
        <v>213</v>
      </c>
      <c r="C121" s="6">
        <v>2027</v>
      </c>
      <c r="D121" s="6">
        <v>9</v>
      </c>
      <c r="E121" s="9" t="s">
        <v>209</v>
      </c>
      <c r="F121" s="10">
        <f>SUMIFS(Data!$K:$K,Data!$A:$A,2027,Data!$B:$B,9,Data!$G:$G,"CDU",Data!$F:$F,"PADD 2")</f>
        <v>325.095</v>
      </c>
      <c r="G121" s="11">
        <f>IFERROR(F121/F120-1,"")</f>
        <v/>
      </c>
      <c r="H121" s="11">
        <f>IFERROR(F121/F109-1,"")</f>
        <v>0.5328162572492812</v>
      </c>
    </row>
    <row r="122" spans="1:8">
      <c r="A122" s="6" t="s">
        <v>12</v>
      </c>
      <c r="B122" s="6" t="s">
        <v>213</v>
      </c>
      <c r="C122" s="6">
        <v>2027</v>
      </c>
      <c r="D122" s="6">
        <v>10</v>
      </c>
      <c r="E122" s="9" t="s">
        <v>210</v>
      </c>
      <c r="F122" s="10">
        <f>SUMIFS(Data!$K:$K,Data!$A:$A,2027,Data!$B:$B,10,Data!$G:$G,"CDU",Data!$F:$F,"PADD 2")</f>
        <v>95.225</v>
      </c>
      <c r="G122" s="11">
        <f>IFERROR(F122/F121-1,"")</f>
        <v>-0.7070856211261324</v>
      </c>
      <c r="H122" s="11">
        <f>IFERROR(F122/F110-1,"")</f>
        <v>-0.664712510122883</v>
      </c>
    </row>
    <row r="123" spans="1:8">
      <c r="A123" s="6" t="s">
        <v>12</v>
      </c>
      <c r="B123" s="6" t="s">
        <v>213</v>
      </c>
      <c r="C123" s="6">
        <v>2027</v>
      </c>
      <c r="D123" s="6">
        <v>11</v>
      </c>
      <c r="E123" s="9" t="s">
        <v>211</v>
      </c>
      <c r="F123" s="10">
        <f>SUMIFS(Data!$K:$K,Data!$A:$A,2027,Data!$B:$B,11,Data!$G:$G,"CDU",Data!$F:$F,"PADD 2")</f>
        <v>0.0</v>
      </c>
      <c r="G123" s="11">
        <f>IFERROR(F123/F122-1,"")</f>
        <v>-1.0</v>
      </c>
      <c r="H123" s="11">
        <f>IFERROR(F123/F111-1,"")</f>
        <v>-1.0</v>
      </c>
    </row>
    <row r="124" spans="1:8">
      <c r="A124" s="6" t="s">
        <v>12</v>
      </c>
      <c r="B124" s="6" t="s">
        <v>213</v>
      </c>
      <c r="C124" s="6">
        <v>2027</v>
      </c>
      <c r="D124" s="6">
        <v>12</v>
      </c>
      <c r="E124" s="9" t="s">
        <v>212</v>
      </c>
      <c r="F124" s="10">
        <f>SUMIFS(Data!$K:$K,Data!$A:$A,2027,Data!$B:$B,12,Data!$G:$G,"CDU",Data!$F:$F,"PADD 2")</f>
        <v>0.0</v>
      </c>
      <c r="G124" s="11">
        <f>IFERROR(F124/F123-1,"")</f>
        <v/>
      </c>
      <c r="H124" s="11">
        <f>IFERROR(F124/F112-1,"")</f>
        <v/>
      </c>
    </row>
    <row r="125" spans="1:8">
      <c r="A125" s="6" t="s">
        <v>12</v>
      </c>
      <c r="B125" s="6" t="s">
        <v>214</v>
      </c>
      <c r="C125" s="6">
        <v>2023</v>
      </c>
      <c r="D125" s="6">
        <v>1</v>
      </c>
      <c r="E125" s="9" t="s">
        <v>153</v>
      </c>
      <c r="F125" s="10">
        <f>SUMIFS(Data!$K:$K,Data!$A:$A,2023,Data!$B:$B,1,Data!$G:$G,"CDU",Data!$F:$F,"PADD 3")</f>
        <v>930.62</v>
      </c>
    </row>
    <row r="126" spans="1:8">
      <c r="A126" s="6" t="s">
        <v>12</v>
      </c>
      <c r="B126" s="6" t="s">
        <v>214</v>
      </c>
      <c r="C126" s="6">
        <v>2023</v>
      </c>
      <c r="D126" s="6">
        <v>2</v>
      </c>
      <c r="E126" s="9" t="s">
        <v>154</v>
      </c>
      <c r="F126" s="10">
        <f>SUMIFS(Data!$K:$K,Data!$A:$A,2023,Data!$B:$B,2,Data!$G:$G,"CDU",Data!$F:$F,"PADD 3")</f>
        <v>1251.38</v>
      </c>
      <c r="G126" s="11">
        <f>IFERROR(F126/F125-1,"")</f>
        <v>0.3446734435107779</v>
      </c>
    </row>
    <row r="127" spans="1:8">
      <c r="A127" s="6" t="s">
        <v>12</v>
      </c>
      <c r="B127" s="6" t="s">
        <v>214</v>
      </c>
      <c r="C127" s="6">
        <v>2023</v>
      </c>
      <c r="D127" s="6">
        <v>3</v>
      </c>
      <c r="E127" s="9" t="s">
        <v>155</v>
      </c>
      <c r="F127" s="10">
        <f>SUMIFS(Data!$K:$K,Data!$A:$A,2023,Data!$B:$B,3,Data!$G:$G,"CDU",Data!$F:$F,"PADD 3")</f>
        <v>987.275</v>
      </c>
      <c r="G127" s="11">
        <f>IFERROR(F127/F126-1,"")</f>
        <v>-0.21105099969633534</v>
      </c>
    </row>
    <row r="128" spans="1:8">
      <c r="A128" s="6" t="s">
        <v>12</v>
      </c>
      <c r="B128" s="6" t="s">
        <v>214</v>
      </c>
      <c r="C128" s="6">
        <v>2023</v>
      </c>
      <c r="D128" s="6">
        <v>4</v>
      </c>
      <c r="E128" s="9" t="s">
        <v>156</v>
      </c>
      <c r="F128" s="10">
        <f>SUMIFS(Data!$K:$K,Data!$A:$A,2023,Data!$B:$B,4,Data!$G:$G,"CDU",Data!$F:$F,"PADD 3")</f>
        <v>683.585</v>
      </c>
      <c r="G128" s="11">
        <f>IFERROR(F128/F127-1,"")</f>
        <v>-0.30760426426274334</v>
      </c>
    </row>
    <row r="129" spans="1:8">
      <c r="A129" s="6" t="s">
        <v>12</v>
      </c>
      <c r="B129" s="6" t="s">
        <v>214</v>
      </c>
      <c r="C129" s="6">
        <v>2023</v>
      </c>
      <c r="D129" s="6">
        <v>5</v>
      </c>
      <c r="E129" s="9" t="s">
        <v>157</v>
      </c>
      <c r="F129" s="10">
        <f>SUMIFS(Data!$K:$K,Data!$A:$A,2023,Data!$B:$B,5,Data!$G:$G,"CDU",Data!$F:$F,"PADD 3")</f>
        <v>500.5058</v>
      </c>
      <c r="G129" s="11">
        <f>IFERROR(F129/F128-1,"")</f>
        <v>-0.26782214355200895</v>
      </c>
    </row>
    <row r="130" spans="1:8">
      <c r="A130" s="6" t="s">
        <v>12</v>
      </c>
      <c r="B130" s="6" t="s">
        <v>214</v>
      </c>
      <c r="C130" s="6">
        <v>2023</v>
      </c>
      <c r="D130" s="6">
        <v>6</v>
      </c>
      <c r="E130" s="9" t="s">
        <v>158</v>
      </c>
      <c r="F130" s="10">
        <f>SUMIFS(Data!$K:$K,Data!$A:$A,2023,Data!$B:$B,6,Data!$G:$G,"CDU",Data!$F:$F,"PADD 3")</f>
        <v>488.0</v>
      </c>
      <c r="G130" s="11">
        <f>IFERROR(F130/F129-1,"")</f>
        <v>-0.0249863238348087</v>
      </c>
    </row>
    <row r="131" spans="1:8">
      <c r="A131" s="6" t="s">
        <v>12</v>
      </c>
      <c r="B131" s="6" t="s">
        <v>214</v>
      </c>
      <c r="C131" s="6">
        <v>2023</v>
      </c>
      <c r="D131" s="6">
        <v>7</v>
      </c>
      <c r="E131" s="9" t="s">
        <v>159</v>
      </c>
      <c r="F131" s="10">
        <f>SUMIFS(Data!$K:$K,Data!$A:$A,2023,Data!$B:$B,7,Data!$G:$G,"CDU",Data!$F:$F,"PADD 3")</f>
        <v>224.45</v>
      </c>
      <c r="G131" s="11">
        <f>IFERROR(F131/F130-1,"")</f>
        <v>-0.5400614754098361</v>
      </c>
    </row>
    <row r="132" spans="1:8">
      <c r="A132" s="6" t="s">
        <v>12</v>
      </c>
      <c r="B132" s="6" t="s">
        <v>214</v>
      </c>
      <c r="C132" s="6">
        <v>2023</v>
      </c>
      <c r="D132" s="6">
        <v>8</v>
      </c>
      <c r="E132" s="9" t="s">
        <v>160</v>
      </c>
      <c r="F132" s="10">
        <f>SUMIFS(Data!$K:$K,Data!$A:$A,2023,Data!$B:$B,8,Data!$G:$G,"CDU",Data!$F:$F,"PADD 3")</f>
        <v>422.0</v>
      </c>
      <c r="G132" s="11">
        <f>IFERROR(F132/F131-1,"")</f>
        <v>0.8801514813989755</v>
      </c>
    </row>
    <row r="133" spans="1:8">
      <c r="A133" s="6" t="s">
        <v>12</v>
      </c>
      <c r="B133" s="6" t="s">
        <v>214</v>
      </c>
      <c r="C133" s="6">
        <v>2023</v>
      </c>
      <c r="D133" s="6">
        <v>9</v>
      </c>
      <c r="E133" s="9" t="s">
        <v>161</v>
      </c>
      <c r="F133" s="10">
        <f>SUMIFS(Data!$K:$K,Data!$A:$A,2023,Data!$B:$B,9,Data!$G:$G,"CDU",Data!$F:$F,"PADD 3")</f>
        <v>628.7675</v>
      </c>
      <c r="G133" s="11">
        <f>IFERROR(F133/F132-1,"")</f>
        <v>0.48997037914691943</v>
      </c>
    </row>
    <row r="134" spans="1:8">
      <c r="A134" s="6" t="s">
        <v>12</v>
      </c>
      <c r="B134" s="6" t="s">
        <v>214</v>
      </c>
      <c r="C134" s="6">
        <v>2023</v>
      </c>
      <c r="D134" s="6">
        <v>10</v>
      </c>
      <c r="E134" s="9" t="s">
        <v>162</v>
      </c>
      <c r="F134" s="10">
        <f>SUMIFS(Data!$K:$K,Data!$A:$A,2023,Data!$B:$B,10,Data!$G:$G,"CDU",Data!$F:$F,"PADD 3")</f>
        <v>1135.44</v>
      </c>
      <c r="G134" s="11">
        <f>IFERROR(F134/F133-1,"")</f>
        <v>0.8058185259257198</v>
      </c>
    </row>
    <row r="135" spans="1:8">
      <c r="A135" s="6" t="s">
        <v>12</v>
      </c>
      <c r="B135" s="6" t="s">
        <v>214</v>
      </c>
      <c r="C135" s="6">
        <v>2023</v>
      </c>
      <c r="D135" s="6">
        <v>11</v>
      </c>
      <c r="E135" s="9" t="s">
        <v>163</v>
      </c>
      <c r="F135" s="10">
        <f>SUMIFS(Data!$K:$K,Data!$A:$A,2023,Data!$B:$B,11,Data!$G:$G,"CDU",Data!$F:$F,"PADD 3")</f>
        <v>500.85</v>
      </c>
      <c r="G135" s="11">
        <f>IFERROR(F135/F134-1,"")</f>
        <v>-0.5588934686112872</v>
      </c>
    </row>
    <row r="136" spans="1:8">
      <c r="A136" s="6" t="s">
        <v>12</v>
      </c>
      <c r="B136" s="6" t="s">
        <v>214</v>
      </c>
      <c r="C136" s="6">
        <v>2023</v>
      </c>
      <c r="D136" s="6">
        <v>12</v>
      </c>
      <c r="E136" s="9" t="s">
        <v>164</v>
      </c>
      <c r="F136" s="10">
        <f>SUMIFS(Data!$K:$K,Data!$A:$A,2023,Data!$B:$B,12,Data!$G:$G,"CDU",Data!$F:$F,"PADD 3")</f>
        <v>128.14</v>
      </c>
      <c r="G136" s="11">
        <f>IFERROR(F136/F135-1,"")</f>
        <v>-0.7441549366077669</v>
      </c>
    </row>
    <row r="137" spans="1:8">
      <c r="A137" s="6" t="s">
        <v>12</v>
      </c>
      <c r="B137" s="6" t="s">
        <v>214</v>
      </c>
      <c r="C137" s="6">
        <v>2024</v>
      </c>
      <c r="D137" s="6">
        <v>1</v>
      </c>
      <c r="E137" s="9" t="s">
        <v>165</v>
      </c>
      <c r="F137" s="10">
        <f>SUMIFS(Data!$K:$K,Data!$A:$A,2024,Data!$B:$B,1,Data!$G:$G,"CDU",Data!$F:$F,"PADD 3")</f>
        <v>1030.388</v>
      </c>
      <c r="G137" s="11">
        <f>IFERROR(F137/F136-1,"")</f>
        <v>7.041111284532542</v>
      </c>
      <c r="H137" s="11">
        <f>IFERROR(F137/F125-1,"")</f>
        <v>0.10720594872235711</v>
      </c>
    </row>
    <row r="138" spans="1:8">
      <c r="A138" s="6" t="s">
        <v>12</v>
      </c>
      <c r="B138" s="6" t="s">
        <v>214</v>
      </c>
      <c r="C138" s="6">
        <v>2024</v>
      </c>
      <c r="D138" s="6">
        <v>2</v>
      </c>
      <c r="E138" s="9" t="s">
        <v>166</v>
      </c>
      <c r="F138" s="10">
        <f>SUMIFS(Data!$K:$K,Data!$A:$A,2024,Data!$B:$B,2,Data!$G:$G,"CDU",Data!$F:$F,"PADD 3")</f>
        <v>1357.19</v>
      </c>
      <c r="G138" s="11">
        <f>IFERROR(F138/F137-1,"")</f>
        <v>0.3171640197673111</v>
      </c>
      <c r="H138" s="11">
        <f>IFERROR(F138/F126-1,"")</f>
        <v>0.08455465166456233</v>
      </c>
    </row>
    <row r="139" spans="1:8">
      <c r="A139" s="6" t="s">
        <v>12</v>
      </c>
      <c r="B139" s="6" t="s">
        <v>214</v>
      </c>
      <c r="C139" s="6">
        <v>2024</v>
      </c>
      <c r="D139" s="6">
        <v>3</v>
      </c>
      <c r="E139" s="9" t="s">
        <v>167</v>
      </c>
      <c r="F139" s="10">
        <f>SUMIFS(Data!$K:$K,Data!$A:$A,2024,Data!$B:$B,3,Data!$G:$G,"CDU",Data!$F:$F,"PADD 3")</f>
        <v>695.1600000000001</v>
      </c>
      <c r="G139" s="11">
        <f>IFERROR(F139/F138-1,"")</f>
        <v>-0.48779463450216987</v>
      </c>
      <c r="H139" s="11">
        <f>IFERROR(F139/F127-1,"")</f>
        <v>-0.2958800739408979</v>
      </c>
    </row>
    <row r="140" spans="1:8">
      <c r="A140" s="6" t="s">
        <v>12</v>
      </c>
      <c r="B140" s="6" t="s">
        <v>214</v>
      </c>
      <c r="C140" s="6">
        <v>2024</v>
      </c>
      <c r="D140" s="6">
        <v>4</v>
      </c>
      <c r="E140" s="9" t="s">
        <v>168</v>
      </c>
      <c r="F140" s="10">
        <f>SUMIFS(Data!$K:$K,Data!$A:$A,2024,Data!$B:$B,4,Data!$G:$G,"CDU",Data!$F:$F,"PADD 3")</f>
        <v>596.05</v>
      </c>
      <c r="G140" s="11">
        <f>IFERROR(F140/F139-1,"")</f>
        <v>-0.14257149433224026</v>
      </c>
      <c r="H140" s="11">
        <f>IFERROR(F140/F128-1,"")</f>
        <v>-0.12805283907634024</v>
      </c>
    </row>
    <row r="141" spans="1:8">
      <c r="A141" s="6" t="s">
        <v>12</v>
      </c>
      <c r="B141" s="6" t="s">
        <v>214</v>
      </c>
      <c r="C141" s="6">
        <v>2024</v>
      </c>
      <c r="D141" s="6">
        <v>5</v>
      </c>
      <c r="E141" s="9" t="s">
        <v>169</v>
      </c>
      <c r="F141" s="10">
        <f>SUMIFS(Data!$K:$K,Data!$A:$A,2024,Data!$B:$B,5,Data!$G:$G,"CDU",Data!$F:$F,"PADD 3")</f>
        <v>110.33999999999999</v>
      </c>
      <c r="G141" s="11">
        <f>IFERROR(F141/F140-1,"")</f>
        <v>-0.8148813019042027</v>
      </c>
      <c r="H141" s="11">
        <f>IFERROR(F141/F129-1,"")</f>
        <v>-0.7795430142867475</v>
      </c>
    </row>
    <row r="142" spans="1:8">
      <c r="A142" s="6" t="s">
        <v>12</v>
      </c>
      <c r="B142" s="6" t="s">
        <v>214</v>
      </c>
      <c r="C142" s="6">
        <v>2024</v>
      </c>
      <c r="D142" s="6">
        <v>6</v>
      </c>
      <c r="E142" s="9" t="s">
        <v>170</v>
      </c>
      <c r="F142" s="10">
        <f>SUMIFS(Data!$K:$K,Data!$A:$A,2024,Data!$B:$B,6,Data!$G:$G,"CDU",Data!$F:$F,"PADD 3")</f>
        <v>281.23</v>
      </c>
      <c r="G142" s="11">
        <f>IFERROR(F142/F141-1,"")</f>
        <v>1.5487583831792646</v>
      </c>
      <c r="H142" s="11">
        <f>IFERROR(F142/F130-1,"")</f>
        <v>-0.4237090163934426</v>
      </c>
    </row>
    <row r="143" spans="1:8">
      <c r="A143" s="6" t="s">
        <v>12</v>
      </c>
      <c r="B143" s="6" t="s">
        <v>214</v>
      </c>
      <c r="C143" s="6">
        <v>2024</v>
      </c>
      <c r="D143" s="6">
        <v>7</v>
      </c>
      <c r="E143" s="9" t="s">
        <v>171</v>
      </c>
      <c r="F143" s="10">
        <f>SUMIFS(Data!$K:$K,Data!$A:$A,2024,Data!$B:$B,7,Data!$G:$G,"CDU",Data!$F:$F,"PADD 3")</f>
        <v>363.87</v>
      </c>
      <c r="G143" s="11">
        <f>IFERROR(F143/F142-1,"")</f>
        <v>0.2938520072538491</v>
      </c>
      <c r="H143" s="11">
        <f>IFERROR(F143/F131-1,"")</f>
        <v>0.6211628425038984</v>
      </c>
    </row>
    <row r="144" spans="1:8">
      <c r="A144" s="6" t="s">
        <v>12</v>
      </c>
      <c r="B144" s="6" t="s">
        <v>214</v>
      </c>
      <c r="C144" s="6">
        <v>2024</v>
      </c>
      <c r="D144" s="6">
        <v>8</v>
      </c>
      <c r="E144" s="9" t="s">
        <v>172</v>
      </c>
      <c r="F144" s="10">
        <f>SUMIFS(Data!$K:$K,Data!$A:$A,2024,Data!$B:$B,8,Data!$G:$G,"CDU",Data!$F:$F,"PADD 3")</f>
        <v>364.538</v>
      </c>
      <c r="G144" s="11">
        <f>IFERROR(F144/F143-1,"")</f>
        <v>0.0018358204853381466</v>
      </c>
      <c r="H144" s="11">
        <f>IFERROR(F144/F132-1,"")</f>
        <v>-0.13616587677725112</v>
      </c>
    </row>
    <row r="145" spans="1:8">
      <c r="A145" s="6" t="s">
        <v>12</v>
      </c>
      <c r="B145" s="6" t="s">
        <v>214</v>
      </c>
      <c r="C145" s="6">
        <v>2024</v>
      </c>
      <c r="D145" s="6">
        <v>9</v>
      </c>
      <c r="E145" s="9" t="s">
        <v>173</v>
      </c>
      <c r="F145" s="10">
        <f>SUMIFS(Data!$K:$K,Data!$A:$A,2024,Data!$B:$B,9,Data!$G:$G,"CDU",Data!$F:$F,"PADD 3")</f>
        <v>605.36</v>
      </c>
      <c r="G145" s="11">
        <f>IFERROR(F145/F144-1,"")</f>
        <v>0.6606224865446126</v>
      </c>
      <c r="H145" s="11">
        <f>IFERROR(F145/F133-1,"")</f>
        <v>-0.03722759207497206</v>
      </c>
    </row>
    <row r="146" spans="1:8">
      <c r="A146" s="6" t="s">
        <v>12</v>
      </c>
      <c r="B146" s="6" t="s">
        <v>214</v>
      </c>
      <c r="C146" s="6">
        <v>2024</v>
      </c>
      <c r="D146" s="6">
        <v>10</v>
      </c>
      <c r="E146" s="9" t="s">
        <v>174</v>
      </c>
      <c r="F146" s="10">
        <f>SUMIFS(Data!$K:$K,Data!$A:$A,2024,Data!$B:$B,10,Data!$G:$G,"CDU",Data!$F:$F,"PADD 3")</f>
        <v>531.79</v>
      </c>
      <c r="G146" s="11">
        <f>IFERROR(F146/F145-1,"")</f>
        <v>-0.12153098982423693</v>
      </c>
      <c r="H146" s="11">
        <f>IFERROR(F146/F134-1,"")</f>
        <v>-0.5316441203410132</v>
      </c>
    </row>
    <row r="147" spans="1:8">
      <c r="A147" s="6" t="s">
        <v>12</v>
      </c>
      <c r="B147" s="6" t="s">
        <v>214</v>
      </c>
      <c r="C147" s="6">
        <v>2024</v>
      </c>
      <c r="D147" s="6">
        <v>11</v>
      </c>
      <c r="E147" s="9" t="s">
        <v>175</v>
      </c>
      <c r="F147" s="10">
        <f>SUMIFS(Data!$K:$K,Data!$A:$A,2024,Data!$B:$B,11,Data!$G:$G,"CDU",Data!$F:$F,"PADD 3")</f>
        <v>377.62</v>
      </c>
      <c r="G147" s="11">
        <f>IFERROR(F147/F146-1,"")</f>
        <v>-0.2899076703209913</v>
      </c>
      <c r="H147" s="11">
        <f>IFERROR(F147/F135-1,"")</f>
        <v>-0.24604172906059696</v>
      </c>
    </row>
    <row r="148" spans="1:8">
      <c r="A148" s="6" t="s">
        <v>12</v>
      </c>
      <c r="B148" s="6" t="s">
        <v>214</v>
      </c>
      <c r="C148" s="6">
        <v>2024</v>
      </c>
      <c r="D148" s="6">
        <v>12</v>
      </c>
      <c r="E148" s="9" t="s">
        <v>176</v>
      </c>
      <c r="F148" s="10">
        <f>SUMIFS(Data!$K:$K,Data!$A:$A,2024,Data!$B:$B,12,Data!$G:$G,"CDU",Data!$F:$F,"PADD 3")</f>
        <v>98.46199999999999</v>
      </c>
      <c r="G148" s="11">
        <f>IFERROR(F148/F147-1,"")</f>
        <v>-0.7392563953180447</v>
      </c>
      <c r="H148" s="11">
        <f>IFERROR(F148/F136-1,"")</f>
        <v>-0.23160605587638516</v>
      </c>
    </row>
    <row r="149" spans="1:8">
      <c r="A149" s="6" t="s">
        <v>12</v>
      </c>
      <c r="B149" s="6" t="s">
        <v>214</v>
      </c>
      <c r="C149" s="6">
        <v>2025</v>
      </c>
      <c r="D149" s="6">
        <v>1</v>
      </c>
      <c r="E149" s="9" t="s">
        <v>177</v>
      </c>
      <c r="F149" s="10">
        <f>SUMIFS(Data!$K:$K,Data!$A:$A,2025,Data!$B:$B,1,Data!$G:$G,"CDU",Data!$F:$F,"PADD 3")</f>
        <v>920.205</v>
      </c>
      <c r="G149" s="11">
        <f>IFERROR(F149/F148-1,"")</f>
        <v>8.345788222867707</v>
      </c>
      <c r="H149" s="11">
        <f>IFERROR(F149/F137-1,"")</f>
        <v>-0.10693350466038021</v>
      </c>
    </row>
    <row r="150" spans="1:8">
      <c r="A150" s="6" t="s">
        <v>12</v>
      </c>
      <c r="B150" s="6" t="s">
        <v>214</v>
      </c>
      <c r="C150" s="6">
        <v>2025</v>
      </c>
      <c r="D150" s="6">
        <v>2</v>
      </c>
      <c r="E150" s="9" t="s">
        <v>178</v>
      </c>
      <c r="F150" s="10">
        <f>SUMIFS(Data!$K:$K,Data!$A:$A,2025,Data!$B:$B,2,Data!$G:$G,"CDU",Data!$F:$F,"PADD 3")</f>
        <v>923.361</v>
      </c>
      <c r="G150" s="11">
        <f>IFERROR(F150/F149-1,"")</f>
        <v>0.0034296705625376234</v>
      </c>
      <c r="H150" s="11">
        <f>IFERROR(F150/F138-1,"")</f>
        <v>-0.3196523699703063</v>
      </c>
    </row>
    <row r="151" spans="1:8">
      <c r="A151" s="6" t="s">
        <v>12</v>
      </c>
      <c r="B151" s="6" t="s">
        <v>214</v>
      </c>
      <c r="C151" s="6">
        <v>2025</v>
      </c>
      <c r="D151" s="6">
        <v>3</v>
      </c>
      <c r="E151" s="9" t="s">
        <v>179</v>
      </c>
      <c r="F151" s="10">
        <f>SUMIFS(Data!$K:$K,Data!$A:$A,2025,Data!$B:$B,3,Data!$G:$G,"CDU",Data!$F:$F,"PADD 3")</f>
        <v>313.752</v>
      </c>
      <c r="G151" s="11">
        <f>IFERROR(F151/F150-1,"")</f>
        <v>-0.660206571427643</v>
      </c>
      <c r="H151" s="11">
        <f>IFERROR(F151/F139-1,"")</f>
        <v>-0.5486621784912826</v>
      </c>
    </row>
    <row r="152" spans="1:8">
      <c r="A152" s="6" t="s">
        <v>12</v>
      </c>
      <c r="B152" s="6" t="s">
        <v>214</v>
      </c>
      <c r="C152" s="6">
        <v>2025</v>
      </c>
      <c r="D152" s="6">
        <v>4</v>
      </c>
      <c r="E152" s="9" t="s">
        <v>180</v>
      </c>
      <c r="F152" s="10">
        <f>SUMIFS(Data!$K:$K,Data!$A:$A,2025,Data!$B:$B,4,Data!$G:$G,"CDU",Data!$F:$F,"PADD 3")</f>
        <v>357.5</v>
      </c>
      <c r="G152" s="11">
        <f>IFERROR(F152/F151-1,"")</f>
        <v>0.13943496774522557</v>
      </c>
      <c r="H152" s="11">
        <f>IFERROR(F152/F140-1,"")</f>
        <v>-0.4002181025081788</v>
      </c>
    </row>
    <row r="153" spans="1:8">
      <c r="A153" s="6" t="s">
        <v>12</v>
      </c>
      <c r="B153" s="6" t="s">
        <v>214</v>
      </c>
      <c r="C153" s="6">
        <v>2025</v>
      </c>
      <c r="D153" s="6">
        <v>5</v>
      </c>
      <c r="E153" s="9" t="s">
        <v>181</v>
      </c>
      <c r="F153" s="10">
        <f>SUMIFS(Data!$K:$K,Data!$A:$A,2025,Data!$B:$B,5,Data!$G:$G,"CDU",Data!$F:$F,"PADD 3")</f>
        <v>191.592</v>
      </c>
      <c r="G153" s="11">
        <f>IFERROR(F153/F152-1,"")</f>
        <v>-0.46407832167832164</v>
      </c>
      <c r="H153" s="11">
        <f>IFERROR(F153/F141-1,"")</f>
        <v>0.7363784665579123</v>
      </c>
    </row>
    <row r="154" spans="1:8">
      <c r="A154" s="6" t="s">
        <v>12</v>
      </c>
      <c r="B154" s="6" t="s">
        <v>214</v>
      </c>
      <c r="C154" s="6">
        <v>2025</v>
      </c>
      <c r="D154" s="6">
        <v>6</v>
      </c>
      <c r="E154" s="9" t="s">
        <v>182</v>
      </c>
      <c r="F154" s="10">
        <f>SUMIFS(Data!$K:$K,Data!$A:$A,2025,Data!$B:$B,6,Data!$G:$G,"CDU",Data!$F:$F,"PADD 3")</f>
        <v>113.68</v>
      </c>
      <c r="G154" s="11">
        <f>IFERROR(F154/F153-1,"")</f>
        <v>-0.4066558102634765</v>
      </c>
      <c r="H154" s="11">
        <f>IFERROR(F154/F142-1,"")</f>
        <v>-0.5957756996053052</v>
      </c>
    </row>
    <row r="155" spans="1:8">
      <c r="A155" s="6" t="s">
        <v>12</v>
      </c>
      <c r="B155" s="6" t="s">
        <v>214</v>
      </c>
      <c r="C155" s="6">
        <v>2025</v>
      </c>
      <c r="D155" s="6">
        <v>7</v>
      </c>
      <c r="E155" s="9" t="s">
        <v>183</v>
      </c>
      <c r="F155" s="10">
        <f>SUMIFS(Data!$K:$K,Data!$A:$A,2025,Data!$B:$B,7,Data!$G:$G,"CDU",Data!$F:$F,"PADD 3")</f>
        <v>71.78</v>
      </c>
      <c r="G155" s="11">
        <f>IFERROR(F155/F154-1,"")</f>
        <v>-0.36857846586910625</v>
      </c>
      <c r="H155" s="11">
        <f>IFERROR(F155/F143-1,"")</f>
        <v>-0.8027317448539313</v>
      </c>
    </row>
    <row r="156" spans="1:8">
      <c r="A156" s="6" t="s">
        <v>12</v>
      </c>
      <c r="B156" s="6" t="s">
        <v>214</v>
      </c>
      <c r="C156" s="6">
        <v>2025</v>
      </c>
      <c r="D156" s="6">
        <v>8</v>
      </c>
      <c r="E156" s="9" t="s">
        <v>184</v>
      </c>
      <c r="F156" s="10">
        <f>SUMIFS(Data!$K:$K,Data!$A:$A,2025,Data!$B:$B,8,Data!$G:$G,"CDU",Data!$F:$F,"PADD 3")</f>
        <v>86.44</v>
      </c>
      <c r="G156" s="11">
        <f>IFERROR(F156/F155-1,"")</f>
        <v>0.20423516299804945</v>
      </c>
      <c r="H156" s="11">
        <f>IFERROR(F156/F144-1,"")</f>
        <v>-0.7628779441375111</v>
      </c>
    </row>
    <row r="157" spans="1:8">
      <c r="A157" s="6" t="s">
        <v>12</v>
      </c>
      <c r="B157" s="6" t="s">
        <v>214</v>
      </c>
      <c r="C157" s="6">
        <v>2025</v>
      </c>
      <c r="D157" s="6">
        <v>9</v>
      </c>
      <c r="E157" s="9" t="s">
        <v>185</v>
      </c>
      <c r="F157" s="10">
        <f>SUMIFS(Data!$K:$K,Data!$A:$A,2025,Data!$B:$B,9,Data!$G:$G,"CDU",Data!$F:$F,"PADD 3")</f>
        <v>713.755</v>
      </c>
      <c r="G157" s="11">
        <f>IFERROR(F157/F156-1,"")</f>
        <v>7.257230448866267</v>
      </c>
      <c r="H157" s="11">
        <f>IFERROR(F157/F145-1,"")</f>
        <v>0.17905874190564286</v>
      </c>
    </row>
    <row r="158" spans="1:8">
      <c r="A158" s="6" t="s">
        <v>12</v>
      </c>
      <c r="B158" s="6" t="s">
        <v>214</v>
      </c>
      <c r="C158" s="6">
        <v>2025</v>
      </c>
      <c r="D158" s="6">
        <v>10</v>
      </c>
      <c r="E158" s="9" t="s">
        <v>186</v>
      </c>
      <c r="F158" s="10">
        <f>SUMIFS(Data!$K:$K,Data!$A:$A,2025,Data!$B:$B,10,Data!$G:$G,"CDU",Data!$F:$F,"PADD 3")</f>
        <v>1117.225</v>
      </c>
      <c r="G158" s="11">
        <f>IFERROR(F158/F157-1,"")</f>
        <v>0.5652780015551553</v>
      </c>
      <c r="H158" s="11">
        <f>IFERROR(F158/F146-1,"")</f>
        <v>1.1008762857518946</v>
      </c>
    </row>
    <row r="159" spans="1:8">
      <c r="A159" s="6" t="s">
        <v>12</v>
      </c>
      <c r="B159" s="6" t="s">
        <v>214</v>
      </c>
      <c r="C159" s="6">
        <v>2025</v>
      </c>
      <c r="D159" s="6">
        <v>11</v>
      </c>
      <c r="E159" s="9" t="s">
        <v>187</v>
      </c>
      <c r="F159" s="10">
        <f>SUMIFS(Data!$K:$K,Data!$A:$A,2025,Data!$B:$B,11,Data!$G:$G,"CDU",Data!$F:$F,"PADD 3")</f>
        <v>716.29</v>
      </c>
      <c r="G159" s="11">
        <f>IFERROR(F159/F158-1,"")</f>
        <v>-0.3588668352390969</v>
      </c>
      <c r="H159" s="11">
        <f>IFERROR(F159/F147-1,"")</f>
        <v>0.896853980191727</v>
      </c>
    </row>
    <row r="160" spans="1:8">
      <c r="A160" s="6" t="s">
        <v>12</v>
      </c>
      <c r="B160" s="6" t="s">
        <v>214</v>
      </c>
      <c r="C160" s="6">
        <v>2025</v>
      </c>
      <c r="D160" s="6">
        <v>12</v>
      </c>
      <c r="E160" s="9" t="s">
        <v>188</v>
      </c>
      <c r="F160" s="10">
        <f>SUMIFS(Data!$K:$K,Data!$A:$A,2025,Data!$B:$B,12,Data!$G:$G,"CDU",Data!$F:$F,"PADD 3")</f>
        <v>93.47999999999999</v>
      </c>
      <c r="G160" s="11">
        <f>IFERROR(F160/F159-1,"")</f>
        <v>-0.8694941992768292</v>
      </c>
      <c r="H160" s="11">
        <f>IFERROR(F160/F148-1,"")</f>
        <v>-0.05059820032093598</v>
      </c>
    </row>
    <row r="161" spans="1:8">
      <c r="A161" s="6" t="s">
        <v>12</v>
      </c>
      <c r="B161" s="6" t="s">
        <v>214</v>
      </c>
      <c r="C161" s="6">
        <v>2026</v>
      </c>
      <c r="D161" s="6">
        <v>1</v>
      </c>
      <c r="E161" s="9" t="s">
        <v>189</v>
      </c>
      <c r="F161" s="10">
        <f>SUMIFS(Data!$K:$K,Data!$A:$A,2026,Data!$B:$B,1,Data!$G:$G,"CDU",Data!$F:$F,"PADD 3")</f>
        <v>388.51</v>
      </c>
      <c r="G161" s="11">
        <f>IFERROR(F161/F160-1,"")</f>
        <v>3.1560761660248184</v>
      </c>
      <c r="H161" s="11">
        <f>IFERROR(F161/F149-1,"")</f>
        <v>-0.5778005987796198</v>
      </c>
    </row>
    <row r="162" spans="1:8">
      <c r="A162" s="6" t="s">
        <v>12</v>
      </c>
      <c r="B162" s="6" t="s">
        <v>214</v>
      </c>
      <c r="C162" s="6">
        <v>2026</v>
      </c>
      <c r="D162" s="6">
        <v>2</v>
      </c>
      <c r="E162" s="9" t="s">
        <v>190</v>
      </c>
      <c r="F162" s="10">
        <f>SUMIFS(Data!$K:$K,Data!$A:$A,2026,Data!$B:$B,2,Data!$G:$G,"CDU",Data!$F:$F,"PADD 3")</f>
        <v>911.0020000000001</v>
      </c>
      <c r="G162" s="11">
        <f>IFERROR(F162/F161-1,"")</f>
        <v>1.344861136135492</v>
      </c>
      <c r="H162" s="11">
        <f>IFERROR(F162/F150-1,"")</f>
        <v>-0.013384797495237466</v>
      </c>
    </row>
    <row r="163" spans="1:8">
      <c r="A163" s="6" t="s">
        <v>12</v>
      </c>
      <c r="B163" s="6" t="s">
        <v>214</v>
      </c>
      <c r="C163" s="6">
        <v>2026</v>
      </c>
      <c r="D163" s="6">
        <v>3</v>
      </c>
      <c r="E163" s="9" t="s">
        <v>191</v>
      </c>
      <c r="F163" s="10">
        <f>SUMIFS(Data!$K:$K,Data!$A:$A,2026,Data!$B:$B,3,Data!$G:$G,"CDU",Data!$F:$F,"PADD 3")</f>
        <v>407.127</v>
      </c>
      <c r="G163" s="11">
        <f>IFERROR(F163/F162-1,"")</f>
        <v>-0.5530997736558207</v>
      </c>
      <c r="H163" s="11">
        <f>IFERROR(F163/F151-1,"")</f>
        <v>0.2976076646523369</v>
      </c>
    </row>
    <row r="164" spans="1:8">
      <c r="A164" s="6" t="s">
        <v>12</v>
      </c>
      <c r="B164" s="6" t="s">
        <v>214</v>
      </c>
      <c r="C164" s="6">
        <v>2026</v>
      </c>
      <c r="D164" s="6">
        <v>4</v>
      </c>
      <c r="E164" s="9" t="s">
        <v>192</v>
      </c>
      <c r="F164" s="10">
        <f>SUMIFS(Data!$K:$K,Data!$A:$A,2026,Data!$B:$B,4,Data!$G:$G,"CDU",Data!$F:$F,"PADD 3")</f>
        <v>424.69</v>
      </c>
      <c r="G164" s="11">
        <f>IFERROR(F164/F163-1,"")</f>
        <v>0.0431388731280411</v>
      </c>
      <c r="H164" s="11">
        <f>IFERROR(F164/F152-1,"")</f>
        <v>0.18794405594405594</v>
      </c>
    </row>
    <row r="165" spans="1:8">
      <c r="A165" s="6" t="s">
        <v>12</v>
      </c>
      <c r="B165" s="6" t="s">
        <v>214</v>
      </c>
      <c r="C165" s="6">
        <v>2026</v>
      </c>
      <c r="D165" s="6">
        <v>5</v>
      </c>
      <c r="E165" s="9" t="s">
        <v>193</v>
      </c>
      <c r="F165" s="10">
        <f>SUMIFS(Data!$K:$K,Data!$A:$A,2026,Data!$B:$B,5,Data!$G:$G,"CDU",Data!$F:$F,"PADD 3")</f>
        <v>275.76</v>
      </c>
      <c r="G165" s="11">
        <f>IFERROR(F165/F164-1,"")</f>
        <v>-0.3506793190327062</v>
      </c>
      <c r="H165" s="11">
        <f>IFERROR(F165/F153-1,"")</f>
        <v>0.43930853062758346</v>
      </c>
    </row>
    <row r="166" spans="1:8">
      <c r="A166" s="6" t="s">
        <v>12</v>
      </c>
      <c r="B166" s="6" t="s">
        <v>214</v>
      </c>
      <c r="C166" s="6">
        <v>2026</v>
      </c>
      <c r="D166" s="6">
        <v>6</v>
      </c>
      <c r="E166" s="9" t="s">
        <v>194</v>
      </c>
      <c r="F166" s="10">
        <f>SUMIFS(Data!$K:$K,Data!$A:$A,2026,Data!$B:$B,6,Data!$G:$G,"CDU",Data!$F:$F,"PADD 3")</f>
        <v>227.2</v>
      </c>
      <c r="G166" s="11">
        <f>IFERROR(F166/F165-1,"")</f>
        <v>-0.1760951552074268</v>
      </c>
      <c r="H166" s="11">
        <f>IFERROR(F166/F154-1,"")</f>
        <v>0.9985925404644613</v>
      </c>
    </row>
    <row r="167" spans="1:8">
      <c r="A167" s="6" t="s">
        <v>12</v>
      </c>
      <c r="B167" s="6" t="s">
        <v>214</v>
      </c>
      <c r="C167" s="6">
        <v>2026</v>
      </c>
      <c r="D167" s="6">
        <v>7</v>
      </c>
      <c r="E167" s="9" t="s">
        <v>195</v>
      </c>
      <c r="F167" s="10">
        <f>SUMIFS(Data!$K:$K,Data!$A:$A,2026,Data!$B:$B,7,Data!$G:$G,"CDU",Data!$F:$F,"PADD 3")</f>
        <v>96.202</v>
      </c>
      <c r="G167" s="11">
        <f>IFERROR(F167/F166-1,"")</f>
        <v>-0.5765757042253521</v>
      </c>
      <c r="H167" s="11">
        <f>IFERROR(F167/F155-1,"")</f>
        <v>0.3402340484814712</v>
      </c>
    </row>
    <row r="168" spans="1:8">
      <c r="A168" s="6" t="s">
        <v>12</v>
      </c>
      <c r="B168" s="6" t="s">
        <v>214</v>
      </c>
      <c r="C168" s="6">
        <v>2026</v>
      </c>
      <c r="D168" s="6">
        <v>8</v>
      </c>
      <c r="E168" s="9" t="s">
        <v>196</v>
      </c>
      <c r="F168" s="10">
        <f>SUMIFS(Data!$K:$K,Data!$A:$A,2026,Data!$B:$B,8,Data!$G:$G,"CDU",Data!$F:$F,"PADD 3")</f>
        <v>32.4</v>
      </c>
      <c r="G168" s="11">
        <f>IFERROR(F168/F167-1,"")</f>
        <v>-0.6632086651005177</v>
      </c>
      <c r="H168" s="11">
        <f>IFERROR(F168/F156-1,"")</f>
        <v>-0.6251735307727904</v>
      </c>
    </row>
    <row r="169" spans="1:8">
      <c r="A169" s="6" t="s">
        <v>12</v>
      </c>
      <c r="B169" s="6" t="s">
        <v>214</v>
      </c>
      <c r="C169" s="6">
        <v>2026</v>
      </c>
      <c r="D169" s="6">
        <v>9</v>
      </c>
      <c r="E169" s="9" t="s">
        <v>197</v>
      </c>
      <c r="F169" s="10">
        <f>SUMIFS(Data!$K:$K,Data!$A:$A,2026,Data!$B:$B,9,Data!$G:$G,"CDU",Data!$F:$F,"PADD 3")</f>
        <v>184.35</v>
      </c>
      <c r="G169" s="11">
        <f>IFERROR(F169/F168-1,"")</f>
        <v>4.689814814814815</v>
      </c>
      <c r="H169" s="11">
        <f>IFERROR(F169/F157-1,"")</f>
        <v>-0.7417180965457335</v>
      </c>
    </row>
    <row r="170" spans="1:8">
      <c r="A170" s="6" t="s">
        <v>12</v>
      </c>
      <c r="B170" s="6" t="s">
        <v>214</v>
      </c>
      <c r="C170" s="6">
        <v>2026</v>
      </c>
      <c r="D170" s="6">
        <v>10</v>
      </c>
      <c r="E170" s="9" t="s">
        <v>198</v>
      </c>
      <c r="F170" s="10">
        <f>SUMIFS(Data!$K:$K,Data!$A:$A,2026,Data!$B:$B,10,Data!$G:$G,"CDU",Data!$F:$F,"PADD 3")</f>
        <v>295.668</v>
      </c>
      <c r="G170" s="11">
        <f>IFERROR(F170/F169-1,"")</f>
        <v>0.6038405207485762</v>
      </c>
      <c r="H170" s="11">
        <f>IFERROR(F170/F158-1,"")</f>
        <v>-0.7353550090626328</v>
      </c>
    </row>
    <row r="171" spans="1:8">
      <c r="A171" s="6" t="s">
        <v>12</v>
      </c>
      <c r="B171" s="6" t="s">
        <v>214</v>
      </c>
      <c r="C171" s="6">
        <v>2026</v>
      </c>
      <c r="D171" s="6">
        <v>11</v>
      </c>
      <c r="E171" s="9" t="s">
        <v>199</v>
      </c>
      <c r="F171" s="10">
        <f>SUMIFS(Data!$K:$K,Data!$A:$A,2026,Data!$B:$B,11,Data!$G:$G,"CDU",Data!$F:$F,"PADD 3")</f>
        <v>52.3</v>
      </c>
      <c r="G171" s="11">
        <f>IFERROR(F171/F170-1,"")</f>
        <v>-0.823112409865119</v>
      </c>
      <c r="H171" s="11">
        <f>IFERROR(F171/F159-1,"")</f>
        <v>-0.926984880425526</v>
      </c>
    </row>
    <row r="172" spans="1:8">
      <c r="A172" s="6" t="s">
        <v>12</v>
      </c>
      <c r="B172" s="6" t="s">
        <v>214</v>
      </c>
      <c r="C172" s="6">
        <v>2026</v>
      </c>
      <c r="D172" s="6">
        <v>12</v>
      </c>
      <c r="E172" s="9" t="s">
        <v>200</v>
      </c>
      <c r="F172" s="10">
        <f>SUMIFS(Data!$K:$K,Data!$A:$A,2026,Data!$B:$B,12,Data!$G:$G,"CDU",Data!$F:$F,"PADD 3")</f>
        <v>0.0</v>
      </c>
      <c r="G172" s="11">
        <f>IFERROR(F172/F171-1,"")</f>
        <v>-1.0</v>
      </c>
      <c r="H172" s="11">
        <f>IFERROR(F172/F160-1,"")</f>
        <v>-1.0</v>
      </c>
    </row>
    <row r="173" spans="1:8">
      <c r="A173" s="6" t="s">
        <v>12</v>
      </c>
      <c r="B173" s="6" t="s">
        <v>214</v>
      </c>
      <c r="C173" s="6">
        <v>2027</v>
      </c>
      <c r="D173" s="6">
        <v>1</v>
      </c>
      <c r="E173" s="9" t="s">
        <v>201</v>
      </c>
      <c r="F173" s="10">
        <f>SUMIFS(Data!$K:$K,Data!$A:$A,2027,Data!$B:$B,1,Data!$G:$G,"CDU",Data!$F:$F,"PADD 3")</f>
        <v>210.575</v>
      </c>
      <c r="G173" s="11">
        <f>IFERROR(F173/F172-1,"")</f>
        <v/>
      </c>
      <c r="H173" s="11">
        <f>IFERROR(F173/F161-1,"")</f>
        <v>-0.4579933592442923</v>
      </c>
    </row>
    <row r="174" spans="1:8">
      <c r="A174" s="6" t="s">
        <v>12</v>
      </c>
      <c r="B174" s="6" t="s">
        <v>214</v>
      </c>
      <c r="C174" s="6">
        <v>2027</v>
      </c>
      <c r="D174" s="6">
        <v>2</v>
      </c>
      <c r="E174" s="9" t="s">
        <v>202</v>
      </c>
      <c r="F174" s="10">
        <f>SUMIFS(Data!$K:$K,Data!$A:$A,2027,Data!$B:$B,2,Data!$G:$G,"CDU",Data!$F:$F,"PADD 3")</f>
        <v>355.17</v>
      </c>
      <c r="G174" s="11">
        <f>IFERROR(F174/F173-1,"")</f>
        <v>0.686667458150303</v>
      </c>
      <c r="H174" s="11">
        <f>IFERROR(F174/F162-1,"")</f>
        <v>-0.6101325792918127</v>
      </c>
    </row>
    <row r="175" spans="1:8">
      <c r="A175" s="6" t="s">
        <v>12</v>
      </c>
      <c r="B175" s="6" t="s">
        <v>214</v>
      </c>
      <c r="C175" s="6">
        <v>2027</v>
      </c>
      <c r="D175" s="6">
        <v>3</v>
      </c>
      <c r="E175" s="9" t="s">
        <v>203</v>
      </c>
      <c r="F175" s="10">
        <f>SUMIFS(Data!$K:$K,Data!$A:$A,2027,Data!$B:$B,3,Data!$G:$G,"CDU",Data!$F:$F,"PADD 3")</f>
        <v>468.97</v>
      </c>
      <c r="G175" s="11">
        <f>IFERROR(F175/F174-1,"")</f>
        <v>0.3204099445336037</v>
      </c>
      <c r="H175" s="11">
        <f>IFERROR(F175/F163-1,"")</f>
        <v>0.15190100386365923</v>
      </c>
    </row>
    <row r="176" spans="1:8">
      <c r="A176" s="6" t="s">
        <v>12</v>
      </c>
      <c r="B176" s="6" t="s">
        <v>214</v>
      </c>
      <c r="C176" s="6">
        <v>2027</v>
      </c>
      <c r="D176" s="6">
        <v>4</v>
      </c>
      <c r="E176" s="9" t="s">
        <v>204</v>
      </c>
      <c r="F176" s="10">
        <f>SUMIFS(Data!$K:$K,Data!$A:$A,2027,Data!$B:$B,4,Data!$G:$G,"CDU",Data!$F:$F,"PADD 3")</f>
        <v>178.92999999999998</v>
      </c>
      <c r="G176" s="11">
        <f>IFERROR(F176/F175-1,"")</f>
        <v>-0.6184617352922362</v>
      </c>
      <c r="H176" s="11">
        <f>IFERROR(F176/F164-1,"")</f>
        <v>-0.5786809202006169</v>
      </c>
    </row>
    <row r="177" spans="1:8">
      <c r="A177" s="6" t="s">
        <v>12</v>
      </c>
      <c r="B177" s="6" t="s">
        <v>214</v>
      </c>
      <c r="C177" s="6">
        <v>2027</v>
      </c>
      <c r="D177" s="6">
        <v>5</v>
      </c>
      <c r="E177" s="9" t="s">
        <v>205</v>
      </c>
      <c r="F177" s="10">
        <f>SUMIFS(Data!$K:$K,Data!$A:$A,2027,Data!$B:$B,5,Data!$G:$G,"CDU",Data!$F:$F,"PADD 3")</f>
        <v>0.0</v>
      </c>
      <c r="G177" s="11">
        <f>IFERROR(F177/F176-1,"")</f>
        <v>-1.0</v>
      </c>
      <c r="H177" s="11">
        <f>IFERROR(F177/F165-1,"")</f>
        <v>-1.0</v>
      </c>
    </row>
    <row r="178" spans="1:8">
      <c r="A178" s="6" t="s">
        <v>12</v>
      </c>
      <c r="B178" s="6" t="s">
        <v>214</v>
      </c>
      <c r="C178" s="6">
        <v>2027</v>
      </c>
      <c r="D178" s="6">
        <v>6</v>
      </c>
      <c r="E178" s="9" t="s">
        <v>206</v>
      </c>
      <c r="F178" s="10">
        <f>SUMIFS(Data!$K:$K,Data!$A:$A,2027,Data!$B:$B,6,Data!$G:$G,"CDU",Data!$F:$F,"PADD 3")</f>
        <v>96.0</v>
      </c>
      <c r="G178" s="11">
        <f>IFERROR(F178/F177-1,"")</f>
        <v/>
      </c>
      <c r="H178" s="11">
        <f>IFERROR(F178/F166-1,"")</f>
        <v>-0.5774647887323943</v>
      </c>
    </row>
    <row r="179" spans="1:8">
      <c r="A179" s="6" t="s">
        <v>12</v>
      </c>
      <c r="B179" s="6" t="s">
        <v>214</v>
      </c>
      <c r="C179" s="6">
        <v>2027</v>
      </c>
      <c r="D179" s="6">
        <v>7</v>
      </c>
      <c r="E179" s="9" t="s">
        <v>207</v>
      </c>
      <c r="F179" s="10">
        <f>SUMIFS(Data!$K:$K,Data!$A:$A,2027,Data!$B:$B,7,Data!$G:$G,"CDU",Data!$F:$F,"PADD 3")</f>
        <v>96.0</v>
      </c>
      <c r="G179" s="11">
        <f>IFERROR(F179/F178-1,"")</f>
        <v>0.0</v>
      </c>
      <c r="H179" s="11">
        <f>IFERROR(F179/F167-1,"")</f>
        <v>-0.0020997484459782667</v>
      </c>
    </row>
    <row r="180" spans="1:8">
      <c r="A180" s="6" t="s">
        <v>12</v>
      </c>
      <c r="B180" s="6" t="s">
        <v>214</v>
      </c>
      <c r="C180" s="6">
        <v>2027</v>
      </c>
      <c r="D180" s="6">
        <v>8</v>
      </c>
      <c r="E180" s="9" t="s">
        <v>208</v>
      </c>
      <c r="F180" s="10">
        <f>SUMIFS(Data!$K:$K,Data!$A:$A,2027,Data!$B:$B,8,Data!$G:$G,"CDU",Data!$F:$F,"PADD 3")</f>
        <v>27.84</v>
      </c>
      <c r="G180" s="11">
        <f>IFERROR(F180/F179-1,"")</f>
        <v>-0.71</v>
      </c>
      <c r="H180" s="11">
        <f>IFERROR(F180/F168-1,"")</f>
        <v>-0.14074074074074072</v>
      </c>
    </row>
    <row r="181" spans="1:8">
      <c r="A181" s="6" t="s">
        <v>12</v>
      </c>
      <c r="B181" s="6" t="s">
        <v>214</v>
      </c>
      <c r="C181" s="6">
        <v>2027</v>
      </c>
      <c r="D181" s="6">
        <v>9</v>
      </c>
      <c r="E181" s="9" t="s">
        <v>209</v>
      </c>
      <c r="F181" s="10">
        <f>SUMIFS(Data!$K:$K,Data!$A:$A,2027,Data!$B:$B,9,Data!$G:$G,"CDU",Data!$F:$F,"PADD 3")</f>
        <v>583.89</v>
      </c>
      <c r="G181" s="11">
        <f>IFERROR(F181/F180-1,"")</f>
        <v>19.973060344827587</v>
      </c>
      <c r="H181" s="11">
        <f>IFERROR(F181/F169-1,"")</f>
        <v>2.1672904800650934</v>
      </c>
    </row>
    <row r="182" spans="1:8">
      <c r="A182" s="6" t="s">
        <v>12</v>
      </c>
      <c r="B182" s="6" t="s">
        <v>214</v>
      </c>
      <c r="C182" s="6">
        <v>2027</v>
      </c>
      <c r="D182" s="6">
        <v>10</v>
      </c>
      <c r="E182" s="9" t="s">
        <v>210</v>
      </c>
      <c r="F182" s="10">
        <f>SUMIFS(Data!$K:$K,Data!$A:$A,2027,Data!$B:$B,10,Data!$G:$G,"CDU",Data!$F:$F,"PADD 3")</f>
        <v>865.76</v>
      </c>
      <c r="G182" s="11">
        <f>IFERROR(F182/F181-1,"")</f>
        <v>0.4827450375926974</v>
      </c>
      <c r="H182" s="11">
        <f>IFERROR(F182/F170-1,"")</f>
        <v>1.9281491402519042</v>
      </c>
    </row>
    <row r="183" spans="1:8">
      <c r="A183" s="6" t="s">
        <v>12</v>
      </c>
      <c r="B183" s="6" t="s">
        <v>214</v>
      </c>
      <c r="C183" s="6">
        <v>2027</v>
      </c>
      <c r="D183" s="6">
        <v>11</v>
      </c>
      <c r="E183" s="9" t="s">
        <v>211</v>
      </c>
      <c r="F183" s="10">
        <f>SUMIFS(Data!$K:$K,Data!$A:$A,2027,Data!$B:$B,11,Data!$G:$G,"CDU",Data!$F:$F,"PADD 3")</f>
        <v>250.90000000000003</v>
      </c>
      <c r="G183" s="11">
        <f>IFERROR(F183/F182-1,"")</f>
        <v>-0.7101968212899649</v>
      </c>
      <c r="H183" s="11">
        <f>IFERROR(F183/F171-1,"")</f>
        <v>3.797323135755259</v>
      </c>
    </row>
    <row r="184" spans="1:8">
      <c r="A184" s="6" t="s">
        <v>12</v>
      </c>
      <c r="B184" s="6" t="s">
        <v>214</v>
      </c>
      <c r="C184" s="6">
        <v>2027</v>
      </c>
      <c r="D184" s="6">
        <v>12</v>
      </c>
      <c r="E184" s="9" t="s">
        <v>212</v>
      </c>
      <c r="F184" s="10">
        <f>SUMIFS(Data!$K:$K,Data!$A:$A,2027,Data!$B:$B,12,Data!$G:$G,"CDU",Data!$F:$F,"PADD 3")</f>
        <v>0.0</v>
      </c>
      <c r="G184" s="11">
        <f>IFERROR(F184/F183-1,"")</f>
        <v>-1.0</v>
      </c>
      <c r="H184" s="11">
        <f>IFERROR(F184/F172-1,"")</f>
        <v/>
      </c>
    </row>
    <row r="185" spans="1:8">
      <c r="A185" s="6" t="s">
        <v>12</v>
      </c>
      <c r="B185" s="6" t="s">
        <v>215</v>
      </c>
      <c r="C185" s="6">
        <v>2023</v>
      </c>
      <c r="D185" s="6">
        <v>1</v>
      </c>
      <c r="E185" s="9" t="s">
        <v>153</v>
      </c>
      <c r="F185" s="10">
        <f>SUMIFS(Data!$K:$K,Data!$A:$A,2023,Data!$B:$B,1,Data!$G:$G,"CDU",Data!$F:$F,"PADD 4")</f>
        <v>216.565</v>
      </c>
    </row>
    <row r="186" spans="1:8">
      <c r="A186" s="6" t="s">
        <v>12</v>
      </c>
      <c r="B186" s="6" t="s">
        <v>215</v>
      </c>
      <c r="C186" s="6">
        <v>2023</v>
      </c>
      <c r="D186" s="6">
        <v>2</v>
      </c>
      <c r="E186" s="9" t="s">
        <v>154</v>
      </c>
      <c r="F186" s="10">
        <f>SUMIFS(Data!$K:$K,Data!$A:$A,2023,Data!$B:$B,2,Data!$G:$G,"CDU",Data!$F:$F,"PADD 4")</f>
        <v>158.06</v>
      </c>
      <c r="G186" s="11">
        <f>IFERROR(F186/F185-1,"")</f>
        <v>-0.27014983954009186</v>
      </c>
    </row>
    <row r="187" spans="1:8">
      <c r="A187" s="6" t="s">
        <v>12</v>
      </c>
      <c r="B187" s="6" t="s">
        <v>215</v>
      </c>
      <c r="C187" s="6">
        <v>2023</v>
      </c>
      <c r="D187" s="6">
        <v>3</v>
      </c>
      <c r="E187" s="9" t="s">
        <v>155</v>
      </c>
      <c r="F187" s="10">
        <f>SUMIFS(Data!$K:$K,Data!$A:$A,2023,Data!$B:$B,3,Data!$G:$G,"CDU",Data!$F:$F,"PADD 4")</f>
        <v>129.222</v>
      </c>
      <c r="G187" s="11">
        <f>IFERROR(F187/F186-1,"")</f>
        <v>-0.18244970264456528</v>
      </c>
    </row>
    <row r="188" spans="1:8">
      <c r="A188" s="6" t="s">
        <v>12</v>
      </c>
      <c r="B188" s="6" t="s">
        <v>215</v>
      </c>
      <c r="C188" s="6">
        <v>2023</v>
      </c>
      <c r="D188" s="6">
        <v>4</v>
      </c>
      <c r="E188" s="9" t="s">
        <v>156</v>
      </c>
      <c r="F188" s="10">
        <f>SUMIFS(Data!$K:$K,Data!$A:$A,2023,Data!$B:$B,4,Data!$G:$G,"CDU",Data!$F:$F,"PADD 4")</f>
        <v>107.46</v>
      </c>
      <c r="G188" s="11">
        <f>IFERROR(F188/F187-1,"")</f>
        <v>-0.1684078562473883</v>
      </c>
    </row>
    <row r="189" spans="1:8">
      <c r="A189" s="6" t="s">
        <v>12</v>
      </c>
      <c r="B189" s="6" t="s">
        <v>215</v>
      </c>
      <c r="C189" s="6">
        <v>2023</v>
      </c>
      <c r="D189" s="6">
        <v>5</v>
      </c>
      <c r="E189" s="9" t="s">
        <v>157</v>
      </c>
      <c r="F189" s="10">
        <f>SUMIFS(Data!$K:$K,Data!$A:$A,2023,Data!$B:$B,5,Data!$G:$G,"CDU",Data!$F:$F,"PADD 4")</f>
        <v>72.343</v>
      </c>
      <c r="G189" s="11">
        <f>IFERROR(F189/F188-1,"")</f>
        <v>-0.32679136422855004</v>
      </c>
    </row>
    <row r="190" spans="1:8">
      <c r="A190" s="6" t="s">
        <v>12</v>
      </c>
      <c r="B190" s="6" t="s">
        <v>215</v>
      </c>
      <c r="C190" s="6">
        <v>2023</v>
      </c>
      <c r="D190" s="6">
        <v>6</v>
      </c>
      <c r="E190" s="9" t="s">
        <v>158</v>
      </c>
      <c r="F190" s="10">
        <f>SUMIFS(Data!$K:$K,Data!$A:$A,2023,Data!$B:$B,6,Data!$G:$G,"CDU",Data!$F:$F,"PADD 4")</f>
        <v>24.2</v>
      </c>
      <c r="G190" s="11">
        <f>IFERROR(F190/F189-1,"")</f>
        <v>-0.6654824931230389</v>
      </c>
    </row>
    <row r="191" spans="1:8">
      <c r="A191" s="6" t="s">
        <v>12</v>
      </c>
      <c r="B191" s="6" t="s">
        <v>215</v>
      </c>
      <c r="C191" s="6">
        <v>2023</v>
      </c>
      <c r="D191" s="6">
        <v>7</v>
      </c>
      <c r="E191" s="9" t="s">
        <v>159</v>
      </c>
      <c r="F191" s="10">
        <f>SUMIFS(Data!$K:$K,Data!$A:$A,2023,Data!$B:$B,7,Data!$G:$G,"CDU",Data!$F:$F,"PADD 4")</f>
        <v>18.6</v>
      </c>
      <c r="G191" s="11">
        <f>IFERROR(F191/F190-1,"")</f>
        <v>-0.23140495867768585</v>
      </c>
    </row>
    <row r="192" spans="1:8">
      <c r="A192" s="6" t="s">
        <v>12</v>
      </c>
      <c r="B192" s="6" t="s">
        <v>215</v>
      </c>
      <c r="C192" s="6">
        <v>2023</v>
      </c>
      <c r="D192" s="6">
        <v>8</v>
      </c>
      <c r="E192" s="9" t="s">
        <v>160</v>
      </c>
      <c r="F192" s="10">
        <f>SUMIFS(Data!$K:$K,Data!$A:$A,2023,Data!$B:$B,8,Data!$G:$G,"CDU",Data!$F:$F,"PADD 4")</f>
        <v>25.0</v>
      </c>
      <c r="G192" s="11">
        <f>IFERROR(F192/F191-1,"")</f>
        <v>0.34408602150537626</v>
      </c>
    </row>
    <row r="193" spans="1:8">
      <c r="A193" s="6" t="s">
        <v>12</v>
      </c>
      <c r="B193" s="6" t="s">
        <v>215</v>
      </c>
      <c r="C193" s="6">
        <v>2023</v>
      </c>
      <c r="D193" s="6">
        <v>9</v>
      </c>
      <c r="E193" s="9" t="s">
        <v>161</v>
      </c>
      <c r="F193" s="10">
        <f>SUMIFS(Data!$K:$K,Data!$A:$A,2023,Data!$B:$B,9,Data!$G:$G,"CDU",Data!$F:$F,"PADD 4")</f>
        <v>0.0</v>
      </c>
      <c r="G193" s="11">
        <f>IFERROR(F193/F192-1,"")</f>
        <v>-1.0</v>
      </c>
    </row>
    <row r="194" spans="1:8">
      <c r="A194" s="6" t="s">
        <v>12</v>
      </c>
      <c r="B194" s="6" t="s">
        <v>215</v>
      </c>
      <c r="C194" s="6">
        <v>2023</v>
      </c>
      <c r="D194" s="6">
        <v>10</v>
      </c>
      <c r="E194" s="9" t="s">
        <v>162</v>
      </c>
      <c r="F194" s="10">
        <f>SUMIFS(Data!$K:$K,Data!$A:$A,2023,Data!$B:$B,10,Data!$G:$G,"CDU",Data!$F:$F,"PADD 4")</f>
        <v>0.986</v>
      </c>
      <c r="G194" s="11">
        <f>IFERROR(F194/F193-1,"")</f>
        <v/>
      </c>
    </row>
    <row r="195" spans="1:8">
      <c r="A195" s="6" t="s">
        <v>12</v>
      </c>
      <c r="B195" s="6" t="s">
        <v>215</v>
      </c>
      <c r="C195" s="6">
        <v>2023</v>
      </c>
      <c r="D195" s="6">
        <v>11</v>
      </c>
      <c r="E195" s="9" t="s">
        <v>163</v>
      </c>
      <c r="F195" s="10">
        <f>SUMIFS(Data!$K:$K,Data!$A:$A,2023,Data!$B:$B,11,Data!$G:$G,"CDU",Data!$F:$F,"PADD 4")</f>
        <v>0.0</v>
      </c>
      <c r="G195" s="11">
        <f>IFERROR(F195/F194-1,"")</f>
        <v>-1.0</v>
      </c>
    </row>
    <row r="196" spans="1:8">
      <c r="A196" s="6" t="s">
        <v>12</v>
      </c>
      <c r="B196" s="6" t="s">
        <v>215</v>
      </c>
      <c r="C196" s="6">
        <v>2023</v>
      </c>
      <c r="D196" s="6">
        <v>12</v>
      </c>
      <c r="E196" s="9" t="s">
        <v>164</v>
      </c>
      <c r="F196" s="10">
        <f>SUMIFS(Data!$K:$K,Data!$A:$A,2023,Data!$B:$B,12,Data!$G:$G,"CDU",Data!$F:$F,"PADD 4")</f>
        <v>53.11</v>
      </c>
      <c r="G196" s="11">
        <f>IFERROR(F196/F195-1,"")</f>
        <v/>
      </c>
    </row>
    <row r="197" spans="1:8">
      <c r="A197" s="6" t="s">
        <v>12</v>
      </c>
      <c r="B197" s="6" t="s">
        <v>215</v>
      </c>
      <c r="C197" s="6">
        <v>2024</v>
      </c>
      <c r="D197" s="6">
        <v>1</v>
      </c>
      <c r="E197" s="9" t="s">
        <v>165</v>
      </c>
      <c r="F197" s="10">
        <f>SUMIFS(Data!$K:$K,Data!$A:$A,2024,Data!$B:$B,1,Data!$G:$G,"CDU",Data!$F:$F,"PADD 4")</f>
        <v>51.544</v>
      </c>
      <c r="G197" s="11">
        <f>IFERROR(F197/F196-1,"")</f>
        <v>-0.02948597250988516</v>
      </c>
      <c r="H197" s="11">
        <f>IFERROR(F197/F185-1,"")</f>
        <v>-0.7619929351464918</v>
      </c>
    </row>
    <row r="198" spans="1:8">
      <c r="A198" s="6" t="s">
        <v>12</v>
      </c>
      <c r="B198" s="6" t="s">
        <v>215</v>
      </c>
      <c r="C198" s="6">
        <v>2024</v>
      </c>
      <c r="D198" s="6">
        <v>2</v>
      </c>
      <c r="E198" s="9" t="s">
        <v>166</v>
      </c>
      <c r="F198" s="10">
        <f>SUMIFS(Data!$K:$K,Data!$A:$A,2024,Data!$B:$B,2,Data!$G:$G,"CDU",Data!$F:$F,"PADD 4")</f>
        <v>125.194</v>
      </c>
      <c r="G198" s="11">
        <f>IFERROR(F198/F197-1,"")</f>
        <v>1.4288762998603137</v>
      </c>
      <c r="H198" s="11">
        <f>IFERROR(F198/F186-1,"")</f>
        <v>-0.2079336960647855</v>
      </c>
    </row>
    <row r="199" spans="1:8">
      <c r="A199" s="6" t="s">
        <v>12</v>
      </c>
      <c r="B199" s="6" t="s">
        <v>215</v>
      </c>
      <c r="C199" s="6">
        <v>2024</v>
      </c>
      <c r="D199" s="6">
        <v>3</v>
      </c>
      <c r="E199" s="9" t="s">
        <v>167</v>
      </c>
      <c r="F199" s="10">
        <f>SUMIFS(Data!$K:$K,Data!$A:$A,2024,Data!$B:$B,3,Data!$G:$G,"CDU",Data!$F:$F,"PADD 4")</f>
        <v>112.902</v>
      </c>
      <c r="G199" s="11">
        <f>IFERROR(F199/F198-1,"")</f>
        <v>-0.09818361902327588</v>
      </c>
      <c r="H199" s="11">
        <f>IFERROR(F199/F187-1,"")</f>
        <v>-0.1262942842550031</v>
      </c>
    </row>
    <row r="200" spans="1:8">
      <c r="A200" s="6" t="s">
        <v>12</v>
      </c>
      <c r="B200" s="6" t="s">
        <v>215</v>
      </c>
      <c r="C200" s="6">
        <v>2024</v>
      </c>
      <c r="D200" s="6">
        <v>4</v>
      </c>
      <c r="E200" s="9" t="s">
        <v>168</v>
      </c>
      <c r="F200" s="10">
        <f>SUMIFS(Data!$K:$K,Data!$A:$A,2024,Data!$B:$B,4,Data!$G:$G,"CDU",Data!$F:$F,"PADD 4")</f>
        <v>98.293</v>
      </c>
      <c r="G200" s="11">
        <f>IFERROR(F200/F199-1,"")</f>
        <v>-0.1293954048643956</v>
      </c>
      <c r="H200" s="11">
        <f>IFERROR(F200/F188-1,"")</f>
        <v>-0.08530616043178851</v>
      </c>
    </row>
    <row r="201" spans="1:8">
      <c r="A201" s="6" t="s">
        <v>12</v>
      </c>
      <c r="B201" s="6" t="s">
        <v>215</v>
      </c>
      <c r="C201" s="6">
        <v>2024</v>
      </c>
      <c r="D201" s="6">
        <v>5</v>
      </c>
      <c r="E201" s="9" t="s">
        <v>169</v>
      </c>
      <c r="F201" s="10">
        <f>SUMIFS(Data!$K:$K,Data!$A:$A,2024,Data!$B:$B,5,Data!$G:$G,"CDU",Data!$F:$F,"PADD 4")</f>
        <v>19.886</v>
      </c>
      <c r="G201" s="11">
        <f>IFERROR(F201/F200-1,"")</f>
        <v>-0.7976865087035699</v>
      </c>
      <c r="H201" s="11">
        <f>IFERROR(F201/F189-1,"")</f>
        <v>-0.7251150767869732</v>
      </c>
    </row>
    <row r="202" spans="1:8">
      <c r="A202" s="6" t="s">
        <v>12</v>
      </c>
      <c r="B202" s="6" t="s">
        <v>215</v>
      </c>
      <c r="C202" s="6">
        <v>2024</v>
      </c>
      <c r="D202" s="6">
        <v>6</v>
      </c>
      <c r="E202" s="9" t="s">
        <v>170</v>
      </c>
      <c r="F202" s="10">
        <f>SUMIFS(Data!$K:$K,Data!$A:$A,2024,Data!$B:$B,6,Data!$G:$G,"CDU",Data!$F:$F,"PADD 4")</f>
        <v>0.0</v>
      </c>
      <c r="G202" s="11">
        <f>IFERROR(F202/F201-1,"")</f>
        <v>-1.0</v>
      </c>
      <c r="H202" s="11">
        <f>IFERROR(F202/F190-1,"")</f>
        <v>-1.0</v>
      </c>
    </row>
    <row r="203" spans="1:8">
      <c r="A203" s="6" t="s">
        <v>12</v>
      </c>
      <c r="B203" s="6" t="s">
        <v>215</v>
      </c>
      <c r="C203" s="6">
        <v>2024</v>
      </c>
      <c r="D203" s="6">
        <v>7</v>
      </c>
      <c r="E203" s="9" t="s">
        <v>171</v>
      </c>
      <c r="F203" s="10">
        <f>SUMIFS(Data!$K:$K,Data!$A:$A,2024,Data!$B:$B,7,Data!$G:$G,"CDU",Data!$F:$F,"PADD 4")</f>
        <v>3.99</v>
      </c>
      <c r="G203" s="11">
        <f>IFERROR(F203/F202-1,"")</f>
        <v/>
      </c>
      <c r="H203" s="11">
        <f>IFERROR(F203/F191-1,"")</f>
        <v>-0.785483870967742</v>
      </c>
    </row>
    <row r="204" spans="1:8">
      <c r="A204" s="6" t="s">
        <v>12</v>
      </c>
      <c r="B204" s="6" t="s">
        <v>215</v>
      </c>
      <c r="C204" s="6">
        <v>2024</v>
      </c>
      <c r="D204" s="6">
        <v>8</v>
      </c>
      <c r="E204" s="9" t="s">
        <v>172</v>
      </c>
      <c r="F204" s="10">
        <f>SUMIFS(Data!$K:$K,Data!$A:$A,2024,Data!$B:$B,8,Data!$G:$G,"CDU",Data!$F:$F,"PADD 4")</f>
        <v>0.0</v>
      </c>
      <c r="G204" s="11">
        <f>IFERROR(F204/F203-1,"")</f>
        <v>-1.0</v>
      </c>
      <c r="H204" s="11">
        <f>IFERROR(F204/F192-1,"")</f>
        <v>-1.0</v>
      </c>
    </row>
    <row r="205" spans="1:8">
      <c r="A205" s="6" t="s">
        <v>12</v>
      </c>
      <c r="B205" s="6" t="s">
        <v>215</v>
      </c>
      <c r="C205" s="6">
        <v>2024</v>
      </c>
      <c r="D205" s="6">
        <v>9</v>
      </c>
      <c r="E205" s="9" t="s">
        <v>173</v>
      </c>
      <c r="F205" s="10">
        <f>SUMIFS(Data!$K:$K,Data!$A:$A,2024,Data!$B:$B,9,Data!$G:$G,"CDU",Data!$F:$F,"PADD 4")</f>
        <v>58.188</v>
      </c>
      <c r="G205" s="11">
        <f>IFERROR(F205/F204-1,"")</f>
        <v/>
      </c>
      <c r="H205" s="11">
        <f>IFERROR(F205/F193-1,"")</f>
        <v/>
      </c>
    </row>
    <row r="206" spans="1:8">
      <c r="A206" s="6" t="s">
        <v>12</v>
      </c>
      <c r="B206" s="6" t="s">
        <v>215</v>
      </c>
      <c r="C206" s="6">
        <v>2024</v>
      </c>
      <c r="D206" s="6">
        <v>10</v>
      </c>
      <c r="E206" s="9" t="s">
        <v>174</v>
      </c>
      <c r="F206" s="10">
        <f>SUMIFS(Data!$K:$K,Data!$A:$A,2024,Data!$B:$B,10,Data!$G:$G,"CDU",Data!$F:$F,"PADD 4")</f>
        <v>22.12</v>
      </c>
      <c r="G206" s="11">
        <f>IFERROR(F206/F205-1,"")</f>
        <v>-0.6198528906303705</v>
      </c>
      <c r="H206" s="11">
        <f>IFERROR(F206/F194-1,"")</f>
        <v>21.434077079107507</v>
      </c>
    </row>
    <row r="207" spans="1:8">
      <c r="A207" s="6" t="s">
        <v>12</v>
      </c>
      <c r="B207" s="6" t="s">
        <v>215</v>
      </c>
      <c r="C207" s="6">
        <v>2024</v>
      </c>
      <c r="D207" s="6">
        <v>11</v>
      </c>
      <c r="E207" s="9" t="s">
        <v>175</v>
      </c>
      <c r="F207" s="10">
        <f>SUMIFS(Data!$K:$K,Data!$A:$A,2024,Data!$B:$B,11,Data!$G:$G,"CDU",Data!$F:$F,"PADD 4")</f>
        <v>0.0</v>
      </c>
      <c r="G207" s="11">
        <f>IFERROR(F207/F206-1,"")</f>
        <v>-1.0</v>
      </c>
      <c r="H207" s="11">
        <f>IFERROR(F207/F195-1,"")</f>
        <v/>
      </c>
    </row>
    <row r="208" spans="1:8">
      <c r="A208" s="6" t="s">
        <v>12</v>
      </c>
      <c r="B208" s="6" t="s">
        <v>215</v>
      </c>
      <c r="C208" s="6">
        <v>2024</v>
      </c>
      <c r="D208" s="6">
        <v>12</v>
      </c>
      <c r="E208" s="9" t="s">
        <v>176</v>
      </c>
      <c r="F208" s="10">
        <f>SUMIFS(Data!$K:$K,Data!$A:$A,2024,Data!$B:$B,12,Data!$G:$G,"CDU",Data!$F:$F,"PADD 4")</f>
        <v>6.24</v>
      </c>
      <c r="G208" s="11">
        <f>IFERROR(F208/F207-1,"")</f>
        <v/>
      </c>
      <c r="H208" s="11">
        <f>IFERROR(F208/F196-1,"")</f>
        <v>-0.8825080022594615</v>
      </c>
    </row>
    <row r="209" spans="1:8">
      <c r="A209" s="6" t="s">
        <v>12</v>
      </c>
      <c r="B209" s="6" t="s">
        <v>215</v>
      </c>
      <c r="C209" s="6">
        <v>2025</v>
      </c>
      <c r="D209" s="6">
        <v>1</v>
      </c>
      <c r="E209" s="9" t="s">
        <v>177</v>
      </c>
      <c r="F209" s="10">
        <f>SUMIFS(Data!$K:$K,Data!$A:$A,2025,Data!$B:$B,1,Data!$G:$G,"CDU",Data!$F:$F,"PADD 4")</f>
        <v>40.54</v>
      </c>
      <c r="G209" s="11">
        <f>IFERROR(F209/F208-1,"")</f>
        <v>5.496794871794871</v>
      </c>
      <c r="H209" s="11">
        <f>IFERROR(F209/F197-1,"")</f>
        <v>-0.21348750582026998</v>
      </c>
    </row>
    <row r="210" spans="1:8">
      <c r="A210" s="6" t="s">
        <v>12</v>
      </c>
      <c r="B210" s="6" t="s">
        <v>215</v>
      </c>
      <c r="C210" s="6">
        <v>2025</v>
      </c>
      <c r="D210" s="6">
        <v>2</v>
      </c>
      <c r="E210" s="9" t="s">
        <v>178</v>
      </c>
      <c r="F210" s="10">
        <f>SUMIFS(Data!$K:$K,Data!$A:$A,2025,Data!$B:$B,2,Data!$G:$G,"CDU",Data!$F:$F,"PADD 4")</f>
        <v>14.93</v>
      </c>
      <c r="G210" s="11">
        <f>IFERROR(F210/F209-1,"")</f>
        <v>-0.6317217562900839</v>
      </c>
      <c r="H210" s="11">
        <f>IFERROR(F210/F198-1,"")</f>
        <v>-0.880745083630206</v>
      </c>
    </row>
    <row r="211" spans="1:8">
      <c r="A211" s="6" t="s">
        <v>12</v>
      </c>
      <c r="B211" s="6" t="s">
        <v>215</v>
      </c>
      <c r="C211" s="6">
        <v>2025</v>
      </c>
      <c r="D211" s="6">
        <v>3</v>
      </c>
      <c r="E211" s="9" t="s">
        <v>179</v>
      </c>
      <c r="F211" s="10">
        <f>SUMIFS(Data!$K:$K,Data!$A:$A,2025,Data!$B:$B,3,Data!$G:$G,"CDU",Data!$F:$F,"PADD 4")</f>
        <v>37.71</v>
      </c>
      <c r="G211" s="11">
        <f>IFERROR(F211/F210-1,"")</f>
        <v>1.5257870060281316</v>
      </c>
      <c r="H211" s="11">
        <f>IFERROR(F211/F199-1,"")</f>
        <v>-0.6659935165010362</v>
      </c>
    </row>
    <row r="212" spans="1:8">
      <c r="A212" s="6" t="s">
        <v>12</v>
      </c>
      <c r="B212" s="6" t="s">
        <v>215</v>
      </c>
      <c r="C212" s="6">
        <v>2025</v>
      </c>
      <c r="D212" s="6">
        <v>4</v>
      </c>
      <c r="E212" s="9" t="s">
        <v>180</v>
      </c>
      <c r="F212" s="10">
        <f>SUMIFS(Data!$K:$K,Data!$A:$A,2025,Data!$B:$B,4,Data!$G:$G,"CDU",Data!$F:$F,"PADD 4")</f>
        <v>22.64</v>
      </c>
      <c r="G212" s="11">
        <f>IFERROR(F212/F211-1,"")</f>
        <v>-0.3996287456907982</v>
      </c>
      <c r="H212" s="11">
        <f>IFERROR(F212/F200-1,"")</f>
        <v>-0.7696682368022139</v>
      </c>
    </row>
    <row r="213" spans="1:8">
      <c r="A213" s="6" t="s">
        <v>12</v>
      </c>
      <c r="B213" s="6" t="s">
        <v>215</v>
      </c>
      <c r="C213" s="6">
        <v>2025</v>
      </c>
      <c r="D213" s="6">
        <v>5</v>
      </c>
      <c r="E213" s="9" t="s">
        <v>181</v>
      </c>
      <c r="F213" s="10">
        <f>SUMIFS(Data!$K:$K,Data!$A:$A,2025,Data!$B:$B,5,Data!$G:$G,"CDU",Data!$F:$F,"PADD 4")</f>
        <v>6.694000000000001</v>
      </c>
      <c r="G213" s="11">
        <f>IFERROR(F213/F212-1,"")</f>
        <v>-0.7043286219081272</v>
      </c>
      <c r="H213" s="11">
        <f>IFERROR(F213/F201-1,"")</f>
        <v>-0.6633812732575681</v>
      </c>
    </row>
    <row r="214" spans="1:8">
      <c r="A214" s="6" t="s">
        <v>12</v>
      </c>
      <c r="B214" s="6" t="s">
        <v>215</v>
      </c>
      <c r="C214" s="6">
        <v>2025</v>
      </c>
      <c r="D214" s="6">
        <v>6</v>
      </c>
      <c r="E214" s="9" t="s">
        <v>182</v>
      </c>
      <c r="F214" s="10">
        <f>SUMIFS(Data!$K:$K,Data!$A:$A,2025,Data!$B:$B,6,Data!$G:$G,"CDU",Data!$F:$F,"PADD 4")</f>
        <v>1.95</v>
      </c>
      <c r="G214" s="11">
        <f>IFERROR(F214/F213-1,"")</f>
        <v>-0.7086943531520765</v>
      </c>
      <c r="H214" s="11">
        <f>IFERROR(F214/F202-1,"")</f>
        <v/>
      </c>
    </row>
    <row r="215" spans="1:8">
      <c r="A215" s="6" t="s">
        <v>12</v>
      </c>
      <c r="B215" s="6" t="s">
        <v>215</v>
      </c>
      <c r="C215" s="6">
        <v>2025</v>
      </c>
      <c r="D215" s="6">
        <v>7</v>
      </c>
      <c r="E215" s="9" t="s">
        <v>183</v>
      </c>
      <c r="F215" s="10">
        <f>SUMIFS(Data!$K:$K,Data!$A:$A,2025,Data!$B:$B,7,Data!$G:$G,"CDU",Data!$F:$F,"PADD 4")</f>
        <v>64.611</v>
      </c>
      <c r="G215" s="11">
        <f>IFERROR(F215/F214-1,"")</f>
        <v>32.13384615384616</v>
      </c>
      <c r="H215" s="11">
        <f>IFERROR(F215/F203-1,"")</f>
        <v>15.193233082706769</v>
      </c>
    </row>
    <row r="216" spans="1:8">
      <c r="A216" s="6" t="s">
        <v>12</v>
      </c>
      <c r="B216" s="6" t="s">
        <v>215</v>
      </c>
      <c r="C216" s="6">
        <v>2025</v>
      </c>
      <c r="D216" s="6">
        <v>8</v>
      </c>
      <c r="E216" s="9" t="s">
        <v>184</v>
      </c>
      <c r="F216" s="10">
        <f>SUMIFS(Data!$K:$K,Data!$A:$A,2025,Data!$B:$B,8,Data!$G:$G,"CDU",Data!$F:$F,"PADD 4")</f>
        <v>0.0</v>
      </c>
      <c r="G216" s="11">
        <f>IFERROR(F216/F215-1,"")</f>
        <v>-1.0</v>
      </c>
      <c r="H216" s="11">
        <f>IFERROR(F216/F204-1,"")</f>
        <v/>
      </c>
    </row>
    <row r="217" spans="1:8">
      <c r="A217" s="6" t="s">
        <v>12</v>
      </c>
      <c r="B217" s="6" t="s">
        <v>215</v>
      </c>
      <c r="C217" s="6">
        <v>2025</v>
      </c>
      <c r="D217" s="6">
        <v>9</v>
      </c>
      <c r="E217" s="9" t="s">
        <v>185</v>
      </c>
      <c r="F217" s="10">
        <f>SUMIFS(Data!$K:$K,Data!$A:$A,2025,Data!$B:$B,9,Data!$G:$G,"CDU",Data!$F:$F,"PADD 4")</f>
        <v>0.0</v>
      </c>
      <c r="G217" s="11">
        <f>IFERROR(F217/F216-1,"")</f>
        <v/>
      </c>
      <c r="H217" s="11">
        <f>IFERROR(F217/F205-1,"")</f>
        <v>-1.0</v>
      </c>
    </row>
    <row r="218" spans="1:8">
      <c r="A218" s="6" t="s">
        <v>12</v>
      </c>
      <c r="B218" s="6" t="s">
        <v>215</v>
      </c>
      <c r="C218" s="6">
        <v>2025</v>
      </c>
      <c r="D218" s="6">
        <v>10</v>
      </c>
      <c r="E218" s="9" t="s">
        <v>186</v>
      </c>
      <c r="F218" s="10">
        <f>SUMIFS(Data!$K:$K,Data!$A:$A,2025,Data!$B:$B,10,Data!$G:$G,"CDU",Data!$F:$F,"PADD 4")</f>
        <v>5.69</v>
      </c>
      <c r="G218" s="11">
        <f>IFERROR(F218/F217-1,"")</f>
        <v/>
      </c>
      <c r="H218" s="11">
        <f>IFERROR(F218/F206-1,"")</f>
        <v>-0.7427667269439422</v>
      </c>
    </row>
    <row r="219" spans="1:8">
      <c r="A219" s="6" t="s">
        <v>12</v>
      </c>
      <c r="B219" s="6" t="s">
        <v>215</v>
      </c>
      <c r="C219" s="6">
        <v>2025</v>
      </c>
      <c r="D219" s="6">
        <v>11</v>
      </c>
      <c r="E219" s="9" t="s">
        <v>187</v>
      </c>
      <c r="F219" s="10">
        <f>SUMIFS(Data!$K:$K,Data!$A:$A,2025,Data!$B:$B,11,Data!$G:$G,"CDU",Data!$F:$F,"PADD 4")</f>
        <v>3.45</v>
      </c>
      <c r="G219" s="11">
        <f>IFERROR(F219/F218-1,"")</f>
        <v>-0.39367311072056244</v>
      </c>
      <c r="H219" s="11">
        <f>IFERROR(F219/F207-1,"")</f>
        <v/>
      </c>
    </row>
    <row r="220" spans="1:8">
      <c r="A220" s="6" t="s">
        <v>12</v>
      </c>
      <c r="B220" s="6" t="s">
        <v>215</v>
      </c>
      <c r="C220" s="6">
        <v>2025</v>
      </c>
      <c r="D220" s="6">
        <v>12</v>
      </c>
      <c r="E220" s="9" t="s">
        <v>188</v>
      </c>
      <c r="F220" s="10">
        <f>SUMIFS(Data!$K:$K,Data!$A:$A,2025,Data!$B:$B,12,Data!$G:$G,"CDU",Data!$F:$F,"PADD 4")</f>
        <v>3.456</v>
      </c>
      <c r="G220" s="11">
        <f>IFERROR(F220/F219-1,"")</f>
        <v>0.0017391304347824654</v>
      </c>
      <c r="H220" s="11">
        <f>IFERROR(F220/F208-1,"")</f>
        <v>-0.44615384615384623</v>
      </c>
    </row>
    <row r="221" spans="1:8">
      <c r="A221" s="6" t="s">
        <v>12</v>
      </c>
      <c r="B221" s="6" t="s">
        <v>215</v>
      </c>
      <c r="C221" s="6">
        <v>2026</v>
      </c>
      <c r="D221" s="6">
        <v>1</v>
      </c>
      <c r="E221" s="9" t="s">
        <v>189</v>
      </c>
      <c r="F221" s="10">
        <f>SUMIFS(Data!$K:$K,Data!$A:$A,2026,Data!$B:$B,1,Data!$G:$G,"CDU",Data!$F:$F,"PADD 4")</f>
        <v>0.0</v>
      </c>
      <c r="G221" s="11">
        <f>IFERROR(F221/F220-1,"")</f>
        <v>-1.0</v>
      </c>
      <c r="H221" s="11">
        <f>IFERROR(F221/F209-1,"")</f>
        <v>-1.0</v>
      </c>
    </row>
    <row r="222" spans="1:8">
      <c r="A222" s="6" t="s">
        <v>12</v>
      </c>
      <c r="B222" s="6" t="s">
        <v>215</v>
      </c>
      <c r="C222" s="6">
        <v>2026</v>
      </c>
      <c r="D222" s="6">
        <v>2</v>
      </c>
      <c r="E222" s="9" t="s">
        <v>190</v>
      </c>
      <c r="F222" s="10">
        <f>SUMIFS(Data!$K:$K,Data!$A:$A,2026,Data!$B:$B,2,Data!$G:$G,"CDU",Data!$F:$F,"PADD 4")</f>
        <v>8.305</v>
      </c>
      <c r="G222" s="11">
        <f>IFERROR(F222/F221-1,"")</f>
        <v/>
      </c>
      <c r="H222" s="11">
        <f>IFERROR(F222/F210-1,"")</f>
        <v>-0.4437374413931682</v>
      </c>
    </row>
    <row r="223" spans="1:8">
      <c r="A223" s="6" t="s">
        <v>12</v>
      </c>
      <c r="B223" s="6" t="s">
        <v>215</v>
      </c>
      <c r="C223" s="6">
        <v>2026</v>
      </c>
      <c r="D223" s="6">
        <v>3</v>
      </c>
      <c r="E223" s="9" t="s">
        <v>191</v>
      </c>
      <c r="F223" s="10">
        <f>SUMIFS(Data!$K:$K,Data!$A:$A,2026,Data!$B:$B,3,Data!$G:$G,"CDU",Data!$F:$F,"PADD 4")</f>
        <v>19.704</v>
      </c>
      <c r="G223" s="11">
        <f>IFERROR(F223/F222-1,"")</f>
        <v>1.372546658639374</v>
      </c>
      <c r="H223" s="11">
        <f>IFERROR(F223/F211-1,"")</f>
        <v>-0.4774860779634049</v>
      </c>
    </row>
    <row r="224" spans="1:8">
      <c r="A224" s="6" t="s">
        <v>12</v>
      </c>
      <c r="B224" s="6" t="s">
        <v>215</v>
      </c>
      <c r="C224" s="6">
        <v>2026</v>
      </c>
      <c r="D224" s="6">
        <v>4</v>
      </c>
      <c r="E224" s="9" t="s">
        <v>192</v>
      </c>
      <c r="F224" s="10">
        <f>SUMIFS(Data!$K:$K,Data!$A:$A,2026,Data!$B:$B,4,Data!$G:$G,"CDU",Data!$F:$F,"PADD 4")</f>
        <v>92.2</v>
      </c>
      <c r="G224" s="11">
        <f>IFERROR(F224/F223-1,"")</f>
        <v>3.6792529435647587</v>
      </c>
      <c r="H224" s="11">
        <f>IFERROR(F224/F212-1,"")</f>
        <v>3.0724381625441692</v>
      </c>
    </row>
    <row r="225" spans="1:8">
      <c r="A225" s="6" t="s">
        <v>12</v>
      </c>
      <c r="B225" s="6" t="s">
        <v>215</v>
      </c>
      <c r="C225" s="6">
        <v>2026</v>
      </c>
      <c r="D225" s="6">
        <v>5</v>
      </c>
      <c r="E225" s="9" t="s">
        <v>193</v>
      </c>
      <c r="F225" s="10">
        <f>SUMIFS(Data!$K:$K,Data!$A:$A,2026,Data!$B:$B,5,Data!$G:$G,"CDU",Data!$F:$F,"PADD 4")</f>
        <v>34.172</v>
      </c>
      <c r="G225" s="11">
        <f>IFERROR(F225/F224-1,"")</f>
        <v>-0.6293709327548808</v>
      </c>
      <c r="H225" s="11">
        <f>IFERROR(F225/F213-1,"")</f>
        <v>4.104870032865251</v>
      </c>
    </row>
    <row r="226" spans="1:8">
      <c r="A226" s="6" t="s">
        <v>12</v>
      </c>
      <c r="B226" s="6" t="s">
        <v>215</v>
      </c>
      <c r="C226" s="6">
        <v>2026</v>
      </c>
      <c r="D226" s="6">
        <v>6</v>
      </c>
      <c r="E226" s="9" t="s">
        <v>194</v>
      </c>
      <c r="F226" s="10">
        <f>SUMIFS(Data!$K:$K,Data!$A:$A,2026,Data!$B:$B,6,Data!$G:$G,"CDU",Data!$F:$F,"PADD 4")</f>
        <v>0.0</v>
      </c>
      <c r="G226" s="11">
        <f>IFERROR(F226/F225-1,"")</f>
        <v>-1.0</v>
      </c>
      <c r="H226" s="11">
        <f>IFERROR(F226/F214-1,"")</f>
        <v>-1.0</v>
      </c>
    </row>
    <row r="227" spans="1:8">
      <c r="A227" s="6" t="s">
        <v>12</v>
      </c>
      <c r="B227" s="6" t="s">
        <v>215</v>
      </c>
      <c r="C227" s="6">
        <v>2026</v>
      </c>
      <c r="D227" s="6">
        <v>7</v>
      </c>
      <c r="E227" s="9" t="s">
        <v>195</v>
      </c>
      <c r="F227" s="10">
        <f>SUMIFS(Data!$K:$K,Data!$A:$A,2026,Data!$B:$B,7,Data!$G:$G,"CDU",Data!$F:$F,"PADD 4")</f>
        <v>0.0</v>
      </c>
      <c r="G227" s="11">
        <f>IFERROR(F227/F226-1,"")</f>
        <v/>
      </c>
      <c r="H227" s="11">
        <f>IFERROR(F227/F215-1,"")</f>
        <v>-1.0</v>
      </c>
    </row>
    <row r="228" spans="1:8">
      <c r="A228" s="6" t="s">
        <v>12</v>
      </c>
      <c r="B228" s="6" t="s">
        <v>215</v>
      </c>
      <c r="C228" s="6">
        <v>2026</v>
      </c>
      <c r="D228" s="6">
        <v>8</v>
      </c>
      <c r="E228" s="9" t="s">
        <v>196</v>
      </c>
      <c r="F228" s="10">
        <f>SUMIFS(Data!$K:$K,Data!$A:$A,2026,Data!$B:$B,8,Data!$G:$G,"CDU",Data!$F:$F,"PADD 4")</f>
        <v>0.0</v>
      </c>
      <c r="G228" s="11">
        <f>IFERROR(F228/F227-1,"")</f>
        <v/>
      </c>
      <c r="H228" s="11">
        <f>IFERROR(F228/F216-1,"")</f>
        <v/>
      </c>
    </row>
    <row r="229" spans="1:8">
      <c r="A229" s="6" t="s">
        <v>12</v>
      </c>
      <c r="B229" s="6" t="s">
        <v>215</v>
      </c>
      <c r="C229" s="6">
        <v>2026</v>
      </c>
      <c r="D229" s="6">
        <v>9</v>
      </c>
      <c r="E229" s="9" t="s">
        <v>197</v>
      </c>
      <c r="F229" s="10">
        <f>SUMIFS(Data!$K:$K,Data!$A:$A,2026,Data!$B:$B,9,Data!$G:$G,"CDU",Data!$F:$F,"PADD 4")</f>
        <v>0.0</v>
      </c>
      <c r="G229" s="11">
        <f>IFERROR(F229/F228-1,"")</f>
        <v/>
      </c>
      <c r="H229" s="11">
        <f>IFERROR(F229/F217-1,"")</f>
        <v/>
      </c>
    </row>
    <row r="230" spans="1:8">
      <c r="A230" s="6" t="s">
        <v>12</v>
      </c>
      <c r="B230" s="6" t="s">
        <v>215</v>
      </c>
      <c r="C230" s="6">
        <v>2026</v>
      </c>
      <c r="D230" s="6">
        <v>10</v>
      </c>
      <c r="E230" s="9" t="s">
        <v>198</v>
      </c>
      <c r="F230" s="10">
        <f>SUMIFS(Data!$K:$K,Data!$A:$A,2026,Data!$B:$B,10,Data!$G:$G,"CDU",Data!$F:$F,"PADD 4")</f>
        <v>7.155</v>
      </c>
      <c r="G230" s="11">
        <f>IFERROR(F230/F229-1,"")</f>
        <v/>
      </c>
      <c r="H230" s="11">
        <f>IFERROR(F230/F218-1,"")</f>
        <v>0.25746924428822493</v>
      </c>
    </row>
    <row r="231" spans="1:8">
      <c r="A231" s="6" t="s">
        <v>12</v>
      </c>
      <c r="B231" s="6" t="s">
        <v>215</v>
      </c>
      <c r="C231" s="6">
        <v>2026</v>
      </c>
      <c r="D231" s="6">
        <v>11</v>
      </c>
      <c r="E231" s="9" t="s">
        <v>199</v>
      </c>
      <c r="F231" s="10">
        <f>SUMIFS(Data!$K:$K,Data!$A:$A,2026,Data!$B:$B,11,Data!$G:$G,"CDU",Data!$F:$F,"PADD 4")</f>
        <v>0.0</v>
      </c>
      <c r="G231" s="11">
        <f>IFERROR(F231/F230-1,"")</f>
        <v>-1.0</v>
      </c>
      <c r="H231" s="11">
        <f>IFERROR(F231/F219-1,"")</f>
        <v>-1.0</v>
      </c>
    </row>
    <row r="232" spans="1:8">
      <c r="A232" s="6" t="s">
        <v>12</v>
      </c>
      <c r="B232" s="6" t="s">
        <v>215</v>
      </c>
      <c r="C232" s="6">
        <v>2026</v>
      </c>
      <c r="D232" s="6">
        <v>12</v>
      </c>
      <c r="E232" s="9" t="s">
        <v>200</v>
      </c>
      <c r="F232" s="10">
        <f>SUMIFS(Data!$K:$K,Data!$A:$A,2026,Data!$B:$B,12,Data!$G:$G,"CDU",Data!$F:$F,"PADD 4")</f>
        <v>0.0</v>
      </c>
      <c r="G232" s="11">
        <f>IFERROR(F232/F231-1,"")</f>
        <v/>
      </c>
      <c r="H232" s="11">
        <f>IFERROR(F232/F220-1,"")</f>
        <v>-1.0</v>
      </c>
    </row>
    <row r="233" spans="1:8">
      <c r="A233" s="6" t="s">
        <v>12</v>
      </c>
      <c r="B233" s="6" t="s">
        <v>215</v>
      </c>
      <c r="C233" s="6">
        <v>2027</v>
      </c>
      <c r="D233" s="6">
        <v>1</v>
      </c>
      <c r="E233" s="9" t="s">
        <v>201</v>
      </c>
      <c r="F233" s="10">
        <f>SUMIFS(Data!$K:$K,Data!$A:$A,2027,Data!$B:$B,1,Data!$G:$G,"CDU",Data!$F:$F,"PADD 4")</f>
        <v>0.0</v>
      </c>
      <c r="G233" s="11">
        <f>IFERROR(F233/F232-1,"")</f>
        <v/>
      </c>
      <c r="H233" s="11">
        <f>IFERROR(F233/F221-1,"")</f>
        <v/>
      </c>
    </row>
    <row r="234" spans="1:8">
      <c r="A234" s="6" t="s">
        <v>12</v>
      </c>
      <c r="B234" s="6" t="s">
        <v>215</v>
      </c>
      <c r="C234" s="6">
        <v>2027</v>
      </c>
      <c r="D234" s="6">
        <v>2</v>
      </c>
      <c r="E234" s="9" t="s">
        <v>202</v>
      </c>
      <c r="F234" s="10">
        <f>SUMIFS(Data!$K:$K,Data!$A:$A,2027,Data!$B:$B,2,Data!$G:$G,"CDU",Data!$F:$F,"PADD 4")</f>
        <v>61.44</v>
      </c>
      <c r="G234" s="11">
        <f>IFERROR(F234/F233-1,"")</f>
        <v/>
      </c>
      <c r="H234" s="11">
        <f>IFERROR(F234/F222-1,"")</f>
        <v>6.397953040337146</v>
      </c>
    </row>
    <row r="235" spans="1:8">
      <c r="A235" s="6" t="s">
        <v>12</v>
      </c>
      <c r="B235" s="6" t="s">
        <v>215</v>
      </c>
      <c r="C235" s="6">
        <v>2027</v>
      </c>
      <c r="D235" s="6">
        <v>3</v>
      </c>
      <c r="E235" s="9" t="s">
        <v>203</v>
      </c>
      <c r="F235" s="10">
        <f>SUMIFS(Data!$K:$K,Data!$A:$A,2027,Data!$B:$B,3,Data!$G:$G,"CDU",Data!$F:$F,"PADD 4")</f>
        <v>110.52</v>
      </c>
      <c r="G235" s="11">
        <f>IFERROR(F235/F234-1,"")</f>
        <v>0.798828125</v>
      </c>
      <c r="H235" s="11">
        <f>IFERROR(F235/F223-1,"")</f>
        <v>4.6090133982947625</v>
      </c>
    </row>
    <row r="236" spans="1:8">
      <c r="A236" s="6" t="s">
        <v>12</v>
      </c>
      <c r="B236" s="6" t="s">
        <v>215</v>
      </c>
      <c r="C236" s="6">
        <v>2027</v>
      </c>
      <c r="D236" s="6">
        <v>4</v>
      </c>
      <c r="E236" s="9" t="s">
        <v>204</v>
      </c>
      <c r="F236" s="10">
        <f>SUMIFS(Data!$K:$K,Data!$A:$A,2027,Data!$B:$B,4,Data!$G:$G,"CDU",Data!$F:$F,"PADD 4")</f>
        <v>77.37</v>
      </c>
      <c r="G236" s="11">
        <f>IFERROR(F236/F235-1,"")</f>
        <v>-0.2999457111834961</v>
      </c>
      <c r="H236" s="11">
        <f>IFERROR(F236/F224-1,"")</f>
        <v>-0.16084598698481556</v>
      </c>
    </row>
    <row r="237" spans="1:8">
      <c r="A237" s="6" t="s">
        <v>12</v>
      </c>
      <c r="B237" s="6" t="s">
        <v>215</v>
      </c>
      <c r="C237" s="6">
        <v>2027</v>
      </c>
      <c r="D237" s="6">
        <v>5</v>
      </c>
      <c r="E237" s="9" t="s">
        <v>205</v>
      </c>
      <c r="F237" s="10">
        <f>SUMIFS(Data!$K:$K,Data!$A:$A,2027,Data!$B:$B,5,Data!$G:$G,"CDU",Data!$F:$F,"PADD 4")</f>
        <v>65.852</v>
      </c>
      <c r="G237" s="11">
        <f>IFERROR(F237/F236-1,"")</f>
        <v>-0.14886907069923738</v>
      </c>
      <c r="H237" s="11">
        <f>IFERROR(F237/F225-1,"")</f>
        <v>0.9270747980803</v>
      </c>
    </row>
    <row r="238" spans="1:8">
      <c r="A238" s="6" t="s">
        <v>12</v>
      </c>
      <c r="B238" s="6" t="s">
        <v>215</v>
      </c>
      <c r="C238" s="6">
        <v>2027</v>
      </c>
      <c r="D238" s="6">
        <v>6</v>
      </c>
      <c r="E238" s="9" t="s">
        <v>206</v>
      </c>
      <c r="F238" s="10">
        <f>SUMIFS(Data!$K:$K,Data!$A:$A,2027,Data!$B:$B,6,Data!$G:$G,"CDU",Data!$F:$F,"PADD 4")</f>
        <v>0.0</v>
      </c>
      <c r="G238" s="11">
        <f>IFERROR(F238/F237-1,"")</f>
        <v>-1.0</v>
      </c>
      <c r="H238" s="11">
        <f>IFERROR(F238/F226-1,"")</f>
        <v/>
      </c>
    </row>
    <row r="239" spans="1:8">
      <c r="A239" s="6" t="s">
        <v>12</v>
      </c>
      <c r="B239" s="6" t="s">
        <v>215</v>
      </c>
      <c r="C239" s="6">
        <v>2027</v>
      </c>
      <c r="D239" s="6">
        <v>7</v>
      </c>
      <c r="E239" s="9" t="s">
        <v>207</v>
      </c>
      <c r="F239" s="10">
        <f>SUMIFS(Data!$K:$K,Data!$A:$A,2027,Data!$B:$B,7,Data!$G:$G,"CDU",Data!$F:$F,"PADD 4")</f>
        <v>0.0</v>
      </c>
      <c r="G239" s="11">
        <f>IFERROR(F239/F238-1,"")</f>
        <v/>
      </c>
      <c r="H239" s="11">
        <f>IFERROR(F239/F227-1,"")</f>
        <v/>
      </c>
    </row>
    <row r="240" spans="1:8">
      <c r="A240" s="6" t="s">
        <v>12</v>
      </c>
      <c r="B240" s="6" t="s">
        <v>215</v>
      </c>
      <c r="C240" s="6">
        <v>2027</v>
      </c>
      <c r="D240" s="6">
        <v>8</v>
      </c>
      <c r="E240" s="9" t="s">
        <v>208</v>
      </c>
      <c r="F240" s="10">
        <f>SUMIFS(Data!$K:$K,Data!$A:$A,2027,Data!$B:$B,8,Data!$G:$G,"CDU",Data!$F:$F,"PADD 4")</f>
        <v>0.0</v>
      </c>
      <c r="G240" s="11">
        <f>IFERROR(F240/F239-1,"")</f>
        <v/>
      </c>
      <c r="H240" s="11">
        <f>IFERROR(F240/F228-1,"")</f>
        <v/>
      </c>
    </row>
    <row r="241" spans="1:8">
      <c r="A241" s="6" t="s">
        <v>12</v>
      </c>
      <c r="B241" s="6" t="s">
        <v>215</v>
      </c>
      <c r="C241" s="6">
        <v>2027</v>
      </c>
      <c r="D241" s="6">
        <v>9</v>
      </c>
      <c r="E241" s="9" t="s">
        <v>209</v>
      </c>
      <c r="F241" s="10">
        <f>SUMIFS(Data!$K:$K,Data!$A:$A,2027,Data!$B:$B,9,Data!$G:$G,"CDU",Data!$F:$F,"PADD 4")</f>
        <v>20.75</v>
      </c>
      <c r="G241" s="11">
        <f>IFERROR(F241/F240-1,"")</f>
        <v/>
      </c>
      <c r="H241" s="11">
        <f>IFERROR(F241/F229-1,"")</f>
        <v/>
      </c>
    </row>
    <row r="242" spans="1:8">
      <c r="A242" s="6" t="s">
        <v>12</v>
      </c>
      <c r="B242" s="6" t="s">
        <v>215</v>
      </c>
      <c r="C242" s="6">
        <v>2027</v>
      </c>
      <c r="D242" s="6">
        <v>10</v>
      </c>
      <c r="E242" s="9" t="s">
        <v>210</v>
      </c>
      <c r="F242" s="10">
        <f>SUMIFS(Data!$K:$K,Data!$A:$A,2027,Data!$B:$B,10,Data!$G:$G,"CDU",Data!$F:$F,"PADD 4")</f>
        <v>13.53</v>
      </c>
      <c r="G242" s="11">
        <f>IFERROR(F242/F241-1,"")</f>
        <v>-0.3479518072289157</v>
      </c>
      <c r="H242" s="11">
        <f>IFERROR(F242/F230-1,"")</f>
        <v>0.890985324947589</v>
      </c>
    </row>
    <row r="243" spans="1:8">
      <c r="A243" s="6" t="s">
        <v>12</v>
      </c>
      <c r="B243" s="6" t="s">
        <v>215</v>
      </c>
      <c r="C243" s="6">
        <v>2027</v>
      </c>
      <c r="D243" s="6">
        <v>11</v>
      </c>
      <c r="E243" s="9" t="s">
        <v>211</v>
      </c>
      <c r="F243" s="10">
        <f>SUMIFS(Data!$K:$K,Data!$A:$A,2027,Data!$B:$B,11,Data!$G:$G,"CDU",Data!$F:$F,"PADD 4")</f>
        <v>0.0</v>
      </c>
      <c r="G243" s="11">
        <f>IFERROR(F243/F242-1,"")</f>
        <v>-1.0</v>
      </c>
      <c r="H243" s="11">
        <f>IFERROR(F243/F231-1,"")</f>
        <v/>
      </c>
    </row>
    <row r="244" spans="1:8">
      <c r="A244" s="6" t="s">
        <v>12</v>
      </c>
      <c r="B244" s="6" t="s">
        <v>215</v>
      </c>
      <c r="C244" s="6">
        <v>2027</v>
      </c>
      <c r="D244" s="6">
        <v>12</v>
      </c>
      <c r="E244" s="9" t="s">
        <v>212</v>
      </c>
      <c r="F244" s="10">
        <f>SUMIFS(Data!$K:$K,Data!$A:$A,2027,Data!$B:$B,12,Data!$G:$G,"CDU",Data!$F:$F,"PADD 4")</f>
        <v>0.0</v>
      </c>
      <c r="G244" s="11">
        <f>IFERROR(F244/F243-1,"")</f>
        <v/>
      </c>
      <c r="H244" s="11">
        <f>IFERROR(F244/F232-1,"")</f>
        <v/>
      </c>
    </row>
    <row r="245" spans="1:8">
      <c r="A245" s="6" t="s">
        <v>12</v>
      </c>
      <c r="B245" s="6" t="s">
        <v>216</v>
      </c>
      <c r="C245" s="6">
        <v>2023</v>
      </c>
      <c r="D245" s="6">
        <v>1</v>
      </c>
      <c r="E245" s="9" t="s">
        <v>153</v>
      </c>
      <c r="F245" s="10">
        <f>SUMIFS(Data!$K:$K,Data!$A:$A,2023,Data!$B:$B,1,Data!$G:$G,"CDU",Data!$F:$F,"PADD 5")</f>
        <v>148.42</v>
      </c>
    </row>
    <row r="246" spans="1:8">
      <c r="A246" s="6" t="s">
        <v>12</v>
      </c>
      <c r="B246" s="6" t="s">
        <v>216</v>
      </c>
      <c r="C246" s="6">
        <v>2023</v>
      </c>
      <c r="D246" s="6">
        <v>2</v>
      </c>
      <c r="E246" s="9" t="s">
        <v>154</v>
      </c>
      <c r="F246" s="10">
        <f>SUMIFS(Data!$K:$K,Data!$A:$A,2023,Data!$B:$B,2,Data!$G:$G,"CDU",Data!$F:$F,"PADD 5")</f>
        <v>275.225</v>
      </c>
      <c r="G246" s="11">
        <f>IFERROR(F246/F245-1,"")</f>
        <v>0.8543659884112655</v>
      </c>
    </row>
    <row r="247" spans="1:8">
      <c r="A247" s="6" t="s">
        <v>12</v>
      </c>
      <c r="B247" s="6" t="s">
        <v>216</v>
      </c>
      <c r="C247" s="6">
        <v>2023</v>
      </c>
      <c r="D247" s="6">
        <v>3</v>
      </c>
      <c r="E247" s="9" t="s">
        <v>155</v>
      </c>
      <c r="F247" s="10">
        <f>SUMIFS(Data!$K:$K,Data!$A:$A,2023,Data!$B:$B,3,Data!$G:$G,"CDU",Data!$F:$F,"PADD 5")</f>
        <v>120.79</v>
      </c>
      <c r="G247" s="11">
        <f>IFERROR(F247/F246-1,"")</f>
        <v>-0.5611227177763648</v>
      </c>
    </row>
    <row r="248" spans="1:8">
      <c r="A248" s="6" t="s">
        <v>12</v>
      </c>
      <c r="B248" s="6" t="s">
        <v>216</v>
      </c>
      <c r="C248" s="6">
        <v>2023</v>
      </c>
      <c r="D248" s="6">
        <v>4</v>
      </c>
      <c r="E248" s="9" t="s">
        <v>156</v>
      </c>
      <c r="F248" s="10">
        <f>SUMIFS(Data!$K:$K,Data!$A:$A,2023,Data!$B:$B,4,Data!$G:$G,"CDU",Data!$F:$F,"PADD 5")</f>
        <v>254.165</v>
      </c>
      <c r="G248" s="11">
        <f>IFERROR(F248/F247-1,"")</f>
        <v>1.1041890885007035</v>
      </c>
    </row>
    <row r="249" spans="1:8">
      <c r="A249" s="6" t="s">
        <v>12</v>
      </c>
      <c r="B249" s="6" t="s">
        <v>216</v>
      </c>
      <c r="C249" s="6">
        <v>2023</v>
      </c>
      <c r="D249" s="6">
        <v>5</v>
      </c>
      <c r="E249" s="9" t="s">
        <v>157</v>
      </c>
      <c r="F249" s="10">
        <f>SUMIFS(Data!$K:$K,Data!$A:$A,2023,Data!$B:$B,5,Data!$G:$G,"CDU",Data!$F:$F,"PADD 5")</f>
        <v>115.18499999999999</v>
      </c>
      <c r="G249" s="11">
        <f>IFERROR(F249/F248-1,"")</f>
        <v>-0.5468101430173313</v>
      </c>
    </row>
    <row r="250" spans="1:8">
      <c r="A250" s="6" t="s">
        <v>12</v>
      </c>
      <c r="B250" s="6" t="s">
        <v>216</v>
      </c>
      <c r="C250" s="6">
        <v>2023</v>
      </c>
      <c r="D250" s="6">
        <v>6</v>
      </c>
      <c r="E250" s="9" t="s">
        <v>158</v>
      </c>
      <c r="F250" s="10">
        <f>SUMIFS(Data!$K:$K,Data!$A:$A,2023,Data!$B:$B,6,Data!$G:$G,"CDU",Data!$F:$F,"PADD 5")</f>
        <v>9.681999999999999</v>
      </c>
      <c r="G250" s="11">
        <f>IFERROR(F250/F249-1,"")</f>
        <v>-0.9159439163085471</v>
      </c>
    </row>
    <row r="251" spans="1:8">
      <c r="A251" s="6" t="s">
        <v>12</v>
      </c>
      <c r="B251" s="6" t="s">
        <v>216</v>
      </c>
      <c r="C251" s="6">
        <v>2023</v>
      </c>
      <c r="D251" s="6">
        <v>7</v>
      </c>
      <c r="E251" s="9" t="s">
        <v>159</v>
      </c>
      <c r="F251" s="10">
        <f>SUMIFS(Data!$K:$K,Data!$A:$A,2023,Data!$B:$B,7,Data!$G:$G,"CDU",Data!$F:$F,"PADD 5")</f>
        <v>11.04</v>
      </c>
      <c r="G251" s="11">
        <f>IFERROR(F251/F250-1,"")</f>
        <v>0.14026027680231357</v>
      </c>
    </row>
    <row r="252" spans="1:8">
      <c r="A252" s="6" t="s">
        <v>12</v>
      </c>
      <c r="B252" s="6" t="s">
        <v>216</v>
      </c>
      <c r="C252" s="6">
        <v>2023</v>
      </c>
      <c r="D252" s="6">
        <v>8</v>
      </c>
      <c r="E252" s="9" t="s">
        <v>160</v>
      </c>
      <c r="F252" s="10">
        <f>SUMIFS(Data!$K:$K,Data!$A:$A,2023,Data!$B:$B,8,Data!$G:$G,"CDU",Data!$F:$F,"PADD 5")</f>
        <v>2.58</v>
      </c>
      <c r="G252" s="11">
        <f>IFERROR(F252/F251-1,"")</f>
        <v>-0.7663043478260869</v>
      </c>
    </row>
    <row r="253" spans="1:8">
      <c r="A253" s="6" t="s">
        <v>12</v>
      </c>
      <c r="B253" s="6" t="s">
        <v>216</v>
      </c>
      <c r="C253" s="6">
        <v>2023</v>
      </c>
      <c r="D253" s="6">
        <v>9</v>
      </c>
      <c r="E253" s="9" t="s">
        <v>161</v>
      </c>
      <c r="F253" s="10">
        <f>SUMIFS(Data!$K:$K,Data!$A:$A,2023,Data!$B:$B,9,Data!$G:$G,"CDU",Data!$F:$F,"PADD 5")</f>
        <v>0.15</v>
      </c>
      <c r="G253" s="11">
        <f>IFERROR(F253/F252-1,"")</f>
        <v>-0.9418604651162791</v>
      </c>
    </row>
    <row r="254" spans="1:8">
      <c r="A254" s="6" t="s">
        <v>12</v>
      </c>
      <c r="B254" s="6" t="s">
        <v>216</v>
      </c>
      <c r="C254" s="6">
        <v>2023</v>
      </c>
      <c r="D254" s="6">
        <v>10</v>
      </c>
      <c r="E254" s="9" t="s">
        <v>162</v>
      </c>
      <c r="F254" s="10">
        <f>SUMIFS(Data!$K:$K,Data!$A:$A,2023,Data!$B:$B,10,Data!$G:$G,"CDU",Data!$F:$F,"PADD 5")</f>
        <v>216.535</v>
      </c>
      <c r="G254" s="11">
        <f>IFERROR(F254/F253-1,"")</f>
        <v>1442.5666666666666</v>
      </c>
    </row>
    <row r="255" spans="1:8">
      <c r="A255" s="6" t="s">
        <v>12</v>
      </c>
      <c r="B255" s="6" t="s">
        <v>216</v>
      </c>
      <c r="C255" s="6">
        <v>2023</v>
      </c>
      <c r="D255" s="6">
        <v>11</v>
      </c>
      <c r="E255" s="9" t="s">
        <v>163</v>
      </c>
      <c r="F255" s="10">
        <f>SUMIFS(Data!$K:$K,Data!$A:$A,2023,Data!$B:$B,11,Data!$G:$G,"CDU",Data!$F:$F,"PADD 5")</f>
        <v>161.86</v>
      </c>
      <c r="G255" s="11">
        <f>IFERROR(F255/F254-1,"")</f>
        <v>-0.25249959590828264</v>
      </c>
    </row>
    <row r="256" spans="1:8">
      <c r="A256" s="6" t="s">
        <v>12</v>
      </c>
      <c r="B256" s="6" t="s">
        <v>216</v>
      </c>
      <c r="C256" s="6">
        <v>2023</v>
      </c>
      <c r="D256" s="6">
        <v>12</v>
      </c>
      <c r="E256" s="9" t="s">
        <v>164</v>
      </c>
      <c r="F256" s="10">
        <f>SUMIFS(Data!$K:$K,Data!$A:$A,2023,Data!$B:$B,12,Data!$G:$G,"CDU",Data!$F:$F,"PADD 5")</f>
        <v>48.980000000000004</v>
      </c>
      <c r="G256" s="11">
        <f>IFERROR(F256/F255-1,"")</f>
        <v>-0.6973928086000247</v>
      </c>
    </row>
    <row r="257" spans="1:8">
      <c r="A257" s="6" t="s">
        <v>12</v>
      </c>
      <c r="B257" s="6" t="s">
        <v>216</v>
      </c>
      <c r="C257" s="6">
        <v>2024</v>
      </c>
      <c r="D257" s="6">
        <v>1</v>
      </c>
      <c r="E257" s="9" t="s">
        <v>165</v>
      </c>
      <c r="F257" s="10">
        <f>SUMIFS(Data!$K:$K,Data!$A:$A,2024,Data!$B:$B,1,Data!$G:$G,"CDU",Data!$F:$F,"PADD 5")</f>
        <v>181.5</v>
      </c>
      <c r="G257" s="11">
        <f>IFERROR(F257/F256-1,"")</f>
        <v>2.7055941200489992</v>
      </c>
      <c r="H257" s="11">
        <f>IFERROR(F257/F245-1,"")</f>
        <v>0.22288101334052035</v>
      </c>
    </row>
    <row r="258" spans="1:8">
      <c r="A258" s="6" t="s">
        <v>12</v>
      </c>
      <c r="B258" s="6" t="s">
        <v>216</v>
      </c>
      <c r="C258" s="6">
        <v>2024</v>
      </c>
      <c r="D258" s="6">
        <v>2</v>
      </c>
      <c r="E258" s="9" t="s">
        <v>166</v>
      </c>
      <c r="F258" s="10">
        <f>SUMIFS(Data!$K:$K,Data!$A:$A,2024,Data!$B:$B,2,Data!$G:$G,"CDU",Data!$F:$F,"PADD 5")</f>
        <v>205.625</v>
      </c>
      <c r="G258" s="11">
        <f>IFERROR(F258/F257-1,"")</f>
        <v>0.13292011019283745</v>
      </c>
      <c r="H258" s="11">
        <f>IFERROR(F258/F246-1,"")</f>
        <v>-0.25288400399673006</v>
      </c>
    </row>
    <row r="259" spans="1:8">
      <c r="A259" s="6" t="s">
        <v>12</v>
      </c>
      <c r="B259" s="6" t="s">
        <v>216</v>
      </c>
      <c r="C259" s="6">
        <v>2024</v>
      </c>
      <c r="D259" s="6">
        <v>3</v>
      </c>
      <c r="E259" s="9" t="s">
        <v>167</v>
      </c>
      <c r="F259" s="10">
        <f>SUMIFS(Data!$K:$K,Data!$A:$A,2024,Data!$B:$B,3,Data!$G:$G,"CDU",Data!$F:$F,"PADD 5")</f>
        <v>11.360000000000001</v>
      </c>
      <c r="G259" s="11">
        <f>IFERROR(F259/F258-1,"")</f>
        <v>-0.9447537993920972</v>
      </c>
      <c r="H259" s="11">
        <f>IFERROR(F259/F247-1,"")</f>
        <v>-0.9059524795098932</v>
      </c>
    </row>
    <row r="260" spans="1:8">
      <c r="A260" s="6" t="s">
        <v>12</v>
      </c>
      <c r="B260" s="6" t="s">
        <v>216</v>
      </c>
      <c r="C260" s="6">
        <v>2024</v>
      </c>
      <c r="D260" s="6">
        <v>4</v>
      </c>
      <c r="E260" s="9" t="s">
        <v>168</v>
      </c>
      <c r="F260" s="10">
        <f>SUMIFS(Data!$K:$K,Data!$A:$A,2024,Data!$B:$B,4,Data!$G:$G,"CDU",Data!$F:$F,"PADD 5")</f>
        <v>243.66</v>
      </c>
      <c r="G260" s="11">
        <f>IFERROR(F260/F259-1,"")</f>
        <v>20.44894366197183</v>
      </c>
      <c r="H260" s="11">
        <f>IFERROR(F260/F248-1,"")</f>
        <v>-0.0413314185666791</v>
      </c>
    </row>
    <row r="261" spans="1:8">
      <c r="A261" s="6" t="s">
        <v>12</v>
      </c>
      <c r="B261" s="6" t="s">
        <v>216</v>
      </c>
      <c r="C261" s="6">
        <v>2024</v>
      </c>
      <c r="D261" s="6">
        <v>5</v>
      </c>
      <c r="E261" s="9" t="s">
        <v>169</v>
      </c>
      <c r="F261" s="10">
        <f>SUMIFS(Data!$K:$K,Data!$A:$A,2024,Data!$B:$B,5,Data!$G:$G,"CDU",Data!$F:$F,"PADD 5")</f>
        <v>191.02</v>
      </c>
      <c r="G261" s="11">
        <f>IFERROR(F261/F260-1,"")</f>
        <v>-0.21603874251005495</v>
      </c>
      <c r="H261" s="11">
        <f>IFERROR(F261/F249-1,"")</f>
        <v>0.6583756565525027</v>
      </c>
    </row>
    <row r="262" spans="1:8">
      <c r="A262" s="6" t="s">
        <v>12</v>
      </c>
      <c r="B262" s="6" t="s">
        <v>216</v>
      </c>
      <c r="C262" s="6">
        <v>2024</v>
      </c>
      <c r="D262" s="6">
        <v>6</v>
      </c>
      <c r="E262" s="9" t="s">
        <v>170</v>
      </c>
      <c r="F262" s="10">
        <f>SUMIFS(Data!$K:$K,Data!$A:$A,2024,Data!$B:$B,6,Data!$G:$G,"CDU",Data!$F:$F,"PADD 5")</f>
        <v>77.98</v>
      </c>
      <c r="G262" s="11">
        <f>IFERROR(F262/F261-1,"")</f>
        <v>-0.5917704952361009</v>
      </c>
      <c r="H262" s="11">
        <f>IFERROR(F262/F250-1,"")</f>
        <v>7.054121049369966</v>
      </c>
    </row>
    <row r="263" spans="1:8">
      <c r="A263" s="6" t="s">
        <v>12</v>
      </c>
      <c r="B263" s="6" t="s">
        <v>216</v>
      </c>
      <c r="C263" s="6">
        <v>2024</v>
      </c>
      <c r="D263" s="6">
        <v>7</v>
      </c>
      <c r="E263" s="9" t="s">
        <v>171</v>
      </c>
      <c r="F263" s="10">
        <f>SUMIFS(Data!$K:$K,Data!$A:$A,2024,Data!$B:$B,7,Data!$G:$G,"CDU",Data!$F:$F,"PADD 5")</f>
        <v>0.0</v>
      </c>
      <c r="G263" s="11">
        <f>IFERROR(F263/F262-1,"")</f>
        <v>-1.0</v>
      </c>
      <c r="H263" s="11">
        <f>IFERROR(F263/F251-1,"")</f>
        <v>-1.0</v>
      </c>
    </row>
    <row r="264" spans="1:8">
      <c r="A264" s="6" t="s">
        <v>12</v>
      </c>
      <c r="B264" s="6" t="s">
        <v>216</v>
      </c>
      <c r="C264" s="6">
        <v>2024</v>
      </c>
      <c r="D264" s="6">
        <v>8</v>
      </c>
      <c r="E264" s="9" t="s">
        <v>172</v>
      </c>
      <c r="F264" s="10">
        <f>SUMIFS(Data!$K:$K,Data!$A:$A,2024,Data!$B:$B,8,Data!$G:$G,"CDU",Data!$F:$F,"PADD 5")</f>
        <v>0.0</v>
      </c>
      <c r="G264" s="11">
        <f>IFERROR(F264/F263-1,"")</f>
        <v/>
      </c>
      <c r="H264" s="11">
        <f>IFERROR(F264/F252-1,"")</f>
        <v>-1.0</v>
      </c>
    </row>
    <row r="265" spans="1:8">
      <c r="A265" s="6" t="s">
        <v>12</v>
      </c>
      <c r="B265" s="6" t="s">
        <v>216</v>
      </c>
      <c r="C265" s="6">
        <v>2024</v>
      </c>
      <c r="D265" s="6">
        <v>9</v>
      </c>
      <c r="E265" s="9" t="s">
        <v>173</v>
      </c>
      <c r="F265" s="10">
        <f>SUMIFS(Data!$K:$K,Data!$A:$A,2024,Data!$B:$B,9,Data!$G:$G,"CDU",Data!$F:$F,"PADD 5")</f>
        <v>4.65</v>
      </c>
      <c r="G265" s="11">
        <f>IFERROR(F265/F264-1,"")</f>
        <v/>
      </c>
      <c r="H265" s="11">
        <f>IFERROR(F265/F253-1,"")</f>
        <v>30.000000000000004</v>
      </c>
    </row>
    <row r="266" spans="1:8">
      <c r="A266" s="6" t="s">
        <v>12</v>
      </c>
      <c r="B266" s="6" t="s">
        <v>216</v>
      </c>
      <c r="C266" s="6">
        <v>2024</v>
      </c>
      <c r="D266" s="6">
        <v>10</v>
      </c>
      <c r="E266" s="9" t="s">
        <v>174</v>
      </c>
      <c r="F266" s="10">
        <f>SUMIFS(Data!$K:$K,Data!$A:$A,2024,Data!$B:$B,10,Data!$G:$G,"CDU",Data!$F:$F,"PADD 5")</f>
        <v>0.0</v>
      </c>
      <c r="G266" s="11">
        <f>IFERROR(F266/F265-1,"")</f>
        <v>-1.0</v>
      </c>
      <c r="H266" s="11">
        <f>IFERROR(F266/F254-1,"")</f>
        <v>-1.0</v>
      </c>
    </row>
    <row r="267" spans="1:8">
      <c r="A267" s="6" t="s">
        <v>12</v>
      </c>
      <c r="B267" s="6" t="s">
        <v>216</v>
      </c>
      <c r="C267" s="6">
        <v>2024</v>
      </c>
      <c r="D267" s="6">
        <v>11</v>
      </c>
      <c r="E267" s="9" t="s">
        <v>175</v>
      </c>
      <c r="F267" s="10">
        <f>SUMIFS(Data!$K:$K,Data!$A:$A,2024,Data!$B:$B,11,Data!$G:$G,"CDU",Data!$F:$F,"PADD 5")</f>
        <v>0.0</v>
      </c>
      <c r="G267" s="11">
        <f>IFERROR(F267/F266-1,"")</f>
        <v/>
      </c>
      <c r="H267" s="11">
        <f>IFERROR(F267/F255-1,"")</f>
        <v>-1.0</v>
      </c>
    </row>
    <row r="268" spans="1:8">
      <c r="A268" s="6" t="s">
        <v>12</v>
      </c>
      <c r="B268" s="6" t="s">
        <v>216</v>
      </c>
      <c r="C268" s="6">
        <v>2024</v>
      </c>
      <c r="D268" s="6">
        <v>12</v>
      </c>
      <c r="E268" s="9" t="s">
        <v>176</v>
      </c>
      <c r="F268" s="10">
        <f>SUMIFS(Data!$K:$K,Data!$A:$A,2024,Data!$B:$B,12,Data!$G:$G,"CDU",Data!$F:$F,"PADD 5")</f>
        <v>20.4</v>
      </c>
      <c r="G268" s="11">
        <f>IFERROR(F268/F267-1,"")</f>
        <v/>
      </c>
      <c r="H268" s="11">
        <f>IFERROR(F268/F256-1,"")</f>
        <v>-0.58350347080441</v>
      </c>
    </row>
    <row r="269" spans="1:8">
      <c r="A269" s="6" t="s">
        <v>12</v>
      </c>
      <c r="B269" s="6" t="s">
        <v>216</v>
      </c>
      <c r="C269" s="6">
        <v>2025</v>
      </c>
      <c r="D269" s="6">
        <v>1</v>
      </c>
      <c r="E269" s="9" t="s">
        <v>177</v>
      </c>
      <c r="F269" s="10">
        <f>SUMIFS(Data!$K:$K,Data!$A:$A,2025,Data!$B:$B,1,Data!$G:$G,"CDU",Data!$F:$F,"PADD 5")</f>
        <v>80.49</v>
      </c>
      <c r="G269" s="11">
        <f>IFERROR(F269/F268-1,"")</f>
        <v>2.945588235294118</v>
      </c>
      <c r="H269" s="11">
        <f>IFERROR(F269/F257-1,"")</f>
        <v>-0.5565289256198347</v>
      </c>
    </row>
    <row r="270" spans="1:8">
      <c r="A270" s="6" t="s">
        <v>12</v>
      </c>
      <c r="B270" s="6" t="s">
        <v>216</v>
      </c>
      <c r="C270" s="6">
        <v>2025</v>
      </c>
      <c r="D270" s="6">
        <v>2</v>
      </c>
      <c r="E270" s="9" t="s">
        <v>178</v>
      </c>
      <c r="F270" s="10">
        <f>SUMIFS(Data!$K:$K,Data!$A:$A,2025,Data!$B:$B,2,Data!$G:$G,"CDU",Data!$F:$F,"PADD 5")</f>
        <v>189.20100000000002</v>
      </c>
      <c r="G270" s="11">
        <f>IFERROR(F270/F269-1,"")</f>
        <v>1.3506149832277305</v>
      </c>
      <c r="H270" s="11">
        <f>IFERROR(F270/F258-1,"")</f>
        <v>-0.0798735562310029</v>
      </c>
    </row>
    <row r="271" spans="1:8">
      <c r="A271" s="6" t="s">
        <v>12</v>
      </c>
      <c r="B271" s="6" t="s">
        <v>216</v>
      </c>
      <c r="C271" s="6">
        <v>2025</v>
      </c>
      <c r="D271" s="6">
        <v>3</v>
      </c>
      <c r="E271" s="9" t="s">
        <v>179</v>
      </c>
      <c r="F271" s="10">
        <f>SUMIFS(Data!$K:$K,Data!$A:$A,2025,Data!$B:$B,3,Data!$G:$G,"CDU",Data!$F:$F,"PADD 5")</f>
        <v>387.076</v>
      </c>
      <c r="G271" s="11">
        <f>IFERROR(F271/F270-1,"")</f>
        <v>1.0458454236499808</v>
      </c>
      <c r="H271" s="11">
        <f>IFERROR(F271/F259-1,"")</f>
        <v>33.07359154929577</v>
      </c>
    </row>
    <row r="272" spans="1:8">
      <c r="A272" s="6" t="s">
        <v>12</v>
      </c>
      <c r="B272" s="6" t="s">
        <v>216</v>
      </c>
      <c r="C272" s="6">
        <v>2025</v>
      </c>
      <c r="D272" s="6">
        <v>4</v>
      </c>
      <c r="E272" s="9" t="s">
        <v>180</v>
      </c>
      <c r="F272" s="10">
        <f>SUMIFS(Data!$K:$K,Data!$A:$A,2025,Data!$B:$B,4,Data!$G:$G,"CDU",Data!$F:$F,"PADD 5")</f>
        <v>541.35</v>
      </c>
      <c r="G272" s="11">
        <f>IFERROR(F272/F271-1,"")</f>
        <v>0.3985625561905155</v>
      </c>
      <c r="H272" s="11">
        <f>IFERROR(F272/F260-1,"")</f>
        <v>1.221743412952475</v>
      </c>
    </row>
    <row r="273" spans="1:8">
      <c r="A273" s="6" t="s">
        <v>12</v>
      </c>
      <c r="B273" s="6" t="s">
        <v>216</v>
      </c>
      <c r="C273" s="6">
        <v>2025</v>
      </c>
      <c r="D273" s="6">
        <v>5</v>
      </c>
      <c r="E273" s="9" t="s">
        <v>181</v>
      </c>
      <c r="F273" s="10">
        <f>SUMIFS(Data!$K:$K,Data!$A:$A,2025,Data!$B:$B,5,Data!$G:$G,"CDU",Data!$F:$F,"PADD 5")</f>
        <v>352.6</v>
      </c>
      <c r="G273" s="11">
        <f>IFERROR(F273/F272-1,"")</f>
        <v>-0.3486653736030294</v>
      </c>
      <c r="H273" s="11">
        <f>IFERROR(F273/F261-1,"")</f>
        <v>0.8458800125641295</v>
      </c>
    </row>
    <row r="274" spans="1:8">
      <c r="A274" s="6" t="s">
        <v>12</v>
      </c>
      <c r="B274" s="6" t="s">
        <v>216</v>
      </c>
      <c r="C274" s="6">
        <v>2025</v>
      </c>
      <c r="D274" s="6">
        <v>6</v>
      </c>
      <c r="E274" s="9" t="s">
        <v>182</v>
      </c>
      <c r="F274" s="10">
        <f>SUMIFS(Data!$K:$K,Data!$A:$A,2025,Data!$B:$B,6,Data!$G:$G,"CDU",Data!$F:$F,"PADD 5")</f>
        <v>205.2</v>
      </c>
      <c r="G274" s="11">
        <f>IFERROR(F274/F273-1,"")</f>
        <v>-0.41803743618831546</v>
      </c>
      <c r="H274" s="11">
        <f>IFERROR(F274/F262-1,"")</f>
        <v>1.6314439599897406</v>
      </c>
    </row>
    <row r="275" spans="1:8">
      <c r="A275" s="6" t="s">
        <v>12</v>
      </c>
      <c r="B275" s="6" t="s">
        <v>216</v>
      </c>
      <c r="C275" s="6">
        <v>2025</v>
      </c>
      <c r="D275" s="6">
        <v>7</v>
      </c>
      <c r="E275" s="9" t="s">
        <v>183</v>
      </c>
      <c r="F275" s="10">
        <f>SUMIFS(Data!$K:$K,Data!$A:$A,2025,Data!$B:$B,7,Data!$G:$G,"CDU",Data!$F:$F,"PADD 5")</f>
        <v>59.25</v>
      </c>
      <c r="G275" s="11">
        <f>IFERROR(F275/F274-1,"")</f>
        <v>-0.7112573099415205</v>
      </c>
      <c r="H275" s="11">
        <f>IFERROR(F275/F263-1,"")</f>
        <v/>
      </c>
    </row>
    <row r="276" spans="1:8">
      <c r="A276" s="6" t="s">
        <v>12</v>
      </c>
      <c r="B276" s="6" t="s">
        <v>216</v>
      </c>
      <c r="C276" s="6">
        <v>2025</v>
      </c>
      <c r="D276" s="6">
        <v>8</v>
      </c>
      <c r="E276" s="9" t="s">
        <v>184</v>
      </c>
      <c r="F276" s="10">
        <f>SUMIFS(Data!$K:$K,Data!$A:$A,2025,Data!$B:$B,8,Data!$G:$G,"CDU",Data!$F:$F,"PADD 5")</f>
        <v>59.25</v>
      </c>
      <c r="G276" s="11">
        <f>IFERROR(F276/F275-1,"")</f>
        <v>0.0</v>
      </c>
      <c r="H276" s="11">
        <f>IFERROR(F276/F264-1,"")</f>
        <v/>
      </c>
    </row>
    <row r="277" spans="1:8">
      <c r="A277" s="6" t="s">
        <v>12</v>
      </c>
      <c r="B277" s="6" t="s">
        <v>216</v>
      </c>
      <c r="C277" s="6">
        <v>2025</v>
      </c>
      <c r="D277" s="6">
        <v>9</v>
      </c>
      <c r="E277" s="9" t="s">
        <v>185</v>
      </c>
      <c r="F277" s="10">
        <f>SUMIFS(Data!$K:$K,Data!$A:$A,2025,Data!$B:$B,9,Data!$G:$G,"CDU",Data!$F:$F,"PADD 5")</f>
        <v>55.75</v>
      </c>
      <c r="G277" s="11">
        <f>IFERROR(F277/F276-1,"")</f>
        <v>-0.05907172995780585</v>
      </c>
      <c r="H277" s="11">
        <f>IFERROR(F277/F265-1,"")</f>
        <v>10.989247311827956</v>
      </c>
    </row>
    <row r="278" spans="1:8">
      <c r="A278" s="6" t="s">
        <v>12</v>
      </c>
      <c r="B278" s="6" t="s">
        <v>216</v>
      </c>
      <c r="C278" s="6">
        <v>2025</v>
      </c>
      <c r="D278" s="6">
        <v>10</v>
      </c>
      <c r="E278" s="9" t="s">
        <v>186</v>
      </c>
      <c r="F278" s="10">
        <f>SUMIFS(Data!$K:$K,Data!$A:$A,2025,Data!$B:$B,10,Data!$G:$G,"CDU",Data!$F:$F,"PADD 5")</f>
        <v>149.15</v>
      </c>
      <c r="G278" s="11">
        <f>IFERROR(F278/F277-1,"")</f>
        <v>1.6753363228699554</v>
      </c>
      <c r="H278" s="11">
        <f>IFERROR(F278/F266-1,"")</f>
        <v/>
      </c>
    </row>
    <row r="279" spans="1:8">
      <c r="A279" s="6" t="s">
        <v>12</v>
      </c>
      <c r="B279" s="6" t="s">
        <v>216</v>
      </c>
      <c r="C279" s="6">
        <v>2025</v>
      </c>
      <c r="D279" s="6">
        <v>11</v>
      </c>
      <c r="E279" s="9" t="s">
        <v>187</v>
      </c>
      <c r="F279" s="10">
        <f>SUMIFS(Data!$K:$K,Data!$A:$A,2025,Data!$B:$B,11,Data!$G:$G,"CDU",Data!$F:$F,"PADD 5")</f>
        <v>149.605</v>
      </c>
      <c r="G279" s="11">
        <f>IFERROR(F279/F278-1,"")</f>
        <v>0.003050620181025643</v>
      </c>
      <c r="H279" s="11">
        <f>IFERROR(F279/F267-1,"")</f>
        <v/>
      </c>
    </row>
    <row r="280" spans="1:8">
      <c r="A280" s="6" t="s">
        <v>12</v>
      </c>
      <c r="B280" s="6" t="s">
        <v>216</v>
      </c>
      <c r="C280" s="6">
        <v>2025</v>
      </c>
      <c r="D280" s="6">
        <v>12</v>
      </c>
      <c r="E280" s="9" t="s">
        <v>188</v>
      </c>
      <c r="F280" s="10">
        <f>SUMIFS(Data!$K:$K,Data!$A:$A,2025,Data!$B:$B,12,Data!$G:$G,"CDU",Data!$F:$F,"PADD 5")</f>
        <v>175.75</v>
      </c>
      <c r="G280" s="11">
        <f>IFERROR(F280/F279-1,"")</f>
        <v>0.17476020186491104</v>
      </c>
      <c r="H280" s="11">
        <f>IFERROR(F280/F268-1,"")</f>
        <v>7.615196078431373</v>
      </c>
    </row>
    <row r="281" spans="1:8">
      <c r="A281" s="6" t="s">
        <v>12</v>
      </c>
      <c r="B281" s="6" t="s">
        <v>216</v>
      </c>
      <c r="C281" s="6">
        <v>2026</v>
      </c>
      <c r="D281" s="6">
        <v>1</v>
      </c>
      <c r="E281" s="9" t="s">
        <v>189</v>
      </c>
      <c r="F281" s="10">
        <f>SUMIFS(Data!$K:$K,Data!$A:$A,2026,Data!$B:$B,1,Data!$G:$G,"CDU",Data!$F:$F,"PADD 5")</f>
        <v>60.0</v>
      </c>
      <c r="G281" s="11">
        <f>IFERROR(F281/F280-1,"")</f>
        <v>-0.6586059743954481</v>
      </c>
      <c r="H281" s="11">
        <f>IFERROR(F281/F269-1,"")</f>
        <v>-0.25456578456951173</v>
      </c>
    </row>
    <row r="282" spans="1:8">
      <c r="A282" s="6" t="s">
        <v>12</v>
      </c>
      <c r="B282" s="6" t="s">
        <v>216</v>
      </c>
      <c r="C282" s="6">
        <v>2026</v>
      </c>
      <c r="D282" s="6">
        <v>2</v>
      </c>
      <c r="E282" s="9" t="s">
        <v>190</v>
      </c>
      <c r="F282" s="10">
        <f>SUMIFS(Data!$K:$K,Data!$A:$A,2026,Data!$B:$B,2,Data!$G:$G,"CDU",Data!$F:$F,"PADD 5")</f>
        <v>95.628</v>
      </c>
      <c r="G282" s="11">
        <f>IFERROR(F282/F281-1,"")</f>
        <v>0.5938000000000001</v>
      </c>
      <c r="H282" s="11">
        <f>IFERROR(F282/F270-1,"")</f>
        <v>-0.49456926760429387</v>
      </c>
    </row>
    <row r="283" spans="1:8">
      <c r="A283" s="6" t="s">
        <v>12</v>
      </c>
      <c r="B283" s="6" t="s">
        <v>216</v>
      </c>
      <c r="C283" s="6">
        <v>2026</v>
      </c>
      <c r="D283" s="6">
        <v>3</v>
      </c>
      <c r="E283" s="9" t="s">
        <v>191</v>
      </c>
      <c r="F283" s="10">
        <f>SUMIFS(Data!$K:$K,Data!$A:$A,2026,Data!$B:$B,3,Data!$G:$G,"CDU",Data!$F:$F,"PADD 5")</f>
        <v>74.95</v>
      </c>
      <c r="G283" s="11">
        <f>IFERROR(F283/F282-1,"")</f>
        <v>-0.2162337390722382</v>
      </c>
      <c r="H283" s="11">
        <f>IFERROR(F283/F271-1,"")</f>
        <v>-0.806368775124265</v>
      </c>
    </row>
    <row r="284" spans="1:8">
      <c r="A284" s="6" t="s">
        <v>12</v>
      </c>
      <c r="B284" s="6" t="s">
        <v>216</v>
      </c>
      <c r="C284" s="6">
        <v>2026</v>
      </c>
      <c r="D284" s="6">
        <v>4</v>
      </c>
      <c r="E284" s="9" t="s">
        <v>192</v>
      </c>
      <c r="F284" s="10">
        <f>SUMIFS(Data!$K:$K,Data!$A:$A,2026,Data!$B:$B,4,Data!$G:$G,"CDU",Data!$F:$F,"PADD 5")</f>
        <v>329.565</v>
      </c>
      <c r="G284" s="11">
        <f>IFERROR(F284/F283-1,"")</f>
        <v>3.3971314209472983</v>
      </c>
      <c r="H284" s="11">
        <f>IFERROR(F284/F272-1,"")</f>
        <v>-0.39121640343585484</v>
      </c>
    </row>
    <row r="285" spans="1:8">
      <c r="A285" s="6" t="s">
        <v>12</v>
      </c>
      <c r="B285" s="6" t="s">
        <v>216</v>
      </c>
      <c r="C285" s="6">
        <v>2026</v>
      </c>
      <c r="D285" s="6">
        <v>5</v>
      </c>
      <c r="E285" s="9" t="s">
        <v>193</v>
      </c>
      <c r="F285" s="10">
        <f>SUMIFS(Data!$K:$K,Data!$A:$A,2026,Data!$B:$B,5,Data!$G:$G,"CDU",Data!$F:$F,"PADD 5")</f>
        <v>184.48</v>
      </c>
      <c r="G285" s="11">
        <f>IFERROR(F285/F284-1,"")</f>
        <v>-0.44023182073339107</v>
      </c>
      <c r="H285" s="11">
        <f>IFERROR(F285/F273-1,"")</f>
        <v>-0.4768009075439592</v>
      </c>
    </row>
    <row r="286" spans="1:8">
      <c r="A286" s="6" t="s">
        <v>12</v>
      </c>
      <c r="B286" s="6" t="s">
        <v>216</v>
      </c>
      <c r="C286" s="6">
        <v>2026</v>
      </c>
      <c r="D286" s="6">
        <v>6</v>
      </c>
      <c r="E286" s="9" t="s">
        <v>194</v>
      </c>
      <c r="F286" s="10">
        <f>SUMIFS(Data!$K:$K,Data!$A:$A,2026,Data!$B:$B,6,Data!$G:$G,"CDU",Data!$F:$F,"PADD 5")</f>
        <v>83.1</v>
      </c>
      <c r="G286" s="11">
        <f>IFERROR(F286/F285-1,"")</f>
        <v>-0.5495446660884649</v>
      </c>
      <c r="H286" s="11">
        <f>IFERROR(F286/F274-1,"")</f>
        <v>-0.5950292397660819</v>
      </c>
    </row>
    <row r="287" spans="1:8">
      <c r="A287" s="6" t="s">
        <v>12</v>
      </c>
      <c r="B287" s="6" t="s">
        <v>216</v>
      </c>
      <c r="C287" s="6">
        <v>2026</v>
      </c>
      <c r="D287" s="6">
        <v>7</v>
      </c>
      <c r="E287" s="9" t="s">
        <v>195</v>
      </c>
      <c r="F287" s="10">
        <f>SUMIFS(Data!$K:$K,Data!$A:$A,2026,Data!$B:$B,7,Data!$G:$G,"CDU",Data!$F:$F,"PADD 5")</f>
        <v>74.4</v>
      </c>
      <c r="G287" s="11">
        <f>IFERROR(F287/F286-1,"")</f>
        <v>-0.10469314079422365</v>
      </c>
      <c r="H287" s="11">
        <f>IFERROR(F287/F275-1,"")</f>
        <v>0.2556962025316456</v>
      </c>
    </row>
    <row r="288" spans="1:8">
      <c r="A288" s="6" t="s">
        <v>12</v>
      </c>
      <c r="B288" s="6" t="s">
        <v>216</v>
      </c>
      <c r="C288" s="6">
        <v>2026</v>
      </c>
      <c r="D288" s="6">
        <v>8</v>
      </c>
      <c r="E288" s="9" t="s">
        <v>196</v>
      </c>
      <c r="F288" s="10">
        <f>SUMIFS(Data!$K:$K,Data!$A:$A,2026,Data!$B:$B,8,Data!$G:$G,"CDU",Data!$F:$F,"PADD 5")</f>
        <v>0.0</v>
      </c>
      <c r="G288" s="11">
        <f>IFERROR(F288/F287-1,"")</f>
        <v>-1.0</v>
      </c>
      <c r="H288" s="11">
        <f>IFERROR(F288/F276-1,"")</f>
        <v>-1.0</v>
      </c>
    </row>
    <row r="289" spans="1:8">
      <c r="A289" s="6" t="s">
        <v>12</v>
      </c>
      <c r="B289" s="6" t="s">
        <v>216</v>
      </c>
      <c r="C289" s="6">
        <v>2026</v>
      </c>
      <c r="D289" s="6">
        <v>9</v>
      </c>
      <c r="E289" s="9" t="s">
        <v>197</v>
      </c>
      <c r="F289" s="10">
        <f>SUMIFS(Data!$K:$K,Data!$A:$A,2026,Data!$B:$B,9,Data!$G:$G,"CDU",Data!$F:$F,"PADD 5")</f>
        <v>0.0</v>
      </c>
      <c r="G289" s="11">
        <f>IFERROR(F289/F288-1,"")</f>
        <v/>
      </c>
      <c r="H289" s="11">
        <f>IFERROR(F289/F277-1,"")</f>
        <v>-1.0</v>
      </c>
    </row>
    <row r="290" spans="1:8">
      <c r="A290" s="6" t="s">
        <v>12</v>
      </c>
      <c r="B290" s="6" t="s">
        <v>216</v>
      </c>
      <c r="C290" s="6">
        <v>2026</v>
      </c>
      <c r="D290" s="6">
        <v>10</v>
      </c>
      <c r="E290" s="9" t="s">
        <v>198</v>
      </c>
      <c r="F290" s="10">
        <f>SUMIFS(Data!$K:$K,Data!$A:$A,2026,Data!$B:$B,10,Data!$G:$G,"CDU",Data!$F:$F,"PADD 5")</f>
        <v>0.0</v>
      </c>
      <c r="G290" s="11">
        <f>IFERROR(F290/F289-1,"")</f>
        <v/>
      </c>
      <c r="H290" s="11">
        <f>IFERROR(F290/F278-1,"")</f>
        <v>-1.0</v>
      </c>
    </row>
    <row r="291" spans="1:8">
      <c r="A291" s="6" t="s">
        <v>12</v>
      </c>
      <c r="B291" s="6" t="s">
        <v>216</v>
      </c>
      <c r="C291" s="6">
        <v>2026</v>
      </c>
      <c r="D291" s="6">
        <v>11</v>
      </c>
      <c r="E291" s="9" t="s">
        <v>199</v>
      </c>
      <c r="F291" s="10">
        <f>SUMIFS(Data!$K:$K,Data!$A:$A,2026,Data!$B:$B,11,Data!$G:$G,"CDU",Data!$F:$F,"PADD 5")</f>
        <v>0.0</v>
      </c>
      <c r="G291" s="11">
        <f>IFERROR(F291/F290-1,"")</f>
        <v/>
      </c>
      <c r="H291" s="11">
        <f>IFERROR(F291/F279-1,"")</f>
        <v>-1.0</v>
      </c>
    </row>
    <row r="292" spans="1:8">
      <c r="A292" s="6" t="s">
        <v>12</v>
      </c>
      <c r="B292" s="6" t="s">
        <v>216</v>
      </c>
      <c r="C292" s="6">
        <v>2026</v>
      </c>
      <c r="D292" s="6">
        <v>12</v>
      </c>
      <c r="E292" s="9" t="s">
        <v>200</v>
      </c>
      <c r="F292" s="10">
        <f>SUMIFS(Data!$K:$K,Data!$A:$A,2026,Data!$B:$B,12,Data!$G:$G,"CDU",Data!$F:$F,"PADD 5")</f>
        <v>0.0</v>
      </c>
      <c r="G292" s="11">
        <f>IFERROR(F292/F291-1,"")</f>
        <v/>
      </c>
      <c r="H292" s="11">
        <f>IFERROR(F292/F280-1,"")</f>
        <v>-1.0</v>
      </c>
    </row>
    <row r="293" spans="1:8">
      <c r="A293" s="6" t="s">
        <v>12</v>
      </c>
      <c r="B293" s="6" t="s">
        <v>216</v>
      </c>
      <c r="C293" s="6">
        <v>2027</v>
      </c>
      <c r="D293" s="6">
        <v>1</v>
      </c>
      <c r="E293" s="9" t="s">
        <v>201</v>
      </c>
      <c r="F293" s="10">
        <f>SUMIFS(Data!$K:$K,Data!$A:$A,2027,Data!$B:$B,1,Data!$G:$G,"CDU",Data!$F:$F,"PADD 5")</f>
        <v>154.55</v>
      </c>
      <c r="G293" s="11">
        <f>IFERROR(F293/F292-1,"")</f>
        <v/>
      </c>
      <c r="H293" s="11">
        <f>IFERROR(F293/F281-1,"")</f>
        <v>1.5758333333333336</v>
      </c>
    </row>
    <row r="294" spans="1:8">
      <c r="A294" s="6" t="s">
        <v>12</v>
      </c>
      <c r="B294" s="6" t="s">
        <v>216</v>
      </c>
      <c r="C294" s="6">
        <v>2027</v>
      </c>
      <c r="D294" s="6">
        <v>2</v>
      </c>
      <c r="E294" s="9" t="s">
        <v>202</v>
      </c>
      <c r="F294" s="10">
        <f>SUMIFS(Data!$K:$K,Data!$A:$A,2027,Data!$B:$B,2,Data!$G:$G,"CDU",Data!$F:$F,"PADD 5")</f>
        <v>198.84799999999998</v>
      </c>
      <c r="G294" s="11">
        <f>IFERROR(F294/F293-1,"")</f>
        <v>0.2866256874797799</v>
      </c>
      <c r="H294" s="11">
        <f>IFERROR(F294/F282-1,"")</f>
        <v>1.0793909733550842</v>
      </c>
    </row>
    <row r="295" spans="1:8">
      <c r="A295" s="6" t="s">
        <v>12</v>
      </c>
      <c r="B295" s="6" t="s">
        <v>216</v>
      </c>
      <c r="C295" s="6">
        <v>2027</v>
      </c>
      <c r="D295" s="6">
        <v>3</v>
      </c>
      <c r="E295" s="9" t="s">
        <v>203</v>
      </c>
      <c r="F295" s="10">
        <f>SUMIFS(Data!$K:$K,Data!$A:$A,2027,Data!$B:$B,3,Data!$G:$G,"CDU",Data!$F:$F,"PADD 5")</f>
        <v>149.45</v>
      </c>
      <c r="G295" s="11">
        <f>IFERROR(F295/F294-1,"")</f>
        <v>-0.24842090440939812</v>
      </c>
      <c r="H295" s="11">
        <f>IFERROR(F295/F283-1,"")</f>
        <v>0.9939959973315542</v>
      </c>
    </row>
    <row r="296" spans="1:8">
      <c r="A296" s="6" t="s">
        <v>12</v>
      </c>
      <c r="B296" s="6" t="s">
        <v>216</v>
      </c>
      <c r="C296" s="6">
        <v>2027</v>
      </c>
      <c r="D296" s="6">
        <v>4</v>
      </c>
      <c r="E296" s="9" t="s">
        <v>204</v>
      </c>
      <c r="F296" s="10">
        <f>SUMIFS(Data!$K:$K,Data!$A:$A,2027,Data!$B:$B,4,Data!$G:$G,"CDU",Data!$F:$F,"PADD 5")</f>
        <v>4.605</v>
      </c>
      <c r="G296" s="11">
        <f>IFERROR(F296/F295-1,"")</f>
        <v>-0.969187019069923</v>
      </c>
      <c r="H296" s="11">
        <f>IFERROR(F296/F284-1,"")</f>
        <v>-0.9860270356378863</v>
      </c>
    </row>
    <row r="297" spans="1:8">
      <c r="A297" s="6" t="s">
        <v>12</v>
      </c>
      <c r="B297" s="6" t="s">
        <v>216</v>
      </c>
      <c r="C297" s="6">
        <v>2027</v>
      </c>
      <c r="D297" s="6">
        <v>5</v>
      </c>
      <c r="E297" s="9" t="s">
        <v>205</v>
      </c>
      <c r="F297" s="10">
        <f>SUMIFS(Data!$K:$K,Data!$A:$A,2027,Data!$B:$B,5,Data!$G:$G,"CDU",Data!$F:$F,"PADD 5")</f>
        <v>47.839999999999996</v>
      </c>
      <c r="G297" s="11">
        <f>IFERROR(F297/F296-1,"")</f>
        <v>9.388707926167207</v>
      </c>
      <c r="H297" s="11">
        <f>IFERROR(F297/F285-1,"")</f>
        <v>-0.7406764960971379</v>
      </c>
    </row>
    <row r="298" spans="1:8">
      <c r="A298" s="6" t="s">
        <v>12</v>
      </c>
      <c r="B298" s="6" t="s">
        <v>216</v>
      </c>
      <c r="C298" s="6">
        <v>2027</v>
      </c>
      <c r="D298" s="6">
        <v>6</v>
      </c>
      <c r="E298" s="9" t="s">
        <v>206</v>
      </c>
      <c r="F298" s="10">
        <f>SUMIFS(Data!$K:$K,Data!$A:$A,2027,Data!$B:$B,6,Data!$G:$G,"CDU",Data!$F:$F,"PADD 5")</f>
        <v>0.0</v>
      </c>
      <c r="G298" s="11">
        <f>IFERROR(F298/F297-1,"")</f>
        <v>-1.0</v>
      </c>
      <c r="H298" s="11">
        <f>IFERROR(F298/F286-1,"")</f>
        <v>-1.0</v>
      </c>
    </row>
    <row r="299" spans="1:8">
      <c r="A299" s="6" t="s">
        <v>12</v>
      </c>
      <c r="B299" s="6" t="s">
        <v>216</v>
      </c>
      <c r="C299" s="6">
        <v>2027</v>
      </c>
      <c r="D299" s="6">
        <v>7</v>
      </c>
      <c r="E299" s="9" t="s">
        <v>207</v>
      </c>
      <c r="F299" s="10">
        <f>SUMIFS(Data!$K:$K,Data!$A:$A,2027,Data!$B:$B,7,Data!$G:$G,"CDU",Data!$F:$F,"PADD 5")</f>
        <v>0.0</v>
      </c>
      <c r="G299" s="11">
        <f>IFERROR(F299/F298-1,"")</f>
        <v/>
      </c>
      <c r="H299" s="11">
        <f>IFERROR(F299/F287-1,"")</f>
        <v>-1.0</v>
      </c>
    </row>
    <row r="300" spans="1:8">
      <c r="A300" s="6" t="s">
        <v>12</v>
      </c>
      <c r="B300" s="6" t="s">
        <v>216</v>
      </c>
      <c r="C300" s="6">
        <v>2027</v>
      </c>
      <c r="D300" s="6">
        <v>8</v>
      </c>
      <c r="E300" s="9" t="s">
        <v>208</v>
      </c>
      <c r="F300" s="10">
        <f>SUMIFS(Data!$K:$K,Data!$A:$A,2027,Data!$B:$B,8,Data!$G:$G,"CDU",Data!$F:$F,"PADD 5")</f>
        <v>0.0</v>
      </c>
      <c r="G300" s="11">
        <f>IFERROR(F300/F299-1,"")</f>
        <v/>
      </c>
      <c r="H300" s="11">
        <f>IFERROR(F300/F288-1,"")</f>
        <v/>
      </c>
    </row>
    <row r="301" spans="1:8">
      <c r="A301" s="6" t="s">
        <v>12</v>
      </c>
      <c r="B301" s="6" t="s">
        <v>216</v>
      </c>
      <c r="C301" s="6">
        <v>2027</v>
      </c>
      <c r="D301" s="6">
        <v>9</v>
      </c>
      <c r="E301" s="9" t="s">
        <v>209</v>
      </c>
      <c r="F301" s="10">
        <f>SUMIFS(Data!$K:$K,Data!$A:$A,2027,Data!$B:$B,9,Data!$G:$G,"CDU",Data!$F:$F,"PADD 5")</f>
        <v>47.0</v>
      </c>
      <c r="G301" s="11">
        <f>IFERROR(F301/F300-1,"")</f>
        <v/>
      </c>
      <c r="H301" s="11">
        <f>IFERROR(F301/F289-1,"")</f>
        <v/>
      </c>
    </row>
    <row r="302" spans="1:8">
      <c r="A302" s="6" t="s">
        <v>12</v>
      </c>
      <c r="B302" s="6" t="s">
        <v>216</v>
      </c>
      <c r="C302" s="6">
        <v>2027</v>
      </c>
      <c r="D302" s="6">
        <v>10</v>
      </c>
      <c r="E302" s="9" t="s">
        <v>210</v>
      </c>
      <c r="F302" s="10">
        <f>SUMIFS(Data!$K:$K,Data!$A:$A,2027,Data!$B:$B,10,Data!$G:$G,"CDU",Data!$F:$F,"PADD 5")</f>
        <v>332.8</v>
      </c>
      <c r="G302" s="11">
        <f>IFERROR(F302/F301-1,"")</f>
        <v>6.080851063829788</v>
      </c>
      <c r="H302" s="11">
        <f>IFERROR(F302/F290-1,"")</f>
        <v/>
      </c>
    </row>
    <row r="303" spans="1:8">
      <c r="A303" s="6" t="s">
        <v>12</v>
      </c>
      <c r="B303" s="6" t="s">
        <v>216</v>
      </c>
      <c r="C303" s="6">
        <v>2027</v>
      </c>
      <c r="D303" s="6">
        <v>11</v>
      </c>
      <c r="E303" s="9" t="s">
        <v>211</v>
      </c>
      <c r="F303" s="10">
        <f>SUMIFS(Data!$K:$K,Data!$A:$A,2027,Data!$B:$B,11,Data!$G:$G,"CDU",Data!$F:$F,"PADD 5")</f>
        <v>33.0</v>
      </c>
      <c r="G303" s="11">
        <f>IFERROR(F303/F302-1,"")</f>
        <v>-0.9008413461538461</v>
      </c>
      <c r="H303" s="11">
        <f>IFERROR(F303/F291-1,"")</f>
        <v/>
      </c>
    </row>
    <row r="304" spans="1:8">
      <c r="A304" s="6" t="s">
        <v>12</v>
      </c>
      <c r="B304" s="6" t="s">
        <v>216</v>
      </c>
      <c r="C304" s="6">
        <v>2027</v>
      </c>
      <c r="D304" s="6">
        <v>12</v>
      </c>
      <c r="E304" s="9" t="s">
        <v>212</v>
      </c>
      <c r="F304" s="10">
        <f>SUMIFS(Data!$K:$K,Data!$A:$A,2027,Data!$B:$B,12,Data!$G:$G,"CDU",Data!$F:$F,"PADD 5")</f>
        <v>0.0</v>
      </c>
      <c r="G304" s="11">
        <f>IFERROR(F304/F303-1,"")</f>
        <v>-1.0</v>
      </c>
      <c r="H304" s="11">
        <f>IFERROR(F304/F292-1,"")</f>
        <v/>
      </c>
    </row>
    <row r="305" spans="1:8">
      <c r="A305" s="6" t="s">
        <v>13</v>
      </c>
      <c r="B305" s="6" t="s">
        <v>152</v>
      </c>
      <c r="C305" s="6">
        <v>2023</v>
      </c>
      <c r="D305" s="6">
        <v>1</v>
      </c>
      <c r="E305" s="9" t="s">
        <v>153</v>
      </c>
      <c r="F305" s="10">
        <f>SUMIFS(Data!$K:$K,Data!$A:$A,2023,Data!$B:$B,1,Data!$G:$G,"FCC",Data!$F:$F,"PADD 1")</f>
        <v>0.0</v>
      </c>
    </row>
    <row r="306" spans="1:8">
      <c r="A306" s="6" t="s">
        <v>13</v>
      </c>
      <c r="B306" s="6" t="s">
        <v>152</v>
      </c>
      <c r="C306" s="6">
        <v>2023</v>
      </c>
      <c r="D306" s="6">
        <v>2</v>
      </c>
      <c r="E306" s="9" t="s">
        <v>154</v>
      </c>
      <c r="F306" s="10">
        <f>SUMIFS(Data!$K:$K,Data!$A:$A,2023,Data!$B:$B,2,Data!$G:$G,"FCC",Data!$F:$F,"PADD 1")</f>
        <v>150.0</v>
      </c>
      <c r="G306" s="11">
        <f>IFERROR(F306/F305-1,"")</f>
        <v/>
      </c>
    </row>
    <row r="307" spans="1:8">
      <c r="A307" s="6" t="s">
        <v>13</v>
      </c>
      <c r="B307" s="6" t="s">
        <v>152</v>
      </c>
      <c r="C307" s="6">
        <v>2023</v>
      </c>
      <c r="D307" s="6">
        <v>3</v>
      </c>
      <c r="E307" s="9" t="s">
        <v>155</v>
      </c>
      <c r="F307" s="10">
        <f>SUMIFS(Data!$K:$K,Data!$A:$A,2023,Data!$B:$B,3,Data!$G:$G,"FCC",Data!$F:$F,"PADD 1")</f>
        <v>134.58</v>
      </c>
      <c r="G307" s="11">
        <f>IFERROR(F307/F306-1,"")</f>
        <v>-0.10279999999999989</v>
      </c>
    </row>
    <row r="308" spans="1:8">
      <c r="A308" s="6" t="s">
        <v>13</v>
      </c>
      <c r="B308" s="6" t="s">
        <v>152</v>
      </c>
      <c r="C308" s="6">
        <v>2023</v>
      </c>
      <c r="D308" s="6">
        <v>4</v>
      </c>
      <c r="E308" s="9" t="s">
        <v>156</v>
      </c>
      <c r="F308" s="10">
        <f>SUMIFS(Data!$K:$K,Data!$A:$A,2023,Data!$B:$B,4,Data!$G:$G,"FCC",Data!$F:$F,"PADD 1")</f>
        <v>0.0</v>
      </c>
      <c r="G308" s="11">
        <f>IFERROR(F308/F307-1,"")</f>
        <v>-1.0</v>
      </c>
    </row>
    <row r="309" spans="1:8">
      <c r="A309" s="6" t="s">
        <v>13</v>
      </c>
      <c r="B309" s="6" t="s">
        <v>152</v>
      </c>
      <c r="C309" s="6">
        <v>2023</v>
      </c>
      <c r="D309" s="6">
        <v>5</v>
      </c>
      <c r="E309" s="9" t="s">
        <v>157</v>
      </c>
      <c r="F309" s="10">
        <f>SUMIFS(Data!$K:$K,Data!$A:$A,2023,Data!$B:$B,5,Data!$G:$G,"FCC",Data!$F:$F,"PADD 1")</f>
        <v>0.0</v>
      </c>
      <c r="G309" s="11">
        <f>IFERROR(F309/F308-1,"")</f>
        <v/>
      </c>
    </row>
    <row r="310" spans="1:8">
      <c r="A310" s="6" t="s">
        <v>13</v>
      </c>
      <c r="B310" s="6" t="s">
        <v>152</v>
      </c>
      <c r="C310" s="6">
        <v>2023</v>
      </c>
      <c r="D310" s="6">
        <v>6</v>
      </c>
      <c r="E310" s="9" t="s">
        <v>158</v>
      </c>
      <c r="F310" s="10">
        <f>SUMIFS(Data!$K:$K,Data!$A:$A,2023,Data!$B:$B,6,Data!$G:$G,"FCC",Data!$F:$F,"PADD 1")</f>
        <v>94.5</v>
      </c>
      <c r="G310" s="11">
        <f>IFERROR(F310/F309-1,"")</f>
        <v/>
      </c>
    </row>
    <row r="311" spans="1:8">
      <c r="A311" s="6" t="s">
        <v>13</v>
      </c>
      <c r="B311" s="6" t="s">
        <v>152</v>
      </c>
      <c r="C311" s="6">
        <v>2023</v>
      </c>
      <c r="D311" s="6">
        <v>7</v>
      </c>
      <c r="E311" s="9" t="s">
        <v>159</v>
      </c>
      <c r="F311" s="10">
        <f>SUMIFS(Data!$K:$K,Data!$A:$A,2023,Data!$B:$B,7,Data!$G:$G,"FCC",Data!$F:$F,"PADD 1")</f>
        <v>87.0</v>
      </c>
      <c r="G311" s="11">
        <f>IFERROR(F311/F310-1,"")</f>
        <v>-0.07936507936507942</v>
      </c>
    </row>
    <row r="312" spans="1:8">
      <c r="A312" s="6" t="s">
        <v>13</v>
      </c>
      <c r="B312" s="6" t="s">
        <v>152</v>
      </c>
      <c r="C312" s="6">
        <v>2023</v>
      </c>
      <c r="D312" s="6">
        <v>8</v>
      </c>
      <c r="E312" s="9" t="s">
        <v>160</v>
      </c>
      <c r="F312" s="10">
        <f>SUMIFS(Data!$K:$K,Data!$A:$A,2023,Data!$B:$B,8,Data!$G:$G,"FCC",Data!$F:$F,"PADD 1")</f>
        <v>0.0</v>
      </c>
      <c r="G312" s="11">
        <f>IFERROR(F312/F311-1,"")</f>
        <v>-1.0</v>
      </c>
    </row>
    <row r="313" spans="1:8">
      <c r="A313" s="6" t="s">
        <v>13</v>
      </c>
      <c r="B313" s="6" t="s">
        <v>152</v>
      </c>
      <c r="C313" s="6">
        <v>2023</v>
      </c>
      <c r="D313" s="6">
        <v>9</v>
      </c>
      <c r="E313" s="9" t="s">
        <v>161</v>
      </c>
      <c r="F313" s="10">
        <f>SUMIFS(Data!$K:$K,Data!$A:$A,2023,Data!$B:$B,9,Data!$G:$G,"FCC",Data!$F:$F,"PADD 1")</f>
        <v>36.04</v>
      </c>
      <c r="G313" s="11">
        <f>IFERROR(F313/F312-1,"")</f>
        <v/>
      </c>
    </row>
    <row r="314" spans="1:8">
      <c r="A314" s="6" t="s">
        <v>13</v>
      </c>
      <c r="B314" s="6" t="s">
        <v>152</v>
      </c>
      <c r="C314" s="6">
        <v>2023</v>
      </c>
      <c r="D314" s="6">
        <v>10</v>
      </c>
      <c r="E314" s="9" t="s">
        <v>162</v>
      </c>
      <c r="F314" s="10">
        <f>SUMIFS(Data!$K:$K,Data!$A:$A,2023,Data!$B:$B,10,Data!$G:$G,"FCC",Data!$F:$F,"PADD 1")</f>
        <v>68.0</v>
      </c>
      <c r="G314" s="11">
        <f>IFERROR(F314/F313-1,"")</f>
        <v>0.8867924528301887</v>
      </c>
    </row>
    <row r="315" spans="1:8">
      <c r="A315" s="6" t="s">
        <v>13</v>
      </c>
      <c r="B315" s="6" t="s">
        <v>152</v>
      </c>
      <c r="C315" s="6">
        <v>2023</v>
      </c>
      <c r="D315" s="6">
        <v>11</v>
      </c>
      <c r="E315" s="9" t="s">
        <v>163</v>
      </c>
      <c r="F315" s="10">
        <f>SUMIFS(Data!$K:$K,Data!$A:$A,2023,Data!$B:$B,11,Data!$G:$G,"FCC",Data!$F:$F,"PADD 1")</f>
        <v>45.56</v>
      </c>
      <c r="G315" s="11">
        <f>IFERROR(F315/F314-1,"")</f>
        <v>-0.32999999999999996</v>
      </c>
    </row>
    <row r="316" spans="1:8">
      <c r="A316" s="6" t="s">
        <v>13</v>
      </c>
      <c r="B316" s="6" t="s">
        <v>152</v>
      </c>
      <c r="C316" s="6">
        <v>2023</v>
      </c>
      <c r="D316" s="6">
        <v>12</v>
      </c>
      <c r="E316" s="9" t="s">
        <v>164</v>
      </c>
      <c r="F316" s="10">
        <f>SUMIFS(Data!$K:$K,Data!$A:$A,2023,Data!$B:$B,12,Data!$G:$G,"FCC",Data!$F:$F,"PADD 1")</f>
        <v>0.0</v>
      </c>
      <c r="G316" s="11">
        <f>IFERROR(F316/F315-1,"")</f>
        <v>-1.0</v>
      </c>
    </row>
    <row r="317" spans="1:8">
      <c r="A317" s="6" t="s">
        <v>13</v>
      </c>
      <c r="B317" s="6" t="s">
        <v>152</v>
      </c>
      <c r="C317" s="6">
        <v>2024</v>
      </c>
      <c r="D317" s="6">
        <v>1</v>
      </c>
      <c r="E317" s="9" t="s">
        <v>165</v>
      </c>
      <c r="F317" s="10">
        <f>SUMIFS(Data!$K:$K,Data!$A:$A,2024,Data!$B:$B,1,Data!$G:$G,"FCC",Data!$F:$F,"PADD 1")</f>
        <v>8.84</v>
      </c>
      <c r="G317" s="11">
        <f>IFERROR(F317/F316-1,"")</f>
        <v/>
      </c>
      <c r="H317" s="11">
        <f>IFERROR(F317/F305-1,"")</f>
        <v/>
      </c>
    </row>
    <row r="318" spans="1:8">
      <c r="A318" s="6" t="s">
        <v>13</v>
      </c>
      <c r="B318" s="6" t="s">
        <v>152</v>
      </c>
      <c r="C318" s="6">
        <v>2024</v>
      </c>
      <c r="D318" s="6">
        <v>2</v>
      </c>
      <c r="E318" s="9" t="s">
        <v>166</v>
      </c>
      <c r="F318" s="10">
        <f>SUMIFS(Data!$K:$K,Data!$A:$A,2024,Data!$B:$B,2,Data!$G:$G,"FCC",Data!$F:$F,"PADD 1")</f>
        <v>47.71</v>
      </c>
      <c r="G318" s="11">
        <f>IFERROR(F318/F317-1,"")</f>
        <v>4.397058823529412</v>
      </c>
      <c r="H318" s="11">
        <f>IFERROR(F318/F306-1,"")</f>
        <v>-0.6819333333333333</v>
      </c>
    </row>
    <row r="319" spans="1:8">
      <c r="A319" s="6" t="s">
        <v>13</v>
      </c>
      <c r="B319" s="6" t="s">
        <v>152</v>
      </c>
      <c r="C319" s="6">
        <v>2024</v>
      </c>
      <c r="D319" s="6">
        <v>3</v>
      </c>
      <c r="E319" s="9" t="s">
        <v>167</v>
      </c>
      <c r="F319" s="10">
        <f>SUMIFS(Data!$K:$K,Data!$A:$A,2024,Data!$B:$B,3,Data!$G:$G,"FCC",Data!$F:$F,"PADD 1")</f>
        <v>82.73</v>
      </c>
      <c r="G319" s="11">
        <f>IFERROR(F319/F318-1,"")</f>
        <v>0.7340180255711592</v>
      </c>
      <c r="H319" s="11">
        <f>IFERROR(F319/F307-1,"")</f>
        <v>-0.3852727002526378</v>
      </c>
    </row>
    <row r="320" spans="1:8">
      <c r="A320" s="6" t="s">
        <v>13</v>
      </c>
      <c r="B320" s="6" t="s">
        <v>152</v>
      </c>
      <c r="C320" s="6">
        <v>2024</v>
      </c>
      <c r="D320" s="6">
        <v>4</v>
      </c>
      <c r="E320" s="9" t="s">
        <v>168</v>
      </c>
      <c r="F320" s="10">
        <f>SUMIFS(Data!$K:$K,Data!$A:$A,2024,Data!$B:$B,4,Data!$G:$G,"FCC",Data!$F:$F,"PADD 1")</f>
        <v>75.53</v>
      </c>
      <c r="G320" s="11">
        <f>IFERROR(F320/F319-1,"")</f>
        <v>-0.08703009790886018</v>
      </c>
      <c r="H320" s="11">
        <f>IFERROR(F320/F308-1,"")</f>
        <v/>
      </c>
    </row>
    <row r="321" spans="1:8">
      <c r="A321" s="6" t="s">
        <v>13</v>
      </c>
      <c r="B321" s="6" t="s">
        <v>152</v>
      </c>
      <c r="C321" s="6">
        <v>2024</v>
      </c>
      <c r="D321" s="6">
        <v>5</v>
      </c>
      <c r="E321" s="9" t="s">
        <v>169</v>
      </c>
      <c r="F321" s="10">
        <f>SUMIFS(Data!$K:$K,Data!$A:$A,2024,Data!$B:$B,5,Data!$G:$G,"FCC",Data!$F:$F,"PADD 1")</f>
        <v>0.0</v>
      </c>
      <c r="G321" s="11">
        <f>IFERROR(F321/F320-1,"")</f>
        <v>-1.0</v>
      </c>
      <c r="H321" s="11">
        <f>IFERROR(F321/F309-1,"")</f>
        <v/>
      </c>
    </row>
    <row r="322" spans="1:8">
      <c r="A322" s="6" t="s">
        <v>13</v>
      </c>
      <c r="B322" s="6" t="s">
        <v>152</v>
      </c>
      <c r="C322" s="6">
        <v>2024</v>
      </c>
      <c r="D322" s="6">
        <v>6</v>
      </c>
      <c r="E322" s="9" t="s">
        <v>170</v>
      </c>
      <c r="F322" s="10">
        <f>SUMIFS(Data!$K:$K,Data!$A:$A,2024,Data!$B:$B,6,Data!$G:$G,"FCC",Data!$F:$F,"PADD 1")</f>
        <v>0.0</v>
      </c>
      <c r="G322" s="11">
        <f>IFERROR(F322/F321-1,"")</f>
        <v/>
      </c>
      <c r="H322" s="11">
        <f>IFERROR(F322/F310-1,"")</f>
        <v>-1.0</v>
      </c>
    </row>
    <row r="323" spans="1:8">
      <c r="A323" s="6" t="s">
        <v>13</v>
      </c>
      <c r="B323" s="6" t="s">
        <v>152</v>
      </c>
      <c r="C323" s="6">
        <v>2024</v>
      </c>
      <c r="D323" s="6">
        <v>7</v>
      </c>
      <c r="E323" s="9" t="s">
        <v>171</v>
      </c>
      <c r="F323" s="10">
        <f>SUMIFS(Data!$K:$K,Data!$A:$A,2024,Data!$B:$B,7,Data!$G:$G,"FCC",Data!$F:$F,"PADD 1")</f>
        <v>50.3</v>
      </c>
      <c r="G323" s="11">
        <f>IFERROR(F323/F322-1,"")</f>
        <v/>
      </c>
      <c r="H323" s="11">
        <f>IFERROR(F323/F311-1,"")</f>
        <v>-0.42183908045977014</v>
      </c>
    </row>
    <row r="324" spans="1:8">
      <c r="A324" s="6" t="s">
        <v>13</v>
      </c>
      <c r="B324" s="6" t="s">
        <v>152</v>
      </c>
      <c r="C324" s="6">
        <v>2024</v>
      </c>
      <c r="D324" s="6">
        <v>8</v>
      </c>
      <c r="E324" s="9" t="s">
        <v>172</v>
      </c>
      <c r="F324" s="10">
        <f>SUMIFS(Data!$K:$K,Data!$A:$A,2024,Data!$B:$B,8,Data!$G:$G,"FCC",Data!$F:$F,"PADD 1")</f>
        <v>10.899999999999999</v>
      </c>
      <c r="G324" s="11">
        <f>IFERROR(F324/F323-1,"")</f>
        <v>-0.7833001988071571</v>
      </c>
      <c r="H324" s="11">
        <f>IFERROR(F324/F312-1,"")</f>
        <v/>
      </c>
    </row>
    <row r="325" spans="1:8">
      <c r="A325" s="6" t="s">
        <v>13</v>
      </c>
      <c r="B325" s="6" t="s">
        <v>152</v>
      </c>
      <c r="C325" s="6">
        <v>2024</v>
      </c>
      <c r="D325" s="6">
        <v>9</v>
      </c>
      <c r="E325" s="9" t="s">
        <v>173</v>
      </c>
      <c r="F325" s="10">
        <f>SUMIFS(Data!$K:$K,Data!$A:$A,2024,Data!$B:$B,9,Data!$G:$G,"FCC",Data!$F:$F,"PADD 1")</f>
        <v>55.46</v>
      </c>
      <c r="G325" s="11">
        <f>IFERROR(F325/F324-1,"")</f>
        <v>4.088073394495414</v>
      </c>
      <c r="H325" s="11">
        <f>IFERROR(F325/F313-1,"")</f>
        <v>0.5388457269700333</v>
      </c>
    </row>
    <row r="326" spans="1:8">
      <c r="A326" s="6" t="s">
        <v>13</v>
      </c>
      <c r="B326" s="6" t="s">
        <v>152</v>
      </c>
      <c r="C326" s="6">
        <v>2024</v>
      </c>
      <c r="D326" s="6">
        <v>10</v>
      </c>
      <c r="E326" s="9" t="s">
        <v>174</v>
      </c>
      <c r="F326" s="10">
        <f>SUMIFS(Data!$K:$K,Data!$A:$A,2024,Data!$B:$B,10,Data!$G:$G,"FCC",Data!$F:$F,"PADD 1")</f>
        <v>31.85</v>
      </c>
      <c r="G326" s="11">
        <f>IFERROR(F326/F325-1,"")</f>
        <v>-0.42571222502704653</v>
      </c>
      <c r="H326" s="11">
        <f>IFERROR(F326/F314-1,"")</f>
        <v>-0.5316176470588235</v>
      </c>
    </row>
    <row r="327" spans="1:8">
      <c r="A327" s="6" t="s">
        <v>13</v>
      </c>
      <c r="B327" s="6" t="s">
        <v>152</v>
      </c>
      <c r="C327" s="6">
        <v>2024</v>
      </c>
      <c r="D327" s="6">
        <v>11</v>
      </c>
      <c r="E327" s="9" t="s">
        <v>175</v>
      </c>
      <c r="F327" s="10">
        <f>SUMIFS(Data!$K:$K,Data!$A:$A,2024,Data!$B:$B,11,Data!$G:$G,"FCC",Data!$F:$F,"PADD 1")</f>
        <v>4.21</v>
      </c>
      <c r="G327" s="11">
        <f>IFERROR(F327/F326-1,"")</f>
        <v>-0.8678178963893249</v>
      </c>
      <c r="H327" s="11">
        <f>IFERROR(F327/F315-1,"")</f>
        <v>-0.9075943810359965</v>
      </c>
    </row>
    <row r="328" spans="1:8">
      <c r="A328" s="6" t="s">
        <v>13</v>
      </c>
      <c r="B328" s="6" t="s">
        <v>152</v>
      </c>
      <c r="C328" s="6">
        <v>2024</v>
      </c>
      <c r="D328" s="6">
        <v>12</v>
      </c>
      <c r="E328" s="9" t="s">
        <v>176</v>
      </c>
      <c r="F328" s="10">
        <f>SUMIFS(Data!$K:$K,Data!$A:$A,2024,Data!$B:$B,12,Data!$G:$G,"FCC",Data!$F:$F,"PADD 1")</f>
        <v>0.0</v>
      </c>
      <c r="G328" s="11">
        <f>IFERROR(F328/F327-1,"")</f>
        <v>-1.0</v>
      </c>
      <c r="H328" s="11">
        <f>IFERROR(F328/F316-1,"")</f>
        <v/>
      </c>
    </row>
    <row r="329" spans="1:8">
      <c r="A329" s="6" t="s">
        <v>13</v>
      </c>
      <c r="B329" s="6" t="s">
        <v>152</v>
      </c>
      <c r="C329" s="6">
        <v>2025</v>
      </c>
      <c r="D329" s="6">
        <v>1</v>
      </c>
      <c r="E329" s="9" t="s">
        <v>177</v>
      </c>
      <c r="F329" s="10">
        <f>SUMIFS(Data!$K:$K,Data!$A:$A,2025,Data!$B:$B,1,Data!$G:$G,"FCC",Data!$F:$F,"PADD 1")</f>
        <v>0.0</v>
      </c>
      <c r="G329" s="11">
        <f>IFERROR(F329/F328-1,"")</f>
        <v/>
      </c>
      <c r="H329" s="11">
        <f>IFERROR(F329/F317-1,"")</f>
        <v>-1.0</v>
      </c>
    </row>
    <row r="330" spans="1:8">
      <c r="A330" s="6" t="s">
        <v>13</v>
      </c>
      <c r="B330" s="6" t="s">
        <v>152</v>
      </c>
      <c r="C330" s="6">
        <v>2025</v>
      </c>
      <c r="D330" s="6">
        <v>2</v>
      </c>
      <c r="E330" s="9" t="s">
        <v>178</v>
      </c>
      <c r="F330" s="10">
        <f>SUMIFS(Data!$K:$K,Data!$A:$A,2025,Data!$B:$B,2,Data!$G:$G,"FCC",Data!$F:$F,"PADD 1")</f>
        <v>5.83</v>
      </c>
      <c r="G330" s="11">
        <f>IFERROR(F330/F329-1,"")</f>
        <v/>
      </c>
      <c r="H330" s="11">
        <f>IFERROR(F330/F318-1,"")</f>
        <v>-0.8778033955145672</v>
      </c>
    </row>
    <row r="331" spans="1:8">
      <c r="A331" s="6" t="s">
        <v>13</v>
      </c>
      <c r="B331" s="6" t="s">
        <v>152</v>
      </c>
      <c r="C331" s="6">
        <v>2025</v>
      </c>
      <c r="D331" s="6">
        <v>3</v>
      </c>
      <c r="E331" s="9" t="s">
        <v>179</v>
      </c>
      <c r="F331" s="10">
        <f>SUMIFS(Data!$K:$K,Data!$A:$A,2025,Data!$B:$B,3,Data!$G:$G,"FCC",Data!$F:$F,"PADD 1")</f>
        <v>0.0</v>
      </c>
      <c r="G331" s="11">
        <f>IFERROR(F331/F330-1,"")</f>
        <v>-1.0</v>
      </c>
      <c r="H331" s="11">
        <f>IFERROR(F331/F319-1,"")</f>
        <v>-1.0</v>
      </c>
    </row>
    <row r="332" spans="1:8">
      <c r="A332" s="6" t="s">
        <v>13</v>
      </c>
      <c r="B332" s="6" t="s">
        <v>152</v>
      </c>
      <c r="C332" s="6">
        <v>2025</v>
      </c>
      <c r="D332" s="6">
        <v>4</v>
      </c>
      <c r="E332" s="9" t="s">
        <v>180</v>
      </c>
      <c r="F332" s="10">
        <f>SUMIFS(Data!$K:$K,Data!$A:$A,2025,Data!$B:$B,4,Data!$G:$G,"FCC",Data!$F:$F,"PADD 1")</f>
        <v>36.375</v>
      </c>
      <c r="G332" s="11">
        <f>IFERROR(F332/F331-1,"")</f>
        <v/>
      </c>
      <c r="H332" s="11">
        <f>IFERROR(F332/F320-1,"")</f>
        <v>-0.5184032834635244</v>
      </c>
    </row>
    <row r="333" spans="1:8">
      <c r="A333" s="6" t="s">
        <v>13</v>
      </c>
      <c r="B333" s="6" t="s">
        <v>152</v>
      </c>
      <c r="C333" s="6">
        <v>2025</v>
      </c>
      <c r="D333" s="6">
        <v>5</v>
      </c>
      <c r="E333" s="9" t="s">
        <v>181</v>
      </c>
      <c r="F333" s="10">
        <f>SUMIFS(Data!$K:$K,Data!$A:$A,2025,Data!$B:$B,5,Data!$G:$G,"FCC",Data!$F:$F,"PADD 1")</f>
        <v>37.5</v>
      </c>
      <c r="G333" s="11">
        <f>IFERROR(F333/F332-1,"")</f>
        <v>0.030927835051546282</v>
      </c>
      <c r="H333" s="11">
        <f>IFERROR(F333/F321-1,"")</f>
        <v/>
      </c>
    </row>
    <row r="334" spans="1:8">
      <c r="A334" s="6" t="s">
        <v>13</v>
      </c>
      <c r="B334" s="6" t="s">
        <v>152</v>
      </c>
      <c r="C334" s="6">
        <v>2025</v>
      </c>
      <c r="D334" s="6">
        <v>6</v>
      </c>
      <c r="E334" s="9" t="s">
        <v>182</v>
      </c>
      <c r="F334" s="10">
        <f>SUMIFS(Data!$K:$K,Data!$A:$A,2025,Data!$B:$B,6,Data!$G:$G,"FCC",Data!$F:$F,"PADD 1")</f>
        <v>6.375</v>
      </c>
      <c r="G334" s="11">
        <f>IFERROR(F334/F333-1,"")</f>
        <v>-0.83</v>
      </c>
      <c r="H334" s="11">
        <f>IFERROR(F334/F322-1,"")</f>
        <v/>
      </c>
    </row>
    <row r="335" spans="1:8">
      <c r="A335" s="6" t="s">
        <v>13</v>
      </c>
      <c r="B335" s="6" t="s">
        <v>152</v>
      </c>
      <c r="C335" s="6">
        <v>2025</v>
      </c>
      <c r="D335" s="6">
        <v>7</v>
      </c>
      <c r="E335" s="9" t="s">
        <v>183</v>
      </c>
      <c r="F335" s="10">
        <f>SUMIFS(Data!$K:$K,Data!$A:$A,2025,Data!$B:$B,7,Data!$G:$G,"FCC",Data!$F:$F,"PADD 1")</f>
        <v>30.09</v>
      </c>
      <c r="G335" s="11">
        <f>IFERROR(F335/F334-1,"")</f>
        <v>3.7199999999999998</v>
      </c>
      <c r="H335" s="11">
        <f>IFERROR(F335/F323-1,"")</f>
        <v>-0.4017892644135188</v>
      </c>
    </row>
    <row r="336" spans="1:8">
      <c r="A336" s="6" t="s">
        <v>13</v>
      </c>
      <c r="B336" s="6" t="s">
        <v>152</v>
      </c>
      <c r="C336" s="6">
        <v>2025</v>
      </c>
      <c r="D336" s="6">
        <v>8</v>
      </c>
      <c r="E336" s="9" t="s">
        <v>184</v>
      </c>
      <c r="F336" s="10">
        <f>SUMIFS(Data!$K:$K,Data!$A:$A,2025,Data!$B:$B,8,Data!$G:$G,"FCC",Data!$F:$F,"PADD 1")</f>
        <v>0.0</v>
      </c>
      <c r="G336" s="11">
        <f>IFERROR(F336/F335-1,"")</f>
        <v>-1.0</v>
      </c>
      <c r="H336" s="11">
        <f>IFERROR(F336/F324-1,"")</f>
        <v>-1.0</v>
      </c>
    </row>
    <row r="337" spans="1:8">
      <c r="A337" s="6" t="s">
        <v>13</v>
      </c>
      <c r="B337" s="6" t="s">
        <v>152</v>
      </c>
      <c r="C337" s="6">
        <v>2025</v>
      </c>
      <c r="D337" s="6">
        <v>9</v>
      </c>
      <c r="E337" s="9" t="s">
        <v>185</v>
      </c>
      <c r="F337" s="10">
        <f>SUMIFS(Data!$K:$K,Data!$A:$A,2025,Data!$B:$B,9,Data!$G:$G,"FCC",Data!$F:$F,"PADD 1")</f>
        <v>0.0</v>
      </c>
      <c r="G337" s="11">
        <f>IFERROR(F337/F336-1,"")</f>
        <v/>
      </c>
      <c r="H337" s="11">
        <f>IFERROR(F337/F325-1,"")</f>
        <v>-1.0</v>
      </c>
    </row>
    <row r="338" spans="1:8">
      <c r="A338" s="6" t="s">
        <v>13</v>
      </c>
      <c r="B338" s="6" t="s">
        <v>152</v>
      </c>
      <c r="C338" s="6">
        <v>2025</v>
      </c>
      <c r="D338" s="6">
        <v>10</v>
      </c>
      <c r="E338" s="9" t="s">
        <v>186</v>
      </c>
      <c r="F338" s="10">
        <f>SUMIFS(Data!$K:$K,Data!$A:$A,2025,Data!$B:$B,10,Data!$G:$G,"FCC",Data!$F:$F,"PADD 1")</f>
        <v>0.0</v>
      </c>
      <c r="G338" s="11">
        <f>IFERROR(F338/F337-1,"")</f>
        <v/>
      </c>
      <c r="H338" s="11">
        <f>IFERROR(F338/F326-1,"")</f>
        <v>-1.0</v>
      </c>
    </row>
    <row r="339" spans="1:8">
      <c r="A339" s="6" t="s">
        <v>13</v>
      </c>
      <c r="B339" s="6" t="s">
        <v>152</v>
      </c>
      <c r="C339" s="6">
        <v>2025</v>
      </c>
      <c r="D339" s="6">
        <v>11</v>
      </c>
      <c r="E339" s="9" t="s">
        <v>187</v>
      </c>
      <c r="F339" s="10">
        <f>SUMIFS(Data!$K:$K,Data!$A:$A,2025,Data!$B:$B,11,Data!$G:$G,"FCC",Data!$F:$F,"PADD 1")</f>
        <v>2.04</v>
      </c>
      <c r="G339" s="11">
        <f>IFERROR(F339/F338-1,"")</f>
        <v/>
      </c>
      <c r="H339" s="11">
        <f>IFERROR(F339/F327-1,"")</f>
        <v>-0.515439429928741</v>
      </c>
    </row>
    <row r="340" spans="1:8">
      <c r="A340" s="6" t="s">
        <v>13</v>
      </c>
      <c r="B340" s="6" t="s">
        <v>152</v>
      </c>
      <c r="C340" s="6">
        <v>2025</v>
      </c>
      <c r="D340" s="6">
        <v>12</v>
      </c>
      <c r="E340" s="9" t="s">
        <v>188</v>
      </c>
      <c r="F340" s="10">
        <f>SUMIFS(Data!$K:$K,Data!$A:$A,2025,Data!$B:$B,12,Data!$G:$G,"FCC",Data!$F:$F,"PADD 1")</f>
        <v>0.0</v>
      </c>
      <c r="G340" s="11">
        <f>IFERROR(F340/F339-1,"")</f>
        <v>-1.0</v>
      </c>
      <c r="H340" s="11">
        <f>IFERROR(F340/F328-1,"")</f>
        <v/>
      </c>
    </row>
    <row r="341" spans="1:8">
      <c r="A341" s="6" t="s">
        <v>13</v>
      </c>
      <c r="B341" s="6" t="s">
        <v>152</v>
      </c>
      <c r="C341" s="6">
        <v>2026</v>
      </c>
      <c r="D341" s="6">
        <v>1</v>
      </c>
      <c r="E341" s="9" t="s">
        <v>189</v>
      </c>
      <c r="F341" s="10">
        <f>SUMIFS(Data!$K:$K,Data!$A:$A,2026,Data!$B:$B,1,Data!$G:$G,"FCC",Data!$F:$F,"PADD 1")</f>
        <v>8.84</v>
      </c>
      <c r="G341" s="11">
        <f>IFERROR(F341/F340-1,"")</f>
        <v/>
      </c>
      <c r="H341" s="11">
        <f>IFERROR(F341/F329-1,"")</f>
        <v/>
      </c>
    </row>
    <row r="342" spans="1:8">
      <c r="A342" s="6" t="s">
        <v>13</v>
      </c>
      <c r="B342" s="6" t="s">
        <v>152</v>
      </c>
      <c r="C342" s="6">
        <v>2026</v>
      </c>
      <c r="D342" s="6">
        <v>2</v>
      </c>
      <c r="E342" s="9" t="s">
        <v>190</v>
      </c>
      <c r="F342" s="10">
        <f>SUMIFS(Data!$K:$K,Data!$A:$A,2026,Data!$B:$B,2,Data!$G:$G,"FCC",Data!$F:$F,"PADD 1")</f>
        <v>0.0</v>
      </c>
      <c r="G342" s="11">
        <f>IFERROR(F342/F341-1,"")</f>
        <v>-1.0</v>
      </c>
      <c r="H342" s="11">
        <f>IFERROR(F342/F330-1,"")</f>
        <v>-1.0</v>
      </c>
    </row>
    <row r="343" spans="1:8">
      <c r="A343" s="6" t="s">
        <v>13</v>
      </c>
      <c r="B343" s="6" t="s">
        <v>152</v>
      </c>
      <c r="C343" s="6">
        <v>2026</v>
      </c>
      <c r="D343" s="6">
        <v>3</v>
      </c>
      <c r="E343" s="9" t="s">
        <v>191</v>
      </c>
      <c r="F343" s="10">
        <f>SUMIFS(Data!$K:$K,Data!$A:$A,2026,Data!$B:$B,3,Data!$G:$G,"FCC",Data!$F:$F,"PADD 1")</f>
        <v>1.59</v>
      </c>
      <c r="G343" s="11">
        <f>IFERROR(F343/F342-1,"")</f>
        <v/>
      </c>
      <c r="H343" s="11">
        <f>IFERROR(F343/F331-1,"")</f>
        <v/>
      </c>
    </row>
    <row r="344" spans="1:8">
      <c r="A344" s="6" t="s">
        <v>13</v>
      </c>
      <c r="B344" s="6" t="s">
        <v>152</v>
      </c>
      <c r="C344" s="6">
        <v>2026</v>
      </c>
      <c r="D344" s="6">
        <v>4</v>
      </c>
      <c r="E344" s="9" t="s">
        <v>192</v>
      </c>
      <c r="F344" s="10">
        <f>SUMIFS(Data!$K:$K,Data!$A:$A,2026,Data!$B:$B,4,Data!$G:$G,"FCC",Data!$F:$F,"PADD 1")</f>
        <v>0.0</v>
      </c>
      <c r="G344" s="11">
        <f>IFERROR(F344/F343-1,"")</f>
        <v>-1.0</v>
      </c>
      <c r="H344" s="11">
        <f>IFERROR(F344/F332-1,"")</f>
        <v>-1.0</v>
      </c>
    </row>
    <row r="345" spans="1:8">
      <c r="A345" s="6" t="s">
        <v>13</v>
      </c>
      <c r="B345" s="6" t="s">
        <v>152</v>
      </c>
      <c r="C345" s="6">
        <v>2026</v>
      </c>
      <c r="D345" s="6">
        <v>5</v>
      </c>
      <c r="E345" s="9" t="s">
        <v>193</v>
      </c>
      <c r="F345" s="10">
        <f>SUMIFS(Data!$K:$K,Data!$A:$A,2026,Data!$B:$B,5,Data!$G:$G,"FCC",Data!$F:$F,"PADD 1")</f>
        <v>0.0</v>
      </c>
      <c r="G345" s="11">
        <f>IFERROR(F345/F344-1,"")</f>
        <v/>
      </c>
      <c r="H345" s="11">
        <f>IFERROR(F345/F333-1,"")</f>
        <v>-1.0</v>
      </c>
    </row>
    <row r="346" spans="1:8">
      <c r="A346" s="6" t="s">
        <v>13</v>
      </c>
      <c r="B346" s="6" t="s">
        <v>152</v>
      </c>
      <c r="C346" s="6">
        <v>2026</v>
      </c>
      <c r="D346" s="6">
        <v>6</v>
      </c>
      <c r="E346" s="9" t="s">
        <v>194</v>
      </c>
      <c r="F346" s="10">
        <f>SUMIFS(Data!$K:$K,Data!$A:$A,2026,Data!$B:$B,6,Data!$G:$G,"FCC",Data!$F:$F,"PADD 1")</f>
        <v>31.96</v>
      </c>
      <c r="G346" s="11">
        <f>IFERROR(F346/F345-1,"")</f>
        <v/>
      </c>
      <c r="H346" s="11">
        <f>IFERROR(F346/F334-1,"")</f>
        <v>4.013333333333334</v>
      </c>
    </row>
    <row r="347" spans="1:8">
      <c r="A347" s="6" t="s">
        <v>13</v>
      </c>
      <c r="B347" s="6" t="s">
        <v>152</v>
      </c>
      <c r="C347" s="6">
        <v>2026</v>
      </c>
      <c r="D347" s="6">
        <v>7</v>
      </c>
      <c r="E347" s="9" t="s">
        <v>195</v>
      </c>
      <c r="F347" s="10">
        <f>SUMIFS(Data!$K:$K,Data!$A:$A,2026,Data!$B:$B,7,Data!$G:$G,"FCC",Data!$F:$F,"PADD 1")</f>
        <v>68.0</v>
      </c>
      <c r="G347" s="11">
        <f>IFERROR(F347/F346-1,"")</f>
        <v>1.127659574468085</v>
      </c>
      <c r="H347" s="11">
        <f>IFERROR(F347/F335-1,"")</f>
        <v>1.2598870056497176</v>
      </c>
    </row>
    <row r="348" spans="1:8">
      <c r="A348" s="6" t="s">
        <v>13</v>
      </c>
      <c r="B348" s="6" t="s">
        <v>152</v>
      </c>
      <c r="C348" s="6">
        <v>2026</v>
      </c>
      <c r="D348" s="6">
        <v>8</v>
      </c>
      <c r="E348" s="9" t="s">
        <v>196</v>
      </c>
      <c r="F348" s="10">
        <f>SUMIFS(Data!$K:$K,Data!$A:$A,2026,Data!$B:$B,8,Data!$G:$G,"FCC",Data!$F:$F,"PADD 1")</f>
        <v>30.6</v>
      </c>
      <c r="G348" s="11">
        <f>IFERROR(F348/F347-1,"")</f>
        <v>-0.55</v>
      </c>
      <c r="H348" s="11">
        <f>IFERROR(F348/F336-1,"")</f>
        <v/>
      </c>
    </row>
    <row r="349" spans="1:8">
      <c r="A349" s="6" t="s">
        <v>13</v>
      </c>
      <c r="B349" s="6" t="s">
        <v>152</v>
      </c>
      <c r="C349" s="6">
        <v>2026</v>
      </c>
      <c r="D349" s="6">
        <v>9</v>
      </c>
      <c r="E349" s="9" t="s">
        <v>197</v>
      </c>
      <c r="F349" s="10">
        <f>SUMIFS(Data!$K:$K,Data!$A:$A,2026,Data!$B:$B,9,Data!$G:$G,"FCC",Data!$F:$F,"PADD 1")</f>
        <v>0.0</v>
      </c>
      <c r="G349" s="11">
        <f>IFERROR(F349/F348-1,"")</f>
        <v>-1.0</v>
      </c>
      <c r="H349" s="11">
        <f>IFERROR(F349/F337-1,"")</f>
        <v/>
      </c>
    </row>
    <row r="350" spans="1:8">
      <c r="A350" s="6" t="s">
        <v>13</v>
      </c>
      <c r="B350" s="6" t="s">
        <v>152</v>
      </c>
      <c r="C350" s="6">
        <v>2026</v>
      </c>
      <c r="D350" s="6">
        <v>10</v>
      </c>
      <c r="E350" s="9" t="s">
        <v>198</v>
      </c>
      <c r="F350" s="10">
        <f>SUMIFS(Data!$K:$K,Data!$A:$A,2026,Data!$B:$B,10,Data!$G:$G,"FCC",Data!$F:$F,"PADD 1")</f>
        <v>0.0</v>
      </c>
      <c r="G350" s="11">
        <f>IFERROR(F350/F349-1,"")</f>
        <v/>
      </c>
      <c r="H350" s="11">
        <f>IFERROR(F350/F338-1,"")</f>
        <v/>
      </c>
    </row>
    <row r="351" spans="1:8">
      <c r="A351" s="6" t="s">
        <v>13</v>
      </c>
      <c r="B351" s="6" t="s">
        <v>152</v>
      </c>
      <c r="C351" s="6">
        <v>2026</v>
      </c>
      <c r="D351" s="6">
        <v>11</v>
      </c>
      <c r="E351" s="9" t="s">
        <v>199</v>
      </c>
      <c r="F351" s="10">
        <f>SUMIFS(Data!$K:$K,Data!$A:$A,2026,Data!$B:$B,11,Data!$G:$G,"FCC",Data!$F:$F,"PADD 1")</f>
        <v>0.0</v>
      </c>
      <c r="G351" s="11">
        <f>IFERROR(F351/F350-1,"")</f>
        <v/>
      </c>
      <c r="H351" s="11">
        <f>IFERROR(F351/F339-1,"")</f>
        <v>-1.0</v>
      </c>
    </row>
    <row r="352" spans="1:8">
      <c r="A352" s="6" t="s">
        <v>13</v>
      </c>
      <c r="B352" s="6" t="s">
        <v>152</v>
      </c>
      <c r="C352" s="6">
        <v>2026</v>
      </c>
      <c r="D352" s="6">
        <v>12</v>
      </c>
      <c r="E352" s="9" t="s">
        <v>200</v>
      </c>
      <c r="F352" s="10">
        <f>SUMIFS(Data!$K:$K,Data!$A:$A,2026,Data!$B:$B,12,Data!$G:$G,"FCC",Data!$F:$F,"PADD 1")</f>
        <v>0.0</v>
      </c>
      <c r="G352" s="11">
        <f>IFERROR(F352/F351-1,"")</f>
        <v/>
      </c>
      <c r="H352" s="11">
        <f>IFERROR(F352/F340-1,"")</f>
        <v/>
      </c>
    </row>
    <row r="353" spans="1:8">
      <c r="A353" s="6" t="s">
        <v>13</v>
      </c>
      <c r="B353" s="6" t="s">
        <v>152</v>
      </c>
      <c r="C353" s="6">
        <v>2027</v>
      </c>
      <c r="D353" s="6">
        <v>1</v>
      </c>
      <c r="E353" s="9" t="s">
        <v>201</v>
      </c>
      <c r="F353" s="10">
        <f>SUMIFS(Data!$K:$K,Data!$A:$A,2027,Data!$B:$B,1,Data!$G:$G,"FCC",Data!$F:$F,"PADD 1")</f>
        <v>0.0</v>
      </c>
      <c r="G353" s="11">
        <f>IFERROR(F353/F352-1,"")</f>
        <v/>
      </c>
      <c r="H353" s="11">
        <f>IFERROR(F353/F341-1,"")</f>
        <v>-1.0</v>
      </c>
    </row>
    <row r="354" spans="1:8">
      <c r="A354" s="6" t="s">
        <v>13</v>
      </c>
      <c r="B354" s="6" t="s">
        <v>152</v>
      </c>
      <c r="C354" s="6">
        <v>2027</v>
      </c>
      <c r="D354" s="6">
        <v>2</v>
      </c>
      <c r="E354" s="9" t="s">
        <v>202</v>
      </c>
      <c r="F354" s="10">
        <f>SUMIFS(Data!$K:$K,Data!$A:$A,2027,Data!$B:$B,2,Data!$G:$G,"FCC",Data!$F:$F,"PADD 1")</f>
        <v>0.0</v>
      </c>
      <c r="G354" s="11">
        <f>IFERROR(F354/F353-1,"")</f>
        <v/>
      </c>
      <c r="H354" s="11">
        <f>IFERROR(F354/F342-1,"")</f>
        <v/>
      </c>
    </row>
    <row r="355" spans="1:8">
      <c r="A355" s="6" t="s">
        <v>13</v>
      </c>
      <c r="B355" s="6" t="s">
        <v>152</v>
      </c>
      <c r="C355" s="6">
        <v>2027</v>
      </c>
      <c r="D355" s="6">
        <v>3</v>
      </c>
      <c r="E355" s="9" t="s">
        <v>203</v>
      </c>
      <c r="F355" s="10">
        <f>SUMIFS(Data!$K:$K,Data!$A:$A,2027,Data!$B:$B,3,Data!$G:$G,"FCC",Data!$F:$F,"PADD 1")</f>
        <v>18.27</v>
      </c>
      <c r="G355" s="11">
        <f>IFERROR(F355/F354-1,"")</f>
        <v/>
      </c>
      <c r="H355" s="11">
        <f>IFERROR(F355/F343-1,"")</f>
        <v>10.490566037735848</v>
      </c>
    </row>
    <row r="356" spans="1:8">
      <c r="A356" s="6" t="s">
        <v>13</v>
      </c>
      <c r="B356" s="6" t="s">
        <v>152</v>
      </c>
      <c r="C356" s="6">
        <v>2027</v>
      </c>
      <c r="D356" s="6">
        <v>4</v>
      </c>
      <c r="E356" s="9" t="s">
        <v>204</v>
      </c>
      <c r="F356" s="10">
        <f>SUMIFS(Data!$K:$K,Data!$A:$A,2027,Data!$B:$B,4,Data!$G:$G,"FCC",Data!$F:$F,"PADD 1")</f>
        <v>9.03</v>
      </c>
      <c r="G356" s="11">
        <f>IFERROR(F356/F355-1,"")</f>
        <v>-0.5057471264367817</v>
      </c>
      <c r="H356" s="11">
        <f>IFERROR(F356/F344-1,"")</f>
        <v/>
      </c>
    </row>
    <row r="357" spans="1:8">
      <c r="A357" s="6" t="s">
        <v>13</v>
      </c>
      <c r="B357" s="6" t="s">
        <v>152</v>
      </c>
      <c r="C357" s="6">
        <v>2027</v>
      </c>
      <c r="D357" s="6">
        <v>5</v>
      </c>
      <c r="E357" s="9" t="s">
        <v>205</v>
      </c>
      <c r="F357" s="10">
        <f>SUMIFS(Data!$K:$K,Data!$A:$A,2027,Data!$B:$B,5,Data!$G:$G,"FCC",Data!$F:$F,"PADD 1")</f>
        <v>0.0</v>
      </c>
      <c r="G357" s="11">
        <f>IFERROR(F357/F356-1,"")</f>
        <v>-1.0</v>
      </c>
      <c r="H357" s="11">
        <f>IFERROR(F357/F345-1,"")</f>
        <v/>
      </c>
    </row>
    <row r="358" spans="1:8">
      <c r="A358" s="6" t="s">
        <v>13</v>
      </c>
      <c r="B358" s="6" t="s">
        <v>152</v>
      </c>
      <c r="C358" s="6">
        <v>2027</v>
      </c>
      <c r="D358" s="6">
        <v>6</v>
      </c>
      <c r="E358" s="9" t="s">
        <v>206</v>
      </c>
      <c r="F358" s="10">
        <f>SUMIFS(Data!$K:$K,Data!$A:$A,2027,Data!$B:$B,6,Data!$G:$G,"FCC",Data!$F:$F,"PADD 1")</f>
        <v>0.0</v>
      </c>
      <c r="G358" s="11">
        <f>IFERROR(F358/F357-1,"")</f>
        <v/>
      </c>
      <c r="H358" s="11">
        <f>IFERROR(F358/F346-1,"")</f>
        <v>-1.0</v>
      </c>
    </row>
    <row r="359" spans="1:8">
      <c r="A359" s="6" t="s">
        <v>13</v>
      </c>
      <c r="B359" s="6" t="s">
        <v>152</v>
      </c>
      <c r="C359" s="6">
        <v>2027</v>
      </c>
      <c r="D359" s="6">
        <v>7</v>
      </c>
      <c r="E359" s="9" t="s">
        <v>207</v>
      </c>
      <c r="F359" s="10">
        <f>SUMIFS(Data!$K:$K,Data!$A:$A,2027,Data!$B:$B,7,Data!$G:$G,"FCC",Data!$F:$F,"PADD 1")</f>
        <v>0.0</v>
      </c>
      <c r="G359" s="11">
        <f>IFERROR(F359/F358-1,"")</f>
        <v/>
      </c>
      <c r="H359" s="11">
        <f>IFERROR(F359/F347-1,"")</f>
        <v>-1.0</v>
      </c>
    </row>
    <row r="360" spans="1:8">
      <c r="A360" s="6" t="s">
        <v>13</v>
      </c>
      <c r="B360" s="6" t="s">
        <v>152</v>
      </c>
      <c r="C360" s="6">
        <v>2027</v>
      </c>
      <c r="D360" s="6">
        <v>8</v>
      </c>
      <c r="E360" s="9" t="s">
        <v>208</v>
      </c>
      <c r="F360" s="10">
        <f>SUMIFS(Data!$K:$K,Data!$A:$A,2027,Data!$B:$B,8,Data!$G:$G,"FCC",Data!$F:$F,"PADD 1")</f>
        <v>0.0</v>
      </c>
      <c r="G360" s="11">
        <f>IFERROR(F360/F359-1,"")</f>
        <v/>
      </c>
      <c r="H360" s="11">
        <f>IFERROR(F360/F348-1,"")</f>
        <v>-1.0</v>
      </c>
    </row>
    <row r="361" spans="1:8">
      <c r="A361" s="6" t="s">
        <v>13</v>
      </c>
      <c r="B361" s="6" t="s">
        <v>152</v>
      </c>
      <c r="C361" s="6">
        <v>2027</v>
      </c>
      <c r="D361" s="6">
        <v>9</v>
      </c>
      <c r="E361" s="9" t="s">
        <v>209</v>
      </c>
      <c r="F361" s="10">
        <f>SUMIFS(Data!$K:$K,Data!$A:$A,2027,Data!$B:$B,9,Data!$G:$G,"FCC",Data!$F:$F,"PADD 1")</f>
        <v>0.0</v>
      </c>
      <c r="G361" s="11">
        <f>IFERROR(F361/F360-1,"")</f>
        <v/>
      </c>
      <c r="H361" s="11">
        <f>IFERROR(F361/F349-1,"")</f>
        <v/>
      </c>
    </row>
    <row r="362" spans="1:8">
      <c r="A362" s="6" t="s">
        <v>13</v>
      </c>
      <c r="B362" s="6" t="s">
        <v>152</v>
      </c>
      <c r="C362" s="6">
        <v>2027</v>
      </c>
      <c r="D362" s="6">
        <v>10</v>
      </c>
      <c r="E362" s="9" t="s">
        <v>210</v>
      </c>
      <c r="F362" s="10">
        <f>SUMIFS(Data!$K:$K,Data!$A:$A,2027,Data!$B:$B,10,Data!$G:$G,"FCC",Data!$F:$F,"PADD 1")</f>
        <v>0.0</v>
      </c>
      <c r="G362" s="11">
        <f>IFERROR(F362/F361-1,"")</f>
        <v/>
      </c>
      <c r="H362" s="11">
        <f>IFERROR(F362/F350-1,"")</f>
        <v/>
      </c>
    </row>
    <row r="363" spans="1:8">
      <c r="A363" s="6" t="s">
        <v>13</v>
      </c>
      <c r="B363" s="6" t="s">
        <v>152</v>
      </c>
      <c r="C363" s="6">
        <v>2027</v>
      </c>
      <c r="D363" s="6">
        <v>11</v>
      </c>
      <c r="E363" s="9" t="s">
        <v>211</v>
      </c>
      <c r="F363" s="10">
        <f>SUMIFS(Data!$K:$K,Data!$A:$A,2027,Data!$B:$B,11,Data!$G:$G,"FCC",Data!$F:$F,"PADD 1")</f>
        <v>0.0</v>
      </c>
      <c r="G363" s="11">
        <f>IFERROR(F363/F362-1,"")</f>
        <v/>
      </c>
      <c r="H363" s="11">
        <f>IFERROR(F363/F351-1,"")</f>
        <v/>
      </c>
    </row>
    <row r="364" spans="1:8">
      <c r="A364" s="6" t="s">
        <v>13</v>
      </c>
      <c r="B364" s="6" t="s">
        <v>152</v>
      </c>
      <c r="C364" s="6">
        <v>2027</v>
      </c>
      <c r="D364" s="6">
        <v>12</v>
      </c>
      <c r="E364" s="9" t="s">
        <v>212</v>
      </c>
      <c r="F364" s="10">
        <f>SUMIFS(Data!$K:$K,Data!$A:$A,2027,Data!$B:$B,12,Data!$G:$G,"FCC",Data!$F:$F,"PADD 1")</f>
        <v>0.0</v>
      </c>
      <c r="G364" s="11">
        <f>IFERROR(F364/F363-1,"")</f>
        <v/>
      </c>
      <c r="H364" s="11">
        <f>IFERROR(F364/F352-1,"")</f>
        <v/>
      </c>
    </row>
    <row r="365" spans="1:8">
      <c r="A365" s="6" t="s">
        <v>13</v>
      </c>
      <c r="B365" s="6" t="s">
        <v>213</v>
      </c>
      <c r="C365" s="6">
        <v>2023</v>
      </c>
      <c r="D365" s="6">
        <v>1</v>
      </c>
      <c r="E365" s="9" t="s">
        <v>153</v>
      </c>
      <c r="F365" s="10">
        <f>SUMIFS(Data!$K:$K,Data!$A:$A,2023,Data!$B:$B,1,Data!$G:$G,"FCC",Data!$F:$F,"PADD 2")</f>
        <v>169.676</v>
      </c>
    </row>
    <row r="366" spans="1:8">
      <c r="A366" s="6" t="s">
        <v>13</v>
      </c>
      <c r="B366" s="6" t="s">
        <v>213</v>
      </c>
      <c r="C366" s="6">
        <v>2023</v>
      </c>
      <c r="D366" s="6">
        <v>2</v>
      </c>
      <c r="E366" s="9" t="s">
        <v>154</v>
      </c>
      <c r="F366" s="10">
        <f>SUMIFS(Data!$K:$K,Data!$A:$A,2023,Data!$B:$B,2,Data!$G:$G,"FCC",Data!$F:$F,"PADD 2")</f>
        <v>169.445</v>
      </c>
      <c r="G366" s="11">
        <f>IFERROR(F366/F365-1,"")</f>
        <v>-0.0013614182323958834</v>
      </c>
    </row>
    <row r="367" spans="1:8">
      <c r="A367" s="6" t="s">
        <v>13</v>
      </c>
      <c r="B367" s="6" t="s">
        <v>213</v>
      </c>
      <c r="C367" s="6">
        <v>2023</v>
      </c>
      <c r="D367" s="6">
        <v>3</v>
      </c>
      <c r="E367" s="9" t="s">
        <v>155</v>
      </c>
      <c r="F367" s="10">
        <f>SUMIFS(Data!$K:$K,Data!$A:$A,2023,Data!$B:$B,3,Data!$G:$G,"FCC",Data!$F:$F,"PADD 2")</f>
        <v>173.97</v>
      </c>
      <c r="G367" s="11">
        <f>IFERROR(F367/F366-1,"")</f>
        <v>0.026704830475965613</v>
      </c>
    </row>
    <row r="368" spans="1:8">
      <c r="A368" s="6" t="s">
        <v>13</v>
      </c>
      <c r="B368" s="6" t="s">
        <v>213</v>
      </c>
      <c r="C368" s="6">
        <v>2023</v>
      </c>
      <c r="D368" s="6">
        <v>4</v>
      </c>
      <c r="E368" s="9" t="s">
        <v>156</v>
      </c>
      <c r="F368" s="10">
        <f>SUMIFS(Data!$K:$K,Data!$A:$A,2023,Data!$B:$B,4,Data!$G:$G,"FCC",Data!$F:$F,"PADD 2")</f>
        <v>169.07999999999998</v>
      </c>
      <c r="G368" s="11">
        <f>IFERROR(F368/F367-1,"")</f>
        <v>-0.028108294533540357</v>
      </c>
    </row>
    <row r="369" spans="1:8">
      <c r="A369" s="6" t="s">
        <v>13</v>
      </c>
      <c r="B369" s="6" t="s">
        <v>213</v>
      </c>
      <c r="C369" s="6">
        <v>2023</v>
      </c>
      <c r="D369" s="6">
        <v>5</v>
      </c>
      <c r="E369" s="9" t="s">
        <v>157</v>
      </c>
      <c r="F369" s="10">
        <f>SUMIFS(Data!$K:$K,Data!$A:$A,2023,Data!$B:$B,5,Data!$G:$G,"FCC",Data!$F:$F,"PADD 2")</f>
        <v>162.125</v>
      </c>
      <c r="G369" s="11">
        <f>IFERROR(F369/F368-1,"")</f>
        <v>-0.041134374260704876</v>
      </c>
    </row>
    <row r="370" spans="1:8">
      <c r="A370" s="6" t="s">
        <v>13</v>
      </c>
      <c r="B370" s="6" t="s">
        <v>213</v>
      </c>
      <c r="C370" s="6">
        <v>2023</v>
      </c>
      <c r="D370" s="6">
        <v>6</v>
      </c>
      <c r="E370" s="9" t="s">
        <v>158</v>
      </c>
      <c r="F370" s="10">
        <f>SUMIFS(Data!$K:$K,Data!$A:$A,2023,Data!$B:$B,6,Data!$G:$G,"FCC",Data!$F:$F,"PADD 2")</f>
        <v>100.00999999999999</v>
      </c>
      <c r="G370" s="11">
        <f>IFERROR(F370/F369-1,"")</f>
        <v>-0.3831303006939091</v>
      </c>
    </row>
    <row r="371" spans="1:8">
      <c r="A371" s="6" t="s">
        <v>13</v>
      </c>
      <c r="B371" s="6" t="s">
        <v>213</v>
      </c>
      <c r="C371" s="6">
        <v>2023</v>
      </c>
      <c r="D371" s="6">
        <v>7</v>
      </c>
      <c r="E371" s="9" t="s">
        <v>159</v>
      </c>
      <c r="F371" s="10">
        <f>SUMIFS(Data!$K:$K,Data!$A:$A,2023,Data!$B:$B,7,Data!$G:$G,"FCC",Data!$F:$F,"PADD 2")</f>
        <v>38.54</v>
      </c>
      <c r="G371" s="11">
        <f>IFERROR(F371/F370-1,"")</f>
        <v>-0.6146385361463853</v>
      </c>
    </row>
    <row r="372" spans="1:8">
      <c r="A372" s="6" t="s">
        <v>13</v>
      </c>
      <c r="B372" s="6" t="s">
        <v>213</v>
      </c>
      <c r="C372" s="6">
        <v>2023</v>
      </c>
      <c r="D372" s="6">
        <v>8</v>
      </c>
      <c r="E372" s="9" t="s">
        <v>160</v>
      </c>
      <c r="F372" s="10">
        <f>SUMIFS(Data!$K:$K,Data!$A:$A,2023,Data!$B:$B,8,Data!$G:$G,"FCC",Data!$F:$F,"PADD 2")</f>
        <v>14.2</v>
      </c>
      <c r="G372" s="11">
        <f>IFERROR(F372/F371-1,"")</f>
        <v>-0.6315516346652829</v>
      </c>
    </row>
    <row r="373" spans="1:8">
      <c r="A373" s="6" t="s">
        <v>13</v>
      </c>
      <c r="B373" s="6" t="s">
        <v>213</v>
      </c>
      <c r="C373" s="6">
        <v>2023</v>
      </c>
      <c r="D373" s="6">
        <v>9</v>
      </c>
      <c r="E373" s="9" t="s">
        <v>161</v>
      </c>
      <c r="F373" s="10">
        <f>SUMIFS(Data!$K:$K,Data!$A:$A,2023,Data!$B:$B,9,Data!$G:$G,"FCC",Data!$F:$F,"PADD 2")</f>
        <v>81.0</v>
      </c>
      <c r="G373" s="11">
        <f>IFERROR(F373/F372-1,"")</f>
        <v>4.704225352112676</v>
      </c>
    </row>
    <row r="374" spans="1:8">
      <c r="A374" s="6" t="s">
        <v>13</v>
      </c>
      <c r="B374" s="6" t="s">
        <v>213</v>
      </c>
      <c r="C374" s="6">
        <v>2023</v>
      </c>
      <c r="D374" s="6">
        <v>10</v>
      </c>
      <c r="E374" s="9" t="s">
        <v>162</v>
      </c>
      <c r="F374" s="10">
        <f>SUMIFS(Data!$K:$K,Data!$A:$A,2023,Data!$B:$B,10,Data!$G:$G,"FCC",Data!$F:$F,"PADD 2")</f>
        <v>90.39</v>
      </c>
      <c r="G374" s="11">
        <f>IFERROR(F374/F373-1,"")</f>
        <v>0.11592592592592599</v>
      </c>
    </row>
    <row r="375" spans="1:8">
      <c r="A375" s="6" t="s">
        <v>13</v>
      </c>
      <c r="B375" s="6" t="s">
        <v>213</v>
      </c>
      <c r="C375" s="6">
        <v>2023</v>
      </c>
      <c r="D375" s="6">
        <v>11</v>
      </c>
      <c r="E375" s="9" t="s">
        <v>163</v>
      </c>
      <c r="F375" s="10">
        <f>SUMIFS(Data!$K:$K,Data!$A:$A,2023,Data!$B:$B,11,Data!$G:$G,"FCC",Data!$F:$F,"PADD 2")</f>
        <v>42.45</v>
      </c>
      <c r="G375" s="11">
        <f>IFERROR(F375/F374-1,"")</f>
        <v>-0.5303684035844674</v>
      </c>
    </row>
    <row r="376" spans="1:8">
      <c r="A376" s="6" t="s">
        <v>13</v>
      </c>
      <c r="B376" s="6" t="s">
        <v>213</v>
      </c>
      <c r="C376" s="6">
        <v>2023</v>
      </c>
      <c r="D376" s="6">
        <v>12</v>
      </c>
      <c r="E376" s="9" t="s">
        <v>164</v>
      </c>
      <c r="F376" s="10">
        <f>SUMIFS(Data!$K:$K,Data!$A:$A,2023,Data!$B:$B,12,Data!$G:$G,"FCC",Data!$F:$F,"PADD 2")</f>
        <v>3.9</v>
      </c>
      <c r="G376" s="11">
        <f>IFERROR(F376/F375-1,"")</f>
        <v>-0.9081272084805654</v>
      </c>
    </row>
    <row r="377" spans="1:8">
      <c r="A377" s="6" t="s">
        <v>13</v>
      </c>
      <c r="B377" s="6" t="s">
        <v>213</v>
      </c>
      <c r="C377" s="6">
        <v>2024</v>
      </c>
      <c r="D377" s="6">
        <v>1</v>
      </c>
      <c r="E377" s="9" t="s">
        <v>165</v>
      </c>
      <c r="F377" s="10">
        <f>SUMIFS(Data!$K:$K,Data!$A:$A,2024,Data!$B:$B,1,Data!$G:$G,"FCC",Data!$F:$F,"PADD 2")</f>
        <v>2.27</v>
      </c>
      <c r="G377" s="11">
        <f>IFERROR(F377/F376-1,"")</f>
        <v>-0.4179487179487179</v>
      </c>
      <c r="H377" s="11">
        <f>IFERROR(F377/F365-1,"")</f>
        <v>-0.9866215610929064</v>
      </c>
    </row>
    <row r="378" spans="1:8">
      <c r="A378" s="6" t="s">
        <v>13</v>
      </c>
      <c r="B378" s="6" t="s">
        <v>213</v>
      </c>
      <c r="C378" s="6">
        <v>2024</v>
      </c>
      <c r="D378" s="6">
        <v>2</v>
      </c>
      <c r="E378" s="9" t="s">
        <v>166</v>
      </c>
      <c r="F378" s="10">
        <f>SUMIFS(Data!$K:$K,Data!$A:$A,2024,Data!$B:$B,2,Data!$G:$G,"FCC",Data!$F:$F,"PADD 2")</f>
        <v>351.39</v>
      </c>
      <c r="G378" s="11">
        <f>IFERROR(F378/F377-1,"")</f>
        <v>153.7973568281938</v>
      </c>
      <c r="H378" s="11">
        <f>IFERROR(F378/F366-1,"")</f>
        <v>1.0737702499336068</v>
      </c>
    </row>
    <row r="379" spans="1:8">
      <c r="A379" s="6" t="s">
        <v>13</v>
      </c>
      <c r="B379" s="6" t="s">
        <v>213</v>
      </c>
      <c r="C379" s="6">
        <v>2024</v>
      </c>
      <c r="D379" s="6">
        <v>3</v>
      </c>
      <c r="E379" s="9" t="s">
        <v>167</v>
      </c>
      <c r="F379" s="10">
        <f>SUMIFS(Data!$K:$K,Data!$A:$A,2024,Data!$B:$B,3,Data!$G:$G,"FCC",Data!$F:$F,"PADD 2")</f>
        <v>85.89</v>
      </c>
      <c r="G379" s="11">
        <f>IFERROR(F379/F378-1,"")</f>
        <v>-0.7555707333731752</v>
      </c>
      <c r="H379" s="11">
        <f>IFERROR(F379/F367-1,"")</f>
        <v>-0.5062941886532161</v>
      </c>
    </row>
    <row r="380" spans="1:8">
      <c r="A380" s="6" t="s">
        <v>13</v>
      </c>
      <c r="B380" s="6" t="s">
        <v>213</v>
      </c>
      <c r="C380" s="6">
        <v>2024</v>
      </c>
      <c r="D380" s="6">
        <v>4</v>
      </c>
      <c r="E380" s="9" t="s">
        <v>168</v>
      </c>
      <c r="F380" s="10">
        <f>SUMIFS(Data!$K:$K,Data!$A:$A,2024,Data!$B:$B,4,Data!$G:$G,"FCC",Data!$F:$F,"PADD 2")</f>
        <v>116.085</v>
      </c>
      <c r="G380" s="11">
        <f>IFERROR(F380/F379-1,"")</f>
        <v>0.35155431365700296</v>
      </c>
      <c r="H380" s="11">
        <f>IFERROR(F380/F368-1,"")</f>
        <v>-0.31343151171043293</v>
      </c>
    </row>
    <row r="381" spans="1:8">
      <c r="A381" s="6" t="s">
        <v>13</v>
      </c>
      <c r="B381" s="6" t="s">
        <v>213</v>
      </c>
      <c r="C381" s="6">
        <v>2024</v>
      </c>
      <c r="D381" s="6">
        <v>5</v>
      </c>
      <c r="E381" s="9" t="s">
        <v>169</v>
      </c>
      <c r="F381" s="10">
        <f>SUMIFS(Data!$K:$K,Data!$A:$A,2024,Data!$B:$B,5,Data!$G:$G,"FCC",Data!$F:$F,"PADD 2")</f>
        <v>74.89</v>
      </c>
      <c r="G381" s="11">
        <f>IFERROR(F381/F380-1,"")</f>
        <v>-0.3548692768230176</v>
      </c>
      <c r="H381" s="11">
        <f>IFERROR(F381/F369-1,"")</f>
        <v>-0.5380724749421743</v>
      </c>
    </row>
    <row r="382" spans="1:8">
      <c r="A382" s="6" t="s">
        <v>13</v>
      </c>
      <c r="B382" s="6" t="s">
        <v>213</v>
      </c>
      <c r="C382" s="6">
        <v>2024</v>
      </c>
      <c r="D382" s="6">
        <v>6</v>
      </c>
      <c r="E382" s="9" t="s">
        <v>170</v>
      </c>
      <c r="F382" s="10">
        <f>SUMIFS(Data!$K:$K,Data!$A:$A,2024,Data!$B:$B,6,Data!$G:$G,"FCC",Data!$F:$F,"PADD 2")</f>
        <v>18.2</v>
      </c>
      <c r="G382" s="11">
        <f>IFERROR(F382/F381-1,"")</f>
        <v>-0.7569768994525303</v>
      </c>
      <c r="H382" s="11">
        <f>IFERROR(F382/F370-1,"")</f>
        <v>-0.818018198180182</v>
      </c>
    </row>
    <row r="383" spans="1:8">
      <c r="A383" s="6" t="s">
        <v>13</v>
      </c>
      <c r="B383" s="6" t="s">
        <v>213</v>
      </c>
      <c r="C383" s="6">
        <v>2024</v>
      </c>
      <c r="D383" s="6">
        <v>7</v>
      </c>
      <c r="E383" s="9" t="s">
        <v>171</v>
      </c>
      <c r="F383" s="10">
        <f>SUMIFS(Data!$K:$K,Data!$A:$A,2024,Data!$B:$B,7,Data!$G:$G,"FCC",Data!$F:$F,"PADD 2")</f>
        <v>93.52</v>
      </c>
      <c r="G383" s="11">
        <f>IFERROR(F383/F382-1,"")</f>
        <v>4.138461538461539</v>
      </c>
      <c r="H383" s="11">
        <f>IFERROR(F383/F371-1,"")</f>
        <v>1.4265697976128697</v>
      </c>
    </row>
    <row r="384" spans="1:8">
      <c r="A384" s="6" t="s">
        <v>13</v>
      </c>
      <c r="B384" s="6" t="s">
        <v>213</v>
      </c>
      <c r="C384" s="6">
        <v>2024</v>
      </c>
      <c r="D384" s="6">
        <v>8</v>
      </c>
      <c r="E384" s="9" t="s">
        <v>172</v>
      </c>
      <c r="F384" s="10">
        <f>SUMIFS(Data!$K:$K,Data!$A:$A,2024,Data!$B:$B,8,Data!$G:$G,"FCC",Data!$F:$F,"PADD 2")</f>
        <v>37.94</v>
      </c>
      <c r="G384" s="11">
        <f>IFERROR(F384/F383-1,"")</f>
        <v>-0.594311377245509</v>
      </c>
      <c r="H384" s="11">
        <f>IFERROR(F384/F372-1,"")</f>
        <v>1.6718309859154927</v>
      </c>
    </row>
    <row r="385" spans="1:8">
      <c r="A385" s="6" t="s">
        <v>13</v>
      </c>
      <c r="B385" s="6" t="s">
        <v>213</v>
      </c>
      <c r="C385" s="6">
        <v>2024</v>
      </c>
      <c r="D385" s="6">
        <v>9</v>
      </c>
      <c r="E385" s="9" t="s">
        <v>173</v>
      </c>
      <c r="F385" s="10">
        <f>SUMIFS(Data!$K:$K,Data!$A:$A,2024,Data!$B:$B,9,Data!$G:$G,"FCC",Data!$F:$F,"PADD 2")</f>
        <v>114.21000000000001</v>
      </c>
      <c r="G385" s="11">
        <f>IFERROR(F385/F384-1,"")</f>
        <v>2.010279388508171</v>
      </c>
      <c r="H385" s="11">
        <f>IFERROR(F385/F373-1,"")</f>
        <v>0.41000000000000014</v>
      </c>
    </row>
    <row r="386" spans="1:8">
      <c r="A386" s="6" t="s">
        <v>13</v>
      </c>
      <c r="B386" s="6" t="s">
        <v>213</v>
      </c>
      <c r="C386" s="6">
        <v>2024</v>
      </c>
      <c r="D386" s="6">
        <v>10</v>
      </c>
      <c r="E386" s="9" t="s">
        <v>174</v>
      </c>
      <c r="F386" s="10">
        <f>SUMIFS(Data!$K:$K,Data!$A:$A,2024,Data!$B:$B,10,Data!$G:$G,"FCC",Data!$F:$F,"PADD 2")</f>
        <v>126.42</v>
      </c>
      <c r="G386" s="11">
        <f>IFERROR(F386/F385-1,"")</f>
        <v>0.10690832676648276</v>
      </c>
      <c r="H386" s="11">
        <f>IFERROR(F386/F374-1,"")</f>
        <v>0.39860604049120485</v>
      </c>
    </row>
    <row r="387" spans="1:8">
      <c r="A387" s="6" t="s">
        <v>13</v>
      </c>
      <c r="B387" s="6" t="s">
        <v>213</v>
      </c>
      <c r="C387" s="6">
        <v>2024</v>
      </c>
      <c r="D387" s="6">
        <v>11</v>
      </c>
      <c r="E387" s="9" t="s">
        <v>175</v>
      </c>
      <c r="F387" s="10">
        <f>SUMIFS(Data!$K:$K,Data!$A:$A,2024,Data!$B:$B,11,Data!$G:$G,"FCC",Data!$F:$F,"PADD 2")</f>
        <v>27.5</v>
      </c>
      <c r="G387" s="11">
        <f>IFERROR(F387/F386-1,"")</f>
        <v>-0.7824711279860781</v>
      </c>
      <c r="H387" s="11">
        <f>IFERROR(F387/F375-1,"")</f>
        <v>-0.3521790341578328</v>
      </c>
    </row>
    <row r="388" spans="1:8">
      <c r="A388" s="6" t="s">
        <v>13</v>
      </c>
      <c r="B388" s="6" t="s">
        <v>213</v>
      </c>
      <c r="C388" s="6">
        <v>2024</v>
      </c>
      <c r="D388" s="6">
        <v>12</v>
      </c>
      <c r="E388" s="9" t="s">
        <v>176</v>
      </c>
      <c r="F388" s="10">
        <f>SUMIFS(Data!$K:$K,Data!$A:$A,2024,Data!$B:$B,12,Data!$G:$G,"FCC",Data!$F:$F,"PADD 2")</f>
        <v>0.0</v>
      </c>
      <c r="G388" s="11">
        <f>IFERROR(F388/F387-1,"")</f>
        <v>-1.0</v>
      </c>
      <c r="H388" s="11">
        <f>IFERROR(F388/F376-1,"")</f>
        <v>-1.0</v>
      </c>
    </row>
    <row r="389" spans="1:8">
      <c r="A389" s="6" t="s">
        <v>13</v>
      </c>
      <c r="B389" s="6" t="s">
        <v>213</v>
      </c>
      <c r="C389" s="6">
        <v>2025</v>
      </c>
      <c r="D389" s="6">
        <v>1</v>
      </c>
      <c r="E389" s="9" t="s">
        <v>177</v>
      </c>
      <c r="F389" s="10">
        <f>SUMIFS(Data!$K:$K,Data!$A:$A,2025,Data!$B:$B,1,Data!$G:$G,"FCC",Data!$F:$F,"PADD 2")</f>
        <v>6.08</v>
      </c>
      <c r="G389" s="11">
        <f>IFERROR(F389/F388-1,"")</f>
        <v/>
      </c>
      <c r="H389" s="11">
        <f>IFERROR(F389/F377-1,"")</f>
        <v>1.6784140969162995</v>
      </c>
    </row>
    <row r="390" spans="1:8">
      <c r="A390" s="6" t="s">
        <v>13</v>
      </c>
      <c r="B390" s="6" t="s">
        <v>213</v>
      </c>
      <c r="C390" s="6">
        <v>2025</v>
      </c>
      <c r="D390" s="6">
        <v>2</v>
      </c>
      <c r="E390" s="9" t="s">
        <v>178</v>
      </c>
      <c r="F390" s="10">
        <f>SUMIFS(Data!$K:$K,Data!$A:$A,2025,Data!$B:$B,2,Data!$G:$G,"FCC",Data!$F:$F,"PADD 2")</f>
        <v>48.34</v>
      </c>
      <c r="G390" s="11">
        <f>IFERROR(F390/F389-1,"")</f>
        <v>6.9506578947368425</v>
      </c>
      <c r="H390" s="11">
        <f>IFERROR(F390/F378-1,"")</f>
        <v>-0.8624320555508125</v>
      </c>
    </row>
    <row r="391" spans="1:8">
      <c r="A391" s="6" t="s">
        <v>13</v>
      </c>
      <c r="B391" s="6" t="s">
        <v>213</v>
      </c>
      <c r="C391" s="6">
        <v>2025</v>
      </c>
      <c r="D391" s="6">
        <v>3</v>
      </c>
      <c r="E391" s="9" t="s">
        <v>179</v>
      </c>
      <c r="F391" s="10">
        <f>SUMIFS(Data!$K:$K,Data!$A:$A,2025,Data!$B:$B,3,Data!$G:$G,"FCC",Data!$F:$F,"PADD 2")</f>
        <v>130.895</v>
      </c>
      <c r="G391" s="11">
        <f>IFERROR(F391/F390-1,"")</f>
        <v>1.7077989242863052</v>
      </c>
      <c r="H391" s="11">
        <f>IFERROR(F391/F379-1,"")</f>
        <v>0.5239841657934567</v>
      </c>
    </row>
    <row r="392" spans="1:8">
      <c r="A392" s="6" t="s">
        <v>13</v>
      </c>
      <c r="B392" s="6" t="s">
        <v>213</v>
      </c>
      <c r="C392" s="6">
        <v>2025</v>
      </c>
      <c r="D392" s="6">
        <v>4</v>
      </c>
      <c r="E392" s="9" t="s">
        <v>180</v>
      </c>
      <c r="F392" s="10">
        <f>SUMIFS(Data!$K:$K,Data!$A:$A,2025,Data!$B:$B,4,Data!$G:$G,"FCC",Data!$F:$F,"PADD 2")</f>
        <v>209.995</v>
      </c>
      <c r="G392" s="11">
        <f>IFERROR(F392/F391-1,"")</f>
        <v>0.6043011574162496</v>
      </c>
      <c r="H392" s="11">
        <f>IFERROR(F392/F380-1,"")</f>
        <v>0.8089761812465006</v>
      </c>
    </row>
    <row r="393" spans="1:8">
      <c r="A393" s="6" t="s">
        <v>13</v>
      </c>
      <c r="B393" s="6" t="s">
        <v>213</v>
      </c>
      <c r="C393" s="6">
        <v>2025</v>
      </c>
      <c r="D393" s="6">
        <v>5</v>
      </c>
      <c r="E393" s="9" t="s">
        <v>181</v>
      </c>
      <c r="F393" s="10">
        <f>SUMIFS(Data!$K:$K,Data!$A:$A,2025,Data!$B:$B,5,Data!$G:$G,"FCC",Data!$F:$F,"PADD 2")</f>
        <v>132.91</v>
      </c>
      <c r="G393" s="11">
        <f>IFERROR(F393/F392-1,"")</f>
        <v>-0.36708016857544234</v>
      </c>
      <c r="H393" s="11">
        <f>IFERROR(F393/F381-1,"")</f>
        <v>0.7747362798771531</v>
      </c>
    </row>
    <row r="394" spans="1:8">
      <c r="A394" s="6" t="s">
        <v>13</v>
      </c>
      <c r="B394" s="6" t="s">
        <v>213</v>
      </c>
      <c r="C394" s="6">
        <v>2025</v>
      </c>
      <c r="D394" s="6">
        <v>6</v>
      </c>
      <c r="E394" s="9" t="s">
        <v>182</v>
      </c>
      <c r="F394" s="10">
        <f>SUMIFS(Data!$K:$K,Data!$A:$A,2025,Data!$B:$B,6,Data!$G:$G,"FCC",Data!$F:$F,"PADD 2")</f>
        <v>27.88</v>
      </c>
      <c r="G394" s="11">
        <f>IFERROR(F394/F393-1,"")</f>
        <v>-0.7902339929275449</v>
      </c>
      <c r="H394" s="11">
        <f>IFERROR(F394/F382-1,"")</f>
        <v>0.531868131868132</v>
      </c>
    </row>
    <row r="395" spans="1:8">
      <c r="A395" s="6" t="s">
        <v>13</v>
      </c>
      <c r="B395" s="6" t="s">
        <v>213</v>
      </c>
      <c r="C395" s="6">
        <v>2025</v>
      </c>
      <c r="D395" s="6">
        <v>7</v>
      </c>
      <c r="E395" s="9" t="s">
        <v>183</v>
      </c>
      <c r="F395" s="10">
        <f>SUMIFS(Data!$K:$K,Data!$A:$A,2025,Data!$B:$B,7,Data!$G:$G,"FCC",Data!$F:$F,"PADD 2")</f>
        <v>26.295</v>
      </c>
      <c r="G395" s="11">
        <f>IFERROR(F395/F394-1,"")</f>
        <v>-0.056850789096126175</v>
      </c>
      <c r="H395" s="11">
        <f>IFERROR(F395/F383-1,"")</f>
        <v>-0.7188301967493584</v>
      </c>
    </row>
    <row r="396" spans="1:8">
      <c r="A396" s="6" t="s">
        <v>13</v>
      </c>
      <c r="B396" s="6" t="s">
        <v>213</v>
      </c>
      <c r="C396" s="6">
        <v>2025</v>
      </c>
      <c r="D396" s="6">
        <v>8</v>
      </c>
      <c r="E396" s="9" t="s">
        <v>184</v>
      </c>
      <c r="F396" s="10">
        <f>SUMIFS(Data!$K:$K,Data!$A:$A,2025,Data!$B:$B,8,Data!$G:$G,"FCC",Data!$F:$F,"PADD 2")</f>
        <v>38.0</v>
      </c>
      <c r="G396" s="11">
        <f>IFERROR(F396/F395-1,"")</f>
        <v>0.44514166191291116</v>
      </c>
      <c r="H396" s="11">
        <f>IFERROR(F396/F384-1,"")</f>
        <v>0.001581444385872599</v>
      </c>
    </row>
    <row r="397" spans="1:8">
      <c r="A397" s="6" t="s">
        <v>13</v>
      </c>
      <c r="B397" s="6" t="s">
        <v>213</v>
      </c>
      <c r="C397" s="6">
        <v>2025</v>
      </c>
      <c r="D397" s="6">
        <v>9</v>
      </c>
      <c r="E397" s="9" t="s">
        <v>185</v>
      </c>
      <c r="F397" s="10">
        <f>SUMIFS(Data!$K:$K,Data!$A:$A,2025,Data!$B:$B,9,Data!$G:$G,"FCC",Data!$F:$F,"PADD 2")</f>
        <v>71.24</v>
      </c>
      <c r="G397" s="11">
        <f>IFERROR(F397/F396-1,"")</f>
        <v>0.874736842105263</v>
      </c>
      <c r="H397" s="11">
        <f>IFERROR(F397/F385-1,"")</f>
        <v>-0.3762367568514141</v>
      </c>
    </row>
    <row r="398" spans="1:8">
      <c r="A398" s="6" t="s">
        <v>13</v>
      </c>
      <c r="B398" s="6" t="s">
        <v>213</v>
      </c>
      <c r="C398" s="6">
        <v>2025</v>
      </c>
      <c r="D398" s="6">
        <v>10</v>
      </c>
      <c r="E398" s="9" t="s">
        <v>186</v>
      </c>
      <c r="F398" s="10">
        <f>SUMIFS(Data!$K:$K,Data!$A:$A,2025,Data!$B:$B,10,Data!$G:$G,"FCC",Data!$F:$F,"PADD 2")</f>
        <v>191.74</v>
      </c>
      <c r="G398" s="11">
        <f>IFERROR(F398/F397-1,"")</f>
        <v>1.6914654688377317</v>
      </c>
      <c r="H398" s="11">
        <f>IFERROR(F398/F386-1,"")</f>
        <v>0.5166903970890682</v>
      </c>
    </row>
    <row r="399" spans="1:8">
      <c r="A399" s="6" t="s">
        <v>13</v>
      </c>
      <c r="B399" s="6" t="s">
        <v>213</v>
      </c>
      <c r="C399" s="6">
        <v>2025</v>
      </c>
      <c r="D399" s="6">
        <v>11</v>
      </c>
      <c r="E399" s="9" t="s">
        <v>187</v>
      </c>
      <c r="F399" s="10">
        <f>SUMIFS(Data!$K:$K,Data!$A:$A,2025,Data!$B:$B,11,Data!$G:$G,"FCC",Data!$F:$F,"PADD 2")</f>
        <v>70.45</v>
      </c>
      <c r="G399" s="11">
        <f>IFERROR(F399/F398-1,"")</f>
        <v>-0.6325753624700114</v>
      </c>
      <c r="H399" s="11">
        <f>IFERROR(F399/F387-1,"")</f>
        <v>1.561818181818182</v>
      </c>
    </row>
    <row r="400" spans="1:8">
      <c r="A400" s="6" t="s">
        <v>13</v>
      </c>
      <c r="B400" s="6" t="s">
        <v>213</v>
      </c>
      <c r="C400" s="6">
        <v>2025</v>
      </c>
      <c r="D400" s="6">
        <v>12</v>
      </c>
      <c r="E400" s="9" t="s">
        <v>188</v>
      </c>
      <c r="F400" s="10">
        <f>SUMIFS(Data!$K:$K,Data!$A:$A,2025,Data!$B:$B,12,Data!$G:$G,"FCC",Data!$F:$F,"PADD 2")</f>
        <v>3.27</v>
      </c>
      <c r="G400" s="11">
        <f>IFERROR(F400/F399-1,"")</f>
        <v>-0.9535841022001419</v>
      </c>
      <c r="H400" s="11">
        <f>IFERROR(F400/F388-1,"")</f>
        <v/>
      </c>
    </row>
    <row r="401" spans="1:8">
      <c r="A401" s="6" t="s">
        <v>13</v>
      </c>
      <c r="B401" s="6" t="s">
        <v>213</v>
      </c>
      <c r="C401" s="6">
        <v>2026</v>
      </c>
      <c r="D401" s="6">
        <v>1</v>
      </c>
      <c r="E401" s="9" t="s">
        <v>189</v>
      </c>
      <c r="F401" s="10">
        <f>SUMIFS(Data!$K:$K,Data!$A:$A,2026,Data!$B:$B,1,Data!$G:$G,"FCC",Data!$F:$F,"PADD 2")</f>
        <v>4.449999999999999</v>
      </c>
      <c r="G401" s="11">
        <f>IFERROR(F401/F400-1,"")</f>
        <v>0.3608562691131496</v>
      </c>
      <c r="H401" s="11">
        <f>IFERROR(F401/F389-1,"")</f>
        <v>-0.26809210526315796</v>
      </c>
    </row>
    <row r="402" spans="1:8">
      <c r="A402" s="6" t="s">
        <v>13</v>
      </c>
      <c r="B402" s="6" t="s">
        <v>213</v>
      </c>
      <c r="C402" s="6">
        <v>2026</v>
      </c>
      <c r="D402" s="6">
        <v>2</v>
      </c>
      <c r="E402" s="9" t="s">
        <v>190</v>
      </c>
      <c r="F402" s="10">
        <f>SUMIFS(Data!$K:$K,Data!$A:$A,2026,Data!$B:$B,2,Data!$G:$G,"FCC",Data!$F:$F,"PADD 2")</f>
        <v>115.04</v>
      </c>
      <c r="G402" s="11">
        <f>IFERROR(F402/F401-1,"")</f>
        <v>24.851685393258432</v>
      </c>
      <c r="H402" s="11">
        <f>IFERROR(F402/F390-1,"")</f>
        <v>1.3798096814232519</v>
      </c>
    </row>
    <row r="403" spans="1:8">
      <c r="A403" s="6" t="s">
        <v>13</v>
      </c>
      <c r="B403" s="6" t="s">
        <v>213</v>
      </c>
      <c r="C403" s="6">
        <v>2026</v>
      </c>
      <c r="D403" s="6">
        <v>3</v>
      </c>
      <c r="E403" s="9" t="s">
        <v>191</v>
      </c>
      <c r="F403" s="10">
        <f>SUMIFS(Data!$K:$K,Data!$A:$A,2026,Data!$B:$B,3,Data!$G:$G,"FCC",Data!$F:$F,"PADD 2")</f>
        <v>109.26</v>
      </c>
      <c r="G403" s="11">
        <f>IFERROR(F403/F402-1,"")</f>
        <v>-0.050243393602225295</v>
      </c>
      <c r="H403" s="11">
        <f>IFERROR(F403/F391-1,"")</f>
        <v>-0.16528515222124607</v>
      </c>
    </row>
    <row r="404" spans="1:8">
      <c r="A404" s="6" t="s">
        <v>13</v>
      </c>
      <c r="B404" s="6" t="s">
        <v>213</v>
      </c>
      <c r="C404" s="6">
        <v>2026</v>
      </c>
      <c r="D404" s="6">
        <v>4</v>
      </c>
      <c r="E404" s="9" t="s">
        <v>192</v>
      </c>
      <c r="F404" s="10">
        <f>SUMIFS(Data!$K:$K,Data!$A:$A,2026,Data!$B:$B,4,Data!$G:$G,"FCC",Data!$F:$F,"PADD 2")</f>
        <v>80.99000000000001</v>
      </c>
      <c r="G404" s="11">
        <f>IFERROR(F404/F403-1,"")</f>
        <v>-0.25874061870766973</v>
      </c>
      <c r="H404" s="11">
        <f>IFERROR(F404/F392-1,"")</f>
        <v>-0.6143241505750137</v>
      </c>
    </row>
    <row r="405" spans="1:8">
      <c r="A405" s="6" t="s">
        <v>13</v>
      </c>
      <c r="B405" s="6" t="s">
        <v>213</v>
      </c>
      <c r="C405" s="6">
        <v>2026</v>
      </c>
      <c r="D405" s="6">
        <v>5</v>
      </c>
      <c r="E405" s="9" t="s">
        <v>193</v>
      </c>
      <c r="F405" s="10">
        <f>SUMIFS(Data!$K:$K,Data!$A:$A,2026,Data!$B:$B,5,Data!$G:$G,"FCC",Data!$F:$F,"PADD 2")</f>
        <v>143.0</v>
      </c>
      <c r="G405" s="11">
        <f>IFERROR(F405/F404-1,"")</f>
        <v>0.7656500802568216</v>
      </c>
      <c r="H405" s="11">
        <f>IFERROR(F405/F393-1,"")</f>
        <v>0.07591603340606423</v>
      </c>
    </row>
    <row r="406" spans="1:8">
      <c r="A406" s="6" t="s">
        <v>13</v>
      </c>
      <c r="B406" s="6" t="s">
        <v>213</v>
      </c>
      <c r="C406" s="6">
        <v>2026</v>
      </c>
      <c r="D406" s="6">
        <v>6</v>
      </c>
      <c r="E406" s="9" t="s">
        <v>194</v>
      </c>
      <c r="F406" s="10">
        <f>SUMIFS(Data!$K:$K,Data!$A:$A,2026,Data!$B:$B,6,Data!$G:$G,"FCC",Data!$F:$F,"PADD 2")</f>
        <v>56.225</v>
      </c>
      <c r="G406" s="11">
        <f>IFERROR(F406/F405-1,"")</f>
        <v>-0.6068181818181818</v>
      </c>
      <c r="H406" s="11">
        <f>IFERROR(F406/F394-1,"")</f>
        <v>1.0166786226685796</v>
      </c>
    </row>
    <row r="407" spans="1:8">
      <c r="A407" s="6" t="s">
        <v>13</v>
      </c>
      <c r="B407" s="6" t="s">
        <v>213</v>
      </c>
      <c r="C407" s="6">
        <v>2026</v>
      </c>
      <c r="D407" s="6">
        <v>7</v>
      </c>
      <c r="E407" s="9" t="s">
        <v>195</v>
      </c>
      <c r="F407" s="10">
        <f>SUMIFS(Data!$K:$K,Data!$A:$A,2026,Data!$B:$B,7,Data!$G:$G,"FCC",Data!$F:$F,"PADD 2")</f>
        <v>0.0</v>
      </c>
      <c r="G407" s="11">
        <f>IFERROR(F407/F406-1,"")</f>
        <v>-1.0</v>
      </c>
      <c r="H407" s="11">
        <f>IFERROR(F407/F395-1,"")</f>
        <v>-1.0</v>
      </c>
    </row>
    <row r="408" spans="1:8">
      <c r="A408" s="6" t="s">
        <v>13</v>
      </c>
      <c r="B408" s="6" t="s">
        <v>213</v>
      </c>
      <c r="C408" s="6">
        <v>2026</v>
      </c>
      <c r="D408" s="6">
        <v>8</v>
      </c>
      <c r="E408" s="9" t="s">
        <v>196</v>
      </c>
      <c r="F408" s="10">
        <f>SUMIFS(Data!$K:$K,Data!$A:$A,2026,Data!$B:$B,8,Data!$G:$G,"FCC",Data!$F:$F,"PADD 2")</f>
        <v>0.0</v>
      </c>
      <c r="G408" s="11">
        <f>IFERROR(F408/F407-1,"")</f>
        <v/>
      </c>
      <c r="H408" s="11">
        <f>IFERROR(F408/F396-1,"")</f>
        <v>-1.0</v>
      </c>
    </row>
    <row r="409" spans="1:8">
      <c r="A409" s="6" t="s">
        <v>13</v>
      </c>
      <c r="B409" s="6" t="s">
        <v>213</v>
      </c>
      <c r="C409" s="6">
        <v>2026</v>
      </c>
      <c r="D409" s="6">
        <v>9</v>
      </c>
      <c r="E409" s="9" t="s">
        <v>197</v>
      </c>
      <c r="F409" s="10">
        <f>SUMIFS(Data!$K:$K,Data!$A:$A,2026,Data!$B:$B,9,Data!$G:$G,"FCC",Data!$F:$F,"PADD 2")</f>
        <v>68.93</v>
      </c>
      <c r="G409" s="11">
        <f>IFERROR(F409/F408-1,"")</f>
        <v/>
      </c>
      <c r="H409" s="11">
        <f>IFERROR(F409/F397-1,"")</f>
        <v>-0.032425603593486674</v>
      </c>
    </row>
    <row r="410" spans="1:8">
      <c r="A410" s="6" t="s">
        <v>13</v>
      </c>
      <c r="B410" s="6" t="s">
        <v>213</v>
      </c>
      <c r="C410" s="6">
        <v>2026</v>
      </c>
      <c r="D410" s="6">
        <v>10</v>
      </c>
      <c r="E410" s="9" t="s">
        <v>198</v>
      </c>
      <c r="F410" s="10">
        <f>SUMIFS(Data!$K:$K,Data!$A:$A,2026,Data!$B:$B,10,Data!$G:$G,"FCC",Data!$F:$F,"PADD 2")</f>
        <v>112.31</v>
      </c>
      <c r="G410" s="11">
        <f>IFERROR(F410/F409-1,"")</f>
        <v>0.6293341070651384</v>
      </c>
      <c r="H410" s="11">
        <f>IFERROR(F410/F398-1,"")</f>
        <v>-0.41425889224992174</v>
      </c>
    </row>
    <row r="411" spans="1:8">
      <c r="A411" s="6" t="s">
        <v>13</v>
      </c>
      <c r="B411" s="6" t="s">
        <v>213</v>
      </c>
      <c r="C411" s="6">
        <v>2026</v>
      </c>
      <c r="D411" s="6">
        <v>11</v>
      </c>
      <c r="E411" s="9" t="s">
        <v>199</v>
      </c>
      <c r="F411" s="10">
        <f>SUMIFS(Data!$K:$K,Data!$A:$A,2026,Data!$B:$B,11,Data!$G:$G,"FCC",Data!$F:$F,"PADD 2")</f>
        <v>39.0</v>
      </c>
      <c r="G411" s="11">
        <f>IFERROR(F411/F410-1,"")</f>
        <v>-0.6527468613658624</v>
      </c>
      <c r="H411" s="11">
        <f>IFERROR(F411/F399-1,"")</f>
        <v>-0.44641589779985813</v>
      </c>
    </row>
    <row r="412" spans="1:8">
      <c r="A412" s="6" t="s">
        <v>13</v>
      </c>
      <c r="B412" s="6" t="s">
        <v>213</v>
      </c>
      <c r="C412" s="6">
        <v>2026</v>
      </c>
      <c r="D412" s="6">
        <v>12</v>
      </c>
      <c r="E412" s="9" t="s">
        <v>200</v>
      </c>
      <c r="F412" s="10">
        <f>SUMIFS(Data!$K:$K,Data!$A:$A,2026,Data!$B:$B,12,Data!$G:$G,"FCC",Data!$F:$F,"PADD 2")</f>
        <v>0.0</v>
      </c>
      <c r="G412" s="11">
        <f>IFERROR(F412/F411-1,"")</f>
        <v>-1.0</v>
      </c>
      <c r="H412" s="11">
        <f>IFERROR(F412/F400-1,"")</f>
        <v>-1.0</v>
      </c>
    </row>
    <row r="413" spans="1:8">
      <c r="A413" s="6" t="s">
        <v>13</v>
      </c>
      <c r="B413" s="6" t="s">
        <v>213</v>
      </c>
      <c r="C413" s="6">
        <v>2027</v>
      </c>
      <c r="D413" s="6">
        <v>1</v>
      </c>
      <c r="E413" s="9" t="s">
        <v>201</v>
      </c>
      <c r="F413" s="10">
        <f>SUMIFS(Data!$K:$K,Data!$A:$A,2027,Data!$B:$B,1,Data!$G:$G,"FCC",Data!$F:$F,"PADD 2")</f>
        <v>0.0</v>
      </c>
      <c r="G413" s="11">
        <f>IFERROR(F413/F412-1,"")</f>
        <v/>
      </c>
      <c r="H413" s="11">
        <f>IFERROR(F413/F401-1,"")</f>
        <v>-1.0</v>
      </c>
    </row>
    <row r="414" spans="1:8">
      <c r="A414" s="6" t="s">
        <v>13</v>
      </c>
      <c r="B414" s="6" t="s">
        <v>213</v>
      </c>
      <c r="C414" s="6">
        <v>2027</v>
      </c>
      <c r="D414" s="6">
        <v>2</v>
      </c>
      <c r="E414" s="9" t="s">
        <v>202</v>
      </c>
      <c r="F414" s="10">
        <f>SUMIFS(Data!$K:$K,Data!$A:$A,2027,Data!$B:$B,2,Data!$G:$G,"FCC",Data!$F:$F,"PADD 2")</f>
        <v>35.44</v>
      </c>
      <c r="G414" s="11">
        <f>IFERROR(F414/F413-1,"")</f>
        <v/>
      </c>
      <c r="H414" s="11">
        <f>IFERROR(F414/F402-1,"")</f>
        <v>-0.6919332406119612</v>
      </c>
    </row>
    <row r="415" spans="1:8">
      <c r="A415" s="6" t="s">
        <v>13</v>
      </c>
      <c r="B415" s="6" t="s">
        <v>213</v>
      </c>
      <c r="C415" s="6">
        <v>2027</v>
      </c>
      <c r="D415" s="6">
        <v>3</v>
      </c>
      <c r="E415" s="9" t="s">
        <v>203</v>
      </c>
      <c r="F415" s="10">
        <f>SUMIFS(Data!$K:$K,Data!$A:$A,2027,Data!$B:$B,3,Data!$G:$G,"FCC",Data!$F:$F,"PADD 2")</f>
        <v>40.72</v>
      </c>
      <c r="G415" s="11">
        <f>IFERROR(F415/F414-1,"")</f>
        <v>0.1489841986455982</v>
      </c>
      <c r="H415" s="11">
        <f>IFERROR(F415/F403-1,"")</f>
        <v>-0.6273110012813472</v>
      </c>
    </row>
    <row r="416" spans="1:8">
      <c r="A416" s="6" t="s">
        <v>13</v>
      </c>
      <c r="B416" s="6" t="s">
        <v>213</v>
      </c>
      <c r="C416" s="6">
        <v>2027</v>
      </c>
      <c r="D416" s="6">
        <v>4</v>
      </c>
      <c r="E416" s="9" t="s">
        <v>204</v>
      </c>
      <c r="F416" s="10">
        <f>SUMIFS(Data!$K:$K,Data!$A:$A,2027,Data!$B:$B,4,Data!$G:$G,"FCC",Data!$F:$F,"PADD 2")</f>
        <v>0.0</v>
      </c>
      <c r="G416" s="11">
        <f>IFERROR(F416/F415-1,"")</f>
        <v>-1.0</v>
      </c>
      <c r="H416" s="11">
        <f>IFERROR(F416/F404-1,"")</f>
        <v>-1.0</v>
      </c>
    </row>
    <row r="417" spans="1:8">
      <c r="A417" s="6" t="s">
        <v>13</v>
      </c>
      <c r="B417" s="6" t="s">
        <v>213</v>
      </c>
      <c r="C417" s="6">
        <v>2027</v>
      </c>
      <c r="D417" s="6">
        <v>5</v>
      </c>
      <c r="E417" s="9" t="s">
        <v>205</v>
      </c>
      <c r="F417" s="10">
        <f>SUMIFS(Data!$K:$K,Data!$A:$A,2027,Data!$B:$B,5,Data!$G:$G,"FCC",Data!$F:$F,"PADD 2")</f>
        <v>0.0</v>
      </c>
      <c r="G417" s="11">
        <f>IFERROR(F417/F416-1,"")</f>
        <v/>
      </c>
      <c r="H417" s="11">
        <f>IFERROR(F417/F405-1,"")</f>
        <v>-1.0</v>
      </c>
    </row>
    <row r="418" spans="1:8">
      <c r="A418" s="6" t="s">
        <v>13</v>
      </c>
      <c r="B418" s="6" t="s">
        <v>213</v>
      </c>
      <c r="C418" s="6">
        <v>2027</v>
      </c>
      <c r="D418" s="6">
        <v>6</v>
      </c>
      <c r="E418" s="9" t="s">
        <v>206</v>
      </c>
      <c r="F418" s="10">
        <f>SUMIFS(Data!$K:$K,Data!$A:$A,2027,Data!$B:$B,6,Data!$G:$G,"FCC",Data!$F:$F,"PADD 2")</f>
        <v>0.0</v>
      </c>
      <c r="G418" s="11">
        <f>IFERROR(F418/F417-1,"")</f>
        <v/>
      </c>
      <c r="H418" s="11">
        <f>IFERROR(F418/F406-1,"")</f>
        <v>-1.0</v>
      </c>
    </row>
    <row r="419" spans="1:8">
      <c r="A419" s="6" t="s">
        <v>13</v>
      </c>
      <c r="B419" s="6" t="s">
        <v>213</v>
      </c>
      <c r="C419" s="6">
        <v>2027</v>
      </c>
      <c r="D419" s="6">
        <v>7</v>
      </c>
      <c r="E419" s="9" t="s">
        <v>207</v>
      </c>
      <c r="F419" s="10">
        <f>SUMIFS(Data!$K:$K,Data!$A:$A,2027,Data!$B:$B,7,Data!$G:$G,"FCC",Data!$F:$F,"PADD 2")</f>
        <v>0.0</v>
      </c>
      <c r="G419" s="11">
        <f>IFERROR(F419/F418-1,"")</f>
        <v/>
      </c>
      <c r="H419" s="11">
        <f>IFERROR(F419/F407-1,"")</f>
        <v/>
      </c>
    </row>
    <row r="420" spans="1:8">
      <c r="A420" s="6" t="s">
        <v>13</v>
      </c>
      <c r="B420" s="6" t="s">
        <v>213</v>
      </c>
      <c r="C420" s="6">
        <v>2027</v>
      </c>
      <c r="D420" s="6">
        <v>8</v>
      </c>
      <c r="E420" s="9" t="s">
        <v>208</v>
      </c>
      <c r="F420" s="10">
        <f>SUMIFS(Data!$K:$K,Data!$A:$A,2027,Data!$B:$B,8,Data!$G:$G,"FCC",Data!$F:$F,"PADD 2")</f>
        <v>0.0</v>
      </c>
      <c r="G420" s="11">
        <f>IFERROR(F420/F419-1,"")</f>
        <v/>
      </c>
      <c r="H420" s="11">
        <f>IFERROR(F420/F408-1,"")</f>
        <v/>
      </c>
    </row>
    <row r="421" spans="1:8">
      <c r="A421" s="6" t="s">
        <v>13</v>
      </c>
      <c r="B421" s="6" t="s">
        <v>213</v>
      </c>
      <c r="C421" s="6">
        <v>2027</v>
      </c>
      <c r="D421" s="6">
        <v>9</v>
      </c>
      <c r="E421" s="9" t="s">
        <v>209</v>
      </c>
      <c r="F421" s="10">
        <f>SUMIFS(Data!$K:$K,Data!$A:$A,2027,Data!$B:$B,9,Data!$G:$G,"FCC",Data!$F:$F,"PADD 2")</f>
        <v>157.5</v>
      </c>
      <c r="G421" s="11">
        <f>IFERROR(F421/F420-1,"")</f>
        <v/>
      </c>
      <c r="H421" s="11">
        <f>IFERROR(F421/F409-1,"")</f>
        <v>1.2849267372696938</v>
      </c>
    </row>
    <row r="422" spans="1:8">
      <c r="A422" s="6" t="s">
        <v>13</v>
      </c>
      <c r="B422" s="6" t="s">
        <v>213</v>
      </c>
      <c r="C422" s="6">
        <v>2027</v>
      </c>
      <c r="D422" s="6">
        <v>10</v>
      </c>
      <c r="E422" s="9" t="s">
        <v>210</v>
      </c>
      <c r="F422" s="10">
        <f>SUMIFS(Data!$K:$K,Data!$A:$A,2027,Data!$B:$B,10,Data!$G:$G,"FCC",Data!$F:$F,"PADD 2")</f>
        <v>111.47999999999999</v>
      </c>
      <c r="G422" s="11">
        <f>IFERROR(F422/F421-1,"")</f>
        <v>-0.2921904761904762</v>
      </c>
      <c r="H422" s="11">
        <f>IFERROR(F422/F410-1,"")</f>
        <v>-0.007390259104265051</v>
      </c>
    </row>
    <row r="423" spans="1:8">
      <c r="A423" s="6" t="s">
        <v>13</v>
      </c>
      <c r="B423" s="6" t="s">
        <v>213</v>
      </c>
      <c r="C423" s="6">
        <v>2027</v>
      </c>
      <c r="D423" s="6">
        <v>11</v>
      </c>
      <c r="E423" s="9" t="s">
        <v>211</v>
      </c>
      <c r="F423" s="10">
        <f>SUMIFS(Data!$K:$K,Data!$A:$A,2027,Data!$B:$B,11,Data!$G:$G,"FCC",Data!$F:$F,"PADD 2")</f>
        <v>0.0</v>
      </c>
      <c r="G423" s="11">
        <f>IFERROR(F423/F422-1,"")</f>
        <v>-1.0</v>
      </c>
      <c r="H423" s="11">
        <f>IFERROR(F423/F411-1,"")</f>
        <v>-1.0</v>
      </c>
    </row>
    <row r="424" spans="1:8">
      <c r="A424" s="6" t="s">
        <v>13</v>
      </c>
      <c r="B424" s="6" t="s">
        <v>213</v>
      </c>
      <c r="C424" s="6">
        <v>2027</v>
      </c>
      <c r="D424" s="6">
        <v>12</v>
      </c>
      <c r="E424" s="9" t="s">
        <v>212</v>
      </c>
      <c r="F424" s="10">
        <f>SUMIFS(Data!$K:$K,Data!$A:$A,2027,Data!$B:$B,12,Data!$G:$G,"FCC",Data!$F:$F,"PADD 2")</f>
        <v>0.0</v>
      </c>
      <c r="G424" s="11">
        <f>IFERROR(F424/F423-1,"")</f>
        <v/>
      </c>
      <c r="H424" s="11">
        <f>IFERROR(F424/F412-1,"")</f>
        <v/>
      </c>
    </row>
    <row r="425" spans="1:8">
      <c r="A425" s="6" t="s">
        <v>13</v>
      </c>
      <c r="B425" s="6" t="s">
        <v>214</v>
      </c>
      <c r="C425" s="6">
        <v>2023</v>
      </c>
      <c r="D425" s="6">
        <v>1</v>
      </c>
      <c r="E425" s="9" t="s">
        <v>153</v>
      </c>
      <c r="F425" s="10">
        <f>SUMIFS(Data!$K:$K,Data!$A:$A,2023,Data!$B:$B,1,Data!$G:$G,"FCC",Data!$F:$F,"PADD 3")</f>
        <v>506.214</v>
      </c>
    </row>
    <row r="426" spans="1:8">
      <c r="A426" s="6" t="s">
        <v>13</v>
      </c>
      <c r="B426" s="6" t="s">
        <v>214</v>
      </c>
      <c r="C426" s="6">
        <v>2023</v>
      </c>
      <c r="D426" s="6">
        <v>2</v>
      </c>
      <c r="E426" s="9" t="s">
        <v>154</v>
      </c>
      <c r="F426" s="10">
        <f>SUMIFS(Data!$K:$K,Data!$A:$A,2023,Data!$B:$B,2,Data!$G:$G,"FCC",Data!$F:$F,"PADD 3")</f>
        <v>464.4</v>
      </c>
      <c r="G426" s="11">
        <f>IFERROR(F426/F425-1,"")</f>
        <v>-0.08260142943498205</v>
      </c>
    </row>
    <row r="427" spans="1:8">
      <c r="A427" s="6" t="s">
        <v>13</v>
      </c>
      <c r="B427" s="6" t="s">
        <v>214</v>
      </c>
      <c r="C427" s="6">
        <v>2023</v>
      </c>
      <c r="D427" s="6">
        <v>3</v>
      </c>
      <c r="E427" s="9" t="s">
        <v>155</v>
      </c>
      <c r="F427" s="10">
        <f>SUMIFS(Data!$K:$K,Data!$A:$A,2023,Data!$B:$B,3,Data!$G:$G,"FCC",Data!$F:$F,"PADD 3")</f>
        <v>401.78999999999996</v>
      </c>
      <c r="G427" s="11">
        <f>IFERROR(F427/F426-1,"")</f>
        <v>-0.13481912144702846</v>
      </c>
    </row>
    <row r="428" spans="1:8">
      <c r="A428" s="6" t="s">
        <v>13</v>
      </c>
      <c r="B428" s="6" t="s">
        <v>214</v>
      </c>
      <c r="C428" s="6">
        <v>2023</v>
      </c>
      <c r="D428" s="6">
        <v>4</v>
      </c>
      <c r="E428" s="9" t="s">
        <v>156</v>
      </c>
      <c r="F428" s="10">
        <f>SUMIFS(Data!$K:$K,Data!$A:$A,2023,Data!$B:$B,4,Data!$G:$G,"FCC",Data!$F:$F,"PADD 3")</f>
        <v>351.69</v>
      </c>
      <c r="G428" s="11">
        <f>IFERROR(F428/F427-1,"")</f>
        <v>-0.12469200328529817</v>
      </c>
    </row>
    <row r="429" spans="1:8">
      <c r="A429" s="6" t="s">
        <v>13</v>
      </c>
      <c r="B429" s="6" t="s">
        <v>214</v>
      </c>
      <c r="C429" s="6">
        <v>2023</v>
      </c>
      <c r="D429" s="6">
        <v>5</v>
      </c>
      <c r="E429" s="9" t="s">
        <v>157</v>
      </c>
      <c r="F429" s="10">
        <f>SUMIFS(Data!$K:$K,Data!$A:$A,2023,Data!$B:$B,5,Data!$G:$G,"FCC",Data!$F:$F,"PADD 3")</f>
        <v>305.1</v>
      </c>
      <c r="G429" s="11">
        <f>IFERROR(F429/F428-1,"")</f>
        <v>-0.13247462253689324</v>
      </c>
    </row>
    <row r="430" spans="1:8">
      <c r="A430" s="6" t="s">
        <v>13</v>
      </c>
      <c r="B430" s="6" t="s">
        <v>214</v>
      </c>
      <c r="C430" s="6">
        <v>2023</v>
      </c>
      <c r="D430" s="6">
        <v>6</v>
      </c>
      <c r="E430" s="9" t="s">
        <v>158</v>
      </c>
      <c r="F430" s="10">
        <f>SUMIFS(Data!$K:$K,Data!$A:$A,2023,Data!$B:$B,6,Data!$G:$G,"FCC",Data!$F:$F,"PADD 3")</f>
        <v>205.28</v>
      </c>
      <c r="G430" s="11">
        <f>IFERROR(F430/F429-1,"")</f>
        <v>-0.32717141920681747</v>
      </c>
    </row>
    <row r="431" spans="1:8">
      <c r="A431" s="6" t="s">
        <v>13</v>
      </c>
      <c r="B431" s="6" t="s">
        <v>214</v>
      </c>
      <c r="C431" s="6">
        <v>2023</v>
      </c>
      <c r="D431" s="6">
        <v>7</v>
      </c>
      <c r="E431" s="9" t="s">
        <v>159</v>
      </c>
      <c r="F431" s="10">
        <f>SUMIFS(Data!$K:$K,Data!$A:$A,2023,Data!$B:$B,7,Data!$G:$G,"FCC",Data!$F:$F,"PADD 3")</f>
        <v>100.97</v>
      </c>
      <c r="G431" s="11">
        <f>IFERROR(F431/F430-1,"")</f>
        <v>-0.5081352299298519</v>
      </c>
    </row>
    <row r="432" spans="1:8">
      <c r="A432" s="6" t="s">
        <v>13</v>
      </c>
      <c r="B432" s="6" t="s">
        <v>214</v>
      </c>
      <c r="C432" s="6">
        <v>2023</v>
      </c>
      <c r="D432" s="6">
        <v>8</v>
      </c>
      <c r="E432" s="9" t="s">
        <v>160</v>
      </c>
      <c r="F432" s="10">
        <f>SUMIFS(Data!$K:$K,Data!$A:$A,2023,Data!$B:$B,8,Data!$G:$G,"FCC",Data!$F:$F,"PADD 3")</f>
        <v>123.595</v>
      </c>
      <c r="G432" s="11">
        <f>IFERROR(F432/F431-1,"")</f>
        <v>0.2240764583539665</v>
      </c>
    </row>
    <row r="433" spans="1:8">
      <c r="A433" s="6" t="s">
        <v>13</v>
      </c>
      <c r="B433" s="6" t="s">
        <v>214</v>
      </c>
      <c r="C433" s="6">
        <v>2023</v>
      </c>
      <c r="D433" s="6">
        <v>9</v>
      </c>
      <c r="E433" s="9" t="s">
        <v>161</v>
      </c>
      <c r="F433" s="10">
        <f>SUMIFS(Data!$K:$K,Data!$A:$A,2023,Data!$B:$B,9,Data!$G:$G,"FCC",Data!$F:$F,"PADD 3")</f>
        <v>258.475</v>
      </c>
      <c r="G433" s="11">
        <f>IFERROR(F433/F432-1,"")</f>
        <v>1.091306282616611</v>
      </c>
    </row>
    <row r="434" spans="1:8">
      <c r="A434" s="6" t="s">
        <v>13</v>
      </c>
      <c r="B434" s="6" t="s">
        <v>214</v>
      </c>
      <c r="C434" s="6">
        <v>2023</v>
      </c>
      <c r="D434" s="6">
        <v>10</v>
      </c>
      <c r="E434" s="9" t="s">
        <v>162</v>
      </c>
      <c r="F434" s="10">
        <f>SUMIFS(Data!$K:$K,Data!$A:$A,2023,Data!$B:$B,10,Data!$G:$G,"FCC",Data!$F:$F,"PADD 3")</f>
        <v>332.14</v>
      </c>
      <c r="G434" s="11">
        <f>IFERROR(F434/F433-1,"")</f>
        <v>0.28499854918270606</v>
      </c>
    </row>
    <row r="435" spans="1:8">
      <c r="A435" s="6" t="s">
        <v>13</v>
      </c>
      <c r="B435" s="6" t="s">
        <v>214</v>
      </c>
      <c r="C435" s="6">
        <v>2023</v>
      </c>
      <c r="D435" s="6">
        <v>11</v>
      </c>
      <c r="E435" s="9" t="s">
        <v>163</v>
      </c>
      <c r="F435" s="10">
        <f>SUMIFS(Data!$K:$K,Data!$A:$A,2023,Data!$B:$B,11,Data!$G:$G,"FCC",Data!$F:$F,"PADD 3")</f>
        <v>147.455</v>
      </c>
      <c r="G435" s="11">
        <f>IFERROR(F435/F434-1,"")</f>
        <v>-0.556045643403384</v>
      </c>
    </row>
    <row r="436" spans="1:8">
      <c r="A436" s="6" t="s">
        <v>13</v>
      </c>
      <c r="B436" s="6" t="s">
        <v>214</v>
      </c>
      <c r="C436" s="6">
        <v>2023</v>
      </c>
      <c r="D436" s="6">
        <v>12</v>
      </c>
      <c r="E436" s="9" t="s">
        <v>164</v>
      </c>
      <c r="F436" s="10">
        <f>SUMIFS(Data!$K:$K,Data!$A:$A,2023,Data!$B:$B,12,Data!$G:$G,"FCC",Data!$F:$F,"PADD 3")</f>
        <v>82.4</v>
      </c>
      <c r="G436" s="11">
        <f>IFERROR(F436/F435-1,"")</f>
        <v>-0.44118544640737856</v>
      </c>
    </row>
    <row r="437" spans="1:8">
      <c r="A437" s="6" t="s">
        <v>13</v>
      </c>
      <c r="B437" s="6" t="s">
        <v>214</v>
      </c>
      <c r="C437" s="6">
        <v>2024</v>
      </c>
      <c r="D437" s="6">
        <v>1</v>
      </c>
      <c r="E437" s="9" t="s">
        <v>165</v>
      </c>
      <c r="F437" s="10">
        <f>SUMIFS(Data!$K:$K,Data!$A:$A,2024,Data!$B:$B,1,Data!$G:$G,"FCC",Data!$F:$F,"PADD 3")</f>
        <v>265.975</v>
      </c>
      <c r="G437" s="11">
        <f>IFERROR(F437/F436-1,"")</f>
        <v>2.227851941747573</v>
      </c>
      <c r="H437" s="11">
        <f>IFERROR(F437/F425-1,"")</f>
        <v>-0.47457992074498134</v>
      </c>
    </row>
    <row r="438" spans="1:8">
      <c r="A438" s="6" t="s">
        <v>13</v>
      </c>
      <c r="B438" s="6" t="s">
        <v>214</v>
      </c>
      <c r="C438" s="6">
        <v>2024</v>
      </c>
      <c r="D438" s="6">
        <v>2</v>
      </c>
      <c r="E438" s="9" t="s">
        <v>166</v>
      </c>
      <c r="F438" s="10">
        <f>SUMIFS(Data!$K:$K,Data!$A:$A,2024,Data!$B:$B,2,Data!$G:$G,"FCC",Data!$F:$F,"PADD 3")</f>
        <v>507.2778</v>
      </c>
      <c r="G438" s="11">
        <f>IFERROR(F438/F437-1,"")</f>
        <v>0.9072386502490835</v>
      </c>
      <c r="H438" s="11">
        <f>IFERROR(F438/F426-1,"")</f>
        <v>0.09232945736434117</v>
      </c>
    </row>
    <row r="439" spans="1:8">
      <c r="A439" s="6" t="s">
        <v>13</v>
      </c>
      <c r="B439" s="6" t="s">
        <v>214</v>
      </c>
      <c r="C439" s="6">
        <v>2024</v>
      </c>
      <c r="D439" s="6">
        <v>3</v>
      </c>
      <c r="E439" s="9" t="s">
        <v>167</v>
      </c>
      <c r="F439" s="10">
        <f>SUMIFS(Data!$K:$K,Data!$A:$A,2024,Data!$B:$B,3,Data!$G:$G,"FCC",Data!$F:$F,"PADD 3")</f>
        <v>232.255</v>
      </c>
      <c r="G439" s="11">
        <f>IFERROR(F439/F438-1,"")</f>
        <v>-0.5421542200348606</v>
      </c>
      <c r="H439" s="11">
        <f>IFERROR(F439/F427-1,"")</f>
        <v>-0.4219492769854899</v>
      </c>
    </row>
    <row r="440" spans="1:8">
      <c r="A440" s="6" t="s">
        <v>13</v>
      </c>
      <c r="B440" s="6" t="s">
        <v>214</v>
      </c>
      <c r="C440" s="6">
        <v>2024</v>
      </c>
      <c r="D440" s="6">
        <v>4</v>
      </c>
      <c r="E440" s="9" t="s">
        <v>168</v>
      </c>
      <c r="F440" s="10">
        <f>SUMIFS(Data!$K:$K,Data!$A:$A,2024,Data!$B:$B,4,Data!$G:$G,"FCC",Data!$F:$F,"PADD 3")</f>
        <v>221.527</v>
      </c>
      <c r="G440" s="11">
        <f>IFERROR(F440/F439-1,"")</f>
        <v>-0.04619060945943043</v>
      </c>
      <c r="H440" s="11">
        <f>IFERROR(F440/F428-1,"")</f>
        <v>-0.37010719667889336</v>
      </c>
    </row>
    <row r="441" spans="1:8">
      <c r="A441" s="6" t="s">
        <v>13</v>
      </c>
      <c r="B441" s="6" t="s">
        <v>214</v>
      </c>
      <c r="C441" s="6">
        <v>2024</v>
      </c>
      <c r="D441" s="6">
        <v>5</v>
      </c>
      <c r="E441" s="9" t="s">
        <v>169</v>
      </c>
      <c r="F441" s="10">
        <f>SUMIFS(Data!$K:$K,Data!$A:$A,2024,Data!$B:$B,5,Data!$G:$G,"FCC",Data!$F:$F,"PADD 3")</f>
        <v>118.18</v>
      </c>
      <c r="G441" s="11">
        <f>IFERROR(F441/F440-1,"")</f>
        <v>-0.4665210109828598</v>
      </c>
      <c r="H441" s="11">
        <f>IFERROR(F441/F429-1,"")</f>
        <v>-0.61265158964274</v>
      </c>
    </row>
    <row r="442" spans="1:8">
      <c r="A442" s="6" t="s">
        <v>13</v>
      </c>
      <c r="B442" s="6" t="s">
        <v>214</v>
      </c>
      <c r="C442" s="6">
        <v>2024</v>
      </c>
      <c r="D442" s="6">
        <v>6</v>
      </c>
      <c r="E442" s="9" t="s">
        <v>170</v>
      </c>
      <c r="F442" s="10">
        <f>SUMIFS(Data!$K:$K,Data!$A:$A,2024,Data!$B:$B,6,Data!$G:$G,"FCC",Data!$F:$F,"PADD 3")</f>
        <v>130.065</v>
      </c>
      <c r="G442" s="11">
        <f>IFERROR(F442/F441-1,"")</f>
        <v>0.1005669317989506</v>
      </c>
      <c r="H442" s="11">
        <f>IFERROR(F442/F430-1,"")</f>
        <v>-0.36640198752922837</v>
      </c>
    </row>
    <row r="443" spans="1:8">
      <c r="A443" s="6" t="s">
        <v>13</v>
      </c>
      <c r="B443" s="6" t="s">
        <v>214</v>
      </c>
      <c r="C443" s="6">
        <v>2024</v>
      </c>
      <c r="D443" s="6">
        <v>7</v>
      </c>
      <c r="E443" s="9" t="s">
        <v>171</v>
      </c>
      <c r="F443" s="10">
        <f>SUMIFS(Data!$K:$K,Data!$A:$A,2024,Data!$B:$B,7,Data!$G:$G,"FCC",Data!$F:$F,"PADD 3")</f>
        <v>187.91</v>
      </c>
      <c r="G443" s="11">
        <f>IFERROR(F443/F442-1,"")</f>
        <v>0.44473916887709986</v>
      </c>
      <c r="H443" s="11">
        <f>IFERROR(F443/F431-1,"")</f>
        <v>0.8610478359908884</v>
      </c>
    </row>
    <row r="444" spans="1:8">
      <c r="A444" s="6" t="s">
        <v>13</v>
      </c>
      <c r="B444" s="6" t="s">
        <v>214</v>
      </c>
      <c r="C444" s="6">
        <v>2024</v>
      </c>
      <c r="D444" s="6">
        <v>8</v>
      </c>
      <c r="E444" s="9" t="s">
        <v>172</v>
      </c>
      <c r="F444" s="10">
        <f>SUMIFS(Data!$K:$K,Data!$A:$A,2024,Data!$B:$B,8,Data!$G:$G,"FCC",Data!$F:$F,"PADD 3")</f>
        <v>148.8</v>
      </c>
      <c r="G444" s="11">
        <f>IFERROR(F444/F443-1,"")</f>
        <v>-0.20813155233888558</v>
      </c>
      <c r="H444" s="11">
        <f>IFERROR(F444/F432-1,"")</f>
        <v>0.20393219790444617</v>
      </c>
    </row>
    <row r="445" spans="1:8">
      <c r="A445" s="6" t="s">
        <v>13</v>
      </c>
      <c r="B445" s="6" t="s">
        <v>214</v>
      </c>
      <c r="C445" s="6">
        <v>2024</v>
      </c>
      <c r="D445" s="6">
        <v>9</v>
      </c>
      <c r="E445" s="9" t="s">
        <v>173</v>
      </c>
      <c r="F445" s="10">
        <f>SUMIFS(Data!$K:$K,Data!$A:$A,2024,Data!$B:$B,9,Data!$G:$G,"FCC",Data!$F:$F,"PADD 3")</f>
        <v>234.304</v>
      </c>
      <c r="G445" s="11">
        <f>IFERROR(F445/F444-1,"")</f>
        <v>0.5746236559139783</v>
      </c>
      <c r="H445" s="11">
        <f>IFERROR(F445/F433-1,"")</f>
        <v>-0.09351387948544354</v>
      </c>
    </row>
    <row r="446" spans="1:8">
      <c r="A446" s="6" t="s">
        <v>13</v>
      </c>
      <c r="B446" s="6" t="s">
        <v>214</v>
      </c>
      <c r="C446" s="6">
        <v>2024</v>
      </c>
      <c r="D446" s="6">
        <v>10</v>
      </c>
      <c r="E446" s="9" t="s">
        <v>174</v>
      </c>
      <c r="F446" s="10">
        <f>SUMIFS(Data!$K:$K,Data!$A:$A,2024,Data!$B:$B,10,Data!$G:$G,"FCC",Data!$F:$F,"PADD 3")</f>
        <v>153.655</v>
      </c>
      <c r="G446" s="11">
        <f>IFERROR(F446/F445-1,"")</f>
        <v>-0.3442066716744059</v>
      </c>
      <c r="H446" s="11">
        <f>IFERROR(F446/F434-1,"")</f>
        <v>-0.5373788161618595</v>
      </c>
    </row>
    <row r="447" spans="1:8">
      <c r="A447" s="6" t="s">
        <v>13</v>
      </c>
      <c r="B447" s="6" t="s">
        <v>214</v>
      </c>
      <c r="C447" s="6">
        <v>2024</v>
      </c>
      <c r="D447" s="6">
        <v>11</v>
      </c>
      <c r="E447" s="9" t="s">
        <v>175</v>
      </c>
      <c r="F447" s="10">
        <f>SUMIFS(Data!$K:$K,Data!$A:$A,2024,Data!$B:$B,11,Data!$G:$G,"FCC",Data!$F:$F,"PADD 3")</f>
        <v>113.616</v>
      </c>
      <c r="G447" s="11">
        <f>IFERROR(F447/F446-1,"")</f>
        <v>-0.26057726725456376</v>
      </c>
      <c r="H447" s="11">
        <f>IFERROR(F447/F435-1,"")</f>
        <v>-0.22948696212403796</v>
      </c>
    </row>
    <row r="448" spans="1:8">
      <c r="A448" s="6" t="s">
        <v>13</v>
      </c>
      <c r="B448" s="6" t="s">
        <v>214</v>
      </c>
      <c r="C448" s="6">
        <v>2024</v>
      </c>
      <c r="D448" s="6">
        <v>12</v>
      </c>
      <c r="E448" s="9" t="s">
        <v>176</v>
      </c>
      <c r="F448" s="10">
        <f>SUMIFS(Data!$K:$K,Data!$A:$A,2024,Data!$B:$B,12,Data!$G:$G,"FCC",Data!$F:$F,"PADD 3")</f>
        <v>43.65</v>
      </c>
      <c r="G448" s="11">
        <f>IFERROR(F448/F447-1,"")</f>
        <v>-0.6158111533586819</v>
      </c>
      <c r="H448" s="11">
        <f>IFERROR(F448/F436-1,"")</f>
        <v>-0.4702669902912622</v>
      </c>
    </row>
    <row r="449" spans="1:8">
      <c r="A449" s="6" t="s">
        <v>13</v>
      </c>
      <c r="B449" s="6" t="s">
        <v>214</v>
      </c>
      <c r="C449" s="6">
        <v>2025</v>
      </c>
      <c r="D449" s="6">
        <v>1</v>
      </c>
      <c r="E449" s="9" t="s">
        <v>177</v>
      </c>
      <c r="F449" s="10">
        <f>SUMIFS(Data!$K:$K,Data!$A:$A,2025,Data!$B:$B,1,Data!$G:$G,"FCC",Data!$F:$F,"PADD 3")</f>
        <v>204.096</v>
      </c>
      <c r="G449" s="11">
        <f>IFERROR(F449/F448-1,"")</f>
        <v>3.6757388316151207</v>
      </c>
      <c r="H449" s="11">
        <f>IFERROR(F449/F437-1,"")</f>
        <v>-0.2326496851207821</v>
      </c>
    </row>
    <row r="450" spans="1:8">
      <c r="A450" s="6" t="s">
        <v>13</v>
      </c>
      <c r="B450" s="6" t="s">
        <v>214</v>
      </c>
      <c r="C450" s="6">
        <v>2025</v>
      </c>
      <c r="D450" s="6">
        <v>2</v>
      </c>
      <c r="E450" s="9" t="s">
        <v>178</v>
      </c>
      <c r="F450" s="10">
        <f>SUMIFS(Data!$K:$K,Data!$A:$A,2025,Data!$B:$B,2,Data!$G:$G,"FCC",Data!$F:$F,"PADD 3")</f>
        <v>285.286</v>
      </c>
      <c r="G450" s="11">
        <f>IFERROR(F450/F449-1,"")</f>
        <v>0.39780299466917524</v>
      </c>
      <c r="H450" s="11">
        <f>IFERROR(F450/F438-1,"")</f>
        <v>-0.43761386758892273</v>
      </c>
    </row>
    <row r="451" spans="1:8">
      <c r="A451" s="6" t="s">
        <v>13</v>
      </c>
      <c r="B451" s="6" t="s">
        <v>214</v>
      </c>
      <c r="C451" s="6">
        <v>2025</v>
      </c>
      <c r="D451" s="6">
        <v>3</v>
      </c>
      <c r="E451" s="9" t="s">
        <v>179</v>
      </c>
      <c r="F451" s="10">
        <f>SUMIFS(Data!$K:$K,Data!$A:$A,2025,Data!$B:$B,3,Data!$G:$G,"FCC",Data!$F:$F,"PADD 3")</f>
        <v>239.778</v>
      </c>
      <c r="G451" s="11">
        <f>IFERROR(F451/F450-1,"")</f>
        <v>-0.1595171161571196</v>
      </c>
      <c r="H451" s="11">
        <f>IFERROR(F451/F439-1,"")</f>
        <v>0.03239112182730186</v>
      </c>
    </row>
    <row r="452" spans="1:8">
      <c r="A452" s="6" t="s">
        <v>13</v>
      </c>
      <c r="B452" s="6" t="s">
        <v>214</v>
      </c>
      <c r="C452" s="6">
        <v>2025</v>
      </c>
      <c r="D452" s="6">
        <v>4</v>
      </c>
      <c r="E452" s="9" t="s">
        <v>180</v>
      </c>
      <c r="F452" s="10">
        <f>SUMIFS(Data!$K:$K,Data!$A:$A,2025,Data!$B:$B,4,Data!$G:$G,"FCC",Data!$F:$F,"PADD 3")</f>
        <v>78.2</v>
      </c>
      <c r="G452" s="11">
        <f>IFERROR(F452/F451-1,"")</f>
        <v>-0.6738649917840669</v>
      </c>
      <c r="H452" s="11">
        <f>IFERROR(F452/F440-1,"")</f>
        <v>-0.6469956258153633</v>
      </c>
    </row>
    <row r="453" spans="1:8">
      <c r="A453" s="6" t="s">
        <v>13</v>
      </c>
      <c r="B453" s="6" t="s">
        <v>214</v>
      </c>
      <c r="C453" s="6">
        <v>2025</v>
      </c>
      <c r="D453" s="6">
        <v>5</v>
      </c>
      <c r="E453" s="9" t="s">
        <v>181</v>
      </c>
      <c r="F453" s="10">
        <f>SUMIFS(Data!$K:$K,Data!$A:$A,2025,Data!$B:$B,5,Data!$G:$G,"FCC",Data!$F:$F,"PADD 3")</f>
        <v>26.64</v>
      </c>
      <c r="G453" s="11">
        <f>IFERROR(F453/F452-1,"")</f>
        <v>-0.6593350383631713</v>
      </c>
      <c r="H453" s="11">
        <f>IFERROR(F453/F441-1,"")</f>
        <v>-0.7745811474022677</v>
      </c>
    </row>
    <row r="454" spans="1:8">
      <c r="A454" s="6" t="s">
        <v>13</v>
      </c>
      <c r="B454" s="6" t="s">
        <v>214</v>
      </c>
      <c r="C454" s="6">
        <v>2025</v>
      </c>
      <c r="D454" s="6">
        <v>6</v>
      </c>
      <c r="E454" s="9" t="s">
        <v>182</v>
      </c>
      <c r="F454" s="10">
        <f>SUMIFS(Data!$K:$K,Data!$A:$A,2025,Data!$B:$B,6,Data!$G:$G,"FCC",Data!$F:$F,"PADD 3")</f>
        <v>57.805</v>
      </c>
      <c r="G454" s="11">
        <f>IFERROR(F454/F453-1,"")</f>
        <v>1.1698573573573574</v>
      </c>
      <c r="H454" s="11">
        <f>IFERROR(F454/F442-1,"")</f>
        <v>-0.5555683696613232</v>
      </c>
    </row>
    <row r="455" spans="1:8">
      <c r="A455" s="6" t="s">
        <v>13</v>
      </c>
      <c r="B455" s="6" t="s">
        <v>214</v>
      </c>
      <c r="C455" s="6">
        <v>2025</v>
      </c>
      <c r="D455" s="6">
        <v>7</v>
      </c>
      <c r="E455" s="9" t="s">
        <v>183</v>
      </c>
      <c r="F455" s="10">
        <f>SUMIFS(Data!$K:$K,Data!$A:$A,2025,Data!$B:$B,7,Data!$G:$G,"FCC",Data!$F:$F,"PADD 3")</f>
        <v>38.635</v>
      </c>
      <c r="G455" s="11">
        <f>IFERROR(F455/F454-1,"")</f>
        <v>-0.3316322117463888</v>
      </c>
      <c r="H455" s="11">
        <f>IFERROR(F455/F443-1,"")</f>
        <v>-0.7943962535256239</v>
      </c>
    </row>
    <row r="456" spans="1:8">
      <c r="A456" s="6" t="s">
        <v>13</v>
      </c>
      <c r="B456" s="6" t="s">
        <v>214</v>
      </c>
      <c r="C456" s="6">
        <v>2025</v>
      </c>
      <c r="D456" s="6">
        <v>8</v>
      </c>
      <c r="E456" s="9" t="s">
        <v>184</v>
      </c>
      <c r="F456" s="10">
        <f>SUMIFS(Data!$K:$K,Data!$A:$A,2025,Data!$B:$B,8,Data!$G:$G,"FCC",Data!$F:$F,"PADD 3")</f>
        <v>123.435</v>
      </c>
      <c r="G456" s="11">
        <f>IFERROR(F456/F455-1,"")</f>
        <v>2.1949009965057593</v>
      </c>
      <c r="H456" s="11">
        <f>IFERROR(F456/F444-1,"")</f>
        <v>-0.17046370967741942</v>
      </c>
    </row>
    <row r="457" spans="1:8">
      <c r="A457" s="6" t="s">
        <v>13</v>
      </c>
      <c r="B457" s="6" t="s">
        <v>214</v>
      </c>
      <c r="C457" s="6">
        <v>2025</v>
      </c>
      <c r="D457" s="6">
        <v>9</v>
      </c>
      <c r="E457" s="9" t="s">
        <v>185</v>
      </c>
      <c r="F457" s="10">
        <f>SUMIFS(Data!$K:$K,Data!$A:$A,2025,Data!$B:$B,9,Data!$G:$G,"FCC",Data!$F:$F,"PADD 3")</f>
        <v>200.485</v>
      </c>
      <c r="G457" s="11">
        <f>IFERROR(F457/F456-1,"")</f>
        <v>0.6242151739782071</v>
      </c>
      <c r="H457" s="11">
        <f>IFERROR(F457/F445-1,"")</f>
        <v>-0.14433812482928154</v>
      </c>
    </row>
    <row r="458" spans="1:8">
      <c r="A458" s="6" t="s">
        <v>13</v>
      </c>
      <c r="B458" s="6" t="s">
        <v>214</v>
      </c>
      <c r="C458" s="6">
        <v>2025</v>
      </c>
      <c r="D458" s="6">
        <v>10</v>
      </c>
      <c r="E458" s="9" t="s">
        <v>186</v>
      </c>
      <c r="F458" s="10">
        <f>SUMIFS(Data!$K:$K,Data!$A:$A,2025,Data!$B:$B,10,Data!$G:$G,"FCC",Data!$F:$F,"PADD 3")</f>
        <v>294.9915</v>
      </c>
      <c r="G458" s="11">
        <f>IFERROR(F458/F457-1,"")</f>
        <v>0.4713893807516769</v>
      </c>
      <c r="H458" s="11">
        <f>IFERROR(F458/F446-1,"")</f>
        <v>0.9198301389476422</v>
      </c>
    </row>
    <row r="459" spans="1:8">
      <c r="A459" s="6" t="s">
        <v>13</v>
      </c>
      <c r="B459" s="6" t="s">
        <v>214</v>
      </c>
      <c r="C459" s="6">
        <v>2025</v>
      </c>
      <c r="D459" s="6">
        <v>11</v>
      </c>
      <c r="E459" s="9" t="s">
        <v>187</v>
      </c>
      <c r="F459" s="10">
        <f>SUMIFS(Data!$K:$K,Data!$A:$A,2025,Data!$B:$B,11,Data!$G:$G,"FCC",Data!$F:$F,"PADD 3")</f>
        <v>93.26289999999999</v>
      </c>
      <c r="G459" s="11">
        <f>IFERROR(F459/F458-1,"")</f>
        <v>-0.6838454667337872</v>
      </c>
      <c r="H459" s="11">
        <f>IFERROR(F459/F447-1,"")</f>
        <v>-0.17913938177721456</v>
      </c>
    </row>
    <row r="460" spans="1:8">
      <c r="A460" s="6" t="s">
        <v>13</v>
      </c>
      <c r="B460" s="6" t="s">
        <v>214</v>
      </c>
      <c r="C460" s="6">
        <v>2025</v>
      </c>
      <c r="D460" s="6">
        <v>12</v>
      </c>
      <c r="E460" s="9" t="s">
        <v>188</v>
      </c>
      <c r="F460" s="10">
        <f>SUMIFS(Data!$K:$K,Data!$A:$A,2025,Data!$B:$B,12,Data!$G:$G,"FCC",Data!$F:$F,"PADD 3")</f>
        <v>0.0</v>
      </c>
      <c r="G460" s="11">
        <f>IFERROR(F460/F459-1,"")</f>
        <v>-1.0</v>
      </c>
      <c r="H460" s="11">
        <f>IFERROR(F460/F448-1,"")</f>
        <v>-1.0</v>
      </c>
    </row>
    <row r="461" spans="1:8">
      <c r="A461" s="6" t="s">
        <v>13</v>
      </c>
      <c r="B461" s="6" t="s">
        <v>214</v>
      </c>
      <c r="C461" s="6">
        <v>2026</v>
      </c>
      <c r="D461" s="6">
        <v>1</v>
      </c>
      <c r="E461" s="9" t="s">
        <v>189</v>
      </c>
      <c r="F461" s="10">
        <f>SUMIFS(Data!$K:$K,Data!$A:$A,2026,Data!$B:$B,1,Data!$G:$G,"FCC",Data!$F:$F,"PADD 3")</f>
        <v>210.45</v>
      </c>
      <c r="G461" s="11">
        <f>IFERROR(F461/F460-1,"")</f>
        <v/>
      </c>
      <c r="H461" s="11">
        <f>IFERROR(F461/F449-1,"")</f>
        <v>0.031132408278457202</v>
      </c>
    </row>
    <row r="462" spans="1:8">
      <c r="A462" s="6" t="s">
        <v>13</v>
      </c>
      <c r="B462" s="6" t="s">
        <v>214</v>
      </c>
      <c r="C462" s="6">
        <v>2026</v>
      </c>
      <c r="D462" s="6">
        <v>2</v>
      </c>
      <c r="E462" s="9" t="s">
        <v>190</v>
      </c>
      <c r="F462" s="10">
        <f>SUMIFS(Data!$K:$K,Data!$A:$A,2026,Data!$B:$B,2,Data!$G:$G,"FCC",Data!$F:$F,"PADD 3")</f>
        <v>365.6375</v>
      </c>
      <c r="G462" s="11">
        <f>IFERROR(F462/F461-1,"")</f>
        <v>0.7374079353765741</v>
      </c>
      <c r="H462" s="11">
        <f>IFERROR(F462/F450-1,"")</f>
        <v>0.2816524470180801</v>
      </c>
    </row>
    <row r="463" spans="1:8">
      <c r="A463" s="6" t="s">
        <v>13</v>
      </c>
      <c r="B463" s="6" t="s">
        <v>214</v>
      </c>
      <c r="C463" s="6">
        <v>2026</v>
      </c>
      <c r="D463" s="6">
        <v>3</v>
      </c>
      <c r="E463" s="9" t="s">
        <v>191</v>
      </c>
      <c r="F463" s="10">
        <f>SUMIFS(Data!$K:$K,Data!$A:$A,2026,Data!$B:$B,3,Data!$G:$G,"FCC",Data!$F:$F,"PADD 3")</f>
        <v>125.822</v>
      </c>
      <c r="G463" s="11">
        <f>IFERROR(F463/F462-1,"")</f>
        <v>-0.655883217667772</v>
      </c>
      <c r="H463" s="11">
        <f>IFERROR(F463/F451-1,"")</f>
        <v>-0.47525627872448684</v>
      </c>
    </row>
    <row r="464" spans="1:8">
      <c r="A464" s="6" t="s">
        <v>13</v>
      </c>
      <c r="B464" s="6" t="s">
        <v>214</v>
      </c>
      <c r="C464" s="6">
        <v>2026</v>
      </c>
      <c r="D464" s="6">
        <v>4</v>
      </c>
      <c r="E464" s="9" t="s">
        <v>192</v>
      </c>
      <c r="F464" s="10">
        <f>SUMIFS(Data!$K:$K,Data!$A:$A,2026,Data!$B:$B,4,Data!$G:$G,"FCC",Data!$F:$F,"PADD 3")</f>
        <v>253.71</v>
      </c>
      <c r="G464" s="11">
        <f>IFERROR(F464/F463-1,"")</f>
        <v>1.0164200219357507</v>
      </c>
      <c r="H464" s="11">
        <f>IFERROR(F464/F452-1,"")</f>
        <v>2.244373401534527</v>
      </c>
    </row>
    <row r="465" spans="1:8">
      <c r="A465" s="6" t="s">
        <v>13</v>
      </c>
      <c r="B465" s="6" t="s">
        <v>214</v>
      </c>
      <c r="C465" s="6">
        <v>2026</v>
      </c>
      <c r="D465" s="6">
        <v>5</v>
      </c>
      <c r="E465" s="9" t="s">
        <v>193</v>
      </c>
      <c r="F465" s="10">
        <f>SUMIFS(Data!$K:$K,Data!$A:$A,2026,Data!$B:$B,5,Data!$G:$G,"FCC",Data!$F:$F,"PADD 3")</f>
        <v>125.3915</v>
      </c>
      <c r="G465" s="11">
        <f>IFERROR(F465/F464-1,"")</f>
        <v>-0.5057683969886879</v>
      </c>
      <c r="H465" s="11">
        <f>IFERROR(F465/F453-1,"")</f>
        <v>3.7068881381381376</v>
      </c>
    </row>
    <row r="466" spans="1:8">
      <c r="A466" s="6" t="s">
        <v>13</v>
      </c>
      <c r="B466" s="6" t="s">
        <v>214</v>
      </c>
      <c r="C466" s="6">
        <v>2026</v>
      </c>
      <c r="D466" s="6">
        <v>6</v>
      </c>
      <c r="E466" s="9" t="s">
        <v>194</v>
      </c>
      <c r="F466" s="10">
        <f>SUMIFS(Data!$K:$K,Data!$A:$A,2026,Data!$B:$B,6,Data!$G:$G,"FCC",Data!$F:$F,"PADD 3")</f>
        <v>54.72</v>
      </c>
      <c r="G466" s="11">
        <f>IFERROR(F466/F465-1,"")</f>
        <v>-0.5636067835539091</v>
      </c>
      <c r="H466" s="11">
        <f>IFERROR(F466/F454-1,"")</f>
        <v>-0.05336908571922849</v>
      </c>
    </row>
    <row r="467" spans="1:8">
      <c r="A467" s="6" t="s">
        <v>13</v>
      </c>
      <c r="B467" s="6" t="s">
        <v>214</v>
      </c>
      <c r="C467" s="6">
        <v>2026</v>
      </c>
      <c r="D467" s="6">
        <v>7</v>
      </c>
      <c r="E467" s="9" t="s">
        <v>195</v>
      </c>
      <c r="F467" s="10">
        <f>SUMIFS(Data!$K:$K,Data!$A:$A,2026,Data!$B:$B,7,Data!$G:$G,"FCC",Data!$F:$F,"PADD 3")</f>
        <v>1.8</v>
      </c>
      <c r="G467" s="11">
        <f>IFERROR(F467/F466-1,"")</f>
        <v>-0.9671052631578947</v>
      </c>
      <c r="H467" s="11">
        <f>IFERROR(F467/F455-1,"")</f>
        <v>-0.9534101203571891</v>
      </c>
    </row>
    <row r="468" spans="1:8">
      <c r="A468" s="6" t="s">
        <v>13</v>
      </c>
      <c r="B468" s="6" t="s">
        <v>214</v>
      </c>
      <c r="C468" s="6">
        <v>2026</v>
      </c>
      <c r="D468" s="6">
        <v>8</v>
      </c>
      <c r="E468" s="9" t="s">
        <v>196</v>
      </c>
      <c r="F468" s="10">
        <f>SUMIFS(Data!$K:$K,Data!$A:$A,2026,Data!$B:$B,8,Data!$G:$G,"FCC",Data!$F:$F,"PADD 3")</f>
        <v>0.0</v>
      </c>
      <c r="G468" s="11">
        <f>IFERROR(F468/F467-1,"")</f>
        <v>-1.0</v>
      </c>
      <c r="H468" s="11">
        <f>IFERROR(F468/F456-1,"")</f>
        <v>-1.0</v>
      </c>
    </row>
    <row r="469" spans="1:8">
      <c r="A469" s="6" t="s">
        <v>13</v>
      </c>
      <c r="B469" s="6" t="s">
        <v>214</v>
      </c>
      <c r="C469" s="6">
        <v>2026</v>
      </c>
      <c r="D469" s="6">
        <v>9</v>
      </c>
      <c r="E469" s="9" t="s">
        <v>197</v>
      </c>
      <c r="F469" s="10">
        <f>SUMIFS(Data!$K:$K,Data!$A:$A,2026,Data!$B:$B,9,Data!$G:$G,"FCC",Data!$F:$F,"PADD 3")</f>
        <v>0.0</v>
      </c>
      <c r="G469" s="11">
        <f>IFERROR(F469/F468-1,"")</f>
        <v/>
      </c>
      <c r="H469" s="11">
        <f>IFERROR(F469/F457-1,"")</f>
        <v>-1.0</v>
      </c>
    </row>
    <row r="470" spans="1:8">
      <c r="A470" s="6" t="s">
        <v>13</v>
      </c>
      <c r="B470" s="6" t="s">
        <v>214</v>
      </c>
      <c r="C470" s="6">
        <v>2026</v>
      </c>
      <c r="D470" s="6">
        <v>10</v>
      </c>
      <c r="E470" s="9" t="s">
        <v>198</v>
      </c>
      <c r="F470" s="10">
        <f>SUMIFS(Data!$K:$K,Data!$A:$A,2026,Data!$B:$B,10,Data!$G:$G,"FCC",Data!$F:$F,"PADD 3")</f>
        <v>17.5</v>
      </c>
      <c r="G470" s="11">
        <f>IFERROR(F470/F469-1,"")</f>
        <v/>
      </c>
      <c r="H470" s="11">
        <f>IFERROR(F470/F458-1,"")</f>
        <v>-0.9406762567735002</v>
      </c>
    </row>
    <row r="471" spans="1:8">
      <c r="A471" s="6" t="s">
        <v>13</v>
      </c>
      <c r="B471" s="6" t="s">
        <v>214</v>
      </c>
      <c r="C471" s="6">
        <v>2026</v>
      </c>
      <c r="D471" s="6">
        <v>11</v>
      </c>
      <c r="E471" s="9" t="s">
        <v>199</v>
      </c>
      <c r="F471" s="10">
        <f>SUMIFS(Data!$K:$K,Data!$A:$A,2026,Data!$B:$B,11,Data!$G:$G,"FCC",Data!$F:$F,"PADD 3")</f>
        <v>8.225</v>
      </c>
      <c r="G471" s="11">
        <f>IFERROR(F471/F470-1,"")</f>
        <v>-0.53</v>
      </c>
      <c r="H471" s="11">
        <f>IFERROR(F471/F459-1,"")</f>
        <v>-0.9118084468743735</v>
      </c>
    </row>
    <row r="472" spans="1:8">
      <c r="A472" s="6" t="s">
        <v>13</v>
      </c>
      <c r="B472" s="6" t="s">
        <v>214</v>
      </c>
      <c r="C472" s="6">
        <v>2026</v>
      </c>
      <c r="D472" s="6">
        <v>12</v>
      </c>
      <c r="E472" s="9" t="s">
        <v>200</v>
      </c>
      <c r="F472" s="10">
        <f>SUMIFS(Data!$K:$K,Data!$A:$A,2026,Data!$B:$B,12,Data!$G:$G,"FCC",Data!$F:$F,"PADD 3")</f>
        <v>0.0</v>
      </c>
      <c r="G472" s="11">
        <f>IFERROR(F472/F471-1,"")</f>
        <v>-1.0</v>
      </c>
      <c r="H472" s="11">
        <f>IFERROR(F472/F460-1,"")</f>
        <v/>
      </c>
    </row>
    <row r="473" spans="1:8">
      <c r="A473" s="6" t="s">
        <v>13</v>
      </c>
      <c r="B473" s="6" t="s">
        <v>214</v>
      </c>
      <c r="C473" s="6">
        <v>2027</v>
      </c>
      <c r="D473" s="6">
        <v>1</v>
      </c>
      <c r="E473" s="9" t="s">
        <v>201</v>
      </c>
      <c r="F473" s="10">
        <f>SUMIFS(Data!$K:$K,Data!$A:$A,2027,Data!$B:$B,1,Data!$G:$G,"FCC",Data!$F:$F,"PADD 3")</f>
        <v>250.98000000000002</v>
      </c>
      <c r="G473" s="11">
        <f>IFERROR(F473/F472-1,"")</f>
        <v/>
      </c>
      <c r="H473" s="11">
        <f>IFERROR(F473/F461-1,"")</f>
        <v>0.1925873129009268</v>
      </c>
    </row>
    <row r="474" spans="1:8">
      <c r="A474" s="6" t="s">
        <v>13</v>
      </c>
      <c r="B474" s="6" t="s">
        <v>214</v>
      </c>
      <c r="C474" s="6">
        <v>2027</v>
      </c>
      <c r="D474" s="6">
        <v>2</v>
      </c>
      <c r="E474" s="9" t="s">
        <v>202</v>
      </c>
      <c r="F474" s="10">
        <f>SUMIFS(Data!$K:$K,Data!$A:$A,2027,Data!$B:$B,2,Data!$G:$G,"FCC",Data!$F:$F,"PADD 3")</f>
        <v>389.7375</v>
      </c>
      <c r="G474" s="11">
        <f>IFERROR(F474/F473-1,"")</f>
        <v>0.5528627779105904</v>
      </c>
      <c r="H474" s="11">
        <f>IFERROR(F474/F462-1,"")</f>
        <v>0.0659122765033675</v>
      </c>
    </row>
    <row r="475" spans="1:8">
      <c r="A475" s="6" t="s">
        <v>13</v>
      </c>
      <c r="B475" s="6" t="s">
        <v>214</v>
      </c>
      <c r="C475" s="6">
        <v>2027</v>
      </c>
      <c r="D475" s="6">
        <v>3</v>
      </c>
      <c r="E475" s="9" t="s">
        <v>203</v>
      </c>
      <c r="F475" s="10">
        <f>SUMIFS(Data!$K:$K,Data!$A:$A,2027,Data!$B:$B,3,Data!$G:$G,"FCC",Data!$F:$F,"PADD 3")</f>
        <v>344.305</v>
      </c>
      <c r="G475" s="11">
        <f>IFERROR(F475/F474-1,"")</f>
        <v>-0.11657205170146578</v>
      </c>
      <c r="H475" s="11">
        <f>IFERROR(F475/F463-1,"")</f>
        <v>1.7364451367805311</v>
      </c>
    </row>
    <row r="476" spans="1:8">
      <c r="A476" s="6" t="s">
        <v>13</v>
      </c>
      <c r="B476" s="6" t="s">
        <v>214</v>
      </c>
      <c r="C476" s="6">
        <v>2027</v>
      </c>
      <c r="D476" s="6">
        <v>4</v>
      </c>
      <c r="E476" s="9" t="s">
        <v>204</v>
      </c>
      <c r="F476" s="10">
        <f>SUMIFS(Data!$K:$K,Data!$A:$A,2027,Data!$B:$B,4,Data!$G:$G,"FCC",Data!$F:$F,"PADD 3")</f>
        <v>115.2</v>
      </c>
      <c r="G476" s="11">
        <f>IFERROR(F476/F475-1,"")</f>
        <v>-0.6654129333004168</v>
      </c>
      <c r="H476" s="11">
        <f>IFERROR(F476/F464-1,"")</f>
        <v>-0.5459382759843916</v>
      </c>
    </row>
    <row r="477" spans="1:8">
      <c r="A477" s="6" t="s">
        <v>13</v>
      </c>
      <c r="B477" s="6" t="s">
        <v>214</v>
      </c>
      <c r="C477" s="6">
        <v>2027</v>
      </c>
      <c r="D477" s="6">
        <v>5</v>
      </c>
      <c r="E477" s="9" t="s">
        <v>205</v>
      </c>
      <c r="F477" s="10">
        <f>SUMIFS(Data!$K:$K,Data!$A:$A,2027,Data!$B:$B,5,Data!$G:$G,"FCC",Data!$F:$F,"PADD 3")</f>
        <v>0.0</v>
      </c>
      <c r="G477" s="11">
        <f>IFERROR(F477/F476-1,"")</f>
        <v>-1.0</v>
      </c>
      <c r="H477" s="11">
        <f>IFERROR(F477/F465-1,"")</f>
        <v>-1.0</v>
      </c>
    </row>
    <row r="478" spans="1:8">
      <c r="A478" s="6" t="s">
        <v>13</v>
      </c>
      <c r="B478" s="6" t="s">
        <v>214</v>
      </c>
      <c r="C478" s="6">
        <v>2027</v>
      </c>
      <c r="D478" s="6">
        <v>6</v>
      </c>
      <c r="E478" s="9" t="s">
        <v>206</v>
      </c>
      <c r="F478" s="10">
        <f>SUMIFS(Data!$K:$K,Data!$A:$A,2027,Data!$B:$B,6,Data!$G:$G,"FCC",Data!$F:$F,"PADD 3")</f>
        <v>68.0</v>
      </c>
      <c r="G478" s="11">
        <f>IFERROR(F478/F477-1,"")</f>
        <v/>
      </c>
      <c r="H478" s="11">
        <f>IFERROR(F478/F466-1,"")</f>
        <v>0.24269005847953218</v>
      </c>
    </row>
    <row r="479" spans="1:8">
      <c r="A479" s="6" t="s">
        <v>13</v>
      </c>
      <c r="B479" s="6" t="s">
        <v>214</v>
      </c>
      <c r="C479" s="6">
        <v>2027</v>
      </c>
      <c r="D479" s="6">
        <v>7</v>
      </c>
      <c r="E479" s="9" t="s">
        <v>207</v>
      </c>
      <c r="F479" s="10">
        <f>SUMIFS(Data!$K:$K,Data!$A:$A,2027,Data!$B:$B,7,Data!$G:$G,"FCC",Data!$F:$F,"PADD 3")</f>
        <v>68.0</v>
      </c>
      <c r="G479" s="11">
        <f>IFERROR(F479/F478-1,"")</f>
        <v>0.0</v>
      </c>
      <c r="H479" s="11">
        <f>IFERROR(F479/F467-1,"")</f>
        <v>36.77777777777778</v>
      </c>
    </row>
    <row r="480" spans="1:8">
      <c r="A480" s="6" t="s">
        <v>13</v>
      </c>
      <c r="B480" s="6" t="s">
        <v>214</v>
      </c>
      <c r="C480" s="6">
        <v>2027</v>
      </c>
      <c r="D480" s="6">
        <v>8</v>
      </c>
      <c r="E480" s="9" t="s">
        <v>208</v>
      </c>
      <c r="F480" s="10">
        <f>SUMIFS(Data!$K:$K,Data!$A:$A,2027,Data!$B:$B,8,Data!$G:$G,"FCC",Data!$F:$F,"PADD 3")</f>
        <v>19.72</v>
      </c>
      <c r="G480" s="11">
        <f>IFERROR(F480/F479-1,"")</f>
        <v>-0.71</v>
      </c>
      <c r="H480" s="11">
        <f>IFERROR(F480/F468-1,"")</f>
        <v/>
      </c>
    </row>
    <row r="481" spans="1:8">
      <c r="A481" s="6" t="s">
        <v>13</v>
      </c>
      <c r="B481" s="6" t="s">
        <v>214</v>
      </c>
      <c r="C481" s="6">
        <v>2027</v>
      </c>
      <c r="D481" s="6">
        <v>9</v>
      </c>
      <c r="E481" s="9" t="s">
        <v>209</v>
      </c>
      <c r="F481" s="10">
        <f>SUMIFS(Data!$K:$K,Data!$A:$A,2027,Data!$B:$B,9,Data!$G:$G,"FCC",Data!$F:$F,"PADD 3")</f>
        <v>0.0</v>
      </c>
      <c r="G481" s="11">
        <f>IFERROR(F481/F480-1,"")</f>
        <v>-1.0</v>
      </c>
      <c r="H481" s="11">
        <f>IFERROR(F481/F469-1,"")</f>
        <v/>
      </c>
    </row>
    <row r="482" spans="1:8">
      <c r="A482" s="6" t="s">
        <v>13</v>
      </c>
      <c r="B482" s="6" t="s">
        <v>214</v>
      </c>
      <c r="C482" s="6">
        <v>2027</v>
      </c>
      <c r="D482" s="6">
        <v>10</v>
      </c>
      <c r="E482" s="9" t="s">
        <v>210</v>
      </c>
      <c r="F482" s="10">
        <f>SUMIFS(Data!$K:$K,Data!$A:$A,2027,Data!$B:$B,10,Data!$G:$G,"FCC",Data!$F:$F,"PADD 3")</f>
        <v>41.8</v>
      </c>
      <c r="G482" s="11">
        <f>IFERROR(F482/F481-1,"")</f>
        <v/>
      </c>
      <c r="H482" s="11">
        <f>IFERROR(F482/F470-1,"")</f>
        <v>1.3885714285714283</v>
      </c>
    </row>
    <row r="483" spans="1:8">
      <c r="A483" s="6" t="s">
        <v>13</v>
      </c>
      <c r="B483" s="6" t="s">
        <v>214</v>
      </c>
      <c r="C483" s="6">
        <v>2027</v>
      </c>
      <c r="D483" s="6">
        <v>11</v>
      </c>
      <c r="E483" s="9" t="s">
        <v>211</v>
      </c>
      <c r="F483" s="10">
        <f>SUMIFS(Data!$K:$K,Data!$A:$A,2027,Data!$B:$B,11,Data!$G:$G,"FCC",Data!$F:$F,"PADD 3")</f>
        <v>43.32</v>
      </c>
      <c r="G483" s="11">
        <f>IFERROR(F483/F482-1,"")</f>
        <v>0.036363636363636376</v>
      </c>
      <c r="H483" s="11">
        <f>IFERROR(F483/F471-1,"")</f>
        <v>4.266869300911854</v>
      </c>
    </row>
    <row r="484" spans="1:8">
      <c r="A484" s="6" t="s">
        <v>13</v>
      </c>
      <c r="B484" s="6" t="s">
        <v>214</v>
      </c>
      <c r="C484" s="6">
        <v>2027</v>
      </c>
      <c r="D484" s="6">
        <v>12</v>
      </c>
      <c r="E484" s="9" t="s">
        <v>212</v>
      </c>
      <c r="F484" s="10">
        <f>SUMIFS(Data!$K:$K,Data!$A:$A,2027,Data!$B:$B,12,Data!$G:$G,"FCC",Data!$F:$F,"PADD 3")</f>
        <v>0.0</v>
      </c>
      <c r="G484" s="11">
        <f>IFERROR(F484/F483-1,"")</f>
        <v>-1.0</v>
      </c>
      <c r="H484" s="11">
        <f>IFERROR(F484/F472-1,"")</f>
        <v/>
      </c>
    </row>
    <row r="485" spans="1:8">
      <c r="A485" s="6" t="s">
        <v>13</v>
      </c>
      <c r="B485" s="6" t="s">
        <v>215</v>
      </c>
      <c r="C485" s="6">
        <v>2023</v>
      </c>
      <c r="D485" s="6">
        <v>1</v>
      </c>
      <c r="E485" s="9" t="s">
        <v>153</v>
      </c>
      <c r="F485" s="10">
        <f>SUMIFS(Data!$K:$K,Data!$A:$A,2023,Data!$B:$B,1,Data!$G:$G,"FCC",Data!$F:$F,"PADD 4")</f>
        <v>66.803</v>
      </c>
    </row>
    <row r="486" spans="1:8">
      <c r="A486" s="6" t="s">
        <v>13</v>
      </c>
      <c r="B486" s="6" t="s">
        <v>215</v>
      </c>
      <c r="C486" s="6">
        <v>2023</v>
      </c>
      <c r="D486" s="6">
        <v>2</v>
      </c>
      <c r="E486" s="9" t="s">
        <v>154</v>
      </c>
      <c r="F486" s="10">
        <f>SUMIFS(Data!$K:$K,Data!$A:$A,2023,Data!$B:$B,2,Data!$G:$G,"FCC",Data!$F:$F,"PADD 4")</f>
        <v>54.325</v>
      </c>
      <c r="G486" s="11">
        <f>IFERROR(F486/F485-1,"")</f>
        <v>-0.18678801850216298</v>
      </c>
    </row>
    <row r="487" spans="1:8">
      <c r="A487" s="6" t="s">
        <v>13</v>
      </c>
      <c r="B487" s="6" t="s">
        <v>215</v>
      </c>
      <c r="C487" s="6">
        <v>2023</v>
      </c>
      <c r="D487" s="6">
        <v>3</v>
      </c>
      <c r="E487" s="9" t="s">
        <v>155</v>
      </c>
      <c r="F487" s="10">
        <f>SUMIFS(Data!$K:$K,Data!$A:$A,2023,Data!$B:$B,3,Data!$G:$G,"FCC",Data!$F:$F,"PADD 4")</f>
        <v>39.255</v>
      </c>
      <c r="G487" s="11">
        <f>IFERROR(F487/F486-1,"")</f>
        <v>-0.27740450989415555</v>
      </c>
    </row>
    <row r="488" spans="1:8">
      <c r="A488" s="6" t="s">
        <v>13</v>
      </c>
      <c r="B488" s="6" t="s">
        <v>215</v>
      </c>
      <c r="C488" s="6">
        <v>2023</v>
      </c>
      <c r="D488" s="6">
        <v>4</v>
      </c>
      <c r="E488" s="9" t="s">
        <v>156</v>
      </c>
      <c r="F488" s="10">
        <f>SUMIFS(Data!$K:$K,Data!$A:$A,2023,Data!$B:$B,4,Data!$G:$G,"FCC",Data!$F:$F,"PADD 4")</f>
        <v>36.356</v>
      </c>
      <c r="G488" s="11">
        <f>IFERROR(F488/F487-1,"")</f>
        <v>-0.07385046490892877</v>
      </c>
    </row>
    <row r="489" spans="1:8">
      <c r="A489" s="6" t="s">
        <v>13</v>
      </c>
      <c r="B489" s="6" t="s">
        <v>215</v>
      </c>
      <c r="C489" s="6">
        <v>2023</v>
      </c>
      <c r="D489" s="6">
        <v>5</v>
      </c>
      <c r="E489" s="9" t="s">
        <v>157</v>
      </c>
      <c r="F489" s="10">
        <f>SUMIFS(Data!$K:$K,Data!$A:$A,2023,Data!$B:$B,5,Data!$G:$G,"FCC",Data!$F:$F,"PADD 4")</f>
        <v>30.01</v>
      </c>
      <c r="G489" s="11">
        <f>IFERROR(F489/F488-1,"")</f>
        <v>-0.17455165584772803</v>
      </c>
    </row>
    <row r="490" spans="1:8">
      <c r="A490" s="6" t="s">
        <v>13</v>
      </c>
      <c r="B490" s="6" t="s">
        <v>215</v>
      </c>
      <c r="C490" s="6">
        <v>2023</v>
      </c>
      <c r="D490" s="6">
        <v>6</v>
      </c>
      <c r="E490" s="9" t="s">
        <v>158</v>
      </c>
      <c r="F490" s="10">
        <f>SUMIFS(Data!$K:$K,Data!$A:$A,2023,Data!$B:$B,6,Data!$G:$G,"FCC",Data!$F:$F,"PADD 4")</f>
        <v>7.1575</v>
      </c>
      <c r="G490" s="11">
        <f>IFERROR(F490/F489-1,"")</f>
        <v>-0.7614961679440186</v>
      </c>
    </row>
    <row r="491" spans="1:8">
      <c r="A491" s="6" t="s">
        <v>13</v>
      </c>
      <c r="B491" s="6" t="s">
        <v>215</v>
      </c>
      <c r="C491" s="6">
        <v>2023</v>
      </c>
      <c r="D491" s="6">
        <v>7</v>
      </c>
      <c r="E491" s="9" t="s">
        <v>159</v>
      </c>
      <c r="F491" s="10">
        <f>SUMIFS(Data!$K:$K,Data!$A:$A,2023,Data!$B:$B,7,Data!$G:$G,"FCC",Data!$F:$F,"PADD 4")</f>
        <v>2.47</v>
      </c>
      <c r="G491" s="11">
        <f>IFERROR(F491/F490-1,"")</f>
        <v>-0.6549074397485155</v>
      </c>
    </row>
    <row r="492" spans="1:8">
      <c r="A492" s="6" t="s">
        <v>13</v>
      </c>
      <c r="B492" s="6" t="s">
        <v>215</v>
      </c>
      <c r="C492" s="6">
        <v>2023</v>
      </c>
      <c r="D492" s="6">
        <v>8</v>
      </c>
      <c r="E492" s="9" t="s">
        <v>160</v>
      </c>
      <c r="F492" s="10">
        <f>SUMIFS(Data!$K:$K,Data!$A:$A,2023,Data!$B:$B,8,Data!$G:$G,"FCC",Data!$F:$F,"PADD 4")</f>
        <v>13.0</v>
      </c>
      <c r="G492" s="11">
        <f>IFERROR(F492/F491-1,"")</f>
        <v>4.263157894736842</v>
      </c>
    </row>
    <row r="493" spans="1:8">
      <c r="A493" s="6" t="s">
        <v>13</v>
      </c>
      <c r="B493" s="6" t="s">
        <v>215</v>
      </c>
      <c r="C493" s="6">
        <v>2023</v>
      </c>
      <c r="D493" s="6">
        <v>9</v>
      </c>
      <c r="E493" s="9" t="s">
        <v>161</v>
      </c>
      <c r="F493" s="10">
        <f>SUMIFS(Data!$K:$K,Data!$A:$A,2023,Data!$B:$B,9,Data!$G:$G,"FCC",Data!$F:$F,"PADD 4")</f>
        <v>0.0</v>
      </c>
      <c r="G493" s="11">
        <f>IFERROR(F493/F492-1,"")</f>
        <v>-1.0</v>
      </c>
    </row>
    <row r="494" spans="1:8">
      <c r="A494" s="6" t="s">
        <v>13</v>
      </c>
      <c r="B494" s="6" t="s">
        <v>215</v>
      </c>
      <c r="C494" s="6">
        <v>2023</v>
      </c>
      <c r="D494" s="6">
        <v>10</v>
      </c>
      <c r="E494" s="9" t="s">
        <v>162</v>
      </c>
      <c r="F494" s="10">
        <f>SUMIFS(Data!$K:$K,Data!$A:$A,2023,Data!$B:$B,10,Data!$G:$G,"FCC",Data!$F:$F,"PADD 4")</f>
        <v>0.0</v>
      </c>
      <c r="G494" s="11">
        <f>IFERROR(F494/F493-1,"")</f>
        <v/>
      </c>
    </row>
    <row r="495" spans="1:8">
      <c r="A495" s="6" t="s">
        <v>13</v>
      </c>
      <c r="B495" s="6" t="s">
        <v>215</v>
      </c>
      <c r="C495" s="6">
        <v>2023</v>
      </c>
      <c r="D495" s="6">
        <v>11</v>
      </c>
      <c r="E495" s="9" t="s">
        <v>163</v>
      </c>
      <c r="F495" s="10">
        <f>SUMIFS(Data!$K:$K,Data!$A:$A,2023,Data!$B:$B,11,Data!$G:$G,"FCC",Data!$F:$F,"PADD 4")</f>
        <v>4.14</v>
      </c>
      <c r="G495" s="11">
        <f>IFERROR(F495/F494-1,"")</f>
        <v/>
      </c>
    </row>
    <row r="496" spans="1:8">
      <c r="A496" s="6" t="s">
        <v>13</v>
      </c>
      <c r="B496" s="6" t="s">
        <v>215</v>
      </c>
      <c r="C496" s="6">
        <v>2023</v>
      </c>
      <c r="D496" s="6">
        <v>12</v>
      </c>
      <c r="E496" s="9" t="s">
        <v>164</v>
      </c>
      <c r="F496" s="10">
        <f>SUMIFS(Data!$K:$K,Data!$A:$A,2023,Data!$B:$B,12,Data!$G:$G,"FCC",Data!$F:$F,"PADD 4")</f>
        <v>13.584</v>
      </c>
      <c r="G496" s="11">
        <f>IFERROR(F496/F495-1,"")</f>
        <v>2.281159420289855</v>
      </c>
    </row>
    <row r="497" spans="1:8">
      <c r="A497" s="6" t="s">
        <v>13</v>
      </c>
      <c r="B497" s="6" t="s">
        <v>215</v>
      </c>
      <c r="C497" s="6">
        <v>2024</v>
      </c>
      <c r="D497" s="6">
        <v>1</v>
      </c>
      <c r="E497" s="9" t="s">
        <v>165</v>
      </c>
      <c r="F497" s="10">
        <f>SUMIFS(Data!$K:$K,Data!$A:$A,2024,Data!$B:$B,1,Data!$G:$G,"FCC",Data!$F:$F,"PADD 4")</f>
        <v>2.314</v>
      </c>
      <c r="G497" s="11">
        <f>IFERROR(F497/F496-1,"")</f>
        <v>-0.8296525323910483</v>
      </c>
      <c r="H497" s="11">
        <f>IFERROR(F497/F485-1,"")</f>
        <v>-0.9653608370881547</v>
      </c>
    </row>
    <row r="498" spans="1:8">
      <c r="A498" s="6" t="s">
        <v>13</v>
      </c>
      <c r="B498" s="6" t="s">
        <v>215</v>
      </c>
      <c r="C498" s="6">
        <v>2024</v>
      </c>
      <c r="D498" s="6">
        <v>2</v>
      </c>
      <c r="E498" s="9" t="s">
        <v>166</v>
      </c>
      <c r="F498" s="10">
        <f>SUMIFS(Data!$K:$K,Data!$A:$A,2024,Data!$B:$B,2,Data!$G:$G,"FCC",Data!$F:$F,"PADD 4")</f>
        <v>19.564</v>
      </c>
      <c r="G498" s="11">
        <f>IFERROR(F498/F497-1,"")</f>
        <v>7.454624027657735</v>
      </c>
      <c r="H498" s="11">
        <f>IFERROR(F498/F486-1,"")</f>
        <v>-0.6398711458812701</v>
      </c>
    </row>
    <row r="499" spans="1:8">
      <c r="A499" s="6" t="s">
        <v>13</v>
      </c>
      <c r="B499" s="6" t="s">
        <v>215</v>
      </c>
      <c r="C499" s="6">
        <v>2024</v>
      </c>
      <c r="D499" s="6">
        <v>3</v>
      </c>
      <c r="E499" s="9" t="s">
        <v>167</v>
      </c>
      <c r="F499" s="10">
        <f>SUMIFS(Data!$K:$K,Data!$A:$A,2024,Data!$B:$B,3,Data!$G:$G,"FCC",Data!$F:$F,"PADD 4")</f>
        <v>26.423000000000002</v>
      </c>
      <c r="G499" s="11">
        <f>IFERROR(F499/F498-1,"")</f>
        <v>0.3505929257820488</v>
      </c>
      <c r="H499" s="11">
        <f>IFERROR(F499/F487-1,"")</f>
        <v>-0.32688829448477896</v>
      </c>
    </row>
    <row r="500" spans="1:8">
      <c r="A500" s="6" t="s">
        <v>13</v>
      </c>
      <c r="B500" s="6" t="s">
        <v>215</v>
      </c>
      <c r="C500" s="6">
        <v>2024</v>
      </c>
      <c r="D500" s="6">
        <v>4</v>
      </c>
      <c r="E500" s="9" t="s">
        <v>168</v>
      </c>
      <c r="F500" s="10">
        <f>SUMIFS(Data!$K:$K,Data!$A:$A,2024,Data!$B:$B,4,Data!$G:$G,"FCC",Data!$F:$F,"PADD 4")</f>
        <v>0.27</v>
      </c>
      <c r="G500" s="11">
        <f>IFERROR(F500/F499-1,"")</f>
        <v>-0.9897816296408432</v>
      </c>
      <c r="H500" s="11">
        <f>IFERROR(F500/F488-1,"")</f>
        <v>-0.9925734404224887</v>
      </c>
    </row>
    <row r="501" spans="1:8">
      <c r="A501" s="6" t="s">
        <v>13</v>
      </c>
      <c r="B501" s="6" t="s">
        <v>215</v>
      </c>
      <c r="C501" s="6">
        <v>2024</v>
      </c>
      <c r="D501" s="6">
        <v>5</v>
      </c>
      <c r="E501" s="9" t="s">
        <v>169</v>
      </c>
      <c r="F501" s="10">
        <f>SUMIFS(Data!$K:$K,Data!$A:$A,2024,Data!$B:$B,5,Data!$G:$G,"FCC",Data!$F:$F,"PADD 4")</f>
        <v>1.065</v>
      </c>
      <c r="G501" s="11">
        <f>IFERROR(F501/F500-1,"")</f>
        <v>2.944444444444444</v>
      </c>
      <c r="H501" s="11">
        <f>IFERROR(F501/F489-1,"")</f>
        <v>-0.9645118293902033</v>
      </c>
    </row>
    <row r="502" spans="1:8">
      <c r="A502" s="6" t="s">
        <v>13</v>
      </c>
      <c r="B502" s="6" t="s">
        <v>215</v>
      </c>
      <c r="C502" s="6">
        <v>2024</v>
      </c>
      <c r="D502" s="6">
        <v>6</v>
      </c>
      <c r="E502" s="9" t="s">
        <v>170</v>
      </c>
      <c r="F502" s="10">
        <f>SUMIFS(Data!$K:$K,Data!$A:$A,2024,Data!$B:$B,6,Data!$G:$G,"FCC",Data!$F:$F,"PADD 4")</f>
        <v>0.0</v>
      </c>
      <c r="G502" s="11">
        <f>IFERROR(F502/F501-1,"")</f>
        <v>-1.0</v>
      </c>
      <c r="H502" s="11">
        <f>IFERROR(F502/F490-1,"")</f>
        <v>-1.0</v>
      </c>
    </row>
    <row r="503" spans="1:8">
      <c r="A503" s="6" t="s">
        <v>13</v>
      </c>
      <c r="B503" s="6" t="s">
        <v>215</v>
      </c>
      <c r="C503" s="6">
        <v>2024</v>
      </c>
      <c r="D503" s="6">
        <v>7</v>
      </c>
      <c r="E503" s="9" t="s">
        <v>171</v>
      </c>
      <c r="F503" s="10">
        <f>SUMIFS(Data!$K:$K,Data!$A:$A,2024,Data!$B:$B,7,Data!$G:$G,"FCC",Data!$F:$F,"PADD 4")</f>
        <v>7.656</v>
      </c>
      <c r="G503" s="11">
        <f>IFERROR(F503/F502-1,"")</f>
        <v/>
      </c>
      <c r="H503" s="11">
        <f>IFERROR(F503/F491-1,"")</f>
        <v>2.0995951417004046</v>
      </c>
    </row>
    <row r="504" spans="1:8">
      <c r="A504" s="6" t="s">
        <v>13</v>
      </c>
      <c r="B504" s="6" t="s">
        <v>215</v>
      </c>
      <c r="C504" s="6">
        <v>2024</v>
      </c>
      <c r="D504" s="6">
        <v>8</v>
      </c>
      <c r="E504" s="9" t="s">
        <v>172</v>
      </c>
      <c r="F504" s="10">
        <f>SUMIFS(Data!$K:$K,Data!$A:$A,2024,Data!$B:$B,8,Data!$G:$G,"FCC",Data!$F:$F,"PADD 4")</f>
        <v>19.8744</v>
      </c>
      <c r="G504" s="11">
        <f>IFERROR(F504/F503-1,"")</f>
        <v>1.5959247648902823</v>
      </c>
      <c r="H504" s="11">
        <f>IFERROR(F504/F492-1,"")</f>
        <v>0.5288000000000002</v>
      </c>
    </row>
    <row r="505" spans="1:8">
      <c r="A505" s="6" t="s">
        <v>13</v>
      </c>
      <c r="B505" s="6" t="s">
        <v>215</v>
      </c>
      <c r="C505" s="6">
        <v>2024</v>
      </c>
      <c r="D505" s="6">
        <v>9</v>
      </c>
      <c r="E505" s="9" t="s">
        <v>173</v>
      </c>
      <c r="F505" s="10">
        <f>SUMIFS(Data!$K:$K,Data!$A:$A,2024,Data!$B:$B,9,Data!$G:$G,"FCC",Data!$F:$F,"PADD 4")</f>
        <v>1.6800000000000002</v>
      </c>
      <c r="G505" s="11">
        <f>IFERROR(F505/F504-1,"")</f>
        <v>-0.915469146238377</v>
      </c>
      <c r="H505" s="11">
        <f>IFERROR(F505/F493-1,"")</f>
        <v/>
      </c>
    </row>
    <row r="506" spans="1:8">
      <c r="A506" s="6" t="s">
        <v>13</v>
      </c>
      <c r="B506" s="6" t="s">
        <v>215</v>
      </c>
      <c r="C506" s="6">
        <v>2024</v>
      </c>
      <c r="D506" s="6">
        <v>10</v>
      </c>
      <c r="E506" s="9" t="s">
        <v>174</v>
      </c>
      <c r="F506" s="10">
        <f>SUMIFS(Data!$K:$K,Data!$A:$A,2024,Data!$B:$B,10,Data!$G:$G,"FCC",Data!$F:$F,"PADD 4")</f>
        <v>7.221</v>
      </c>
      <c r="G506" s="11">
        <f>IFERROR(F506/F505-1,"")</f>
        <v>3.2982142857142858</v>
      </c>
      <c r="H506" s="11">
        <f>IFERROR(F506/F494-1,"")</f>
        <v/>
      </c>
    </row>
    <row r="507" spans="1:8">
      <c r="A507" s="6" t="s">
        <v>13</v>
      </c>
      <c r="B507" s="6" t="s">
        <v>215</v>
      </c>
      <c r="C507" s="6">
        <v>2024</v>
      </c>
      <c r="D507" s="6">
        <v>11</v>
      </c>
      <c r="E507" s="9" t="s">
        <v>175</v>
      </c>
      <c r="F507" s="10">
        <f>SUMIFS(Data!$K:$K,Data!$A:$A,2024,Data!$B:$B,11,Data!$G:$G,"FCC",Data!$F:$F,"PADD 4")</f>
        <v>1.185</v>
      </c>
      <c r="G507" s="11">
        <f>IFERROR(F507/F506-1,"")</f>
        <v>-0.8358953053593685</v>
      </c>
      <c r="H507" s="11">
        <f>IFERROR(F507/F495-1,"")</f>
        <v>-0.7137681159420289</v>
      </c>
    </row>
    <row r="508" spans="1:8">
      <c r="A508" s="6" t="s">
        <v>13</v>
      </c>
      <c r="B508" s="6" t="s">
        <v>215</v>
      </c>
      <c r="C508" s="6">
        <v>2024</v>
      </c>
      <c r="D508" s="6">
        <v>12</v>
      </c>
      <c r="E508" s="9" t="s">
        <v>176</v>
      </c>
      <c r="F508" s="10">
        <f>SUMIFS(Data!$K:$K,Data!$A:$A,2024,Data!$B:$B,12,Data!$G:$G,"FCC",Data!$F:$F,"PADD 4")</f>
        <v>16.104</v>
      </c>
      <c r="G508" s="11">
        <f>IFERROR(F508/F507-1,"")</f>
        <v>12.589873417721519</v>
      </c>
      <c r="H508" s="11">
        <f>IFERROR(F508/F496-1,"")</f>
        <v>0.18551236749116606</v>
      </c>
    </row>
    <row r="509" spans="1:8">
      <c r="A509" s="6" t="s">
        <v>13</v>
      </c>
      <c r="B509" s="6" t="s">
        <v>215</v>
      </c>
      <c r="C509" s="6">
        <v>2025</v>
      </c>
      <c r="D509" s="6">
        <v>1</v>
      </c>
      <c r="E509" s="9" t="s">
        <v>177</v>
      </c>
      <c r="F509" s="10">
        <f>SUMIFS(Data!$K:$K,Data!$A:$A,2025,Data!$B:$B,1,Data!$G:$G,"FCC",Data!$F:$F,"PADD 4")</f>
        <v>0.0</v>
      </c>
      <c r="G509" s="11">
        <f>IFERROR(F509/F508-1,"")</f>
        <v>-1.0</v>
      </c>
      <c r="H509" s="11">
        <f>IFERROR(F509/F497-1,"")</f>
        <v>-1.0</v>
      </c>
    </row>
    <row r="510" spans="1:8">
      <c r="A510" s="6" t="s">
        <v>13</v>
      </c>
      <c r="B510" s="6" t="s">
        <v>215</v>
      </c>
      <c r="C510" s="6">
        <v>2025</v>
      </c>
      <c r="D510" s="6">
        <v>2</v>
      </c>
      <c r="E510" s="9" t="s">
        <v>178</v>
      </c>
      <c r="F510" s="10">
        <f>SUMIFS(Data!$K:$K,Data!$A:$A,2025,Data!$B:$B,2,Data!$G:$G,"FCC",Data!$F:$F,"PADD 4")</f>
        <v>3.355</v>
      </c>
      <c r="G510" s="11">
        <f>IFERROR(F510/F509-1,"")</f>
        <v/>
      </c>
      <c r="H510" s="11">
        <f>IFERROR(F510/F498-1,"")</f>
        <v>-0.8285115518298917</v>
      </c>
    </row>
    <row r="511" spans="1:8">
      <c r="A511" s="6" t="s">
        <v>13</v>
      </c>
      <c r="B511" s="6" t="s">
        <v>215</v>
      </c>
      <c r="C511" s="6">
        <v>2025</v>
      </c>
      <c r="D511" s="6">
        <v>3</v>
      </c>
      <c r="E511" s="9" t="s">
        <v>179</v>
      </c>
      <c r="F511" s="10">
        <f>SUMIFS(Data!$K:$K,Data!$A:$A,2025,Data!$B:$B,3,Data!$G:$G,"FCC",Data!$F:$F,"PADD 4")</f>
        <v>5.5</v>
      </c>
      <c r="G511" s="11">
        <f>IFERROR(F511/F510-1,"")</f>
        <v>0.639344262295082</v>
      </c>
      <c r="H511" s="11">
        <f>IFERROR(F511/F499-1,"")</f>
        <v>-0.7918480112023616</v>
      </c>
    </row>
    <row r="512" spans="1:8">
      <c r="A512" s="6" t="s">
        <v>13</v>
      </c>
      <c r="B512" s="6" t="s">
        <v>215</v>
      </c>
      <c r="C512" s="6">
        <v>2025</v>
      </c>
      <c r="D512" s="6">
        <v>4</v>
      </c>
      <c r="E512" s="9" t="s">
        <v>180</v>
      </c>
      <c r="F512" s="10">
        <f>SUMIFS(Data!$K:$K,Data!$A:$A,2025,Data!$B:$B,4,Data!$G:$G,"FCC",Data!$F:$F,"PADD 4")</f>
        <v>39.655</v>
      </c>
      <c r="G512" s="11">
        <f>IFERROR(F512/F511-1,"")</f>
        <v>6.21</v>
      </c>
      <c r="H512" s="11">
        <f>IFERROR(F512/F500-1,"")</f>
        <v>145.87037037037035</v>
      </c>
    </row>
    <row r="513" spans="1:8">
      <c r="A513" s="6" t="s">
        <v>13</v>
      </c>
      <c r="B513" s="6" t="s">
        <v>215</v>
      </c>
      <c r="C513" s="6">
        <v>2025</v>
      </c>
      <c r="D513" s="6">
        <v>5</v>
      </c>
      <c r="E513" s="9" t="s">
        <v>181</v>
      </c>
      <c r="F513" s="10">
        <f>SUMIFS(Data!$K:$K,Data!$A:$A,2025,Data!$B:$B,5,Data!$G:$G,"FCC",Data!$F:$F,"PADD 4")</f>
        <v>28.775</v>
      </c>
      <c r="G513" s="11">
        <f>IFERROR(F513/F512-1,"")</f>
        <v>-0.2743664102887404</v>
      </c>
      <c r="H513" s="11">
        <f>IFERROR(F513/F501-1,"")</f>
        <v>26.018779342723004</v>
      </c>
    </row>
    <row r="514" spans="1:8">
      <c r="A514" s="6" t="s">
        <v>13</v>
      </c>
      <c r="B514" s="6" t="s">
        <v>215</v>
      </c>
      <c r="C514" s="6">
        <v>2025</v>
      </c>
      <c r="D514" s="6">
        <v>6</v>
      </c>
      <c r="E514" s="9" t="s">
        <v>182</v>
      </c>
      <c r="F514" s="10">
        <f>SUMIFS(Data!$K:$K,Data!$A:$A,2025,Data!$B:$B,6,Data!$G:$G,"FCC",Data!$F:$F,"PADD 4")</f>
        <v>4.5809999999999995</v>
      </c>
      <c r="G514" s="11">
        <f>IFERROR(F514/F513-1,"")</f>
        <v>-0.8407993049522154</v>
      </c>
      <c r="H514" s="11">
        <f>IFERROR(F514/F502-1,"")</f>
        <v/>
      </c>
    </row>
    <row r="515" spans="1:8">
      <c r="A515" s="6" t="s">
        <v>13</v>
      </c>
      <c r="B515" s="6" t="s">
        <v>215</v>
      </c>
      <c r="C515" s="6">
        <v>2025</v>
      </c>
      <c r="D515" s="6">
        <v>7</v>
      </c>
      <c r="E515" s="9" t="s">
        <v>183</v>
      </c>
      <c r="F515" s="10">
        <f>SUMIFS(Data!$K:$K,Data!$A:$A,2025,Data!$B:$B,7,Data!$G:$G,"FCC",Data!$F:$F,"PADD 4")</f>
        <v>18.537</v>
      </c>
      <c r="G515" s="11">
        <f>IFERROR(F515/F514-1,"")</f>
        <v>3.0464963981663393</v>
      </c>
      <c r="H515" s="11">
        <f>IFERROR(F515/F503-1,"")</f>
        <v>1.4212382445141065</v>
      </c>
    </row>
    <row r="516" spans="1:8">
      <c r="A516" s="6" t="s">
        <v>13</v>
      </c>
      <c r="B516" s="6" t="s">
        <v>215</v>
      </c>
      <c r="C516" s="6">
        <v>2025</v>
      </c>
      <c r="D516" s="6">
        <v>8</v>
      </c>
      <c r="E516" s="9" t="s">
        <v>184</v>
      </c>
      <c r="F516" s="10">
        <f>SUMIFS(Data!$K:$K,Data!$A:$A,2025,Data!$B:$B,8,Data!$G:$G,"FCC",Data!$F:$F,"PADD 4")</f>
        <v>3.78</v>
      </c>
      <c r="G516" s="11">
        <f>IFERROR(F516/F515-1,"")</f>
        <v>-0.796083508658359</v>
      </c>
      <c r="H516" s="11">
        <f>IFERROR(F516/F504-1,"")</f>
        <v>-0.8098055790363483</v>
      </c>
    </row>
    <row r="517" spans="1:8">
      <c r="A517" s="6" t="s">
        <v>13</v>
      </c>
      <c r="B517" s="6" t="s">
        <v>215</v>
      </c>
      <c r="C517" s="6">
        <v>2025</v>
      </c>
      <c r="D517" s="6">
        <v>9</v>
      </c>
      <c r="E517" s="9" t="s">
        <v>185</v>
      </c>
      <c r="F517" s="10">
        <f>SUMIFS(Data!$K:$K,Data!$A:$A,2025,Data!$B:$B,9,Data!$G:$G,"FCC",Data!$F:$F,"PADD 4")</f>
        <v>1.8</v>
      </c>
      <c r="G517" s="11">
        <f>IFERROR(F517/F516-1,"")</f>
        <v>-0.5238095238095237</v>
      </c>
      <c r="H517" s="11">
        <f>IFERROR(F517/F505-1,"")</f>
        <v>0.0714285714285714</v>
      </c>
    </row>
    <row r="518" spans="1:8">
      <c r="A518" s="6" t="s">
        <v>13</v>
      </c>
      <c r="B518" s="6" t="s">
        <v>215</v>
      </c>
      <c r="C518" s="6">
        <v>2025</v>
      </c>
      <c r="D518" s="6">
        <v>10</v>
      </c>
      <c r="E518" s="9" t="s">
        <v>186</v>
      </c>
      <c r="F518" s="10">
        <f>SUMIFS(Data!$K:$K,Data!$A:$A,2025,Data!$B:$B,10,Data!$G:$G,"FCC",Data!$F:$F,"PADD 4")</f>
        <v>20.035</v>
      </c>
      <c r="G518" s="11">
        <f>IFERROR(F518/F517-1,"")</f>
        <v>10.130555555555555</v>
      </c>
      <c r="H518" s="11">
        <f>IFERROR(F518/F506-1,"")</f>
        <v>1.7745464617089044</v>
      </c>
    </row>
    <row r="519" spans="1:8">
      <c r="A519" s="6" t="s">
        <v>13</v>
      </c>
      <c r="B519" s="6" t="s">
        <v>215</v>
      </c>
      <c r="C519" s="6">
        <v>2025</v>
      </c>
      <c r="D519" s="6">
        <v>11</v>
      </c>
      <c r="E519" s="9" t="s">
        <v>187</v>
      </c>
      <c r="F519" s="10">
        <f>SUMIFS(Data!$K:$K,Data!$A:$A,2025,Data!$B:$B,11,Data!$G:$G,"FCC",Data!$F:$F,"PADD 4")</f>
        <v>4.14</v>
      </c>
      <c r="G519" s="11">
        <f>IFERROR(F519/F518-1,"")</f>
        <v>-0.7933616171699526</v>
      </c>
      <c r="H519" s="11">
        <f>IFERROR(F519/F507-1,"")</f>
        <v>2.493670886075949</v>
      </c>
    </row>
    <row r="520" spans="1:8">
      <c r="A520" s="6" t="s">
        <v>13</v>
      </c>
      <c r="B520" s="6" t="s">
        <v>215</v>
      </c>
      <c r="C520" s="6">
        <v>2025</v>
      </c>
      <c r="D520" s="6">
        <v>12</v>
      </c>
      <c r="E520" s="9" t="s">
        <v>188</v>
      </c>
      <c r="F520" s="10">
        <f>SUMIFS(Data!$K:$K,Data!$A:$A,2025,Data!$B:$B,12,Data!$G:$G,"FCC",Data!$F:$F,"PADD 4")</f>
        <v>2.691</v>
      </c>
      <c r="G520" s="11">
        <f>IFERROR(F520/F519-1,"")</f>
        <v>-0.35</v>
      </c>
      <c r="H520" s="11">
        <f>IFERROR(F520/F508-1,"")</f>
        <v>-0.8328986587183309</v>
      </c>
    </row>
    <row r="521" spans="1:8">
      <c r="A521" s="6" t="s">
        <v>13</v>
      </c>
      <c r="B521" s="6" t="s">
        <v>215</v>
      </c>
      <c r="C521" s="6">
        <v>2026</v>
      </c>
      <c r="D521" s="6">
        <v>1</v>
      </c>
      <c r="E521" s="9" t="s">
        <v>189</v>
      </c>
      <c r="F521" s="10">
        <f>SUMIFS(Data!$K:$K,Data!$A:$A,2026,Data!$B:$B,1,Data!$G:$G,"FCC",Data!$F:$F,"PADD 4")</f>
        <v>0.0</v>
      </c>
      <c r="G521" s="11">
        <f>IFERROR(F521/F520-1,"")</f>
        <v>-1.0</v>
      </c>
      <c r="H521" s="11">
        <f>IFERROR(F521/F509-1,"")</f>
        <v/>
      </c>
    </row>
    <row r="522" spans="1:8">
      <c r="A522" s="6" t="s">
        <v>13</v>
      </c>
      <c r="B522" s="6" t="s">
        <v>215</v>
      </c>
      <c r="C522" s="6">
        <v>2026</v>
      </c>
      <c r="D522" s="6">
        <v>2</v>
      </c>
      <c r="E522" s="9" t="s">
        <v>190</v>
      </c>
      <c r="F522" s="10">
        <f>SUMIFS(Data!$K:$K,Data!$A:$A,2026,Data!$B:$B,2,Data!$G:$G,"FCC",Data!$F:$F,"PADD 4")</f>
        <v>9.085</v>
      </c>
      <c r="G522" s="11">
        <f>IFERROR(F522/F521-1,"")</f>
        <v/>
      </c>
      <c r="H522" s="11">
        <f>IFERROR(F522/F510-1,"")</f>
        <v>1.7078986587183311</v>
      </c>
    </row>
    <row r="523" spans="1:8">
      <c r="A523" s="6" t="s">
        <v>13</v>
      </c>
      <c r="B523" s="6" t="s">
        <v>215</v>
      </c>
      <c r="C523" s="6">
        <v>2026</v>
      </c>
      <c r="D523" s="6">
        <v>3</v>
      </c>
      <c r="E523" s="9" t="s">
        <v>191</v>
      </c>
      <c r="F523" s="10">
        <f>SUMIFS(Data!$K:$K,Data!$A:$A,2026,Data!$B:$B,3,Data!$G:$G,"FCC",Data!$F:$F,"PADD 4")</f>
        <v>24.703</v>
      </c>
      <c r="G523" s="11">
        <f>IFERROR(F523/F522-1,"")</f>
        <v>1.7190974133186567</v>
      </c>
      <c r="H523" s="11">
        <f>IFERROR(F523/F511-1,"")</f>
        <v>3.4914545454545456</v>
      </c>
    </row>
    <row r="524" spans="1:8">
      <c r="A524" s="6" t="s">
        <v>13</v>
      </c>
      <c r="B524" s="6" t="s">
        <v>215</v>
      </c>
      <c r="C524" s="6">
        <v>2026</v>
      </c>
      <c r="D524" s="6">
        <v>4</v>
      </c>
      <c r="E524" s="9" t="s">
        <v>192</v>
      </c>
      <c r="F524" s="10">
        <f>SUMIFS(Data!$K:$K,Data!$A:$A,2026,Data!$B:$B,4,Data!$G:$G,"FCC",Data!$F:$F,"PADD 4")</f>
        <v>62.808</v>
      </c>
      <c r="G524" s="11">
        <f>IFERROR(F524/F523-1,"")</f>
        <v>1.5425251993684976</v>
      </c>
      <c r="H524" s="11">
        <f>IFERROR(F524/F512-1,"")</f>
        <v>0.58386079939478</v>
      </c>
    </row>
    <row r="525" spans="1:8">
      <c r="A525" s="6" t="s">
        <v>13</v>
      </c>
      <c r="B525" s="6" t="s">
        <v>215</v>
      </c>
      <c r="C525" s="6">
        <v>2026</v>
      </c>
      <c r="D525" s="6">
        <v>5</v>
      </c>
      <c r="E525" s="9" t="s">
        <v>193</v>
      </c>
      <c r="F525" s="10">
        <f>SUMIFS(Data!$K:$K,Data!$A:$A,2026,Data!$B:$B,5,Data!$G:$G,"FCC",Data!$F:$F,"PADD 4")</f>
        <v>33.64</v>
      </c>
      <c r="G525" s="11">
        <f>IFERROR(F525/F524-1,"")</f>
        <v>-0.46439943956183927</v>
      </c>
      <c r="H525" s="11">
        <f>IFERROR(F525/F513-1,"")</f>
        <v>0.16907037358818422</v>
      </c>
    </row>
    <row r="526" spans="1:8">
      <c r="A526" s="6" t="s">
        <v>13</v>
      </c>
      <c r="B526" s="6" t="s">
        <v>215</v>
      </c>
      <c r="C526" s="6">
        <v>2026</v>
      </c>
      <c r="D526" s="6">
        <v>6</v>
      </c>
      <c r="E526" s="9" t="s">
        <v>194</v>
      </c>
      <c r="F526" s="10">
        <f>SUMIFS(Data!$K:$K,Data!$A:$A,2026,Data!$B:$B,6,Data!$G:$G,"FCC",Data!$F:$F,"PADD 4")</f>
        <v>4.5</v>
      </c>
      <c r="G526" s="11">
        <f>IFERROR(F526/F525-1,"")</f>
        <v>-0.866230677764566</v>
      </c>
      <c r="H526" s="11">
        <f>IFERROR(F526/F514-1,"")</f>
        <v>-0.017681728880157066</v>
      </c>
    </row>
    <row r="527" spans="1:8">
      <c r="A527" s="6" t="s">
        <v>13</v>
      </c>
      <c r="B527" s="6" t="s">
        <v>215</v>
      </c>
      <c r="C527" s="6">
        <v>2026</v>
      </c>
      <c r="D527" s="6">
        <v>7</v>
      </c>
      <c r="E527" s="9" t="s">
        <v>195</v>
      </c>
      <c r="F527" s="10">
        <f>SUMIFS(Data!$K:$K,Data!$A:$A,2026,Data!$B:$B,7,Data!$G:$G,"FCC",Data!$F:$F,"PADD 4")</f>
        <v>0.0</v>
      </c>
      <c r="G527" s="11">
        <f>IFERROR(F527/F526-1,"")</f>
        <v>-1.0</v>
      </c>
      <c r="H527" s="11">
        <f>IFERROR(F527/F515-1,"")</f>
        <v>-1.0</v>
      </c>
    </row>
    <row r="528" spans="1:8">
      <c r="A528" s="6" t="s">
        <v>13</v>
      </c>
      <c r="B528" s="6" t="s">
        <v>215</v>
      </c>
      <c r="C528" s="6">
        <v>2026</v>
      </c>
      <c r="D528" s="6">
        <v>8</v>
      </c>
      <c r="E528" s="9" t="s">
        <v>196</v>
      </c>
      <c r="F528" s="10">
        <f>SUMIFS(Data!$K:$K,Data!$A:$A,2026,Data!$B:$B,8,Data!$G:$G,"FCC",Data!$F:$F,"PADD 4")</f>
        <v>0.0</v>
      </c>
      <c r="G528" s="11">
        <f>IFERROR(F528/F527-1,"")</f>
        <v/>
      </c>
      <c r="H528" s="11">
        <f>IFERROR(F528/F516-1,"")</f>
        <v>-1.0</v>
      </c>
    </row>
    <row r="529" spans="1:8">
      <c r="A529" s="6" t="s">
        <v>13</v>
      </c>
      <c r="B529" s="6" t="s">
        <v>215</v>
      </c>
      <c r="C529" s="6">
        <v>2026</v>
      </c>
      <c r="D529" s="6">
        <v>9</v>
      </c>
      <c r="E529" s="9" t="s">
        <v>197</v>
      </c>
      <c r="F529" s="10">
        <f>SUMIFS(Data!$K:$K,Data!$A:$A,2026,Data!$B:$B,9,Data!$G:$G,"FCC",Data!$F:$F,"PADD 4")</f>
        <v>0.0</v>
      </c>
      <c r="G529" s="11">
        <f>IFERROR(F529/F528-1,"")</f>
        <v/>
      </c>
      <c r="H529" s="11">
        <f>IFERROR(F529/F517-1,"")</f>
        <v>-1.0</v>
      </c>
    </row>
    <row r="530" spans="1:8">
      <c r="A530" s="6" t="s">
        <v>13</v>
      </c>
      <c r="B530" s="6" t="s">
        <v>215</v>
      </c>
      <c r="C530" s="6">
        <v>2026</v>
      </c>
      <c r="D530" s="6">
        <v>10</v>
      </c>
      <c r="E530" s="9" t="s">
        <v>198</v>
      </c>
      <c r="F530" s="10">
        <f>SUMIFS(Data!$K:$K,Data!$A:$A,2026,Data!$B:$B,10,Data!$G:$G,"FCC",Data!$F:$F,"PADD 4")</f>
        <v>0.0</v>
      </c>
      <c r="G530" s="11">
        <f>IFERROR(F530/F529-1,"")</f>
        <v/>
      </c>
      <c r="H530" s="11">
        <f>IFERROR(F530/F518-1,"")</f>
        <v>-1.0</v>
      </c>
    </row>
    <row r="531" spans="1:8">
      <c r="A531" s="6" t="s">
        <v>13</v>
      </c>
      <c r="B531" s="6" t="s">
        <v>215</v>
      </c>
      <c r="C531" s="6">
        <v>2026</v>
      </c>
      <c r="D531" s="6">
        <v>11</v>
      </c>
      <c r="E531" s="9" t="s">
        <v>199</v>
      </c>
      <c r="F531" s="10">
        <f>SUMIFS(Data!$K:$K,Data!$A:$A,2026,Data!$B:$B,11,Data!$G:$G,"FCC",Data!$F:$F,"PADD 4")</f>
        <v>0.0</v>
      </c>
      <c r="G531" s="11">
        <f>IFERROR(F531/F530-1,"")</f>
        <v/>
      </c>
      <c r="H531" s="11">
        <f>IFERROR(F531/F519-1,"")</f>
        <v>-1.0</v>
      </c>
    </row>
    <row r="532" spans="1:8">
      <c r="A532" s="6" t="s">
        <v>13</v>
      </c>
      <c r="B532" s="6" t="s">
        <v>215</v>
      </c>
      <c r="C532" s="6">
        <v>2026</v>
      </c>
      <c r="D532" s="6">
        <v>12</v>
      </c>
      <c r="E532" s="9" t="s">
        <v>200</v>
      </c>
      <c r="F532" s="10">
        <f>SUMIFS(Data!$K:$K,Data!$A:$A,2026,Data!$B:$B,12,Data!$G:$G,"FCC",Data!$F:$F,"PADD 4")</f>
        <v>0.0</v>
      </c>
      <c r="G532" s="11">
        <f>IFERROR(F532/F531-1,"")</f>
        <v/>
      </c>
      <c r="H532" s="11">
        <f>IFERROR(F532/F520-1,"")</f>
        <v>-1.0</v>
      </c>
    </row>
    <row r="533" spans="1:8">
      <c r="A533" s="6" t="s">
        <v>13</v>
      </c>
      <c r="B533" s="6" t="s">
        <v>215</v>
      </c>
      <c r="C533" s="6">
        <v>2027</v>
      </c>
      <c r="D533" s="6">
        <v>1</v>
      </c>
      <c r="E533" s="9" t="s">
        <v>201</v>
      </c>
      <c r="F533" s="10">
        <f>SUMIFS(Data!$K:$K,Data!$A:$A,2027,Data!$B:$B,1,Data!$G:$G,"FCC",Data!$F:$F,"PADD 4")</f>
        <v>0.0</v>
      </c>
      <c r="G533" s="11">
        <f>IFERROR(F533/F532-1,"")</f>
        <v/>
      </c>
      <c r="H533" s="11">
        <f>IFERROR(F533/F521-1,"")</f>
        <v/>
      </c>
    </row>
    <row r="534" spans="1:8">
      <c r="A534" s="6" t="s">
        <v>13</v>
      </c>
      <c r="B534" s="6" t="s">
        <v>215</v>
      </c>
      <c r="C534" s="6">
        <v>2027</v>
      </c>
      <c r="D534" s="6">
        <v>2</v>
      </c>
      <c r="E534" s="9" t="s">
        <v>202</v>
      </c>
      <c r="F534" s="10">
        <f>SUMIFS(Data!$K:$K,Data!$A:$A,2027,Data!$B:$B,2,Data!$G:$G,"FCC",Data!$F:$F,"PADD 4")</f>
        <v>25.344</v>
      </c>
      <c r="G534" s="11">
        <f>IFERROR(F534/F533-1,"")</f>
        <v/>
      </c>
      <c r="H534" s="11">
        <f>IFERROR(F534/F522-1,"")</f>
        <v>1.7896532746285083</v>
      </c>
    </row>
    <row r="535" spans="1:8">
      <c r="A535" s="6" t="s">
        <v>13</v>
      </c>
      <c r="B535" s="6" t="s">
        <v>215</v>
      </c>
      <c r="C535" s="6">
        <v>2027</v>
      </c>
      <c r="D535" s="6">
        <v>3</v>
      </c>
      <c r="E535" s="9" t="s">
        <v>203</v>
      </c>
      <c r="F535" s="10">
        <f>SUMIFS(Data!$K:$K,Data!$A:$A,2027,Data!$B:$B,3,Data!$G:$G,"FCC",Data!$F:$F,"PADD 4")</f>
        <v>44.597</v>
      </c>
      <c r="G535" s="11">
        <f>IFERROR(F535/F534-1,"")</f>
        <v>0.7596669823232323</v>
      </c>
      <c r="H535" s="11">
        <f>IFERROR(F535/F523-1,"")</f>
        <v>0.8053272881836215</v>
      </c>
    </row>
    <row r="536" spans="1:8">
      <c r="A536" s="6" t="s">
        <v>13</v>
      </c>
      <c r="B536" s="6" t="s">
        <v>215</v>
      </c>
      <c r="C536" s="6">
        <v>2027</v>
      </c>
      <c r="D536" s="6">
        <v>4</v>
      </c>
      <c r="E536" s="9" t="s">
        <v>204</v>
      </c>
      <c r="F536" s="10">
        <f>SUMIFS(Data!$K:$K,Data!$A:$A,2027,Data!$B:$B,4,Data!$G:$G,"FCC",Data!$F:$F,"PADD 4")</f>
        <v>26.225</v>
      </c>
      <c r="G536" s="11">
        <f>IFERROR(F536/F535-1,"")</f>
        <v>-0.4119559611633069</v>
      </c>
      <c r="H536" s="11">
        <f>IFERROR(F536/F524-1,"")</f>
        <v>-0.5824576487071711</v>
      </c>
    </row>
    <row r="537" spans="1:8">
      <c r="A537" s="6" t="s">
        <v>13</v>
      </c>
      <c r="B537" s="6" t="s">
        <v>215</v>
      </c>
      <c r="C537" s="6">
        <v>2027</v>
      </c>
      <c r="D537" s="6">
        <v>5</v>
      </c>
      <c r="E537" s="9" t="s">
        <v>205</v>
      </c>
      <c r="F537" s="10">
        <f>SUMIFS(Data!$K:$K,Data!$A:$A,2027,Data!$B:$B,5,Data!$G:$G,"FCC",Data!$F:$F,"PADD 4")</f>
        <v>23.3</v>
      </c>
      <c r="G537" s="11">
        <f>IFERROR(F537/F536-1,"")</f>
        <v>-0.11153479504289798</v>
      </c>
      <c r="H537" s="11">
        <f>IFERROR(F537/F525-1,"")</f>
        <v>-0.307372175980975</v>
      </c>
    </row>
    <row r="538" spans="1:8">
      <c r="A538" s="6" t="s">
        <v>13</v>
      </c>
      <c r="B538" s="6" t="s">
        <v>215</v>
      </c>
      <c r="C538" s="6">
        <v>2027</v>
      </c>
      <c r="D538" s="6">
        <v>6</v>
      </c>
      <c r="E538" s="9" t="s">
        <v>206</v>
      </c>
      <c r="F538" s="10">
        <f>SUMIFS(Data!$K:$K,Data!$A:$A,2027,Data!$B:$B,6,Data!$G:$G,"FCC",Data!$F:$F,"PADD 4")</f>
        <v>0.255</v>
      </c>
      <c r="G538" s="11">
        <f>IFERROR(F538/F537-1,"")</f>
        <v>-0.9890557939914163</v>
      </c>
      <c r="H538" s="11">
        <f>IFERROR(F538/F526-1,"")</f>
        <v>-0.9433333333333334</v>
      </c>
    </row>
    <row r="539" spans="1:8">
      <c r="A539" s="6" t="s">
        <v>13</v>
      </c>
      <c r="B539" s="6" t="s">
        <v>215</v>
      </c>
      <c r="C539" s="6">
        <v>2027</v>
      </c>
      <c r="D539" s="6">
        <v>7</v>
      </c>
      <c r="E539" s="9" t="s">
        <v>207</v>
      </c>
      <c r="F539" s="10">
        <f>SUMIFS(Data!$K:$K,Data!$A:$A,2027,Data!$B:$B,7,Data!$G:$G,"FCC",Data!$F:$F,"PADD 4")</f>
        <v>0.0</v>
      </c>
      <c r="G539" s="11">
        <f>IFERROR(F539/F538-1,"")</f>
        <v>-1.0</v>
      </c>
      <c r="H539" s="11">
        <f>IFERROR(F539/F527-1,"")</f>
        <v/>
      </c>
    </row>
    <row r="540" spans="1:8">
      <c r="A540" s="6" t="s">
        <v>13</v>
      </c>
      <c r="B540" s="6" t="s">
        <v>215</v>
      </c>
      <c r="C540" s="6">
        <v>2027</v>
      </c>
      <c r="D540" s="6">
        <v>8</v>
      </c>
      <c r="E540" s="9" t="s">
        <v>208</v>
      </c>
      <c r="F540" s="10">
        <f>SUMIFS(Data!$K:$K,Data!$A:$A,2027,Data!$B:$B,8,Data!$G:$G,"FCC",Data!$F:$F,"PADD 4")</f>
        <v>0.0</v>
      </c>
      <c r="G540" s="11">
        <f>IFERROR(F540/F539-1,"")</f>
        <v/>
      </c>
      <c r="H540" s="11">
        <f>IFERROR(F540/F528-1,"")</f>
        <v/>
      </c>
    </row>
    <row r="541" spans="1:8">
      <c r="A541" s="6" t="s">
        <v>13</v>
      </c>
      <c r="B541" s="6" t="s">
        <v>215</v>
      </c>
      <c r="C541" s="6">
        <v>2027</v>
      </c>
      <c r="D541" s="6">
        <v>9</v>
      </c>
      <c r="E541" s="9" t="s">
        <v>209</v>
      </c>
      <c r="F541" s="10">
        <f>SUMIFS(Data!$K:$K,Data!$A:$A,2027,Data!$B:$B,9,Data!$G:$G,"FCC",Data!$F:$F,"PADD 4")</f>
        <v>2.324</v>
      </c>
      <c r="G541" s="11">
        <f>IFERROR(F541/F540-1,"")</f>
        <v/>
      </c>
      <c r="H541" s="11">
        <f>IFERROR(F541/F529-1,"")</f>
        <v/>
      </c>
    </row>
    <row r="542" spans="1:8">
      <c r="A542" s="6" t="s">
        <v>13</v>
      </c>
      <c r="B542" s="6" t="s">
        <v>215</v>
      </c>
      <c r="C542" s="6">
        <v>2027</v>
      </c>
      <c r="D542" s="6">
        <v>10</v>
      </c>
      <c r="E542" s="9" t="s">
        <v>210</v>
      </c>
      <c r="F542" s="10">
        <f>SUMIFS(Data!$K:$K,Data!$A:$A,2027,Data!$B:$B,10,Data!$G:$G,"FCC",Data!$F:$F,"PADD 4")</f>
        <v>1.344</v>
      </c>
      <c r="G542" s="11">
        <f>IFERROR(F542/F541-1,"")</f>
        <v>-0.4216867469879517</v>
      </c>
      <c r="H542" s="11">
        <f>IFERROR(F542/F530-1,"")</f>
        <v/>
      </c>
    </row>
    <row r="543" spans="1:8">
      <c r="A543" s="6" t="s">
        <v>13</v>
      </c>
      <c r="B543" s="6" t="s">
        <v>215</v>
      </c>
      <c r="C543" s="6">
        <v>2027</v>
      </c>
      <c r="D543" s="6">
        <v>11</v>
      </c>
      <c r="E543" s="9" t="s">
        <v>211</v>
      </c>
      <c r="F543" s="10">
        <f>SUMIFS(Data!$K:$K,Data!$A:$A,2027,Data!$B:$B,11,Data!$G:$G,"FCC",Data!$F:$F,"PADD 4")</f>
        <v>0.0</v>
      </c>
      <c r="G543" s="11">
        <f>IFERROR(F543/F542-1,"")</f>
        <v>-1.0</v>
      </c>
      <c r="H543" s="11">
        <f>IFERROR(F543/F531-1,"")</f>
        <v/>
      </c>
    </row>
    <row r="544" spans="1:8">
      <c r="A544" s="6" t="s">
        <v>13</v>
      </c>
      <c r="B544" s="6" t="s">
        <v>215</v>
      </c>
      <c r="C544" s="6">
        <v>2027</v>
      </c>
      <c r="D544" s="6">
        <v>12</v>
      </c>
      <c r="E544" s="9" t="s">
        <v>212</v>
      </c>
      <c r="F544" s="10">
        <f>SUMIFS(Data!$K:$K,Data!$A:$A,2027,Data!$B:$B,12,Data!$G:$G,"FCC",Data!$F:$F,"PADD 4")</f>
        <v>0.0</v>
      </c>
      <c r="G544" s="11">
        <f>IFERROR(F544/F543-1,"")</f>
        <v/>
      </c>
      <c r="H544" s="11">
        <f>IFERROR(F544/F532-1,"")</f>
        <v/>
      </c>
    </row>
    <row r="545" spans="1:8">
      <c r="A545" s="6" t="s">
        <v>13</v>
      </c>
      <c r="B545" s="6" t="s">
        <v>216</v>
      </c>
      <c r="C545" s="6">
        <v>2023</v>
      </c>
      <c r="D545" s="6">
        <v>1</v>
      </c>
      <c r="E545" s="9" t="s">
        <v>153</v>
      </c>
      <c r="F545" s="10">
        <f>SUMIFS(Data!$K:$K,Data!$A:$A,2023,Data!$B:$B,1,Data!$G:$G,"FCC",Data!$F:$F,"PADD 5")</f>
        <v>68.25</v>
      </c>
    </row>
    <row r="546" spans="1:8">
      <c r="A546" s="6" t="s">
        <v>13</v>
      </c>
      <c r="B546" s="6" t="s">
        <v>216</v>
      </c>
      <c r="C546" s="6">
        <v>2023</v>
      </c>
      <c r="D546" s="6">
        <v>2</v>
      </c>
      <c r="E546" s="9" t="s">
        <v>154</v>
      </c>
      <c r="F546" s="10">
        <f>SUMIFS(Data!$K:$K,Data!$A:$A,2023,Data!$B:$B,2,Data!$G:$G,"FCC",Data!$F:$F,"PADD 5")</f>
        <v>186.88</v>
      </c>
      <c r="G546" s="11">
        <f>IFERROR(F546/F545-1,"")</f>
        <v>1.738168498168498</v>
      </c>
    </row>
    <row r="547" spans="1:8">
      <c r="A547" s="6" t="s">
        <v>13</v>
      </c>
      <c r="B547" s="6" t="s">
        <v>216</v>
      </c>
      <c r="C547" s="6">
        <v>2023</v>
      </c>
      <c r="D547" s="6">
        <v>3</v>
      </c>
      <c r="E547" s="9" t="s">
        <v>155</v>
      </c>
      <c r="F547" s="10">
        <f>SUMIFS(Data!$K:$K,Data!$A:$A,2023,Data!$B:$B,3,Data!$G:$G,"FCC",Data!$F:$F,"PADD 5")</f>
        <v>130.67000000000002</v>
      </c>
      <c r="G547" s="11">
        <f>IFERROR(F547/F546-1,"")</f>
        <v>-0.3007812499999999</v>
      </c>
    </row>
    <row r="548" spans="1:8">
      <c r="A548" s="6" t="s">
        <v>13</v>
      </c>
      <c r="B548" s="6" t="s">
        <v>216</v>
      </c>
      <c r="C548" s="6">
        <v>2023</v>
      </c>
      <c r="D548" s="6">
        <v>4</v>
      </c>
      <c r="E548" s="9" t="s">
        <v>156</v>
      </c>
      <c r="F548" s="10">
        <f>SUMIFS(Data!$K:$K,Data!$A:$A,2023,Data!$B:$B,4,Data!$G:$G,"FCC",Data!$F:$F,"PADD 5")</f>
        <v>58.5</v>
      </c>
      <c r="G548" s="11">
        <f>IFERROR(F548/F547-1,"")</f>
        <v>-0.5523073390984925</v>
      </c>
    </row>
    <row r="549" spans="1:8">
      <c r="A549" s="6" t="s">
        <v>13</v>
      </c>
      <c r="B549" s="6" t="s">
        <v>216</v>
      </c>
      <c r="C549" s="6">
        <v>2023</v>
      </c>
      <c r="D549" s="6">
        <v>5</v>
      </c>
      <c r="E549" s="9" t="s">
        <v>157</v>
      </c>
      <c r="F549" s="10">
        <f>SUMIFS(Data!$K:$K,Data!$A:$A,2023,Data!$B:$B,5,Data!$G:$G,"FCC",Data!$F:$F,"PADD 5")</f>
        <v>33.16</v>
      </c>
      <c r="G549" s="11">
        <f>IFERROR(F549/F548-1,"")</f>
        <v>-0.43316239316239324</v>
      </c>
    </row>
    <row r="550" spans="1:8">
      <c r="A550" s="6" t="s">
        <v>13</v>
      </c>
      <c r="B550" s="6" t="s">
        <v>216</v>
      </c>
      <c r="C550" s="6">
        <v>2023</v>
      </c>
      <c r="D550" s="6">
        <v>6</v>
      </c>
      <c r="E550" s="9" t="s">
        <v>158</v>
      </c>
      <c r="F550" s="10">
        <f>SUMIFS(Data!$K:$K,Data!$A:$A,2023,Data!$B:$B,6,Data!$G:$G,"FCC",Data!$F:$F,"PADD 5")</f>
        <v>0.0</v>
      </c>
      <c r="G550" s="11">
        <f>IFERROR(F550/F549-1,"")</f>
        <v>-1.0</v>
      </c>
    </row>
    <row r="551" spans="1:8">
      <c r="A551" s="6" t="s">
        <v>13</v>
      </c>
      <c r="B551" s="6" t="s">
        <v>216</v>
      </c>
      <c r="C551" s="6">
        <v>2023</v>
      </c>
      <c r="D551" s="6">
        <v>7</v>
      </c>
      <c r="E551" s="9" t="s">
        <v>159</v>
      </c>
      <c r="F551" s="10">
        <f>SUMIFS(Data!$K:$K,Data!$A:$A,2023,Data!$B:$B,7,Data!$G:$G,"FCC",Data!$F:$F,"PADD 5")</f>
        <v>3.68</v>
      </c>
      <c r="G551" s="11">
        <f>IFERROR(F551/F550-1,"")</f>
        <v/>
      </c>
    </row>
    <row r="552" spans="1:8">
      <c r="A552" s="6" t="s">
        <v>13</v>
      </c>
      <c r="B552" s="6" t="s">
        <v>216</v>
      </c>
      <c r="C552" s="6">
        <v>2023</v>
      </c>
      <c r="D552" s="6">
        <v>8</v>
      </c>
      <c r="E552" s="9" t="s">
        <v>160</v>
      </c>
      <c r="F552" s="10">
        <f>SUMIFS(Data!$K:$K,Data!$A:$A,2023,Data!$B:$B,8,Data!$G:$G,"FCC",Data!$F:$F,"PADD 5")</f>
        <v>10.26</v>
      </c>
      <c r="G552" s="11">
        <f>IFERROR(F552/F551-1,"")</f>
        <v>1.7880434782608692</v>
      </c>
    </row>
    <row r="553" spans="1:8">
      <c r="A553" s="6" t="s">
        <v>13</v>
      </c>
      <c r="B553" s="6" t="s">
        <v>216</v>
      </c>
      <c r="C553" s="6">
        <v>2023</v>
      </c>
      <c r="D553" s="6">
        <v>9</v>
      </c>
      <c r="E553" s="9" t="s">
        <v>161</v>
      </c>
      <c r="F553" s="10">
        <f>SUMIFS(Data!$K:$K,Data!$A:$A,2023,Data!$B:$B,9,Data!$G:$G,"FCC",Data!$F:$F,"PADD 5")</f>
        <v>32.425</v>
      </c>
      <c r="G553" s="11">
        <f>IFERROR(F553/F552-1,"")</f>
        <v>2.160331384015594</v>
      </c>
    </row>
    <row r="554" spans="1:8">
      <c r="A554" s="6" t="s">
        <v>13</v>
      </c>
      <c r="B554" s="6" t="s">
        <v>216</v>
      </c>
      <c r="C554" s="6">
        <v>2023</v>
      </c>
      <c r="D554" s="6">
        <v>10</v>
      </c>
      <c r="E554" s="9" t="s">
        <v>162</v>
      </c>
      <c r="F554" s="10">
        <f>SUMIFS(Data!$K:$K,Data!$A:$A,2023,Data!$B:$B,10,Data!$G:$G,"FCC",Data!$F:$F,"PADD 5")</f>
        <v>100.0</v>
      </c>
      <c r="G554" s="11">
        <f>IFERROR(F554/F553-1,"")</f>
        <v>2.084040092521203</v>
      </c>
    </row>
    <row r="555" spans="1:8">
      <c r="A555" s="6" t="s">
        <v>13</v>
      </c>
      <c r="B555" s="6" t="s">
        <v>216</v>
      </c>
      <c r="C555" s="6">
        <v>2023</v>
      </c>
      <c r="D555" s="6">
        <v>11</v>
      </c>
      <c r="E555" s="9" t="s">
        <v>163</v>
      </c>
      <c r="F555" s="10">
        <f>SUMIFS(Data!$K:$K,Data!$A:$A,2023,Data!$B:$B,11,Data!$G:$G,"FCC",Data!$F:$F,"PADD 5")</f>
        <v>108.0</v>
      </c>
      <c r="G555" s="11">
        <f>IFERROR(F555/F554-1,"")</f>
        <v>0.08000000000000007</v>
      </c>
    </row>
    <row r="556" spans="1:8">
      <c r="A556" s="6" t="s">
        <v>13</v>
      </c>
      <c r="B556" s="6" t="s">
        <v>216</v>
      </c>
      <c r="C556" s="6">
        <v>2023</v>
      </c>
      <c r="D556" s="6">
        <v>12</v>
      </c>
      <c r="E556" s="9" t="s">
        <v>164</v>
      </c>
      <c r="F556" s="10">
        <f>SUMIFS(Data!$K:$K,Data!$A:$A,2023,Data!$B:$B,12,Data!$G:$G,"FCC",Data!$F:$F,"PADD 5")</f>
        <v>52.52</v>
      </c>
      <c r="G556" s="11">
        <f>IFERROR(F556/F555-1,"")</f>
        <v>-0.5137037037037037</v>
      </c>
    </row>
    <row r="557" spans="1:8">
      <c r="A557" s="6" t="s">
        <v>13</v>
      </c>
      <c r="B557" s="6" t="s">
        <v>216</v>
      </c>
      <c r="C557" s="6">
        <v>2024</v>
      </c>
      <c r="D557" s="6">
        <v>1</v>
      </c>
      <c r="E557" s="9" t="s">
        <v>165</v>
      </c>
      <c r="F557" s="10">
        <f>SUMIFS(Data!$K:$K,Data!$A:$A,2024,Data!$B:$B,1,Data!$G:$G,"FCC",Data!$F:$F,"PADD 5")</f>
        <v>33.8</v>
      </c>
      <c r="G557" s="11">
        <f>IFERROR(F557/F556-1,"")</f>
        <v>-0.35643564356435653</v>
      </c>
      <c r="H557" s="11">
        <f>IFERROR(F557/F545-1,"")</f>
        <v>-0.5047619047619047</v>
      </c>
    </row>
    <row r="558" spans="1:8">
      <c r="A558" s="6" t="s">
        <v>13</v>
      </c>
      <c r="B558" s="6" t="s">
        <v>216</v>
      </c>
      <c r="C558" s="6">
        <v>2024</v>
      </c>
      <c r="D558" s="6">
        <v>2</v>
      </c>
      <c r="E558" s="9" t="s">
        <v>166</v>
      </c>
      <c r="F558" s="10">
        <f>SUMIFS(Data!$K:$K,Data!$A:$A,2024,Data!$B:$B,2,Data!$G:$G,"FCC",Data!$F:$F,"PADD 5")</f>
        <v>129.03</v>
      </c>
      <c r="G558" s="11">
        <f>IFERROR(F558/F557-1,"")</f>
        <v>2.8174556213017756</v>
      </c>
      <c r="H558" s="11">
        <f>IFERROR(F558/F546-1,"")</f>
        <v>-0.3095569349315068</v>
      </c>
    </row>
    <row r="559" spans="1:8">
      <c r="A559" s="6" t="s">
        <v>13</v>
      </c>
      <c r="B559" s="6" t="s">
        <v>216</v>
      </c>
      <c r="C559" s="6">
        <v>2024</v>
      </c>
      <c r="D559" s="6">
        <v>3</v>
      </c>
      <c r="E559" s="9" t="s">
        <v>167</v>
      </c>
      <c r="F559" s="10">
        <f>SUMIFS(Data!$K:$K,Data!$A:$A,2024,Data!$B:$B,3,Data!$G:$G,"FCC",Data!$F:$F,"PADD 5")</f>
        <v>151.84</v>
      </c>
      <c r="G559" s="11">
        <f>IFERROR(F559/F558-1,"")</f>
        <v>0.176780593660389</v>
      </c>
      <c r="H559" s="11">
        <f>IFERROR(F559/F547-1,"")</f>
        <v>0.16201117318435743</v>
      </c>
    </row>
    <row r="560" spans="1:8">
      <c r="A560" s="6" t="s">
        <v>13</v>
      </c>
      <c r="B560" s="6" t="s">
        <v>216</v>
      </c>
      <c r="C560" s="6">
        <v>2024</v>
      </c>
      <c r="D560" s="6">
        <v>4</v>
      </c>
      <c r="E560" s="9" t="s">
        <v>168</v>
      </c>
      <c r="F560" s="10">
        <f>SUMIFS(Data!$K:$K,Data!$A:$A,2024,Data!$B:$B,4,Data!$G:$G,"FCC",Data!$F:$F,"PADD 5")</f>
        <v>76.525</v>
      </c>
      <c r="G560" s="11">
        <f>IFERROR(F560/F559-1,"")</f>
        <v>-0.4960155426765016</v>
      </c>
      <c r="H560" s="11">
        <f>IFERROR(F560/F548-1,"")</f>
        <v>0.30811965811965814</v>
      </c>
    </row>
    <row r="561" spans="1:8">
      <c r="A561" s="6" t="s">
        <v>13</v>
      </c>
      <c r="B561" s="6" t="s">
        <v>216</v>
      </c>
      <c r="C561" s="6">
        <v>2024</v>
      </c>
      <c r="D561" s="6">
        <v>5</v>
      </c>
      <c r="E561" s="9" t="s">
        <v>169</v>
      </c>
      <c r="F561" s="10">
        <f>SUMIFS(Data!$K:$K,Data!$A:$A,2024,Data!$B:$B,5,Data!$G:$G,"FCC",Data!$F:$F,"PADD 5")</f>
        <v>83.0</v>
      </c>
      <c r="G561" s="11">
        <f>IFERROR(F561/F560-1,"")</f>
        <v>0.08461287161058473</v>
      </c>
      <c r="H561" s="11">
        <f>IFERROR(F561/F549-1,"")</f>
        <v>1.5030156815440292</v>
      </c>
    </row>
    <row r="562" spans="1:8">
      <c r="A562" s="6" t="s">
        <v>13</v>
      </c>
      <c r="B562" s="6" t="s">
        <v>216</v>
      </c>
      <c r="C562" s="6">
        <v>2024</v>
      </c>
      <c r="D562" s="6">
        <v>6</v>
      </c>
      <c r="E562" s="9" t="s">
        <v>170</v>
      </c>
      <c r="F562" s="10">
        <f>SUMIFS(Data!$K:$K,Data!$A:$A,2024,Data!$B:$B,6,Data!$G:$G,"FCC",Data!$F:$F,"PADD 5")</f>
        <v>185.9</v>
      </c>
      <c r="G562" s="11">
        <f>IFERROR(F562/F561-1,"")</f>
        <v>1.2397590361445783</v>
      </c>
      <c r="H562" s="11">
        <f>IFERROR(F562/F550-1,"")</f>
        <v/>
      </c>
    </row>
    <row r="563" spans="1:8">
      <c r="A563" s="6" t="s">
        <v>13</v>
      </c>
      <c r="B563" s="6" t="s">
        <v>216</v>
      </c>
      <c r="C563" s="6">
        <v>2024</v>
      </c>
      <c r="D563" s="6">
        <v>7</v>
      </c>
      <c r="E563" s="9" t="s">
        <v>171</v>
      </c>
      <c r="F563" s="10">
        <f>SUMIFS(Data!$K:$K,Data!$A:$A,2024,Data!$B:$B,7,Data!$G:$G,"FCC",Data!$F:$F,"PADD 5")</f>
        <v>16.82</v>
      </c>
      <c r="G563" s="11">
        <f>IFERROR(F563/F562-1,"")</f>
        <v>-0.9095212479827864</v>
      </c>
      <c r="H563" s="11">
        <f>IFERROR(F563/F551-1,"")</f>
        <v>3.570652173913043</v>
      </c>
    </row>
    <row r="564" spans="1:8">
      <c r="A564" s="6" t="s">
        <v>13</v>
      </c>
      <c r="B564" s="6" t="s">
        <v>216</v>
      </c>
      <c r="C564" s="6">
        <v>2024</v>
      </c>
      <c r="D564" s="6">
        <v>8</v>
      </c>
      <c r="E564" s="9" t="s">
        <v>172</v>
      </c>
      <c r="F564" s="10">
        <f>SUMIFS(Data!$K:$K,Data!$A:$A,2024,Data!$B:$B,8,Data!$G:$G,"FCC",Data!$F:$F,"PADD 5")</f>
        <v>91.925</v>
      </c>
      <c r="G564" s="11">
        <f>IFERROR(F564/F563-1,"")</f>
        <v>4.465219976218787</v>
      </c>
      <c r="H564" s="11">
        <f>IFERROR(F564/F552-1,"")</f>
        <v>7.959551656920079</v>
      </c>
    </row>
    <row r="565" spans="1:8">
      <c r="A565" s="6" t="s">
        <v>13</v>
      </c>
      <c r="B565" s="6" t="s">
        <v>216</v>
      </c>
      <c r="C565" s="6">
        <v>2024</v>
      </c>
      <c r="D565" s="6">
        <v>9</v>
      </c>
      <c r="E565" s="9" t="s">
        <v>173</v>
      </c>
      <c r="F565" s="10">
        <f>SUMIFS(Data!$K:$K,Data!$A:$A,2024,Data!$B:$B,9,Data!$G:$G,"FCC",Data!$F:$F,"PADD 5")</f>
        <v>246.535</v>
      </c>
      <c r="G565" s="11">
        <f>IFERROR(F565/F564-1,"")</f>
        <v>1.6819146042969813</v>
      </c>
      <c r="H565" s="11">
        <f>IFERROR(F565/F553-1,"")</f>
        <v>6.603238242097148</v>
      </c>
    </row>
    <row r="566" spans="1:8">
      <c r="A566" s="6" t="s">
        <v>13</v>
      </c>
      <c r="B566" s="6" t="s">
        <v>216</v>
      </c>
      <c r="C566" s="6">
        <v>2024</v>
      </c>
      <c r="D566" s="6">
        <v>10</v>
      </c>
      <c r="E566" s="9" t="s">
        <v>174</v>
      </c>
      <c r="F566" s="10">
        <f>SUMIFS(Data!$K:$K,Data!$A:$A,2024,Data!$B:$B,10,Data!$G:$G,"FCC",Data!$F:$F,"PADD 5")</f>
        <v>134.35500000000002</v>
      </c>
      <c r="G566" s="11">
        <f>IFERROR(F566/F565-1,"")</f>
        <v>-0.4550266696412273</v>
      </c>
      <c r="H566" s="11">
        <f>IFERROR(F566/F554-1,"")</f>
        <v>0.34355000000000024</v>
      </c>
    </row>
    <row r="567" spans="1:8">
      <c r="A567" s="6" t="s">
        <v>13</v>
      </c>
      <c r="B567" s="6" t="s">
        <v>216</v>
      </c>
      <c r="C567" s="6">
        <v>2024</v>
      </c>
      <c r="D567" s="6">
        <v>11</v>
      </c>
      <c r="E567" s="9" t="s">
        <v>175</v>
      </c>
      <c r="F567" s="10">
        <f>SUMIFS(Data!$K:$K,Data!$A:$A,2024,Data!$B:$B,11,Data!$G:$G,"FCC",Data!$F:$F,"PADD 5")</f>
        <v>6.5</v>
      </c>
      <c r="G567" s="11">
        <f>IFERROR(F567/F566-1,"")</f>
        <v>-0.9516207063376875</v>
      </c>
      <c r="H567" s="11">
        <f>IFERROR(F567/F555-1,"")</f>
        <v>-0.9398148148148148</v>
      </c>
    </row>
    <row r="568" spans="1:8">
      <c r="A568" s="6" t="s">
        <v>13</v>
      </c>
      <c r="B568" s="6" t="s">
        <v>216</v>
      </c>
      <c r="C568" s="6">
        <v>2024</v>
      </c>
      <c r="D568" s="6">
        <v>12</v>
      </c>
      <c r="E568" s="9" t="s">
        <v>176</v>
      </c>
      <c r="F568" s="10">
        <f>SUMIFS(Data!$K:$K,Data!$A:$A,2024,Data!$B:$B,12,Data!$G:$G,"FCC",Data!$F:$F,"PADD 5")</f>
        <v>0.0</v>
      </c>
      <c r="G568" s="11">
        <f>IFERROR(F568/F567-1,"")</f>
        <v>-1.0</v>
      </c>
      <c r="H568" s="11">
        <f>IFERROR(F568/F556-1,"")</f>
        <v>-1.0</v>
      </c>
    </row>
    <row r="569" spans="1:8">
      <c r="A569" s="6" t="s">
        <v>13</v>
      </c>
      <c r="B569" s="6" t="s">
        <v>216</v>
      </c>
      <c r="C569" s="6">
        <v>2025</v>
      </c>
      <c r="D569" s="6">
        <v>1</v>
      </c>
      <c r="E569" s="9" t="s">
        <v>177</v>
      </c>
      <c r="F569" s="10">
        <f>SUMIFS(Data!$K:$K,Data!$A:$A,2025,Data!$B:$B,1,Data!$G:$G,"FCC",Data!$F:$F,"PADD 5")</f>
        <v>87.14</v>
      </c>
      <c r="G569" s="11">
        <f>IFERROR(F569/F568-1,"")</f>
        <v/>
      </c>
      <c r="H569" s="11">
        <f>IFERROR(F569/F557-1,"")</f>
        <v>1.5781065088757398</v>
      </c>
    </row>
    <row r="570" spans="1:8">
      <c r="A570" s="6" t="s">
        <v>13</v>
      </c>
      <c r="B570" s="6" t="s">
        <v>216</v>
      </c>
      <c r="C570" s="6">
        <v>2025</v>
      </c>
      <c r="D570" s="6">
        <v>2</v>
      </c>
      <c r="E570" s="9" t="s">
        <v>178</v>
      </c>
      <c r="F570" s="10">
        <f>SUMIFS(Data!$K:$K,Data!$A:$A,2025,Data!$B:$B,2,Data!$G:$G,"FCC",Data!$F:$F,"PADD 5")</f>
        <v>61.019999999999996</v>
      </c>
      <c r="G570" s="11">
        <f>IFERROR(F570/F569-1,"")</f>
        <v>-0.2997475327059904</v>
      </c>
      <c r="H570" s="11">
        <f>IFERROR(F570/F558-1,"")</f>
        <v>-0.5270867240176704</v>
      </c>
    </row>
    <row r="571" spans="1:8">
      <c r="A571" s="6" t="s">
        <v>13</v>
      </c>
      <c r="B571" s="6" t="s">
        <v>216</v>
      </c>
      <c r="C571" s="6">
        <v>2025</v>
      </c>
      <c r="D571" s="6">
        <v>3</v>
      </c>
      <c r="E571" s="9" t="s">
        <v>179</v>
      </c>
      <c r="F571" s="10">
        <f>SUMIFS(Data!$K:$K,Data!$A:$A,2025,Data!$B:$B,3,Data!$G:$G,"FCC",Data!$F:$F,"PADD 5")</f>
        <v>96.76</v>
      </c>
      <c r="G571" s="11">
        <f>IFERROR(F571/F570-1,"")</f>
        <v>0.5857096034087186</v>
      </c>
      <c r="H571" s="11">
        <f>IFERROR(F571/F559-1,"")</f>
        <v>-0.3627502634351949</v>
      </c>
    </row>
    <row r="572" spans="1:8">
      <c r="A572" s="6" t="s">
        <v>13</v>
      </c>
      <c r="B572" s="6" t="s">
        <v>216</v>
      </c>
      <c r="C572" s="6">
        <v>2025</v>
      </c>
      <c r="D572" s="6">
        <v>4</v>
      </c>
      <c r="E572" s="9" t="s">
        <v>180</v>
      </c>
      <c r="F572" s="10">
        <f>SUMIFS(Data!$K:$K,Data!$A:$A,2025,Data!$B:$B,4,Data!$G:$G,"FCC",Data!$F:$F,"PADD 5")</f>
        <v>212.0</v>
      </c>
      <c r="G572" s="11">
        <f>IFERROR(F572/F571-1,"")</f>
        <v>1.190988011575031</v>
      </c>
      <c r="H572" s="11">
        <f>IFERROR(F572/F560-1,"")</f>
        <v>1.7703364913426984</v>
      </c>
    </row>
    <row r="573" spans="1:8">
      <c r="A573" s="6" t="s">
        <v>13</v>
      </c>
      <c r="B573" s="6" t="s">
        <v>216</v>
      </c>
      <c r="C573" s="6">
        <v>2025</v>
      </c>
      <c r="D573" s="6">
        <v>5</v>
      </c>
      <c r="E573" s="9" t="s">
        <v>181</v>
      </c>
      <c r="F573" s="10">
        <f>SUMIFS(Data!$K:$K,Data!$A:$A,2025,Data!$B:$B,5,Data!$G:$G,"FCC",Data!$F:$F,"PADD 5")</f>
        <v>167.63</v>
      </c>
      <c r="G573" s="11">
        <f>IFERROR(F573/F572-1,"")</f>
        <v>-0.2092924528301887</v>
      </c>
      <c r="H573" s="11">
        <f>IFERROR(F573/F561-1,"")</f>
        <v>1.0196385542168676</v>
      </c>
    </row>
    <row r="574" spans="1:8">
      <c r="A574" s="6" t="s">
        <v>13</v>
      </c>
      <c r="B574" s="6" t="s">
        <v>216</v>
      </c>
      <c r="C574" s="6">
        <v>2025</v>
      </c>
      <c r="D574" s="6">
        <v>6</v>
      </c>
      <c r="E574" s="9" t="s">
        <v>182</v>
      </c>
      <c r="F574" s="10">
        <f>SUMIFS(Data!$K:$K,Data!$A:$A,2025,Data!$B:$B,6,Data!$G:$G,"FCC",Data!$F:$F,"PADD 5")</f>
        <v>118.9</v>
      </c>
      <c r="G574" s="11">
        <f>IFERROR(F574/F573-1,"")</f>
        <v>-0.29069975541370874</v>
      </c>
      <c r="H574" s="11">
        <f>IFERROR(F574/F562-1,"")</f>
        <v>-0.3604088219472835</v>
      </c>
    </row>
    <row r="575" spans="1:8">
      <c r="A575" s="6" t="s">
        <v>13</v>
      </c>
      <c r="B575" s="6" t="s">
        <v>216</v>
      </c>
      <c r="C575" s="6">
        <v>2025</v>
      </c>
      <c r="D575" s="6">
        <v>7</v>
      </c>
      <c r="E575" s="9" t="s">
        <v>183</v>
      </c>
      <c r="F575" s="10">
        <f>SUMIFS(Data!$K:$K,Data!$A:$A,2025,Data!$B:$B,7,Data!$G:$G,"FCC",Data!$F:$F,"PADD 5")</f>
        <v>70.0</v>
      </c>
      <c r="G575" s="11">
        <f>IFERROR(F575/F574-1,"")</f>
        <v>-0.4112699747687132</v>
      </c>
      <c r="H575" s="11">
        <f>IFERROR(F575/F563-1,"")</f>
        <v>3.1617122473246138</v>
      </c>
    </row>
    <row r="576" spans="1:8">
      <c r="A576" s="6" t="s">
        <v>13</v>
      </c>
      <c r="B576" s="6" t="s">
        <v>216</v>
      </c>
      <c r="C576" s="6">
        <v>2025</v>
      </c>
      <c r="D576" s="6">
        <v>8</v>
      </c>
      <c r="E576" s="9" t="s">
        <v>184</v>
      </c>
      <c r="F576" s="10">
        <f>SUMIFS(Data!$K:$K,Data!$A:$A,2025,Data!$B:$B,8,Data!$G:$G,"FCC",Data!$F:$F,"PADD 5")</f>
        <v>70.0</v>
      </c>
      <c r="G576" s="11">
        <f>IFERROR(F576/F575-1,"")</f>
        <v>0.0</v>
      </c>
      <c r="H576" s="11">
        <f>IFERROR(F576/F564-1,"")</f>
        <v>-0.23850965460973617</v>
      </c>
    </row>
    <row r="577" spans="1:8">
      <c r="A577" s="6" t="s">
        <v>13</v>
      </c>
      <c r="B577" s="6" t="s">
        <v>216</v>
      </c>
      <c r="C577" s="6">
        <v>2025</v>
      </c>
      <c r="D577" s="6">
        <v>9</v>
      </c>
      <c r="E577" s="9" t="s">
        <v>185</v>
      </c>
      <c r="F577" s="10">
        <f>SUMIFS(Data!$K:$K,Data!$A:$A,2025,Data!$B:$B,9,Data!$G:$G,"FCC",Data!$F:$F,"PADD 5")</f>
        <v>90.8</v>
      </c>
      <c r="G577" s="11">
        <f>IFERROR(F577/F576-1,"")</f>
        <v>0.29714285714285715</v>
      </c>
      <c r="H577" s="11">
        <f>IFERROR(F577/F565-1,"")</f>
        <v>-0.6316952968138398</v>
      </c>
    </row>
    <row r="578" spans="1:8">
      <c r="A578" s="6" t="s">
        <v>13</v>
      </c>
      <c r="B578" s="6" t="s">
        <v>216</v>
      </c>
      <c r="C578" s="6">
        <v>2025</v>
      </c>
      <c r="D578" s="6">
        <v>10</v>
      </c>
      <c r="E578" s="9" t="s">
        <v>186</v>
      </c>
      <c r="F578" s="10">
        <f>SUMIFS(Data!$K:$K,Data!$A:$A,2025,Data!$B:$B,10,Data!$G:$G,"FCC",Data!$F:$F,"PADD 5")</f>
        <v>195.805</v>
      </c>
      <c r="G578" s="11">
        <f>IFERROR(F578/F577-1,"")</f>
        <v>1.1564427312775334</v>
      </c>
      <c r="H578" s="11">
        <f>IFERROR(F578/F566-1,"")</f>
        <v>0.4573703993152467</v>
      </c>
    </row>
    <row r="579" spans="1:8">
      <c r="A579" s="6" t="s">
        <v>13</v>
      </c>
      <c r="B579" s="6" t="s">
        <v>216</v>
      </c>
      <c r="C579" s="6">
        <v>2025</v>
      </c>
      <c r="D579" s="6">
        <v>11</v>
      </c>
      <c r="E579" s="9" t="s">
        <v>187</v>
      </c>
      <c r="F579" s="10">
        <f>SUMIFS(Data!$K:$K,Data!$A:$A,2025,Data!$B:$B,11,Data!$G:$G,"FCC",Data!$F:$F,"PADD 5")</f>
        <v>239.12</v>
      </c>
      <c r="G579" s="11">
        <f>IFERROR(F579/F578-1,"")</f>
        <v>0.22121498429560016</v>
      </c>
      <c r="H579" s="11">
        <f>IFERROR(F579/F567-1,"")</f>
        <v>35.78769230769231</v>
      </c>
    </row>
    <row r="580" spans="1:8">
      <c r="A580" s="6" t="s">
        <v>13</v>
      </c>
      <c r="B580" s="6" t="s">
        <v>216</v>
      </c>
      <c r="C580" s="6">
        <v>2025</v>
      </c>
      <c r="D580" s="6">
        <v>12</v>
      </c>
      <c r="E580" s="9" t="s">
        <v>188</v>
      </c>
      <c r="F580" s="10">
        <f>SUMIFS(Data!$K:$K,Data!$A:$A,2025,Data!$B:$B,12,Data!$G:$G,"FCC",Data!$F:$F,"PADD 5")</f>
        <v>70.0</v>
      </c>
      <c r="G580" s="11">
        <f>IFERROR(F580/F579-1,"")</f>
        <v>-0.7072599531615925</v>
      </c>
      <c r="H580" s="11">
        <f>IFERROR(F580/F568-1,"")</f>
        <v/>
      </c>
    </row>
    <row r="581" spans="1:8">
      <c r="A581" s="6" t="s">
        <v>13</v>
      </c>
      <c r="B581" s="6" t="s">
        <v>216</v>
      </c>
      <c r="C581" s="6">
        <v>2026</v>
      </c>
      <c r="D581" s="6">
        <v>1</v>
      </c>
      <c r="E581" s="9" t="s">
        <v>189</v>
      </c>
      <c r="F581" s="10">
        <f>SUMIFS(Data!$K:$K,Data!$A:$A,2026,Data!$B:$B,1,Data!$G:$G,"FCC",Data!$F:$F,"PADD 5")</f>
        <v>76.24</v>
      </c>
      <c r="G581" s="11">
        <f>IFERROR(F581/F580-1,"")</f>
        <v>0.08914285714285697</v>
      </c>
      <c r="H581" s="11">
        <f>IFERROR(F581/F569-1,"")</f>
        <v>-0.12508606839568515</v>
      </c>
    </row>
    <row r="582" spans="1:8">
      <c r="A582" s="6" t="s">
        <v>13</v>
      </c>
      <c r="B582" s="6" t="s">
        <v>216</v>
      </c>
      <c r="C582" s="6">
        <v>2026</v>
      </c>
      <c r="D582" s="6">
        <v>2</v>
      </c>
      <c r="E582" s="9" t="s">
        <v>190</v>
      </c>
      <c r="F582" s="10">
        <f>SUMIFS(Data!$K:$K,Data!$A:$A,2026,Data!$B:$B,2,Data!$G:$G,"FCC",Data!$F:$F,"PADD 5")</f>
        <v>70.0</v>
      </c>
      <c r="G582" s="11">
        <f>IFERROR(F582/F581-1,"")</f>
        <v>-0.08184679958027274</v>
      </c>
      <c r="H582" s="11">
        <f>IFERROR(F582/F570-1,"")</f>
        <v>0.14716486397902329</v>
      </c>
    </row>
    <row r="583" spans="1:8">
      <c r="A583" s="6" t="s">
        <v>13</v>
      </c>
      <c r="B583" s="6" t="s">
        <v>216</v>
      </c>
      <c r="C583" s="6">
        <v>2026</v>
      </c>
      <c r="D583" s="6">
        <v>3</v>
      </c>
      <c r="E583" s="9" t="s">
        <v>191</v>
      </c>
      <c r="F583" s="10">
        <f>SUMIFS(Data!$K:$K,Data!$A:$A,2026,Data!$B:$B,3,Data!$G:$G,"FCC",Data!$F:$F,"PADD 5")</f>
        <v>70.0</v>
      </c>
      <c r="G583" s="11">
        <f>IFERROR(F583/F582-1,"")</f>
        <v>0.0</v>
      </c>
      <c r="H583" s="11">
        <f>IFERROR(F583/F571-1,"")</f>
        <v>-0.2765605622157917</v>
      </c>
    </row>
    <row r="584" spans="1:8">
      <c r="A584" s="6" t="s">
        <v>13</v>
      </c>
      <c r="B584" s="6" t="s">
        <v>216</v>
      </c>
      <c r="C584" s="6">
        <v>2026</v>
      </c>
      <c r="D584" s="6">
        <v>4</v>
      </c>
      <c r="E584" s="9" t="s">
        <v>192</v>
      </c>
      <c r="F584" s="10">
        <f>SUMIFS(Data!$K:$K,Data!$A:$A,2026,Data!$B:$B,4,Data!$G:$G,"FCC",Data!$F:$F,"PADD 5")</f>
        <v>160.5</v>
      </c>
      <c r="G584" s="11">
        <f>IFERROR(F584/F583-1,"")</f>
        <v>1.2928571428571427</v>
      </c>
      <c r="H584" s="11">
        <f>IFERROR(F584/F572-1,"")</f>
        <v>-0.24292452830188682</v>
      </c>
    </row>
    <row r="585" spans="1:8">
      <c r="A585" s="6" t="s">
        <v>13</v>
      </c>
      <c r="B585" s="6" t="s">
        <v>216</v>
      </c>
      <c r="C585" s="6">
        <v>2026</v>
      </c>
      <c r="D585" s="6">
        <v>5</v>
      </c>
      <c r="E585" s="9" t="s">
        <v>193</v>
      </c>
      <c r="F585" s="10">
        <f>SUMIFS(Data!$K:$K,Data!$A:$A,2026,Data!$B:$B,5,Data!$G:$G,"FCC",Data!$F:$F,"PADD 5")</f>
        <v>58.05</v>
      </c>
      <c r="G585" s="11">
        <f>IFERROR(F585/F584-1,"")</f>
        <v>-0.6383177570093458</v>
      </c>
      <c r="H585" s="11">
        <f>IFERROR(F585/F573-1,"")</f>
        <v>-0.6537016047246913</v>
      </c>
    </row>
    <row r="586" spans="1:8">
      <c r="A586" s="6" t="s">
        <v>13</v>
      </c>
      <c r="B586" s="6" t="s">
        <v>216</v>
      </c>
      <c r="C586" s="6">
        <v>2026</v>
      </c>
      <c r="D586" s="6">
        <v>6</v>
      </c>
      <c r="E586" s="9" t="s">
        <v>194</v>
      </c>
      <c r="F586" s="10">
        <f>SUMIFS(Data!$K:$K,Data!$A:$A,2026,Data!$B:$B,6,Data!$G:$G,"FCC",Data!$F:$F,"PADD 5")</f>
        <v>0.0</v>
      </c>
      <c r="G586" s="11">
        <f>IFERROR(F586/F585-1,"")</f>
        <v>-1.0</v>
      </c>
      <c r="H586" s="11">
        <f>IFERROR(F586/F574-1,"")</f>
        <v>-1.0</v>
      </c>
    </row>
    <row r="587" spans="1:8">
      <c r="A587" s="6" t="s">
        <v>13</v>
      </c>
      <c r="B587" s="6" t="s">
        <v>216</v>
      </c>
      <c r="C587" s="6">
        <v>2026</v>
      </c>
      <c r="D587" s="6">
        <v>7</v>
      </c>
      <c r="E587" s="9" t="s">
        <v>195</v>
      </c>
      <c r="F587" s="10">
        <f>SUMIFS(Data!$K:$K,Data!$A:$A,2026,Data!$B:$B,7,Data!$G:$G,"FCC",Data!$F:$F,"PADD 5")</f>
        <v>0.0</v>
      </c>
      <c r="G587" s="11">
        <f>IFERROR(F587/F586-1,"")</f>
        <v/>
      </c>
      <c r="H587" s="11">
        <f>IFERROR(F587/F575-1,"")</f>
        <v>-1.0</v>
      </c>
    </row>
    <row r="588" spans="1:8">
      <c r="A588" s="6" t="s">
        <v>13</v>
      </c>
      <c r="B588" s="6" t="s">
        <v>216</v>
      </c>
      <c r="C588" s="6">
        <v>2026</v>
      </c>
      <c r="D588" s="6">
        <v>8</v>
      </c>
      <c r="E588" s="9" t="s">
        <v>196</v>
      </c>
      <c r="F588" s="10">
        <f>SUMIFS(Data!$K:$K,Data!$A:$A,2026,Data!$B:$B,8,Data!$G:$G,"FCC",Data!$F:$F,"PADD 5")</f>
        <v>0.0</v>
      </c>
      <c r="G588" s="11">
        <f>IFERROR(F588/F587-1,"")</f>
        <v/>
      </c>
      <c r="H588" s="11">
        <f>IFERROR(F588/F576-1,"")</f>
        <v>-1.0</v>
      </c>
    </row>
    <row r="589" spans="1:8">
      <c r="A589" s="6" t="s">
        <v>13</v>
      </c>
      <c r="B589" s="6" t="s">
        <v>216</v>
      </c>
      <c r="C589" s="6">
        <v>2026</v>
      </c>
      <c r="D589" s="6">
        <v>9</v>
      </c>
      <c r="E589" s="9" t="s">
        <v>197</v>
      </c>
      <c r="F589" s="10">
        <f>SUMIFS(Data!$K:$K,Data!$A:$A,2026,Data!$B:$B,9,Data!$G:$G,"FCC",Data!$F:$F,"PADD 5")</f>
        <v>0.0</v>
      </c>
      <c r="G589" s="11">
        <f>IFERROR(F589/F588-1,"")</f>
        <v/>
      </c>
      <c r="H589" s="11">
        <f>IFERROR(F589/F577-1,"")</f>
        <v>-1.0</v>
      </c>
    </row>
    <row r="590" spans="1:8">
      <c r="A590" s="6" t="s">
        <v>13</v>
      </c>
      <c r="B590" s="6" t="s">
        <v>216</v>
      </c>
      <c r="C590" s="6">
        <v>2026</v>
      </c>
      <c r="D590" s="6">
        <v>10</v>
      </c>
      <c r="E590" s="9" t="s">
        <v>198</v>
      </c>
      <c r="F590" s="10">
        <f>SUMIFS(Data!$K:$K,Data!$A:$A,2026,Data!$B:$B,10,Data!$G:$G,"FCC",Data!$F:$F,"PADD 5")</f>
        <v>59.2</v>
      </c>
      <c r="G590" s="11">
        <f>IFERROR(F590/F589-1,"")</f>
        <v/>
      </c>
      <c r="H590" s="11">
        <f>IFERROR(F590/F578-1,"")</f>
        <v>-0.697658384617349</v>
      </c>
    </row>
    <row r="591" spans="1:8">
      <c r="A591" s="6" t="s">
        <v>13</v>
      </c>
      <c r="B591" s="6" t="s">
        <v>216</v>
      </c>
      <c r="C591" s="6">
        <v>2026</v>
      </c>
      <c r="D591" s="6">
        <v>11</v>
      </c>
      <c r="E591" s="9" t="s">
        <v>199</v>
      </c>
      <c r="F591" s="10">
        <f>SUMIFS(Data!$K:$K,Data!$A:$A,2026,Data!$B:$B,11,Data!$G:$G,"FCC",Data!$F:$F,"PADD 5")</f>
        <v>80.0</v>
      </c>
      <c r="G591" s="11">
        <f>IFERROR(F591/F590-1,"")</f>
        <v>0.3513513513513513</v>
      </c>
      <c r="H591" s="11">
        <f>IFERROR(F591/F579-1,"")</f>
        <v>-0.6654399464703915</v>
      </c>
    </row>
    <row r="592" spans="1:8">
      <c r="A592" s="6" t="s">
        <v>13</v>
      </c>
      <c r="B592" s="6" t="s">
        <v>216</v>
      </c>
      <c r="C592" s="6">
        <v>2026</v>
      </c>
      <c r="D592" s="6">
        <v>12</v>
      </c>
      <c r="E592" s="9" t="s">
        <v>200</v>
      </c>
      <c r="F592" s="10">
        <f>SUMIFS(Data!$K:$K,Data!$A:$A,2026,Data!$B:$B,12,Data!$G:$G,"FCC",Data!$F:$F,"PADD 5")</f>
        <v>4.8</v>
      </c>
      <c r="G592" s="11">
        <f>IFERROR(F592/F591-1,"")</f>
        <v>-0.94</v>
      </c>
      <c r="H592" s="11">
        <f>IFERROR(F592/F580-1,"")</f>
        <v>-0.9314285714285714</v>
      </c>
    </row>
    <row r="593" spans="1:10">
      <c r="A593" s="6" t="s">
        <v>13</v>
      </c>
      <c r="B593" s="6" t="s">
        <v>216</v>
      </c>
      <c r="C593" s="6">
        <v>2027</v>
      </c>
      <c r="D593" s="6">
        <v>1</v>
      </c>
      <c r="E593" s="9" t="s">
        <v>201</v>
      </c>
      <c r="F593" s="10">
        <f>SUMIFS(Data!$K:$K,Data!$A:$A,2027,Data!$B:$B,1,Data!$G:$G,"FCC",Data!$F:$F,"PADD 5")</f>
        <v>0.0</v>
      </c>
      <c r="G593" s="11">
        <f>IFERROR(F593/F592-1,"")</f>
        <v>-1.0</v>
      </c>
      <c r="H593" s="11">
        <f>IFERROR(F593/F581-1,"")</f>
        <v>-1.0</v>
      </c>
    </row>
    <row r="594" spans="1:10">
      <c r="A594" s="6" t="s">
        <v>13</v>
      </c>
      <c r="B594" s="6" t="s">
        <v>216</v>
      </c>
      <c r="C594" s="6">
        <v>2027</v>
      </c>
      <c r="D594" s="6">
        <v>2</v>
      </c>
      <c r="E594" s="9" t="s">
        <v>202</v>
      </c>
      <c r="F594" s="10">
        <f>SUMIFS(Data!$K:$K,Data!$A:$A,2027,Data!$B:$B,2,Data!$G:$G,"FCC",Data!$F:$F,"PADD 5")</f>
        <v>0.0</v>
      </c>
      <c r="G594" s="11">
        <f>IFERROR(F594/F593-1,"")</f>
        <v/>
      </c>
      <c r="H594" s="11">
        <f>IFERROR(F594/F582-1,"")</f>
        <v>-1.0</v>
      </c>
    </row>
    <row r="595" spans="1:10">
      <c r="A595" s="6" t="s">
        <v>13</v>
      </c>
      <c r="B595" s="6" t="s">
        <v>216</v>
      </c>
      <c r="C595" s="6">
        <v>2027</v>
      </c>
      <c r="D595" s="6">
        <v>3</v>
      </c>
      <c r="E595" s="9" t="s">
        <v>203</v>
      </c>
      <c r="F595" s="10">
        <f>SUMIFS(Data!$K:$K,Data!$A:$A,2027,Data!$B:$B,3,Data!$G:$G,"FCC",Data!$F:$F,"PADD 5")</f>
        <v>0.0</v>
      </c>
      <c r="G595" s="11">
        <f>IFERROR(F595/F594-1,"")</f>
        <v/>
      </c>
      <c r="H595" s="11">
        <f>IFERROR(F595/F583-1,"")</f>
        <v>-1.0</v>
      </c>
    </row>
    <row r="596" spans="1:10">
      <c r="A596" s="6" t="s">
        <v>13</v>
      </c>
      <c r="B596" s="6" t="s">
        <v>216</v>
      </c>
      <c r="C596" s="6">
        <v>2027</v>
      </c>
      <c r="D596" s="6">
        <v>4</v>
      </c>
      <c r="E596" s="9" t="s">
        <v>204</v>
      </c>
      <c r="F596" s="10">
        <f>SUMIFS(Data!$K:$K,Data!$A:$A,2027,Data!$B:$B,4,Data!$G:$G,"FCC",Data!$F:$F,"PADD 5")</f>
        <v>0.0</v>
      </c>
      <c r="G596" s="11">
        <f>IFERROR(F596/F595-1,"")</f>
        <v/>
      </c>
      <c r="H596" s="11">
        <f>IFERROR(F596/F584-1,"")</f>
        <v>-1.0</v>
      </c>
    </row>
    <row r="597" spans="1:10">
      <c r="A597" s="6" t="s">
        <v>13</v>
      </c>
      <c r="B597" s="6" t="s">
        <v>216</v>
      </c>
      <c r="C597" s="6">
        <v>2027</v>
      </c>
      <c r="D597" s="6">
        <v>5</v>
      </c>
      <c r="E597" s="9" t="s">
        <v>205</v>
      </c>
      <c r="F597" s="10">
        <f>SUMIFS(Data!$K:$K,Data!$A:$A,2027,Data!$B:$B,5,Data!$G:$G,"FCC",Data!$F:$F,"PADD 5")</f>
        <v>0.0</v>
      </c>
      <c r="G597" s="11">
        <f>IFERROR(F597/F596-1,"")</f>
        <v/>
      </c>
      <c r="H597" s="11">
        <f>IFERROR(F597/F585-1,"")</f>
        <v>-1.0</v>
      </c>
    </row>
    <row r="598" spans="1:10">
      <c r="A598" s="6" t="s">
        <v>13</v>
      </c>
      <c r="B598" s="6" t="s">
        <v>216</v>
      </c>
      <c r="C598" s="6">
        <v>2027</v>
      </c>
      <c r="D598" s="6">
        <v>6</v>
      </c>
      <c r="E598" s="9" t="s">
        <v>206</v>
      </c>
      <c r="F598" s="10">
        <f>SUMIFS(Data!$K:$K,Data!$A:$A,2027,Data!$B:$B,6,Data!$G:$G,"FCC",Data!$F:$F,"PADD 5")</f>
        <v>0.0</v>
      </c>
      <c r="G598" s="11">
        <f>IFERROR(F598/F597-1,"")</f>
        <v/>
      </c>
      <c r="H598" s="11">
        <f>IFERROR(F598/F586-1,"")</f>
        <v/>
      </c>
    </row>
    <row r="599" spans="1:10">
      <c r="A599" s="6" t="s">
        <v>13</v>
      </c>
      <c r="B599" s="6" t="s">
        <v>216</v>
      </c>
      <c r="C599" s="6">
        <v>2027</v>
      </c>
      <c r="D599" s="6">
        <v>7</v>
      </c>
      <c r="E599" s="9" t="s">
        <v>207</v>
      </c>
      <c r="F599" s="10">
        <f>SUMIFS(Data!$K:$K,Data!$A:$A,2027,Data!$B:$B,7,Data!$G:$G,"FCC",Data!$F:$F,"PADD 5")</f>
        <v>0.0</v>
      </c>
      <c r="G599" s="11">
        <f>IFERROR(F599/F598-1,"")</f>
        <v/>
      </c>
      <c r="H599" s="11">
        <f>IFERROR(F599/F587-1,"")</f>
        <v/>
      </c>
    </row>
    <row r="600" spans="1:10">
      <c r="A600" s="6" t="s">
        <v>13</v>
      </c>
      <c r="B600" s="6" t="s">
        <v>216</v>
      </c>
      <c r="C600" s="6">
        <v>2027</v>
      </c>
      <c r="D600" s="6">
        <v>8</v>
      </c>
      <c r="E600" s="9" t="s">
        <v>208</v>
      </c>
      <c r="F600" s="10">
        <f>SUMIFS(Data!$K:$K,Data!$A:$A,2027,Data!$B:$B,8,Data!$G:$G,"FCC",Data!$F:$F,"PADD 5")</f>
        <v>0.0</v>
      </c>
      <c r="G600" s="11">
        <f>IFERROR(F600/F599-1,"")</f>
        <v/>
      </c>
      <c r="H600" s="11">
        <f>IFERROR(F600/F588-1,"")</f>
        <v/>
      </c>
    </row>
    <row r="601" spans="1:10">
      <c r="A601" s="6" t="s">
        <v>13</v>
      </c>
      <c r="B601" s="6" t="s">
        <v>216</v>
      </c>
      <c r="C601" s="6">
        <v>2027</v>
      </c>
      <c r="D601" s="6">
        <v>9</v>
      </c>
      <c r="E601" s="9" t="s">
        <v>209</v>
      </c>
      <c r="F601" s="10">
        <f>SUMIFS(Data!$K:$K,Data!$A:$A,2027,Data!$B:$B,9,Data!$G:$G,"FCC",Data!$F:$F,"PADD 5")</f>
        <v>16.45</v>
      </c>
      <c r="G601" s="11">
        <f>IFERROR(F601/F600-1,"")</f>
        <v/>
      </c>
      <c r="H601" s="11">
        <f>IFERROR(F601/F589-1,"")</f>
        <v/>
      </c>
    </row>
    <row r="602" spans="1:10">
      <c r="A602" s="6" t="s">
        <v>13</v>
      </c>
      <c r="B602" s="6" t="s">
        <v>216</v>
      </c>
      <c r="C602" s="6">
        <v>2027</v>
      </c>
      <c r="D602" s="6">
        <v>10</v>
      </c>
      <c r="E602" s="9" t="s">
        <v>210</v>
      </c>
      <c r="F602" s="10">
        <f>SUMIFS(Data!$K:$K,Data!$A:$A,2027,Data!$B:$B,10,Data!$G:$G,"FCC",Data!$F:$F,"PADD 5")</f>
        <v>35.0</v>
      </c>
      <c r="G602" s="11">
        <f>IFERROR(F602/F601-1,"")</f>
        <v>1.127659574468085</v>
      </c>
      <c r="H602" s="11">
        <f>IFERROR(F602/F590-1,"")</f>
        <v>-0.40878378378378377</v>
      </c>
    </row>
    <row r="603" spans="1:10">
      <c r="A603" s="6" t="s">
        <v>13</v>
      </c>
      <c r="B603" s="6" t="s">
        <v>216</v>
      </c>
      <c r="C603" s="6">
        <v>2027</v>
      </c>
      <c r="D603" s="6">
        <v>11</v>
      </c>
      <c r="E603" s="9" t="s">
        <v>211</v>
      </c>
      <c r="F603" s="10">
        <f>SUMIFS(Data!$K:$K,Data!$A:$A,2027,Data!$B:$B,11,Data!$G:$G,"FCC",Data!$F:$F,"PADD 5")</f>
        <v>11.55</v>
      </c>
      <c r="G603" s="11">
        <f>IFERROR(F603/F602-1,"")</f>
        <v>-0.6699999999999999</v>
      </c>
      <c r="H603" s="11">
        <f>IFERROR(F603/F591-1,"")</f>
        <v>-0.855625</v>
      </c>
    </row>
    <row r="604" spans="1:10">
      <c r="A604" s="6" t="s">
        <v>13</v>
      </c>
      <c r="B604" s="6" t="s">
        <v>216</v>
      </c>
      <c r="C604" s="6">
        <v>2027</v>
      </c>
      <c r="D604" s="6">
        <v>12</v>
      </c>
      <c r="E604" s="9" t="s">
        <v>212</v>
      </c>
      <c r="F604" s="10">
        <f>SUMIFS(Data!$K:$K,Data!$A:$A,2027,Data!$B:$B,12,Data!$G:$G,"FCC",Data!$F:$F,"PADD 5")</f>
        <v>0.0</v>
      </c>
      <c r="G604" s="11">
        <f>IFERROR(F604/F603-1,"")</f>
        <v>-1.0</v>
      </c>
      <c r="H604" s="11">
        <f>IFERROR(F604/F592-1,"")</f>
        <v>-1.0</v>
      </c>
    </row>
    <row r="607" spans="1:10">
      <c r="A607" s="3" t="s">
        <v>217</v>
      </c>
    </row>
    <row r="608" spans="1:10">
      <c r="A608" s="7" t="s">
        <v>36</v>
      </c>
      <c r="B608" s="8">
        <v>2023</v>
      </c>
      <c r="C608" s="8">
        <v>2024</v>
      </c>
      <c r="D608" s="8">
        <v>2025</v>
      </c>
      <c r="E608" s="8">
        <v>2026</v>
      </c>
      <c r="F608" s="8">
        <v>2027</v>
      </c>
      <c r="G608" s="8" t="s">
        <v>218</v>
      </c>
      <c r="H608" s="8" t="s">
        <v>219</v>
      </c>
      <c r="I608" s="8" t="s">
        <v>220</v>
      </c>
      <c r="J608" s="8" t="s">
        <v>221</v>
      </c>
    </row>
    <row r="609" spans="1:10">
      <c r="A609" s="9" t="s">
        <v>152</v>
      </c>
      <c r="B609" s="10">
        <f>SUMIFS(Data!$K:$K,Data!$A:$A,2023,Data!$G:$G,"CDU",Data!$F:$F,"PADD 1")</f>
        <v>958.7675</v>
      </c>
      <c r="C609" s="10">
        <f>SUMIFS(Data!$K:$K,Data!$A:$A,2024,Data!$G:$G,"CDU",Data!$F:$F,"PADD 1")</f>
        <v>508.96500000000003</v>
      </c>
      <c r="D609" s="10">
        <f>SUMIFS(Data!$K:$K,Data!$A:$A,2025,Data!$G:$G,"CDU",Data!$F:$F,"PADD 1")</f>
        <v>1267.3982</v>
      </c>
      <c r="E609" s="10">
        <f>SUMIFS(Data!$K:$K,Data!$A:$A,2026,Data!$G:$G,"CDU",Data!$F:$F,"PADD 1")</f>
        <v>591.52</v>
      </c>
      <c r="F609" s="10">
        <f>SUMIFS(Data!$K:$K,Data!$A:$A,2027,Data!$G:$G,"CDU",Data!$F:$F,"PADD 1")</f>
        <v>153.7</v>
      </c>
      <c r="G609" s="11">
        <f>IFERROR(C609/B609-1,"")</f>
        <v>-0.46914658663335995</v>
      </c>
      <c r="H609" s="11">
        <f>IFERROR(D609/C609-1,"")</f>
        <v>1.4901480455434069</v>
      </c>
      <c r="I609" s="11">
        <f>IFERROR(E609/D609-1,"")</f>
        <v>-0.5332800693578388</v>
      </c>
      <c r="J609" s="11">
        <f>IFERROR(F609/E609-1,"")</f>
        <v>-0.7401609413037598</v>
      </c>
    </row>
    <row r="610" spans="1:10">
      <c r="A610" s="9" t="s">
        <v>213</v>
      </c>
      <c r="B610" s="10">
        <f>SUMIFS(Data!$K:$K,Data!$A:$A,2023,Data!$G:$G,"CDU",Data!$F:$F,"PADD 2")</f>
        <v>3923.0950000000003</v>
      </c>
      <c r="C610" s="10">
        <f>SUMIFS(Data!$K:$K,Data!$A:$A,2024,Data!$G:$G,"CDU",Data!$F:$F,"PADD 2")</f>
        <v>3180.7748999999994</v>
      </c>
      <c r="D610" s="10">
        <f>SUMIFS(Data!$K:$K,Data!$A:$A,2025,Data!$G:$G,"CDU",Data!$F:$F,"PADD 2")</f>
        <v>3403.8714999999997</v>
      </c>
      <c r="E610" s="10">
        <f>SUMIFS(Data!$K:$K,Data!$A:$A,2026,Data!$G:$G,"CDU",Data!$F:$F,"PADD 2")</f>
        <v>2312.79</v>
      </c>
      <c r="F610" s="10">
        <f>SUMIFS(Data!$K:$K,Data!$A:$A,2027,Data!$G:$G,"CDU",Data!$F:$F,"PADD 2")</f>
        <v>1276.4699999999998</v>
      </c>
      <c r="G610" s="11">
        <f>IFERROR(C610/B610-1,"")</f>
        <v>-0.1892179771328507</v>
      </c>
      <c r="H610" s="11">
        <f>IFERROR(D610/C610-1,"")</f>
        <v>0.0701390720858619</v>
      </c>
      <c r="I610" s="11">
        <f>IFERROR(E610/D610-1,"")</f>
        <v>-0.32054133065834</v>
      </c>
      <c r="J610" s="11">
        <f>IFERROR(F610/E610-1,"")</f>
        <v>-0.44808218645013176</v>
      </c>
    </row>
    <row r="611" spans="1:10">
      <c r="A611" s="9" t="s">
        <v>214</v>
      </c>
      <c r="B611" s="10">
        <f>SUMIFS(Data!$K:$K,Data!$A:$A,2023,Data!$G:$G,"CDU",Data!$F:$F,"PADD 3")</f>
        <v>7881.013300000001</v>
      </c>
      <c r="C611" s="10">
        <f>SUMIFS(Data!$K:$K,Data!$A:$A,2024,Data!$G:$G,"CDU",Data!$F:$F,"PADD 3")</f>
        <v>6411.998</v>
      </c>
      <c r="D611" s="10">
        <f>SUMIFS(Data!$K:$K,Data!$A:$A,2025,Data!$G:$G,"CDU",Data!$F:$F,"PADD 3")</f>
        <v>5619.06</v>
      </c>
      <c r="E611" s="10">
        <f>SUMIFS(Data!$K:$K,Data!$A:$A,2026,Data!$G:$G,"CDU",Data!$F:$F,"PADD 3")</f>
        <v>3295.2090000000003</v>
      </c>
      <c r="F611" s="10">
        <f>SUMIFS(Data!$K:$K,Data!$A:$A,2027,Data!$G:$G,"CDU",Data!$F:$F,"PADD 3")</f>
        <v>3134.0350000000003</v>
      </c>
      <c r="G611" s="11">
        <f>IFERROR(C611/B611-1,"")</f>
        <v>-0.18639929208088024</v>
      </c>
      <c r="H611" s="11">
        <f>IFERROR(D611/C611-1,"")</f>
        <v>-0.12366472977689624</v>
      </c>
      <c r="I611" s="11">
        <f>IFERROR(E611/D611-1,"")</f>
        <v>-0.4135657921431698</v>
      </c>
      <c r="J611" s="11">
        <f>IFERROR(F611/E611-1,"")</f>
        <v>-0.0489116168352296</v>
      </c>
    </row>
    <row r="612" spans="1:10">
      <c r="A612" s="9" t="s">
        <v>215</v>
      </c>
      <c r="B612" s="10">
        <f>SUMIFS(Data!$K:$K,Data!$A:$A,2023,Data!$G:$G,"CDU",Data!$F:$F,"PADD 4")</f>
        <v>805.546</v>
      </c>
      <c r="C612" s="10">
        <f>SUMIFS(Data!$K:$K,Data!$A:$A,2024,Data!$G:$G,"CDU",Data!$F:$F,"PADD 4")</f>
        <v>498.35699999999997</v>
      </c>
      <c r="D612" s="10">
        <f>SUMIFS(Data!$K:$K,Data!$A:$A,2025,Data!$G:$G,"CDU",Data!$F:$F,"PADD 4")</f>
        <v>201.67099999999996</v>
      </c>
      <c r="E612" s="10">
        <f>SUMIFS(Data!$K:$K,Data!$A:$A,2026,Data!$G:$G,"CDU",Data!$F:$F,"PADD 4")</f>
        <v>161.536</v>
      </c>
      <c r="F612" s="10">
        <f>SUMIFS(Data!$K:$K,Data!$A:$A,2027,Data!$G:$G,"CDU",Data!$F:$F,"PADD 4")</f>
        <v>349.462</v>
      </c>
      <c r="G612" s="11">
        <f>IFERROR(C612/B612-1,"")</f>
        <v>-0.3813425924776488</v>
      </c>
      <c r="H612" s="11">
        <f>IFERROR(D612/C612-1,"")</f>
        <v>-0.5953282486249818</v>
      </c>
      <c r="I612" s="11">
        <f>IFERROR(E612/D612-1,"")</f>
        <v>-0.19901225262928224</v>
      </c>
      <c r="J612" s="11">
        <f>IFERROR(F612/E612-1,"")</f>
        <v>1.1633691561014263</v>
      </c>
    </row>
    <row r="613" spans="1:10">
      <c r="A613" s="9" t="s">
        <v>216</v>
      </c>
      <c r="B613" s="10">
        <f>SUMIFS(Data!$K:$K,Data!$A:$A,2023,Data!$G:$G,"CDU",Data!$F:$F,"PADD 5")</f>
        <v>1364.612</v>
      </c>
      <c r="C613" s="10">
        <f>SUMIFS(Data!$K:$K,Data!$A:$A,2024,Data!$G:$G,"CDU",Data!$F:$F,"PADD 5")</f>
        <v>936.1949999999999</v>
      </c>
      <c r="D613" s="10">
        <f>SUMIFS(Data!$K:$K,Data!$A:$A,2025,Data!$G:$G,"CDU",Data!$F:$F,"PADD 5")</f>
        <v>2404.672</v>
      </c>
      <c r="E613" s="10">
        <f>SUMIFS(Data!$K:$K,Data!$A:$A,2026,Data!$G:$G,"CDU",Data!$F:$F,"PADD 5")</f>
        <v>902.123</v>
      </c>
      <c r="F613" s="10">
        <f>SUMIFS(Data!$K:$K,Data!$A:$A,2027,Data!$G:$G,"CDU",Data!$F:$F,"PADD 5")</f>
        <v>968.093</v>
      </c>
      <c r="G613" s="11">
        <f>IFERROR(C613/B613-1,"")</f>
        <v>-0.31394784744674686</v>
      </c>
      <c r="H613" s="11">
        <f>IFERROR(D613/C613-1,"")</f>
        <v>1.5685589006563805</v>
      </c>
      <c r="I613" s="11">
        <f>IFERROR(E613/D613-1,"")</f>
        <v>-0.6248457170042317</v>
      </c>
      <c r="J613" s="11">
        <f>IFERROR(F613/E613-1,"")</f>
        <v>0.07312750035194737</v>
      </c>
    </row>
    <row r="615" spans="1:10">
      <c r="A615" s="3" t="s">
        <v>222</v>
      </c>
    </row>
    <row r="616" spans="1:10">
      <c r="A616" s="7" t="s">
        <v>36</v>
      </c>
      <c r="B616" s="8">
        <v>2023</v>
      </c>
      <c r="C616" s="8">
        <v>2024</v>
      </c>
      <c r="D616" s="8">
        <v>2025</v>
      </c>
      <c r="E616" s="8">
        <v>2026</v>
      </c>
      <c r="F616" s="8">
        <v>2027</v>
      </c>
      <c r="G616" s="8" t="s">
        <v>218</v>
      </c>
      <c r="H616" s="8" t="s">
        <v>219</v>
      </c>
      <c r="I616" s="8" t="s">
        <v>220</v>
      </c>
      <c r="J616" s="8" t="s">
        <v>221</v>
      </c>
    </row>
    <row r="617" spans="1:10">
      <c r="A617" s="9" t="s">
        <v>152</v>
      </c>
      <c r="B617" s="10">
        <f>SUMIFS(Data!$K:$K,Data!$A:$A,2023,Data!$G:$G,"FCC",Data!$F:$F,"PADD 1")</f>
        <v>615.6800000000001</v>
      </c>
      <c r="C617" s="10">
        <f>SUMIFS(Data!$K:$K,Data!$A:$A,2024,Data!$G:$G,"FCC",Data!$F:$F,"PADD 1")</f>
        <v>367.53</v>
      </c>
      <c r="D617" s="10">
        <f>SUMIFS(Data!$K:$K,Data!$A:$A,2025,Data!$G:$G,"FCC",Data!$F:$F,"PADD 1")</f>
        <v>118.21000000000001</v>
      </c>
      <c r="E617" s="10">
        <f>SUMIFS(Data!$K:$K,Data!$A:$A,2026,Data!$G:$G,"FCC",Data!$F:$F,"PADD 1")</f>
        <v>140.99</v>
      </c>
      <c r="F617" s="10">
        <f>SUMIFS(Data!$K:$K,Data!$A:$A,2027,Data!$G:$G,"FCC",Data!$F:$F,"PADD 1")</f>
        <v>27.299999999999997</v>
      </c>
      <c r="G617" s="11">
        <f>IFERROR(C617/B617-1,"")</f>
        <v>-0.403050285862786</v>
      </c>
      <c r="H617" s="11">
        <f>IFERROR(D617/C617-1,"")</f>
        <v>-0.6783663918591679</v>
      </c>
      <c r="I617" s="11">
        <f>IFERROR(E617/D617-1,"")</f>
        <v>0.19270789273327127</v>
      </c>
      <c r="J617" s="11">
        <f>IFERROR(F617/E617-1,"")</f>
        <v>-0.8063692460458189</v>
      </c>
    </row>
    <row r="618" spans="1:10">
      <c r="A618" s="9" t="s">
        <v>213</v>
      </c>
      <c r="B618" s="10">
        <f>SUMIFS(Data!$K:$K,Data!$A:$A,2023,Data!$G:$G,"FCC",Data!$F:$F,"PADD 2")</f>
        <v>1214.786</v>
      </c>
      <c r="C618" s="10">
        <f>SUMIFS(Data!$K:$K,Data!$A:$A,2024,Data!$G:$G,"FCC",Data!$F:$F,"PADD 2")</f>
        <v>1048.315</v>
      </c>
      <c r="D618" s="10">
        <f>SUMIFS(Data!$K:$K,Data!$A:$A,2025,Data!$G:$G,"FCC",Data!$F:$F,"PADD 2")</f>
        <v>957.095</v>
      </c>
      <c r="E618" s="10">
        <f>SUMIFS(Data!$K:$K,Data!$A:$A,2026,Data!$G:$G,"FCC",Data!$F:$F,"PADD 2")</f>
        <v>729.205</v>
      </c>
      <c r="F618" s="10">
        <f>SUMIFS(Data!$K:$K,Data!$A:$A,2027,Data!$G:$G,"FCC",Data!$F:$F,"PADD 2")</f>
        <v>345.14</v>
      </c>
      <c r="G618" s="11">
        <f>IFERROR(C618/B618-1,"")</f>
        <v>-0.13703730533608394</v>
      </c>
      <c r="H618" s="11">
        <f>IFERROR(D618/C618-1,"")</f>
        <v>-0.08701583016555137</v>
      </c>
      <c r="I618" s="11">
        <f>IFERROR(E618/D618-1,"")</f>
        <v>-0.23810593514750367</v>
      </c>
      <c r="J618" s="11">
        <f>IFERROR(F618/E618-1,"")</f>
        <v>-0.5266900254386627</v>
      </c>
    </row>
    <row r="619" spans="1:10">
      <c r="A619" s="9" t="s">
        <v>214</v>
      </c>
      <c r="B619" s="10">
        <f>SUMIFS(Data!$K:$K,Data!$A:$A,2023,Data!$G:$G,"FCC",Data!$F:$F,"PADD 3")</f>
        <v>3279.5089999999996</v>
      </c>
      <c r="C619" s="10">
        <f>SUMIFS(Data!$K:$K,Data!$A:$A,2024,Data!$G:$G,"FCC",Data!$F:$F,"PADD 3")</f>
        <v>2357.2148</v>
      </c>
      <c r="D619" s="10">
        <f>SUMIFS(Data!$K:$K,Data!$A:$A,2025,Data!$G:$G,"FCC",Data!$F:$F,"PADD 3")</f>
        <v>1642.6144000000002</v>
      </c>
      <c r="E619" s="10">
        <f>SUMIFS(Data!$K:$K,Data!$A:$A,2026,Data!$G:$G,"FCC",Data!$F:$F,"PADD 3")</f>
        <v>1163.2559999999999</v>
      </c>
      <c r="F619" s="10">
        <f>SUMIFS(Data!$K:$K,Data!$A:$A,2027,Data!$G:$G,"FCC",Data!$F:$F,"PADD 3")</f>
        <v>1341.0624999999998</v>
      </c>
      <c r="G619" s="11">
        <f>IFERROR(C619/B619-1,"")</f>
        <v>-0.2812293547601179</v>
      </c>
      <c r="H619" s="11">
        <f>IFERROR(D619/C619-1,"")</f>
        <v>-0.3031545534161757</v>
      </c>
      <c r="I619" s="11">
        <f>IFERROR(E619/D619-1,"")</f>
        <v>-0.29182649318062737</v>
      </c>
      <c r="J619" s="11">
        <f>IFERROR(F619/E619-1,"")</f>
        <v>0.15285242457378256</v>
      </c>
    </row>
    <row r="620" spans="1:10">
      <c r="A620" s="9" t="s">
        <v>215</v>
      </c>
      <c r="B620" s="10">
        <f>SUMIFS(Data!$K:$K,Data!$A:$A,2023,Data!$G:$G,"FCC",Data!$F:$F,"PADD 4")</f>
        <v>267.1005</v>
      </c>
      <c r="C620" s="10">
        <f>SUMIFS(Data!$K:$K,Data!$A:$A,2024,Data!$G:$G,"FCC",Data!$F:$F,"PADD 4")</f>
        <v>103.35640000000001</v>
      </c>
      <c r="D620" s="10">
        <f>SUMIFS(Data!$K:$K,Data!$A:$A,2025,Data!$G:$G,"FCC",Data!$F:$F,"PADD 4")</f>
        <v>132.849</v>
      </c>
      <c r="E620" s="10">
        <f>SUMIFS(Data!$K:$K,Data!$A:$A,2026,Data!$G:$G,"FCC",Data!$F:$F,"PADD 4")</f>
        <v>134.736</v>
      </c>
      <c r="F620" s="10">
        <f>SUMIFS(Data!$K:$K,Data!$A:$A,2027,Data!$G:$G,"FCC",Data!$F:$F,"PADD 4")</f>
        <v>123.38899999999998</v>
      </c>
      <c r="G620" s="11">
        <f>IFERROR(C620/B620-1,"")</f>
        <v>-0.6130430306195608</v>
      </c>
      <c r="H620" s="11">
        <f>IFERROR(D620/C620-1,"")</f>
        <v>0.28534856090188887</v>
      </c>
      <c r="I620" s="11">
        <f>IFERROR(E620/D620-1,"")</f>
        <v>0.014204096380100673</v>
      </c>
      <c r="J620" s="11">
        <f>IFERROR(F620/E620-1,"")</f>
        <v>-0.08421654197838746</v>
      </c>
    </row>
    <row r="621" spans="1:10">
      <c r="A621" s="9" t="s">
        <v>216</v>
      </c>
      <c r="B621" s="10">
        <f>SUMIFS(Data!$K:$K,Data!$A:$A,2023,Data!$G:$G,"FCC",Data!$F:$F,"PADD 5")</f>
        <v>784.345</v>
      </c>
      <c r="C621" s="10">
        <f>SUMIFS(Data!$K:$K,Data!$A:$A,2024,Data!$G:$G,"FCC",Data!$F:$F,"PADD 5")</f>
        <v>1156.23</v>
      </c>
      <c r="D621" s="10">
        <f>SUMIFS(Data!$K:$K,Data!$A:$A,2025,Data!$G:$G,"FCC",Data!$F:$F,"PADD 5")</f>
        <v>1479.1749999999997</v>
      </c>
      <c r="E621" s="10">
        <f>SUMIFS(Data!$K:$K,Data!$A:$A,2026,Data!$G:$G,"FCC",Data!$F:$F,"PADD 5")</f>
        <v>578.79</v>
      </c>
      <c r="F621" s="10">
        <f>SUMIFS(Data!$K:$K,Data!$A:$A,2027,Data!$G:$G,"FCC",Data!$F:$F,"PADD 5")</f>
        <v>63.0</v>
      </c>
      <c r="G621" s="11">
        <f>IFERROR(C621/B621-1,"")</f>
        <v>0.4741344688880531</v>
      </c>
      <c r="H621" s="11">
        <f>IFERROR(D621/C621-1,"")</f>
        <v>0.27930861506793603</v>
      </c>
      <c r="I621" s="11">
        <f>IFERROR(E621/D621-1,"")</f>
        <v>-0.608707556577146</v>
      </c>
      <c r="J621" s="11">
        <f>IFERROR(F621/E621-1,"")</f>
        <v>-0.8911522313792567</v>
      </c>
    </row>
    <row r="623" spans="1:10">
      <c r="A623" s="3" t="s">
        <v>223</v>
      </c>
    </row>
    <row r="624" spans="1:10">
      <c r="A624" s="7" t="s">
        <v>148</v>
      </c>
      <c r="B624" s="8" t="s">
        <v>152</v>
      </c>
      <c r="C624" s="8" t="s">
        <v>213</v>
      </c>
      <c r="D624" s="8" t="s">
        <v>214</v>
      </c>
      <c r="E624" s="8" t="s">
        <v>215</v>
      </c>
      <c r="F624" s="8" t="s">
        <v>216</v>
      </c>
    </row>
    <row r="625" spans="1:6">
      <c r="A625" s="9" t="s">
        <v>60</v>
      </c>
      <c r="B625" s="10">
        <f>SUMIFS(Data!$K:$K,Data!$A:$A,2027,Data!$B:$B,1,Data!$G:$G,"CDU",Data!$F:$F,"PADD 1")</f>
        <v>0.0</v>
      </c>
      <c r="C625" s="10">
        <f>SUMIFS(Data!$K:$K,Data!$A:$A,2027,Data!$B:$B,1,Data!$G:$G,"CDU",Data!$F:$F,"PADD 2")</f>
        <v>0.0</v>
      </c>
      <c r="D625" s="10">
        <f>SUMIFS(Data!$K:$K,Data!$A:$A,2027,Data!$B:$B,1,Data!$G:$G,"CDU",Data!$F:$F,"PADD 3")</f>
        <v>210.575</v>
      </c>
      <c r="E625" s="10">
        <f>SUMIFS(Data!$K:$K,Data!$A:$A,2027,Data!$B:$B,1,Data!$G:$G,"CDU",Data!$F:$F,"PADD 4")</f>
        <v>0.0</v>
      </c>
      <c r="F625" s="10">
        <f>SUMIFS(Data!$K:$K,Data!$A:$A,2027,Data!$B:$B,1,Data!$G:$G,"CDU",Data!$F:$F,"PADD 5")</f>
        <v>154.55</v>
      </c>
    </row>
    <row r="626" spans="1:6">
      <c r="A626" s="9" t="s">
        <v>61</v>
      </c>
      <c r="B626" s="10">
        <f>SUMIFS(Data!$K:$K,Data!$A:$A,2027,Data!$B:$B,2,Data!$G:$G,"CDU",Data!$F:$F,"PADD 1")</f>
        <v>0.0</v>
      </c>
      <c r="C626" s="10">
        <f>SUMIFS(Data!$K:$K,Data!$A:$A,2027,Data!$B:$B,2,Data!$G:$G,"CDU",Data!$F:$F,"PADD 2")</f>
        <v>67.8</v>
      </c>
      <c r="D626" s="10">
        <f>SUMIFS(Data!$K:$K,Data!$A:$A,2027,Data!$B:$B,2,Data!$G:$G,"CDU",Data!$F:$F,"PADD 3")</f>
        <v>355.17</v>
      </c>
      <c r="E626" s="10">
        <f>SUMIFS(Data!$K:$K,Data!$A:$A,2027,Data!$B:$B,2,Data!$G:$G,"CDU",Data!$F:$F,"PADD 4")</f>
        <v>61.44</v>
      </c>
      <c r="F626" s="10">
        <f>SUMIFS(Data!$K:$K,Data!$A:$A,2027,Data!$B:$B,2,Data!$G:$G,"CDU",Data!$F:$F,"PADD 5")</f>
        <v>198.84799999999998</v>
      </c>
    </row>
    <row r="627" spans="1:6">
      <c r="A627" s="9" t="s">
        <v>62</v>
      </c>
      <c r="B627" s="10">
        <f>SUMIFS(Data!$K:$K,Data!$A:$A,2027,Data!$B:$B,3,Data!$G:$G,"CDU",Data!$F:$F,"PADD 1")</f>
        <v>108.75</v>
      </c>
      <c r="C627" s="10">
        <f>SUMIFS(Data!$K:$K,Data!$A:$A,2027,Data!$B:$B,3,Data!$G:$G,"CDU",Data!$F:$F,"PADD 2")</f>
        <v>224.45</v>
      </c>
      <c r="D627" s="10">
        <f>SUMIFS(Data!$K:$K,Data!$A:$A,2027,Data!$B:$B,3,Data!$G:$G,"CDU",Data!$F:$F,"PADD 3")</f>
        <v>468.97</v>
      </c>
      <c r="E627" s="10">
        <f>SUMIFS(Data!$K:$K,Data!$A:$A,2027,Data!$B:$B,3,Data!$G:$G,"CDU",Data!$F:$F,"PADD 4")</f>
        <v>110.52</v>
      </c>
      <c r="F627" s="10">
        <f>SUMIFS(Data!$K:$K,Data!$A:$A,2027,Data!$B:$B,3,Data!$G:$G,"CDU",Data!$F:$F,"PADD 5")</f>
        <v>149.45</v>
      </c>
    </row>
    <row r="628" spans="1:6">
      <c r="A628" s="9" t="s">
        <v>63</v>
      </c>
      <c r="B628" s="10">
        <f>SUMIFS(Data!$K:$K,Data!$A:$A,2027,Data!$B:$B,4,Data!$G:$G,"CDU",Data!$F:$F,"PADD 1")</f>
        <v>44.95</v>
      </c>
      <c r="C628" s="10">
        <f>SUMIFS(Data!$K:$K,Data!$A:$A,2027,Data!$B:$B,4,Data!$G:$G,"CDU",Data!$F:$F,"PADD 2")</f>
        <v>357.4</v>
      </c>
      <c r="D628" s="10">
        <f>SUMIFS(Data!$K:$K,Data!$A:$A,2027,Data!$B:$B,4,Data!$G:$G,"CDU",Data!$F:$F,"PADD 3")</f>
        <v>178.92999999999998</v>
      </c>
      <c r="E628" s="10">
        <f>SUMIFS(Data!$K:$K,Data!$A:$A,2027,Data!$B:$B,4,Data!$G:$G,"CDU",Data!$F:$F,"PADD 4")</f>
        <v>77.37</v>
      </c>
      <c r="F628" s="10">
        <f>SUMIFS(Data!$K:$K,Data!$A:$A,2027,Data!$B:$B,4,Data!$G:$G,"CDU",Data!$F:$F,"PADD 5")</f>
        <v>4.605</v>
      </c>
    </row>
    <row r="629" spans="1:6">
      <c r="A629" s="9" t="s">
        <v>64</v>
      </c>
      <c r="B629" s="10">
        <f>SUMIFS(Data!$K:$K,Data!$A:$A,2027,Data!$B:$B,5,Data!$G:$G,"CDU",Data!$F:$F,"PADD 1")</f>
        <v>0.0</v>
      </c>
      <c r="C629" s="10">
        <f>SUMIFS(Data!$K:$K,Data!$A:$A,2027,Data!$B:$B,5,Data!$G:$G,"CDU",Data!$F:$F,"PADD 2")</f>
        <v>206.5</v>
      </c>
      <c r="D629" s="10">
        <f>SUMIFS(Data!$K:$K,Data!$A:$A,2027,Data!$B:$B,5,Data!$G:$G,"CDU",Data!$F:$F,"PADD 3")</f>
        <v>0.0</v>
      </c>
      <c r="E629" s="10">
        <f>SUMIFS(Data!$K:$K,Data!$A:$A,2027,Data!$B:$B,5,Data!$G:$G,"CDU",Data!$F:$F,"PADD 4")</f>
        <v>65.852</v>
      </c>
      <c r="F629" s="10">
        <f>SUMIFS(Data!$K:$K,Data!$A:$A,2027,Data!$B:$B,5,Data!$G:$G,"CDU",Data!$F:$F,"PADD 5")</f>
        <v>47.839999999999996</v>
      </c>
    </row>
    <row r="630" spans="1:6">
      <c r="A630" s="9" t="s">
        <v>65</v>
      </c>
      <c r="B630" s="10">
        <f>SUMIFS(Data!$K:$K,Data!$A:$A,2027,Data!$B:$B,6,Data!$G:$G,"CDU",Data!$F:$F,"PADD 1")</f>
        <v>0.0</v>
      </c>
      <c r="C630" s="10">
        <f>SUMIFS(Data!$K:$K,Data!$A:$A,2027,Data!$B:$B,6,Data!$G:$G,"CDU",Data!$F:$F,"PADD 2")</f>
        <v>0.0</v>
      </c>
      <c r="D630" s="10">
        <f>SUMIFS(Data!$K:$K,Data!$A:$A,2027,Data!$B:$B,6,Data!$G:$G,"CDU",Data!$F:$F,"PADD 3")</f>
        <v>96.0</v>
      </c>
      <c r="E630" s="10">
        <f>SUMIFS(Data!$K:$K,Data!$A:$A,2027,Data!$B:$B,6,Data!$G:$G,"CDU",Data!$F:$F,"PADD 4")</f>
        <v>0.0</v>
      </c>
      <c r="F630" s="10">
        <f>SUMIFS(Data!$K:$K,Data!$A:$A,2027,Data!$B:$B,6,Data!$G:$G,"CDU",Data!$F:$F,"PADD 5")</f>
        <v>0.0</v>
      </c>
    </row>
    <row r="631" spans="1:6">
      <c r="A631" s="9" t="s">
        <v>66</v>
      </c>
      <c r="B631" s="10">
        <f>SUMIFS(Data!$K:$K,Data!$A:$A,2027,Data!$B:$B,7,Data!$G:$G,"CDU",Data!$F:$F,"PADD 1")</f>
        <v>0.0</v>
      </c>
      <c r="C631" s="10">
        <f>SUMIFS(Data!$K:$K,Data!$A:$A,2027,Data!$B:$B,7,Data!$G:$G,"CDU",Data!$F:$F,"PADD 2")</f>
        <v>0.0</v>
      </c>
      <c r="D631" s="10">
        <f>SUMIFS(Data!$K:$K,Data!$A:$A,2027,Data!$B:$B,7,Data!$G:$G,"CDU",Data!$F:$F,"PADD 3")</f>
        <v>96.0</v>
      </c>
      <c r="E631" s="10">
        <f>SUMIFS(Data!$K:$K,Data!$A:$A,2027,Data!$B:$B,7,Data!$G:$G,"CDU",Data!$F:$F,"PADD 4")</f>
        <v>0.0</v>
      </c>
      <c r="F631" s="10">
        <f>SUMIFS(Data!$K:$K,Data!$A:$A,2027,Data!$B:$B,7,Data!$G:$G,"CDU",Data!$F:$F,"PADD 5")</f>
        <v>0.0</v>
      </c>
    </row>
    <row r="632" spans="1:6">
      <c r="A632" s="9" t="s">
        <v>67</v>
      </c>
      <c r="B632" s="10">
        <f>SUMIFS(Data!$K:$K,Data!$A:$A,2027,Data!$B:$B,8,Data!$G:$G,"CDU",Data!$F:$F,"PADD 1")</f>
        <v>0.0</v>
      </c>
      <c r="C632" s="10">
        <f>SUMIFS(Data!$K:$K,Data!$A:$A,2027,Data!$B:$B,8,Data!$G:$G,"CDU",Data!$F:$F,"PADD 2")</f>
        <v>0.0</v>
      </c>
      <c r="D632" s="10">
        <f>SUMIFS(Data!$K:$K,Data!$A:$A,2027,Data!$B:$B,8,Data!$G:$G,"CDU",Data!$F:$F,"PADD 3")</f>
        <v>27.84</v>
      </c>
      <c r="E632" s="10">
        <f>SUMIFS(Data!$K:$K,Data!$A:$A,2027,Data!$B:$B,8,Data!$G:$G,"CDU",Data!$F:$F,"PADD 4")</f>
        <v>0.0</v>
      </c>
      <c r="F632" s="10">
        <f>SUMIFS(Data!$K:$K,Data!$A:$A,2027,Data!$B:$B,8,Data!$G:$G,"CDU",Data!$F:$F,"PADD 5")</f>
        <v>0.0</v>
      </c>
    </row>
    <row r="633" spans="1:6">
      <c r="A633" s="9" t="s">
        <v>68</v>
      </c>
      <c r="B633" s="10">
        <f>SUMIFS(Data!$K:$K,Data!$A:$A,2027,Data!$B:$B,9,Data!$G:$G,"CDU",Data!$F:$F,"PADD 1")</f>
        <v>0.0</v>
      </c>
      <c r="C633" s="10">
        <f>SUMIFS(Data!$K:$K,Data!$A:$A,2027,Data!$B:$B,9,Data!$G:$G,"CDU",Data!$F:$F,"PADD 2")</f>
        <v>325.095</v>
      </c>
      <c r="D633" s="10">
        <f>SUMIFS(Data!$K:$K,Data!$A:$A,2027,Data!$B:$B,9,Data!$G:$G,"CDU",Data!$F:$F,"PADD 3")</f>
        <v>583.89</v>
      </c>
      <c r="E633" s="10">
        <f>SUMIFS(Data!$K:$K,Data!$A:$A,2027,Data!$B:$B,9,Data!$G:$G,"CDU",Data!$F:$F,"PADD 4")</f>
        <v>20.75</v>
      </c>
      <c r="F633" s="10">
        <f>SUMIFS(Data!$K:$K,Data!$A:$A,2027,Data!$B:$B,9,Data!$G:$G,"CDU",Data!$F:$F,"PADD 5")</f>
        <v>47.0</v>
      </c>
    </row>
    <row r="634" spans="1:6">
      <c r="A634" s="9" t="s">
        <v>69</v>
      </c>
      <c r="B634" s="10">
        <f>SUMIFS(Data!$K:$K,Data!$A:$A,2027,Data!$B:$B,10,Data!$G:$G,"CDU",Data!$F:$F,"PADD 1")</f>
        <v>0.0</v>
      </c>
      <c r="C634" s="10">
        <f>SUMIFS(Data!$K:$K,Data!$A:$A,2027,Data!$B:$B,10,Data!$G:$G,"CDU",Data!$F:$F,"PADD 2")</f>
        <v>95.225</v>
      </c>
      <c r="D634" s="10">
        <f>SUMIFS(Data!$K:$K,Data!$A:$A,2027,Data!$B:$B,10,Data!$G:$G,"CDU",Data!$F:$F,"PADD 3")</f>
        <v>865.76</v>
      </c>
      <c r="E634" s="10">
        <f>SUMIFS(Data!$K:$K,Data!$A:$A,2027,Data!$B:$B,10,Data!$G:$G,"CDU",Data!$F:$F,"PADD 4")</f>
        <v>13.53</v>
      </c>
      <c r="F634" s="10">
        <f>SUMIFS(Data!$K:$K,Data!$A:$A,2027,Data!$B:$B,10,Data!$G:$G,"CDU",Data!$F:$F,"PADD 5")</f>
        <v>332.8</v>
      </c>
    </row>
    <row r="635" spans="1:6">
      <c r="A635" s="9" t="s">
        <v>70</v>
      </c>
      <c r="B635" s="10">
        <f>SUMIFS(Data!$K:$K,Data!$A:$A,2027,Data!$B:$B,11,Data!$G:$G,"CDU",Data!$F:$F,"PADD 1")</f>
        <v>0.0</v>
      </c>
      <c r="C635" s="10">
        <f>SUMIFS(Data!$K:$K,Data!$A:$A,2027,Data!$B:$B,11,Data!$G:$G,"CDU",Data!$F:$F,"PADD 2")</f>
        <v>0.0</v>
      </c>
      <c r="D635" s="10">
        <f>SUMIFS(Data!$K:$K,Data!$A:$A,2027,Data!$B:$B,11,Data!$G:$G,"CDU",Data!$F:$F,"PADD 3")</f>
        <v>250.90000000000003</v>
      </c>
      <c r="E635" s="10">
        <f>SUMIFS(Data!$K:$K,Data!$A:$A,2027,Data!$B:$B,11,Data!$G:$G,"CDU",Data!$F:$F,"PADD 4")</f>
        <v>0.0</v>
      </c>
      <c r="F635" s="10">
        <f>SUMIFS(Data!$K:$K,Data!$A:$A,2027,Data!$B:$B,11,Data!$G:$G,"CDU",Data!$F:$F,"PADD 5")</f>
        <v>33.0</v>
      </c>
    </row>
    <row r="636" spans="1:6">
      <c r="A636" s="9" t="s">
        <v>71</v>
      </c>
      <c r="B636" s="10">
        <f>SUMIFS(Data!$K:$K,Data!$A:$A,2027,Data!$B:$B,12,Data!$G:$G,"CDU",Data!$F:$F,"PADD 1")</f>
        <v>0.0</v>
      </c>
      <c r="C636" s="10">
        <f>SUMIFS(Data!$K:$K,Data!$A:$A,2027,Data!$B:$B,12,Data!$G:$G,"CDU",Data!$F:$F,"PADD 2")</f>
        <v>0.0</v>
      </c>
      <c r="D636" s="10">
        <f>SUMIFS(Data!$K:$K,Data!$A:$A,2027,Data!$B:$B,12,Data!$G:$G,"CDU",Data!$F:$F,"PADD 3")</f>
        <v>0.0</v>
      </c>
      <c r="E636" s="10">
        <f>SUMIFS(Data!$K:$K,Data!$A:$A,2027,Data!$B:$B,12,Data!$G:$G,"CDU",Data!$F:$F,"PADD 4")</f>
        <v>0.0</v>
      </c>
      <c r="F636" s="10">
        <f>SUMIFS(Data!$K:$K,Data!$A:$A,2027,Data!$B:$B,12,Data!$G:$G,"CDU",Data!$F:$F,"PADD 5")</f>
        <v>0.0</v>
      </c>
    </row>
    <row r="638" spans="1:6">
      <c r="A638" s="3" t="s">
        <v>224</v>
      </c>
    </row>
    <row r="639" spans="1:6">
      <c r="A639" s="7" t="s">
        <v>148</v>
      </c>
      <c r="B639" s="8" t="s">
        <v>152</v>
      </c>
      <c r="C639" s="8" t="s">
        <v>213</v>
      </c>
      <c r="D639" s="8" t="s">
        <v>214</v>
      </c>
      <c r="E639" s="8" t="s">
        <v>215</v>
      </c>
      <c r="F639" s="8" t="s">
        <v>216</v>
      </c>
    </row>
    <row r="640" spans="1:6">
      <c r="A640" s="9" t="s">
        <v>60</v>
      </c>
      <c r="B640" s="10">
        <f>SUMIFS(Data!$K:$K,Data!$A:$A,2027,Data!$B:$B,1,Data!$G:$G,"FCC",Data!$F:$F,"PADD 1")</f>
        <v>0.0</v>
      </c>
      <c r="C640" s="10">
        <f>SUMIFS(Data!$K:$K,Data!$A:$A,2027,Data!$B:$B,1,Data!$G:$G,"FCC",Data!$F:$F,"PADD 2")</f>
        <v>0.0</v>
      </c>
      <c r="D640" s="10">
        <f>SUMIFS(Data!$K:$K,Data!$A:$A,2027,Data!$B:$B,1,Data!$G:$G,"FCC",Data!$F:$F,"PADD 3")</f>
        <v>250.98000000000002</v>
      </c>
      <c r="E640" s="10">
        <f>SUMIFS(Data!$K:$K,Data!$A:$A,2027,Data!$B:$B,1,Data!$G:$G,"FCC",Data!$F:$F,"PADD 4")</f>
        <v>0.0</v>
      </c>
      <c r="F640" s="10">
        <f>SUMIFS(Data!$K:$K,Data!$A:$A,2027,Data!$B:$B,1,Data!$G:$G,"FCC",Data!$F:$F,"PADD 5")</f>
        <v>0.0</v>
      </c>
    </row>
    <row r="641" spans="1:6">
      <c r="A641" s="9" t="s">
        <v>61</v>
      </c>
      <c r="B641" s="10">
        <f>SUMIFS(Data!$K:$K,Data!$A:$A,2027,Data!$B:$B,2,Data!$G:$G,"FCC",Data!$F:$F,"PADD 1")</f>
        <v>0.0</v>
      </c>
      <c r="C641" s="10">
        <f>SUMIFS(Data!$K:$K,Data!$A:$A,2027,Data!$B:$B,2,Data!$G:$G,"FCC",Data!$F:$F,"PADD 2")</f>
        <v>35.44</v>
      </c>
      <c r="D641" s="10">
        <f>SUMIFS(Data!$K:$K,Data!$A:$A,2027,Data!$B:$B,2,Data!$G:$G,"FCC",Data!$F:$F,"PADD 3")</f>
        <v>389.7375</v>
      </c>
      <c r="E641" s="10">
        <f>SUMIFS(Data!$K:$K,Data!$A:$A,2027,Data!$B:$B,2,Data!$G:$G,"FCC",Data!$F:$F,"PADD 4")</f>
        <v>25.344</v>
      </c>
      <c r="F641" s="10">
        <f>SUMIFS(Data!$K:$K,Data!$A:$A,2027,Data!$B:$B,2,Data!$G:$G,"FCC",Data!$F:$F,"PADD 5")</f>
        <v>0.0</v>
      </c>
    </row>
    <row r="642" spans="1:6">
      <c r="A642" s="9" t="s">
        <v>62</v>
      </c>
      <c r="B642" s="10">
        <f>SUMIFS(Data!$K:$K,Data!$A:$A,2027,Data!$B:$B,3,Data!$G:$G,"FCC",Data!$F:$F,"PADD 1")</f>
        <v>18.27</v>
      </c>
      <c r="C642" s="10">
        <f>SUMIFS(Data!$K:$K,Data!$A:$A,2027,Data!$B:$B,3,Data!$G:$G,"FCC",Data!$F:$F,"PADD 2")</f>
        <v>40.72</v>
      </c>
      <c r="D642" s="10">
        <f>SUMIFS(Data!$K:$K,Data!$A:$A,2027,Data!$B:$B,3,Data!$G:$G,"FCC",Data!$F:$F,"PADD 3")</f>
        <v>344.305</v>
      </c>
      <c r="E642" s="10">
        <f>SUMIFS(Data!$K:$K,Data!$A:$A,2027,Data!$B:$B,3,Data!$G:$G,"FCC",Data!$F:$F,"PADD 4")</f>
        <v>44.597</v>
      </c>
      <c r="F642" s="10">
        <f>SUMIFS(Data!$K:$K,Data!$A:$A,2027,Data!$B:$B,3,Data!$G:$G,"FCC",Data!$F:$F,"PADD 5")</f>
        <v>0.0</v>
      </c>
    </row>
    <row r="643" spans="1:6">
      <c r="A643" s="9" t="s">
        <v>63</v>
      </c>
      <c r="B643" s="10">
        <f>SUMIFS(Data!$K:$K,Data!$A:$A,2027,Data!$B:$B,4,Data!$G:$G,"FCC",Data!$F:$F,"PADD 1")</f>
        <v>9.03</v>
      </c>
      <c r="C643" s="10">
        <f>SUMIFS(Data!$K:$K,Data!$A:$A,2027,Data!$B:$B,4,Data!$G:$G,"FCC",Data!$F:$F,"PADD 2")</f>
        <v>0.0</v>
      </c>
      <c r="D643" s="10">
        <f>SUMIFS(Data!$K:$K,Data!$A:$A,2027,Data!$B:$B,4,Data!$G:$G,"FCC",Data!$F:$F,"PADD 3")</f>
        <v>115.2</v>
      </c>
      <c r="E643" s="10">
        <f>SUMIFS(Data!$K:$K,Data!$A:$A,2027,Data!$B:$B,4,Data!$G:$G,"FCC",Data!$F:$F,"PADD 4")</f>
        <v>26.225</v>
      </c>
      <c r="F643" s="10">
        <f>SUMIFS(Data!$K:$K,Data!$A:$A,2027,Data!$B:$B,4,Data!$G:$G,"FCC",Data!$F:$F,"PADD 5")</f>
        <v>0.0</v>
      </c>
    </row>
    <row r="644" spans="1:6">
      <c r="A644" s="9" t="s">
        <v>64</v>
      </c>
      <c r="B644" s="10">
        <f>SUMIFS(Data!$K:$K,Data!$A:$A,2027,Data!$B:$B,5,Data!$G:$G,"FCC",Data!$F:$F,"PADD 1")</f>
        <v>0.0</v>
      </c>
      <c r="C644" s="10">
        <f>SUMIFS(Data!$K:$K,Data!$A:$A,2027,Data!$B:$B,5,Data!$G:$G,"FCC",Data!$F:$F,"PADD 2")</f>
        <v>0.0</v>
      </c>
      <c r="D644" s="10">
        <f>SUMIFS(Data!$K:$K,Data!$A:$A,2027,Data!$B:$B,5,Data!$G:$G,"FCC",Data!$F:$F,"PADD 3")</f>
        <v>0.0</v>
      </c>
      <c r="E644" s="10">
        <f>SUMIFS(Data!$K:$K,Data!$A:$A,2027,Data!$B:$B,5,Data!$G:$G,"FCC",Data!$F:$F,"PADD 4")</f>
        <v>23.3</v>
      </c>
      <c r="F644" s="10">
        <f>SUMIFS(Data!$K:$K,Data!$A:$A,2027,Data!$B:$B,5,Data!$G:$G,"FCC",Data!$F:$F,"PADD 5")</f>
        <v>0.0</v>
      </c>
    </row>
    <row r="645" spans="1:6">
      <c r="A645" s="9" t="s">
        <v>65</v>
      </c>
      <c r="B645" s="10">
        <f>SUMIFS(Data!$K:$K,Data!$A:$A,2027,Data!$B:$B,6,Data!$G:$G,"FCC",Data!$F:$F,"PADD 1")</f>
        <v>0.0</v>
      </c>
      <c r="C645" s="10">
        <f>SUMIFS(Data!$K:$K,Data!$A:$A,2027,Data!$B:$B,6,Data!$G:$G,"FCC",Data!$F:$F,"PADD 2")</f>
        <v>0.0</v>
      </c>
      <c r="D645" s="10">
        <f>SUMIFS(Data!$K:$K,Data!$A:$A,2027,Data!$B:$B,6,Data!$G:$G,"FCC",Data!$F:$F,"PADD 3")</f>
        <v>68.0</v>
      </c>
      <c r="E645" s="10">
        <f>SUMIFS(Data!$K:$K,Data!$A:$A,2027,Data!$B:$B,6,Data!$G:$G,"FCC",Data!$F:$F,"PADD 4")</f>
        <v>0.255</v>
      </c>
      <c r="F645" s="10">
        <f>SUMIFS(Data!$K:$K,Data!$A:$A,2027,Data!$B:$B,6,Data!$G:$G,"FCC",Data!$F:$F,"PADD 5")</f>
        <v>0.0</v>
      </c>
    </row>
    <row r="646" spans="1:6">
      <c r="A646" s="9" t="s">
        <v>66</v>
      </c>
      <c r="B646" s="10">
        <f>SUMIFS(Data!$K:$K,Data!$A:$A,2027,Data!$B:$B,7,Data!$G:$G,"FCC",Data!$F:$F,"PADD 1")</f>
        <v>0.0</v>
      </c>
      <c r="C646" s="10">
        <f>SUMIFS(Data!$K:$K,Data!$A:$A,2027,Data!$B:$B,7,Data!$G:$G,"FCC",Data!$F:$F,"PADD 2")</f>
        <v>0.0</v>
      </c>
      <c r="D646" s="10">
        <f>SUMIFS(Data!$K:$K,Data!$A:$A,2027,Data!$B:$B,7,Data!$G:$G,"FCC",Data!$F:$F,"PADD 3")</f>
        <v>68.0</v>
      </c>
      <c r="E646" s="10">
        <f>SUMIFS(Data!$K:$K,Data!$A:$A,2027,Data!$B:$B,7,Data!$G:$G,"FCC",Data!$F:$F,"PADD 4")</f>
        <v>0.0</v>
      </c>
      <c r="F646" s="10">
        <f>SUMIFS(Data!$K:$K,Data!$A:$A,2027,Data!$B:$B,7,Data!$G:$G,"FCC",Data!$F:$F,"PADD 5")</f>
        <v>0.0</v>
      </c>
    </row>
    <row r="647" spans="1:6">
      <c r="A647" s="9" t="s">
        <v>67</v>
      </c>
      <c r="B647" s="10">
        <f>SUMIFS(Data!$K:$K,Data!$A:$A,2027,Data!$B:$B,8,Data!$G:$G,"FCC",Data!$F:$F,"PADD 1")</f>
        <v>0.0</v>
      </c>
      <c r="C647" s="10">
        <f>SUMIFS(Data!$K:$K,Data!$A:$A,2027,Data!$B:$B,8,Data!$G:$G,"FCC",Data!$F:$F,"PADD 2")</f>
        <v>0.0</v>
      </c>
      <c r="D647" s="10">
        <f>SUMIFS(Data!$K:$K,Data!$A:$A,2027,Data!$B:$B,8,Data!$G:$G,"FCC",Data!$F:$F,"PADD 3")</f>
        <v>19.72</v>
      </c>
      <c r="E647" s="10">
        <f>SUMIFS(Data!$K:$K,Data!$A:$A,2027,Data!$B:$B,8,Data!$G:$G,"FCC",Data!$F:$F,"PADD 4")</f>
        <v>0.0</v>
      </c>
      <c r="F647" s="10">
        <f>SUMIFS(Data!$K:$K,Data!$A:$A,2027,Data!$B:$B,8,Data!$G:$G,"FCC",Data!$F:$F,"PADD 5")</f>
        <v>0.0</v>
      </c>
    </row>
    <row r="648" spans="1:6">
      <c r="A648" s="9" t="s">
        <v>68</v>
      </c>
      <c r="B648" s="10">
        <f>SUMIFS(Data!$K:$K,Data!$A:$A,2027,Data!$B:$B,9,Data!$G:$G,"FCC",Data!$F:$F,"PADD 1")</f>
        <v>0.0</v>
      </c>
      <c r="C648" s="10">
        <f>SUMIFS(Data!$K:$K,Data!$A:$A,2027,Data!$B:$B,9,Data!$G:$G,"FCC",Data!$F:$F,"PADD 2")</f>
        <v>157.5</v>
      </c>
      <c r="D648" s="10">
        <f>SUMIFS(Data!$K:$K,Data!$A:$A,2027,Data!$B:$B,9,Data!$G:$G,"FCC",Data!$F:$F,"PADD 3")</f>
        <v>0.0</v>
      </c>
      <c r="E648" s="10">
        <f>SUMIFS(Data!$K:$K,Data!$A:$A,2027,Data!$B:$B,9,Data!$G:$G,"FCC",Data!$F:$F,"PADD 4")</f>
        <v>2.324</v>
      </c>
      <c r="F648" s="10">
        <f>SUMIFS(Data!$K:$K,Data!$A:$A,2027,Data!$B:$B,9,Data!$G:$G,"FCC",Data!$F:$F,"PADD 5")</f>
        <v>16.45</v>
      </c>
    </row>
    <row r="649" spans="1:6">
      <c r="A649" s="9" t="s">
        <v>69</v>
      </c>
      <c r="B649" s="10">
        <f>SUMIFS(Data!$K:$K,Data!$A:$A,2027,Data!$B:$B,10,Data!$G:$G,"FCC",Data!$F:$F,"PADD 1")</f>
        <v>0.0</v>
      </c>
      <c r="C649" s="10">
        <f>SUMIFS(Data!$K:$K,Data!$A:$A,2027,Data!$B:$B,10,Data!$G:$G,"FCC",Data!$F:$F,"PADD 2")</f>
        <v>111.47999999999999</v>
      </c>
      <c r="D649" s="10">
        <f>SUMIFS(Data!$K:$K,Data!$A:$A,2027,Data!$B:$B,10,Data!$G:$G,"FCC",Data!$F:$F,"PADD 3")</f>
        <v>41.8</v>
      </c>
      <c r="E649" s="10">
        <f>SUMIFS(Data!$K:$K,Data!$A:$A,2027,Data!$B:$B,10,Data!$G:$G,"FCC",Data!$F:$F,"PADD 4")</f>
        <v>1.344</v>
      </c>
      <c r="F649" s="10">
        <f>SUMIFS(Data!$K:$K,Data!$A:$A,2027,Data!$B:$B,10,Data!$G:$G,"FCC",Data!$F:$F,"PADD 5")</f>
        <v>35.0</v>
      </c>
    </row>
    <row r="650" spans="1:6">
      <c r="A650" s="9" t="s">
        <v>70</v>
      </c>
      <c r="B650" s="10">
        <f>SUMIFS(Data!$K:$K,Data!$A:$A,2027,Data!$B:$B,11,Data!$G:$G,"FCC",Data!$F:$F,"PADD 1")</f>
        <v>0.0</v>
      </c>
      <c r="C650" s="10">
        <f>SUMIFS(Data!$K:$K,Data!$A:$A,2027,Data!$B:$B,11,Data!$G:$G,"FCC",Data!$F:$F,"PADD 2")</f>
        <v>0.0</v>
      </c>
      <c r="D650" s="10">
        <f>SUMIFS(Data!$K:$K,Data!$A:$A,2027,Data!$B:$B,11,Data!$G:$G,"FCC",Data!$F:$F,"PADD 3")</f>
        <v>43.32</v>
      </c>
      <c r="E650" s="10">
        <f>SUMIFS(Data!$K:$K,Data!$A:$A,2027,Data!$B:$B,11,Data!$G:$G,"FCC",Data!$F:$F,"PADD 4")</f>
        <v>0.0</v>
      </c>
      <c r="F650" s="10">
        <f>SUMIFS(Data!$K:$K,Data!$A:$A,2027,Data!$B:$B,11,Data!$G:$G,"FCC",Data!$F:$F,"PADD 5")</f>
        <v>11.55</v>
      </c>
    </row>
    <row r="651" spans="1:6">
      <c r="A651" s="9" t="s">
        <v>71</v>
      </c>
      <c r="B651" s="10">
        <f>SUMIFS(Data!$K:$K,Data!$A:$A,2027,Data!$B:$B,12,Data!$G:$G,"FCC",Data!$F:$F,"PADD 1")</f>
        <v>0.0</v>
      </c>
      <c r="C651" s="10">
        <f>SUMIFS(Data!$K:$K,Data!$A:$A,2027,Data!$B:$B,12,Data!$G:$G,"FCC",Data!$F:$F,"PADD 2")</f>
        <v>0.0</v>
      </c>
      <c r="D651" s="10">
        <f>SUMIFS(Data!$K:$K,Data!$A:$A,2027,Data!$B:$B,12,Data!$G:$G,"FCC",Data!$F:$F,"PADD 3")</f>
        <v>0.0</v>
      </c>
      <c r="E651" s="10">
        <f>SUMIFS(Data!$K:$K,Data!$A:$A,2027,Data!$B:$B,12,Data!$G:$G,"FCC",Data!$F:$F,"PADD 4")</f>
        <v>0.0</v>
      </c>
      <c r="F651" s="10">
        <f>SUMIFS(Data!$K:$K,Data!$A:$A,2027,Data!$B:$B,12,Data!$G:$G,"FCC",Data!$F:$F,"PADD 5")</f>
        <v>0.0</v>
      </c>
    </row>
    <row r="653" spans="1:6">
      <c r="A653" s="3" t="s">
        <v>225</v>
      </c>
    </row>
    <row r="654" spans="1:6">
      <c r="A654" s="2" t="s">
        <v>226</v>
      </c>
    </row>
    <row r="656" spans="1:6">
      <c r="A656" s="7" t="s">
        <v>227</v>
      </c>
      <c r="B656" s="8" t="s">
        <v>228</v>
      </c>
      <c r="C656" s="8" t="s">
        <v>229</v>
      </c>
      <c r="D656" s="8" t="s">
        <v>18</v>
      </c>
      <c r="E656" s="8" t="s">
        <v>230</v>
      </c>
      <c r="F656" s="8" t="s">
        <v>231</v>
      </c>
    </row>
    <row r="657" spans="1:6">
      <c r="A657" s="9" t="s">
        <v>72</v>
      </c>
      <c r="B657" s="10">
        <f>SUMIFS(Data!$K:$K,Data!$A:$A,2027,Data!$J:$J,"PLANNED",Data!$G:$G,"FCC",Data!$N:$N,"tied")</f>
        <v>817.394</v>
      </c>
      <c r="C657" s="10">
        <f>SUMIFS(Data!$K:$K,Data!$A:$A,2027,Data!$J:$J,"PLANNED",Data!$G:$G,"FCC",Data!$N:$N,"standalone")</f>
        <v>1082.4975</v>
      </c>
      <c r="D657" s="10">
        <f>B657+C657</f>
        <v>1899.8915</v>
      </c>
      <c r="E657" s="13">
        <f>IFERROR(B657/D657,"")</f>
        <v>0.4302319369290299</v>
      </c>
      <c r="F657" s="13">
        <f>IFERROR(C657/D657,"")</f>
        <v>0.56976806307097</v>
      </c>
    </row>
    <row r="658" spans="1:6">
      <c r="A658" s="9" t="s">
        <v>14</v>
      </c>
      <c r="B658" s="10">
        <f>SUMIFS(Data!$K:$K,Data!$A:$A,2027,Data!$J:$J,"PLANNED",Data!$G:$G,"Hydrocracker",Data!$N:$N,"tied")</f>
        <v>141.41999999999996</v>
      </c>
      <c r="C658" s="10">
        <f>SUMIFS(Data!$K:$K,Data!$A:$A,2027,Data!$J:$J,"PLANNED",Data!$G:$G,"Hydrocracker",Data!$N:$N,"standalone")</f>
        <v>422.813</v>
      </c>
      <c r="D658" s="10">
        <f>B658+C658</f>
        <v>564.233</v>
      </c>
      <c r="E658" s="13">
        <f>IFERROR(B658/D658,"")</f>
        <v>0.25064113584281666</v>
      </c>
      <c r="F658" s="13">
        <f>IFERROR(C658/D658,"")</f>
        <v>0.7493588641571833</v>
      </c>
    </row>
    <row r="659" spans="1:6">
      <c r="A659" s="9" t="s">
        <v>15</v>
      </c>
      <c r="B659" s="10">
        <f>SUMIFS(Data!$K:$K,Data!$A:$A,2027,Data!$J:$J,"PLANNED",Data!$G:$G,"Reformer",Data!$N:$N,"tied")</f>
        <v>458.14700000000005</v>
      </c>
      <c r="C659" s="10">
        <f>SUMIFS(Data!$K:$K,Data!$A:$A,2027,Data!$J:$J,"PLANNED",Data!$G:$G,"Reformer",Data!$N:$N,"standalone")</f>
        <v>253.95</v>
      </c>
      <c r="D659" s="10">
        <f>B659+C659</f>
        <v>712.097</v>
      </c>
      <c r="E659" s="13">
        <f>IFERROR(B659/D659,"")</f>
        <v>0.6433772365281697</v>
      </c>
      <c r="F659" s="13">
        <f>IFERROR(C659/D659,"")</f>
        <v>0.35662276347183036</v>
      </c>
    </row>
    <row r="660" spans="1:6">
      <c r="A660" s="9" t="s">
        <v>232</v>
      </c>
      <c r="B660" s="10">
        <f>SUM(B657:B659)</f>
        <v>1416.961</v>
      </c>
      <c r="C660" s="10">
        <f>SUM(C657:C659)</f>
        <v>1759.2604999999999</v>
      </c>
      <c r="D660" s="10">
        <f>SUM(D657:D659)</f>
        <v>3176.2215000000006</v>
      </c>
      <c r="E660" s="13">
        <f>IFERROR(B660/D660,"")</f>
        <v>0.44611529768940855</v>
      </c>
      <c r="F660" s="13">
        <f>IFERROR(C660/D660,"")</f>
        <v>0.5538847023105913</v>
      </c>
    </row>
    <row r="663" spans="1:6">
      <c r="A663" s="7" t="s">
        <v>233</v>
      </c>
      <c r="B663" s="8" t="s">
        <v>228</v>
      </c>
      <c r="C663" s="8" t="s">
        <v>229</v>
      </c>
      <c r="D663" s="8" t="s">
        <v>18</v>
      </c>
      <c r="E663" s="8" t="s">
        <v>230</v>
      </c>
      <c r="F663" s="8" t="s">
        <v>231</v>
      </c>
    </row>
    <row r="664" spans="1:6">
      <c r="A664" s="9" t="s">
        <v>152</v>
      </c>
      <c r="B664" s="10">
        <f>SUMIFS(Data!$K:$K,Data!$A:$A,2027,Data!$J:$J,"PLANNED",Data!$N:$N,"tied",Data!$F:$F,"PADD 1")</f>
        <v>48.1</v>
      </c>
      <c r="C664" s="10">
        <f>SUMIFS(Data!$K:$K,Data!$A:$A,2027,Data!$J:$J,"PLANNED",Data!$N:$N,"standalone",Data!$F:$F,"PADD 1")</f>
        <v>16.08</v>
      </c>
      <c r="D664" s="10">
        <f>B664+C664</f>
        <v>64.18</v>
      </c>
      <c r="E664" s="13">
        <f>IFERROR(B664/D664,"")</f>
        <v>0.7494546587722031</v>
      </c>
      <c r="F664" s="13">
        <f>IFERROR(C664/D664,"")</f>
        <v>0.25054534122779676</v>
      </c>
    </row>
    <row r="665" spans="1:6">
      <c r="A665" s="9" t="s">
        <v>213</v>
      </c>
      <c r="B665" s="10">
        <f>SUMIFS(Data!$K:$K,Data!$A:$A,2027,Data!$J:$J,"PLANNED",Data!$N:$N,"tied",Data!$F:$F,"PADD 2")</f>
        <v>355.94</v>
      </c>
      <c r="C665" s="10">
        <f>SUMIFS(Data!$K:$K,Data!$A:$A,2027,Data!$J:$J,"PLANNED",Data!$N:$N,"standalone",Data!$F:$F,"PADD 2")</f>
        <v>301.91</v>
      </c>
      <c r="D665" s="10">
        <f>B665+C665</f>
        <v>657.85</v>
      </c>
      <c r="E665" s="13">
        <f>IFERROR(B665/D665,"")</f>
        <v>0.5410655924602873</v>
      </c>
      <c r="F665" s="13">
        <f>IFERROR(C665/D665,"")</f>
        <v>0.4589344075397127</v>
      </c>
    </row>
    <row r="666" spans="1:6">
      <c r="A666" s="9" t="s">
        <v>234</v>
      </c>
      <c r="B666" s="10">
        <f>SUMIFS(Data!$K:$K,Data!$A:$A,2027,Data!$J:$J,"PLANNED",Data!$N:$N,"tied",Data!$F:$F,"PADD 3")</f>
        <v>569.1600000000001</v>
      </c>
      <c r="C666" s="10">
        <f>SUMIFS(Data!$K:$K,Data!$A:$A,2027,Data!$J:$J,"PLANNED",Data!$N:$N,"standalone",Data!$F:$F,"PADD 3")</f>
        <v>1357.4625000000003</v>
      </c>
      <c r="D666" s="10">
        <f>B666+C666</f>
        <v>1926.6225000000004</v>
      </c>
      <c r="E666" s="13">
        <f>IFERROR(B666/D666,"")</f>
        <v>0.2954185368436214</v>
      </c>
      <c r="F666" s="13">
        <f>IFERROR(C666/D666,"")</f>
        <v>0.7045814631563786</v>
      </c>
    </row>
    <row r="667" spans="1:6">
      <c r="A667" s="9" t="s">
        <v>215</v>
      </c>
      <c r="B667" s="10">
        <f>SUMIFS(Data!$K:$K,Data!$A:$A,2027,Data!$J:$J,"PLANNED",Data!$N:$N,"tied",Data!$F:$F,"PADD 4")</f>
        <v>227.551</v>
      </c>
      <c r="C667" s="10">
        <f>SUMIFS(Data!$K:$K,Data!$A:$A,2027,Data!$J:$J,"PLANNED",Data!$N:$N,"standalone",Data!$F:$F,"PADD 4")</f>
        <v>10.208</v>
      </c>
      <c r="D667" s="10">
        <f>B667+C667</f>
        <v>237.759</v>
      </c>
      <c r="E667" s="13">
        <f>IFERROR(B667/D667,"")</f>
        <v>0.9570657682779622</v>
      </c>
      <c r="F667" s="13">
        <f>IFERROR(C667/D667,"")</f>
        <v>0.04293423172203786</v>
      </c>
    </row>
    <row r="668" spans="1:6">
      <c r="A668" s="9" t="s">
        <v>216</v>
      </c>
      <c r="B668" s="10">
        <f>SUMIFS(Data!$K:$K,Data!$A:$A,2027,Data!$J:$J,"PLANNED",Data!$N:$N,"tied",Data!$F:$F,"PADD 5")</f>
        <v>216.21000000000004</v>
      </c>
      <c r="C668" s="10">
        <f>SUMIFS(Data!$K:$K,Data!$A:$A,2027,Data!$J:$J,"PLANNED",Data!$N:$N,"standalone",Data!$F:$F,"PADD 5")</f>
        <v>73.60000000000001</v>
      </c>
      <c r="D668" s="10">
        <f>B668+C668</f>
        <v>289.81000000000006</v>
      </c>
      <c r="E668" s="13">
        <f>IFERROR(B668/D668,"")</f>
        <v>0.746040509299196</v>
      </c>
      <c r="F668" s="13">
        <f>IFERROR(C668/D668,"")</f>
        <v>0.253959490700804</v>
      </c>
    </row>
    <row r="669" spans="1:6">
      <c r="A669" s="9" t="s">
        <v>235</v>
      </c>
      <c r="B669" s="10">
        <f>SUM(B664:B668)</f>
        <v>1416.961</v>
      </c>
      <c r="C669" s="10">
        <f>SUM(C664:C668)</f>
        <v>1759.2604999999999</v>
      </c>
      <c r="D669" s="10">
        <f>SUM(D664:D668)</f>
        <v>3176.2215000000006</v>
      </c>
      <c r="E669" s="13">
        <f>IFERROR(B669/D669,"")</f>
        <v>0.44611529768940855</v>
      </c>
      <c r="F669" s="13">
        <f>IFERROR(C669/D669,"")</f>
        <v>0.5538847023105913</v>
      </c>
    </row>
    <row r="671" spans="1:6">
      <c r="A671" s="14" t="str">
        <f>"In 2027, "&amp;TEXT(E660,"0%")&amp;" of planned downstream offline is tied to a crude turnaround (the reformer most, the hydrocracker least); the Gulf (P3) runs the most standalone -- the cleaner octane / product-tightening signal."</f>
        <v>In 2027, 45% of planned downstream offline is tied to a crude turnaround (the reformer most, the hydrocracker least); the Gulf (P3) runs the most standalone -- the cleaner octane / product-tightening signal.</v>
      </c>
    </row>
  </sheetData>
  <autoFilter ref="A4:H604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8B8B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236</v>
      </c>
    </row>
    <row r="2" spans="1:8">
      <c r="A2" s="2" t="s">
        <v>237</v>
      </c>
    </row>
    <row r="4" spans="1:8">
      <c r="A4" s="7" t="s">
        <v>76</v>
      </c>
      <c r="B4" s="7" t="s">
        <v>35</v>
      </c>
      <c r="C4" s="8" t="s">
        <v>77</v>
      </c>
      <c r="D4" s="8" t="s">
        <v>36</v>
      </c>
      <c r="E4" s="8" t="s">
        <v>37</v>
      </c>
      <c r="F4" s="8" t="s">
        <v>78</v>
      </c>
      <c r="G4" s="8" t="s">
        <v>79</v>
      </c>
      <c r="H4" s="8" t="s">
        <v>238</v>
      </c>
    </row>
    <row r="5" spans="1:8">
      <c r="A5" s="6" t="s">
        <v>81</v>
      </c>
      <c r="B5" s="6" t="s">
        <v>82</v>
      </c>
      <c r="C5" s="6" t="s">
        <v>12</v>
      </c>
      <c r="D5" s="6" t="s">
        <v>50</v>
      </c>
      <c r="E5" s="10">
        <v>250</v>
      </c>
      <c r="F5" s="6" t="s">
        <v>83</v>
      </c>
      <c r="G5" s="6" t="s">
        <v>10</v>
      </c>
      <c r="H5" s="6" t="s">
        <v>239</v>
      </c>
    </row>
    <row r="6" spans="1:8">
      <c r="A6" s="6" t="s">
        <v>102</v>
      </c>
      <c r="B6" s="6" t="s">
        <v>103</v>
      </c>
      <c r="C6" s="6" t="s">
        <v>13</v>
      </c>
      <c r="D6" s="6" t="s">
        <v>40</v>
      </c>
      <c r="E6" s="10">
        <v>125</v>
      </c>
      <c r="F6" s="6" t="s">
        <v>104</v>
      </c>
      <c r="G6" s="6" t="s">
        <v>10</v>
      </c>
      <c r="H6" s="6" t="s">
        <v>239</v>
      </c>
    </row>
    <row r="7" spans="1:8">
      <c r="A7" s="6" t="s">
        <v>105</v>
      </c>
      <c r="B7" s="6" t="s">
        <v>106</v>
      </c>
      <c r="C7" s="6" t="s">
        <v>13</v>
      </c>
      <c r="D7" s="6" t="s">
        <v>40</v>
      </c>
      <c r="E7" s="10">
        <v>120</v>
      </c>
      <c r="F7" s="6" t="s">
        <v>101</v>
      </c>
      <c r="G7" s="6" t="s">
        <v>10</v>
      </c>
      <c r="H7" s="6" t="s">
        <v>239</v>
      </c>
    </row>
    <row r="8" spans="1:8">
      <c r="A8" s="6" t="s">
        <v>114</v>
      </c>
      <c r="B8" s="6" t="s">
        <v>115</v>
      </c>
      <c r="C8" s="6" t="s">
        <v>12</v>
      </c>
      <c r="D8" s="6" t="s">
        <v>40</v>
      </c>
      <c r="E8" s="10">
        <v>110</v>
      </c>
      <c r="F8" s="6" t="s">
        <v>109</v>
      </c>
      <c r="G8" s="6" t="s">
        <v>10</v>
      </c>
      <c r="H8" s="6" t="s">
        <v>239</v>
      </c>
    </row>
    <row r="9" spans="1:8">
      <c r="A9" s="6" t="s">
        <v>105</v>
      </c>
      <c r="B9" s="6" t="s">
        <v>14</v>
      </c>
      <c r="C9" s="6" t="s">
        <v>14</v>
      </c>
      <c r="D9" s="6" t="s">
        <v>40</v>
      </c>
      <c r="E9" s="10">
        <v>65</v>
      </c>
      <c r="F9" s="6" t="s">
        <v>101</v>
      </c>
      <c r="G9" s="6" t="s">
        <v>10</v>
      </c>
      <c r="H9" s="6" t="s">
        <v>239</v>
      </c>
    </row>
    <row r="10" spans="1:8">
      <c r="A10" s="6" t="s">
        <v>81</v>
      </c>
      <c r="B10" s="6" t="s">
        <v>240</v>
      </c>
      <c r="C10" s="6" t="s">
        <v>15</v>
      </c>
      <c r="D10" s="6" t="s">
        <v>50</v>
      </c>
      <c r="E10" s="10">
        <v>52</v>
      </c>
      <c r="F10" s="6" t="s">
        <v>83</v>
      </c>
      <c r="G10" s="6" t="s">
        <v>10</v>
      </c>
      <c r="H10" s="6" t="s">
        <v>239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030A0"/>
  </sheetPr>
  <dimension ref="A1:G42"/>
  <sheetViews>
    <sheetView showGridLines="0" zoomScale="110" zoomScaleNormal="110" workbookViewId="0"/>
  </sheetViews>
  <sheetFormatPr defaultRowHeight="15"/>
  <cols>
    <col min="1" max="1" width="8.7109375" customWidth="1"/>
    <col min="2" max="6" width="15.7109375" customWidth="1"/>
    <col min="7" max="7" width="12.7109375" hidden="1" customWidth="1"/>
  </cols>
  <sheetData>
    <row r="1" spans="1:7" ht="22" customHeight="1">
      <c r="A1" s="1" t="s">
        <v>241</v>
      </c>
    </row>
    <row r="2" spans="1:7">
      <c r="A2" s="2" t="s">
        <v>242</v>
      </c>
    </row>
    <row r="4" spans="1:7">
      <c r="A4" s="7" t="s">
        <v>17</v>
      </c>
      <c r="B4" s="8" t="s">
        <v>243</v>
      </c>
      <c r="C4" s="8" t="s">
        <v>244</v>
      </c>
      <c r="D4" s="8" t="s">
        <v>245</v>
      </c>
      <c r="E4" s="8" t="s">
        <v>246</v>
      </c>
      <c r="F4" s="8" t="s">
        <v>247</v>
      </c>
    </row>
    <row r="5" spans="1:7">
      <c r="A5" s="9" t="s">
        <v>60</v>
      </c>
      <c r="B5" s="10">
        <f>SUMIFS(Data!$K:$K,Data!$A:$A,2027,Data!$B:$B,1,Data!$G:$G,"CDU")</f>
        <v>365.125</v>
      </c>
      <c r="C5" s="10">
        <f>B5*naph_yield</f>
        <v>127.79374999999999</v>
      </c>
      <c r="D5" s="10">
        <f>SUMIFS(Data!$K:$K,Data!$A:$A,2027,Data!$B:$B,1,Data!$G:$G,"Reformer")</f>
        <v>29.125</v>
      </c>
      <c r="E5" s="10">
        <f>D5*ref_intake</f>
        <v>29.125</v>
      </c>
      <c r="F5" s="10">
        <f>E5-C5</f>
        <v>-98.66874999999999</v>
      </c>
      <c r="G5" s="10">
        <f>-C5</f>
        <v>-127.79374999999999</v>
      </c>
    </row>
    <row r="6" spans="1:7">
      <c r="A6" s="9" t="s">
        <v>61</v>
      </c>
      <c r="B6" s="10">
        <f>SUMIFS(Data!$K:$K,Data!$A:$A,2027,Data!$B:$B,2,Data!$G:$G,"CDU")</f>
        <v>683.258</v>
      </c>
      <c r="C6" s="10">
        <f>B6*naph_yield</f>
        <v>239.1403</v>
      </c>
      <c r="D6" s="10">
        <f>SUMIFS(Data!$K:$K,Data!$A:$A,2027,Data!$B:$B,2,Data!$G:$G,"Reformer")</f>
        <v>68.78</v>
      </c>
      <c r="E6" s="10">
        <f>D6*ref_intake</f>
        <v>68.78</v>
      </c>
      <c r="F6" s="10">
        <f>E6-C6</f>
        <v>-170.3603</v>
      </c>
      <c r="G6" s="10">
        <f>-C6</f>
        <v>-239.1403</v>
      </c>
    </row>
    <row r="7" spans="1:7">
      <c r="A7" s="9" t="s">
        <v>62</v>
      </c>
      <c r="B7" s="10">
        <f>SUMIFS(Data!$K:$K,Data!$A:$A,2027,Data!$B:$B,3,Data!$G:$G,"CDU")</f>
        <v>1062.14</v>
      </c>
      <c r="C7" s="10">
        <f>B7*naph_yield</f>
        <v>371.749</v>
      </c>
      <c r="D7" s="10">
        <f>SUMIFS(Data!$K:$K,Data!$A:$A,2027,Data!$B:$B,3,Data!$G:$G,"Reformer")</f>
        <v>184.88899999999998</v>
      </c>
      <c r="E7" s="10">
        <f>D7*ref_intake</f>
        <v>184.88899999999998</v>
      </c>
      <c r="F7" s="10">
        <f>E7-C7</f>
        <v>-186.86000000000004</v>
      </c>
      <c r="G7" s="10">
        <f>-C7</f>
        <v>-371.749</v>
      </c>
    </row>
    <row r="8" spans="1:7">
      <c r="A8" s="9" t="s">
        <v>63</v>
      </c>
      <c r="B8" s="10">
        <f>SUMIFS(Data!$K:$K,Data!$A:$A,2027,Data!$B:$B,4,Data!$G:$G,"CDU")</f>
        <v>663.255</v>
      </c>
      <c r="C8" s="10">
        <f>B8*naph_yield</f>
        <v>232.13924999999998</v>
      </c>
      <c r="D8" s="10">
        <f>SUMIFS(Data!$K:$K,Data!$A:$A,2027,Data!$B:$B,4,Data!$G:$G,"Reformer")</f>
        <v>141.475</v>
      </c>
      <c r="E8" s="10">
        <f>D8*ref_intake</f>
        <v>141.475</v>
      </c>
      <c r="F8" s="10">
        <f>E8-C8</f>
        <v>-90.66424999999998</v>
      </c>
      <c r="G8" s="10">
        <f>-C8</f>
        <v>-232.13924999999998</v>
      </c>
    </row>
    <row r="9" spans="1:7">
      <c r="A9" s="9" t="s">
        <v>64</v>
      </c>
      <c r="B9" s="10">
        <f>SUMIFS(Data!$K:$K,Data!$A:$A,2027,Data!$B:$B,5,Data!$G:$G,"CDU")</f>
        <v>320.192</v>
      </c>
      <c r="C9" s="10">
        <f>B9*naph_yield</f>
        <v>112.0672</v>
      </c>
      <c r="D9" s="10">
        <f>SUMIFS(Data!$K:$K,Data!$A:$A,2027,Data!$B:$B,5,Data!$G:$G,"Reformer")</f>
        <v>45.428</v>
      </c>
      <c r="E9" s="10">
        <f>D9*ref_intake</f>
        <v>45.428</v>
      </c>
      <c r="F9" s="10">
        <f>E9-C9</f>
        <v>-66.6392</v>
      </c>
      <c r="G9" s="10">
        <f>-C9</f>
        <v>-112.0672</v>
      </c>
    </row>
    <row r="10" spans="1:7">
      <c r="A10" s="9" t="s">
        <v>65</v>
      </c>
      <c r="B10" s="10">
        <f>SUMIFS(Data!$K:$K,Data!$A:$A,2027,Data!$B:$B,6,Data!$G:$G,"CDU")</f>
        <v>96.0</v>
      </c>
      <c r="C10" s="10">
        <f>B10*naph_yield</f>
        <v>33.599999999999994</v>
      </c>
      <c r="D10" s="10">
        <f>SUMIFS(Data!$K:$K,Data!$A:$A,2027,Data!$B:$B,6,Data!$G:$G,"Reformer")</f>
        <v>0.3</v>
      </c>
      <c r="E10" s="10">
        <f>D10*ref_intake</f>
        <v>0.3</v>
      </c>
      <c r="F10" s="10">
        <f>E10-C10</f>
        <v>-33.3</v>
      </c>
      <c r="G10" s="10">
        <f>-C10</f>
        <v>-33.599999999999994</v>
      </c>
    </row>
    <row r="11" spans="1:7">
      <c r="A11" s="9" t="s">
        <v>66</v>
      </c>
      <c r="B11" s="10">
        <f>SUMIFS(Data!$K:$K,Data!$A:$A,2027,Data!$B:$B,7,Data!$G:$G,"CDU")</f>
        <v>96.0</v>
      </c>
      <c r="C11" s="10">
        <f>B11*naph_yield</f>
        <v>33.599999999999994</v>
      </c>
      <c r="D11" s="10">
        <f>SUMIFS(Data!$K:$K,Data!$A:$A,2027,Data!$B:$B,7,Data!$G:$G,"Reformer")</f>
        <v>0.0</v>
      </c>
      <c r="E11" s="10">
        <f>D11*ref_intake</f>
        <v>0.0</v>
      </c>
      <c r="F11" s="10">
        <f>E11-C11</f>
        <v>-33.599999999999994</v>
      </c>
      <c r="G11" s="10">
        <f>-C11</f>
        <v>-33.599999999999994</v>
      </c>
    </row>
    <row r="12" spans="1:7">
      <c r="A12" s="9" t="s">
        <v>67</v>
      </c>
      <c r="B12" s="10">
        <f>SUMIFS(Data!$K:$K,Data!$A:$A,2027,Data!$B:$B,8,Data!$G:$G,"CDU")</f>
        <v>27.84</v>
      </c>
      <c r="C12" s="10">
        <f>B12*naph_yield</f>
        <v>9.744</v>
      </c>
      <c r="D12" s="10">
        <f>SUMIFS(Data!$K:$K,Data!$A:$A,2027,Data!$B:$B,8,Data!$G:$G,"Reformer")</f>
        <v>0.0</v>
      </c>
      <c r="E12" s="10">
        <f>D12*ref_intake</f>
        <v>0.0</v>
      </c>
      <c r="F12" s="10">
        <f>E12-C12</f>
        <v>-9.744</v>
      </c>
      <c r="G12" s="10">
        <f>-C12</f>
        <v>-9.744</v>
      </c>
    </row>
    <row r="13" spans="1:7">
      <c r="A13" s="9" t="s">
        <v>68</v>
      </c>
      <c r="B13" s="10">
        <f>SUMIFS(Data!$K:$K,Data!$A:$A,2027,Data!$B:$B,9,Data!$G:$G,"CDU")</f>
        <v>976.735</v>
      </c>
      <c r="C13" s="10">
        <f>B13*naph_yield</f>
        <v>341.85724999999996</v>
      </c>
      <c r="D13" s="10">
        <f>SUMIFS(Data!$K:$K,Data!$A:$A,2027,Data!$B:$B,9,Data!$G:$G,"Reformer")</f>
        <v>112.05</v>
      </c>
      <c r="E13" s="10">
        <f>D13*ref_intake</f>
        <v>112.05</v>
      </c>
      <c r="F13" s="10">
        <f>E13-C13</f>
        <v>-229.80724999999995</v>
      </c>
      <c r="G13" s="10">
        <f>-C13</f>
        <v>-341.85724999999996</v>
      </c>
    </row>
    <row r="14" spans="1:7">
      <c r="A14" s="9" t="s">
        <v>69</v>
      </c>
      <c r="B14" s="10">
        <f>SUMIFS(Data!$K:$K,Data!$A:$A,2027,Data!$B:$B,10,Data!$G:$G,"CDU")</f>
        <v>1307.315</v>
      </c>
      <c r="C14" s="10">
        <f>B14*naph_yield</f>
        <v>457.56025</v>
      </c>
      <c r="D14" s="10">
        <f>SUMIFS(Data!$K:$K,Data!$A:$A,2027,Data!$B:$B,10,Data!$G:$G,"Reformer")</f>
        <v>109.94500000000001</v>
      </c>
      <c r="E14" s="10">
        <f>D14*ref_intake</f>
        <v>109.94500000000001</v>
      </c>
      <c r="F14" s="10">
        <f>E14-C14</f>
        <v>-347.61525</v>
      </c>
      <c r="G14" s="10">
        <f>-C14</f>
        <v>-457.56025</v>
      </c>
    </row>
    <row r="15" spans="1:7">
      <c r="A15" s="9" t="s">
        <v>70</v>
      </c>
      <c r="B15" s="10">
        <f>SUMIFS(Data!$K:$K,Data!$A:$A,2027,Data!$B:$B,11,Data!$G:$G,"CDU")</f>
        <v>283.90000000000003</v>
      </c>
      <c r="C15" s="10">
        <f>B15*naph_yield</f>
        <v>99.36500000000001</v>
      </c>
      <c r="D15" s="10">
        <f>SUMIFS(Data!$K:$K,Data!$A:$A,2027,Data!$B:$B,11,Data!$G:$G,"Reformer")</f>
        <v>20.105</v>
      </c>
      <c r="E15" s="10">
        <f>D15*ref_intake</f>
        <v>20.105</v>
      </c>
      <c r="F15" s="10">
        <f>E15-C15</f>
        <v>-79.26</v>
      </c>
      <c r="G15" s="10">
        <f>-C15</f>
        <v>-99.36500000000001</v>
      </c>
    </row>
    <row r="16" spans="1:7">
      <c r="A16" s="9" t="s">
        <v>71</v>
      </c>
      <c r="B16" s="10">
        <f>SUMIFS(Data!$K:$K,Data!$A:$A,2027,Data!$B:$B,12,Data!$G:$G,"CDU")</f>
        <v>0.0</v>
      </c>
      <c r="C16" s="10">
        <f>B16*naph_yield</f>
        <v>0.0</v>
      </c>
      <c r="D16" s="10">
        <f>SUMIFS(Data!$K:$K,Data!$A:$A,2027,Data!$B:$B,12,Data!$G:$G,"Reformer")</f>
        <v>0.0</v>
      </c>
      <c r="E16" s="10">
        <f>D16*ref_intake</f>
        <v>0.0</v>
      </c>
      <c r="F16" s="10">
        <f>E16-C16</f>
        <v>0.0</v>
      </c>
      <c r="G16" s="10">
        <f>-C16</f>
        <v>-0.0</v>
      </c>
    </row>
    <row r="17" spans="1:7">
      <c r="A17" s="9" t="s">
        <v>59</v>
      </c>
      <c r="B17" s="10">
        <f>SUM(B5:B16)</f>
        <v>5881.76</v>
      </c>
      <c r="C17" s="10">
        <f>SUM(C5:C16)</f>
        <v>2058.616</v>
      </c>
      <c r="D17" s="10">
        <f>SUM(D5:D16)</f>
        <v>712.0970000000001</v>
      </c>
      <c r="E17" s="10">
        <f>SUM(E5:E16)</f>
        <v>712.0970000000001</v>
      </c>
      <c r="F17" s="10">
        <f>SUM(F5:F16)</f>
        <v>-1346.519</v>
      </c>
    </row>
    <row r="19" spans="1:7">
      <c r="A19" s="14" t="s">
        <v>248</v>
      </c>
    </row>
    <row r="20" spans="1:7">
      <c r="A20" s="2" t="s">
        <v>249</v>
      </c>
    </row>
    <row r="22" spans="1:7">
      <c r="A22" s="3" t="s">
        <v>250</v>
      </c>
    </row>
    <row r="23" spans="1:7">
      <c r="A23" s="4" t="s">
        <v>251</v>
      </c>
      <c r="B23" s="4"/>
      <c r="C23" s="4"/>
      <c r="D23" s="5">
        <v>0.35</v>
      </c>
    </row>
    <row r="24" spans="1:7">
      <c r="A24" s="4" t="s">
        <v>252</v>
      </c>
      <c r="B24" s="4"/>
      <c r="C24" s="4"/>
      <c r="D24" s="5">
        <v>1</v>
      </c>
    </row>
    <row r="26" spans="1:7">
      <c r="A26" s="3" t="s">
        <v>253</v>
      </c>
    </row>
    <row r="27" spans="1:7">
      <c r="A27" s="7" t="s">
        <v>17</v>
      </c>
      <c r="B27" s="8" t="s">
        <v>243</v>
      </c>
      <c r="C27" s="8" t="s">
        <v>244</v>
      </c>
      <c r="D27" s="8" t="s">
        <v>245</v>
      </c>
      <c r="E27" s="8" t="s">
        <v>246</v>
      </c>
      <c r="F27" s="8" t="s">
        <v>247</v>
      </c>
    </row>
    <row r="28" spans="1:7">
      <c r="A28" s="9" t="s">
        <v>60</v>
      </c>
      <c r="B28" s="10">
        <f>SUMIFS(Data!$K:$K,Data!$A:$A,2027,Data!$B:$B,1,Data!$G:$G,"CDU",Data!$F:$F,"PADD 3")</f>
        <v>210.575</v>
      </c>
      <c r="C28" s="10">
        <f>B28*naph_yield</f>
        <v>73.70124999999999</v>
      </c>
      <c r="D28" s="10">
        <f>SUMIFS(Data!$K:$K,Data!$A:$A,2027,Data!$B:$B,1,Data!$G:$G,"Reformer",Data!$F:$F,"PADD 3")</f>
        <v>5.8</v>
      </c>
      <c r="E28" s="10">
        <f>D28*ref_intake</f>
        <v>5.8</v>
      </c>
      <c r="F28" s="10">
        <f>E28-C28</f>
        <v>-67.90124999999999</v>
      </c>
      <c r="G28" s="10">
        <f>-C28</f>
        <v>-73.70124999999999</v>
      </c>
    </row>
    <row r="29" spans="1:7">
      <c r="A29" s="9" t="s">
        <v>61</v>
      </c>
      <c r="B29" s="10">
        <f>SUMIFS(Data!$K:$K,Data!$A:$A,2027,Data!$B:$B,2,Data!$G:$G,"CDU",Data!$F:$F,"PADD 3")</f>
        <v>355.17</v>
      </c>
      <c r="C29" s="10">
        <f>B29*naph_yield</f>
        <v>124.3095</v>
      </c>
      <c r="D29" s="10">
        <f>SUMIFS(Data!$K:$K,Data!$A:$A,2027,Data!$B:$B,2,Data!$G:$G,"Reformer",Data!$F:$F,"PADD 3")</f>
        <v>17.36</v>
      </c>
      <c r="E29" s="10">
        <f>D29*ref_intake</f>
        <v>17.36</v>
      </c>
      <c r="F29" s="10">
        <f>E29-C29</f>
        <v>-106.9495</v>
      </c>
      <c r="G29" s="10">
        <f>-C29</f>
        <v>-124.3095</v>
      </c>
    </row>
    <row r="30" spans="1:7">
      <c r="A30" s="9" t="s">
        <v>62</v>
      </c>
      <c r="B30" s="10">
        <f>SUMIFS(Data!$K:$K,Data!$A:$A,2027,Data!$B:$B,3,Data!$G:$G,"CDU",Data!$F:$F,"PADD 3")</f>
        <v>468.97</v>
      </c>
      <c r="C30" s="10">
        <f>B30*naph_yield</f>
        <v>164.1395</v>
      </c>
      <c r="D30" s="10">
        <f>SUMIFS(Data!$K:$K,Data!$A:$A,2027,Data!$B:$B,3,Data!$G:$G,"Reformer",Data!$F:$F,"PADD 3")</f>
        <v>100.37</v>
      </c>
      <c r="E30" s="10">
        <f>D30*ref_intake</f>
        <v>100.37</v>
      </c>
      <c r="F30" s="10">
        <f>E30-C30</f>
        <v>-63.769499999999994</v>
      </c>
      <c r="G30" s="10">
        <f>-C30</f>
        <v>-164.1395</v>
      </c>
    </row>
    <row r="31" spans="1:7">
      <c r="A31" s="9" t="s">
        <v>63</v>
      </c>
      <c r="B31" s="10">
        <f>SUMIFS(Data!$K:$K,Data!$A:$A,2027,Data!$B:$B,4,Data!$G:$G,"CDU",Data!$F:$F,"PADD 3")</f>
        <v>178.92999999999998</v>
      </c>
      <c r="C31" s="10">
        <f>B31*naph_yield</f>
        <v>62.62549999999999</v>
      </c>
      <c r="D31" s="10">
        <f>SUMIFS(Data!$K:$K,Data!$A:$A,2027,Data!$B:$B,4,Data!$G:$G,"Reformer",Data!$F:$F,"PADD 3")</f>
        <v>52.91</v>
      </c>
      <c r="E31" s="10">
        <f>D31*ref_intake</f>
        <v>52.91</v>
      </c>
      <c r="F31" s="10">
        <f>E31-C31</f>
        <v>-9.715499999999992</v>
      </c>
      <c r="G31" s="10">
        <f>-C31</f>
        <v>-62.62549999999999</v>
      </c>
    </row>
    <row r="32" spans="1:7">
      <c r="A32" s="9" t="s">
        <v>64</v>
      </c>
      <c r="B32" s="10">
        <f>SUMIFS(Data!$K:$K,Data!$A:$A,2027,Data!$B:$B,5,Data!$G:$G,"CDU",Data!$F:$F,"PADD 3")</f>
        <v>0.0</v>
      </c>
      <c r="C32" s="10">
        <f>B32*naph_yield</f>
        <v>0.0</v>
      </c>
      <c r="D32" s="10">
        <f>SUMIFS(Data!$K:$K,Data!$A:$A,2027,Data!$B:$B,5,Data!$G:$G,"Reformer",Data!$F:$F,"PADD 3")</f>
        <v>0.0</v>
      </c>
      <c r="E32" s="10">
        <f>D32*ref_intake</f>
        <v>0.0</v>
      </c>
      <c r="F32" s="10">
        <f>E32-C32</f>
        <v>0.0</v>
      </c>
      <c r="G32" s="10">
        <f>-C32</f>
        <v>-0.0</v>
      </c>
    </row>
    <row r="33" spans="1:7">
      <c r="A33" s="9" t="s">
        <v>65</v>
      </c>
      <c r="B33" s="10">
        <f>SUMIFS(Data!$K:$K,Data!$A:$A,2027,Data!$B:$B,6,Data!$G:$G,"CDU",Data!$F:$F,"PADD 3")</f>
        <v>96.0</v>
      </c>
      <c r="C33" s="10">
        <f>B33*naph_yield</f>
        <v>33.599999999999994</v>
      </c>
      <c r="D33" s="10">
        <f>SUMIFS(Data!$K:$K,Data!$A:$A,2027,Data!$B:$B,6,Data!$G:$G,"Reformer",Data!$F:$F,"PADD 3")</f>
        <v>0.0</v>
      </c>
      <c r="E33" s="10">
        <f>D33*ref_intake</f>
        <v>0.0</v>
      </c>
      <c r="F33" s="10">
        <f>E33-C33</f>
        <v>-33.599999999999994</v>
      </c>
      <c r="G33" s="10">
        <f>-C33</f>
        <v>-33.599999999999994</v>
      </c>
    </row>
    <row r="34" spans="1:7">
      <c r="A34" s="9" t="s">
        <v>66</v>
      </c>
      <c r="B34" s="10">
        <f>SUMIFS(Data!$K:$K,Data!$A:$A,2027,Data!$B:$B,7,Data!$G:$G,"CDU",Data!$F:$F,"PADD 3")</f>
        <v>96.0</v>
      </c>
      <c r="C34" s="10">
        <f>B34*naph_yield</f>
        <v>33.599999999999994</v>
      </c>
      <c r="D34" s="10">
        <f>SUMIFS(Data!$K:$K,Data!$A:$A,2027,Data!$B:$B,7,Data!$G:$G,"Reformer",Data!$F:$F,"PADD 3")</f>
        <v>0.0</v>
      </c>
      <c r="E34" s="10">
        <f>D34*ref_intake</f>
        <v>0.0</v>
      </c>
      <c r="F34" s="10">
        <f>E34-C34</f>
        <v>-33.599999999999994</v>
      </c>
      <c r="G34" s="10">
        <f>-C34</f>
        <v>-33.599999999999994</v>
      </c>
    </row>
    <row r="35" spans="1:7">
      <c r="A35" s="9" t="s">
        <v>67</v>
      </c>
      <c r="B35" s="10">
        <f>SUMIFS(Data!$K:$K,Data!$A:$A,2027,Data!$B:$B,8,Data!$G:$G,"CDU",Data!$F:$F,"PADD 3")</f>
        <v>27.84</v>
      </c>
      <c r="C35" s="10">
        <f>B35*naph_yield</f>
        <v>9.744</v>
      </c>
      <c r="D35" s="10">
        <f>SUMIFS(Data!$K:$K,Data!$A:$A,2027,Data!$B:$B,8,Data!$G:$G,"Reformer",Data!$F:$F,"PADD 3")</f>
        <v>0.0</v>
      </c>
      <c r="E35" s="10">
        <f>D35*ref_intake</f>
        <v>0.0</v>
      </c>
      <c r="F35" s="10">
        <f>E35-C35</f>
        <v>-9.744</v>
      </c>
      <c r="G35" s="10">
        <f>-C35</f>
        <v>-9.744</v>
      </c>
    </row>
    <row r="36" spans="1:7">
      <c r="A36" s="9" t="s">
        <v>68</v>
      </c>
      <c r="B36" s="10">
        <f>SUMIFS(Data!$K:$K,Data!$A:$A,2027,Data!$B:$B,9,Data!$G:$G,"CDU",Data!$F:$F,"PADD 3")</f>
        <v>583.89</v>
      </c>
      <c r="C36" s="10">
        <f>B36*naph_yield</f>
        <v>204.36149999999998</v>
      </c>
      <c r="D36" s="10">
        <f>SUMIFS(Data!$K:$K,Data!$A:$A,2027,Data!$B:$B,9,Data!$G:$G,"Reformer",Data!$F:$F,"PADD 3")</f>
        <v>0.0</v>
      </c>
      <c r="E36" s="10">
        <f>D36*ref_intake</f>
        <v>0.0</v>
      </c>
      <c r="F36" s="10">
        <f>E36-C36</f>
        <v>-204.36149999999998</v>
      </c>
      <c r="G36" s="10">
        <f>-C36</f>
        <v>-204.36149999999998</v>
      </c>
    </row>
    <row r="37" spans="1:7">
      <c r="A37" s="9" t="s">
        <v>69</v>
      </c>
      <c r="B37" s="10">
        <f>SUMIFS(Data!$K:$K,Data!$A:$A,2027,Data!$B:$B,10,Data!$G:$G,"CDU",Data!$F:$F,"PADD 3")</f>
        <v>865.76</v>
      </c>
      <c r="C37" s="10">
        <f>B37*naph_yield</f>
        <v>303.01599999999996</v>
      </c>
      <c r="D37" s="10">
        <f>SUMIFS(Data!$K:$K,Data!$A:$A,2027,Data!$B:$B,10,Data!$G:$G,"Reformer",Data!$F:$F,"PADD 3")</f>
        <v>15.015</v>
      </c>
      <c r="E37" s="10">
        <f>D37*ref_intake</f>
        <v>15.015</v>
      </c>
      <c r="F37" s="10">
        <f>E37-C37</f>
        <v>-288.001</v>
      </c>
      <c r="G37" s="10">
        <f>-C37</f>
        <v>-303.01599999999996</v>
      </c>
    </row>
    <row r="38" spans="1:7">
      <c r="A38" s="9" t="s">
        <v>70</v>
      </c>
      <c r="B38" s="10">
        <f>SUMIFS(Data!$K:$K,Data!$A:$A,2027,Data!$B:$B,11,Data!$G:$G,"CDU",Data!$F:$F,"PADD 3")</f>
        <v>250.90000000000003</v>
      </c>
      <c r="C38" s="10">
        <f>B38*naph_yield</f>
        <v>87.81500000000001</v>
      </c>
      <c r="D38" s="10">
        <f>SUMIFS(Data!$K:$K,Data!$A:$A,2027,Data!$B:$B,11,Data!$G:$G,"Reformer",Data!$F:$F,"PADD 3")</f>
        <v>13.024999999999999</v>
      </c>
      <c r="E38" s="10">
        <f>D38*ref_intake</f>
        <v>13.024999999999999</v>
      </c>
      <c r="F38" s="10">
        <f>E38-C38</f>
        <v>-74.79000000000002</v>
      </c>
      <c r="G38" s="10">
        <f>-C38</f>
        <v>-87.81500000000001</v>
      </c>
    </row>
    <row r="39" spans="1:7">
      <c r="A39" s="9" t="s">
        <v>71</v>
      </c>
      <c r="B39" s="10">
        <f>SUMIFS(Data!$K:$K,Data!$A:$A,2027,Data!$B:$B,12,Data!$G:$G,"CDU",Data!$F:$F,"PADD 3")</f>
        <v>0.0</v>
      </c>
      <c r="C39" s="10">
        <f>B39*naph_yield</f>
        <v>0.0</v>
      </c>
      <c r="D39" s="10">
        <f>SUMIFS(Data!$K:$K,Data!$A:$A,2027,Data!$B:$B,12,Data!$G:$G,"Reformer",Data!$F:$F,"PADD 3")</f>
        <v>0.0</v>
      </c>
      <c r="E39" s="10">
        <f>D39*ref_intake</f>
        <v>0.0</v>
      </c>
      <c r="F39" s="10">
        <f>E39-C39</f>
        <v>0.0</v>
      </c>
      <c r="G39" s="10">
        <f>-C39</f>
        <v>-0.0</v>
      </c>
    </row>
    <row r="40" spans="1:7">
      <c r="A40" s="9" t="s">
        <v>59</v>
      </c>
      <c r="B40" s="10">
        <f>SUM(B28:B39)</f>
        <v>3134.0350000000003</v>
      </c>
      <c r="C40" s="10">
        <f>SUM(C28:C39)</f>
        <v>1096.9122499999999</v>
      </c>
      <c r="D40" s="10">
        <f>SUM(D28:D39)</f>
        <v>204.48</v>
      </c>
      <c r="E40" s="10">
        <f>SUM(E28:E39)</f>
        <v>204.48</v>
      </c>
      <c r="F40" s="10">
        <f>SUM(F28:F39)</f>
        <v>-892.4322500000001</v>
      </c>
    </row>
    <row r="42" spans="1:7">
      <c r="A42" s="2" t="s">
        <v>254</v>
      </c>
    </row>
  </sheetData>
  <mergeCells count="2">
    <mergeCell ref="A23:C23"/>
    <mergeCell ref="A24:C2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00000"/>
  </sheetPr>
  <dimension ref="A1:P6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255</v>
      </c>
    </row>
    <row r="2" spans="1:16">
      <c r="A2" s="2" t="s">
        <v>256</v>
      </c>
    </row>
    <row r="4" spans="1:16">
      <c r="A4" s="7" t="s">
        <v>257</v>
      </c>
      <c r="B4" s="8" t="s">
        <v>60</v>
      </c>
      <c r="C4" s="8" t="s">
        <v>61</v>
      </c>
      <c r="D4" s="8" t="s">
        <v>62</v>
      </c>
      <c r="E4" s="8" t="s">
        <v>63</v>
      </c>
      <c r="F4" s="8" t="s">
        <v>64</v>
      </c>
      <c r="G4" s="8" t="s">
        <v>65</v>
      </c>
      <c r="H4" s="8" t="s">
        <v>66</v>
      </c>
      <c r="I4" s="8" t="s">
        <v>67</v>
      </c>
      <c r="J4" s="8" t="s">
        <v>68</v>
      </c>
      <c r="K4" s="8" t="s">
        <v>69</v>
      </c>
      <c r="L4" s="8" t="s">
        <v>70</v>
      </c>
      <c r="M4" s="8" t="s">
        <v>71</v>
      </c>
      <c r="N4" s="8" t="s">
        <v>258</v>
      </c>
      <c r="O4" s="8" t="s">
        <v>259</v>
      </c>
      <c r="P4" s="8" t="s">
        <v>260</v>
      </c>
    </row>
    <row r="5" spans="1:16">
      <c r="A5" s="9" t="s">
        <v>261</v>
      </c>
      <c r="B5" s="10">
        <v>1946.227825</v>
      </c>
      <c r="C5" s="10">
        <v>2880.22435</v>
      </c>
      <c r="D5" s="10">
        <v>2118.63895</v>
      </c>
      <c r="E5" s="10">
        <v>2253.8666</v>
      </c>
      <c r="F5" s="10">
        <v>1411.2534</v>
      </c>
      <c r="G5" s="10">
        <v>1333.755225</v>
      </c>
      <c r="H5" s="10">
        <v>1173.224525</v>
      </c>
      <c r="I5" s="10">
        <v>1212.6027</v>
      </c>
      <c r="J5" s="10">
        <v>1621.180633333333</v>
      </c>
      <c r="K5" s="10">
        <v>2132.550833333333</v>
      </c>
      <c r="L5" s="10">
        <v>1240.659633333333</v>
      </c>
      <c r="M5" s="10">
        <v>806.3173666666667</v>
      </c>
      <c r="N5" s="10">
        <f>MAX(B5:M5)</f>
        <v>2880.22435</v>
      </c>
      <c r="O5" s="10">
        <f>AVERAGE(B5:M5)</f>
        <v>1677.5418368055555</v>
      </c>
      <c r="P5" s="10">
        <f>SUM(B5:M5)</f>
        <v>20130.502041666667</v>
      </c>
    </row>
    <row r="6" spans="1:16">
      <c r="A6" s="9" t="s">
        <v>262</v>
      </c>
      <c r="B6" s="10">
        <f>B5*mult_cons</f>
        <v>1556.9822599999998</v>
      </c>
      <c r="C6" s="10">
        <f>C5*mult_cons</f>
        <v>2304.1794800000002</v>
      </c>
      <c r="D6" s="10">
        <f>D5*mult_cons</f>
        <v>1694.91116</v>
      </c>
      <c r="E6" s="10">
        <f>E5*mult_cons</f>
        <v>1803.09328</v>
      </c>
      <c r="F6" s="10">
        <f>F5*mult_cons</f>
        <v>1129.0027200000002</v>
      </c>
      <c r="G6" s="10">
        <f>G5*mult_cons</f>
        <v>1067.0041800000001</v>
      </c>
      <c r="H6" s="10">
        <f>H5*mult_cons</f>
        <v>938.57962</v>
      </c>
      <c r="I6" s="10">
        <f>I5*mult_cons</f>
        <v>970.0821600000002</v>
      </c>
      <c r="J6" s="10">
        <f>J5*mult_cons</f>
        <v>1296.9445066666667</v>
      </c>
      <c r="K6" s="10">
        <f>K5*mult_cons</f>
        <v>1706.0406666666668</v>
      </c>
      <c r="L6" s="10">
        <f>L5*mult_cons</f>
        <v>992.5277066666667</v>
      </c>
      <c r="M6" s="10">
        <f>M5*mult_cons</f>
        <v>645.0538933333333</v>
      </c>
      <c r="N6" s="10">
        <f>MAX(B6:M6)</f>
        <v>2304.1794800000002</v>
      </c>
      <c r="O6" s="10">
        <f>AVERAGE(B6:M6)</f>
        <v>1342.0334694444446</v>
      </c>
      <c r="P6" s="10">
        <f>SUM(B6:M6)</f>
        <v>16104.401633333335</v>
      </c>
    </row>
    <row r="7" spans="1:16">
      <c r="A7" s="9" t="s">
        <v>263</v>
      </c>
      <c r="B7" s="10">
        <f>B5*mult_avg</f>
        <v>1946.2278249999997</v>
      </c>
      <c r="C7" s="10">
        <f>C5*mult_avg</f>
        <v>2880.22435</v>
      </c>
      <c r="D7" s="10">
        <f>D5*mult_avg</f>
        <v>2118.63895</v>
      </c>
      <c r="E7" s="10">
        <f>E5*mult_avg</f>
        <v>2253.8666</v>
      </c>
      <c r="F7" s="10">
        <f>F5*mult_avg</f>
        <v>1411.2534</v>
      </c>
      <c r="G7" s="10">
        <f>G5*mult_avg</f>
        <v>1333.755225</v>
      </c>
      <c r="H7" s="10">
        <f>H5*mult_avg</f>
        <v>1173.2245249999999</v>
      </c>
      <c r="I7" s="10">
        <f>I5*mult_avg</f>
        <v>1212.6027000000001</v>
      </c>
      <c r="J7" s="10">
        <f>J5*mult_avg</f>
        <v>1621.1806333333334</v>
      </c>
      <c r="K7" s="10">
        <f>K5*mult_avg</f>
        <v>2132.5508333333332</v>
      </c>
      <c r="L7" s="10">
        <f>L5*mult_avg</f>
        <v>1240.6596333333334</v>
      </c>
      <c r="M7" s="10">
        <f>M5*mult_avg</f>
        <v>806.3173666666667</v>
      </c>
      <c r="N7" s="10">
        <f>MAX(B7:M7)</f>
        <v>2880.22435</v>
      </c>
      <c r="O7" s="10">
        <f>AVERAGE(B7:M7)</f>
        <v>1677.5418368055555</v>
      </c>
      <c r="P7" s="10">
        <f>SUM(B7:M7)</f>
        <v>20130.502041666667</v>
      </c>
    </row>
    <row r="8" spans="1:16">
      <c r="A8" s="9" t="s">
        <v>264</v>
      </c>
      <c r="B8" s="10">
        <f>B5*mult_act</f>
        <v>2530.0961724999997</v>
      </c>
      <c r="C8" s="10">
        <f>C5*mult_act</f>
        <v>3744.291655</v>
      </c>
      <c r="D8" s="10">
        <f>D5*mult_act</f>
        <v>2754.2306350000003</v>
      </c>
      <c r="E8" s="10">
        <f>E5*mult_act</f>
        <v>2930.0265799999997</v>
      </c>
      <c r="F8" s="10">
        <f>F5*mult_act</f>
        <v>1834.6294200000002</v>
      </c>
      <c r="G8" s="10">
        <f>G5*mult_act</f>
        <v>1733.8817925000003</v>
      </c>
      <c r="H8" s="10">
        <f>H5*mult_act</f>
        <v>1525.1918824999998</v>
      </c>
      <c r="I8" s="10">
        <f>I5*mult_act</f>
        <v>1576.3835100000003</v>
      </c>
      <c r="J8" s="10">
        <f>J5*mult_act</f>
        <v>2107.5348233333334</v>
      </c>
      <c r="K8" s="10">
        <f>K5*mult_act</f>
        <v>2772.316083333333</v>
      </c>
      <c r="L8" s="10">
        <f>L5*mult_act</f>
        <v>1612.8575233333336</v>
      </c>
      <c r="M8" s="10">
        <f>M5*mult_act</f>
        <v>1048.2125766666668</v>
      </c>
      <c r="N8" s="10">
        <f>MAX(B8:M8)</f>
        <v>3744.291655</v>
      </c>
      <c r="O8" s="10">
        <f>AVERAGE(B8:M8)</f>
        <v>2180.8043878472217</v>
      </c>
      <c r="P8" s="10">
        <f>SUM(B8:M8)</f>
        <v>26169.65265416666</v>
      </c>
    </row>
    <row r="9" spans="1:16">
      <c r="A9" s="9" t="s">
        <v>265</v>
      </c>
      <c r="B9" s="10">
        <f>SUMIFS(Data!$K:$K,Data!$A:$A,2027,Data!$B:$B,1,Data!$J:$J,"PLANNED")</f>
        <v>1103.8829999999998</v>
      </c>
      <c r="C9" s="10">
        <f>SUMIFS(Data!$K:$K,Data!$A:$A,2027,Data!$B:$B,2,Data!$J:$J,"PLANNED")</f>
        <v>2114.6201000000005</v>
      </c>
      <c r="D9" s="10">
        <f>SUMIFS(Data!$K:$K,Data!$A:$A,2027,Data!$B:$B,3,Data!$J:$J,"PLANNED")</f>
        <v>2889.3523</v>
      </c>
      <c r="E9" s="10">
        <f>SUMIFS(Data!$K:$K,Data!$A:$A,2027,Data!$B:$B,4,Data!$J:$J,"PLANNED")</f>
        <v>1954.1924000000004</v>
      </c>
      <c r="F9" s="10">
        <f>SUMIFS(Data!$K:$K,Data!$A:$A,2027,Data!$B:$B,5,Data!$J:$J,"PLANNED")</f>
        <v>856.5319999999999</v>
      </c>
      <c r="G9" s="10">
        <f>SUMIFS(Data!$K:$K,Data!$A:$A,2027,Data!$B:$B,6,Data!$J:$J,"PLANNED")</f>
        <v>215.30499999999998</v>
      </c>
      <c r="H9" s="10">
        <f>SUMIFS(Data!$K:$K,Data!$A:$A,2027,Data!$B:$B,7,Data!$J:$J,"PLANNED")</f>
        <v>167.5</v>
      </c>
      <c r="I9" s="10">
        <f>SUMIFS(Data!$K:$K,Data!$A:$A,2027,Data!$B:$B,8,Data!$J:$J,"PLANNED")</f>
        <v>51.06</v>
      </c>
      <c r="J9" s="10">
        <f>SUMIFS(Data!$K:$K,Data!$A:$A,2027,Data!$B:$B,9,Data!$J:$J,"PLANNED")</f>
        <v>2763.7719</v>
      </c>
      <c r="K9" s="10">
        <f>SUMIFS(Data!$K:$K,Data!$A:$A,2027,Data!$B:$B,10,Data!$J:$J,"PLANNED")</f>
        <v>2799.5469000000003</v>
      </c>
      <c r="L9" s="10">
        <f>SUMIFS(Data!$K:$K,Data!$A:$A,2027,Data!$B:$B,11,Data!$J:$J,"PLANNED")</f>
        <v>546.9360000000001</v>
      </c>
      <c r="M9" s="10">
        <f>SUMIFS(Data!$K:$K,Data!$A:$A,2027,Data!$B:$B,12,Data!$J:$J,"PLANNED")</f>
        <v>3.5</v>
      </c>
      <c r="N9" s="10">
        <f>MAX(B9:M9)</f>
        <v>2889.3523</v>
      </c>
      <c r="O9" s="10">
        <f>AVERAGE(B9:M9)</f>
        <v>1288.8499666666664</v>
      </c>
      <c r="P9" s="10">
        <f>SUM(B9:M9)</f>
        <v>15466.199599999998</v>
      </c>
    </row>
    <row r="11" spans="1:16">
      <c r="A11" s="3" t="s">
        <v>266</v>
      </c>
    </row>
    <row r="12" spans="1:16">
      <c r="A12" s="7" t="s">
        <v>267</v>
      </c>
      <c r="B12" s="8" t="s">
        <v>60</v>
      </c>
      <c r="C12" s="8" t="s">
        <v>61</v>
      </c>
      <c r="D12" s="8" t="s">
        <v>62</v>
      </c>
      <c r="E12" s="8" t="s">
        <v>63</v>
      </c>
      <c r="F12" s="8" t="s">
        <v>64</v>
      </c>
      <c r="G12" s="8" t="s">
        <v>65</v>
      </c>
      <c r="H12" s="8" t="s">
        <v>66</v>
      </c>
      <c r="I12" s="8" t="s">
        <v>67</v>
      </c>
      <c r="J12" s="8" t="s">
        <v>68</v>
      </c>
      <c r="K12" s="8" t="s">
        <v>69</v>
      </c>
      <c r="L12" s="8" t="s">
        <v>70</v>
      </c>
      <c r="M12" s="8" t="s">
        <v>71</v>
      </c>
      <c r="N12" s="8" t="s">
        <v>268</v>
      </c>
      <c r="O12" s="8" t="s">
        <v>269</v>
      </c>
      <c r="P12" s="8" t="s">
        <v>260</v>
      </c>
    </row>
    <row r="13" spans="1:16">
      <c r="A13" s="9" t="s">
        <v>262</v>
      </c>
      <c r="B13" s="10">
        <f>B6+B9</f>
        <v>2660.8652599999996</v>
      </c>
      <c r="C13" s="10">
        <f>C6+C9</f>
        <v>4418.799580000001</v>
      </c>
      <c r="D13" s="10">
        <f>D6+D9</f>
        <v>4584.26346</v>
      </c>
      <c r="E13" s="10">
        <f>E6+E9</f>
        <v>3757.2856800000004</v>
      </c>
      <c r="F13" s="10">
        <f>F6+F9</f>
        <v>1985.53472</v>
      </c>
      <c r="G13" s="10">
        <f>G6+G9</f>
        <v>1282.3091800000002</v>
      </c>
      <c r="H13" s="10">
        <f>H6+H9</f>
        <v>1106.07962</v>
      </c>
      <c r="I13" s="10">
        <f>I6+I9</f>
        <v>1021.1421600000001</v>
      </c>
      <c r="J13" s="10">
        <f>J6+J9</f>
        <v>4060.716406666667</v>
      </c>
      <c r="K13" s="10">
        <f>K6+K9</f>
        <v>4505.587566666667</v>
      </c>
      <c r="L13" s="10">
        <f>L6+L9</f>
        <v>1539.463706666667</v>
      </c>
      <c r="M13" s="10">
        <f>M6+M9</f>
        <v>648.5538933333333</v>
      </c>
      <c r="N13" s="10">
        <f>MAX(B13:M13)</f>
        <v>4584.26346</v>
      </c>
      <c r="O13" s="10">
        <f>AVERAGE(B13:M13)</f>
        <v>2630.883436111111</v>
      </c>
      <c r="P13" s="10">
        <f>SUM(B13:M13)</f>
        <v>31570.601233333335</v>
      </c>
    </row>
    <row r="14" spans="1:16">
      <c r="A14" s="9" t="s">
        <v>263</v>
      </c>
      <c r="B14" s="10">
        <f>B7+B9</f>
        <v>3050.1108249999997</v>
      </c>
      <c r="C14" s="10">
        <f>C7+C9</f>
        <v>4994.8444500000005</v>
      </c>
      <c r="D14" s="10">
        <f>D7+D9</f>
        <v>5007.99125</v>
      </c>
      <c r="E14" s="10">
        <f>E7+E9</f>
        <v>4208.059</v>
      </c>
      <c r="F14" s="10">
        <f>F7+F9</f>
        <v>2267.7853999999998</v>
      </c>
      <c r="G14" s="10">
        <f>G7+G9</f>
        <v>1549.0602250000002</v>
      </c>
      <c r="H14" s="10">
        <f>H7+H9</f>
        <v>1340.7245249999999</v>
      </c>
      <c r="I14" s="10">
        <f>I7+I9</f>
        <v>1263.6627</v>
      </c>
      <c r="J14" s="10">
        <f>J7+J9</f>
        <v>4384.952533333333</v>
      </c>
      <c r="K14" s="10">
        <f>K7+K9</f>
        <v>4932.097733333334</v>
      </c>
      <c r="L14" s="10">
        <f>L7+L9</f>
        <v>1787.5956333333336</v>
      </c>
      <c r="M14" s="10">
        <f>M7+M9</f>
        <v>809.8173666666667</v>
      </c>
      <c r="N14" s="10">
        <f>MAX(B14:M14)</f>
        <v>5007.99125</v>
      </c>
      <c r="O14" s="10">
        <f>AVERAGE(B14:M14)</f>
        <v>2966.391803472223</v>
      </c>
      <c r="P14" s="10">
        <f>SUM(B14:M14)</f>
        <v>35596.701641666674</v>
      </c>
    </row>
    <row r="15" spans="1:16">
      <c r="A15" s="9" t="s">
        <v>264</v>
      </c>
      <c r="B15" s="10">
        <f>B8+B9</f>
        <v>3633.9791724999995</v>
      </c>
      <c r="C15" s="10">
        <f>C8+C9</f>
        <v>5858.911755000001</v>
      </c>
      <c r="D15" s="10">
        <f>D8+D9</f>
        <v>5643.582935</v>
      </c>
      <c r="E15" s="10">
        <f>E8+E9</f>
        <v>4884.21898</v>
      </c>
      <c r="F15" s="10">
        <f>F8+F9</f>
        <v>2691.1614200000004</v>
      </c>
      <c r="G15" s="10">
        <f>G8+G9</f>
        <v>1949.1867925000004</v>
      </c>
      <c r="H15" s="10">
        <f>H8+H9</f>
        <v>1692.6918824999998</v>
      </c>
      <c r="I15" s="10">
        <f>I8+I9</f>
        <v>1627.4435100000003</v>
      </c>
      <c r="J15" s="10">
        <f>J8+J9</f>
        <v>4871.306723333333</v>
      </c>
      <c r="K15" s="10">
        <f>K8+K9</f>
        <v>5571.862983333333</v>
      </c>
      <c r="L15" s="10">
        <f>L8+L9</f>
        <v>2159.7935233333337</v>
      </c>
      <c r="M15" s="10">
        <f>M8+M9</f>
        <v>1051.7125766666668</v>
      </c>
      <c r="N15" s="10">
        <f>MAX(B15:M15)</f>
        <v>5858.911755000001</v>
      </c>
      <c r="O15" s="10">
        <f>AVERAGE(B15:M15)</f>
        <v>3469.654354513889</v>
      </c>
      <c r="P15" s="10">
        <f>SUM(B15:M15)</f>
        <v>41635.85225416667</v>
      </c>
    </row>
    <row r="16" spans="1:16">
      <c r="A16" s="2" t="s">
        <v>270</v>
      </c>
    </row>
    <row r="18" spans="1:6">
      <c r="A18" s="3" t="s">
        <v>271</v>
      </c>
    </row>
    <row r="19" spans="1:6">
      <c r="A19" s="4" t="s">
        <v>272</v>
      </c>
      <c r="B19" s="10">
        <v>20420.06015</v>
      </c>
    </row>
    <row r="20" spans="1:6">
      <c r="A20" s="4" t="s">
        <v>273</v>
      </c>
      <c r="B20" s="10">
        <v>21582.5668</v>
      </c>
    </row>
    <row r="21" spans="1:6">
      <c r="A21" s="4" t="s">
        <v>274</v>
      </c>
      <c r="B21" s="10">
        <v>23317.41488</v>
      </c>
    </row>
    <row r="22" spans="1:6">
      <c r="A22" s="4" t="s">
        <v>275</v>
      </c>
      <c r="B22" s="10">
        <v>21530.41573333333</v>
      </c>
    </row>
    <row r="24" spans="1:6">
      <c r="A24" s="3" t="s">
        <v>276</v>
      </c>
    </row>
    <row r="25" spans="1:6">
      <c r="A25" s="4" t="s">
        <v>262</v>
      </c>
      <c r="B25" s="5">
        <v>0.8</v>
      </c>
    </row>
    <row r="26" spans="1:6">
      <c r="A26" s="4" t="s">
        <v>263</v>
      </c>
      <c r="B26" s="5">
        <v>1</v>
      </c>
    </row>
    <row r="27" spans="1:6">
      <c r="A27" s="4" t="s">
        <v>264</v>
      </c>
      <c r="B27" s="5">
        <v>1.3</v>
      </c>
    </row>
    <row r="29" spans="1:6">
      <c r="A29" s="2" t="s">
        <v>277</v>
      </c>
    </row>
    <row r="31" spans="1:6">
      <c r="A31" s="3" t="s">
        <v>278</v>
      </c>
    </row>
    <row r="32" spans="1:6">
      <c r="A32" s="7" t="s">
        <v>279</v>
      </c>
      <c r="B32" s="8" t="s">
        <v>280</v>
      </c>
      <c r="C32" s="8" t="s">
        <v>281</v>
      </c>
      <c r="D32" s="8" t="s">
        <v>282</v>
      </c>
      <c r="E32" s="8" t="s">
        <v>283</v>
      </c>
      <c r="F32" s="8" t="s">
        <v>284</v>
      </c>
    </row>
    <row r="33" spans="1:8">
      <c r="A33" s="9" t="s">
        <v>58</v>
      </c>
      <c r="B33" s="10">
        <f>SUMIFS(Data!$K:$K,Data!$A:$A,2024,Data!$G:$G,"CDU",Data!$J:$J,"PLANNED",Data!$B:$B,"&gt;=7")</f>
        <v>2342.8704</v>
      </c>
      <c r="C33" s="10">
        <f>SUMIFS(Data!$K:$K,Data!$A:$A,2025,Data!$G:$G,"CDU",Data!$J:$J,"PLANNED",Data!$B:$B,"&gt;=7")</f>
        <v>2934.1699999999996</v>
      </c>
      <c r="D33" s="10">
        <f>SUMIFS(Data!$K:$K,Data!$A:$A,2026,Data!$G:$G,"CDU",Data!$J:$J,"PLANNED",Data!$B:$B,"&gt;=7")</f>
        <v>1503.5649999999998</v>
      </c>
      <c r="E33" s="13">
        <f>IF(C33=0,"n/a",D33/C33-1)</f>
        <v>-0.4875671825422522</v>
      </c>
      <c r="F33" s="13">
        <f>IF(B33=0,"n/a",D33/B33-1)</f>
        <v>-0.35823808265280066</v>
      </c>
    </row>
    <row r="34" spans="1:8">
      <c r="A34" s="9" t="s">
        <v>72</v>
      </c>
      <c r="B34" s="10">
        <f>SUMIFS(Data!$K:$K,Data!$A:$A,2024,Data!$G:$G,"FCC",Data!$J:$J,"PLANNED",Data!$B:$B,"&gt;=7")</f>
        <v>1005.65</v>
      </c>
      <c r="C34" s="10">
        <f>SUMIFS(Data!$K:$K,Data!$A:$A,2025,Data!$G:$G,"FCC",Data!$J:$J,"PLANNED",Data!$B:$B,"&gt;=7")</f>
        <v>932.99</v>
      </c>
      <c r="D34" s="10">
        <f>SUMIFS(Data!$K:$K,Data!$A:$A,2026,Data!$G:$G,"FCC",Data!$J:$J,"PLANNED",Data!$B:$B,"&gt;=7")</f>
        <v>389.96500000000003</v>
      </c>
      <c r="E34" s="13">
        <f>IF(C34=0,"n/a",D34/C34-1)</f>
        <v>-0.5820266026431151</v>
      </c>
      <c r="F34" s="13">
        <f>IF(B34=0,"n/a",D34/B34-1)</f>
        <v>-0.612225923532044</v>
      </c>
    </row>
    <row r="35" spans="1:8">
      <c r="A35" s="9" t="s">
        <v>14</v>
      </c>
      <c r="B35" s="10">
        <f>SUMIFS(Data!$K:$K,Data!$A:$A,2024,Data!$G:$G,"Hydrocracker",Data!$J:$J,"PLANNED",Data!$B:$B,"&gt;=7")</f>
        <v>208.245</v>
      </c>
      <c r="C35" s="10">
        <f>SUMIFS(Data!$K:$K,Data!$A:$A,2025,Data!$G:$G,"Hydrocracker",Data!$J:$J,"PLANNED",Data!$B:$B,"&gt;=7")</f>
        <v>229.94</v>
      </c>
      <c r="D35" s="10">
        <f>SUMIFS(Data!$K:$K,Data!$A:$A,2026,Data!$G:$G,"Hydrocracker",Data!$J:$J,"PLANNED",Data!$B:$B,"&gt;=7")</f>
        <v>305.526</v>
      </c>
      <c r="E35" s="13">
        <f>IF(C35=0,"n/a",D35/C35-1)</f>
        <v>0.3287205357919458</v>
      </c>
      <c r="F35" s="13">
        <f>IF(B35=0,"n/a",D35/B35-1)</f>
        <v>0.46714687027299573</v>
      </c>
    </row>
    <row r="36" spans="1:8">
      <c r="A36" s="9" t="s">
        <v>15</v>
      </c>
      <c r="B36" s="10">
        <f>SUMIFS(Data!$K:$K,Data!$A:$A,2024,Data!$G:$G,"Reformer",Data!$J:$J,"PLANNED",Data!$B:$B,"&gt;=7")</f>
        <v>581.9709999999999</v>
      </c>
      <c r="C36" s="10">
        <f>SUMIFS(Data!$K:$K,Data!$A:$A,2025,Data!$G:$G,"Reformer",Data!$J:$J,"PLANNED",Data!$B:$B,"&gt;=7")</f>
        <v>436.30499999999995</v>
      </c>
      <c r="D36" s="10">
        <f>SUMIFS(Data!$K:$K,Data!$A:$A,2026,Data!$G:$G,"Reformer",Data!$J:$J,"PLANNED",Data!$B:$B,"&gt;=7")</f>
        <v>387.78000000000003</v>
      </c>
      <c r="E36" s="13">
        <f>IF(C36=0,"n/a",D36/C36-1)</f>
        <v>-0.11121806992814642</v>
      </c>
      <c r="F36" s="13">
        <f>IF(B36=0,"n/a",D36/B36-1)</f>
        <v>-0.3336781386014078</v>
      </c>
    </row>
    <row r="37" spans="1:8">
      <c r="A37" s="2" t="s">
        <v>285</v>
      </c>
    </row>
    <row r="39" spans="1:8">
      <c r="A39" s="7" t="s">
        <v>286</v>
      </c>
      <c r="B39" s="8" t="s">
        <v>66</v>
      </c>
      <c r="C39" s="8" t="s">
        <v>67</v>
      </c>
      <c r="D39" s="8" t="s">
        <v>68</v>
      </c>
      <c r="E39" s="8" t="s">
        <v>69</v>
      </c>
      <c r="F39" s="8" t="s">
        <v>70</v>
      </c>
      <c r="G39" s="8" t="s">
        <v>71</v>
      </c>
      <c r="H39" s="8" t="s">
        <v>287</v>
      </c>
    </row>
    <row r="40" spans="1:8">
      <c r="A40" s="9" t="s">
        <v>288</v>
      </c>
      <c r="B40" s="10">
        <f>H$5*mult_avg</f>
        <v>1173.2245249999999</v>
      </c>
      <c r="C40" s="10">
        <f>I$5*mult_avg</f>
        <v>1212.6027000000001</v>
      </c>
      <c r="D40" s="10">
        <f>J$5*mult_avg</f>
        <v>1621.1806333333334</v>
      </c>
      <c r="E40" s="10">
        <f>K$5*mult_avg</f>
        <v>2132.5508333333332</v>
      </c>
      <c r="F40" s="10">
        <f>L$5*mult_avg</f>
        <v>1240.6596333333334</v>
      </c>
      <c r="G40" s="10">
        <f>M$5*mult_avg</f>
        <v>806.3173666666667</v>
      </c>
    </row>
    <row r="41" spans="1:8">
      <c r="A41" s="9" t="s">
        <v>289</v>
      </c>
      <c r="B41" s="10">
        <f>SUMIFS(Data!$K:$K,Data!$A:$A,2026,Data!$B:$B,7,Data!$J:$J,"PLANNED")</f>
        <v>269.572</v>
      </c>
      <c r="C41" s="10">
        <f>SUMIFS(Data!$K:$K,Data!$A:$A,2026,Data!$B:$B,8,Data!$J:$J,"PLANNED")</f>
        <v>204.11</v>
      </c>
      <c r="D41" s="10">
        <f>SUMIFS(Data!$K:$K,Data!$A:$A,2026,Data!$B:$B,9,Data!$J:$J,"PLANNED")</f>
        <v>1171.8348999999998</v>
      </c>
      <c r="E41" s="10">
        <f>SUMIFS(Data!$K:$K,Data!$A:$A,2026,Data!$B:$B,10,Data!$J:$J,"PLANNED")</f>
        <v>1593.2939999999996</v>
      </c>
      <c r="F41" s="10">
        <f>SUMIFS(Data!$K:$K,Data!$A:$A,2026,Data!$B:$B,11,Data!$J:$J,"PLANNED")</f>
        <v>655.176</v>
      </c>
      <c r="G41" s="10">
        <f>SUMIFS(Data!$K:$K,Data!$A:$A,2026,Data!$B:$B,12,Data!$J:$J,"PLANNED")</f>
        <v>9.5</v>
      </c>
    </row>
    <row r="42" spans="1:8">
      <c r="A42" s="9" t="s">
        <v>290</v>
      </c>
      <c r="B42" s="10">
        <f>B40+B41</f>
        <v>1442.7965249999997</v>
      </c>
      <c r="C42" s="10">
        <f>C40+C41</f>
        <v>1416.7127</v>
      </c>
      <c r="D42" s="10">
        <f>D40+D41</f>
        <v>2793.015533333333</v>
      </c>
      <c r="E42" s="10">
        <f>E40+E41</f>
        <v>3725.8448333333326</v>
      </c>
      <c r="F42" s="10">
        <f>F40+F41</f>
        <v>1895.8356333333336</v>
      </c>
      <c r="G42" s="10">
        <f>G40+G41</f>
        <v>815.8173666666667</v>
      </c>
      <c r="H42" s="10">
        <f>MAX(B42:G42)</f>
        <v>3725.8448333333326</v>
      </c>
    </row>
    <row r="43" spans="1:8">
      <c r="A43" s="2" t="s">
        <v>291</v>
      </c>
    </row>
    <row r="45" spans="1:8">
      <c r="A45" s="7" t="s">
        <v>267</v>
      </c>
      <c r="B45" s="8" t="s">
        <v>293</v>
      </c>
      <c r="C45" s="8" t="s">
        <v>294</v>
      </c>
    </row>
    <row r="46" spans="1:8">
      <c r="A46" s="9" t="s">
        <v>262</v>
      </c>
      <c r="B46" s="10">
        <f>N13</f>
        <v>4584.26346</v>
      </c>
      <c r="C46" s="13">
        <f>B46/$N$9</f>
        <v>1.5866059185652093</v>
      </c>
    </row>
    <row r="47" spans="1:8">
      <c r="A47" s="9" t="s">
        <v>263</v>
      </c>
      <c r="B47" s="10">
        <f>N14</f>
        <v>5007.99125</v>
      </c>
      <c r="C47" s="13">
        <f>B47/$N$9</f>
        <v>1.7332573982065116</v>
      </c>
    </row>
    <row r="48" spans="1:8">
      <c r="A48" s="9" t="s">
        <v>264</v>
      </c>
      <c r="B48" s="10">
        <f>N15</f>
        <v>5858.911755000001</v>
      </c>
      <c r="C48" s="13">
        <f>B48/$N$9</f>
        <v>2.0277595622382223</v>
      </c>
    </row>
    <row r="49" spans="1:13">
      <c r="A49" s="9" t="s">
        <v>295</v>
      </c>
      <c r="B49" s="10">
        <f>$N$14*inv_amp</f>
        <v>5375.243941666667</v>
      </c>
      <c r="C49" s="13">
        <f>B49/$N$9</f>
        <v>1.8603629407416558</v>
      </c>
    </row>
    <row r="51" spans="1:13">
      <c r="A51" s="7" t="s">
        <v>296</v>
      </c>
      <c r="B51" s="8" t="s">
        <v>60</v>
      </c>
      <c r="C51" s="8" t="s">
        <v>61</v>
      </c>
      <c r="D51" s="8" t="s">
        <v>62</v>
      </c>
      <c r="E51" s="8" t="s">
        <v>63</v>
      </c>
      <c r="F51" s="8" t="s">
        <v>64</v>
      </c>
      <c r="G51" s="8" t="s">
        <v>65</v>
      </c>
      <c r="H51" s="8" t="s">
        <v>66</v>
      </c>
      <c r="I51" s="8" t="s">
        <v>67</v>
      </c>
      <c r="J51" s="8" t="s">
        <v>68</v>
      </c>
      <c r="K51" s="8" t="s">
        <v>69</v>
      </c>
      <c r="L51" s="8" t="s">
        <v>70</v>
      </c>
      <c r="M51" s="8" t="s">
        <v>71</v>
      </c>
    </row>
    <row r="52" spans="1:13">
      <c r="A52" s="9" t="s">
        <v>297</v>
      </c>
      <c r="B52" s="13">
        <f>B$5/$O$5</f>
        <v>1.1601664902176672</v>
      </c>
      <c r="C52" s="13">
        <f>C$5/$O$5</f>
        <v>1.716931456973164</v>
      </c>
      <c r="D52" s="13">
        <f>D$5/$O$5</f>
        <v>1.2629425409946258</v>
      </c>
      <c r="E52" s="13">
        <f>E$5/$O$5</f>
        <v>1.3435531386161468</v>
      </c>
      <c r="F52" s="13">
        <f>F$5/$O$5</f>
        <v>0.8412627149063341</v>
      </c>
      <c r="G52" s="13">
        <f>G$5/$O$5</f>
        <v>0.7950652530608667</v>
      </c>
      <c r="H52" s="13">
        <f>H$5/$O$5</f>
        <v>0.6993712462242387</v>
      </c>
      <c r="I52" s="13">
        <f>I$5/$O$5</f>
        <v>0.7228449826974738</v>
      </c>
      <c r="J52" s="13">
        <f>J$5/$O$5</f>
        <v>0.9664025050012777</v>
      </c>
      <c r="K52" s="13">
        <f>K$5/$O$5</f>
        <v>1.2712355582107118</v>
      </c>
      <c r="L52" s="13">
        <f>L$5/$O$5</f>
        <v>0.7395700101857661</v>
      </c>
      <c r="M52" s="13">
        <f>M$5/$O$5</f>
        <v>0.480654102911728</v>
      </c>
    </row>
    <row r="53" spans="1:13">
      <c r="A53" s="2" t="s">
        <v>298</v>
      </c>
    </row>
    <row r="55" spans="1:13">
      <c r="A55" s="7" t="s">
        <v>299</v>
      </c>
    </row>
    <row r="56" spans="1:13">
      <c r="A56" s="4" t="s">
        <v>300</v>
      </c>
      <c r="B56" s="15">
        <v>-0.05</v>
      </c>
    </row>
    <row r="57" spans="1:13">
      <c r="A57" s="4" t="s">
        <v>301</v>
      </c>
      <c r="B57" s="15">
        <v>-0.1</v>
      </c>
    </row>
    <row r="58" spans="1:13">
      <c r="A58" s="4" t="s">
        <v>302</v>
      </c>
      <c r="B58" s="15">
        <v>-0.07000000000000001</v>
      </c>
    </row>
    <row r="59" spans="1:13">
      <c r="A59" s="4" t="s">
        <v>303</v>
      </c>
      <c r="B59" s="11">
        <f>AVERAGE(B56:B58)</f>
        <v>-0.07333333333333333</v>
      </c>
    </row>
    <row r="60" spans="1:13">
      <c r="A60" s="4" t="s">
        <v>304</v>
      </c>
      <c r="B60" s="5">
        <v>1</v>
      </c>
    </row>
    <row r="61" spans="1:13">
      <c r="A61" s="4" t="s">
        <v>305</v>
      </c>
      <c r="B61" s="16">
        <f>1+B60*(-B59)</f>
        <v>1.0733333333333333</v>
      </c>
    </row>
    <row r="62" spans="1:13">
      <c r="A62" s="2" t="s">
        <v>306</v>
      </c>
    </row>
  </sheetData>
  <conditionalFormatting sqref="B52:M52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</sheetPr>
  <dimension ref="A1:F48"/>
  <sheetViews>
    <sheetView showGridLines="0" zoomScale="110" zoomScaleNormal="110" workbookViewId="0"/>
  </sheetViews>
  <sheetFormatPr defaultRowHeight="15"/>
  <cols>
    <col min="1" max="1" width="27.7109375" customWidth="1"/>
    <col min="2" max="2" width="22.7109375" customWidth="1"/>
    <col min="3" max="7" width="15.7109375" customWidth="1"/>
  </cols>
  <sheetData>
    <row r="1" spans="1:6" ht="22" customHeight="1">
      <c r="A1" s="1" t="s">
        <v>307</v>
      </c>
    </row>
    <row r="2" spans="1:6">
      <c r="A2" s="2" t="s">
        <v>308</v>
      </c>
    </row>
    <row r="4" spans="1:6">
      <c r="A4" s="3" t="s">
        <v>309</v>
      </c>
    </row>
    <row r="5" spans="1:6">
      <c r="A5" s="7" t="s">
        <v>310</v>
      </c>
      <c r="B5" s="17">
        <v>0</v>
      </c>
      <c r="C5" s="17">
        <v>250</v>
      </c>
      <c r="D5" s="17">
        <v>500</v>
      </c>
      <c r="E5" s="17">
        <v>750</v>
      </c>
      <c r="F5" s="17">
        <v>1000</v>
      </c>
    </row>
    <row r="6" spans="1:6">
      <c r="A6" s="5">
        <v>0.7</v>
      </c>
      <c r="B6" s="10">
        <f t="array" ref="B6">MAX($A6*(1+growth)*Forecast!$B$5:$M$5+Forecast!$B$9:$M$9)+B$5</f>
        <v>4372.399565</v>
      </c>
      <c r="C6" s="10">
        <f t="array" ref="C6">MAX($A6*(1+growth)*Forecast!$B$5:$M$5+Forecast!$B$9:$M$9)+C$5</f>
        <v>4622.399565</v>
      </c>
      <c r="D6" s="10">
        <f t="array" ref="D6">MAX($A6*(1+growth)*Forecast!$B$5:$M$5+Forecast!$B$9:$M$9)+D$5</f>
        <v>4872.399565</v>
      </c>
      <c r="E6" s="10">
        <f t="array" ref="E6">MAX($A6*(1+growth)*Forecast!$B$5:$M$5+Forecast!$B$9:$M$9)+E$5</f>
        <v>5122.399565</v>
      </c>
      <c r="F6" s="10">
        <f t="array" ref="F6">MAX($A6*(1+growth)*Forecast!$B$5:$M$5+Forecast!$B$9:$M$9)+F$5</f>
        <v>5372.399565</v>
      </c>
    </row>
    <row r="7" spans="1:6">
      <c r="A7" s="5">
        <v>0.85</v>
      </c>
      <c r="B7" s="10">
        <f t="array" ref="B7">MAX($A7*(1+growth)*Forecast!$B$5:$M$5+Forecast!$B$9:$M$9)+B$5</f>
        <v>4690.195407499999</v>
      </c>
      <c r="C7" s="10">
        <f t="array" ref="C7">MAX($A7*(1+growth)*Forecast!$B$5:$M$5+Forecast!$B$9:$M$9)+C$5</f>
        <v>4940.195407499999</v>
      </c>
      <c r="D7" s="10">
        <f t="array" ref="D7">MAX($A7*(1+growth)*Forecast!$B$5:$M$5+Forecast!$B$9:$M$9)+D$5</f>
        <v>5190.195407499999</v>
      </c>
      <c r="E7" s="10">
        <f t="array" ref="E7">MAX($A7*(1+growth)*Forecast!$B$5:$M$5+Forecast!$B$9:$M$9)+E$5</f>
        <v>5440.195407499999</v>
      </c>
      <c r="F7" s="10">
        <f t="array" ref="F7">MAX($A7*(1+growth)*Forecast!$B$5:$M$5+Forecast!$B$9:$M$9)+F$5</f>
        <v>5690.195407499999</v>
      </c>
    </row>
    <row r="8" spans="1:6">
      <c r="A8" s="5">
        <v>1</v>
      </c>
      <c r="B8" s="10">
        <f t="array" ref="B8">MAX($A8*(1+growth)*Forecast!$B$5:$M$5+Forecast!$B$9:$M$9)+B$5</f>
        <v>5007.99125</v>
      </c>
      <c r="C8" s="10">
        <f t="array" ref="C8">MAX($A8*(1+growth)*Forecast!$B$5:$M$5+Forecast!$B$9:$M$9)+C$5</f>
        <v>5257.99125</v>
      </c>
      <c r="D8" s="10">
        <f t="array" ref="D8">MAX($A8*(1+growth)*Forecast!$B$5:$M$5+Forecast!$B$9:$M$9)+D$5</f>
        <v>5507.99125</v>
      </c>
      <c r="E8" s="10">
        <f t="array" ref="E8">MAX($A8*(1+growth)*Forecast!$B$5:$M$5+Forecast!$B$9:$M$9)+E$5</f>
        <v>5757.99125</v>
      </c>
      <c r="F8" s="10">
        <f t="array" ref="F8">MAX($A8*(1+growth)*Forecast!$B$5:$M$5+Forecast!$B$9:$M$9)+F$5</f>
        <v>6007.99125</v>
      </c>
    </row>
    <row r="9" spans="1:6">
      <c r="A9" s="5">
        <v>1.15</v>
      </c>
      <c r="B9" s="10">
        <f t="array" ref="B9">MAX($A9*(1+growth)*Forecast!$B$5:$M$5+Forecast!$B$9:$M$9)+B$5</f>
        <v>5426.878102500001</v>
      </c>
      <c r="C9" s="10">
        <f t="array" ref="C9">MAX($A9*(1+growth)*Forecast!$B$5:$M$5+Forecast!$B$9:$M$9)+C$5</f>
        <v>5676.878102500001</v>
      </c>
      <c r="D9" s="10">
        <f t="array" ref="D9">MAX($A9*(1+growth)*Forecast!$B$5:$M$5+Forecast!$B$9:$M$9)+D$5</f>
        <v>5926.878102500001</v>
      </c>
      <c r="E9" s="10">
        <f t="array" ref="E9">MAX($A9*(1+growth)*Forecast!$B$5:$M$5+Forecast!$B$9:$M$9)+E$5</f>
        <v>6176.878102500001</v>
      </c>
      <c r="F9" s="10">
        <f t="array" ref="F9">MAX($A9*(1+growth)*Forecast!$B$5:$M$5+Forecast!$B$9:$M$9)+F$5</f>
        <v>6426.878102500001</v>
      </c>
    </row>
    <row r="10" spans="1:6">
      <c r="A10" s="5">
        <v>1.3</v>
      </c>
      <c r="B10" s="10">
        <f t="array" ref="B10">MAX($A10*(1+growth)*Forecast!$B$5:$M$5+Forecast!$B$9:$M$9)+B$5</f>
        <v>5858.911755000001</v>
      </c>
      <c r="C10" s="10">
        <f t="array" ref="C10">MAX($A10*(1+growth)*Forecast!$B$5:$M$5+Forecast!$B$9:$M$9)+C$5</f>
        <v>6108.911755000001</v>
      </c>
      <c r="D10" s="10">
        <f t="array" ref="D10">MAX($A10*(1+growth)*Forecast!$B$5:$M$5+Forecast!$B$9:$M$9)+D$5</f>
        <v>6358.911755000001</v>
      </c>
      <c r="E10" s="10">
        <f t="array" ref="E10">MAX($A10*(1+growth)*Forecast!$B$5:$M$5+Forecast!$B$9:$M$9)+E$5</f>
        <v>6608.911755000001</v>
      </c>
      <c r="F10" s="10">
        <f t="array" ref="F10">MAX($A10*(1+growth)*Forecast!$B$5:$M$5+Forecast!$B$9:$M$9)+F$5</f>
        <v>6858.911755000001</v>
      </c>
    </row>
    <row r="11" spans="1:6">
      <c r="A11" s="5">
        <v>1.5</v>
      </c>
      <c r="B11" s="10">
        <f t="array" ref="B11">MAX($A11*(1+growth)*Forecast!$B$5:$M$5+Forecast!$B$9:$M$9)+B$5</f>
        <v>6434.956625000001</v>
      </c>
      <c r="C11" s="10">
        <f t="array" ref="C11">MAX($A11*(1+growth)*Forecast!$B$5:$M$5+Forecast!$B$9:$M$9)+C$5</f>
        <v>6684.956625000001</v>
      </c>
      <c r="D11" s="10">
        <f t="array" ref="D11">MAX($A11*(1+growth)*Forecast!$B$5:$M$5+Forecast!$B$9:$M$9)+D$5</f>
        <v>6934.956625000001</v>
      </c>
      <c r="E11" s="10">
        <f t="array" ref="E11">MAX($A11*(1+growth)*Forecast!$B$5:$M$5+Forecast!$B$9:$M$9)+E$5</f>
        <v>7184.956625000001</v>
      </c>
      <c r="F11" s="10">
        <f t="array" ref="F11">MAX($A11*(1+growth)*Forecast!$B$5:$M$5+Forecast!$B$9:$M$9)+F$5</f>
        <v>7434.956625000001</v>
      </c>
    </row>
    <row r="13" spans="1:6">
      <c r="A13" s="2" t="s">
        <v>311</v>
      </c>
    </row>
    <row r="16" spans="1:6">
      <c r="A16" s="3" t="s">
        <v>312</v>
      </c>
    </row>
    <row r="17" spans="1:6">
      <c r="A17" s="7" t="s">
        <v>267</v>
      </c>
      <c r="B17" s="7" t="s">
        <v>313</v>
      </c>
      <c r="C17" s="8" t="s">
        <v>314</v>
      </c>
      <c r="D17" s="8" t="s">
        <v>315</v>
      </c>
      <c r="E17" s="8" t="s">
        <v>316</v>
      </c>
      <c r="F17" s="8" t="s">
        <v>317</v>
      </c>
    </row>
    <row r="18" spans="1:6">
      <c r="A18" s="9" t="s">
        <v>318</v>
      </c>
      <c r="B18" s="12" t="s">
        <v>319</v>
      </c>
      <c r="C18" s="17">
        <v>800</v>
      </c>
      <c r="D18" s="17">
        <v>0</v>
      </c>
      <c r="E18" s="10">
        <f>Forecast!$N$14+C18+D18</f>
        <v>5807.99125</v>
      </c>
      <c r="F18" s="10">
        <f>-naph_yield*C18</f>
        <v>-280.0</v>
      </c>
    </row>
    <row r="19" spans="1:6">
      <c r="A19" s="9" t="s">
        <v>320</v>
      </c>
      <c r="B19" s="12" t="s">
        <v>321</v>
      </c>
      <c r="C19" s="17">
        <v>0</v>
      </c>
      <c r="D19" s="17">
        <v>2000</v>
      </c>
      <c r="E19" s="10">
        <f>Forecast!$N$14+C19+D19</f>
        <v>7007.99125</v>
      </c>
      <c r="F19" s="10">
        <f>-naph_yield*C19</f>
        <v>-0.0</v>
      </c>
    </row>
    <row r="20" spans="1:6">
      <c r="A20" s="9" t="s">
        <v>322</v>
      </c>
      <c r="B20" s="12" t="s">
        <v>323</v>
      </c>
      <c r="C20" s="17">
        <v>500</v>
      </c>
      <c r="D20" s="17">
        <v>0</v>
      </c>
      <c r="E20" s="10">
        <f>Forecast!$N$14+C20+D20</f>
        <v>5507.99125</v>
      </c>
      <c r="F20" s="10">
        <f>-naph_yield*C20</f>
        <v>-175.0</v>
      </c>
    </row>
    <row r="21" spans="1:6">
      <c r="A21" s="9" t="s">
        <v>324</v>
      </c>
      <c r="B21" s="12" t="s">
        <v>325</v>
      </c>
      <c r="C21" s="17">
        <v>0</v>
      </c>
      <c r="D21" s="17">
        <v>600</v>
      </c>
      <c r="E21" s="10">
        <f>Forecast!$N$14+C21+D21</f>
        <v>5607.99125</v>
      </c>
      <c r="F21" s="10">
        <f>-naph_yield*C21</f>
        <v>-0.0</v>
      </c>
    </row>
    <row r="22" spans="1:6">
      <c r="A22" s="9" t="s">
        <v>326</v>
      </c>
      <c r="B22" s="12" t="s">
        <v>327</v>
      </c>
      <c r="C22" s="17">
        <v>0</v>
      </c>
      <c r="D22" s="17">
        <v>-1500</v>
      </c>
      <c r="E22" s="10">
        <f>Forecast!$N$14+C22+D22</f>
        <v>3507.99125</v>
      </c>
      <c r="F22" s="10">
        <f>-naph_yield*C22</f>
        <v>-0.0</v>
      </c>
    </row>
    <row r="24" spans="1:6">
      <c r="A24" s="2" t="s">
        <v>328</v>
      </c>
    </row>
    <row r="27" spans="1:6">
      <c r="A27" s="3" t="s">
        <v>329</v>
      </c>
    </row>
    <row r="28" spans="1:6">
      <c r="A28" s="7" t="s">
        <v>36</v>
      </c>
      <c r="B28" s="8" t="s">
        <v>330</v>
      </c>
      <c r="C28" s="8" t="s">
        <v>331</v>
      </c>
      <c r="D28" s="8" t="s">
        <v>332</v>
      </c>
      <c r="E28" s="8" t="s">
        <v>333</v>
      </c>
      <c r="F28" s="8" t="s">
        <v>334</v>
      </c>
    </row>
    <row r="29" spans="1:6">
      <c r="A29" s="9" t="s">
        <v>42</v>
      </c>
      <c r="B29" s="5">
        <v>0.85</v>
      </c>
      <c r="C29" s="10">
        <f>SUMIFS(Data!$K:$K,Data!$A:$A,2026,Data!$G:$G,"CDU",Data!$F:$F,"PADD 1")</f>
        <v>591.52</v>
      </c>
      <c r="D29" s="10">
        <f>C29*conn_p1</f>
        <v>502.792</v>
      </c>
      <c r="E29" s="10">
        <f>SUMIFS(Data!$K:$K,Data!$A:$A,2027,Data!$G:$G,"CDU",Data!$F:$F,"PADD 1")</f>
        <v>153.7</v>
      </c>
      <c r="F29" s="10">
        <f>E29*conn_p1</f>
        <v>130.64499999999998</v>
      </c>
    </row>
    <row r="30" spans="1:6">
      <c r="A30" s="9" t="s">
        <v>50</v>
      </c>
      <c r="B30" s="5">
        <v>0.9</v>
      </c>
      <c r="C30" s="10">
        <f>SUMIFS(Data!$K:$K,Data!$A:$A,2026,Data!$G:$G,"CDU",Data!$F:$F,"PADD 2")</f>
        <v>2312.79</v>
      </c>
      <c r="D30" s="10">
        <f>C30*conn_p2</f>
        <v>2081.511</v>
      </c>
      <c r="E30" s="10">
        <f>SUMIFS(Data!$K:$K,Data!$A:$A,2027,Data!$G:$G,"CDU",Data!$F:$F,"PADD 2")</f>
        <v>1276.4699999999998</v>
      </c>
      <c r="F30" s="10">
        <f>E30*conn_p2</f>
        <v>1148.8229999999999</v>
      </c>
    </row>
    <row r="31" spans="1:6">
      <c r="A31" s="9" t="s">
        <v>40</v>
      </c>
      <c r="B31" s="5">
        <v>0.4</v>
      </c>
      <c r="C31" s="10">
        <f>SUMIFS(Data!$K:$K,Data!$A:$A,2026,Data!$G:$G,"CDU",Data!$F:$F,"PADD 3")</f>
        <v>3295.2090000000003</v>
      </c>
      <c r="D31" s="10">
        <f>C31*conn_p3</f>
        <v>1318.0836000000002</v>
      </c>
      <c r="E31" s="10">
        <f>SUMIFS(Data!$K:$K,Data!$A:$A,2027,Data!$G:$G,"CDU",Data!$F:$F,"PADD 3")</f>
        <v>3134.0350000000003</v>
      </c>
      <c r="F31" s="10">
        <f>E31*conn_p3</f>
        <v>1253.6140000000003</v>
      </c>
    </row>
    <row r="32" spans="1:6">
      <c r="A32" s="9" t="s">
        <v>335</v>
      </c>
      <c r="B32" s="5">
        <v>0.9</v>
      </c>
      <c r="C32" s="10">
        <f>SUMIFS(Data!$K:$K,Data!$A:$A,2026,Data!$G:$G,"CDU",Data!$F:$F,"PADD 4")</f>
        <v>161.536</v>
      </c>
      <c r="D32" s="10">
        <f>C32*conn_p4</f>
        <v>145.38240000000002</v>
      </c>
      <c r="E32" s="10">
        <f>SUMIFS(Data!$K:$K,Data!$A:$A,2027,Data!$G:$G,"CDU",Data!$F:$F,"PADD 4")</f>
        <v>349.462</v>
      </c>
      <c r="F32" s="10">
        <f>E32*conn_p4</f>
        <v>314.5158</v>
      </c>
    </row>
    <row r="33" spans="1:6">
      <c r="A33" s="9" t="s">
        <v>46</v>
      </c>
      <c r="B33" s="5">
        <v>0.95</v>
      </c>
      <c r="C33" s="10">
        <f>SUMIFS(Data!$K:$K,Data!$A:$A,2026,Data!$G:$G,"CDU",Data!$F:$F,"PADD 5")</f>
        <v>902.123</v>
      </c>
      <c r="D33" s="10">
        <f>C33*conn_p5</f>
        <v>857.01685</v>
      </c>
      <c r="E33" s="10">
        <f>SUMIFS(Data!$K:$K,Data!$A:$A,2027,Data!$G:$G,"CDU",Data!$F:$F,"PADD 5")</f>
        <v>968.0930000000001</v>
      </c>
      <c r="F33" s="10">
        <f>E33*conn_p5</f>
        <v>919.68835</v>
      </c>
    </row>
    <row r="34" spans="1:6">
      <c r="A34" s="9" t="s">
        <v>18</v>
      </c>
      <c r="C34" s="10">
        <f>SUM(C29:C33)</f>
        <v>7263.178</v>
      </c>
      <c r="D34" s="10">
        <f>SUM(D29:D33)</f>
        <v>4904.78585</v>
      </c>
      <c r="E34" s="10">
        <f>SUM(E29:E33)</f>
        <v>5881.759999999999</v>
      </c>
      <c r="F34" s="10">
        <f>SUM(F29:F33)</f>
        <v>3767.2861500000004</v>
      </c>
    </row>
    <row r="36" spans="1:6">
      <c r="A36" s="4" t="s">
        <v>336</v>
      </c>
      <c r="D36" s="10">
        <f>C34-D34</f>
        <v>2358.3921499999997</v>
      </c>
      <c r="F36" s="10">
        <f>E34-F34</f>
        <v>2114.473849999999</v>
      </c>
    </row>
    <row r="37" spans="1:6">
      <c r="A37" s="14" t="str">
        <f>"Effective crude tightness is "&amp;TEXT(1-F34/E34,"0%")&amp;" below nominal in 2027 -- the P3 connectivity buffer."</f>
        <v>Effective crude tightness is 36% below nominal in 2027 -- the P3 connectivity buffer.</v>
      </c>
    </row>
    <row r="39" spans="1:6">
      <c r="A39" s="14" t="s">
        <v>337</v>
      </c>
    </row>
    <row r="41" spans="1:6">
      <c r="A41" s="3" t="s">
        <v>338</v>
      </c>
    </row>
    <row r="42" spans="1:6">
      <c r="A42" s="4" t="s">
        <v>339</v>
      </c>
      <c r="B42" s="15">
        <v>0</v>
      </c>
      <c r="C42" s="12" t="s">
        <v>340</v>
      </c>
    </row>
    <row r="43" spans="1:6">
      <c r="A43" s="4" t="s">
        <v>341</v>
      </c>
      <c r="B43" s="16">
        <f>inv_amp</f>
        <v>1.0733333333333333</v>
      </c>
      <c r="C43" s="12" t="s">
        <v>342</v>
      </c>
    </row>
    <row r="45" spans="1:6">
      <c r="A45" s="4" t="s">
        <v>343</v>
      </c>
      <c r="B45" s="10">
        <f>Forecast!$N$14</f>
        <v>5007.99125</v>
      </c>
      <c r="C45" s="4">
        <f> % of booked plan -&gt;</f>
        <v>0</v>
      </c>
      <c r="D45" s="13">
        <f>Forecast!$N$14/Forecast!$N$9</f>
        <v>1.7332573982065116</v>
      </c>
    </row>
    <row r="46" spans="1:6">
      <c r="A46" s="4" t="s">
        <v>344</v>
      </c>
      <c r="B46" s="10">
        <f>Forecast!$N$14*inv_amp</f>
        <v>5375.243941666667</v>
      </c>
      <c r="C46" s="4">
        <f> % of booked plan -&gt;</f>
        <v>0</v>
      </c>
      <c r="D46" s="13">
        <f>Forecast!$N$14*inv_amp/Forecast!$N$9</f>
        <v>1.8603629407416558</v>
      </c>
    </row>
    <row r="48" spans="1:6">
      <c r="A48" s="14" t="s">
        <v>345</v>
      </c>
    </row>
  </sheetData>
  <conditionalFormatting sqref="B6:F1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346</v>
      </c>
    </row>
    <row r="2" spans="1:17">
      <c r="A2" s="2" t="s">
        <v>347</v>
      </c>
    </row>
    <row r="4" spans="1:17">
      <c r="A4" s="7" t="s">
        <v>59</v>
      </c>
      <c r="B4" s="7" t="s">
        <v>148</v>
      </c>
      <c r="C4" s="7" t="s">
        <v>149</v>
      </c>
      <c r="D4" s="8" t="s">
        <v>18</v>
      </c>
      <c r="E4" s="8" t="s">
        <v>10</v>
      </c>
      <c r="F4" s="8" t="s">
        <v>11</v>
      </c>
      <c r="G4" s="8" t="s">
        <v>348</v>
      </c>
      <c r="H4" s="8" t="s">
        <v>12</v>
      </c>
      <c r="I4" s="8" t="s">
        <v>13</v>
      </c>
      <c r="J4" s="8" t="s">
        <v>349</v>
      </c>
      <c r="K4" s="8" t="s">
        <v>15</v>
      </c>
      <c r="L4" s="8" t="s">
        <v>350</v>
      </c>
      <c r="M4" s="8" t="s">
        <v>351</v>
      </c>
      <c r="N4" s="8" t="s">
        <v>352</v>
      </c>
      <c r="O4" s="8" t="s">
        <v>353</v>
      </c>
      <c r="P4" s="8" t="s">
        <v>354</v>
      </c>
      <c r="Q4" s="8" t="s">
        <v>355</v>
      </c>
    </row>
    <row r="5" spans="1:17">
      <c r="A5" s="6">
        <v>2023</v>
      </c>
      <c r="B5" s="6">
        <v>1</v>
      </c>
      <c r="C5" s="9" t="s">
        <v>153</v>
      </c>
      <c r="D5" s="10">
        <f>SUMIFS(Data!$K:$K,Data!$A:$A,2023,Data!$B:$B,1)</f>
        <v>5716.2146</v>
      </c>
      <c r="E5" s="10">
        <f>SUMIFS(Data!$K:$K,Data!$A:$A,2023,Data!$B:$B,1,Data!$J:$J,"PLANNED")</f>
        <v>2552.9085</v>
      </c>
      <c r="F5" s="10">
        <f>SUMIFS(Data!$K:$K,Data!$A:$A,2023,Data!$B:$B,1,Data!$J:$J,"UNPLANNED")</f>
        <v>3163.3061</v>
      </c>
      <c r="G5" s="16">
        <f>IFERROR(F5/D5,0)</f>
        <v>0.5533917673419748</v>
      </c>
      <c r="H5" s="10">
        <f>SUMIFS(Data!$K:$K,Data!$A:$A,2023,Data!$B:$B,1,Data!$G:$G,"CDU")</f>
        <v>1739.5449999999998</v>
      </c>
      <c r="I5" s="10">
        <f>SUMIFS(Data!$K:$K,Data!$A:$A,2023,Data!$B:$B,1,Data!$G:$G,"FCC")</f>
        <v>810.943</v>
      </c>
      <c r="J5" s="10">
        <f>SUMIFS(Data!$K:$K,Data!$A:$A,2023,Data!$B:$B,1,Data!$G:$G,"Hydrocracker")</f>
        <v>281.7</v>
      </c>
      <c r="K5" s="10">
        <f>SUMIFS(Data!$K:$K,Data!$A:$A,2023,Data!$B:$B,1,Data!$G:$G,"Reformer")</f>
        <v>432.859</v>
      </c>
      <c r="L5" s="10">
        <f>SUMIFS(Data!$K:$K,Data!$A:$A,2023,Data!$B:$B,1,Data!$F:$F,"PADD 1")</f>
        <v>126.05</v>
      </c>
      <c r="M5" s="10">
        <f>SUMIFS(Data!$K:$K,Data!$A:$A,2023,Data!$B:$B,1,Data!$F:$F,"PADD 2")</f>
        <v>1256.5976</v>
      </c>
      <c r="N5" s="10">
        <f>SUMIFS(Data!$K:$K,Data!$A:$A,2023,Data!$B:$B,1,Data!$F:$F,"PADD 3")</f>
        <v>3222.9692</v>
      </c>
      <c r="O5" s="10">
        <f>SUMIFS(Data!$K:$K,Data!$A:$A,2023,Data!$B:$B,1,Data!$F:$F,"PADD 4")</f>
        <v>493.348</v>
      </c>
      <c r="P5" s="10">
        <f>SUMIFS(Data!$K:$K,Data!$A:$A,2023,Data!$B:$B,1,Data!$F:$F,"PADD 5")</f>
        <v>617.2497999999999</v>
      </c>
      <c r="Q5" s="10">
        <f>K5*ref_intake-H5*naph_yield</f>
        <v>-175.98174999999998</v>
      </c>
    </row>
    <row r="6" spans="1:17">
      <c r="A6" s="6">
        <v>2023</v>
      </c>
      <c r="B6" s="6">
        <v>2</v>
      </c>
      <c r="C6" s="9" t="s">
        <v>154</v>
      </c>
      <c r="D6" s="10">
        <f>SUMIFS(Data!$K:$K,Data!$A:$A,2023,Data!$B:$B,2)</f>
        <v>6813.7157</v>
      </c>
      <c r="E6" s="10">
        <f>SUMIFS(Data!$K:$K,Data!$A:$A,2023,Data!$B:$B,2,Data!$J:$J,"PLANNED")</f>
        <v>4134.309</v>
      </c>
      <c r="F6" s="10">
        <f>SUMIFS(Data!$K:$K,Data!$A:$A,2023,Data!$B:$B,2,Data!$J:$J,"UNPLANNED")</f>
        <v>2679.4067</v>
      </c>
      <c r="G6" s="16">
        <f>IFERROR(F6/D6,0)</f>
        <v>0.393237231779424</v>
      </c>
      <c r="H6" s="10">
        <f>SUMIFS(Data!$K:$K,Data!$A:$A,2023,Data!$B:$B,2,Data!$G:$G,"CDU")</f>
        <v>2180.255</v>
      </c>
      <c r="I6" s="10">
        <f>SUMIFS(Data!$K:$K,Data!$A:$A,2023,Data!$B:$B,2,Data!$G:$G,"FCC")</f>
        <v>1025.05</v>
      </c>
      <c r="J6" s="10">
        <f>SUMIFS(Data!$K:$K,Data!$A:$A,2023,Data!$B:$B,2,Data!$G:$G,"Hydrocracker")</f>
        <v>420.495</v>
      </c>
      <c r="K6" s="10">
        <f>SUMIFS(Data!$K:$K,Data!$A:$A,2023,Data!$B:$B,2,Data!$G:$G,"Reformer")</f>
        <v>453.94</v>
      </c>
      <c r="L6" s="10">
        <f>SUMIFS(Data!$K:$K,Data!$A:$A,2023,Data!$B:$B,2,Data!$F:$F,"PADD 1")</f>
        <v>440.0</v>
      </c>
      <c r="M6" s="10">
        <f>SUMIFS(Data!$K:$K,Data!$A:$A,2023,Data!$B:$B,2,Data!$F:$F,"PADD 2")</f>
        <v>1088.065</v>
      </c>
      <c r="N6" s="10">
        <f>SUMIFS(Data!$K:$K,Data!$A:$A,2023,Data!$B:$B,2,Data!$F:$F,"PADD 3")</f>
        <v>3622.339</v>
      </c>
      <c r="O6" s="10">
        <f>SUMIFS(Data!$K:$K,Data!$A:$A,2023,Data!$B:$B,2,Data!$F:$F,"PADD 4")</f>
        <v>408.143</v>
      </c>
      <c r="P6" s="10">
        <f>SUMIFS(Data!$K:$K,Data!$A:$A,2023,Data!$B:$B,2,Data!$F:$F,"PADD 5")</f>
        <v>1255.1687</v>
      </c>
      <c r="Q6" s="10">
        <f>K6*ref_intake-H6*naph_yield</f>
        <v>-309.14925</v>
      </c>
    </row>
    <row r="7" spans="1:17">
      <c r="A7" s="6">
        <v>2023</v>
      </c>
      <c r="B7" s="6">
        <v>3</v>
      </c>
      <c r="C7" s="9" t="s">
        <v>155</v>
      </c>
      <c r="D7" s="10">
        <f>SUMIFS(Data!$K:$K,Data!$A:$A,2023,Data!$B:$B,3)</f>
        <v>6741.2225</v>
      </c>
      <c r="E7" s="10">
        <f>SUMIFS(Data!$K:$K,Data!$A:$A,2023,Data!$B:$B,3,Data!$J:$J,"PLANNED")</f>
        <v>3664.6845</v>
      </c>
      <c r="F7" s="10">
        <f>SUMIFS(Data!$K:$K,Data!$A:$A,2023,Data!$B:$B,3,Data!$J:$J,"UNPLANNED")</f>
        <v>3076.538</v>
      </c>
      <c r="G7" s="16">
        <f>IFERROR(F7/D7,0)</f>
        <v>0.45637686636214725</v>
      </c>
      <c r="H7" s="10">
        <f>SUMIFS(Data!$K:$K,Data!$A:$A,2023,Data!$B:$B,3,Data!$G:$G,"CDU")</f>
        <v>2060.2019999999998</v>
      </c>
      <c r="I7" s="10">
        <f>SUMIFS(Data!$K:$K,Data!$A:$A,2023,Data!$B:$B,3,Data!$G:$G,"FCC")</f>
        <v>880.265</v>
      </c>
      <c r="J7" s="10">
        <f>SUMIFS(Data!$K:$K,Data!$A:$A,2023,Data!$B:$B,3,Data!$G:$G,"Hydrocracker")</f>
        <v>492.64300000000003</v>
      </c>
      <c r="K7" s="10">
        <f>SUMIFS(Data!$K:$K,Data!$A:$A,2023,Data!$B:$B,3,Data!$G:$G,"Reformer")</f>
        <v>486.416</v>
      </c>
      <c r="L7" s="10">
        <f>SUMIFS(Data!$K:$K,Data!$A:$A,2023,Data!$B:$B,3,Data!$F:$F,"PADD 1")</f>
        <v>473.92</v>
      </c>
      <c r="M7" s="10">
        <f>SUMIFS(Data!$K:$K,Data!$A:$A,2023,Data!$B:$B,3,Data!$F:$F,"PADD 2")</f>
        <v>1877.395</v>
      </c>
      <c r="N7" s="10">
        <f>SUMIFS(Data!$K:$K,Data!$A:$A,2023,Data!$B:$B,3,Data!$F:$F,"PADD 3")</f>
        <v>3305.26</v>
      </c>
      <c r="O7" s="10">
        <f>SUMIFS(Data!$K:$K,Data!$A:$A,2023,Data!$B:$B,3,Data!$F:$F,"PADD 4")</f>
        <v>357.3731</v>
      </c>
      <c r="P7" s="10">
        <f>SUMIFS(Data!$K:$K,Data!$A:$A,2023,Data!$B:$B,3,Data!$F:$F,"PADD 5")</f>
        <v>727.2744</v>
      </c>
      <c r="Q7" s="10">
        <f>K7*ref_intake-H7*naph_yield</f>
        <v>-234.65469999999988</v>
      </c>
    </row>
    <row r="8" spans="1:17">
      <c r="A8" s="6">
        <v>2023</v>
      </c>
      <c r="B8" s="6">
        <v>4</v>
      </c>
      <c r="C8" s="9" t="s">
        <v>156</v>
      </c>
      <c r="D8" s="10">
        <f>SUMIFS(Data!$K:$K,Data!$A:$A,2023,Data!$B:$B,4)</f>
        <v>6116.2489</v>
      </c>
      <c r="E8" s="10">
        <f>SUMIFS(Data!$K:$K,Data!$A:$A,2023,Data!$B:$B,4,Data!$J:$J,"PLANNED")</f>
        <v>3647.546</v>
      </c>
      <c r="F8" s="10">
        <f>SUMIFS(Data!$K:$K,Data!$A:$A,2023,Data!$B:$B,4,Data!$J:$J,"UNPLANNED")</f>
        <v>2468.7028999999998</v>
      </c>
      <c r="G8" s="16">
        <f>IFERROR(F8/D8,0)</f>
        <v>0.4036302217851206</v>
      </c>
      <c r="H8" s="10">
        <f>SUMIFS(Data!$K:$K,Data!$A:$A,2023,Data!$B:$B,4,Data!$G:$G,"CDU")</f>
        <v>1806.215</v>
      </c>
      <c r="I8" s="10">
        <f>SUMIFS(Data!$K:$K,Data!$A:$A,2023,Data!$B:$B,4,Data!$G:$G,"FCC")</f>
        <v>615.626</v>
      </c>
      <c r="J8" s="10">
        <f>SUMIFS(Data!$K:$K,Data!$A:$A,2023,Data!$B:$B,4,Data!$G:$G,"Hydrocracker")</f>
        <v>424.371</v>
      </c>
      <c r="K8" s="10">
        <f>SUMIFS(Data!$K:$K,Data!$A:$A,2023,Data!$B:$B,4,Data!$G:$G,"Reformer")</f>
        <v>495.342</v>
      </c>
      <c r="L8" s="10">
        <f>SUMIFS(Data!$K:$K,Data!$A:$A,2023,Data!$B:$B,4,Data!$F:$F,"PADD 1")</f>
        <v>110.08</v>
      </c>
      <c r="M8" s="10">
        <f>SUMIFS(Data!$K:$K,Data!$A:$A,2023,Data!$B:$B,4,Data!$F:$F,"PADD 2")</f>
        <v>2007.8074</v>
      </c>
      <c r="N8" s="10">
        <f>SUMIFS(Data!$K:$K,Data!$A:$A,2023,Data!$B:$B,4,Data!$F:$F,"PADD 3")</f>
        <v>2929.6089</v>
      </c>
      <c r="O8" s="10">
        <f>SUMIFS(Data!$K:$K,Data!$A:$A,2023,Data!$B:$B,4,Data!$F:$F,"PADD 4")</f>
        <v>344.0876</v>
      </c>
      <c r="P8" s="10">
        <f>SUMIFS(Data!$K:$K,Data!$A:$A,2023,Data!$B:$B,4,Data!$F:$F,"PADD 5")</f>
        <v>724.665</v>
      </c>
      <c r="Q8" s="10">
        <f>K8*ref_intake-H8*naph_yield</f>
        <v>-136.8332499999999</v>
      </c>
    </row>
    <row r="9" spans="1:17">
      <c r="A9" s="6">
        <v>2023</v>
      </c>
      <c r="B9" s="6">
        <v>5</v>
      </c>
      <c r="C9" s="9" t="s">
        <v>157</v>
      </c>
      <c r="D9" s="10">
        <f>SUMIFS(Data!$K:$K,Data!$A:$A,2023,Data!$B:$B,5)</f>
        <v>3819.9794</v>
      </c>
      <c r="E9" s="10">
        <f>SUMIFS(Data!$K:$K,Data!$A:$A,2023,Data!$B:$B,5,Data!$J:$J,"PLANNED")</f>
        <v>2071.2518</v>
      </c>
      <c r="F9" s="10">
        <f>SUMIFS(Data!$K:$K,Data!$A:$A,2023,Data!$B:$B,5,Data!$J:$J,"UNPLANNED")</f>
        <v>1748.7276</v>
      </c>
      <c r="G9" s="16">
        <f>IFERROR(F9/D9,0)</f>
        <v>0.4577845629219885</v>
      </c>
      <c r="H9" s="10">
        <f>SUMIFS(Data!$K:$K,Data!$A:$A,2023,Data!$B:$B,5,Data!$G:$G,"CDU")</f>
        <v>1061.1038</v>
      </c>
      <c r="I9" s="10">
        <f>SUMIFS(Data!$K:$K,Data!$A:$A,2023,Data!$B:$B,5,Data!$G:$G,"FCC")</f>
        <v>530.395</v>
      </c>
      <c r="J9" s="10">
        <f>SUMIFS(Data!$K:$K,Data!$A:$A,2023,Data!$B:$B,5,Data!$G:$G,"Hydrocracker")</f>
        <v>158.444</v>
      </c>
      <c r="K9" s="10">
        <f>SUMIFS(Data!$K:$K,Data!$A:$A,2023,Data!$B:$B,5,Data!$G:$G,"Reformer")</f>
        <v>360.457</v>
      </c>
      <c r="L9" s="10">
        <f>SUMIFS(Data!$K:$K,Data!$A:$A,2023,Data!$B:$B,5,Data!$F:$F,"PADD 1")</f>
        <v>46.16</v>
      </c>
      <c r="M9" s="10">
        <f>SUMIFS(Data!$K:$K,Data!$A:$A,2023,Data!$B:$B,5,Data!$F:$F,"PADD 2")</f>
        <v>1042.2436</v>
      </c>
      <c r="N9" s="10">
        <f>SUMIFS(Data!$K:$K,Data!$A:$A,2023,Data!$B:$B,5,Data!$F:$F,"PADD 3")</f>
        <v>2020.7778</v>
      </c>
      <c r="O9" s="10">
        <f>SUMIFS(Data!$K:$K,Data!$A:$A,2023,Data!$B:$B,5,Data!$F:$F,"PADD 4")</f>
        <v>228.289</v>
      </c>
      <c r="P9" s="10">
        <f>SUMIFS(Data!$K:$K,Data!$A:$A,2023,Data!$B:$B,5,Data!$F:$F,"PADD 5")</f>
        <v>482.50899999999996</v>
      </c>
      <c r="Q9" s="10">
        <f>K9*ref_intake-H9*naph_yield</f>
        <v>-10.929329999999993</v>
      </c>
    </row>
    <row r="10" spans="1:17">
      <c r="A10" s="6">
        <v>2023</v>
      </c>
      <c r="B10" s="6">
        <v>6</v>
      </c>
      <c r="C10" s="9" t="s">
        <v>158</v>
      </c>
      <c r="D10" s="10">
        <f>SUMIFS(Data!$K:$K,Data!$A:$A,2023,Data!$B:$B,6)</f>
        <v>2342.9731</v>
      </c>
      <c r="E10" s="10">
        <f>SUMIFS(Data!$K:$K,Data!$A:$A,2023,Data!$B:$B,6,Data!$J:$J,"PLANNED")</f>
        <v>368.477</v>
      </c>
      <c r="F10" s="10">
        <f>SUMIFS(Data!$K:$K,Data!$A:$A,2023,Data!$B:$B,6,Data!$J:$J,"UNPLANNED")</f>
        <v>1974.4961</v>
      </c>
      <c r="G10" s="16">
        <f>IFERROR(F10/D10,0)</f>
        <v>0.8427310155630895</v>
      </c>
      <c r="H10" s="10">
        <f>SUMIFS(Data!$K:$K,Data!$A:$A,2023,Data!$B:$B,6,Data!$G:$G,"CDU")</f>
        <v>794.9545</v>
      </c>
      <c r="I10" s="10">
        <f>SUMIFS(Data!$K:$K,Data!$A:$A,2023,Data!$B:$B,6,Data!$G:$G,"FCC")</f>
        <v>406.9475</v>
      </c>
      <c r="J10" s="10">
        <f>SUMIFS(Data!$K:$K,Data!$A:$A,2023,Data!$B:$B,6,Data!$G:$G,"Hydrocracker")</f>
        <v>11.7462</v>
      </c>
      <c r="K10" s="10">
        <f>SUMIFS(Data!$K:$K,Data!$A:$A,2023,Data!$B:$B,6,Data!$G:$G,"Reformer")</f>
        <v>198.97</v>
      </c>
      <c r="L10" s="10">
        <f>SUMIFS(Data!$K:$K,Data!$A:$A,2023,Data!$B:$B,6,Data!$F:$F,"PADD 1")</f>
        <v>316.8375</v>
      </c>
      <c r="M10" s="10">
        <f>SUMIFS(Data!$K:$K,Data!$A:$A,2023,Data!$B:$B,6,Data!$F:$F,"PADD 2")</f>
        <v>511.95</v>
      </c>
      <c r="N10" s="10">
        <f>SUMIFS(Data!$K:$K,Data!$A:$A,2023,Data!$B:$B,6,Data!$F:$F,"PADD 3")</f>
        <v>1420.2069</v>
      </c>
      <c r="O10" s="10">
        <f>SUMIFS(Data!$K:$K,Data!$A:$A,2023,Data!$B:$B,6,Data!$F:$F,"PADD 4")</f>
        <v>53.3175</v>
      </c>
      <c r="P10" s="10">
        <f>SUMIFS(Data!$K:$K,Data!$A:$A,2023,Data!$B:$B,6,Data!$F:$F,"PADD 5")</f>
        <v>40.6612</v>
      </c>
      <c r="Q10" s="10">
        <f>K10*ref_intake-H10*naph_yield</f>
        <v>-79.26407500000002</v>
      </c>
    </row>
    <row r="11" spans="1:17">
      <c r="A11" s="6">
        <v>2023</v>
      </c>
      <c r="B11" s="6">
        <v>7</v>
      </c>
      <c r="C11" s="9" t="s">
        <v>159</v>
      </c>
      <c r="D11" s="10">
        <f>SUMIFS(Data!$K:$K,Data!$A:$A,2023,Data!$B:$B,7)</f>
        <v>1647.0638</v>
      </c>
      <c r="E11" s="10">
        <f>SUMIFS(Data!$K:$K,Data!$A:$A,2023,Data!$B:$B,7,Data!$J:$J,"PLANNED")</f>
        <v>171.937</v>
      </c>
      <c r="F11" s="10">
        <f>SUMIFS(Data!$K:$K,Data!$A:$A,2023,Data!$B:$B,7,Data!$J:$J,"UNPLANNED")</f>
        <v>1475.1268</v>
      </c>
      <c r="G11" s="16">
        <f>IFERROR(F11/D11,0)</f>
        <v>0.8956099939783754</v>
      </c>
      <c r="H11" s="10">
        <f>SUMIFS(Data!$K:$K,Data!$A:$A,2023,Data!$B:$B,7,Data!$G:$G,"CDU")</f>
        <v>510.65</v>
      </c>
      <c r="I11" s="10">
        <f>SUMIFS(Data!$K:$K,Data!$A:$A,2023,Data!$B:$B,7,Data!$G:$G,"FCC")</f>
        <v>232.66</v>
      </c>
      <c r="J11" s="10">
        <f>SUMIFS(Data!$K:$K,Data!$A:$A,2023,Data!$B:$B,7,Data!$G:$G,"Hydrocracker")</f>
        <v>40.6884</v>
      </c>
      <c r="K11" s="10">
        <f>SUMIFS(Data!$K:$K,Data!$A:$A,2023,Data!$B:$B,7,Data!$G:$G,"Reformer")</f>
        <v>147.233</v>
      </c>
      <c r="L11" s="10">
        <f>SUMIFS(Data!$K:$K,Data!$A:$A,2023,Data!$B:$B,7,Data!$F:$F,"PADD 1")</f>
        <v>283.35</v>
      </c>
      <c r="M11" s="10">
        <f>SUMIFS(Data!$K:$K,Data!$A:$A,2023,Data!$B:$B,7,Data!$F:$F,"PADD 2")</f>
        <v>453.487</v>
      </c>
      <c r="N11" s="10">
        <f>SUMIFS(Data!$K:$K,Data!$A:$A,2023,Data!$B:$B,7,Data!$F:$F,"PADD 3")</f>
        <v>772.8094</v>
      </c>
      <c r="O11" s="10">
        <f>SUMIFS(Data!$K:$K,Data!$A:$A,2023,Data!$B:$B,7,Data!$F:$F,"PADD 4")</f>
        <v>40.650999999999996</v>
      </c>
      <c r="P11" s="10">
        <f>SUMIFS(Data!$K:$K,Data!$A:$A,2023,Data!$B:$B,7,Data!$F:$F,"PADD 5")</f>
        <v>96.7664</v>
      </c>
      <c r="Q11" s="10">
        <f>K11*ref_intake-H11*naph_yield</f>
        <v>-31.494499999999988</v>
      </c>
    </row>
    <row r="12" spans="1:17">
      <c r="A12" s="6">
        <v>2023</v>
      </c>
      <c r="B12" s="6">
        <v>8</v>
      </c>
      <c r="C12" s="9" t="s">
        <v>160</v>
      </c>
      <c r="D12" s="10">
        <f>SUMIFS(Data!$K:$K,Data!$A:$A,2023,Data!$B:$B,8)</f>
        <v>1761.651</v>
      </c>
      <c r="E12" s="10">
        <f>SUMIFS(Data!$K:$K,Data!$A:$A,2023,Data!$B:$B,8,Data!$J:$J,"PLANNED")</f>
        <v>315.56</v>
      </c>
      <c r="F12" s="10">
        <f>SUMIFS(Data!$K:$K,Data!$A:$A,2023,Data!$B:$B,8,Data!$J:$J,"UNPLANNED")</f>
        <v>1446.091</v>
      </c>
      <c r="G12" s="16">
        <f>IFERROR(F12/D12,0)</f>
        <v>0.8208725791884998</v>
      </c>
      <c r="H12" s="10">
        <f>SUMIFS(Data!$K:$K,Data!$A:$A,2023,Data!$B:$B,8,Data!$G:$G,"CDU")</f>
        <v>510.13</v>
      </c>
      <c r="I12" s="10">
        <f>SUMIFS(Data!$K:$K,Data!$A:$A,2023,Data!$B:$B,8,Data!$G:$G,"FCC")</f>
        <v>161.055</v>
      </c>
      <c r="J12" s="10">
        <f>SUMIFS(Data!$K:$K,Data!$A:$A,2023,Data!$B:$B,8,Data!$G:$G,"Hydrocracker")</f>
        <v>64.31299999999999</v>
      </c>
      <c r="K12" s="10">
        <f>SUMIFS(Data!$K:$K,Data!$A:$A,2023,Data!$B:$B,8,Data!$G:$G,"Reformer")</f>
        <v>238.18</v>
      </c>
      <c r="L12" s="10">
        <f>SUMIFS(Data!$K:$K,Data!$A:$A,2023,Data!$B:$B,8,Data!$F:$F,"PADD 1")</f>
        <v>2.6</v>
      </c>
      <c r="M12" s="10">
        <f>SUMIFS(Data!$K:$K,Data!$A:$A,2023,Data!$B:$B,8,Data!$F:$F,"PADD 2")</f>
        <v>182.999</v>
      </c>
      <c r="N12" s="10">
        <f>SUMIFS(Data!$K:$K,Data!$A:$A,2023,Data!$B:$B,8,Data!$F:$F,"PADD 3")</f>
        <v>1367.907</v>
      </c>
      <c r="O12" s="10">
        <f>SUMIFS(Data!$K:$K,Data!$A:$A,2023,Data!$B:$B,8,Data!$F:$F,"PADD 4")</f>
        <v>76.8</v>
      </c>
      <c r="P12" s="10">
        <f>SUMIFS(Data!$K:$K,Data!$A:$A,2023,Data!$B:$B,8,Data!$F:$F,"PADD 5")</f>
        <v>131.345</v>
      </c>
      <c r="Q12" s="10">
        <f>K12*ref_intake-H12*naph_yield</f>
        <v>59.63450000000003</v>
      </c>
    </row>
    <row r="13" spans="1:17">
      <c r="A13" s="6">
        <v>2023</v>
      </c>
      <c r="B13" s="6">
        <v>9</v>
      </c>
      <c r="C13" s="9" t="s">
        <v>161</v>
      </c>
      <c r="D13" s="10">
        <f>SUMIFS(Data!$K:$K,Data!$A:$A,2023,Data!$B:$B,9)</f>
        <v>3954.8585</v>
      </c>
      <c r="E13" s="10">
        <f>SUMIFS(Data!$K:$K,Data!$A:$A,2023,Data!$B:$B,9,Data!$J:$J,"PLANNED")</f>
        <v>2423.3365</v>
      </c>
      <c r="F13" s="10">
        <f>SUMIFS(Data!$K:$K,Data!$A:$A,2023,Data!$B:$B,9,Data!$J:$J,"UNPLANNED")</f>
        <v>1531.522</v>
      </c>
      <c r="G13" s="16">
        <f>IFERROR(F13/D13,0)</f>
        <v>0.3872507701602978</v>
      </c>
      <c r="H13" s="10">
        <f>SUMIFS(Data!$K:$K,Data!$A:$A,2023,Data!$B:$B,9,Data!$G:$G,"CDU")</f>
        <v>1099.23</v>
      </c>
      <c r="I13" s="10">
        <f>SUMIFS(Data!$K:$K,Data!$A:$A,2023,Data!$B:$B,9,Data!$G:$G,"FCC")</f>
        <v>407.94</v>
      </c>
      <c r="J13" s="10">
        <f>SUMIFS(Data!$K:$K,Data!$A:$A,2023,Data!$B:$B,9,Data!$G:$G,"Hydrocracker")</f>
        <v>85.565</v>
      </c>
      <c r="K13" s="10">
        <f>SUMIFS(Data!$K:$K,Data!$A:$A,2023,Data!$B:$B,9,Data!$G:$G,"Reformer")</f>
        <v>236.457</v>
      </c>
      <c r="L13" s="10">
        <f>SUMIFS(Data!$K:$K,Data!$A:$A,2023,Data!$B:$B,9,Data!$F:$F,"PADD 1")</f>
        <v>391.5052</v>
      </c>
      <c r="M13" s="10">
        <f>SUMIFS(Data!$K:$K,Data!$A:$A,2023,Data!$B:$B,9,Data!$F:$F,"PADD 2")</f>
        <v>1481.1244</v>
      </c>
      <c r="N13" s="10">
        <f>SUMIFS(Data!$K:$K,Data!$A:$A,2023,Data!$B:$B,9,Data!$F:$F,"PADD 3")</f>
        <v>1980.1739</v>
      </c>
      <c r="O13" s="10">
        <f>SUMIFS(Data!$K:$K,Data!$A:$A,2023,Data!$B:$B,9,Data!$F:$F,"PADD 4")</f>
        <v>0.0</v>
      </c>
      <c r="P13" s="10">
        <f>SUMIFS(Data!$K:$K,Data!$A:$A,2023,Data!$B:$B,9,Data!$F:$F,"PADD 5")</f>
        <v>102.055</v>
      </c>
      <c r="Q13" s="10">
        <f>K13*ref_intake-H13*naph_yield</f>
        <v>-148.2735</v>
      </c>
    </row>
    <row r="14" spans="1:17">
      <c r="A14" s="6">
        <v>2023</v>
      </c>
      <c r="B14" s="6">
        <v>10</v>
      </c>
      <c r="C14" s="9" t="s">
        <v>162</v>
      </c>
      <c r="D14" s="10">
        <f>SUMIFS(Data!$K:$K,Data!$A:$A,2023,Data!$B:$B,10)</f>
        <v>6931.9118</v>
      </c>
      <c r="E14" s="10">
        <f>SUMIFS(Data!$K:$K,Data!$A:$A,2023,Data!$B:$B,10,Data!$J:$J,"PLANNED")</f>
        <v>4943.1683</v>
      </c>
      <c r="F14" s="10">
        <f>SUMIFS(Data!$K:$K,Data!$A:$A,2023,Data!$B:$B,10,Data!$J:$J,"UNPLANNED")</f>
        <v>1988.7435</v>
      </c>
      <c r="G14" s="16">
        <f>IFERROR(F14/D14,0)</f>
        <v>0.2868968269330836</v>
      </c>
      <c r="H14" s="10">
        <f>SUMIFS(Data!$K:$K,Data!$A:$A,2023,Data!$B:$B,10,Data!$G:$G,"CDU")</f>
        <v>2033.6085</v>
      </c>
      <c r="I14" s="10">
        <f>SUMIFS(Data!$K:$K,Data!$A:$A,2023,Data!$B:$B,10,Data!$G:$G,"FCC")</f>
        <v>590.53</v>
      </c>
      <c r="J14" s="10">
        <f>SUMIFS(Data!$K:$K,Data!$A:$A,2023,Data!$B:$B,10,Data!$G:$G,"Hydrocracker")</f>
        <v>169.43</v>
      </c>
      <c r="K14" s="10">
        <f>SUMIFS(Data!$K:$K,Data!$A:$A,2023,Data!$B:$B,10,Data!$G:$G,"Reformer")</f>
        <v>529.1175</v>
      </c>
      <c r="L14" s="10">
        <f>SUMIFS(Data!$K:$K,Data!$A:$A,2023,Data!$B:$B,10,Data!$F:$F,"PADD 1")</f>
        <v>695.69</v>
      </c>
      <c r="M14" s="10">
        <f>SUMIFS(Data!$K:$K,Data!$A:$A,2023,Data!$B:$B,10,Data!$F:$F,"PADD 2")</f>
        <v>1816.5088</v>
      </c>
      <c r="N14" s="10">
        <f>SUMIFS(Data!$K:$K,Data!$A:$A,2023,Data!$B:$B,10,Data!$F:$F,"PADD 3")</f>
        <v>3552.627</v>
      </c>
      <c r="O14" s="10">
        <f>SUMIFS(Data!$K:$K,Data!$A:$A,2023,Data!$B:$B,10,Data!$F:$F,"PADD 4")</f>
        <v>2.726</v>
      </c>
      <c r="P14" s="10">
        <f>SUMIFS(Data!$K:$K,Data!$A:$A,2023,Data!$B:$B,10,Data!$F:$F,"PADD 5")</f>
        <v>864.36</v>
      </c>
      <c r="Q14" s="10">
        <f>K14*ref_intake-H14*naph_yield</f>
        <v>-182.64547500000003</v>
      </c>
    </row>
    <row r="15" spans="1:17">
      <c r="A15" s="6">
        <v>2023</v>
      </c>
      <c r="B15" s="6">
        <v>11</v>
      </c>
      <c r="C15" s="9" t="s">
        <v>163</v>
      </c>
      <c r="D15" s="10">
        <f>SUMIFS(Data!$K:$K,Data!$A:$A,2023,Data!$B:$B,11)</f>
        <v>3069.4329000000002</v>
      </c>
      <c r="E15" s="10">
        <f>SUMIFS(Data!$K:$K,Data!$A:$A,2023,Data!$B:$B,11,Data!$J:$J,"PLANNED")</f>
        <v>1718.509</v>
      </c>
      <c r="F15" s="10">
        <f>SUMIFS(Data!$K:$K,Data!$A:$A,2023,Data!$B:$B,11,Data!$J:$J,"UNPLANNED")</f>
        <v>1350.9239</v>
      </c>
      <c r="G15" s="16">
        <f>IFERROR(F15/D15,0)</f>
        <v>0.4401216589553073</v>
      </c>
      <c r="H15" s="10">
        <f>SUMIFS(Data!$K:$K,Data!$A:$A,2023,Data!$B:$B,11,Data!$G:$G,"CDU")</f>
        <v>881.0600000000001</v>
      </c>
      <c r="I15" s="10">
        <f>SUMIFS(Data!$K:$K,Data!$A:$A,2023,Data!$B:$B,11,Data!$G:$G,"FCC")</f>
        <v>347.605</v>
      </c>
      <c r="J15" s="10">
        <f>SUMIFS(Data!$K:$K,Data!$A:$A,2023,Data!$B:$B,11,Data!$G:$G,"Hydrocracker")</f>
        <v>66.22</v>
      </c>
      <c r="K15" s="10">
        <f>SUMIFS(Data!$K:$K,Data!$A:$A,2023,Data!$B:$B,11,Data!$G:$G,"Reformer")</f>
        <v>371.958</v>
      </c>
      <c r="L15" s="10">
        <f>SUMIFS(Data!$K:$K,Data!$A:$A,2023,Data!$B:$B,11,Data!$F:$F,"PADD 1")</f>
        <v>256.507</v>
      </c>
      <c r="M15" s="10">
        <f>SUMIFS(Data!$K:$K,Data!$A:$A,2023,Data!$B:$B,11,Data!$F:$F,"PADD 2")</f>
        <v>326.1729</v>
      </c>
      <c r="N15" s="10">
        <f>SUMIFS(Data!$K:$K,Data!$A:$A,2023,Data!$B:$B,11,Data!$F:$F,"PADD 3")</f>
        <v>1809.522</v>
      </c>
      <c r="O15" s="10">
        <f>SUMIFS(Data!$K:$K,Data!$A:$A,2023,Data!$B:$B,11,Data!$F:$F,"PADD 4")</f>
        <v>18.951</v>
      </c>
      <c r="P15" s="10">
        <f>SUMIFS(Data!$K:$K,Data!$A:$A,2023,Data!$B:$B,11,Data!$F:$F,"PADD 5")</f>
        <v>658.28</v>
      </c>
      <c r="Q15" s="10">
        <f>K15*ref_intake-H15*naph_yield</f>
        <v>63.587000000000046</v>
      </c>
    </row>
    <row r="16" spans="1:17">
      <c r="A16" s="6">
        <v>2023</v>
      </c>
      <c r="B16" s="6">
        <v>12</v>
      </c>
      <c r="C16" s="9" t="s">
        <v>164</v>
      </c>
      <c r="D16" s="10">
        <f>SUMIFS(Data!$K:$K,Data!$A:$A,2023,Data!$B:$B,12)</f>
        <v>976.1005</v>
      </c>
      <c r="E16" s="10">
        <f>SUMIFS(Data!$K:$K,Data!$A:$A,2023,Data!$B:$B,12,Data!$J:$J,"PLANNED")</f>
        <v>128.5582</v>
      </c>
      <c r="F16" s="10">
        <f>SUMIFS(Data!$K:$K,Data!$A:$A,2023,Data!$B:$B,12,Data!$J:$J,"UNPLANNED")</f>
        <v>847.5423</v>
      </c>
      <c r="G16" s="16">
        <f>IFERROR(F16/D16,0)</f>
        <v>0.8682940947166813</v>
      </c>
      <c r="H16" s="10">
        <f>SUMIFS(Data!$K:$K,Data!$A:$A,2023,Data!$B:$B,12,Data!$G:$G,"CDU")</f>
        <v>256.08000000000004</v>
      </c>
      <c r="I16" s="10">
        <f>SUMIFS(Data!$K:$K,Data!$A:$A,2023,Data!$B:$B,12,Data!$G:$G,"FCC")</f>
        <v>152.404</v>
      </c>
      <c r="J16" s="10">
        <f>SUMIFS(Data!$K:$K,Data!$A:$A,2023,Data!$B:$B,12,Data!$G:$G,"Hydrocracker")</f>
        <v>60.28</v>
      </c>
      <c r="K16" s="10">
        <f>SUMIFS(Data!$K:$K,Data!$A:$A,2023,Data!$B:$B,12,Data!$G:$G,"Reformer")</f>
        <v>67.175</v>
      </c>
      <c r="L16" s="10">
        <f>SUMIFS(Data!$K:$K,Data!$A:$A,2023,Data!$B:$B,12,Data!$F:$F,"PADD 1")</f>
        <v>30.79</v>
      </c>
      <c r="M16" s="10">
        <f>SUMIFS(Data!$K:$K,Data!$A:$A,2023,Data!$B:$B,12,Data!$F:$F,"PADD 2")</f>
        <v>60.5386</v>
      </c>
      <c r="N16" s="10">
        <f>SUMIFS(Data!$K:$K,Data!$A:$A,2023,Data!$B:$B,12,Data!$F:$F,"PADD 3")</f>
        <v>541.6272</v>
      </c>
      <c r="O16" s="10">
        <f>SUMIFS(Data!$K:$K,Data!$A:$A,2023,Data!$B:$B,12,Data!$F:$F,"PADD 4")</f>
        <v>111.2157</v>
      </c>
      <c r="P16" s="10">
        <f>SUMIFS(Data!$K:$K,Data!$A:$A,2023,Data!$B:$B,12,Data!$F:$F,"PADD 5")</f>
        <v>231.929</v>
      </c>
      <c r="Q16" s="10">
        <f>K16*ref_intake-H16*naph_yield</f>
        <v>-22.453000000000017</v>
      </c>
    </row>
    <row r="17" spans="1:17">
      <c r="A17" s="6">
        <v>2024</v>
      </c>
      <c r="B17" s="6">
        <v>1</v>
      </c>
      <c r="C17" s="9" t="s">
        <v>165</v>
      </c>
      <c r="D17" s="10">
        <f>SUMIFS(Data!$K:$K,Data!$A:$A,2024,Data!$B:$B,1)</f>
        <v>4684.8428</v>
      </c>
      <c r="E17" s="10">
        <f>SUMIFS(Data!$K:$K,Data!$A:$A,2024,Data!$B:$B,1,Data!$J:$J,"PLANNED")</f>
        <v>2251.219</v>
      </c>
      <c r="F17" s="10">
        <f>SUMIFS(Data!$K:$K,Data!$A:$A,2024,Data!$B:$B,1,Data!$J:$J,"UNPLANNED")</f>
        <v>2433.6238</v>
      </c>
      <c r="G17" s="16">
        <f>IFERROR(F17/D17,0)</f>
        <v>0.5194675475557045</v>
      </c>
      <c r="H17" s="10">
        <f>SUMIFS(Data!$K:$K,Data!$A:$A,2024,Data!$B:$B,1,Data!$G:$G,"CDU")</f>
        <v>1313.892</v>
      </c>
      <c r="I17" s="10">
        <f>SUMIFS(Data!$K:$K,Data!$A:$A,2024,Data!$B:$B,1,Data!$G:$G,"FCC")</f>
        <v>313.199</v>
      </c>
      <c r="J17" s="10">
        <f>SUMIFS(Data!$K:$K,Data!$A:$A,2024,Data!$B:$B,1,Data!$G:$G,"Hydrocracker")</f>
        <v>248.172</v>
      </c>
      <c r="K17" s="10">
        <f>SUMIFS(Data!$K:$K,Data!$A:$A,2024,Data!$B:$B,1,Data!$G:$G,"Reformer")</f>
        <v>436.8612</v>
      </c>
      <c r="L17" s="10">
        <f>SUMIFS(Data!$K:$K,Data!$A:$A,2024,Data!$B:$B,1,Data!$F:$F,"PADD 1")</f>
        <v>99.0698</v>
      </c>
      <c r="M17" s="10">
        <f>SUMIFS(Data!$K:$K,Data!$A:$A,2024,Data!$B:$B,1,Data!$F:$F,"PADD 2")</f>
        <v>82.622</v>
      </c>
      <c r="N17" s="10">
        <f>SUMIFS(Data!$K:$K,Data!$A:$A,2024,Data!$B:$B,1,Data!$F:$F,"PADD 3")</f>
        <v>3897.7506</v>
      </c>
      <c r="O17" s="10">
        <f>SUMIFS(Data!$K:$K,Data!$A:$A,2024,Data!$B:$B,1,Data!$F:$F,"PADD 4")</f>
        <v>71.7204</v>
      </c>
      <c r="P17" s="10">
        <f>SUMIFS(Data!$K:$K,Data!$A:$A,2024,Data!$B:$B,1,Data!$F:$F,"PADD 5")</f>
        <v>533.68</v>
      </c>
      <c r="Q17" s="10">
        <f>K17*ref_intake-H17*naph_yield</f>
        <v>-23.000999999999976</v>
      </c>
    </row>
    <row r="18" spans="1:17">
      <c r="A18" s="6">
        <v>2024</v>
      </c>
      <c r="B18" s="6">
        <v>2</v>
      </c>
      <c r="C18" s="9" t="s">
        <v>166</v>
      </c>
      <c r="D18" s="10">
        <f>SUMIFS(Data!$K:$K,Data!$A:$A,2024,Data!$B:$B,2)</f>
        <v>8792.021</v>
      </c>
      <c r="E18" s="10">
        <f>SUMIFS(Data!$K:$K,Data!$A:$A,2024,Data!$B:$B,2,Data!$J:$J,"PLANNED")</f>
        <v>3766.8788</v>
      </c>
      <c r="F18" s="10">
        <f>SUMIFS(Data!$K:$K,Data!$A:$A,2024,Data!$B:$B,2,Data!$J:$J,"UNPLANNED")</f>
        <v>5025.1422</v>
      </c>
      <c r="G18" s="16">
        <f>IFERROR(F18/D18,0)</f>
        <v>0.5715571198021479</v>
      </c>
      <c r="H18" s="10">
        <f>SUMIFS(Data!$K:$K,Data!$A:$A,2024,Data!$B:$B,2,Data!$G:$G,"CDU")</f>
        <v>2142.5348</v>
      </c>
      <c r="I18" s="10">
        <f>SUMIFS(Data!$K:$K,Data!$A:$A,2024,Data!$B:$B,2,Data!$G:$G,"FCC")</f>
        <v>1054.9718</v>
      </c>
      <c r="J18" s="10">
        <f>SUMIFS(Data!$K:$K,Data!$A:$A,2024,Data!$B:$B,2,Data!$G:$G,"Hydrocracker")</f>
        <v>429.613</v>
      </c>
      <c r="K18" s="10">
        <f>SUMIFS(Data!$K:$K,Data!$A:$A,2024,Data!$B:$B,2,Data!$G:$G,"Reformer")</f>
        <v>843.04</v>
      </c>
      <c r="L18" s="10">
        <f>SUMIFS(Data!$K:$K,Data!$A:$A,2024,Data!$B:$B,2,Data!$F:$F,"PADD 1")</f>
        <v>62.445</v>
      </c>
      <c r="M18" s="10">
        <f>SUMIFS(Data!$K:$K,Data!$A:$A,2024,Data!$B:$B,2,Data!$F:$F,"PADD 2")</f>
        <v>1893.1044</v>
      </c>
      <c r="N18" s="10">
        <f>SUMIFS(Data!$K:$K,Data!$A:$A,2024,Data!$B:$B,2,Data!$F:$F,"PADD 3")</f>
        <v>5540.9283</v>
      </c>
      <c r="O18" s="10">
        <f>SUMIFS(Data!$K:$K,Data!$A:$A,2024,Data!$B:$B,2,Data!$F:$F,"PADD 4")</f>
        <v>226.08</v>
      </c>
      <c r="P18" s="10">
        <f>SUMIFS(Data!$K:$K,Data!$A:$A,2024,Data!$B:$B,2,Data!$F:$F,"PADD 5")</f>
        <v>1069.4633</v>
      </c>
      <c r="Q18" s="10">
        <f>K18*ref_intake-H18*naph_yield</f>
        <v>93.15282000000002</v>
      </c>
    </row>
    <row r="19" spans="1:17">
      <c r="A19" s="6">
        <v>2024</v>
      </c>
      <c r="B19" s="6">
        <v>3</v>
      </c>
      <c r="C19" s="9" t="s">
        <v>167</v>
      </c>
      <c r="D19" s="10">
        <f>SUMIFS(Data!$K:$K,Data!$A:$A,2024,Data!$B:$B,3)</f>
        <v>4695.105</v>
      </c>
      <c r="E19" s="10">
        <f>SUMIFS(Data!$K:$K,Data!$A:$A,2024,Data!$B:$B,3,Data!$J:$J,"PLANNED")</f>
        <v>2643.9494</v>
      </c>
      <c r="F19" s="10">
        <f>SUMIFS(Data!$K:$K,Data!$A:$A,2024,Data!$B:$B,3,Data!$J:$J,"UNPLANNED")</f>
        <v>2051.1556</v>
      </c>
      <c r="G19" s="16">
        <f>IFERROR(F19/D19,0)</f>
        <v>0.4368710816903989</v>
      </c>
      <c r="H19" s="10">
        <f>SUMIFS(Data!$K:$K,Data!$A:$A,2024,Data!$B:$B,3,Data!$G:$G,"CDU")</f>
        <v>1268.1126</v>
      </c>
      <c r="I19" s="10">
        <f>SUMIFS(Data!$K:$K,Data!$A:$A,2024,Data!$B:$B,3,Data!$G:$G,"FCC")</f>
        <v>579.138</v>
      </c>
      <c r="J19" s="10">
        <f>SUMIFS(Data!$K:$K,Data!$A:$A,2024,Data!$B:$B,3,Data!$G:$G,"Hydrocracker")</f>
        <v>305.265</v>
      </c>
      <c r="K19" s="10">
        <f>SUMIFS(Data!$K:$K,Data!$A:$A,2024,Data!$B:$B,3,Data!$G:$G,"Reformer")</f>
        <v>439.2958</v>
      </c>
      <c r="L19" s="10">
        <f>SUMIFS(Data!$K:$K,Data!$A:$A,2024,Data!$B:$B,3,Data!$F:$F,"PADD 1")</f>
        <v>236.69639999999998</v>
      </c>
      <c r="M19" s="10">
        <f>SUMIFS(Data!$K:$K,Data!$A:$A,2024,Data!$B:$B,3,Data!$F:$F,"PADD 2")</f>
        <v>1347.1691</v>
      </c>
      <c r="N19" s="10">
        <f>SUMIFS(Data!$K:$K,Data!$A:$A,2024,Data!$B:$B,3,Data!$F:$F,"PADD 3")</f>
        <v>2248.1637</v>
      </c>
      <c r="O19" s="10">
        <f>SUMIFS(Data!$K:$K,Data!$A:$A,2024,Data!$B:$B,3,Data!$F:$F,"PADD 4")</f>
        <v>244.3878</v>
      </c>
      <c r="P19" s="10">
        <f>SUMIFS(Data!$K:$K,Data!$A:$A,2024,Data!$B:$B,3,Data!$F:$F,"PADD 5")</f>
        <v>618.688</v>
      </c>
      <c r="Q19" s="10">
        <f>K19*ref_intake-H19*naph_yield</f>
        <v>-4.543609999999944</v>
      </c>
    </row>
    <row r="20" spans="1:17">
      <c r="A20" s="6">
        <v>2024</v>
      </c>
      <c r="B20" s="6">
        <v>4</v>
      </c>
      <c r="C20" s="9" t="s">
        <v>168</v>
      </c>
      <c r="D20" s="10">
        <f>SUMIFS(Data!$K:$K,Data!$A:$A,2024,Data!$B:$B,4)</f>
        <v>4532.5513</v>
      </c>
      <c r="E20" s="10">
        <f>SUMIFS(Data!$K:$K,Data!$A:$A,2024,Data!$B:$B,4,Data!$J:$J,"PLANNED")</f>
        <v>2651.0149</v>
      </c>
      <c r="F20" s="10">
        <f>SUMIFS(Data!$K:$K,Data!$A:$A,2024,Data!$B:$B,4,Data!$J:$J,"UNPLANNED")</f>
        <v>1881.5364</v>
      </c>
      <c r="G20" s="16">
        <f>IFERROR(F20/D20,0)</f>
        <v>0.4151164047497929</v>
      </c>
      <c r="H20" s="10">
        <f>SUMIFS(Data!$K:$K,Data!$A:$A,2024,Data!$B:$B,4,Data!$G:$G,"CDU")</f>
        <v>1440.7505</v>
      </c>
      <c r="I20" s="10">
        <f>SUMIFS(Data!$K:$K,Data!$A:$A,2024,Data!$B:$B,4,Data!$G:$G,"FCC")</f>
        <v>489.937</v>
      </c>
      <c r="J20" s="10">
        <f>SUMIFS(Data!$K:$K,Data!$A:$A,2024,Data!$B:$B,4,Data!$G:$G,"Hydrocracker")</f>
        <v>142.443</v>
      </c>
      <c r="K20" s="10">
        <f>SUMIFS(Data!$K:$K,Data!$A:$A,2024,Data!$B:$B,4,Data!$G:$G,"Reformer")</f>
        <v>470.9954</v>
      </c>
      <c r="L20" s="10">
        <f>SUMIFS(Data!$K:$K,Data!$A:$A,2024,Data!$B:$B,4,Data!$F:$F,"PADD 1")</f>
        <v>214.8537</v>
      </c>
      <c r="M20" s="10">
        <f>SUMIFS(Data!$K:$K,Data!$A:$A,2024,Data!$B:$B,4,Data!$F:$F,"PADD 2")</f>
        <v>1456.5636</v>
      </c>
      <c r="N20" s="10">
        <f>SUMIFS(Data!$K:$K,Data!$A:$A,2024,Data!$B:$B,4,Data!$F:$F,"PADD 3")</f>
        <v>2012.6580000000001</v>
      </c>
      <c r="O20" s="10">
        <f>SUMIFS(Data!$K:$K,Data!$A:$A,2024,Data!$B:$B,4,Data!$F:$F,"PADD 4")</f>
        <v>138.769</v>
      </c>
      <c r="P20" s="10">
        <f>SUMIFS(Data!$K:$K,Data!$A:$A,2024,Data!$B:$B,4,Data!$F:$F,"PADD 5")</f>
        <v>709.707</v>
      </c>
      <c r="Q20" s="10">
        <f>K20*ref_intake-H20*naph_yield</f>
        <v>-33.267274999999984</v>
      </c>
    </row>
    <row r="21" spans="1:17">
      <c r="A21" s="6">
        <v>2024</v>
      </c>
      <c r="B21" s="6">
        <v>5</v>
      </c>
      <c r="C21" s="9" t="s">
        <v>169</v>
      </c>
      <c r="D21" s="10">
        <f>SUMIFS(Data!$K:$K,Data!$A:$A,2024,Data!$B:$B,5)</f>
        <v>2481.8625</v>
      </c>
      <c r="E21" s="10">
        <f>SUMIFS(Data!$K:$K,Data!$A:$A,2024,Data!$B:$B,5,Data!$J:$J,"PLANNED")</f>
        <v>1541.172</v>
      </c>
      <c r="F21" s="10">
        <f>SUMIFS(Data!$K:$K,Data!$A:$A,2024,Data!$B:$B,5,Data!$J:$J,"UNPLANNED")</f>
        <v>940.6905</v>
      </c>
      <c r="G21" s="16">
        <f>IFERROR(F21/D21,0)</f>
        <v>0.37902603387576866</v>
      </c>
      <c r="H21" s="10">
        <f>SUMIFS(Data!$K:$K,Data!$A:$A,2024,Data!$B:$B,5,Data!$G:$G,"CDU")</f>
        <v>501.391</v>
      </c>
      <c r="I21" s="10">
        <f>SUMIFS(Data!$K:$K,Data!$A:$A,2024,Data!$B:$B,5,Data!$G:$G,"FCC")</f>
        <v>277.135</v>
      </c>
      <c r="J21" s="10">
        <f>SUMIFS(Data!$K:$K,Data!$A:$A,2024,Data!$B:$B,5,Data!$G:$G,"Hydrocracker")</f>
        <v>153.69</v>
      </c>
      <c r="K21" s="10">
        <f>SUMIFS(Data!$K:$K,Data!$A:$A,2024,Data!$B:$B,5,Data!$G:$G,"Reformer")</f>
        <v>285.8775</v>
      </c>
      <c r="L21" s="10">
        <f>SUMIFS(Data!$K:$K,Data!$A:$A,2024,Data!$B:$B,5,Data!$F:$F,"PADD 1")</f>
        <v>23.4</v>
      </c>
      <c r="M21" s="10">
        <f>SUMIFS(Data!$K:$K,Data!$A:$A,2024,Data!$B:$B,5,Data!$F:$F,"PADD 2")</f>
        <v>670.5625</v>
      </c>
      <c r="N21" s="10">
        <f>SUMIFS(Data!$K:$K,Data!$A:$A,2024,Data!$B:$B,5,Data!$F:$F,"PADD 3")</f>
        <v>1141.365</v>
      </c>
      <c r="O21" s="10">
        <f>SUMIFS(Data!$K:$K,Data!$A:$A,2024,Data!$B:$B,5,Data!$F:$F,"PADD 4")</f>
        <v>31.459</v>
      </c>
      <c r="P21" s="10">
        <f>SUMIFS(Data!$K:$K,Data!$A:$A,2024,Data!$B:$B,5,Data!$F:$F,"PADD 5")</f>
        <v>615.076</v>
      </c>
      <c r="Q21" s="10">
        <f>K21*ref_intake-H21*naph_yield</f>
        <v>110.39065</v>
      </c>
    </row>
    <row r="22" spans="1:17">
      <c r="A22" s="6">
        <v>2024</v>
      </c>
      <c r="B22" s="6">
        <v>6</v>
      </c>
      <c r="C22" s="9" t="s">
        <v>170</v>
      </c>
      <c r="D22" s="10">
        <f>SUMIFS(Data!$K:$K,Data!$A:$A,2024,Data!$B:$B,6)</f>
        <v>2108.9555</v>
      </c>
      <c r="E22" s="10">
        <f>SUMIFS(Data!$K:$K,Data!$A:$A,2024,Data!$B:$B,6,Data!$J:$J,"PLANNED")</f>
        <v>1085.2415</v>
      </c>
      <c r="F22" s="10">
        <f>SUMIFS(Data!$K:$K,Data!$A:$A,2024,Data!$B:$B,6,Data!$J:$J,"UNPLANNED")</f>
        <v>1023.7139999999999</v>
      </c>
      <c r="G22" s="16">
        <f>IFERROR(F22/D22,0)</f>
        <v>0.48541280268834497</v>
      </c>
      <c r="H22" s="10">
        <f>SUMIFS(Data!$K:$K,Data!$A:$A,2024,Data!$B:$B,6,Data!$G:$G,"CDU")</f>
        <v>455.03</v>
      </c>
      <c r="I22" s="10">
        <f>SUMIFS(Data!$K:$K,Data!$A:$A,2024,Data!$B:$B,6,Data!$G:$G,"FCC")</f>
        <v>334.165</v>
      </c>
      <c r="J22" s="10">
        <f>SUMIFS(Data!$K:$K,Data!$A:$A,2024,Data!$B:$B,6,Data!$G:$G,"Hydrocracker")</f>
        <v>81.81</v>
      </c>
      <c r="K22" s="10">
        <f>SUMIFS(Data!$K:$K,Data!$A:$A,2024,Data!$B:$B,6,Data!$G:$G,"Reformer")</f>
        <v>303.314</v>
      </c>
      <c r="L22" s="10">
        <f>SUMIFS(Data!$K:$K,Data!$A:$A,2024,Data!$B:$B,6,Data!$F:$F,"PADD 1")</f>
        <v>1.82</v>
      </c>
      <c r="M22" s="10">
        <f>SUMIFS(Data!$K:$K,Data!$A:$A,2024,Data!$B:$B,6,Data!$F:$F,"PADD 2")</f>
        <v>364.397</v>
      </c>
      <c r="N22" s="10">
        <f>SUMIFS(Data!$K:$K,Data!$A:$A,2024,Data!$B:$B,6,Data!$F:$F,"PADD 3")</f>
        <v>1180.7915</v>
      </c>
      <c r="O22" s="10">
        <f>SUMIFS(Data!$K:$K,Data!$A:$A,2024,Data!$B:$B,6,Data!$F:$F,"PADD 4")</f>
        <v>17.778</v>
      </c>
      <c r="P22" s="10">
        <f>SUMIFS(Data!$K:$K,Data!$A:$A,2024,Data!$B:$B,6,Data!$F:$F,"PADD 5")</f>
        <v>544.169</v>
      </c>
      <c r="Q22" s="10">
        <f>K22*ref_intake-H22*naph_yield</f>
        <v>144.05350000000004</v>
      </c>
    </row>
    <row r="23" spans="1:17">
      <c r="A23" s="6">
        <v>2024</v>
      </c>
      <c r="B23" s="6">
        <v>7</v>
      </c>
      <c r="C23" s="9" t="s">
        <v>171</v>
      </c>
      <c r="D23" s="10">
        <f>SUMIFS(Data!$K:$K,Data!$A:$A,2024,Data!$B:$B,7)</f>
        <v>1985.748</v>
      </c>
      <c r="E23" s="10">
        <f>SUMIFS(Data!$K:$K,Data!$A:$A,2024,Data!$B:$B,7,Data!$J:$J,"PLANNED")</f>
        <v>512.8795</v>
      </c>
      <c r="F23" s="10">
        <f>SUMIFS(Data!$K:$K,Data!$A:$A,2024,Data!$B:$B,7,Data!$J:$J,"UNPLANNED")</f>
        <v>1472.8685</v>
      </c>
      <c r="G23" s="16">
        <f>IFERROR(F23/D23,0)</f>
        <v>0.7417197449021729</v>
      </c>
      <c r="H23" s="10">
        <f>SUMIFS(Data!$K:$K,Data!$A:$A,2024,Data!$B:$B,7,Data!$G:$G,"CDU")</f>
        <v>646.8299999999999</v>
      </c>
      <c r="I23" s="10">
        <f>SUMIFS(Data!$K:$K,Data!$A:$A,2024,Data!$B:$B,7,Data!$G:$G,"FCC")</f>
        <v>356.206</v>
      </c>
      <c r="J23" s="10">
        <f>SUMIFS(Data!$K:$K,Data!$A:$A,2024,Data!$B:$B,7,Data!$G:$G,"Hydrocracker")</f>
        <v>44.115</v>
      </c>
      <c r="K23" s="10">
        <f>SUMIFS(Data!$K:$K,Data!$A:$A,2024,Data!$B:$B,7,Data!$G:$G,"Reformer")</f>
        <v>129.5725</v>
      </c>
      <c r="L23" s="10">
        <f>SUMIFS(Data!$K:$K,Data!$A:$A,2024,Data!$B:$B,7,Data!$F:$F,"PADD 1")</f>
        <v>75.05</v>
      </c>
      <c r="M23" s="10">
        <f>SUMIFS(Data!$K:$K,Data!$A:$A,2024,Data!$B:$B,7,Data!$F:$F,"PADD 2")</f>
        <v>802.508</v>
      </c>
      <c r="N23" s="10">
        <f>SUMIFS(Data!$K:$K,Data!$A:$A,2024,Data!$B:$B,7,Data!$F:$F,"PADD 3")</f>
        <v>1019.787</v>
      </c>
      <c r="O23" s="10">
        <f>SUMIFS(Data!$K:$K,Data!$A:$A,2024,Data!$B:$B,7,Data!$F:$F,"PADD 4")</f>
        <v>23.131</v>
      </c>
      <c r="P23" s="10">
        <f>SUMIFS(Data!$K:$K,Data!$A:$A,2024,Data!$B:$B,7,Data!$F:$F,"PADD 5")</f>
        <v>65.27199999999999</v>
      </c>
      <c r="Q23" s="10">
        <f>K23*ref_intake-H23*naph_yield</f>
        <v>-96.81799999999996</v>
      </c>
    </row>
    <row r="24" spans="1:17">
      <c r="A24" s="6">
        <v>2024</v>
      </c>
      <c r="B24" s="6">
        <v>8</v>
      </c>
      <c r="C24" s="9" t="s">
        <v>172</v>
      </c>
      <c r="D24" s="10">
        <f>SUMIFS(Data!$K:$K,Data!$A:$A,2024,Data!$B:$B,8)</f>
        <v>1698.4168</v>
      </c>
      <c r="E24" s="10">
        <f>SUMIFS(Data!$K:$K,Data!$A:$A,2024,Data!$B:$B,8,Data!$J:$J,"PLANNED")</f>
        <v>486.4172</v>
      </c>
      <c r="F24" s="10">
        <f>SUMIFS(Data!$K:$K,Data!$A:$A,2024,Data!$B:$B,8,Data!$J:$J,"UNPLANNED")</f>
        <v>1211.9996</v>
      </c>
      <c r="G24" s="16">
        <f>IFERROR(F24/D24,0)</f>
        <v>0.713605517797516</v>
      </c>
      <c r="H24" s="10">
        <f>SUMIFS(Data!$K:$K,Data!$A:$A,2024,Data!$B:$B,8,Data!$G:$G,"CDU")</f>
        <v>550.098</v>
      </c>
      <c r="I24" s="10">
        <f>SUMIFS(Data!$K:$K,Data!$A:$A,2024,Data!$B:$B,8,Data!$G:$G,"FCC")</f>
        <v>309.4394</v>
      </c>
      <c r="J24" s="10">
        <f>SUMIFS(Data!$K:$K,Data!$A:$A,2024,Data!$B:$B,8,Data!$G:$G,"Hydrocracker")</f>
        <v>39.24</v>
      </c>
      <c r="K24" s="10">
        <f>SUMIFS(Data!$K:$K,Data!$A:$A,2024,Data!$B:$B,8,Data!$G:$G,"Reformer")</f>
        <v>149.935</v>
      </c>
      <c r="L24" s="10">
        <f>SUMIFS(Data!$K:$K,Data!$A:$A,2024,Data!$B:$B,8,Data!$F:$F,"PADD 1")</f>
        <v>10.899999999999999</v>
      </c>
      <c r="M24" s="10">
        <f>SUMIFS(Data!$K:$K,Data!$A:$A,2024,Data!$B:$B,8,Data!$F:$F,"PADD 2")</f>
        <v>516.3492</v>
      </c>
      <c r="N24" s="10">
        <f>SUMIFS(Data!$K:$K,Data!$A:$A,2024,Data!$B:$B,8,Data!$F:$F,"PADD 3")</f>
        <v>1019.9182</v>
      </c>
      <c r="O24" s="10">
        <f>SUMIFS(Data!$K:$K,Data!$A:$A,2024,Data!$B:$B,8,Data!$F:$F,"PADD 4")</f>
        <v>38.4844</v>
      </c>
      <c r="P24" s="10">
        <f>SUMIFS(Data!$K:$K,Data!$A:$A,2024,Data!$B:$B,8,Data!$F:$F,"PADD 5")</f>
        <v>112.765</v>
      </c>
      <c r="Q24" s="10">
        <f>K24*ref_intake-H24*naph_yield</f>
        <v>-42.59929999999997</v>
      </c>
    </row>
    <row r="25" spans="1:17">
      <c r="A25" s="6">
        <v>2024</v>
      </c>
      <c r="B25" s="6">
        <v>9</v>
      </c>
      <c r="C25" s="9" t="s">
        <v>173</v>
      </c>
      <c r="D25" s="10">
        <f>SUMIFS(Data!$K:$K,Data!$A:$A,2024,Data!$B:$B,9)</f>
        <v>3566.3252</v>
      </c>
      <c r="E25" s="10">
        <f>SUMIFS(Data!$K:$K,Data!$A:$A,2024,Data!$B:$B,9,Data!$J:$J,"PLANNED")</f>
        <v>1721.3308</v>
      </c>
      <c r="F25" s="10">
        <f>SUMIFS(Data!$K:$K,Data!$A:$A,2024,Data!$B:$B,9,Data!$J:$J,"UNPLANNED")</f>
        <v>1844.9944</v>
      </c>
      <c r="G25" s="16">
        <f>IFERROR(F25/D25,0)</f>
        <v>0.517337678571769</v>
      </c>
      <c r="H25" s="10">
        <f>SUMIFS(Data!$K:$K,Data!$A:$A,2024,Data!$B:$B,9,Data!$G:$G,"CDU")</f>
        <v>1090.8784</v>
      </c>
      <c r="I25" s="10">
        <f>SUMIFS(Data!$K:$K,Data!$A:$A,2024,Data!$B:$B,9,Data!$G:$G,"FCC")</f>
        <v>652.189</v>
      </c>
      <c r="J25" s="10">
        <f>SUMIFS(Data!$K:$K,Data!$A:$A,2024,Data!$B:$B,9,Data!$G:$G,"Hydrocracker")</f>
        <v>212.99</v>
      </c>
      <c r="K25" s="10">
        <f>SUMIFS(Data!$K:$K,Data!$A:$A,2024,Data!$B:$B,9,Data!$G:$G,"Reformer")</f>
        <v>319.02</v>
      </c>
      <c r="L25" s="10">
        <f>SUMIFS(Data!$K:$K,Data!$A:$A,2024,Data!$B:$B,9,Data!$F:$F,"PADD 1")</f>
        <v>87.2639</v>
      </c>
      <c r="M25" s="10">
        <f>SUMIFS(Data!$K:$K,Data!$A:$A,2024,Data!$B:$B,9,Data!$F:$F,"PADD 2")</f>
        <v>1029.2768</v>
      </c>
      <c r="N25" s="10">
        <f>SUMIFS(Data!$K:$K,Data!$A:$A,2024,Data!$B:$B,9,Data!$F:$F,"PADD 3")</f>
        <v>1784.1745</v>
      </c>
      <c r="O25" s="10">
        <f>SUMIFS(Data!$K:$K,Data!$A:$A,2024,Data!$B:$B,9,Data!$F:$F,"PADD 4")</f>
        <v>131.881</v>
      </c>
      <c r="P25" s="10">
        <f>SUMIFS(Data!$K:$K,Data!$A:$A,2024,Data!$B:$B,9,Data!$F:$F,"PADD 5")</f>
        <v>533.729</v>
      </c>
      <c r="Q25" s="10">
        <f>K25*ref_intake-H25*naph_yield</f>
        <v>-62.787440000000004</v>
      </c>
    </row>
    <row r="26" spans="1:17">
      <c r="A26" s="6">
        <v>2024</v>
      </c>
      <c r="B26" s="6">
        <v>10</v>
      </c>
      <c r="C26" s="9" t="s">
        <v>174</v>
      </c>
      <c r="D26" s="10">
        <f>SUMIFS(Data!$K:$K,Data!$A:$A,2024,Data!$B:$B,10)</f>
        <v>4409.9705</v>
      </c>
      <c r="E26" s="10">
        <f>SUMIFS(Data!$K:$K,Data!$A:$A,2024,Data!$B:$B,10,Data!$J:$J,"PLANNED")</f>
        <v>2469.8125</v>
      </c>
      <c r="F26" s="10">
        <f>SUMIFS(Data!$K:$K,Data!$A:$A,2024,Data!$B:$B,10,Data!$J:$J,"UNPLANNED")</f>
        <v>1940.158</v>
      </c>
      <c r="G26" s="16">
        <f>IFERROR(F26/D26,0)</f>
        <v>0.43994806767981776</v>
      </c>
      <c r="H26" s="10">
        <f>SUMIFS(Data!$K:$K,Data!$A:$A,2024,Data!$B:$B,10,Data!$G:$G,"CDU")</f>
        <v>1122.32</v>
      </c>
      <c r="I26" s="10">
        <f>SUMIFS(Data!$K:$K,Data!$A:$A,2024,Data!$B:$B,10,Data!$G:$G,"FCC")</f>
        <v>453.501</v>
      </c>
      <c r="J26" s="10">
        <f>SUMIFS(Data!$K:$K,Data!$A:$A,2024,Data!$B:$B,10,Data!$G:$G,"Hydrocracker")</f>
        <v>245.07999999999998</v>
      </c>
      <c r="K26" s="10">
        <f>SUMIFS(Data!$K:$K,Data!$A:$A,2024,Data!$B:$B,10,Data!$G:$G,"Reformer")</f>
        <v>587.828</v>
      </c>
      <c r="L26" s="10">
        <f>SUMIFS(Data!$K:$K,Data!$A:$A,2024,Data!$B:$B,10,Data!$F:$F,"PADD 1")</f>
        <v>154.0685</v>
      </c>
      <c r="M26" s="10">
        <f>SUMIFS(Data!$K:$K,Data!$A:$A,2024,Data!$B:$B,10,Data!$F:$F,"PADD 2")</f>
        <v>1512.466</v>
      </c>
      <c r="N26" s="10">
        <f>SUMIFS(Data!$K:$K,Data!$A:$A,2024,Data!$B:$B,10,Data!$F:$F,"PADD 3")</f>
        <v>2036.786</v>
      </c>
      <c r="O26" s="10">
        <f>SUMIFS(Data!$K:$K,Data!$A:$A,2024,Data!$B:$B,10,Data!$F:$F,"PADD 4")</f>
        <v>58.955</v>
      </c>
      <c r="P26" s="10">
        <f>SUMIFS(Data!$K:$K,Data!$A:$A,2024,Data!$B:$B,10,Data!$F:$F,"PADD 5")</f>
        <v>647.6949999999999</v>
      </c>
      <c r="Q26" s="10">
        <f>K26*ref_intake-H26*naph_yield</f>
        <v>195.01600000000002</v>
      </c>
    </row>
    <row r="27" spans="1:17">
      <c r="A27" s="6">
        <v>2024</v>
      </c>
      <c r="B27" s="6">
        <v>11</v>
      </c>
      <c r="C27" s="9" t="s">
        <v>175</v>
      </c>
      <c r="D27" s="10">
        <f>SUMIFS(Data!$K:$K,Data!$A:$A,2024,Data!$B:$B,11)</f>
        <v>2230.0646</v>
      </c>
      <c r="E27" s="10">
        <f>SUMIFS(Data!$K:$K,Data!$A:$A,2024,Data!$B:$B,11,Data!$J:$J,"PLANNED")</f>
        <v>1183.0576</v>
      </c>
      <c r="F27" s="10">
        <f>SUMIFS(Data!$K:$K,Data!$A:$A,2024,Data!$B:$B,11,Data!$J:$J,"UNPLANNED")</f>
        <v>1047.007</v>
      </c>
      <c r="G27" s="16">
        <f>IFERROR(F27/D27,0)</f>
        <v>0.46949626481672324</v>
      </c>
      <c r="H27" s="10">
        <f>SUMIFS(Data!$K:$K,Data!$A:$A,2024,Data!$B:$B,11,Data!$G:$G,"CDU")</f>
        <v>715.6</v>
      </c>
      <c r="I27" s="10">
        <f>SUMIFS(Data!$K:$K,Data!$A:$A,2024,Data!$B:$B,11,Data!$G:$G,"FCC")</f>
        <v>153.011</v>
      </c>
      <c r="J27" s="10">
        <f>SUMIFS(Data!$K:$K,Data!$A:$A,2024,Data!$B:$B,11,Data!$G:$G,"Hydrocracker")</f>
        <v>91.11</v>
      </c>
      <c r="K27" s="10">
        <f>SUMIFS(Data!$K:$K,Data!$A:$A,2024,Data!$B:$B,11,Data!$G:$G,"Reformer")</f>
        <v>228.1725</v>
      </c>
      <c r="L27" s="10">
        <f>SUMIFS(Data!$K:$K,Data!$A:$A,2024,Data!$B:$B,11,Data!$F:$F,"PADD 1")</f>
        <v>159.3301</v>
      </c>
      <c r="M27" s="10">
        <f>SUMIFS(Data!$K:$K,Data!$A:$A,2024,Data!$B:$B,11,Data!$F:$F,"PADD 2")</f>
        <v>525.778</v>
      </c>
      <c r="N27" s="10">
        <f>SUMIFS(Data!$K:$K,Data!$A:$A,2024,Data!$B:$B,11,Data!$F:$F,"PADD 3")</f>
        <v>1212.9515</v>
      </c>
      <c r="O27" s="10">
        <f>SUMIFS(Data!$K:$K,Data!$A:$A,2024,Data!$B:$B,11,Data!$F:$F,"PADD 4")</f>
        <v>6.975</v>
      </c>
      <c r="P27" s="10">
        <f>SUMIFS(Data!$K:$K,Data!$A:$A,2024,Data!$B:$B,11,Data!$F:$F,"PADD 5")</f>
        <v>325.03</v>
      </c>
      <c r="Q27" s="10">
        <f>K27*ref_intake-H27*naph_yield</f>
        <v>-22.287499999999966</v>
      </c>
    </row>
    <row r="28" spans="1:17">
      <c r="A28" s="6">
        <v>2024</v>
      </c>
      <c r="B28" s="6">
        <v>12</v>
      </c>
      <c r="C28" s="9" t="s">
        <v>176</v>
      </c>
      <c r="D28" s="10">
        <f>SUMIFS(Data!$K:$K,Data!$A:$A,2024,Data!$B:$B,12)</f>
        <v>779.1993</v>
      </c>
      <c r="E28" s="10">
        <f>SUMIFS(Data!$K:$K,Data!$A:$A,2024,Data!$B:$B,12,Data!$J:$J,"PLANNED")</f>
        <v>69.52250000000001</v>
      </c>
      <c r="F28" s="10">
        <f>SUMIFS(Data!$K:$K,Data!$A:$A,2024,Data!$B:$B,12,Data!$J:$J,"UNPLANNED")</f>
        <v>709.6768</v>
      </c>
      <c r="G28" s="16">
        <f>IFERROR(F28/D28,0)</f>
        <v>0.910776998901308</v>
      </c>
      <c r="H28" s="10">
        <f>SUMIFS(Data!$K:$K,Data!$A:$A,2024,Data!$B:$B,12,Data!$G:$G,"CDU")</f>
        <v>288.8526</v>
      </c>
      <c r="I28" s="10">
        <f>SUMIFS(Data!$K:$K,Data!$A:$A,2024,Data!$B:$B,12,Data!$G:$G,"FCC")</f>
        <v>59.754</v>
      </c>
      <c r="J28" s="10">
        <f>SUMIFS(Data!$K:$K,Data!$A:$A,2024,Data!$B:$B,12,Data!$G:$G,"Hydrocracker")</f>
        <v>64.27</v>
      </c>
      <c r="K28" s="10">
        <f>SUMIFS(Data!$K:$K,Data!$A:$A,2024,Data!$B:$B,12,Data!$G:$G,"Reformer")</f>
        <v>29.63</v>
      </c>
      <c r="L28" s="10">
        <f>SUMIFS(Data!$K:$K,Data!$A:$A,2024,Data!$B:$B,12,Data!$F:$F,"PADD 1")</f>
        <v>197.87</v>
      </c>
      <c r="M28" s="10">
        <f>SUMIFS(Data!$K:$K,Data!$A:$A,2024,Data!$B:$B,12,Data!$F:$F,"PADD 2")</f>
        <v>41.1286</v>
      </c>
      <c r="N28" s="10">
        <f>SUMIFS(Data!$K:$K,Data!$A:$A,2024,Data!$B:$B,12,Data!$F:$F,"PADD 3")</f>
        <v>324.6714</v>
      </c>
      <c r="O28" s="10">
        <f>SUMIFS(Data!$K:$K,Data!$A:$A,2024,Data!$B:$B,12,Data!$F:$F,"PADD 4")</f>
        <v>44.4628</v>
      </c>
      <c r="P28" s="10">
        <f>SUMIFS(Data!$K:$K,Data!$A:$A,2024,Data!$B:$B,12,Data!$F:$F,"PADD 5")</f>
        <v>171.0665</v>
      </c>
      <c r="Q28" s="10">
        <f>K28*ref_intake-H28*naph_yield</f>
        <v>-71.46840999999999</v>
      </c>
    </row>
    <row r="29" spans="1:17">
      <c r="A29" s="6">
        <v>2025</v>
      </c>
      <c r="B29" s="6">
        <v>1</v>
      </c>
      <c r="C29" s="9" t="s">
        <v>177</v>
      </c>
      <c r="D29" s="10">
        <f>SUMIFS(Data!$K:$K,Data!$A:$A,2025,Data!$B:$B,1)</f>
        <v>3521.0971</v>
      </c>
      <c r="E29" s="10">
        <f>SUMIFS(Data!$K:$K,Data!$A:$A,2025,Data!$B:$B,1,Data!$J:$J,"PLANNED")</f>
        <v>2120.1022</v>
      </c>
      <c r="F29" s="10">
        <f>SUMIFS(Data!$K:$K,Data!$A:$A,2025,Data!$B:$B,1,Data!$J:$J,"UNPLANNED")</f>
        <v>1400.9949</v>
      </c>
      <c r="G29" s="16">
        <f>IFERROR(F29/D29,0)</f>
        <v>0.3978859032316944</v>
      </c>
      <c r="H29" s="10">
        <f>SUMIFS(Data!$K:$K,Data!$A:$A,2025,Data!$B:$B,1,Data!$G:$G,"CDU")</f>
        <v>1256.145</v>
      </c>
      <c r="I29" s="10">
        <f>SUMIFS(Data!$K:$K,Data!$A:$A,2025,Data!$B:$B,1,Data!$G:$G,"FCC")</f>
        <v>297.316</v>
      </c>
      <c r="J29" s="10">
        <f>SUMIFS(Data!$K:$K,Data!$A:$A,2025,Data!$B:$B,1,Data!$G:$G,"Hydrocracker")</f>
        <v>158.245</v>
      </c>
      <c r="K29" s="10">
        <f>SUMIFS(Data!$K:$K,Data!$A:$A,2025,Data!$B:$B,1,Data!$G:$G,"Reformer")</f>
        <v>160.3135</v>
      </c>
      <c r="L29" s="10">
        <f>SUMIFS(Data!$K:$K,Data!$A:$A,2025,Data!$B:$B,1,Data!$F:$F,"PADD 1")</f>
        <v>240.51</v>
      </c>
      <c r="M29" s="10">
        <f>SUMIFS(Data!$K:$K,Data!$A:$A,2025,Data!$B:$B,1,Data!$F:$F,"PADD 2")</f>
        <v>194.6489</v>
      </c>
      <c r="N29" s="10">
        <f>SUMIFS(Data!$K:$K,Data!$A:$A,2025,Data!$B:$B,1,Data!$F:$F,"PADD 3")</f>
        <v>2513.4755999999998</v>
      </c>
      <c r="O29" s="10">
        <f>SUMIFS(Data!$K:$K,Data!$A:$A,2025,Data!$B:$B,1,Data!$F:$F,"PADD 4")</f>
        <v>63.17959999999999</v>
      </c>
      <c r="P29" s="10">
        <f>SUMIFS(Data!$K:$K,Data!$A:$A,2025,Data!$B:$B,1,Data!$F:$F,"PADD 5")</f>
        <v>509.28299999999996</v>
      </c>
      <c r="Q29" s="10">
        <f>K29*ref_intake-H29*naph_yield</f>
        <v>-279.3372499999999</v>
      </c>
    </row>
    <row r="30" spans="1:17">
      <c r="A30" s="6">
        <v>2025</v>
      </c>
      <c r="B30" s="6">
        <v>2</v>
      </c>
      <c r="C30" s="9" t="s">
        <v>178</v>
      </c>
      <c r="D30" s="10">
        <f>SUMIFS(Data!$K:$K,Data!$A:$A,2025,Data!$B:$B,2)</f>
        <v>5027.1616</v>
      </c>
      <c r="E30" s="10">
        <f>SUMIFS(Data!$K:$K,Data!$A:$A,2025,Data!$B:$B,2,Data!$J:$J,"PLANNED")</f>
        <v>3003.7811</v>
      </c>
      <c r="F30" s="10">
        <f>SUMIFS(Data!$K:$K,Data!$A:$A,2025,Data!$B:$B,2,Data!$J:$J,"UNPLANNED")</f>
        <v>2023.3805</v>
      </c>
      <c r="G30" s="16">
        <f>IFERROR(F30/D30,0)</f>
        <v>0.40248964743842724</v>
      </c>
      <c r="H30" s="10">
        <f>SUMIFS(Data!$K:$K,Data!$A:$A,2025,Data!$B:$B,2,Data!$G:$G,"CDU")</f>
        <v>1649.407</v>
      </c>
      <c r="I30" s="10">
        <f>SUMIFS(Data!$K:$K,Data!$A:$A,2025,Data!$B:$B,2,Data!$G:$G,"FCC")</f>
        <v>403.831</v>
      </c>
      <c r="J30" s="10">
        <f>SUMIFS(Data!$K:$K,Data!$A:$A,2025,Data!$B:$B,2,Data!$G:$G,"Hydrocracker")</f>
        <v>255.94</v>
      </c>
      <c r="K30" s="10">
        <f>SUMIFS(Data!$K:$K,Data!$A:$A,2025,Data!$B:$B,2,Data!$G:$G,"Reformer")</f>
        <v>251.5285</v>
      </c>
      <c r="L30" s="10">
        <f>SUMIFS(Data!$K:$K,Data!$A:$A,2025,Data!$B:$B,2,Data!$F:$F,"PADD 1")</f>
        <v>486.744</v>
      </c>
      <c r="M30" s="10">
        <f>SUMIFS(Data!$K:$K,Data!$A:$A,2025,Data!$B:$B,2,Data!$F:$F,"PADD 2")</f>
        <v>601.5409</v>
      </c>
      <c r="N30" s="10">
        <f>SUMIFS(Data!$K:$K,Data!$A:$A,2025,Data!$B:$B,2,Data!$F:$F,"PADD 3")</f>
        <v>2916.5111</v>
      </c>
      <c r="O30" s="10">
        <f>SUMIFS(Data!$K:$K,Data!$A:$A,2025,Data!$B:$B,2,Data!$F:$F,"PADD 4")</f>
        <v>36.943599999999996</v>
      </c>
      <c r="P30" s="10">
        <f>SUMIFS(Data!$K:$K,Data!$A:$A,2025,Data!$B:$B,2,Data!$F:$F,"PADD 5")</f>
        <v>985.422</v>
      </c>
      <c r="Q30" s="10">
        <f>K30*ref_intake-H30*naph_yield</f>
        <v>-325.7639499999999</v>
      </c>
    </row>
    <row r="31" spans="1:17">
      <c r="A31" s="6">
        <v>2025</v>
      </c>
      <c r="B31" s="6">
        <v>3</v>
      </c>
      <c r="C31" s="9" t="s">
        <v>179</v>
      </c>
      <c r="D31" s="10">
        <f>SUMIFS(Data!$K:$K,Data!$A:$A,2025,Data!$B:$B,3)</f>
        <v>4447.6385</v>
      </c>
      <c r="E31" s="10">
        <f>SUMIFS(Data!$K:$K,Data!$A:$A,2025,Data!$B:$B,3,Data!$J:$J,"PLANNED")</f>
        <v>2219.192</v>
      </c>
      <c r="F31" s="10">
        <f>SUMIFS(Data!$K:$K,Data!$A:$A,2025,Data!$B:$B,3,Data!$J:$J,"UNPLANNED")</f>
        <v>2228.4465</v>
      </c>
      <c r="G31" s="16">
        <f>IFERROR(F31/D31,0)</f>
        <v>0.501040383565346</v>
      </c>
      <c r="H31" s="10">
        <f>SUMIFS(Data!$K:$K,Data!$A:$A,2025,Data!$B:$B,3,Data!$G:$G,"CDU")</f>
        <v>1632.123</v>
      </c>
      <c r="I31" s="10">
        <f>SUMIFS(Data!$K:$K,Data!$A:$A,2025,Data!$B:$B,3,Data!$G:$G,"FCC")</f>
        <v>472.933</v>
      </c>
      <c r="J31" s="10">
        <f>SUMIFS(Data!$K:$K,Data!$A:$A,2025,Data!$B:$B,3,Data!$G:$G,"Hydrocracker")</f>
        <v>219.599</v>
      </c>
      <c r="K31" s="10">
        <f>SUMIFS(Data!$K:$K,Data!$A:$A,2025,Data!$B:$B,3,Data!$G:$G,"Reformer")</f>
        <v>301.84</v>
      </c>
      <c r="L31" s="10">
        <f>SUMIFS(Data!$K:$K,Data!$A:$A,2025,Data!$B:$B,3,Data!$F:$F,"PADD 1")</f>
        <v>667.28</v>
      </c>
      <c r="M31" s="10">
        <f>SUMIFS(Data!$K:$K,Data!$A:$A,2025,Data!$B:$B,3,Data!$F:$F,"PADD 2")</f>
        <v>1279.6</v>
      </c>
      <c r="N31" s="10">
        <f>SUMIFS(Data!$K:$K,Data!$A:$A,2025,Data!$B:$B,3,Data!$F:$F,"PADD 3")</f>
        <v>1164.6680000000001</v>
      </c>
      <c r="O31" s="10">
        <f>SUMIFS(Data!$K:$K,Data!$A:$A,2025,Data!$B:$B,3,Data!$F:$F,"PADD 4")</f>
        <v>72.1625</v>
      </c>
      <c r="P31" s="10">
        <f>SUMIFS(Data!$K:$K,Data!$A:$A,2025,Data!$B:$B,3,Data!$F:$F,"PADD 5")</f>
        <v>1263.928</v>
      </c>
      <c r="Q31" s="10">
        <f>K31*ref_intake-H31*naph_yield</f>
        <v>-269.40304999999995</v>
      </c>
    </row>
    <row r="32" spans="1:17">
      <c r="A32" s="6">
        <v>2025</v>
      </c>
      <c r="B32" s="6">
        <v>4</v>
      </c>
      <c r="C32" s="9" t="s">
        <v>180</v>
      </c>
      <c r="D32" s="10">
        <f>SUMIFS(Data!$K:$K,Data!$A:$A,2025,Data!$B:$B,4)</f>
        <v>5357.5436</v>
      </c>
      <c r="E32" s="10">
        <f>SUMIFS(Data!$K:$K,Data!$A:$A,2025,Data!$B:$B,4,Data!$J:$J,"PLANNED")</f>
        <v>2736.3085</v>
      </c>
      <c r="F32" s="10">
        <f>SUMIFS(Data!$K:$K,Data!$A:$A,2025,Data!$B:$B,4,Data!$J:$J,"UNPLANNED")</f>
        <v>2621.2351</v>
      </c>
      <c r="G32" s="16">
        <f>IFERROR(F32/D32,0)</f>
        <v>0.48926061936294835</v>
      </c>
      <c r="H32" s="10">
        <f>SUMIFS(Data!$K:$K,Data!$A:$A,2025,Data!$B:$B,4,Data!$G:$G,"CDU")</f>
        <v>1850.1686</v>
      </c>
      <c r="I32" s="10">
        <f>SUMIFS(Data!$K:$K,Data!$A:$A,2025,Data!$B:$B,4,Data!$G:$G,"FCC")</f>
        <v>576.225</v>
      </c>
      <c r="J32" s="10">
        <f>SUMIFS(Data!$K:$K,Data!$A:$A,2025,Data!$B:$B,4,Data!$G:$G,"Hydrocracker")</f>
        <v>244.39000000000001</v>
      </c>
      <c r="K32" s="10">
        <f>SUMIFS(Data!$K:$K,Data!$A:$A,2025,Data!$B:$B,4,Data!$G:$G,"Reformer")</f>
        <v>443.2805</v>
      </c>
      <c r="L32" s="10">
        <f>SUMIFS(Data!$K:$K,Data!$A:$A,2025,Data!$B:$B,4,Data!$F:$F,"PADD 1")</f>
        <v>363.0836</v>
      </c>
      <c r="M32" s="10">
        <f>SUMIFS(Data!$K:$K,Data!$A:$A,2025,Data!$B:$B,4,Data!$F:$F,"PADD 2")</f>
        <v>2216.888</v>
      </c>
      <c r="N32" s="10">
        <f>SUMIFS(Data!$K:$K,Data!$A:$A,2025,Data!$B:$B,4,Data!$F:$F,"PADD 3")</f>
        <v>951.206</v>
      </c>
      <c r="O32" s="10">
        <f>SUMIFS(Data!$K:$K,Data!$A:$A,2025,Data!$B:$B,4,Data!$F:$F,"PADD 4")</f>
        <v>127.706</v>
      </c>
      <c r="P32" s="10">
        <f>SUMIFS(Data!$K:$K,Data!$A:$A,2025,Data!$B:$B,4,Data!$F:$F,"PADD 5")</f>
        <v>1698.66</v>
      </c>
      <c r="Q32" s="10">
        <f>K32*ref_intake-H32*naph_yield</f>
        <v>-204.27850999999993</v>
      </c>
    </row>
    <row r="33" spans="1:17">
      <c r="A33" s="6">
        <v>2025</v>
      </c>
      <c r="B33" s="6">
        <v>5</v>
      </c>
      <c r="C33" s="9" t="s">
        <v>181</v>
      </c>
      <c r="D33" s="10">
        <f>SUMIFS(Data!$K:$K,Data!$A:$A,2025,Data!$B:$B,5)</f>
        <v>2654.0926</v>
      </c>
      <c r="E33" s="10">
        <f>SUMIFS(Data!$K:$K,Data!$A:$A,2025,Data!$B:$B,5,Data!$J:$J,"PLANNED")</f>
        <v>900.91</v>
      </c>
      <c r="F33" s="10">
        <f>SUMIFS(Data!$K:$K,Data!$A:$A,2025,Data!$B:$B,5,Data!$J:$J,"UNPLANNED")</f>
        <v>1753.1826</v>
      </c>
      <c r="G33" s="16">
        <f>IFERROR(F33/D33,0)</f>
        <v>0.6605581885123376</v>
      </c>
      <c r="H33" s="10">
        <f>SUMIFS(Data!$K:$K,Data!$A:$A,2025,Data!$B:$B,5,Data!$G:$G,"CDU")</f>
        <v>956.3466</v>
      </c>
      <c r="I33" s="10">
        <f>SUMIFS(Data!$K:$K,Data!$A:$A,2025,Data!$B:$B,5,Data!$G:$G,"FCC")</f>
        <v>393.455</v>
      </c>
      <c r="J33" s="10">
        <f>SUMIFS(Data!$K:$K,Data!$A:$A,2025,Data!$B:$B,5,Data!$G:$G,"Hydrocracker")</f>
        <v>128.7</v>
      </c>
      <c r="K33" s="10">
        <f>SUMIFS(Data!$K:$K,Data!$A:$A,2025,Data!$B:$B,5,Data!$G:$G,"Reformer")</f>
        <v>213.1394</v>
      </c>
      <c r="L33" s="10">
        <f>SUMIFS(Data!$K:$K,Data!$A:$A,2025,Data!$B:$B,5,Data!$F:$F,"PADD 1")</f>
        <v>265.68</v>
      </c>
      <c r="M33" s="10">
        <f>SUMIFS(Data!$K:$K,Data!$A:$A,2025,Data!$B:$B,5,Data!$F:$F,"PADD 2")</f>
        <v>919.8906</v>
      </c>
      <c r="N33" s="10">
        <f>SUMIFS(Data!$K:$K,Data!$A:$A,2025,Data!$B:$B,5,Data!$F:$F,"PADD 3")</f>
        <v>451.324</v>
      </c>
      <c r="O33" s="10">
        <f>SUMIFS(Data!$K:$K,Data!$A:$A,2025,Data!$B:$B,5,Data!$F:$F,"PADD 4")</f>
        <v>75.15</v>
      </c>
      <c r="P33" s="10">
        <f>SUMIFS(Data!$K:$K,Data!$A:$A,2025,Data!$B:$B,5,Data!$F:$F,"PADD 5")</f>
        <v>942.048</v>
      </c>
      <c r="Q33" s="10">
        <f>K33*ref_intake-H33*naph_yield</f>
        <v>-121.58190999999997</v>
      </c>
    </row>
    <row r="34" spans="1:17">
      <c r="A34" s="6">
        <v>2025</v>
      </c>
      <c r="B34" s="6">
        <v>6</v>
      </c>
      <c r="C34" s="9" t="s">
        <v>182</v>
      </c>
      <c r="D34" s="10">
        <f>SUMIFS(Data!$K:$K,Data!$A:$A,2025,Data!$B:$B,6)</f>
        <v>1540.4157</v>
      </c>
      <c r="E34" s="10">
        <f>SUMIFS(Data!$K:$K,Data!$A:$A,2025,Data!$B:$B,6,Data!$J:$J,"PLANNED")</f>
        <v>370.8306</v>
      </c>
      <c r="F34" s="10">
        <f>SUMIFS(Data!$K:$K,Data!$A:$A,2025,Data!$B:$B,6,Data!$J:$J,"UNPLANNED")</f>
        <v>1169.5851</v>
      </c>
      <c r="G34" s="16">
        <f>IFERROR(F34/D34,0)</f>
        <v>0.7592658916680738</v>
      </c>
      <c r="H34" s="10">
        <f>SUMIFS(Data!$K:$K,Data!$A:$A,2025,Data!$B:$B,6,Data!$G:$G,"CDU")</f>
        <v>488.1771</v>
      </c>
      <c r="I34" s="10">
        <f>SUMIFS(Data!$K:$K,Data!$A:$A,2025,Data!$B:$B,6,Data!$G:$G,"FCC")</f>
        <v>215.541</v>
      </c>
      <c r="J34" s="10">
        <f>SUMIFS(Data!$K:$K,Data!$A:$A,2025,Data!$B:$B,6,Data!$G:$G,"Hydrocracker")</f>
        <v>149.126</v>
      </c>
      <c r="K34" s="10">
        <f>SUMIFS(Data!$K:$K,Data!$A:$A,2025,Data!$B:$B,6,Data!$G:$G,"Reformer")</f>
        <v>90.0075</v>
      </c>
      <c r="L34" s="10">
        <f>SUMIFS(Data!$K:$K,Data!$A:$A,2025,Data!$B:$B,6,Data!$F:$F,"PADD 1")</f>
        <v>191.70420000000001</v>
      </c>
      <c r="M34" s="10">
        <f>SUMIFS(Data!$K:$K,Data!$A:$A,2025,Data!$B:$B,6,Data!$F:$F,"PADD 2")</f>
        <v>326.2495</v>
      </c>
      <c r="N34" s="10">
        <f>SUMIFS(Data!$K:$K,Data!$A:$A,2025,Data!$B:$B,6,Data!$F:$F,"PADD 3")</f>
        <v>382.74899999999997</v>
      </c>
      <c r="O34" s="10">
        <f>SUMIFS(Data!$K:$K,Data!$A:$A,2025,Data!$B:$B,6,Data!$F:$F,"PADD 4")</f>
        <v>8.223</v>
      </c>
      <c r="P34" s="10">
        <f>SUMIFS(Data!$K:$K,Data!$A:$A,2025,Data!$B:$B,6,Data!$F:$F,"PADD 5")</f>
        <v>631.49</v>
      </c>
      <c r="Q34" s="10">
        <f>K34*ref_intake-H34*naph_yield</f>
        <v>-80.85448499999998</v>
      </c>
    </row>
    <row r="35" spans="1:17">
      <c r="A35" s="6">
        <v>2025</v>
      </c>
      <c r="B35" s="6">
        <v>7</v>
      </c>
      <c r="C35" s="9" t="s">
        <v>183</v>
      </c>
      <c r="D35" s="10">
        <f>SUMIFS(Data!$K:$K,Data!$A:$A,2025,Data!$B:$B,7)</f>
        <v>1195.17</v>
      </c>
      <c r="E35" s="10">
        <f>SUMIFS(Data!$K:$K,Data!$A:$A,2025,Data!$B:$B,7,Data!$J:$J,"PLANNED")</f>
        <v>255.71620000000001</v>
      </c>
      <c r="F35" s="10">
        <f>SUMIFS(Data!$K:$K,Data!$A:$A,2025,Data!$B:$B,7,Data!$J:$J,"UNPLANNED")</f>
        <v>939.4538</v>
      </c>
      <c r="G35" s="16">
        <f>IFERROR(F35/D35,0)</f>
        <v>0.7860419856589439</v>
      </c>
      <c r="H35" s="10">
        <f>SUMIFS(Data!$K:$K,Data!$A:$A,2025,Data!$B:$B,7,Data!$G:$G,"CDU")</f>
        <v>349.903</v>
      </c>
      <c r="I35" s="10">
        <f>SUMIFS(Data!$K:$K,Data!$A:$A,2025,Data!$B:$B,7,Data!$G:$G,"FCC")</f>
        <v>183.557</v>
      </c>
      <c r="J35" s="10">
        <f>SUMIFS(Data!$K:$K,Data!$A:$A,2025,Data!$B:$B,7,Data!$G:$G,"Hydrocracker")</f>
        <v>155.39499999999998</v>
      </c>
      <c r="K35" s="10">
        <f>SUMIFS(Data!$K:$K,Data!$A:$A,2025,Data!$B:$B,7,Data!$G:$G,"Reformer")</f>
        <v>37.819</v>
      </c>
      <c r="L35" s="10">
        <f>SUMIFS(Data!$K:$K,Data!$A:$A,2025,Data!$B:$B,7,Data!$F:$F,"PADD 1")</f>
        <v>175.9952</v>
      </c>
      <c r="M35" s="10">
        <f>SUMIFS(Data!$K:$K,Data!$A:$A,2025,Data!$B:$B,7,Data!$F:$F,"PADD 2")</f>
        <v>260.56600000000003</v>
      </c>
      <c r="N35" s="10">
        <f>SUMIFS(Data!$K:$K,Data!$A:$A,2025,Data!$B:$B,7,Data!$F:$F,"PADD 3")</f>
        <v>296.0898</v>
      </c>
      <c r="O35" s="10">
        <f>SUMIFS(Data!$K:$K,Data!$A:$A,2025,Data!$B:$B,7,Data!$F:$F,"PADD 4")</f>
        <v>92.112</v>
      </c>
      <c r="P35" s="10">
        <f>SUMIFS(Data!$K:$K,Data!$A:$A,2025,Data!$B:$B,7,Data!$F:$F,"PADD 5")</f>
        <v>370.40700000000004</v>
      </c>
      <c r="Q35" s="10">
        <f>K35*ref_intake-H35*naph_yield</f>
        <v>-84.64705</v>
      </c>
    </row>
    <row r="36" spans="1:17">
      <c r="A36" s="6">
        <v>2025</v>
      </c>
      <c r="B36" s="6">
        <v>8</v>
      </c>
      <c r="C36" s="9" t="s">
        <v>184</v>
      </c>
      <c r="D36" s="10">
        <f>SUMIFS(Data!$K:$K,Data!$A:$A,2025,Data!$B:$B,8)</f>
        <v>1609.1225</v>
      </c>
      <c r="E36" s="10">
        <f>SUMIFS(Data!$K:$K,Data!$A:$A,2025,Data!$B:$B,8,Data!$J:$J,"PLANNED")</f>
        <v>629.405</v>
      </c>
      <c r="F36" s="10">
        <f>SUMIFS(Data!$K:$K,Data!$A:$A,2025,Data!$B:$B,8,Data!$J:$J,"UNPLANNED")</f>
        <v>979.7175</v>
      </c>
      <c r="G36" s="16">
        <f>IFERROR(F36/D36,0)</f>
        <v>0.6088520295999839</v>
      </c>
      <c r="H36" s="10">
        <f>SUMIFS(Data!$K:$K,Data!$A:$A,2025,Data!$B:$B,8,Data!$G:$G,"CDU")</f>
        <v>393.86580000000004</v>
      </c>
      <c r="I36" s="10">
        <f>SUMIFS(Data!$K:$K,Data!$A:$A,2025,Data!$B:$B,8,Data!$G:$G,"FCC")</f>
        <v>235.215</v>
      </c>
      <c r="J36" s="10">
        <f>SUMIFS(Data!$K:$K,Data!$A:$A,2025,Data!$B:$B,8,Data!$G:$G,"Hydrocracker")</f>
        <v>201.5</v>
      </c>
      <c r="K36" s="10">
        <f>SUMIFS(Data!$K:$K,Data!$A:$A,2025,Data!$B:$B,8,Data!$G:$G,"Reformer")</f>
        <v>87.89999999999999</v>
      </c>
      <c r="L36" s="10">
        <f>SUMIFS(Data!$K:$K,Data!$A:$A,2025,Data!$B:$B,8,Data!$F:$F,"PADD 1")</f>
        <v>4.58</v>
      </c>
      <c r="M36" s="10">
        <f>SUMIFS(Data!$K:$K,Data!$A:$A,2025,Data!$B:$B,8,Data!$F:$F,"PADD 2")</f>
        <v>603.6235</v>
      </c>
      <c r="N36" s="10">
        <f>SUMIFS(Data!$K:$K,Data!$A:$A,2025,Data!$B:$B,8,Data!$F:$F,"PADD 3")</f>
        <v>608.524</v>
      </c>
      <c r="O36" s="10">
        <f>SUMIFS(Data!$K:$K,Data!$A:$A,2025,Data!$B:$B,8,Data!$F:$F,"PADD 4")</f>
        <v>4.779999999999999</v>
      </c>
      <c r="P36" s="10">
        <f>SUMIFS(Data!$K:$K,Data!$A:$A,2025,Data!$B:$B,8,Data!$F:$F,"PADD 5")</f>
        <v>387.615</v>
      </c>
      <c r="Q36" s="10">
        <f>K36*ref_intake-H36*naph_yield</f>
        <v>-49.95303</v>
      </c>
    </row>
    <row r="37" spans="1:17">
      <c r="A37" s="6">
        <v>2025</v>
      </c>
      <c r="B37" s="6">
        <v>9</v>
      </c>
      <c r="C37" s="9" t="s">
        <v>185</v>
      </c>
      <c r="D37" s="10">
        <f>SUMIFS(Data!$K:$K,Data!$A:$A,2025,Data!$B:$B,9)</f>
        <v>3544.1765</v>
      </c>
      <c r="E37" s="10">
        <f>SUMIFS(Data!$K:$K,Data!$A:$A,2025,Data!$B:$B,9,Data!$J:$J,"PLANNED")</f>
        <v>2057.151</v>
      </c>
      <c r="F37" s="10">
        <f>SUMIFS(Data!$K:$K,Data!$A:$A,2025,Data!$B:$B,9,Data!$J:$J,"UNPLANNED")</f>
        <v>1487.0255</v>
      </c>
      <c r="G37" s="16">
        <f>IFERROR(F37/D37,0)</f>
        <v>0.4195686924734138</v>
      </c>
      <c r="H37" s="10">
        <f>SUMIFS(Data!$K:$K,Data!$A:$A,2025,Data!$B:$B,9,Data!$G:$G,"CDU")</f>
        <v>1152.71</v>
      </c>
      <c r="I37" s="10">
        <f>SUMIFS(Data!$K:$K,Data!$A:$A,2025,Data!$B:$B,9,Data!$G:$G,"FCC")</f>
        <v>364.325</v>
      </c>
      <c r="J37" s="10">
        <f>SUMIFS(Data!$K:$K,Data!$A:$A,2025,Data!$B:$B,9,Data!$G:$G,"Hydrocracker")</f>
        <v>144.05</v>
      </c>
      <c r="K37" s="10">
        <f>SUMIFS(Data!$K:$K,Data!$A:$A,2025,Data!$B:$B,9,Data!$G:$G,"Reformer")</f>
        <v>131.7565</v>
      </c>
      <c r="L37" s="10">
        <f>SUMIFS(Data!$K:$K,Data!$A:$A,2025,Data!$B:$B,9,Data!$F:$F,"PADD 1")</f>
        <v>7.8</v>
      </c>
      <c r="M37" s="10">
        <f>SUMIFS(Data!$K:$K,Data!$A:$A,2025,Data!$B:$B,9,Data!$F:$F,"PADD 2")</f>
        <v>773.2645</v>
      </c>
      <c r="N37" s="10">
        <f>SUMIFS(Data!$K:$K,Data!$A:$A,2025,Data!$B:$B,9,Data!$F:$F,"PADD 3")</f>
        <v>2193.196</v>
      </c>
      <c r="O37" s="10">
        <f>SUMIFS(Data!$K:$K,Data!$A:$A,2025,Data!$B:$B,9,Data!$F:$F,"PADD 4")</f>
        <v>6.365</v>
      </c>
      <c r="P37" s="10">
        <f>SUMIFS(Data!$K:$K,Data!$A:$A,2025,Data!$B:$B,9,Data!$F:$F,"PADD 5")</f>
        <v>563.551</v>
      </c>
      <c r="Q37" s="10">
        <f>K37*ref_intake-H37*naph_yield</f>
        <v>-271.692</v>
      </c>
    </row>
    <row r="38" spans="1:17">
      <c r="A38" s="6">
        <v>2025</v>
      </c>
      <c r="B38" s="6">
        <v>10</v>
      </c>
      <c r="C38" s="9" t="s">
        <v>186</v>
      </c>
      <c r="D38" s="10">
        <f>SUMIFS(Data!$K:$K,Data!$A:$A,2025,Data!$B:$B,10)</f>
        <v>5848.478</v>
      </c>
      <c r="E38" s="10">
        <f>SUMIFS(Data!$K:$K,Data!$A:$A,2025,Data!$B:$B,10,Data!$J:$J,"PLANNED")</f>
        <v>3379.727</v>
      </c>
      <c r="F38" s="10">
        <f>SUMIFS(Data!$K:$K,Data!$A:$A,2025,Data!$B:$B,10,Data!$J:$J,"UNPLANNED")</f>
        <v>2468.751</v>
      </c>
      <c r="G38" s="16">
        <f>IFERROR(F38/D38,0)</f>
        <v>0.42211854092637435</v>
      </c>
      <c r="H38" s="10">
        <f>SUMIFS(Data!$K:$K,Data!$A:$A,2025,Data!$B:$B,10,Data!$G:$G,"CDU")</f>
        <v>1864.885</v>
      </c>
      <c r="I38" s="10">
        <f>SUMIFS(Data!$K:$K,Data!$A:$A,2025,Data!$B:$B,10,Data!$G:$G,"FCC")</f>
        <v>702.5715</v>
      </c>
      <c r="J38" s="10">
        <f>SUMIFS(Data!$K:$K,Data!$A:$A,2025,Data!$B:$B,10,Data!$G:$G,"Hydrocracker")</f>
        <v>242.68</v>
      </c>
      <c r="K38" s="10">
        <f>SUMIFS(Data!$K:$K,Data!$A:$A,2025,Data!$B:$B,10,Data!$G:$G,"Reformer")</f>
        <v>379.416</v>
      </c>
      <c r="L38" s="10">
        <f>SUMIFS(Data!$K:$K,Data!$A:$A,2025,Data!$B:$B,10,Data!$F:$F,"PADD 1")</f>
        <v>10.24</v>
      </c>
      <c r="M38" s="10">
        <f>SUMIFS(Data!$K:$K,Data!$A:$A,2025,Data!$B:$B,10,Data!$F:$F,"PADD 2")</f>
        <v>1204.6989</v>
      </c>
      <c r="N38" s="10">
        <f>SUMIFS(Data!$K:$K,Data!$A:$A,2025,Data!$B:$B,10,Data!$F:$F,"PADD 3")</f>
        <v>3093.4153</v>
      </c>
      <c r="O38" s="10">
        <f>SUMIFS(Data!$K:$K,Data!$A:$A,2025,Data!$B:$B,10,Data!$F:$F,"PADD 4")</f>
        <v>54.195</v>
      </c>
      <c r="P38" s="10">
        <f>SUMIFS(Data!$K:$K,Data!$A:$A,2025,Data!$B:$B,10,Data!$F:$F,"PADD 5")</f>
        <v>1485.9288</v>
      </c>
      <c r="Q38" s="10">
        <f>K38*ref_intake-H38*naph_yield</f>
        <v>-273.29375</v>
      </c>
    </row>
    <row r="39" spans="1:17">
      <c r="A39" s="6">
        <v>2025</v>
      </c>
      <c r="B39" s="6">
        <v>11</v>
      </c>
      <c r="C39" s="9" t="s">
        <v>187</v>
      </c>
      <c r="D39" s="10">
        <f>SUMIFS(Data!$K:$K,Data!$A:$A,2025,Data!$B:$B,11)</f>
        <v>3057.862</v>
      </c>
      <c r="E39" s="10">
        <f>SUMIFS(Data!$K:$K,Data!$A:$A,2025,Data!$B:$B,11,Data!$J:$J,"PLANNED")</f>
        <v>1733.814</v>
      </c>
      <c r="F39" s="10">
        <f>SUMIFS(Data!$K:$K,Data!$A:$A,2025,Data!$B:$B,11,Data!$J:$J,"UNPLANNED")</f>
        <v>1324.048</v>
      </c>
      <c r="G39" s="16">
        <f>IFERROR(F39/D39,0)</f>
        <v>0.4329979573963769</v>
      </c>
      <c r="H39" s="10">
        <f>SUMIFS(Data!$K:$K,Data!$A:$A,2025,Data!$B:$B,11,Data!$G:$G,"CDU")</f>
        <v>989.6356</v>
      </c>
      <c r="I39" s="10">
        <f>SUMIFS(Data!$K:$K,Data!$A:$A,2025,Data!$B:$B,11,Data!$G:$G,"FCC")</f>
        <v>409.0129</v>
      </c>
      <c r="J39" s="10">
        <f>SUMIFS(Data!$K:$K,Data!$A:$A,2025,Data!$B:$B,11,Data!$G:$G,"Hydrocracker")</f>
        <v>146.955</v>
      </c>
      <c r="K39" s="10">
        <f>SUMIFS(Data!$K:$K,Data!$A:$A,2025,Data!$B:$B,11,Data!$G:$G,"Reformer")</f>
        <v>227.80949999999999</v>
      </c>
      <c r="L39" s="10">
        <f>SUMIFS(Data!$K:$K,Data!$A:$A,2025,Data!$B:$B,11,Data!$F:$F,"PADD 1")</f>
        <v>2.04</v>
      </c>
      <c r="M39" s="10">
        <f>SUMIFS(Data!$K:$K,Data!$A:$A,2025,Data!$B:$B,11,Data!$F:$F,"PADD 2")</f>
        <v>328.8481</v>
      </c>
      <c r="N39" s="10">
        <f>SUMIFS(Data!$K:$K,Data!$A:$A,2025,Data!$B:$B,11,Data!$F:$F,"PADD 3")</f>
        <v>1683.7699</v>
      </c>
      <c r="O39" s="10">
        <f>SUMIFS(Data!$K:$K,Data!$A:$A,2025,Data!$B:$B,11,Data!$F:$F,"PADD 4")</f>
        <v>16.895</v>
      </c>
      <c r="P39" s="10">
        <f>SUMIFS(Data!$K:$K,Data!$A:$A,2025,Data!$B:$B,11,Data!$F:$F,"PADD 5")</f>
        <v>1026.309</v>
      </c>
      <c r="Q39" s="10">
        <f>K39*ref_intake-H39*naph_yield</f>
        <v>-118.56296</v>
      </c>
    </row>
    <row r="40" spans="1:17">
      <c r="A40" s="6">
        <v>2025</v>
      </c>
      <c r="B40" s="6">
        <v>12</v>
      </c>
      <c r="C40" s="9" t="s">
        <v>188</v>
      </c>
      <c r="D40" s="10">
        <f>SUMIFS(Data!$K:$K,Data!$A:$A,2025,Data!$B:$B,12)</f>
        <v>943.3530000000001</v>
      </c>
      <c r="E40" s="10">
        <f>SUMIFS(Data!$K:$K,Data!$A:$A,2025,Data!$B:$B,12,Data!$J:$J,"PLANNED")</f>
        <v>81.62</v>
      </c>
      <c r="F40" s="10">
        <f>SUMIFS(Data!$K:$K,Data!$A:$A,2025,Data!$B:$B,12,Data!$J:$J,"UNPLANNED")</f>
        <v>861.7330000000001</v>
      </c>
      <c r="G40" s="16">
        <f>IFERROR(F40/D40,0)</f>
        <v>0.9134788356002472</v>
      </c>
      <c r="H40" s="10">
        <f>SUMIFS(Data!$K:$K,Data!$A:$A,2025,Data!$B:$B,12,Data!$G:$G,"CDU")</f>
        <v>313.306</v>
      </c>
      <c r="I40" s="10">
        <f>SUMIFS(Data!$K:$K,Data!$A:$A,2025,Data!$B:$B,12,Data!$G:$G,"FCC")</f>
        <v>75.961</v>
      </c>
      <c r="J40" s="10">
        <f>SUMIFS(Data!$K:$K,Data!$A:$A,2025,Data!$B:$B,12,Data!$G:$G,"Hydrocracker")</f>
        <v>84.29</v>
      </c>
      <c r="K40" s="10">
        <f>SUMIFS(Data!$K:$K,Data!$A:$A,2025,Data!$B:$B,12,Data!$G:$G,"Reformer")</f>
        <v>25.235</v>
      </c>
      <c r="L40" s="10">
        <f>SUMIFS(Data!$K:$K,Data!$A:$A,2025,Data!$B:$B,12,Data!$F:$F,"PADD 1")</f>
        <v>0.0</v>
      </c>
      <c r="M40" s="10">
        <f>SUMIFS(Data!$K:$K,Data!$A:$A,2025,Data!$B:$B,12,Data!$F:$F,"PADD 2")</f>
        <v>129.87</v>
      </c>
      <c r="N40" s="10">
        <f>SUMIFS(Data!$K:$K,Data!$A:$A,2025,Data!$B:$B,12,Data!$F:$F,"PADD 3")</f>
        <v>172.694</v>
      </c>
      <c r="O40" s="10">
        <f>SUMIFS(Data!$K:$K,Data!$A:$A,2025,Data!$B:$B,12,Data!$F:$F,"PADD 4")</f>
        <v>14.088999999999999</v>
      </c>
      <c r="P40" s="10">
        <f>SUMIFS(Data!$K:$K,Data!$A:$A,2025,Data!$B:$B,12,Data!$F:$F,"PADD 5")</f>
        <v>626.7</v>
      </c>
      <c r="Q40" s="10">
        <f>K40*ref_intake-H40*naph_yield</f>
        <v>-84.42209999999999</v>
      </c>
    </row>
    <row r="41" spans="1:17">
      <c r="A41" s="6">
        <v>2026</v>
      </c>
      <c r="B41" s="6">
        <v>1</v>
      </c>
      <c r="C41" s="9" t="s">
        <v>189</v>
      </c>
      <c r="D41" s="10">
        <f>SUMIFS(Data!$K:$K,Data!$A:$A,2026,Data!$B:$B,1)</f>
        <v>1849.6688</v>
      </c>
      <c r="E41" s="10">
        <f>SUMIFS(Data!$K:$K,Data!$A:$A,2026,Data!$B:$B,1,Data!$J:$J,"PLANNED")</f>
        <v>1062.6823</v>
      </c>
      <c r="F41" s="10">
        <f>SUMIFS(Data!$K:$K,Data!$A:$A,2026,Data!$B:$B,1,Data!$J:$J,"UNPLANNED")</f>
        <v>786.9865</v>
      </c>
      <c r="G41" s="16">
        <f>IFERROR(F41/D41,0)</f>
        <v>0.4254742795034441</v>
      </c>
      <c r="H41" s="10">
        <f>SUMIFS(Data!$K:$K,Data!$A:$A,2026,Data!$B:$B,1,Data!$G:$G,"CDU")</f>
        <v>531.3</v>
      </c>
      <c r="I41" s="10">
        <f>SUMIFS(Data!$K:$K,Data!$A:$A,2026,Data!$B:$B,1,Data!$G:$G,"FCC")</f>
        <v>299.98</v>
      </c>
      <c r="J41" s="10">
        <f>SUMIFS(Data!$K:$K,Data!$A:$A,2026,Data!$B:$B,1,Data!$G:$G,"Hydrocracker")</f>
        <v>50.92</v>
      </c>
      <c r="K41" s="10">
        <f>SUMIFS(Data!$K:$K,Data!$A:$A,2026,Data!$B:$B,1,Data!$G:$G,"Reformer")</f>
        <v>95.4175</v>
      </c>
      <c r="L41" s="10">
        <f>SUMIFS(Data!$K:$K,Data!$A:$A,2026,Data!$B:$B,1,Data!$F:$F,"PADD 1")</f>
        <v>32.800000000000004</v>
      </c>
      <c r="M41" s="10">
        <f>SUMIFS(Data!$K:$K,Data!$A:$A,2026,Data!$B:$B,1,Data!$F:$F,"PADD 2")</f>
        <v>161.3505</v>
      </c>
      <c r="N41" s="10">
        <f>SUMIFS(Data!$K:$K,Data!$A:$A,2026,Data!$B:$B,1,Data!$F:$F,"PADD 3")</f>
        <v>1155.2534</v>
      </c>
      <c r="O41" s="10">
        <f>SUMIFS(Data!$K:$K,Data!$A:$A,2026,Data!$B:$B,1,Data!$F:$F,"PADD 4")</f>
        <v>0.0</v>
      </c>
      <c r="P41" s="10">
        <f>SUMIFS(Data!$K:$K,Data!$A:$A,2026,Data!$B:$B,1,Data!$F:$F,"PADD 5")</f>
        <v>500.2649</v>
      </c>
      <c r="Q41" s="10">
        <f>K41*ref_intake-H41*naph_yield</f>
        <v>-90.53749999999998</v>
      </c>
    </row>
    <row r="42" spans="1:17">
      <c r="A42" s="6">
        <v>2026</v>
      </c>
      <c r="B42" s="6">
        <v>2</v>
      </c>
      <c r="C42" s="9" t="s">
        <v>190</v>
      </c>
      <c r="D42" s="10">
        <f>SUMIFS(Data!$K:$K,Data!$A:$A,2026,Data!$B:$B,2)</f>
        <v>3739.2241</v>
      </c>
      <c r="E42" s="10">
        <f>SUMIFS(Data!$K:$K,Data!$A:$A,2026,Data!$B:$B,2,Data!$J:$J,"PLANNED")</f>
        <v>1946.2561</v>
      </c>
      <c r="F42" s="10">
        <f>SUMIFS(Data!$K:$K,Data!$A:$A,2026,Data!$B:$B,2,Data!$J:$J,"UNPLANNED")</f>
        <v>1792.968</v>
      </c>
      <c r="G42" s="16">
        <f>IFERROR(F42/D42,0)</f>
        <v>0.47950268613213104</v>
      </c>
      <c r="H42" s="10">
        <f>SUMIFS(Data!$K:$K,Data!$A:$A,2026,Data!$B:$B,2,Data!$G:$G,"CDU")</f>
        <v>1246.845</v>
      </c>
      <c r="I42" s="10">
        <f>SUMIFS(Data!$K:$K,Data!$A:$A,2026,Data!$B:$B,2,Data!$G:$G,"FCC")</f>
        <v>559.7625</v>
      </c>
      <c r="J42" s="10">
        <f>SUMIFS(Data!$K:$K,Data!$A:$A,2026,Data!$B:$B,2,Data!$G:$G,"Hydrocracker")</f>
        <v>68.32</v>
      </c>
      <c r="K42" s="10">
        <f>SUMIFS(Data!$K:$K,Data!$A:$A,2026,Data!$B:$B,2,Data!$G:$G,"Reformer")</f>
        <v>210.5685</v>
      </c>
      <c r="L42" s="10">
        <f>SUMIFS(Data!$K:$K,Data!$A:$A,2026,Data!$B:$B,2,Data!$F:$F,"PADD 1")</f>
        <v>37.14</v>
      </c>
      <c r="M42" s="10">
        <f>SUMIFS(Data!$K:$K,Data!$A:$A,2026,Data!$B:$B,2,Data!$F:$F,"PADD 2")</f>
        <v>720.4935</v>
      </c>
      <c r="N42" s="10">
        <f>SUMIFS(Data!$K:$K,Data!$A:$A,2026,Data!$B:$B,2,Data!$F:$F,"PADD 3")</f>
        <v>2305.337</v>
      </c>
      <c r="O42" s="10">
        <f>SUMIFS(Data!$K:$K,Data!$A:$A,2026,Data!$B:$B,2,Data!$F:$F,"PADD 4")</f>
        <v>35.302</v>
      </c>
      <c r="P42" s="10">
        <f>SUMIFS(Data!$K:$K,Data!$A:$A,2026,Data!$B:$B,2,Data!$F:$F,"PADD 5")</f>
        <v>640.9516</v>
      </c>
      <c r="Q42" s="10">
        <f>K42*ref_intake-H42*naph_yield</f>
        <v>-225.82724999999996</v>
      </c>
    </row>
    <row r="43" spans="1:17">
      <c r="A43" s="6">
        <v>2026</v>
      </c>
      <c r="B43" s="6">
        <v>3</v>
      </c>
      <c r="C43" s="9" t="s">
        <v>191</v>
      </c>
      <c r="D43" s="10">
        <f>SUMIFS(Data!$K:$K,Data!$A:$A,2026,Data!$B:$B,3)</f>
        <v>3152.1816</v>
      </c>
      <c r="E43" s="10">
        <f>SUMIFS(Data!$K:$K,Data!$A:$A,2026,Data!$B:$B,3,Data!$J:$J,"PLANNED")</f>
        <v>2033.7659</v>
      </c>
      <c r="F43" s="10">
        <f>SUMIFS(Data!$K:$K,Data!$A:$A,2026,Data!$B:$B,3,Data!$J:$J,"UNPLANNED")</f>
        <v>1118.4157</v>
      </c>
      <c r="G43" s="16">
        <f>IFERROR(F43/D43,0)</f>
        <v>0.3548068740709609</v>
      </c>
      <c r="H43" s="10">
        <f>SUMIFS(Data!$K:$K,Data!$A:$A,2026,Data!$B:$B,3,Data!$G:$G,"CDU")</f>
        <v>968.521</v>
      </c>
      <c r="I43" s="10">
        <f>SUMIFS(Data!$K:$K,Data!$A:$A,2026,Data!$B:$B,3,Data!$G:$G,"FCC")</f>
        <v>331.375</v>
      </c>
      <c r="J43" s="10">
        <f>SUMIFS(Data!$K:$K,Data!$A:$A,2026,Data!$B:$B,3,Data!$G:$G,"Hydrocracker")</f>
        <v>145.776</v>
      </c>
      <c r="K43" s="10">
        <f>SUMIFS(Data!$K:$K,Data!$A:$A,2026,Data!$B:$B,3,Data!$G:$G,"Reformer")</f>
        <v>159.17</v>
      </c>
      <c r="L43" s="10">
        <f>SUMIFS(Data!$K:$K,Data!$A:$A,2026,Data!$B:$B,3,Data!$F:$F,"PADD 1")</f>
        <v>51.028000000000006</v>
      </c>
      <c r="M43" s="10">
        <f>SUMIFS(Data!$K:$K,Data!$A:$A,2026,Data!$B:$B,3,Data!$F:$F,"PADD 2")</f>
        <v>1236.0397</v>
      </c>
      <c r="N43" s="10">
        <f>SUMIFS(Data!$K:$K,Data!$A:$A,2026,Data!$B:$B,3,Data!$F:$F,"PADD 3")</f>
        <v>1298.356</v>
      </c>
      <c r="O43" s="10">
        <f>SUMIFS(Data!$K:$K,Data!$A:$A,2026,Data!$B:$B,3,Data!$F:$F,"PADD 4")</f>
        <v>193.667</v>
      </c>
      <c r="P43" s="10">
        <f>SUMIFS(Data!$K:$K,Data!$A:$A,2026,Data!$B:$B,3,Data!$F:$F,"PADD 5")</f>
        <v>373.0909</v>
      </c>
      <c r="Q43" s="10">
        <f>K43*ref_intake-H43*naph_yield</f>
        <v>-179.81234999999995</v>
      </c>
    </row>
    <row r="44" spans="1:17">
      <c r="A44" s="6">
        <v>2026</v>
      </c>
      <c r="B44" s="6">
        <v>4</v>
      </c>
      <c r="C44" s="9" t="s">
        <v>192</v>
      </c>
      <c r="D44" s="10">
        <f>SUMIFS(Data!$K:$K,Data!$A:$A,2026,Data!$B:$B,4)</f>
        <v>3982.502</v>
      </c>
      <c r="E44" s="10">
        <f>SUMIFS(Data!$K:$K,Data!$A:$A,2026,Data!$B:$B,4,Data!$J:$J,"PLANNED")</f>
        <v>1938.51</v>
      </c>
      <c r="F44" s="10">
        <f>SUMIFS(Data!$K:$K,Data!$A:$A,2026,Data!$B:$B,4,Data!$J:$J,"UNPLANNED")</f>
        <v>2043.992</v>
      </c>
      <c r="G44" s="16">
        <f>IFERROR(F44/D44,0)</f>
        <v>0.5132431823009757</v>
      </c>
      <c r="H44" s="10">
        <f>SUMIFS(Data!$K:$K,Data!$A:$A,2026,Data!$B:$B,4,Data!$G:$G,"CDU")</f>
        <v>1411.605</v>
      </c>
      <c r="I44" s="10">
        <f>SUMIFS(Data!$K:$K,Data!$A:$A,2026,Data!$B:$B,4,Data!$G:$G,"FCC")</f>
        <v>558.008</v>
      </c>
      <c r="J44" s="10">
        <f>SUMIFS(Data!$K:$K,Data!$A:$A,2026,Data!$B:$B,4,Data!$G:$G,"Hydrocracker")</f>
        <v>172.765</v>
      </c>
      <c r="K44" s="10">
        <f>SUMIFS(Data!$K:$K,Data!$A:$A,2026,Data!$B:$B,4,Data!$G:$G,"Reformer")</f>
        <v>154.28300000000002</v>
      </c>
      <c r="L44" s="10">
        <f>SUMIFS(Data!$K:$K,Data!$A:$A,2026,Data!$B:$B,4,Data!$F:$F,"PADD 1")</f>
        <v>5.98</v>
      </c>
      <c r="M44" s="10">
        <f>SUMIFS(Data!$K:$K,Data!$A:$A,2026,Data!$B:$B,4,Data!$F:$F,"PADD 2")</f>
        <v>1514.833</v>
      </c>
      <c r="N44" s="10">
        <f>SUMIFS(Data!$K:$K,Data!$A:$A,2026,Data!$B:$B,4,Data!$F:$F,"PADD 3")</f>
        <v>1274.583</v>
      </c>
      <c r="O44" s="10">
        <f>SUMIFS(Data!$K:$K,Data!$A:$A,2026,Data!$B:$B,4,Data!$F:$F,"PADD 4")</f>
        <v>298.055</v>
      </c>
      <c r="P44" s="10">
        <f>SUMIFS(Data!$K:$K,Data!$A:$A,2026,Data!$B:$B,4,Data!$F:$F,"PADD 5")</f>
        <v>889.0509999999999</v>
      </c>
      <c r="Q44" s="10">
        <f>K44*ref_intake-H44*naph_yield</f>
        <v>-339.77874999999995</v>
      </c>
    </row>
    <row r="45" spans="1:17">
      <c r="A45" s="6">
        <v>2026</v>
      </c>
      <c r="B45" s="6">
        <v>5</v>
      </c>
      <c r="C45" s="9" t="s">
        <v>193</v>
      </c>
      <c r="D45" s="10">
        <f>SUMIFS(Data!$K:$K,Data!$A:$A,2026,Data!$B:$B,5)</f>
        <v>2203.7437</v>
      </c>
      <c r="E45" s="10">
        <f>SUMIFS(Data!$K:$K,Data!$A:$A,2026,Data!$B:$B,5,Data!$J:$J,"PLANNED")</f>
        <v>1001.3308</v>
      </c>
      <c r="F45" s="10">
        <f>SUMIFS(Data!$K:$K,Data!$A:$A,2026,Data!$B:$B,5,Data!$J:$J,"UNPLANNED")</f>
        <v>1202.4129</v>
      </c>
      <c r="G45" s="16">
        <f>IFERROR(F45/D45,0)</f>
        <v>0.5456228417124913</v>
      </c>
      <c r="H45" s="10">
        <f>SUMIFS(Data!$K:$K,Data!$A:$A,2026,Data!$B:$B,5,Data!$G:$G,"CDU")</f>
        <v>841.202</v>
      </c>
      <c r="I45" s="10">
        <f>SUMIFS(Data!$K:$K,Data!$A:$A,2026,Data!$B:$B,5,Data!$G:$G,"FCC")</f>
        <v>360.0815</v>
      </c>
      <c r="J45" s="10">
        <f>SUMIFS(Data!$K:$K,Data!$A:$A,2026,Data!$B:$B,5,Data!$G:$G,"Hydrocracker")</f>
        <v>92.77</v>
      </c>
      <c r="K45" s="10">
        <f>SUMIFS(Data!$K:$K,Data!$A:$A,2026,Data!$B:$B,5,Data!$G:$G,"Reformer")</f>
        <v>157.769</v>
      </c>
      <c r="L45" s="10">
        <f>SUMIFS(Data!$K:$K,Data!$A:$A,2026,Data!$B:$B,5,Data!$F:$F,"PADD 1")</f>
        <v>21.2</v>
      </c>
      <c r="M45" s="10">
        <f>SUMIFS(Data!$K:$K,Data!$A:$A,2026,Data!$B:$B,5,Data!$F:$F,"PADD 2")</f>
        <v>829.96</v>
      </c>
      <c r="N45" s="10">
        <f>SUMIFS(Data!$K:$K,Data!$A:$A,2026,Data!$B:$B,5,Data!$F:$F,"PADD 3")</f>
        <v>752.5585</v>
      </c>
      <c r="O45" s="10">
        <f>SUMIFS(Data!$K:$K,Data!$A:$A,2026,Data!$B:$B,5,Data!$F:$F,"PADD 4")</f>
        <v>128.6544</v>
      </c>
      <c r="P45" s="10">
        <f>SUMIFS(Data!$K:$K,Data!$A:$A,2026,Data!$B:$B,5,Data!$F:$F,"PADD 5")</f>
        <v>471.3708</v>
      </c>
      <c r="Q45" s="10">
        <f>K45*ref_intake-H45*naph_yield</f>
        <v>-136.65169999999995</v>
      </c>
    </row>
    <row r="46" spans="1:17">
      <c r="A46" s="6">
        <v>2026</v>
      </c>
      <c r="B46" s="6">
        <v>6</v>
      </c>
      <c r="C46" s="9" t="s">
        <v>194</v>
      </c>
      <c r="D46" s="10">
        <f>SUMIFS(Data!$K:$K,Data!$A:$A,2026,Data!$B:$B,6)</f>
        <v>1349.6757</v>
      </c>
      <c r="E46" s="10">
        <f>SUMIFS(Data!$K:$K,Data!$A:$A,2026,Data!$B:$B,6,Data!$J:$J,"PLANNED")</f>
        <v>182.45</v>
      </c>
      <c r="F46" s="10">
        <f>SUMIFS(Data!$K:$K,Data!$A:$A,2026,Data!$B:$B,6,Data!$J:$J,"UNPLANNED")</f>
        <v>1167.2257</v>
      </c>
      <c r="G46" s="16">
        <f>IFERROR(F46/D46,0)</f>
        <v>0.8648193784625448</v>
      </c>
      <c r="H46" s="10">
        <f>SUMIFS(Data!$K:$K,Data!$A:$A,2026,Data!$B:$B,6,Data!$G:$G,"CDU")</f>
        <v>435.03</v>
      </c>
      <c r="I46" s="10">
        <f>SUMIFS(Data!$K:$K,Data!$A:$A,2026,Data!$B:$B,6,Data!$G:$G,"FCC")</f>
        <v>147.405</v>
      </c>
      <c r="J46" s="10">
        <f>SUMIFS(Data!$K:$K,Data!$A:$A,2026,Data!$B:$B,6,Data!$G:$G,"Hydrocracker")</f>
        <v>21.38</v>
      </c>
      <c r="K46" s="10">
        <f>SUMIFS(Data!$K:$K,Data!$A:$A,2026,Data!$B:$B,6,Data!$G:$G,"Reformer")</f>
        <v>130.51</v>
      </c>
      <c r="L46" s="10">
        <f>SUMIFS(Data!$K:$K,Data!$A:$A,2026,Data!$B:$B,6,Data!$F:$F,"PADD 1")</f>
        <v>334.0757</v>
      </c>
      <c r="M46" s="10">
        <f>SUMIFS(Data!$K:$K,Data!$A:$A,2026,Data!$B:$B,6,Data!$F:$F,"PADD 2")</f>
        <v>158.585</v>
      </c>
      <c r="N46" s="10">
        <f>SUMIFS(Data!$K:$K,Data!$A:$A,2026,Data!$B:$B,6,Data!$F:$F,"PADD 3")</f>
        <v>730.815</v>
      </c>
      <c r="O46" s="10">
        <f>SUMIFS(Data!$K:$K,Data!$A:$A,2026,Data!$B:$B,6,Data!$F:$F,"PADD 4")</f>
        <v>6.6</v>
      </c>
      <c r="P46" s="10">
        <f>SUMIFS(Data!$K:$K,Data!$A:$A,2026,Data!$B:$B,6,Data!$F:$F,"PADD 5")</f>
        <v>119.6</v>
      </c>
      <c r="Q46" s="10">
        <f>K46*ref_intake-H46*naph_yield</f>
        <v>-21.750499999999988</v>
      </c>
    </row>
    <row r="47" spans="1:17">
      <c r="A47" s="6">
        <v>2026</v>
      </c>
      <c r="B47" s="6">
        <v>7</v>
      </c>
      <c r="C47" s="9" t="s">
        <v>195</v>
      </c>
      <c r="D47" s="10">
        <f>SUMIFS(Data!$K:$K,Data!$A:$A,2026,Data!$B:$B,7)</f>
        <v>1075.021</v>
      </c>
      <c r="E47" s="10">
        <f>SUMIFS(Data!$K:$K,Data!$A:$A,2026,Data!$B:$B,7,Data!$J:$J,"PLANNED")</f>
        <v>269.572</v>
      </c>
      <c r="F47" s="10">
        <f>SUMIFS(Data!$K:$K,Data!$A:$A,2026,Data!$B:$B,7,Data!$J:$J,"UNPLANNED")</f>
        <v>805.449</v>
      </c>
      <c r="G47" s="16">
        <f>IFERROR(F47/D47,0)</f>
        <v>0.7492402473998182</v>
      </c>
      <c r="H47" s="10">
        <f>SUMIFS(Data!$K:$K,Data!$A:$A,2026,Data!$B:$B,7,Data!$G:$G,"CDU")</f>
        <v>378.602</v>
      </c>
      <c r="I47" s="10">
        <f>SUMIFS(Data!$K:$K,Data!$A:$A,2026,Data!$B:$B,7,Data!$G:$G,"FCC")</f>
        <v>69.8</v>
      </c>
      <c r="J47" s="10">
        <f>SUMIFS(Data!$K:$K,Data!$A:$A,2026,Data!$B:$B,7,Data!$G:$G,"Hydrocracker")</f>
        <v>30.240000000000002</v>
      </c>
      <c r="K47" s="10">
        <f>SUMIFS(Data!$K:$K,Data!$A:$A,2026,Data!$B:$B,7,Data!$G:$G,"Reformer")</f>
        <v>98.20400000000001</v>
      </c>
      <c r="L47" s="10">
        <f>SUMIFS(Data!$K:$K,Data!$A:$A,2026,Data!$B:$B,7,Data!$F:$F,"PADD 1")</f>
        <v>654.394</v>
      </c>
      <c r="M47" s="10">
        <f>SUMIFS(Data!$K:$K,Data!$A:$A,2026,Data!$B:$B,7,Data!$F:$F,"PADD 2")</f>
        <v>57.76</v>
      </c>
      <c r="N47" s="10">
        <f>SUMIFS(Data!$K:$K,Data!$A:$A,2026,Data!$B:$B,7,Data!$F:$F,"PADD 3")</f>
        <v>253.287</v>
      </c>
      <c r="O47" s="10">
        <f>SUMIFS(Data!$K:$K,Data!$A:$A,2026,Data!$B:$B,7,Data!$F:$F,"PADD 4")</f>
        <v>0.0</v>
      </c>
      <c r="P47" s="10">
        <f>SUMIFS(Data!$K:$K,Data!$A:$A,2026,Data!$B:$B,7,Data!$F:$F,"PADD 5")</f>
        <v>109.58000000000001</v>
      </c>
      <c r="Q47" s="10">
        <f>K47*ref_intake-H47*naph_yield</f>
        <v>-34.30669999999998</v>
      </c>
    </row>
    <row r="48" spans="1:17">
      <c r="A48" s="6">
        <v>2026</v>
      </c>
      <c r="B48" s="6">
        <v>8</v>
      </c>
      <c r="C48" s="9" t="s">
        <v>196</v>
      </c>
      <c r="D48" s="10">
        <f>SUMIFS(Data!$K:$K,Data!$A:$A,2026,Data!$B:$B,8)</f>
        <v>553.6705</v>
      </c>
      <c r="E48" s="10">
        <f>SUMIFS(Data!$K:$K,Data!$A:$A,2026,Data!$B:$B,8,Data!$J:$J,"PLANNED")</f>
        <v>204.11</v>
      </c>
      <c r="F48" s="10">
        <f>SUMIFS(Data!$K:$K,Data!$A:$A,2026,Data!$B:$B,8,Data!$J:$J,"UNPLANNED")</f>
        <v>349.5605</v>
      </c>
      <c r="G48" s="16">
        <f>IFERROR(F48/D48,0)</f>
        <v>0.6313511375448033</v>
      </c>
      <c r="H48" s="10">
        <f>SUMIFS(Data!$K:$K,Data!$A:$A,2026,Data!$B:$B,8,Data!$G:$G,"CDU")</f>
        <v>126.0</v>
      </c>
      <c r="I48" s="10">
        <f>SUMIFS(Data!$K:$K,Data!$A:$A,2026,Data!$B:$B,8,Data!$G:$G,"FCC")</f>
        <v>30.6</v>
      </c>
      <c r="J48" s="10">
        <f>SUMIFS(Data!$K:$K,Data!$A:$A,2026,Data!$B:$B,8,Data!$G:$G,"Hydrocracker")</f>
        <v>69.66</v>
      </c>
      <c r="K48" s="10">
        <f>SUMIFS(Data!$K:$K,Data!$A:$A,2026,Data!$B:$B,8,Data!$G:$G,"Reformer")</f>
        <v>44.905</v>
      </c>
      <c r="L48" s="10">
        <f>SUMIFS(Data!$K:$K,Data!$A:$A,2026,Data!$B:$B,8,Data!$F:$F,"PADD 1")</f>
        <v>294.1605</v>
      </c>
      <c r="M48" s="10">
        <f>SUMIFS(Data!$K:$K,Data!$A:$A,2026,Data!$B:$B,8,Data!$F:$F,"PADD 2")</f>
        <v>0.0</v>
      </c>
      <c r="N48" s="10">
        <f>SUMIFS(Data!$K:$K,Data!$A:$A,2026,Data!$B:$B,8,Data!$F:$F,"PADD 3")</f>
        <v>211.98</v>
      </c>
      <c r="O48" s="10">
        <f>SUMIFS(Data!$K:$K,Data!$A:$A,2026,Data!$B:$B,8,Data!$F:$F,"PADD 4")</f>
        <v>0.0</v>
      </c>
      <c r="P48" s="10">
        <f>SUMIFS(Data!$K:$K,Data!$A:$A,2026,Data!$B:$B,8,Data!$F:$F,"PADD 5")</f>
        <v>47.53</v>
      </c>
      <c r="Q48" s="10">
        <f>K48*ref_intake-H48*naph_yield</f>
        <v>0.8050000000000068</v>
      </c>
    </row>
    <row r="49" spans="1:17">
      <c r="A49" s="6">
        <v>2026</v>
      </c>
      <c r="B49" s="6">
        <v>9</v>
      </c>
      <c r="C49" s="9" t="s">
        <v>197</v>
      </c>
      <c r="D49" s="10">
        <f>SUMIFS(Data!$K:$K,Data!$A:$A,2026,Data!$B:$B,9)</f>
        <v>1218.8349</v>
      </c>
      <c r="E49" s="10">
        <f>SUMIFS(Data!$K:$K,Data!$A:$A,2026,Data!$B:$B,9,Data!$J:$J,"PLANNED")</f>
        <v>1171.8349</v>
      </c>
      <c r="F49" s="10">
        <f>SUMIFS(Data!$K:$K,Data!$A:$A,2026,Data!$B:$B,9,Data!$J:$J,"UNPLANNED")</f>
        <v>47.0</v>
      </c>
      <c r="G49" s="16">
        <f>IFERROR(F49/D49,0)</f>
        <v>0.038561416316516696</v>
      </c>
      <c r="H49" s="10">
        <f>SUMIFS(Data!$K:$K,Data!$A:$A,2026,Data!$B:$B,9,Data!$G:$G,"CDU")</f>
        <v>448.14</v>
      </c>
      <c r="I49" s="10">
        <f>SUMIFS(Data!$K:$K,Data!$A:$A,2026,Data!$B:$B,9,Data!$G:$G,"FCC")</f>
        <v>68.93</v>
      </c>
      <c r="J49" s="10">
        <f>SUMIFS(Data!$K:$K,Data!$A:$A,2026,Data!$B:$B,9,Data!$G:$G,"Hydrocracker")</f>
        <v>149.15</v>
      </c>
      <c r="K49" s="10">
        <f>SUMIFS(Data!$K:$K,Data!$A:$A,2026,Data!$B:$B,9,Data!$G:$G,"Reformer")</f>
        <v>137.55</v>
      </c>
      <c r="L49" s="10">
        <f>SUMIFS(Data!$K:$K,Data!$A:$A,2026,Data!$B:$B,9,Data!$F:$F,"PADD 1")</f>
        <v>71.8939</v>
      </c>
      <c r="M49" s="10">
        <f>SUMIFS(Data!$K:$K,Data!$A:$A,2026,Data!$B:$B,9,Data!$F:$F,"PADD 2")</f>
        <v>572.94</v>
      </c>
      <c r="N49" s="10">
        <f>SUMIFS(Data!$K:$K,Data!$A:$A,2026,Data!$B:$B,9,Data!$F:$F,"PADD 3")</f>
        <v>463.94100000000003</v>
      </c>
      <c r="O49" s="10">
        <f>SUMIFS(Data!$K:$K,Data!$A:$A,2026,Data!$B:$B,9,Data!$F:$F,"PADD 4")</f>
        <v>0.0</v>
      </c>
      <c r="P49" s="10">
        <f>SUMIFS(Data!$K:$K,Data!$A:$A,2026,Data!$B:$B,9,Data!$F:$F,"PADD 5")</f>
        <v>110.06</v>
      </c>
      <c r="Q49" s="10">
        <f>K49*ref_intake-H49*naph_yield</f>
        <v>-19.298999999999978</v>
      </c>
    </row>
    <row r="50" spans="1:17">
      <c r="A50" s="6">
        <v>2026</v>
      </c>
      <c r="B50" s="6">
        <v>10</v>
      </c>
      <c r="C50" s="9" t="s">
        <v>198</v>
      </c>
      <c r="D50" s="10">
        <f>SUMIFS(Data!$K:$K,Data!$A:$A,2026,Data!$B:$B,10)</f>
        <v>1640.294</v>
      </c>
      <c r="E50" s="10">
        <f>SUMIFS(Data!$K:$K,Data!$A:$A,2026,Data!$B:$B,10,Data!$J:$J,"PLANNED")</f>
        <v>1593.294</v>
      </c>
      <c r="F50" s="10">
        <f>SUMIFS(Data!$K:$K,Data!$A:$A,2026,Data!$B:$B,10,Data!$J:$J,"UNPLANNED")</f>
        <v>47.0</v>
      </c>
      <c r="G50" s="16">
        <f>IFERROR(F50/D50,0)</f>
        <v>0.028653399939279175</v>
      </c>
      <c r="H50" s="10">
        <f>SUMIFS(Data!$K:$K,Data!$A:$A,2026,Data!$B:$B,10,Data!$G:$G,"CDU")</f>
        <v>661.633</v>
      </c>
      <c r="I50" s="10">
        <f>SUMIFS(Data!$K:$K,Data!$A:$A,2026,Data!$B:$B,10,Data!$G:$G,"FCC")</f>
        <v>189.01</v>
      </c>
      <c r="J50" s="10">
        <f>SUMIFS(Data!$K:$K,Data!$A:$A,2026,Data!$B:$B,10,Data!$G:$G,"Hydrocracker")</f>
        <v>73.97999999999999</v>
      </c>
      <c r="K50" s="10">
        <f>SUMIFS(Data!$K:$K,Data!$A:$A,2026,Data!$B:$B,10,Data!$G:$G,"Reformer")</f>
        <v>166.385</v>
      </c>
      <c r="L50" s="10">
        <f>SUMIFS(Data!$K:$K,Data!$A:$A,2026,Data!$B:$B,10,Data!$F:$F,"PADD 1")</f>
        <v>82.5856</v>
      </c>
      <c r="M50" s="10">
        <f>SUMIFS(Data!$K:$K,Data!$A:$A,2026,Data!$B:$B,10,Data!$F:$F,"PADD 2")</f>
        <v>705.146</v>
      </c>
      <c r="N50" s="10">
        <f>SUMIFS(Data!$K:$K,Data!$A:$A,2026,Data!$B:$B,10,Data!$F:$F,"PADD 3")</f>
        <v>634.8024</v>
      </c>
      <c r="O50" s="10">
        <f>SUMIFS(Data!$K:$K,Data!$A:$A,2026,Data!$B:$B,10,Data!$F:$F,"PADD 4")</f>
        <v>19.62</v>
      </c>
      <c r="P50" s="10">
        <f>SUMIFS(Data!$K:$K,Data!$A:$A,2026,Data!$B:$B,10,Data!$F:$F,"PADD 5")</f>
        <v>198.14</v>
      </c>
      <c r="Q50" s="10">
        <f>K50*ref_intake-H50*naph_yield</f>
        <v>-65.18655000000001</v>
      </c>
    </row>
    <row r="51" spans="1:17">
      <c r="A51" s="6">
        <v>2026</v>
      </c>
      <c r="B51" s="6">
        <v>11</v>
      </c>
      <c r="C51" s="9" t="s">
        <v>199</v>
      </c>
      <c r="D51" s="10">
        <f>SUMIFS(Data!$K:$K,Data!$A:$A,2026,Data!$B:$B,11)</f>
        <v>697.476</v>
      </c>
      <c r="E51" s="10">
        <f>SUMIFS(Data!$K:$K,Data!$A:$A,2026,Data!$B:$B,11,Data!$J:$J,"PLANNED")</f>
        <v>655.176</v>
      </c>
      <c r="F51" s="10">
        <f>SUMIFS(Data!$K:$K,Data!$A:$A,2026,Data!$B:$B,11,Data!$J:$J,"UNPLANNED")</f>
        <v>42.3</v>
      </c>
      <c r="G51" s="16">
        <f>IFERROR(F51/D51,0)</f>
        <v>0.060647248077353194</v>
      </c>
      <c r="H51" s="10">
        <f>SUMIFS(Data!$K:$K,Data!$A:$A,2026,Data!$B:$B,11,Data!$G:$G,"CDU")</f>
        <v>214.3</v>
      </c>
      <c r="I51" s="10">
        <f>SUMIFS(Data!$K:$K,Data!$A:$A,2026,Data!$B:$B,11,Data!$G:$G,"FCC")</f>
        <v>127.225</v>
      </c>
      <c r="J51" s="10">
        <f>SUMIFS(Data!$K:$K,Data!$A:$A,2026,Data!$B:$B,11,Data!$G:$G,"Hydrocracker")</f>
        <v>17.296</v>
      </c>
      <c r="K51" s="10">
        <f>SUMIFS(Data!$K:$K,Data!$A:$A,2026,Data!$B:$B,11,Data!$G:$G,"Reformer")</f>
        <v>68.1</v>
      </c>
      <c r="L51" s="10">
        <f>SUMIFS(Data!$K:$K,Data!$A:$A,2026,Data!$B:$B,11,Data!$F:$F,"PADD 1")</f>
        <v>0.0</v>
      </c>
      <c r="M51" s="10">
        <f>SUMIFS(Data!$K:$K,Data!$A:$A,2026,Data!$B:$B,11,Data!$F:$F,"PADD 2")</f>
        <v>397.5</v>
      </c>
      <c r="N51" s="10">
        <f>SUMIFS(Data!$K:$K,Data!$A:$A,2026,Data!$B:$B,11,Data!$F:$F,"PADD 3")</f>
        <v>163.78</v>
      </c>
      <c r="O51" s="10">
        <f>SUMIFS(Data!$K:$K,Data!$A:$A,2026,Data!$B:$B,11,Data!$F:$F,"PADD 4")</f>
        <v>0.0</v>
      </c>
      <c r="P51" s="10">
        <f>SUMIFS(Data!$K:$K,Data!$A:$A,2026,Data!$B:$B,11,Data!$F:$F,"PADD 5")</f>
        <v>136.196</v>
      </c>
      <c r="Q51" s="10">
        <f>K51*ref_intake-H51*naph_yield</f>
        <v>-6.905000000000001</v>
      </c>
    </row>
    <row r="52" spans="1:17">
      <c r="A52" s="6">
        <v>2026</v>
      </c>
      <c r="B52" s="6">
        <v>12</v>
      </c>
      <c r="C52" s="9" t="s">
        <v>200</v>
      </c>
      <c r="D52" s="10">
        <f>SUMIFS(Data!$K:$K,Data!$A:$A,2026,Data!$B:$B,12)</f>
        <v>9.5</v>
      </c>
      <c r="E52" s="10">
        <f>SUMIFS(Data!$K:$K,Data!$A:$A,2026,Data!$B:$B,12,Data!$J:$J,"PLANNED")</f>
        <v>9.5</v>
      </c>
      <c r="F52" s="10">
        <f>SUMIFS(Data!$K:$K,Data!$A:$A,2026,Data!$B:$B,12,Data!$J:$J,"UNPLANNED")</f>
        <v>0.0</v>
      </c>
      <c r="G52" s="16">
        <f>IFERROR(F52/D52,0)</f>
        <v>0.0</v>
      </c>
      <c r="H52" s="10">
        <f>SUMIFS(Data!$K:$K,Data!$A:$A,2026,Data!$B:$B,12,Data!$G:$G,"CDU")</f>
        <v>0.0</v>
      </c>
      <c r="I52" s="10">
        <f>SUMIFS(Data!$K:$K,Data!$A:$A,2026,Data!$B:$B,12,Data!$G:$G,"FCC")</f>
        <v>4.8</v>
      </c>
      <c r="J52" s="10">
        <f>SUMIFS(Data!$K:$K,Data!$A:$A,2026,Data!$B:$B,12,Data!$G:$G,"Hydrocracker")</f>
        <v>0.0</v>
      </c>
      <c r="K52" s="10">
        <f>SUMIFS(Data!$K:$K,Data!$A:$A,2026,Data!$B:$B,12,Data!$G:$G,"Reformer")</f>
        <v>0.0</v>
      </c>
      <c r="L52" s="10">
        <f>SUMIFS(Data!$K:$K,Data!$A:$A,2026,Data!$B:$B,12,Data!$F:$F,"PADD 1")</f>
        <v>0.0</v>
      </c>
      <c r="M52" s="10">
        <f>SUMIFS(Data!$K:$K,Data!$A:$A,2026,Data!$B:$B,12,Data!$F:$F,"PADD 2")</f>
        <v>0.0</v>
      </c>
      <c r="N52" s="10">
        <f>SUMIFS(Data!$K:$K,Data!$A:$A,2026,Data!$B:$B,12,Data!$F:$F,"PADD 3")</f>
        <v>0.0</v>
      </c>
      <c r="O52" s="10">
        <f>SUMIFS(Data!$K:$K,Data!$A:$A,2026,Data!$B:$B,12,Data!$F:$F,"PADD 4")</f>
        <v>0.0</v>
      </c>
      <c r="P52" s="10">
        <f>SUMIFS(Data!$K:$K,Data!$A:$A,2026,Data!$B:$B,12,Data!$F:$F,"PADD 5")</f>
        <v>9.5</v>
      </c>
      <c r="Q52" s="10">
        <f>K52*ref_intake-H52*naph_yield</f>
        <v>0.0</v>
      </c>
    </row>
    <row r="53" spans="1:17">
      <c r="A53" s="6">
        <v>2027</v>
      </c>
      <c r="B53" s="6">
        <v>1</v>
      </c>
      <c r="C53" s="9" t="s">
        <v>201</v>
      </c>
      <c r="D53" s="10">
        <f>SUMIFS(Data!$K:$K,Data!$A:$A,2027,Data!$B:$B,1)</f>
        <v>1103.883</v>
      </c>
      <c r="E53" s="10">
        <f>SUMIFS(Data!$K:$K,Data!$A:$A,2027,Data!$B:$B,1,Data!$J:$J,"PLANNED")</f>
        <v>1103.883</v>
      </c>
      <c r="F53" s="10">
        <f>SUMIFS(Data!$K:$K,Data!$A:$A,2027,Data!$B:$B,1,Data!$J:$J,"UNPLANNED")</f>
        <v>0.0</v>
      </c>
      <c r="G53" s="16">
        <f>IFERROR(F53/D53,0)</f>
        <v>0.0</v>
      </c>
      <c r="H53" s="10">
        <f>SUMIFS(Data!$K:$K,Data!$A:$A,2027,Data!$B:$B,1,Data!$G:$G,"CDU")</f>
        <v>365.125</v>
      </c>
      <c r="I53" s="10">
        <f>SUMIFS(Data!$K:$K,Data!$A:$A,2027,Data!$B:$B,1,Data!$G:$G,"FCC")</f>
        <v>250.98000000000002</v>
      </c>
      <c r="J53" s="10">
        <f>SUMIFS(Data!$K:$K,Data!$A:$A,2027,Data!$B:$B,1,Data!$G:$G,"Hydrocracker")</f>
        <v>121.41</v>
      </c>
      <c r="K53" s="10">
        <f>SUMIFS(Data!$K:$K,Data!$A:$A,2027,Data!$B:$B,1,Data!$G:$G,"Reformer")</f>
        <v>29.125</v>
      </c>
      <c r="L53" s="10">
        <f>SUMIFS(Data!$K:$K,Data!$A:$A,2027,Data!$B:$B,1,Data!$F:$F,"PADD 1")</f>
        <v>0.0</v>
      </c>
      <c r="M53" s="10">
        <f>SUMIFS(Data!$K:$K,Data!$A:$A,2027,Data!$B:$B,1,Data!$F:$F,"PADD 2")</f>
        <v>0.0</v>
      </c>
      <c r="N53" s="10">
        <f>SUMIFS(Data!$K:$K,Data!$A:$A,2027,Data!$B:$B,1,Data!$F:$F,"PADD 3")</f>
        <v>707.863</v>
      </c>
      <c r="O53" s="10">
        <f>SUMIFS(Data!$K:$K,Data!$A:$A,2027,Data!$B:$B,1,Data!$F:$F,"PADD 4")</f>
        <v>0.0</v>
      </c>
      <c r="P53" s="10">
        <f>SUMIFS(Data!$K:$K,Data!$A:$A,2027,Data!$B:$B,1,Data!$F:$F,"PADD 5")</f>
        <v>396.02</v>
      </c>
      <c r="Q53" s="10">
        <f>K53*ref_intake-H53*naph_yield</f>
        <v>-98.66874999999999</v>
      </c>
    </row>
    <row r="54" spans="1:17">
      <c r="A54" s="6">
        <v>2027</v>
      </c>
      <c r="B54" s="6">
        <v>2</v>
      </c>
      <c r="C54" s="9" t="s">
        <v>202</v>
      </c>
      <c r="D54" s="10">
        <f>SUMIFS(Data!$K:$K,Data!$A:$A,2027,Data!$B:$B,2)</f>
        <v>2114.6201</v>
      </c>
      <c r="E54" s="10">
        <f>SUMIFS(Data!$K:$K,Data!$A:$A,2027,Data!$B:$B,2,Data!$J:$J,"PLANNED")</f>
        <v>2114.6201</v>
      </c>
      <c r="F54" s="10">
        <f>SUMIFS(Data!$K:$K,Data!$A:$A,2027,Data!$B:$B,2,Data!$J:$J,"UNPLANNED")</f>
        <v>0.0</v>
      </c>
      <c r="G54" s="16">
        <f>IFERROR(F54/D54,0)</f>
        <v>0.0</v>
      </c>
      <c r="H54" s="10">
        <f>SUMIFS(Data!$K:$K,Data!$A:$A,2027,Data!$B:$B,2,Data!$G:$G,"CDU")</f>
        <v>683.258</v>
      </c>
      <c r="I54" s="10">
        <f>SUMIFS(Data!$K:$K,Data!$A:$A,2027,Data!$B:$B,2,Data!$G:$G,"FCC")</f>
        <v>450.5215</v>
      </c>
      <c r="J54" s="10">
        <f>SUMIFS(Data!$K:$K,Data!$A:$A,2027,Data!$B:$B,2,Data!$G:$G,"Hydrocracker")</f>
        <v>141.67000000000002</v>
      </c>
      <c r="K54" s="10">
        <f>SUMIFS(Data!$K:$K,Data!$A:$A,2027,Data!$B:$B,2,Data!$G:$G,"Reformer")</f>
        <v>68.78</v>
      </c>
      <c r="L54" s="10">
        <f>SUMIFS(Data!$K:$K,Data!$A:$A,2027,Data!$B:$B,2,Data!$F:$F,"PADD 1")</f>
        <v>0.0</v>
      </c>
      <c r="M54" s="10">
        <f>SUMIFS(Data!$K:$K,Data!$A:$A,2027,Data!$B:$B,2,Data!$F:$F,"PADD 2")</f>
        <v>192.48</v>
      </c>
      <c r="N54" s="10">
        <f>SUMIFS(Data!$K:$K,Data!$A:$A,2027,Data!$B:$B,2,Data!$F:$F,"PADD 3")</f>
        <v>1278.3421</v>
      </c>
      <c r="O54" s="10">
        <f>SUMIFS(Data!$K:$K,Data!$A:$A,2027,Data!$B:$B,2,Data!$F:$F,"PADD 4")</f>
        <v>139.68</v>
      </c>
      <c r="P54" s="10">
        <f>SUMIFS(Data!$K:$K,Data!$A:$A,2027,Data!$B:$B,2,Data!$F:$F,"PADD 5")</f>
        <v>504.118</v>
      </c>
      <c r="Q54" s="10">
        <f>K54*ref_intake-H54*naph_yield</f>
        <v>-170.3603</v>
      </c>
    </row>
    <row r="55" spans="1:17">
      <c r="A55" s="6">
        <v>2027</v>
      </c>
      <c r="B55" s="6">
        <v>3</v>
      </c>
      <c r="C55" s="9" t="s">
        <v>203</v>
      </c>
      <c r="D55" s="10">
        <f>SUMIFS(Data!$K:$K,Data!$A:$A,2027,Data!$B:$B,3)</f>
        <v>2889.3523</v>
      </c>
      <c r="E55" s="10">
        <f>SUMIFS(Data!$K:$K,Data!$A:$A,2027,Data!$B:$B,3,Data!$J:$J,"PLANNED")</f>
        <v>2889.3523</v>
      </c>
      <c r="F55" s="10">
        <f>SUMIFS(Data!$K:$K,Data!$A:$A,2027,Data!$B:$B,3,Data!$J:$J,"UNPLANNED")</f>
        <v>0.0</v>
      </c>
      <c r="G55" s="16">
        <f>IFERROR(F55/D55,0)</f>
        <v>0.0</v>
      </c>
      <c r="H55" s="10">
        <f>SUMIFS(Data!$K:$K,Data!$A:$A,2027,Data!$B:$B,3,Data!$G:$G,"CDU")</f>
        <v>1062.14</v>
      </c>
      <c r="I55" s="10">
        <f>SUMIFS(Data!$K:$K,Data!$A:$A,2027,Data!$B:$B,3,Data!$G:$G,"FCC")</f>
        <v>447.892</v>
      </c>
      <c r="J55" s="10">
        <f>SUMIFS(Data!$K:$K,Data!$A:$A,2027,Data!$B:$B,3,Data!$G:$G,"Hydrocracker")</f>
        <v>75.53</v>
      </c>
      <c r="K55" s="10">
        <f>SUMIFS(Data!$K:$K,Data!$A:$A,2027,Data!$B:$B,3,Data!$G:$G,"Reformer")</f>
        <v>184.88899999999998</v>
      </c>
      <c r="L55" s="10">
        <f>SUMIFS(Data!$K:$K,Data!$A:$A,2027,Data!$B:$B,3,Data!$F:$F,"PADD 1")</f>
        <v>236.84879999999998</v>
      </c>
      <c r="M55" s="10">
        <f>SUMIFS(Data!$K:$K,Data!$A:$A,2027,Data!$B:$B,3,Data!$F:$F,"PADD 2")</f>
        <v>614.741</v>
      </c>
      <c r="N55" s="10">
        <f>SUMIFS(Data!$K:$K,Data!$A:$A,2027,Data!$B:$B,3,Data!$F:$F,"PADD 3")</f>
        <v>1544.8915</v>
      </c>
      <c r="O55" s="10">
        <f>SUMIFS(Data!$K:$K,Data!$A:$A,2027,Data!$B:$B,3,Data!$F:$F,"PADD 4")</f>
        <v>251.725</v>
      </c>
      <c r="P55" s="10">
        <f>SUMIFS(Data!$K:$K,Data!$A:$A,2027,Data!$B:$B,3,Data!$F:$F,"PADD 5")</f>
        <v>241.14600000000002</v>
      </c>
      <c r="Q55" s="10">
        <f>K55*ref_intake-H55*naph_yield</f>
        <v>-186.86000000000004</v>
      </c>
    </row>
    <row r="56" spans="1:17">
      <c r="A56" s="6">
        <v>2027</v>
      </c>
      <c r="B56" s="6">
        <v>4</v>
      </c>
      <c r="C56" s="9" t="s">
        <v>204</v>
      </c>
      <c r="D56" s="10">
        <f>SUMIFS(Data!$K:$K,Data!$A:$A,2027,Data!$B:$B,4)</f>
        <v>1954.1924</v>
      </c>
      <c r="E56" s="10">
        <f>SUMIFS(Data!$K:$K,Data!$A:$A,2027,Data!$B:$B,4,Data!$J:$J,"PLANNED")</f>
        <v>1954.1924</v>
      </c>
      <c r="F56" s="10">
        <f>SUMIFS(Data!$K:$K,Data!$A:$A,2027,Data!$B:$B,4,Data!$J:$J,"UNPLANNED")</f>
        <v>0.0</v>
      </c>
      <c r="G56" s="16">
        <f>IFERROR(F56/D56,0)</f>
        <v>0.0</v>
      </c>
      <c r="H56" s="10">
        <f>SUMIFS(Data!$K:$K,Data!$A:$A,2027,Data!$B:$B,4,Data!$G:$G,"CDU")</f>
        <v>663.255</v>
      </c>
      <c r="I56" s="10">
        <f>SUMIFS(Data!$K:$K,Data!$A:$A,2027,Data!$B:$B,4,Data!$G:$G,"FCC")</f>
        <v>150.455</v>
      </c>
      <c r="J56" s="10">
        <f>SUMIFS(Data!$K:$K,Data!$A:$A,2027,Data!$B:$B,4,Data!$G:$G,"Hydrocracker")</f>
        <v>39.15</v>
      </c>
      <c r="K56" s="10">
        <f>SUMIFS(Data!$K:$K,Data!$A:$A,2027,Data!$B:$B,4,Data!$G:$G,"Reformer")</f>
        <v>141.475</v>
      </c>
      <c r="L56" s="10">
        <f>SUMIFS(Data!$K:$K,Data!$A:$A,2027,Data!$B:$B,4,Data!$F:$F,"PADD 1")</f>
        <v>108.2632</v>
      </c>
      <c r="M56" s="10">
        <f>SUMIFS(Data!$K:$K,Data!$A:$A,2027,Data!$B:$B,4,Data!$F:$F,"PADD 2")</f>
        <v>911.25</v>
      </c>
      <c r="N56" s="10">
        <f>SUMIFS(Data!$K:$K,Data!$A:$A,2027,Data!$B:$B,4,Data!$F:$F,"PADD 3")</f>
        <v>664.0222</v>
      </c>
      <c r="O56" s="10">
        <f>SUMIFS(Data!$K:$K,Data!$A:$A,2027,Data!$B:$B,4,Data!$F:$F,"PADD 4")</f>
        <v>257.098</v>
      </c>
      <c r="P56" s="10">
        <f>SUMIFS(Data!$K:$K,Data!$A:$A,2027,Data!$B:$B,4,Data!$F:$F,"PADD 5")</f>
        <v>13.559000000000001</v>
      </c>
      <c r="Q56" s="10">
        <f>K56*ref_intake-H56*naph_yield</f>
        <v>-90.66424999999998</v>
      </c>
    </row>
    <row r="57" spans="1:17">
      <c r="A57" s="6">
        <v>2027</v>
      </c>
      <c r="B57" s="6">
        <v>5</v>
      </c>
      <c r="C57" s="9" t="s">
        <v>205</v>
      </c>
      <c r="D57" s="10">
        <f>SUMIFS(Data!$K:$K,Data!$A:$A,2027,Data!$B:$B,5)</f>
        <v>856.532</v>
      </c>
      <c r="E57" s="10">
        <f>SUMIFS(Data!$K:$K,Data!$A:$A,2027,Data!$B:$B,5,Data!$J:$J,"PLANNED")</f>
        <v>856.532</v>
      </c>
      <c r="F57" s="10">
        <f>SUMIFS(Data!$K:$K,Data!$A:$A,2027,Data!$B:$B,5,Data!$J:$J,"UNPLANNED")</f>
        <v>0.0</v>
      </c>
      <c r="G57" s="16">
        <f>IFERROR(F57/D57,0)</f>
        <v>0.0</v>
      </c>
      <c r="H57" s="10">
        <f>SUMIFS(Data!$K:$K,Data!$A:$A,2027,Data!$B:$B,5,Data!$G:$G,"CDU")</f>
        <v>320.192</v>
      </c>
      <c r="I57" s="10">
        <f>SUMIFS(Data!$K:$K,Data!$A:$A,2027,Data!$B:$B,5,Data!$G:$G,"FCC")</f>
        <v>23.3</v>
      </c>
      <c r="J57" s="10">
        <f>SUMIFS(Data!$K:$K,Data!$A:$A,2027,Data!$B:$B,5,Data!$G:$G,"Hydrocracker")</f>
        <v>0.0</v>
      </c>
      <c r="K57" s="10">
        <f>SUMIFS(Data!$K:$K,Data!$A:$A,2027,Data!$B:$B,5,Data!$G:$G,"Reformer")</f>
        <v>45.428</v>
      </c>
      <c r="L57" s="10">
        <f>SUMIFS(Data!$K:$K,Data!$A:$A,2027,Data!$B:$B,5,Data!$F:$F,"PADD 1")</f>
        <v>0.0</v>
      </c>
      <c r="M57" s="10">
        <f>SUMIFS(Data!$K:$K,Data!$A:$A,2027,Data!$B:$B,5,Data!$F:$F,"PADD 2")</f>
        <v>428.63</v>
      </c>
      <c r="N57" s="10">
        <f>SUMIFS(Data!$K:$K,Data!$A:$A,2027,Data!$B:$B,5,Data!$F:$F,"PADD 3")</f>
        <v>134.4</v>
      </c>
      <c r="O57" s="10">
        <f>SUMIFS(Data!$K:$K,Data!$A:$A,2027,Data!$B:$B,5,Data!$F:$F,"PADD 4")</f>
        <v>242.162</v>
      </c>
      <c r="P57" s="10">
        <f>SUMIFS(Data!$K:$K,Data!$A:$A,2027,Data!$B:$B,5,Data!$F:$F,"PADD 5")</f>
        <v>51.339999999999996</v>
      </c>
      <c r="Q57" s="10">
        <f>K57*ref_intake-H57*naph_yield</f>
        <v>-66.6392</v>
      </c>
    </row>
    <row r="58" spans="1:17">
      <c r="A58" s="6">
        <v>2027</v>
      </c>
      <c r="B58" s="6">
        <v>6</v>
      </c>
      <c r="C58" s="9" t="s">
        <v>206</v>
      </c>
      <c r="D58" s="10">
        <f>SUMIFS(Data!$K:$K,Data!$A:$A,2027,Data!$B:$B,6)</f>
        <v>215.305</v>
      </c>
      <c r="E58" s="10">
        <f>SUMIFS(Data!$K:$K,Data!$A:$A,2027,Data!$B:$B,6,Data!$J:$J,"PLANNED")</f>
        <v>215.305</v>
      </c>
      <c r="F58" s="10">
        <f>SUMIFS(Data!$K:$K,Data!$A:$A,2027,Data!$B:$B,6,Data!$J:$J,"UNPLANNED")</f>
        <v>0.0</v>
      </c>
      <c r="G58" s="16">
        <f>IFERROR(F58/D58,0)</f>
        <v>0.0</v>
      </c>
      <c r="H58" s="10">
        <f>SUMIFS(Data!$K:$K,Data!$A:$A,2027,Data!$B:$B,6,Data!$G:$G,"CDU")</f>
        <v>96.0</v>
      </c>
      <c r="I58" s="10">
        <f>SUMIFS(Data!$K:$K,Data!$A:$A,2027,Data!$B:$B,6,Data!$G:$G,"FCC")</f>
        <v>68.255</v>
      </c>
      <c r="J58" s="10">
        <f>SUMIFS(Data!$K:$K,Data!$A:$A,2027,Data!$B:$B,6,Data!$G:$G,"Hydrocracker")</f>
        <v>0.0</v>
      </c>
      <c r="K58" s="10">
        <f>SUMIFS(Data!$K:$K,Data!$A:$A,2027,Data!$B:$B,6,Data!$G:$G,"Reformer")</f>
        <v>0.3</v>
      </c>
      <c r="L58" s="10">
        <f>SUMIFS(Data!$K:$K,Data!$A:$A,2027,Data!$B:$B,6,Data!$F:$F,"PADD 1")</f>
        <v>0.0</v>
      </c>
      <c r="M58" s="10">
        <f>SUMIFS(Data!$K:$K,Data!$A:$A,2027,Data!$B:$B,6,Data!$F:$F,"PADD 2")</f>
        <v>0.0</v>
      </c>
      <c r="N58" s="10">
        <f>SUMIFS(Data!$K:$K,Data!$A:$A,2027,Data!$B:$B,6,Data!$F:$F,"PADD 3")</f>
        <v>210.95</v>
      </c>
      <c r="O58" s="10">
        <f>SUMIFS(Data!$K:$K,Data!$A:$A,2027,Data!$B:$B,6,Data!$F:$F,"PADD 4")</f>
        <v>0.855</v>
      </c>
      <c r="P58" s="10">
        <f>SUMIFS(Data!$K:$K,Data!$A:$A,2027,Data!$B:$B,6,Data!$F:$F,"PADD 5")</f>
        <v>3.5</v>
      </c>
      <c r="Q58" s="10">
        <f>K58*ref_intake-H58*naph_yield</f>
        <v>-33.3</v>
      </c>
    </row>
    <row r="59" spans="1:17">
      <c r="A59" s="6">
        <v>2027</v>
      </c>
      <c r="B59" s="6">
        <v>7</v>
      </c>
      <c r="C59" s="9" t="s">
        <v>207</v>
      </c>
      <c r="D59" s="10">
        <f>SUMIFS(Data!$K:$K,Data!$A:$A,2027,Data!$B:$B,7)</f>
        <v>167.5</v>
      </c>
      <c r="E59" s="10">
        <f>SUMIFS(Data!$K:$K,Data!$A:$A,2027,Data!$B:$B,7,Data!$J:$J,"PLANNED")</f>
        <v>167.5</v>
      </c>
      <c r="F59" s="10">
        <f>SUMIFS(Data!$K:$K,Data!$A:$A,2027,Data!$B:$B,7,Data!$J:$J,"UNPLANNED")</f>
        <v>0.0</v>
      </c>
      <c r="G59" s="16">
        <f>IFERROR(F59/D59,0)</f>
        <v>0.0</v>
      </c>
      <c r="H59" s="10">
        <f>SUMIFS(Data!$K:$K,Data!$A:$A,2027,Data!$B:$B,7,Data!$G:$G,"CDU")</f>
        <v>96.0</v>
      </c>
      <c r="I59" s="10">
        <f>SUMIFS(Data!$K:$K,Data!$A:$A,2027,Data!$B:$B,7,Data!$G:$G,"FCC")</f>
        <v>68.0</v>
      </c>
      <c r="J59" s="10">
        <f>SUMIFS(Data!$K:$K,Data!$A:$A,2027,Data!$B:$B,7,Data!$G:$G,"Hydrocracker")</f>
        <v>0.0</v>
      </c>
      <c r="K59" s="10">
        <f>SUMIFS(Data!$K:$K,Data!$A:$A,2027,Data!$B:$B,7,Data!$G:$G,"Reformer")</f>
        <v>0.0</v>
      </c>
      <c r="L59" s="10">
        <f>SUMIFS(Data!$K:$K,Data!$A:$A,2027,Data!$B:$B,7,Data!$F:$F,"PADD 1")</f>
        <v>0.0</v>
      </c>
      <c r="M59" s="10">
        <f>SUMIFS(Data!$K:$K,Data!$A:$A,2027,Data!$B:$B,7,Data!$F:$F,"PADD 2")</f>
        <v>0.0</v>
      </c>
      <c r="N59" s="10">
        <f>SUMIFS(Data!$K:$K,Data!$A:$A,2027,Data!$B:$B,7,Data!$F:$F,"PADD 3")</f>
        <v>164.0</v>
      </c>
      <c r="O59" s="10">
        <f>SUMIFS(Data!$K:$K,Data!$A:$A,2027,Data!$B:$B,7,Data!$F:$F,"PADD 4")</f>
        <v>0.0</v>
      </c>
      <c r="P59" s="10">
        <f>SUMIFS(Data!$K:$K,Data!$A:$A,2027,Data!$B:$B,7,Data!$F:$F,"PADD 5")</f>
        <v>3.5</v>
      </c>
      <c r="Q59" s="10">
        <f>K59*ref_intake-H59*naph_yield</f>
        <v>-33.599999999999994</v>
      </c>
    </row>
    <row r="60" spans="1:17">
      <c r="A60" s="6">
        <v>2027</v>
      </c>
      <c r="B60" s="6">
        <v>8</v>
      </c>
      <c r="C60" s="9" t="s">
        <v>208</v>
      </c>
      <c r="D60" s="10">
        <f>SUMIFS(Data!$K:$K,Data!$A:$A,2027,Data!$B:$B,8)</f>
        <v>51.06</v>
      </c>
      <c r="E60" s="10">
        <f>SUMIFS(Data!$K:$K,Data!$A:$A,2027,Data!$B:$B,8,Data!$J:$J,"PLANNED")</f>
        <v>51.06</v>
      </c>
      <c r="F60" s="10">
        <f>SUMIFS(Data!$K:$K,Data!$A:$A,2027,Data!$B:$B,8,Data!$J:$J,"UNPLANNED")</f>
        <v>0.0</v>
      </c>
      <c r="G60" s="16">
        <f>IFERROR(F60/D60,0)</f>
        <v>0.0</v>
      </c>
      <c r="H60" s="10">
        <f>SUMIFS(Data!$K:$K,Data!$A:$A,2027,Data!$B:$B,8,Data!$G:$G,"CDU")</f>
        <v>27.84</v>
      </c>
      <c r="I60" s="10">
        <f>SUMIFS(Data!$K:$K,Data!$A:$A,2027,Data!$B:$B,8,Data!$G:$G,"FCC")</f>
        <v>19.72</v>
      </c>
      <c r="J60" s="10">
        <f>SUMIFS(Data!$K:$K,Data!$A:$A,2027,Data!$B:$B,8,Data!$G:$G,"Hydrocracker")</f>
        <v>0.0</v>
      </c>
      <c r="K60" s="10">
        <f>SUMIFS(Data!$K:$K,Data!$A:$A,2027,Data!$B:$B,8,Data!$G:$G,"Reformer")</f>
        <v>0.0</v>
      </c>
      <c r="L60" s="10">
        <f>SUMIFS(Data!$K:$K,Data!$A:$A,2027,Data!$B:$B,8,Data!$F:$F,"PADD 1")</f>
        <v>0.0</v>
      </c>
      <c r="M60" s="10">
        <f>SUMIFS(Data!$K:$K,Data!$A:$A,2027,Data!$B:$B,8,Data!$F:$F,"PADD 2")</f>
        <v>0.0</v>
      </c>
      <c r="N60" s="10">
        <f>SUMIFS(Data!$K:$K,Data!$A:$A,2027,Data!$B:$B,8,Data!$F:$F,"PADD 3")</f>
        <v>47.56</v>
      </c>
      <c r="O60" s="10">
        <f>SUMIFS(Data!$K:$K,Data!$A:$A,2027,Data!$B:$B,8,Data!$F:$F,"PADD 4")</f>
        <v>0.0</v>
      </c>
      <c r="P60" s="10">
        <f>SUMIFS(Data!$K:$K,Data!$A:$A,2027,Data!$B:$B,8,Data!$F:$F,"PADD 5")</f>
        <v>3.5</v>
      </c>
      <c r="Q60" s="10">
        <f>K60*ref_intake-H60*naph_yield</f>
        <v>-9.744</v>
      </c>
    </row>
    <row r="61" spans="1:17">
      <c r="A61" s="6">
        <v>2027</v>
      </c>
      <c r="B61" s="6">
        <v>9</v>
      </c>
      <c r="C61" s="9" t="s">
        <v>209</v>
      </c>
      <c r="D61" s="10">
        <f>SUMIFS(Data!$K:$K,Data!$A:$A,2027,Data!$B:$B,9)</f>
        <v>2763.7719</v>
      </c>
      <c r="E61" s="10">
        <f>SUMIFS(Data!$K:$K,Data!$A:$A,2027,Data!$B:$B,9,Data!$J:$J,"PLANNED")</f>
        <v>2763.7719</v>
      </c>
      <c r="F61" s="10">
        <f>SUMIFS(Data!$K:$K,Data!$A:$A,2027,Data!$B:$B,9,Data!$J:$J,"UNPLANNED")</f>
        <v>0.0</v>
      </c>
      <c r="G61" s="16">
        <f>IFERROR(F61/D61,0)</f>
        <v>0.0</v>
      </c>
      <c r="H61" s="10">
        <f>SUMIFS(Data!$K:$K,Data!$A:$A,2027,Data!$B:$B,9,Data!$G:$G,"CDU")</f>
        <v>976.735</v>
      </c>
      <c r="I61" s="10">
        <f>SUMIFS(Data!$K:$K,Data!$A:$A,2027,Data!$B:$B,9,Data!$G:$G,"FCC")</f>
        <v>176.274</v>
      </c>
      <c r="J61" s="10">
        <f>SUMIFS(Data!$K:$K,Data!$A:$A,2027,Data!$B:$B,9,Data!$G:$G,"Hydrocracker")</f>
        <v>104.88</v>
      </c>
      <c r="K61" s="10">
        <f>SUMIFS(Data!$K:$K,Data!$A:$A,2027,Data!$B:$B,9,Data!$G:$G,"Reformer")</f>
        <v>112.05</v>
      </c>
      <c r="L61" s="10">
        <f>SUMIFS(Data!$K:$K,Data!$A:$A,2027,Data!$B:$B,9,Data!$F:$F,"PADD 1")</f>
        <v>38.7069</v>
      </c>
      <c r="M61" s="10">
        <f>SUMIFS(Data!$K:$K,Data!$A:$A,2027,Data!$B:$B,9,Data!$F:$F,"PADD 2")</f>
        <v>945.4159999999999</v>
      </c>
      <c r="N61" s="10">
        <f>SUMIFS(Data!$K:$K,Data!$A:$A,2027,Data!$B:$B,9,Data!$F:$F,"PADD 3")</f>
        <v>1545.905</v>
      </c>
      <c r="O61" s="10">
        <f>SUMIFS(Data!$K:$K,Data!$A:$A,2027,Data!$B:$B,9,Data!$F:$F,"PADD 4")</f>
        <v>42.994</v>
      </c>
      <c r="P61" s="10">
        <f>SUMIFS(Data!$K:$K,Data!$A:$A,2027,Data!$B:$B,9,Data!$F:$F,"PADD 5")</f>
        <v>190.75</v>
      </c>
      <c r="Q61" s="10">
        <f>K61*ref_intake-H61*naph_yield</f>
        <v>-229.80724999999995</v>
      </c>
    </row>
    <row r="62" spans="1:17">
      <c r="A62" s="6">
        <v>2027</v>
      </c>
      <c r="B62" s="6">
        <v>10</v>
      </c>
      <c r="C62" s="9" t="s">
        <v>210</v>
      </c>
      <c r="D62" s="10">
        <f>SUMIFS(Data!$K:$K,Data!$A:$A,2027,Data!$B:$B,10)</f>
        <v>2799.5469</v>
      </c>
      <c r="E62" s="10">
        <f>SUMIFS(Data!$K:$K,Data!$A:$A,2027,Data!$B:$B,10,Data!$J:$J,"PLANNED")</f>
        <v>2799.5469</v>
      </c>
      <c r="F62" s="10">
        <f>SUMIFS(Data!$K:$K,Data!$A:$A,2027,Data!$B:$B,10,Data!$J:$J,"UNPLANNED")</f>
        <v>0.0</v>
      </c>
      <c r="G62" s="16">
        <f>IFERROR(F62/D62,0)</f>
        <v>0.0</v>
      </c>
      <c r="H62" s="10">
        <f>SUMIFS(Data!$K:$K,Data!$A:$A,2027,Data!$B:$B,10,Data!$G:$G,"CDU")</f>
        <v>1307.315</v>
      </c>
      <c r="I62" s="10">
        <f>SUMIFS(Data!$K:$K,Data!$A:$A,2027,Data!$B:$B,10,Data!$G:$G,"FCC")</f>
        <v>189.624</v>
      </c>
      <c r="J62" s="10">
        <f>SUMIFS(Data!$K:$K,Data!$A:$A,2027,Data!$B:$B,10,Data!$G:$G,"Hydrocracker")</f>
        <v>63.940000000000005</v>
      </c>
      <c r="K62" s="10">
        <f>SUMIFS(Data!$K:$K,Data!$A:$A,2027,Data!$B:$B,10,Data!$G:$G,"Reformer")</f>
        <v>109.94500000000001</v>
      </c>
      <c r="L62" s="10">
        <f>SUMIFS(Data!$K:$K,Data!$A:$A,2027,Data!$B:$B,10,Data!$F:$F,"PADD 1")</f>
        <v>5.5959</v>
      </c>
      <c r="M62" s="10">
        <f>SUMIFS(Data!$K:$K,Data!$A:$A,2027,Data!$B:$B,10,Data!$F:$F,"PADD 2")</f>
        <v>427.22999999999996</v>
      </c>
      <c r="N62" s="10">
        <f>SUMIFS(Data!$K:$K,Data!$A:$A,2027,Data!$B:$B,10,Data!$F:$F,"PADD 3")</f>
        <v>1819.237</v>
      </c>
      <c r="O62" s="10">
        <f>SUMIFS(Data!$K:$K,Data!$A:$A,2027,Data!$B:$B,10,Data!$F:$F,"PADD 4")</f>
        <v>34.444</v>
      </c>
      <c r="P62" s="10">
        <f>SUMIFS(Data!$K:$K,Data!$A:$A,2027,Data!$B:$B,10,Data!$F:$F,"PADD 5")</f>
        <v>513.04</v>
      </c>
      <c r="Q62" s="10">
        <f>K62*ref_intake-H62*naph_yield</f>
        <v>-347.61525</v>
      </c>
    </row>
    <row r="63" spans="1:17">
      <c r="A63" s="6">
        <v>2027</v>
      </c>
      <c r="B63" s="6">
        <v>11</v>
      </c>
      <c r="C63" s="9" t="s">
        <v>211</v>
      </c>
      <c r="D63" s="10">
        <f>SUMIFS(Data!$K:$K,Data!$A:$A,2027,Data!$B:$B,11)</f>
        <v>546.936</v>
      </c>
      <c r="E63" s="10">
        <f>SUMIFS(Data!$K:$K,Data!$A:$A,2027,Data!$B:$B,11,Data!$J:$J,"PLANNED")</f>
        <v>546.936</v>
      </c>
      <c r="F63" s="10">
        <f>SUMIFS(Data!$K:$K,Data!$A:$A,2027,Data!$B:$B,11,Data!$J:$J,"UNPLANNED")</f>
        <v>0.0</v>
      </c>
      <c r="G63" s="16">
        <f>IFERROR(F63/D63,0)</f>
        <v>0.0</v>
      </c>
      <c r="H63" s="10">
        <f>SUMIFS(Data!$K:$K,Data!$A:$A,2027,Data!$B:$B,11,Data!$G:$G,"CDU")</f>
        <v>283.90000000000003</v>
      </c>
      <c r="I63" s="10">
        <f>SUMIFS(Data!$K:$K,Data!$A:$A,2027,Data!$B:$B,11,Data!$G:$G,"FCC")</f>
        <v>54.870000000000005</v>
      </c>
      <c r="J63" s="10">
        <f>SUMIFS(Data!$K:$K,Data!$A:$A,2027,Data!$B:$B,11,Data!$G:$G,"Hydrocracker")</f>
        <v>17.653</v>
      </c>
      <c r="K63" s="10">
        <f>SUMIFS(Data!$K:$K,Data!$A:$A,2027,Data!$B:$B,11,Data!$G:$G,"Reformer")</f>
        <v>20.105</v>
      </c>
      <c r="L63" s="10">
        <f>SUMIFS(Data!$K:$K,Data!$A:$A,2027,Data!$B:$B,11,Data!$F:$F,"PADD 1")</f>
        <v>0.0</v>
      </c>
      <c r="M63" s="10">
        <f>SUMIFS(Data!$K:$K,Data!$A:$A,2027,Data!$B:$B,11,Data!$F:$F,"PADD 2")</f>
        <v>1.8</v>
      </c>
      <c r="N63" s="10">
        <f>SUMIFS(Data!$K:$K,Data!$A:$A,2027,Data!$B:$B,11,Data!$F:$F,"PADD 3")</f>
        <v>446.13300000000004</v>
      </c>
      <c r="O63" s="10">
        <f>SUMIFS(Data!$K:$K,Data!$A:$A,2027,Data!$B:$B,11,Data!$F:$F,"PADD 4")</f>
        <v>4.753</v>
      </c>
      <c r="P63" s="10">
        <f>SUMIFS(Data!$K:$K,Data!$A:$A,2027,Data!$B:$B,11,Data!$F:$F,"PADD 5")</f>
        <v>94.25</v>
      </c>
      <c r="Q63" s="10">
        <f>K63*ref_intake-H63*naph_yield</f>
        <v>-79.26</v>
      </c>
    </row>
    <row r="64" spans="1:17">
      <c r="A64" s="6">
        <v>2027</v>
      </c>
      <c r="B64" s="6">
        <v>12</v>
      </c>
      <c r="C64" s="9" t="s">
        <v>212</v>
      </c>
      <c r="D64" s="10">
        <f>SUMIFS(Data!$K:$K,Data!$A:$A,2027,Data!$B:$B,12)</f>
        <v>3.5</v>
      </c>
      <c r="E64" s="10">
        <f>SUMIFS(Data!$K:$K,Data!$A:$A,2027,Data!$B:$B,12,Data!$J:$J,"PLANNED")</f>
        <v>3.5</v>
      </c>
      <c r="F64" s="10">
        <f>SUMIFS(Data!$K:$K,Data!$A:$A,2027,Data!$B:$B,12,Data!$J:$J,"UNPLANNED")</f>
        <v>0.0</v>
      </c>
      <c r="G64" s="16">
        <f>IFERROR(F64/D64,0)</f>
        <v>0.0</v>
      </c>
      <c r="H64" s="10">
        <f>SUMIFS(Data!$K:$K,Data!$A:$A,2027,Data!$B:$B,12,Data!$G:$G,"CDU")</f>
        <v>0.0</v>
      </c>
      <c r="I64" s="10">
        <f>SUMIFS(Data!$K:$K,Data!$A:$A,2027,Data!$B:$B,12,Data!$G:$G,"FCC")</f>
        <v>0.0</v>
      </c>
      <c r="J64" s="10">
        <f>SUMIFS(Data!$K:$K,Data!$A:$A,2027,Data!$B:$B,12,Data!$G:$G,"Hydrocracker")</f>
        <v>0.0</v>
      </c>
      <c r="K64" s="10">
        <f>SUMIFS(Data!$K:$K,Data!$A:$A,2027,Data!$B:$B,12,Data!$G:$G,"Reformer")</f>
        <v>0.0</v>
      </c>
      <c r="L64" s="10">
        <f>SUMIFS(Data!$K:$K,Data!$A:$A,2027,Data!$B:$B,12,Data!$F:$F,"PADD 1")</f>
        <v>0.0</v>
      </c>
      <c r="M64" s="10">
        <f>SUMIFS(Data!$K:$K,Data!$A:$A,2027,Data!$B:$B,12,Data!$F:$F,"PADD 2")</f>
        <v>0.0</v>
      </c>
      <c r="N64" s="10">
        <f>SUMIFS(Data!$K:$K,Data!$A:$A,2027,Data!$B:$B,12,Data!$F:$F,"PADD 3")</f>
        <v>0.0</v>
      </c>
      <c r="O64" s="10">
        <f>SUMIFS(Data!$K:$K,Data!$A:$A,2027,Data!$B:$B,12,Data!$F:$F,"PADD 4")</f>
        <v>0.0</v>
      </c>
      <c r="P64" s="10">
        <f>SUMIFS(Data!$K:$K,Data!$A:$A,2027,Data!$B:$B,12,Data!$F:$F,"PADD 5")</f>
        <v>3.5</v>
      </c>
      <c r="Q64" s="10">
        <f>K64*ref_intake-H64*naph_yield</f>
        <v>0.0</v>
      </c>
    </row>
    <row r="66" spans="1:6">
      <c r="A66" s="3" t="s">
        <v>356</v>
      </c>
    </row>
    <row r="67" spans="1:6">
      <c r="A67" s="7" t="s">
        <v>59</v>
      </c>
      <c r="B67" s="8" t="s">
        <v>18</v>
      </c>
      <c r="C67" s="8" t="s">
        <v>10</v>
      </c>
      <c r="D67" s="8" t="s">
        <v>11</v>
      </c>
      <c r="E67" s="8" t="s">
        <v>348</v>
      </c>
      <c r="F67" s="8" t="s">
        <v>357</v>
      </c>
    </row>
    <row r="68" spans="1:6">
      <c r="A68" s="9">
        <v>2023</v>
      </c>
      <c r="B68" s="10">
        <f>SUMIFS(Data!$K:$K,Data!$A:$A,2023)</f>
        <v>49891.3727</v>
      </c>
      <c r="C68" s="10">
        <f>SUMIFS(Data!$K:$K,Data!$A:$A,2023,Data!$J:$J,"PLANNED")</f>
        <v>26140.2458</v>
      </c>
      <c r="D68" s="10">
        <f>SUMIFS(Data!$K:$K,Data!$A:$A,2023,Data!$J:$J,"UNPLANNED")</f>
        <v>23751.1269</v>
      </c>
      <c r="E68" s="16">
        <f>IFERROR(D68/B68,0)</f>
        <v>0.47605679328201767</v>
      </c>
      <c r="F68" s="6" t="s">
        <v>358</v>
      </c>
    </row>
    <row r="69" spans="1:6">
      <c r="A69" s="9">
        <v>2024</v>
      </c>
      <c r="B69" s="10">
        <f>SUMIFS(Data!$K:$K,Data!$A:$A,2024)</f>
        <v>41965.0625</v>
      </c>
      <c r="C69" s="10">
        <f>SUMIFS(Data!$K:$K,Data!$A:$A,2024,Data!$J:$J,"PLANNED")</f>
        <v>20382.4957</v>
      </c>
      <c r="D69" s="10">
        <f>SUMIFS(Data!$K:$K,Data!$A:$A,2024,Data!$J:$J,"UNPLANNED")</f>
        <v>21582.5668</v>
      </c>
      <c r="E69" s="16">
        <f>IFERROR(D69/B69,0)</f>
        <v>0.5142984548158364</v>
      </c>
      <c r="F69" s="11">
        <f>IFERROR(B69/B68-1,0)</f>
        <v>-0.15887135933624053</v>
      </c>
    </row>
    <row r="70" spans="1:6">
      <c r="A70" s="9">
        <v>2025</v>
      </c>
      <c r="B70" s="10">
        <f>SUMIFS(Data!$K:$K,Data!$A:$A,2025)</f>
        <v>38746.1111</v>
      </c>
      <c r="C70" s="10">
        <f>SUMIFS(Data!$K:$K,Data!$A:$A,2025,Data!$J:$J,"PLANNED")</f>
        <v>19488.5576</v>
      </c>
      <c r="D70" s="10">
        <f>SUMIFS(Data!$K:$K,Data!$A:$A,2025,Data!$J:$J,"UNPLANNED")</f>
        <v>19257.5535</v>
      </c>
      <c r="E70" s="16">
        <f>IFERROR(D70/B70,0)</f>
        <v>0.497019002766448</v>
      </c>
      <c r="F70" s="11">
        <f>IFERROR(B70/B69-1,0)</f>
        <v>-0.0767055071108258</v>
      </c>
    </row>
    <row r="71" spans="1:6">
      <c r="A71" s="9">
        <v>2026</v>
      </c>
      <c r="B71" s="10">
        <f>SUMIFS(Data!$K:$K,Data!$A:$A,2026)</f>
        <v>21471.7923</v>
      </c>
      <c r="C71" s="10">
        <f>SUMIFS(Data!$K:$K,Data!$A:$A,2026,Data!$J:$J,"PLANNED")</f>
        <v>12068.482</v>
      </c>
      <c r="D71" s="10">
        <f>SUMIFS(Data!$K:$K,Data!$A:$A,2026,Data!$J:$J,"UNPLANNED")</f>
        <v>9403.3103</v>
      </c>
      <c r="E71" s="16">
        <f>IFERROR(D71/B71,0)</f>
        <v>0.4379378381002688</v>
      </c>
      <c r="F71" s="11">
        <f>IFERROR(B71/B70-1,0)</f>
        <v>-0.44583361554445133</v>
      </c>
    </row>
    <row r="72" spans="1:6">
      <c r="A72" s="9">
        <v>2027</v>
      </c>
      <c r="B72" s="10">
        <f>SUMIFS(Data!$K:$K,Data!$A:$A,2027)</f>
        <v>15466.1996</v>
      </c>
      <c r="C72" s="10">
        <f>SUMIFS(Data!$K:$K,Data!$A:$A,2027,Data!$J:$J,"PLANNED")</f>
        <v>15466.1996</v>
      </c>
      <c r="D72" s="10">
        <f>SUMIFS(Data!$K:$K,Data!$A:$A,2027,Data!$J:$J,"UNPLANNED")</f>
        <v>0.0</v>
      </c>
      <c r="E72" s="16">
        <f>IFERROR(D72/B72,0)</f>
        <v>0.0</v>
      </c>
      <c r="F72" s="11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48235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359</v>
      </c>
    </row>
    <row r="2" spans="1:8">
      <c r="A2" s="2" t="s">
        <v>360</v>
      </c>
    </row>
    <row r="4" spans="1:8">
      <c r="A4" s="3" t="s">
        <v>361</v>
      </c>
    </row>
    <row r="5" spans="1:8">
      <c r="A5" s="7" t="s">
        <v>34</v>
      </c>
      <c r="B5" s="7" t="s">
        <v>35</v>
      </c>
      <c r="C5" s="8" t="s">
        <v>77</v>
      </c>
      <c r="D5" s="8" t="s">
        <v>362</v>
      </c>
      <c r="E5" s="8" t="s">
        <v>363</v>
      </c>
      <c r="F5" s="8" t="s">
        <v>364</v>
      </c>
      <c r="G5" s="8" t="s">
        <v>365</v>
      </c>
      <c r="H5" s="8" t="s">
        <v>366</v>
      </c>
    </row>
    <row r="6" spans="1:8">
      <c r="A6" s="6" t="s">
        <v>49</v>
      </c>
      <c r="B6" s="6" t="s">
        <v>367</v>
      </c>
      <c r="C6" s="6" t="s">
        <v>12</v>
      </c>
      <c r="D6" s="6">
        <v>2025</v>
      </c>
      <c r="E6" s="6">
        <v>2026</v>
      </c>
      <c r="F6" s="6">
        <v>1</v>
      </c>
      <c r="G6" s="10">
        <v>72</v>
      </c>
      <c r="H6" s="10">
        <v>598</v>
      </c>
    </row>
    <row r="7" spans="1:8">
      <c r="A7" s="6" t="s">
        <v>368</v>
      </c>
      <c r="B7" s="6" t="s">
        <v>369</v>
      </c>
      <c r="C7" s="6" t="s">
        <v>12</v>
      </c>
      <c r="D7" s="6">
        <v>2023</v>
      </c>
      <c r="E7" s="6">
        <v>2027</v>
      </c>
      <c r="F7" s="6">
        <v>4</v>
      </c>
      <c r="G7" s="10">
        <v>442</v>
      </c>
      <c r="H7" s="10">
        <v>394</v>
      </c>
    </row>
    <row r="8" spans="1:8">
      <c r="A8" s="6" t="s">
        <v>370</v>
      </c>
      <c r="B8" s="6" t="s">
        <v>82</v>
      </c>
      <c r="C8" s="6" t="s">
        <v>12</v>
      </c>
      <c r="D8" s="6">
        <v>2026</v>
      </c>
      <c r="E8" s="6">
        <v>2027</v>
      </c>
      <c r="F8" s="6">
        <v>1</v>
      </c>
      <c r="G8" s="10">
        <v>68</v>
      </c>
      <c r="H8" s="10">
        <v>322</v>
      </c>
    </row>
    <row r="9" spans="1:8">
      <c r="A9" s="6" t="s">
        <v>371</v>
      </c>
      <c r="B9" s="6" t="s">
        <v>372</v>
      </c>
      <c r="C9" s="6" t="s">
        <v>12</v>
      </c>
      <c r="D9" s="6">
        <v>2025</v>
      </c>
      <c r="E9" s="6">
        <v>2026</v>
      </c>
      <c r="F9" s="6">
        <v>1</v>
      </c>
      <c r="G9" s="10">
        <v>36</v>
      </c>
      <c r="H9" s="10">
        <v>284</v>
      </c>
    </row>
    <row r="10" spans="1:8">
      <c r="A10" s="6" t="s">
        <v>373</v>
      </c>
      <c r="B10" s="6" t="s">
        <v>99</v>
      </c>
      <c r="C10" s="6" t="s">
        <v>12</v>
      </c>
      <c r="D10" s="6">
        <v>2025</v>
      </c>
      <c r="E10" s="6">
        <v>2027</v>
      </c>
      <c r="F10" s="6">
        <v>2</v>
      </c>
      <c r="G10" s="10">
        <v>96</v>
      </c>
      <c r="H10" s="10">
        <v>284</v>
      </c>
    </row>
    <row r="11" spans="1:8">
      <c r="A11" s="6" t="s">
        <v>373</v>
      </c>
      <c r="B11" s="6" t="s">
        <v>374</v>
      </c>
      <c r="C11" s="6" t="s">
        <v>12</v>
      </c>
      <c r="D11" s="6">
        <v>2025</v>
      </c>
      <c r="E11" s="6">
        <v>2027</v>
      </c>
      <c r="F11" s="6">
        <v>2</v>
      </c>
      <c r="G11" s="10">
        <v>194</v>
      </c>
      <c r="H11" s="10">
        <v>284</v>
      </c>
    </row>
    <row r="12" spans="1:8">
      <c r="A12" s="6" t="s">
        <v>375</v>
      </c>
      <c r="B12" s="6" t="s">
        <v>94</v>
      </c>
      <c r="C12" s="6" t="s">
        <v>12</v>
      </c>
      <c r="D12" s="6">
        <v>2024</v>
      </c>
      <c r="E12" s="6">
        <v>2027</v>
      </c>
      <c r="F12" s="6">
        <v>3</v>
      </c>
      <c r="G12" s="10">
        <v>40</v>
      </c>
      <c r="H12" s="10">
        <v>270</v>
      </c>
    </row>
    <row r="13" spans="1:8">
      <c r="A13" s="6" t="s">
        <v>376</v>
      </c>
      <c r="B13" s="6" t="s">
        <v>82</v>
      </c>
      <c r="C13" s="6" t="s">
        <v>12</v>
      </c>
      <c r="D13" s="6">
        <v>2024</v>
      </c>
      <c r="E13" s="6">
        <v>2026</v>
      </c>
      <c r="F13" s="6">
        <v>2</v>
      </c>
      <c r="G13" s="10">
        <v>151</v>
      </c>
      <c r="H13" s="10">
        <v>240</v>
      </c>
    </row>
    <row r="14" spans="1:8">
      <c r="A14" s="6" t="s">
        <v>377</v>
      </c>
      <c r="B14" s="6" t="s">
        <v>92</v>
      </c>
      <c r="C14" s="6" t="s">
        <v>12</v>
      </c>
      <c r="D14" s="6">
        <v>2026</v>
      </c>
      <c r="E14" s="6">
        <v>2027</v>
      </c>
      <c r="F14" s="6">
        <v>1</v>
      </c>
      <c r="G14" s="10">
        <v>112</v>
      </c>
      <c r="H14" s="10">
        <v>229</v>
      </c>
    </row>
    <row r="15" spans="1:8">
      <c r="A15" s="6" t="s">
        <v>378</v>
      </c>
      <c r="B15" s="6" t="s">
        <v>379</v>
      </c>
      <c r="C15" s="6" t="s">
        <v>12</v>
      </c>
      <c r="D15" s="6">
        <v>2025</v>
      </c>
      <c r="E15" s="6">
        <v>2026</v>
      </c>
      <c r="F15" s="6">
        <v>1</v>
      </c>
      <c r="G15" s="10">
        <v>110</v>
      </c>
      <c r="H15" s="10">
        <v>221</v>
      </c>
    </row>
    <row r="16" spans="1:8">
      <c r="A16" s="6" t="s">
        <v>378</v>
      </c>
      <c r="B16" s="6" t="s">
        <v>124</v>
      </c>
      <c r="C16" s="6" t="s">
        <v>12</v>
      </c>
      <c r="D16" s="6">
        <v>2024</v>
      </c>
      <c r="E16" s="6">
        <v>2027</v>
      </c>
      <c r="F16" s="6">
        <v>3</v>
      </c>
      <c r="G16" s="10">
        <v>132</v>
      </c>
      <c r="H16" s="10">
        <v>220</v>
      </c>
    </row>
    <row r="17" spans="1:9">
      <c r="A17" s="6" t="s">
        <v>380</v>
      </c>
      <c r="B17" s="6" t="s">
        <v>381</v>
      </c>
      <c r="C17" s="6" t="s">
        <v>12</v>
      </c>
      <c r="D17" s="6">
        <v>2024</v>
      </c>
      <c r="E17" s="6">
        <v>2026</v>
      </c>
      <c r="F17" s="6">
        <v>2</v>
      </c>
      <c r="G17" s="10">
        <v>91</v>
      </c>
      <c r="H17" s="10">
        <v>196</v>
      </c>
    </row>
    <row r="18" spans="1:9">
      <c r="A18" s="6" t="s">
        <v>382</v>
      </c>
      <c r="B18" s="6" t="s">
        <v>106</v>
      </c>
      <c r="C18" s="6" t="s">
        <v>13</v>
      </c>
      <c r="D18" s="6">
        <v>2024</v>
      </c>
      <c r="E18" s="6">
        <v>2027</v>
      </c>
      <c r="F18" s="6">
        <v>3</v>
      </c>
      <c r="G18" s="10">
        <v>60</v>
      </c>
      <c r="H18" s="10">
        <v>187</v>
      </c>
    </row>
    <row r="19" spans="1:9">
      <c r="A19" s="6" t="s">
        <v>370</v>
      </c>
      <c r="B19" s="6" t="s">
        <v>106</v>
      </c>
      <c r="C19" s="6" t="s">
        <v>13</v>
      </c>
      <c r="D19" s="6">
        <v>2026</v>
      </c>
      <c r="E19" s="6">
        <v>2027</v>
      </c>
      <c r="F19" s="6">
        <v>1</v>
      </c>
      <c r="G19" s="10">
        <v>30</v>
      </c>
      <c r="H19" s="10">
        <v>165</v>
      </c>
    </row>
    <row r="20" spans="1:9">
      <c r="A20" s="6" t="s">
        <v>383</v>
      </c>
      <c r="B20" s="6" t="s">
        <v>138</v>
      </c>
      <c r="C20" s="6" t="s">
        <v>12</v>
      </c>
      <c r="D20" s="6">
        <v>2024</v>
      </c>
      <c r="E20" s="6">
        <v>2027</v>
      </c>
      <c r="F20" s="6">
        <v>3</v>
      </c>
      <c r="G20" s="10">
        <v>8</v>
      </c>
      <c r="H20" s="10">
        <v>162</v>
      </c>
    </row>
    <row r="21" spans="1:9">
      <c r="A21" s="6" t="s">
        <v>384</v>
      </c>
      <c r="B21" s="6" t="s">
        <v>142</v>
      </c>
      <c r="C21" s="6" t="s">
        <v>13</v>
      </c>
      <c r="D21" s="6">
        <v>2025</v>
      </c>
      <c r="E21" s="6">
        <v>2027</v>
      </c>
      <c r="F21" s="6">
        <v>2</v>
      </c>
      <c r="G21" s="10">
        <v>85</v>
      </c>
      <c r="H21" s="10">
        <v>158</v>
      </c>
    </row>
    <row r="22" spans="1:9">
      <c r="A22" s="12" t="s">
        <v>385</v>
      </c>
      <c r="B22" s="12"/>
      <c r="C22" s="12"/>
      <c r="D22" s="12"/>
      <c r="E22" s="12"/>
      <c r="F22" s="12"/>
      <c r="G22" s="12"/>
      <c r="H22" s="12"/>
      <c r="I22" s="12"/>
    </row>
    <row r="24" spans="1:9">
      <c r="A24" s="3" t="s">
        <v>386</v>
      </c>
    </row>
    <row r="25" spans="1:9">
      <c r="A25" s="8" t="s">
        <v>59</v>
      </c>
      <c r="B25" s="8" t="s">
        <v>148</v>
      </c>
      <c r="C25" s="7" t="s">
        <v>34</v>
      </c>
      <c r="D25" s="7" t="s">
        <v>35</v>
      </c>
      <c r="E25" s="8" t="s">
        <v>77</v>
      </c>
      <c r="F25" s="8" t="s">
        <v>387</v>
      </c>
      <c r="G25" s="8" t="s">
        <v>388</v>
      </c>
      <c r="H25" s="8" t="s">
        <v>389</v>
      </c>
      <c r="I25" s="8" t="s">
        <v>79</v>
      </c>
    </row>
    <row r="26" spans="1:9">
      <c r="A26" s="6">
        <v>2026</v>
      </c>
      <c r="B26" s="6">
        <v>2</v>
      </c>
      <c r="C26" s="6" t="s">
        <v>51</v>
      </c>
      <c r="D26" s="6" t="s">
        <v>390</v>
      </c>
      <c r="E26" s="6" t="s">
        <v>12</v>
      </c>
      <c r="F26" s="10">
        <v>192.1</v>
      </c>
      <c r="G26" s="10">
        <v>115</v>
      </c>
      <c r="H26" s="16">
        <v>1.67</v>
      </c>
      <c r="I26" s="6" t="s">
        <v>391</v>
      </c>
    </row>
    <row r="27" spans="1:9">
      <c r="A27" s="6">
        <v>2026</v>
      </c>
      <c r="B27" s="6">
        <v>4</v>
      </c>
      <c r="C27" s="6" t="s">
        <v>392</v>
      </c>
      <c r="D27" s="6" t="s">
        <v>393</v>
      </c>
      <c r="E27" s="6" t="s">
        <v>13</v>
      </c>
      <c r="F27" s="10">
        <v>155</v>
      </c>
      <c r="G27" s="10">
        <v>80</v>
      </c>
      <c r="H27" s="16">
        <v>1.94</v>
      </c>
      <c r="I27" s="6" t="s">
        <v>394</v>
      </c>
    </row>
    <row r="28" spans="1:9">
      <c r="A28" s="6">
        <v>2026</v>
      </c>
      <c r="B28" s="6">
        <v>5</v>
      </c>
      <c r="C28" s="6" t="s">
        <v>395</v>
      </c>
      <c r="D28" s="6" t="s">
        <v>106</v>
      </c>
      <c r="E28" s="6" t="s">
        <v>13</v>
      </c>
      <c r="F28" s="10">
        <v>93.90000000000001</v>
      </c>
      <c r="G28" s="10">
        <v>82</v>
      </c>
      <c r="H28" s="16">
        <v>1.14</v>
      </c>
      <c r="I28" s="6" t="s">
        <v>394</v>
      </c>
    </row>
    <row r="29" spans="1:9">
      <c r="A29" s="6">
        <v>2026</v>
      </c>
      <c r="B29" s="6">
        <v>11</v>
      </c>
      <c r="C29" s="6" t="s">
        <v>396</v>
      </c>
      <c r="D29" s="6" t="s">
        <v>397</v>
      </c>
      <c r="E29" s="6" t="s">
        <v>15</v>
      </c>
      <c r="F29" s="10">
        <v>15</v>
      </c>
      <c r="G29" s="10">
        <v>7.5</v>
      </c>
      <c r="H29" s="16">
        <v>2</v>
      </c>
      <c r="I29" s="6" t="s">
        <v>398</v>
      </c>
    </row>
    <row r="30" spans="1:9">
      <c r="A30" s="6">
        <v>2026</v>
      </c>
      <c r="B30" s="6">
        <v>4</v>
      </c>
      <c r="C30" s="6" t="s">
        <v>392</v>
      </c>
      <c r="D30" s="6" t="s">
        <v>399</v>
      </c>
      <c r="E30" s="6" t="s">
        <v>12</v>
      </c>
      <c r="F30" s="10">
        <v>217</v>
      </c>
      <c r="G30" s="10">
        <v>210</v>
      </c>
      <c r="H30" s="16">
        <v>1.03</v>
      </c>
      <c r="I30" s="6" t="s">
        <v>394</v>
      </c>
    </row>
    <row r="31" spans="1:9">
      <c r="A31" s="6">
        <v>2026</v>
      </c>
      <c r="B31" s="6">
        <v>3</v>
      </c>
      <c r="C31" s="6" t="s">
        <v>392</v>
      </c>
      <c r="D31" s="6" t="s">
        <v>400</v>
      </c>
      <c r="E31" s="6" t="s">
        <v>14</v>
      </c>
      <c r="F31" s="10">
        <v>50.8</v>
      </c>
      <c r="G31" s="10">
        <v>45</v>
      </c>
      <c r="H31" s="16">
        <v>1.13</v>
      </c>
      <c r="I31" s="6" t="s">
        <v>391</v>
      </c>
    </row>
    <row r="32" spans="1:9">
      <c r="A32" s="12" t="s">
        <v>401</v>
      </c>
      <c r="B32" s="12"/>
      <c r="C32" s="12"/>
      <c r="D32" s="12"/>
      <c r="E32" s="12"/>
      <c r="F32" s="12"/>
      <c r="G32" s="12"/>
      <c r="H32" s="12"/>
      <c r="I32" s="12"/>
    </row>
  </sheetData>
  <mergeCells count="2">
    <mergeCell ref="A22:I22"/>
    <mergeCell ref="A32:I3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548235"/>
  </sheetPr>
  <dimension ref="A1:N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  <col min="14" max="14" width="11.7109375" customWidth="1"/>
  </cols>
  <sheetData>
    <row r="1" spans="1:14" ht="22" customHeight="1">
      <c r="A1" s="1" t="s">
        <v>402</v>
      </c>
    </row>
    <row r="2" spans="1:14">
      <c r="A2" s="2" t="s">
        <v>403</v>
      </c>
    </row>
    <row r="4" spans="1:14">
      <c r="A4" s="8" t="s">
        <v>404</v>
      </c>
      <c r="B4" s="8" t="s">
        <v>405</v>
      </c>
      <c r="C4" s="8" t="s">
        <v>406</v>
      </c>
      <c r="D4" s="8" t="s">
        <v>407</v>
      </c>
      <c r="E4" s="8" t="s">
        <v>408</v>
      </c>
      <c r="F4" s="8" t="s">
        <v>409</v>
      </c>
      <c r="G4" s="8" t="s">
        <v>410</v>
      </c>
      <c r="H4" s="8" t="s">
        <v>411</v>
      </c>
      <c r="I4" s="8" t="s">
        <v>412</v>
      </c>
      <c r="J4" s="8" t="s">
        <v>413</v>
      </c>
      <c r="K4" s="8" t="s">
        <v>414</v>
      </c>
      <c r="L4" s="8" t="s">
        <v>415</v>
      </c>
      <c r="M4" s="8" t="s">
        <v>416</v>
      </c>
      <c r="N4" s="8" t="s">
        <v>417</v>
      </c>
    </row>
    <row r="5" spans="1:14">
      <c r="A5" s="6">
        <v>2023</v>
      </c>
      <c r="B5" s="6">
        <v>1</v>
      </c>
      <c r="C5" s="6" t="s">
        <v>60</v>
      </c>
      <c r="D5" s="6" t="s">
        <v>418</v>
      </c>
      <c r="E5" s="6" t="s">
        <v>419</v>
      </c>
      <c r="F5" s="6" t="str">
        <f>IF($M5="PADD I","PADD 1",IF($M5="PADD II","PADD 2",IF($M5="PADD III","PADD 3",IF($M5="PADD IV","PADD 4",IF($M5="PADD V","PADD 5","")))))</f>
        <v>PADD 3</v>
      </c>
      <c r="G5" s="6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6" t="s">
        <v>39</v>
      </c>
      <c r="I5" s="6" t="s">
        <v>420</v>
      </c>
      <c r="J5" s="6" t="s">
        <v>398</v>
      </c>
      <c r="K5" s="10">
        <v>269.14</v>
      </c>
      <c r="L5" s="10">
        <v>269.14</v>
      </c>
      <c r="M5" s="6" t="s">
        <v>421</v>
      </c>
      <c r="N5" s="6">
        <f>IF(OR($G5="FCC",$G5="Hydrocracker",$G5="Reformer"),IF(COUNTIFS($D:$D,$D5,$A:$A,$A5,$B:$B,$B5,$G:$G,"CDU",$J:$J,"PLANNED")&gt;0,"tied","standalone"),"")</f>
        <v/>
      </c>
    </row>
    <row r="6" spans="1:14">
      <c r="A6" s="6">
        <v>2023</v>
      </c>
      <c r="B6" s="6">
        <v>1</v>
      </c>
      <c r="C6" s="6" t="s">
        <v>60</v>
      </c>
      <c r="D6" s="6" t="s">
        <v>422</v>
      </c>
      <c r="E6" s="6" t="s">
        <v>423</v>
      </c>
      <c r="F6" s="6" t="str">
        <f>IF($M6="PADD I","PADD 1",IF($M6="PADD II","PADD 2",IF($M6="PADD III","PADD 3",IF($M6="PADD IV","PADD 4",IF($M6="PADD V","PADD 5","")))))</f>
        <v>PADD 2</v>
      </c>
      <c r="G6" s="6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6" t="s">
        <v>39</v>
      </c>
      <c r="I6" s="6" t="s">
        <v>424</v>
      </c>
      <c r="J6" s="6" t="s">
        <v>394</v>
      </c>
      <c r="K6" s="10">
        <v>110</v>
      </c>
      <c r="L6" s="10">
        <v>110</v>
      </c>
      <c r="M6" s="6" t="s">
        <v>425</v>
      </c>
      <c r="N6" s="6">
        <f>IF(OR($G6="FCC",$G6="Hydrocracker",$G6="Reformer"),IF(COUNTIFS($D:$D,$D6,$A:$A,$A6,$B:$B,$B6,$G:$G,"CDU",$J:$J,"PLANNED")&gt;0,"tied","standalone"),"")</f>
        <v/>
      </c>
    </row>
    <row r="7" spans="1:14">
      <c r="A7" s="6">
        <v>2023</v>
      </c>
      <c r="B7" s="6">
        <v>1</v>
      </c>
      <c r="C7" s="6" t="s">
        <v>60</v>
      </c>
      <c r="D7" s="6" t="s">
        <v>418</v>
      </c>
      <c r="E7" s="6" t="s">
        <v>419</v>
      </c>
      <c r="F7" s="6" t="str">
        <f>IF($M7="PADD I","PADD 1",IF($M7="PADD II","PADD 2",IF($M7="PADD III","PADD 3",IF($M7="PADD IV","PADD 4",IF($M7="PADD V","PADD 5","")))))</f>
        <v>PADD 3</v>
      </c>
      <c r="G7" s="6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6" t="s">
        <v>426</v>
      </c>
      <c r="I7" s="6" t="s">
        <v>427</v>
      </c>
      <c r="J7" s="6" t="s">
        <v>398</v>
      </c>
      <c r="K7" s="10">
        <v>104</v>
      </c>
      <c r="L7" s="10">
        <v>104</v>
      </c>
      <c r="M7" s="6" t="s">
        <v>421</v>
      </c>
      <c r="N7" s="6" t="str">
        <f>IF(OR($G7="FCC",$G7="Hydrocracker",$G7="Reformer"),IF(COUNTIFS($D:$D,$D7,$A:$A,$A7,$B:$B,$B7,$G:$G,"CDU",$J:$J,"PLANNED")&gt;0,"tied","standalone"),"")</f>
        <v>tied</v>
      </c>
    </row>
    <row r="8" spans="1:14">
      <c r="A8" s="6">
        <v>2023</v>
      </c>
      <c r="B8" s="6">
        <v>1</v>
      </c>
      <c r="C8" s="6" t="s">
        <v>60</v>
      </c>
      <c r="D8" s="6" t="s">
        <v>418</v>
      </c>
      <c r="E8" s="6" t="s">
        <v>419</v>
      </c>
      <c r="F8" s="6" t="str">
        <f>IF($M8="PADD I","PADD 1",IF($M8="PADD II","PADD 2",IF($M8="PADD III","PADD 3",IF($M8="PADD IV","PADD 4",IF($M8="PADD V","PADD 5","")))))</f>
        <v>PADD 3</v>
      </c>
      <c r="G8" s="6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6" t="s">
        <v>428</v>
      </c>
      <c r="I8" s="6" t="s">
        <v>429</v>
      </c>
      <c r="J8" s="6" t="s">
        <v>398</v>
      </c>
      <c r="K8" s="10">
        <v>103</v>
      </c>
      <c r="L8" s="10">
        <v>103</v>
      </c>
      <c r="M8" s="6" t="s">
        <v>421</v>
      </c>
      <c r="N8" s="6">
        <f>IF(OR($G8="FCC",$G8="Hydrocracker",$G8="Reformer"),IF(COUNTIFS($D:$D,$D8,$A:$A,$A8,$B:$B,$B8,$G:$G,"CDU",$J:$J,"PLANNED")&gt;0,"tied","standalone"),"")</f>
        <v/>
      </c>
    </row>
    <row r="9" spans="1:14">
      <c r="A9" s="6">
        <v>2023</v>
      </c>
      <c r="B9" s="6">
        <v>1</v>
      </c>
      <c r="C9" s="6" t="s">
        <v>60</v>
      </c>
      <c r="D9" s="6" t="s">
        <v>430</v>
      </c>
      <c r="E9" s="6" t="s">
        <v>431</v>
      </c>
      <c r="F9" s="6" t="str">
        <f>IF($M9="PADD I","PADD 1",IF($M9="PADD II","PADD 2",IF($M9="PADD III","PADD 3",IF($M9="PADD IV","PADD 4",IF($M9="PADD V","PADD 5","")))))</f>
        <v>PADD 3</v>
      </c>
      <c r="G9" s="6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6" t="s">
        <v>39</v>
      </c>
      <c r="I9" s="6" t="s">
        <v>432</v>
      </c>
      <c r="J9" s="6" t="s">
        <v>398</v>
      </c>
      <c r="K9" s="10">
        <v>100.8</v>
      </c>
      <c r="L9" s="10">
        <v>210</v>
      </c>
      <c r="M9" s="6" t="s">
        <v>421</v>
      </c>
      <c r="N9" s="6">
        <f>IF(OR($G9="FCC",$G9="Hydrocracker",$G9="Reformer"),IF(COUNTIFS($D:$D,$D9,$A:$A,$A9,$B:$B,$B9,$G:$G,"CDU",$J:$J,"PLANNED")&gt;0,"tied","standalone"),"")</f>
        <v/>
      </c>
    </row>
    <row r="10" spans="1:14">
      <c r="A10" s="6">
        <v>2023</v>
      </c>
      <c r="B10" s="6">
        <v>1</v>
      </c>
      <c r="C10" s="6" t="s">
        <v>60</v>
      </c>
      <c r="D10" s="6" t="s">
        <v>382</v>
      </c>
      <c r="E10" s="6" t="s">
        <v>431</v>
      </c>
      <c r="F10" s="6" t="str">
        <f>IF($M10="PADD I","PADD 1",IF($M10="PADD II","PADD 2",IF($M10="PADD III","PADD 3",IF($M10="PADD IV","PADD 4",IF($M10="PADD V","PADD 5","")))))</f>
        <v>PADD 3</v>
      </c>
      <c r="G10" s="6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6" t="s">
        <v>426</v>
      </c>
      <c r="I10" s="6" t="s">
        <v>106</v>
      </c>
      <c r="J10" s="6" t="s">
        <v>398</v>
      </c>
      <c r="K10" s="10">
        <v>92.40000000000001</v>
      </c>
      <c r="L10" s="10">
        <v>120</v>
      </c>
      <c r="M10" s="6" t="s">
        <v>421</v>
      </c>
      <c r="N10" s="6" t="str">
        <f>IF(OR($G10="FCC",$G10="Hydrocracker",$G10="Reformer"),IF(COUNTIFS($D:$D,$D10,$A:$A,$A10,$B:$B,$B10,$G:$G,"CDU",$J:$J,"PLANNED")&gt;0,"tied","standalone"),"")</f>
        <v>tied</v>
      </c>
    </row>
    <row r="11" spans="1:14">
      <c r="A11" s="6">
        <v>2023</v>
      </c>
      <c r="B11" s="6">
        <v>1</v>
      </c>
      <c r="C11" s="6" t="s">
        <v>60</v>
      </c>
      <c r="D11" s="6" t="s">
        <v>395</v>
      </c>
      <c r="E11" s="6" t="s">
        <v>433</v>
      </c>
      <c r="F11" s="6" t="str">
        <f>IF($M11="PADD I","PADD 1",IF($M11="PADD II","PADD 2",IF($M11="PADD III","PADD 3",IF($M11="PADD IV","PADD 4",IF($M11="PADD V","PADD 5","")))))</f>
        <v>PADD 2</v>
      </c>
      <c r="G11" s="6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6" t="s">
        <v>39</v>
      </c>
      <c r="I11" s="6" t="s">
        <v>434</v>
      </c>
      <c r="J11" s="6" t="s">
        <v>398</v>
      </c>
      <c r="K11" s="10">
        <v>88</v>
      </c>
      <c r="L11" s="10">
        <v>88</v>
      </c>
      <c r="M11" s="6" t="s">
        <v>425</v>
      </c>
      <c r="N11" s="6">
        <f>IF(OR($G11="FCC",$G11="Hydrocracker",$G11="Reformer"),IF(COUNTIFS($D:$D,$D11,$A:$A,$A11,$B:$B,$B11,$G:$G,"CDU",$J:$J,"PLANNED")&gt;0,"tied","standalone"),"")</f>
        <v/>
      </c>
    </row>
    <row r="12" spans="1:14">
      <c r="A12" s="6">
        <v>2023</v>
      </c>
      <c r="B12" s="6">
        <v>1</v>
      </c>
      <c r="C12" s="6" t="s">
        <v>60</v>
      </c>
      <c r="D12" s="6" t="s">
        <v>375</v>
      </c>
      <c r="E12" s="6" t="s">
        <v>435</v>
      </c>
      <c r="F12" s="6" t="str">
        <f>IF($M12="PADD I","PADD 1",IF($M12="PADD II","PADD 2",IF($M12="PADD III","PADD 3",IF($M12="PADD IV","PADD 4",IF($M12="PADD V","PADD 5","")))))</f>
        <v>PADD 5</v>
      </c>
      <c r="G12" s="6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6" t="s">
        <v>39</v>
      </c>
      <c r="I12" s="6" t="s">
        <v>94</v>
      </c>
      <c r="J12" s="6" t="s">
        <v>398</v>
      </c>
      <c r="K12" s="10">
        <v>80.59999999999999</v>
      </c>
      <c r="L12" s="10">
        <v>155</v>
      </c>
      <c r="M12" s="6" t="s">
        <v>436</v>
      </c>
      <c r="N12" s="6">
        <f>IF(OR($G12="FCC",$G12="Hydrocracker",$G12="Reformer"),IF(COUNTIFS($D:$D,$D12,$A:$A,$A12,$B:$B,$B12,$G:$G,"CDU",$J:$J,"PLANNED")&gt;0,"tied","standalone"),"")</f>
        <v/>
      </c>
    </row>
    <row r="13" spans="1:14">
      <c r="A13" s="6">
        <v>2023</v>
      </c>
      <c r="B13" s="6">
        <v>1</v>
      </c>
      <c r="C13" s="6" t="s">
        <v>60</v>
      </c>
      <c r="D13" s="6" t="s">
        <v>395</v>
      </c>
      <c r="E13" s="6" t="s">
        <v>433</v>
      </c>
      <c r="F13" s="6" t="str">
        <f>IF($M13="PADD I","PADD 1",IF($M13="PADD II","PADD 2",IF($M13="PADD III","PADD 3",IF($M13="PADD IV","PADD 4",IF($M13="PADD V","PADD 5","")))))</f>
        <v>PADD 2</v>
      </c>
      <c r="G13" s="6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6" t="s">
        <v>426</v>
      </c>
      <c r="I13" s="6" t="s">
        <v>106</v>
      </c>
      <c r="J13" s="6" t="s">
        <v>398</v>
      </c>
      <c r="K13" s="10">
        <v>79</v>
      </c>
      <c r="L13" s="10">
        <v>79</v>
      </c>
      <c r="M13" s="6" t="s">
        <v>425</v>
      </c>
      <c r="N13" s="6" t="str">
        <f>IF(OR($G13="FCC",$G13="Hydrocracker",$G13="Reformer"),IF(COUNTIFS($D:$D,$D13,$A:$A,$A13,$B:$B,$B13,$G:$G,"CDU",$J:$J,"PLANNED")&gt;0,"tied","standalone"),"")</f>
        <v>tied</v>
      </c>
    </row>
    <row r="14" spans="1:14">
      <c r="A14" s="6">
        <v>2023</v>
      </c>
      <c r="B14" s="6">
        <v>1</v>
      </c>
      <c r="C14" s="6" t="s">
        <v>60</v>
      </c>
      <c r="D14" s="6" t="s">
        <v>437</v>
      </c>
      <c r="E14" s="6" t="s">
        <v>438</v>
      </c>
      <c r="F14" s="6" t="str">
        <f>IF($M14="PADD I","PADD 1",IF($M14="PADD II","PADD 2",IF($M14="PADD III","PADD 3",IF($M14="PADD IV","PADD 4",IF($M14="PADD V","PADD 5","")))))</f>
        <v>PADD 3</v>
      </c>
      <c r="G14" s="6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6" t="s">
        <v>39</v>
      </c>
      <c r="I14" s="6" t="s">
        <v>439</v>
      </c>
      <c r="J14" s="6" t="s">
        <v>398</v>
      </c>
      <c r="K14" s="10">
        <v>78.40000000000001</v>
      </c>
      <c r="L14" s="10">
        <v>245</v>
      </c>
      <c r="M14" s="6" t="s">
        <v>421</v>
      </c>
      <c r="N14" s="6">
        <f>IF(OR($G14="FCC",$G14="Hydrocracker",$G14="Reformer"),IF(COUNTIFS($D:$D,$D14,$A:$A,$A14,$B:$B,$B14,$G:$G,"CDU",$J:$J,"PLANNED")&gt;0,"tied","standalone"),"")</f>
        <v/>
      </c>
    </row>
    <row r="15" spans="1:14">
      <c r="A15" s="6">
        <v>2023</v>
      </c>
      <c r="B15" s="6">
        <v>1</v>
      </c>
      <c r="C15" s="6" t="s">
        <v>60</v>
      </c>
      <c r="D15" s="6" t="s">
        <v>440</v>
      </c>
      <c r="E15" s="6" t="s">
        <v>441</v>
      </c>
      <c r="F15" s="6" t="str">
        <f>IF($M15="PADD I","PADD 1",IF($M15="PADD II","PADD 2",IF($M15="PADD III","PADD 3",IF($M15="PADD IV","PADD 4",IF($M15="PADD V","PADD 5","")))))</f>
        <v>PADD 3</v>
      </c>
      <c r="G15" s="6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6" t="s">
        <v>39</v>
      </c>
      <c r="I15" s="6" t="s">
        <v>442</v>
      </c>
      <c r="J15" s="6" t="s">
        <v>394</v>
      </c>
      <c r="K15" s="10">
        <v>68.25</v>
      </c>
      <c r="L15" s="10">
        <v>175</v>
      </c>
      <c r="M15" s="6" t="s">
        <v>421</v>
      </c>
      <c r="N15" s="6">
        <f>IF(OR($G15="FCC",$G15="Hydrocracker",$G15="Reformer"),IF(COUNTIFS($D:$D,$D15,$A:$A,$A15,$B:$B,$B15,$G:$G,"CDU",$J:$J,"PLANNED")&gt;0,"tied","standalone"),"")</f>
        <v/>
      </c>
    </row>
    <row r="16" spans="1:14">
      <c r="A16" s="6">
        <v>2023</v>
      </c>
      <c r="B16" s="6">
        <v>1</v>
      </c>
      <c r="C16" s="6" t="s">
        <v>60</v>
      </c>
      <c r="D16" s="6" t="s">
        <v>418</v>
      </c>
      <c r="E16" s="6" t="s">
        <v>419</v>
      </c>
      <c r="F16" s="6" t="str">
        <f>IF($M16="PADD I","PADD 1",IF($M16="PADD II","PADD 2",IF($M16="PADD III","PADD 3",IF($M16="PADD IV","PADD 4",IF($M16="PADD V","PADD 5","")))))</f>
        <v>PADD 3</v>
      </c>
      <c r="G16" s="6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6" t="s">
        <v>44</v>
      </c>
      <c r="I16" s="6" t="s">
        <v>443</v>
      </c>
      <c r="J16" s="6" t="s">
        <v>398</v>
      </c>
      <c r="K16" s="10">
        <v>65.40000000000001</v>
      </c>
      <c r="L16" s="10">
        <v>65.40000000000001</v>
      </c>
      <c r="M16" s="6" t="s">
        <v>421</v>
      </c>
      <c r="N16" s="6">
        <f>IF(OR($G16="FCC",$G16="Hydrocracker",$G16="Reformer"),IF(COUNTIFS($D:$D,$D16,$A:$A,$A16,$B:$B,$B16,$G:$G,"CDU",$J:$J,"PLANNED")&gt;0,"tied","standalone"),"")</f>
        <v/>
      </c>
    </row>
    <row r="17" spans="1:14">
      <c r="A17" s="6">
        <v>2023</v>
      </c>
      <c r="B17" s="6">
        <v>1</v>
      </c>
      <c r="C17" s="6" t="s">
        <v>60</v>
      </c>
      <c r="D17" s="6" t="s">
        <v>395</v>
      </c>
      <c r="E17" s="6" t="s">
        <v>433</v>
      </c>
      <c r="F17" s="6" t="str">
        <f>IF($M17="PADD I","PADD 1",IF($M17="PADD II","PADD 2",IF($M17="PADD III","PADD 3",IF($M17="PADD IV","PADD 4",IF($M17="PADD V","PADD 5","")))))</f>
        <v>PADD 2</v>
      </c>
      <c r="G17" s="6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6" t="s">
        <v>44</v>
      </c>
      <c r="I17" s="6" t="s">
        <v>444</v>
      </c>
      <c r="J17" s="6" t="s">
        <v>398</v>
      </c>
      <c r="K17" s="10">
        <v>65</v>
      </c>
      <c r="L17" s="10">
        <v>65</v>
      </c>
      <c r="M17" s="6" t="s">
        <v>425</v>
      </c>
      <c r="N17" s="6">
        <f>IF(OR($G17="FCC",$G17="Hydrocracker",$G17="Reformer"),IF(COUNTIFS($D:$D,$D17,$A:$A,$A17,$B:$B,$B17,$G:$G,"CDU",$J:$J,"PLANNED")&gt;0,"tied","standalone"),"")</f>
        <v/>
      </c>
    </row>
    <row r="18" spans="1:14">
      <c r="A18" s="6">
        <v>2023</v>
      </c>
      <c r="B18" s="6">
        <v>1</v>
      </c>
      <c r="C18" s="6" t="s">
        <v>60</v>
      </c>
      <c r="D18" s="6" t="s">
        <v>445</v>
      </c>
      <c r="E18" s="6" t="s">
        <v>446</v>
      </c>
      <c r="F18" s="6" t="str">
        <f>IF($M18="PADD I","PADD 1",IF($M18="PADD II","PADD 2",IF($M18="PADD III","PADD 3",IF($M18="PADD IV","PADD 4",IF($M18="PADD V","PADD 5","")))))</f>
        <v>PADD 3</v>
      </c>
      <c r="G18" s="6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6" t="s">
        <v>39</v>
      </c>
      <c r="I18" s="6" t="s">
        <v>447</v>
      </c>
      <c r="J18" s="6" t="s">
        <v>394</v>
      </c>
      <c r="K18" s="10">
        <v>62.1</v>
      </c>
      <c r="L18" s="10">
        <v>270</v>
      </c>
      <c r="M18" s="6" t="s">
        <v>421</v>
      </c>
      <c r="N18" s="6">
        <f>IF(OR($G18="FCC",$G18="Hydrocracker",$G18="Reformer"),IF(COUNTIFS($D:$D,$D18,$A:$A,$A18,$B:$B,$B18,$G:$G,"CDU",$J:$J,"PLANNED")&gt;0,"tied","standalone"),"")</f>
        <v/>
      </c>
    </row>
    <row r="19" spans="1:14">
      <c r="A19" s="6">
        <v>2023</v>
      </c>
      <c r="B19" s="6">
        <v>1</v>
      </c>
      <c r="C19" s="6" t="s">
        <v>60</v>
      </c>
      <c r="D19" s="6" t="s">
        <v>448</v>
      </c>
      <c r="E19" s="6" t="s">
        <v>449</v>
      </c>
      <c r="F19" s="6" t="str">
        <f>IF($M19="PADD I","PADD 1",IF($M19="PADD II","PADD 2",IF($M19="PADD III","PADD 3",IF($M19="PADD IV","PADD 4",IF($M19="PADD V","PADD 5","")))))</f>
        <v>PADD 3</v>
      </c>
      <c r="G19" s="6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6" t="s">
        <v>39</v>
      </c>
      <c r="I19" s="6" t="s">
        <v>450</v>
      </c>
      <c r="J19" s="6" t="s">
        <v>398</v>
      </c>
      <c r="K19" s="10">
        <v>58.8</v>
      </c>
      <c r="L19" s="10">
        <v>140</v>
      </c>
      <c r="M19" s="6" t="s">
        <v>421</v>
      </c>
      <c r="N19" s="6">
        <f>IF(OR($G19="FCC",$G19="Hydrocracker",$G19="Reformer"),IF(COUNTIFS($D:$D,$D19,$A:$A,$A19,$B:$B,$B19,$G:$G,"CDU",$J:$J,"PLANNED")&gt;0,"tied","standalone"),"")</f>
        <v/>
      </c>
    </row>
    <row r="20" spans="1:14">
      <c r="A20" s="6">
        <v>2023</v>
      </c>
      <c r="B20" s="6">
        <v>1</v>
      </c>
      <c r="C20" s="6" t="s">
        <v>60</v>
      </c>
      <c r="D20" s="6" t="s">
        <v>418</v>
      </c>
      <c r="E20" s="6" t="s">
        <v>419</v>
      </c>
      <c r="F20" s="6" t="str">
        <f>IF($M20="PADD I","PADD 1",IF($M20="PADD II","PADD 2",IF($M20="PADD III","PADD 3",IF($M20="PADD IV","PADD 4",IF($M20="PADD V","PADD 5","")))))</f>
        <v>PADD 3</v>
      </c>
      <c r="G20" s="6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6" t="s">
        <v>44</v>
      </c>
      <c r="I20" s="6" t="s">
        <v>451</v>
      </c>
      <c r="J20" s="6" t="s">
        <v>398</v>
      </c>
      <c r="K20" s="10">
        <v>58.5</v>
      </c>
      <c r="L20" s="10">
        <v>58.5</v>
      </c>
      <c r="M20" s="6" t="s">
        <v>421</v>
      </c>
      <c r="N20" s="6">
        <f>IF(OR($G20="FCC",$G20="Hydrocracker",$G20="Reformer"),IF(COUNTIFS($D:$D,$D20,$A:$A,$A20,$B:$B,$B20,$G:$G,"CDU",$J:$J,"PLANNED")&gt;0,"tied","standalone"),"")</f>
        <v/>
      </c>
    </row>
    <row r="21" spans="1:14">
      <c r="A21" s="6">
        <v>2023</v>
      </c>
      <c r="B21" s="6">
        <v>1</v>
      </c>
      <c r="C21" s="6" t="s">
        <v>60</v>
      </c>
      <c r="D21" s="6" t="s">
        <v>452</v>
      </c>
      <c r="E21" s="6" t="s">
        <v>453</v>
      </c>
      <c r="F21" s="6" t="str">
        <f>IF($M21="PADD I","PADD 1",IF($M21="PADD II","PADD 2",IF($M21="PADD III","PADD 3",IF($M21="PADD IV","PADD 4",IF($M21="PADD V","PADD 5","")))))</f>
        <v>PADD 3</v>
      </c>
      <c r="G21" s="6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6" t="s">
        <v>39</v>
      </c>
      <c r="I21" s="6" t="s">
        <v>454</v>
      </c>
      <c r="J21" s="6" t="s">
        <v>398</v>
      </c>
      <c r="K21" s="10">
        <v>57.75</v>
      </c>
      <c r="L21" s="10">
        <v>75</v>
      </c>
      <c r="M21" s="6" t="s">
        <v>421</v>
      </c>
      <c r="N21" s="6">
        <f>IF(OR($G21="FCC",$G21="Hydrocracker",$G21="Reformer"),IF(COUNTIFS($D:$D,$D21,$A:$A,$A21,$B:$B,$B21,$G:$G,"CDU",$J:$J,"PLANNED")&gt;0,"tied","standalone"),"")</f>
        <v/>
      </c>
    </row>
    <row r="22" spans="1:14">
      <c r="A22" s="6">
        <v>2023</v>
      </c>
      <c r="B22" s="6">
        <v>1</v>
      </c>
      <c r="C22" s="6" t="s">
        <v>60</v>
      </c>
      <c r="D22" s="6" t="s">
        <v>43</v>
      </c>
      <c r="E22" s="6" t="s">
        <v>455</v>
      </c>
      <c r="F22" s="6" t="str">
        <f>IF($M22="PADD I","PADD 1",IF($M22="PADD II","PADD 2",IF($M22="PADD III","PADD 3",IF($M22="PADD IV","PADD 4",IF($M22="PADD V","PADD 5","")))))</f>
        <v>PADD 3</v>
      </c>
      <c r="G22" s="6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6" t="s">
        <v>39</v>
      </c>
      <c r="I22" s="6" t="s">
        <v>456</v>
      </c>
      <c r="J22" s="6" t="s">
        <v>398</v>
      </c>
      <c r="K22" s="10">
        <v>56.73</v>
      </c>
      <c r="L22" s="10">
        <v>93</v>
      </c>
      <c r="M22" s="6" t="s">
        <v>421</v>
      </c>
      <c r="N22" s="6">
        <f>IF(OR($G22="FCC",$G22="Hydrocracker",$G22="Reformer"),IF(COUNTIFS($D:$D,$D22,$A:$A,$A22,$B:$B,$B22,$G:$G,"CDU",$J:$J,"PLANNED")&gt;0,"tied","standalone"),"")</f>
        <v/>
      </c>
    </row>
    <row r="23" spans="1:14">
      <c r="A23" s="6">
        <v>2023</v>
      </c>
      <c r="B23" s="6">
        <v>1</v>
      </c>
      <c r="C23" s="6" t="s">
        <v>60</v>
      </c>
      <c r="D23" s="6" t="s">
        <v>422</v>
      </c>
      <c r="E23" s="6" t="s">
        <v>423</v>
      </c>
      <c r="F23" s="6" t="str">
        <f>IF($M23="PADD I","PADD 1",IF($M23="PADD II","PADD 2",IF($M23="PADD III","PADD 3",IF($M23="PADD IV","PADD 4",IF($M23="PADD V","PADD 5","")))))</f>
        <v>PADD 2</v>
      </c>
      <c r="G23" s="6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6" t="s">
        <v>426</v>
      </c>
      <c r="I23" s="6" t="s">
        <v>457</v>
      </c>
      <c r="J23" s="6" t="s">
        <v>394</v>
      </c>
      <c r="K23" s="10">
        <v>55</v>
      </c>
      <c r="L23" s="10">
        <v>55</v>
      </c>
      <c r="M23" s="6" t="s">
        <v>425</v>
      </c>
      <c r="N23" s="6" t="str">
        <f>IF(OR($G23="FCC",$G23="Hydrocracker",$G23="Reformer"),IF(COUNTIFS($D:$D,$D23,$A:$A,$A23,$B:$B,$B23,$G:$G,"CDU",$J:$J,"PLANNED")&gt;0,"tied","standalone"),"")</f>
        <v>standalone</v>
      </c>
    </row>
    <row r="24" spans="1:14">
      <c r="A24" s="6">
        <v>2023</v>
      </c>
      <c r="B24" s="6">
        <v>1</v>
      </c>
      <c r="C24" s="6" t="s">
        <v>60</v>
      </c>
      <c r="D24" s="6" t="s">
        <v>458</v>
      </c>
      <c r="E24" s="6" t="s">
        <v>459</v>
      </c>
      <c r="F24" s="6" t="str">
        <f>IF($M24="PADD I","PADD 1",IF($M24="PADD II","PADD 2",IF($M24="PADD III","PADD 3",IF($M24="PADD IV","PADD 4",IF($M24="PADD V","PADD 5","")))))</f>
        <v>PADD 3</v>
      </c>
      <c r="G24" s="6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6" t="s">
        <v>39</v>
      </c>
      <c r="I24" s="6" t="s">
        <v>460</v>
      </c>
      <c r="J24" s="6" t="s">
        <v>394</v>
      </c>
      <c r="K24" s="10">
        <v>52.5</v>
      </c>
      <c r="L24" s="10">
        <v>150</v>
      </c>
      <c r="M24" s="6" t="s">
        <v>421</v>
      </c>
      <c r="N24" s="6">
        <f>IF(OR($G24="FCC",$G24="Hydrocracker",$G24="Reformer"),IF(COUNTIFS($D:$D,$D24,$A:$A,$A24,$B:$B,$B24,$G:$G,"CDU",$J:$J,"PLANNED")&gt;0,"tied","standalone"),"")</f>
        <v/>
      </c>
    </row>
    <row r="25" spans="1:14">
      <c r="A25" s="6">
        <v>2023</v>
      </c>
      <c r="B25" s="6">
        <v>1</v>
      </c>
      <c r="C25" s="6" t="s">
        <v>60</v>
      </c>
      <c r="D25" s="6" t="s">
        <v>461</v>
      </c>
      <c r="E25" s="6" t="s">
        <v>419</v>
      </c>
      <c r="F25" s="6" t="str">
        <f>IF($M25="PADD I","PADD 1",IF($M25="PADD II","PADD 2",IF($M25="PADD III","PADD 3",IF($M25="PADD IV","PADD 4",IF($M25="PADD V","PADD 5","")))))</f>
        <v>PADD 1</v>
      </c>
      <c r="G25" s="6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6" t="s">
        <v>39</v>
      </c>
      <c r="I25" s="6" t="s">
        <v>462</v>
      </c>
      <c r="J25" s="6" t="s">
        <v>398</v>
      </c>
      <c r="K25" s="10">
        <v>50.31</v>
      </c>
      <c r="L25" s="10">
        <v>129</v>
      </c>
      <c r="M25" s="6" t="s">
        <v>463</v>
      </c>
      <c r="N25" s="6">
        <f>IF(OR($G25="FCC",$G25="Hydrocracker",$G25="Reformer"),IF(COUNTIFS($D:$D,$D25,$A:$A,$A25,$B:$B,$B25,$G:$G,"CDU",$J:$J,"PLANNED")&gt;0,"tied","standalone"),"")</f>
        <v/>
      </c>
    </row>
    <row r="26" spans="1:14">
      <c r="A26" s="6">
        <v>2023</v>
      </c>
      <c r="B26" s="6">
        <v>1</v>
      </c>
      <c r="C26" s="6" t="s">
        <v>60</v>
      </c>
      <c r="D26" s="6" t="s">
        <v>422</v>
      </c>
      <c r="E26" s="6" t="s">
        <v>423</v>
      </c>
      <c r="F26" s="6" t="str">
        <f>IF($M26="PADD I","PADD 1",IF($M26="PADD II","PADD 2",IF($M26="PADD III","PADD 3",IF($M26="PADD IV","PADD 4",IF($M26="PADD V","PADD 5","")))))</f>
        <v>PADD 2</v>
      </c>
      <c r="G26" s="6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6" t="s">
        <v>39</v>
      </c>
      <c r="I26" s="6" t="s">
        <v>464</v>
      </c>
      <c r="J26" s="6" t="s">
        <v>394</v>
      </c>
      <c r="K26" s="10">
        <v>50</v>
      </c>
      <c r="L26" s="10">
        <v>50</v>
      </c>
      <c r="M26" s="6" t="s">
        <v>425</v>
      </c>
      <c r="N26" s="6">
        <f>IF(OR($G26="FCC",$G26="Hydrocracker",$G26="Reformer"),IF(COUNTIFS($D:$D,$D26,$A:$A,$A26,$B:$B,$B26,$G:$G,"CDU",$J:$J,"PLANNED")&gt;0,"tied","standalone"),"")</f>
        <v/>
      </c>
    </row>
    <row r="27" spans="1:14">
      <c r="A27" s="6">
        <v>2023</v>
      </c>
      <c r="B27" s="6">
        <v>1</v>
      </c>
      <c r="C27" s="6" t="s">
        <v>60</v>
      </c>
      <c r="D27" s="6" t="s">
        <v>465</v>
      </c>
      <c r="E27" s="6" t="s">
        <v>466</v>
      </c>
      <c r="F27" s="6" t="str">
        <f>IF($M27="PADD I","PADD 1",IF($M27="PADD II","PADD 2",IF($M27="PADD III","PADD 3",IF($M27="PADD IV","PADD 4",IF($M27="PADD V","PADD 5","")))))</f>
        <v>PADD 3</v>
      </c>
      <c r="G27" s="6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6" t="s">
        <v>428</v>
      </c>
      <c r="I27" s="6" t="s">
        <v>467</v>
      </c>
      <c r="J27" s="6" t="s">
        <v>394</v>
      </c>
      <c r="K27" s="10">
        <v>50</v>
      </c>
      <c r="L27" s="10">
        <v>50</v>
      </c>
      <c r="M27" s="6" t="s">
        <v>421</v>
      </c>
      <c r="N27" s="6">
        <f>IF(OR($G27="FCC",$G27="Hydrocracker",$G27="Reformer"),IF(COUNTIFS($D:$D,$D27,$A:$A,$A27,$B:$B,$B27,$G:$G,"CDU",$J:$J,"PLANNED")&gt;0,"tied","standalone"),"")</f>
        <v/>
      </c>
    </row>
    <row r="28" spans="1:14">
      <c r="A28" s="6">
        <v>2023</v>
      </c>
      <c r="B28" s="6">
        <v>1</v>
      </c>
      <c r="C28" s="6" t="s">
        <v>60</v>
      </c>
      <c r="D28" s="6" t="s">
        <v>430</v>
      </c>
      <c r="E28" s="6" t="s">
        <v>431</v>
      </c>
      <c r="F28" s="6" t="str">
        <f>IF($M28="PADD I","PADD 1",IF($M28="PADD II","PADD 2",IF($M28="PADD III","PADD 3",IF($M28="PADD IV","PADD 4",IF($M28="PADD V","PADD 5","")))))</f>
        <v>PADD 3</v>
      </c>
      <c r="G28" s="6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6" t="s">
        <v>428</v>
      </c>
      <c r="I28" s="6" t="s">
        <v>468</v>
      </c>
      <c r="J28" s="6" t="s">
        <v>394</v>
      </c>
      <c r="K28" s="10">
        <v>49.44</v>
      </c>
      <c r="L28" s="10">
        <v>103</v>
      </c>
      <c r="M28" s="6" t="s">
        <v>421</v>
      </c>
      <c r="N28" s="6">
        <f>IF(OR($G28="FCC",$G28="Hydrocracker",$G28="Reformer"),IF(COUNTIFS($D:$D,$D28,$A:$A,$A28,$B:$B,$B28,$G:$G,"CDU",$J:$J,"PLANNED")&gt;0,"tied","standalone"),"")</f>
        <v/>
      </c>
    </row>
    <row r="29" spans="1:14">
      <c r="A29" s="6">
        <v>2023</v>
      </c>
      <c r="B29" s="6">
        <v>1</v>
      </c>
      <c r="C29" s="6" t="s">
        <v>60</v>
      </c>
      <c r="D29" s="6" t="s">
        <v>371</v>
      </c>
      <c r="E29" s="6" t="s">
        <v>419</v>
      </c>
      <c r="F29" s="6" t="str">
        <f>IF($M29="PADD I","PADD 1",IF($M29="PADD II","PADD 2",IF($M29="PADD III","PADD 3",IF($M29="PADD IV","PADD 4",IF($M29="PADD V","PADD 5","")))))</f>
        <v>PADD 2</v>
      </c>
      <c r="G29" s="6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6" t="s">
        <v>428</v>
      </c>
      <c r="I29" s="6" t="s">
        <v>469</v>
      </c>
      <c r="J29" s="6" t="s">
        <v>398</v>
      </c>
      <c r="K29" s="10">
        <v>47.25</v>
      </c>
      <c r="L29" s="10">
        <v>105</v>
      </c>
      <c r="M29" s="6" t="s">
        <v>425</v>
      </c>
      <c r="N29" s="6">
        <f>IF(OR($G29="FCC",$G29="Hydrocracker",$G29="Reformer"),IF(COUNTIFS($D:$D,$D29,$A:$A,$A29,$B:$B,$B29,$G:$G,"CDU",$J:$J,"PLANNED")&gt;0,"tied","standalone"),"")</f>
        <v/>
      </c>
    </row>
    <row r="30" spans="1:14">
      <c r="A30" s="6">
        <v>2023</v>
      </c>
      <c r="B30" s="6">
        <v>1</v>
      </c>
      <c r="C30" s="6" t="s">
        <v>60</v>
      </c>
      <c r="D30" s="6" t="s">
        <v>470</v>
      </c>
      <c r="E30" s="6" t="s">
        <v>423</v>
      </c>
      <c r="F30" s="6" t="str">
        <f>IF($M30="PADD I","PADD 1",IF($M30="PADD II","PADD 2",IF($M30="PADD III","PADD 3",IF($M30="PADD IV","PADD 4",IF($M30="PADD V","PADD 5","")))))</f>
        <v>PADD 2</v>
      </c>
      <c r="G30" s="6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6" t="s">
        <v>39</v>
      </c>
      <c r="I30" s="6" t="s">
        <v>82</v>
      </c>
      <c r="J30" s="6" t="s">
        <v>394</v>
      </c>
      <c r="K30" s="10">
        <v>45</v>
      </c>
      <c r="L30" s="10">
        <v>45</v>
      </c>
      <c r="M30" s="6" t="s">
        <v>425</v>
      </c>
      <c r="N30" s="6">
        <f>IF(OR($G30="FCC",$G30="Hydrocracker",$G30="Reformer"),IF(COUNTIFS($D:$D,$D30,$A:$A,$A30,$B:$B,$B30,$G:$G,"CDU",$J:$J,"PLANNED")&gt;0,"tied","standalone"),"")</f>
        <v/>
      </c>
    </row>
    <row r="31" spans="1:14">
      <c r="A31" s="6">
        <v>2023</v>
      </c>
      <c r="B31" s="6">
        <v>1</v>
      </c>
      <c r="C31" s="6" t="s">
        <v>60</v>
      </c>
      <c r="D31" s="6" t="s">
        <v>418</v>
      </c>
      <c r="E31" s="6" t="s">
        <v>419</v>
      </c>
      <c r="F31" s="6" t="str">
        <f>IF($M31="PADD I","PADD 1",IF($M31="PADD II","PADD 2",IF($M31="PADD III","PADD 3",IF($M31="PADD IV","PADD 4",IF($M31="PADD V","PADD 5","")))))</f>
        <v>PADD 3</v>
      </c>
      <c r="G31" s="6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6" t="s">
        <v>471</v>
      </c>
      <c r="I31" s="6" t="s">
        <v>472</v>
      </c>
      <c r="J31" s="6" t="s">
        <v>398</v>
      </c>
      <c r="K31" s="10">
        <v>44.6</v>
      </c>
      <c r="L31" s="10">
        <v>44.6</v>
      </c>
      <c r="M31" s="6" t="s">
        <v>421</v>
      </c>
      <c r="N31" s="6" t="str">
        <f>IF(OR($G31="FCC",$G31="Hydrocracker",$G31="Reformer"),IF(COUNTIFS($D:$D,$D31,$A:$A,$A31,$B:$B,$B31,$G:$G,"CDU",$J:$J,"PLANNED")&gt;0,"tied","standalone"),"")</f>
        <v>tied</v>
      </c>
    </row>
    <row r="32" spans="1:14">
      <c r="A32" s="6">
        <v>2023</v>
      </c>
      <c r="B32" s="6">
        <v>1</v>
      </c>
      <c r="C32" s="6" t="s">
        <v>60</v>
      </c>
      <c r="D32" s="6" t="s">
        <v>52</v>
      </c>
      <c r="E32" s="6" t="s">
        <v>441</v>
      </c>
      <c r="F32" s="6" t="str">
        <f>IF($M32="PADD I","PADD 1",IF($M32="PADD II","PADD 2",IF($M32="PADD III","PADD 3",IF($M32="PADD IV","PADD 4",IF($M32="PADD V","PADD 5","")))))</f>
        <v>PADD 5</v>
      </c>
      <c r="G32" s="6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6" t="s">
        <v>426</v>
      </c>
      <c r="I32" s="6" t="s">
        <v>106</v>
      </c>
      <c r="J32" s="6" t="s">
        <v>398</v>
      </c>
      <c r="K32" s="10">
        <v>42.05</v>
      </c>
      <c r="L32" s="10">
        <v>72.5</v>
      </c>
      <c r="M32" s="6" t="s">
        <v>436</v>
      </c>
      <c r="N32" s="6" t="str">
        <f>IF(OR($G32="FCC",$G32="Hydrocracker",$G32="Reformer"),IF(COUNTIFS($D:$D,$D32,$A:$A,$A32,$B:$B,$B32,$G:$G,"CDU",$J:$J,"PLANNED")&gt;0,"tied","standalone"),"")</f>
        <v>standalone</v>
      </c>
    </row>
    <row r="33" spans="1:14">
      <c r="A33" s="6">
        <v>2023</v>
      </c>
      <c r="B33" s="6">
        <v>1</v>
      </c>
      <c r="C33" s="6" t="s">
        <v>60</v>
      </c>
      <c r="D33" s="6" t="s">
        <v>422</v>
      </c>
      <c r="E33" s="6" t="s">
        <v>423</v>
      </c>
      <c r="F33" s="6" t="str">
        <f>IF($M33="PADD I","PADD 1",IF($M33="PADD II","PADD 2",IF($M33="PADD III","PADD 3",IF($M33="PADD IV","PADD 4",IF($M33="PADD V","PADD 5","")))))</f>
        <v>PADD 2</v>
      </c>
      <c r="G33" s="6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6" t="s">
        <v>471</v>
      </c>
      <c r="I33" s="6" t="s">
        <v>473</v>
      </c>
      <c r="J33" s="6" t="s">
        <v>394</v>
      </c>
      <c r="K33" s="10">
        <v>42</v>
      </c>
      <c r="L33" s="10">
        <v>42</v>
      </c>
      <c r="M33" s="6" t="s">
        <v>425</v>
      </c>
      <c r="N33" s="6" t="str">
        <f>IF(OR($G33="FCC",$G33="Hydrocracker",$G33="Reformer"),IF(COUNTIFS($D:$D,$D33,$A:$A,$A33,$B:$B,$B33,$G:$G,"CDU",$J:$J,"PLANNED")&gt;0,"tied","standalone"),"")</f>
        <v>standalone</v>
      </c>
    </row>
    <row r="34" spans="1:14">
      <c r="A34" s="6">
        <v>2023</v>
      </c>
      <c r="B34" s="6">
        <v>1</v>
      </c>
      <c r="C34" s="6" t="s">
        <v>60</v>
      </c>
      <c r="D34" s="6" t="s">
        <v>395</v>
      </c>
      <c r="E34" s="6" t="s">
        <v>433</v>
      </c>
      <c r="F34" s="6" t="str">
        <f>IF($M34="PADD I","PADD 1",IF($M34="PADD II","PADD 2",IF($M34="PADD III","PADD 3",IF($M34="PADD IV","PADD 4",IF($M34="PADD V","PADD 5","")))))</f>
        <v>PADD 2</v>
      </c>
      <c r="G34" s="6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6" t="s">
        <v>44</v>
      </c>
      <c r="I34" s="6" t="s">
        <v>474</v>
      </c>
      <c r="J34" s="6" t="s">
        <v>398</v>
      </c>
      <c r="K34" s="10">
        <v>42</v>
      </c>
      <c r="L34" s="10">
        <v>42</v>
      </c>
      <c r="M34" s="6" t="s">
        <v>425</v>
      </c>
      <c r="N34" s="6">
        <f>IF(OR($G34="FCC",$G34="Hydrocracker",$G34="Reformer"),IF(COUNTIFS($D:$D,$D34,$A:$A,$A34,$B:$B,$B34,$G:$G,"CDU",$J:$J,"PLANNED")&gt;0,"tied","standalone"),"")</f>
        <v/>
      </c>
    </row>
    <row r="35" spans="1:14">
      <c r="A35" s="6">
        <v>2023</v>
      </c>
      <c r="B35" s="6">
        <v>1</v>
      </c>
      <c r="C35" s="6" t="s">
        <v>60</v>
      </c>
      <c r="D35" s="6" t="s">
        <v>465</v>
      </c>
      <c r="E35" s="6" t="s">
        <v>466</v>
      </c>
      <c r="F35" s="6" t="str">
        <f>IF($M35="PADD I","PADD 1",IF($M35="PADD II","PADD 2",IF($M35="PADD III","PADD 3",IF($M35="PADD IV","PADD 4",IF($M35="PADD V","PADD 5","")))))</f>
        <v>PADD 3</v>
      </c>
      <c r="G35" s="6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6" t="s">
        <v>426</v>
      </c>
      <c r="I35" s="6" t="s">
        <v>475</v>
      </c>
      <c r="J35" s="6" t="s">
        <v>394</v>
      </c>
      <c r="K35" s="10">
        <v>42</v>
      </c>
      <c r="L35" s="10">
        <v>42</v>
      </c>
      <c r="M35" s="6" t="s">
        <v>421</v>
      </c>
      <c r="N35" s="6" t="str">
        <f>IF(OR($G35="FCC",$G35="Hydrocracker",$G35="Reformer"),IF(COUNTIFS($D:$D,$D35,$A:$A,$A35,$B:$B,$B35,$G:$G,"CDU",$J:$J,"PLANNED")&gt;0,"tied","standalone"),"")</f>
        <v>standalone</v>
      </c>
    </row>
    <row r="36" spans="1:14">
      <c r="A36" s="6">
        <v>2023</v>
      </c>
      <c r="B36" s="6">
        <v>1</v>
      </c>
      <c r="C36" s="6" t="s">
        <v>60</v>
      </c>
      <c r="D36" s="6" t="s">
        <v>458</v>
      </c>
      <c r="E36" s="6" t="s">
        <v>459</v>
      </c>
      <c r="F36" s="6" t="str">
        <f>IF($M36="PADD I","PADD 1",IF($M36="PADD II","PADD 2",IF($M36="PADD III","PADD 3",IF($M36="PADD IV","PADD 4",IF($M36="PADD V","PADD 5","")))))</f>
        <v>PADD 3</v>
      </c>
      <c r="G36" s="6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6" t="s">
        <v>426</v>
      </c>
      <c r="I36" s="6" t="s">
        <v>476</v>
      </c>
      <c r="J36" s="6" t="s">
        <v>394</v>
      </c>
      <c r="K36" s="10">
        <v>41.8</v>
      </c>
      <c r="L36" s="10">
        <v>76</v>
      </c>
      <c r="M36" s="6" t="s">
        <v>421</v>
      </c>
      <c r="N36" s="6" t="str">
        <f>IF(OR($G36="FCC",$G36="Hydrocracker",$G36="Reformer"),IF(COUNTIFS($D:$D,$D36,$A:$A,$A36,$B:$B,$B36,$G:$G,"CDU",$J:$J,"PLANNED")&gt;0,"tied","standalone"),"")</f>
        <v>standalone</v>
      </c>
    </row>
    <row r="37" spans="1:14">
      <c r="A37" s="6">
        <v>2023</v>
      </c>
      <c r="B37" s="6">
        <v>1</v>
      </c>
      <c r="C37" s="6" t="s">
        <v>60</v>
      </c>
      <c r="D37" s="6" t="s">
        <v>378</v>
      </c>
      <c r="E37" s="6" t="s">
        <v>477</v>
      </c>
      <c r="F37" s="6" t="str">
        <f>IF($M37="PADD I","PADD 1",IF($M37="PADD II","PADD 2",IF($M37="PADD III","PADD 3",IF($M37="PADD IV","PADD 4",IF($M37="PADD V","PADD 5","")))))</f>
        <v>PADD 3</v>
      </c>
      <c r="G37" s="6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6" t="s">
        <v>426</v>
      </c>
      <c r="I37" s="6" t="s">
        <v>478</v>
      </c>
      <c r="J37" s="6" t="s">
        <v>394</v>
      </c>
      <c r="K37" s="10">
        <v>41.48</v>
      </c>
      <c r="L37" s="10">
        <v>68</v>
      </c>
      <c r="M37" s="6" t="s">
        <v>421</v>
      </c>
      <c r="N37" s="6" t="str">
        <f>IF(OR($G37="FCC",$G37="Hydrocracker",$G37="Reformer"),IF(COUNTIFS($D:$D,$D37,$A:$A,$A37,$B:$B,$B37,$G:$G,"CDU",$J:$J,"PLANNED")&gt;0,"tied","standalone"),"")</f>
        <v>standalone</v>
      </c>
    </row>
    <row r="38" spans="1:14">
      <c r="A38" s="6">
        <v>2023</v>
      </c>
      <c r="B38" s="6">
        <v>1</v>
      </c>
      <c r="C38" s="6" t="s">
        <v>60</v>
      </c>
      <c r="D38" s="6" t="s">
        <v>479</v>
      </c>
      <c r="E38" s="6" t="s">
        <v>438</v>
      </c>
      <c r="F38" s="6" t="str">
        <f>IF($M38="PADD I","PADD 1",IF($M38="PADD II","PADD 2",IF($M38="PADD III","PADD 3",IF($M38="PADD IV","PADD 4",IF($M38="PADD V","PADD 5","")))))</f>
        <v>PADD 4</v>
      </c>
      <c r="G38" s="6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6" t="s">
        <v>39</v>
      </c>
      <c r="I38" s="6" t="s">
        <v>82</v>
      </c>
      <c r="J38" s="6" t="s">
        <v>394</v>
      </c>
      <c r="K38" s="10">
        <v>40.565</v>
      </c>
      <c r="L38" s="10">
        <v>66.5</v>
      </c>
      <c r="M38" s="6" t="s">
        <v>480</v>
      </c>
      <c r="N38" s="6">
        <f>IF(OR($G38="FCC",$G38="Hydrocracker",$G38="Reformer"),IF(COUNTIFS($D:$D,$D38,$A:$A,$A38,$B:$B,$B38,$G:$G,"CDU",$J:$J,"PLANNED")&gt;0,"tied","standalone"),"")</f>
        <v/>
      </c>
    </row>
    <row r="39" spans="1:14">
      <c r="A39" s="6">
        <v>2023</v>
      </c>
      <c r="B39" s="6">
        <v>1</v>
      </c>
      <c r="C39" s="6" t="s">
        <v>60</v>
      </c>
      <c r="D39" s="6" t="s">
        <v>375</v>
      </c>
      <c r="E39" s="6" t="s">
        <v>435</v>
      </c>
      <c r="F39" s="6" t="str">
        <f>IF($M39="PADD I","PADD 1",IF($M39="PADD II","PADD 2",IF($M39="PADD III","PADD 3",IF($M39="PADD IV","PADD 4",IF($M39="PADD V","PADD 5","")))))</f>
        <v>PADD 5</v>
      </c>
      <c r="G39" s="6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6" t="s">
        <v>428</v>
      </c>
      <c r="I39" s="6" t="s">
        <v>481</v>
      </c>
      <c r="J39" s="6" t="s">
        <v>398</v>
      </c>
      <c r="K39" s="10">
        <v>40.5</v>
      </c>
      <c r="L39" s="10">
        <v>90</v>
      </c>
      <c r="M39" s="6" t="s">
        <v>436</v>
      </c>
      <c r="N39" s="6">
        <f>IF(OR($G39="FCC",$G39="Hydrocracker",$G39="Reformer"),IF(COUNTIFS($D:$D,$D39,$A:$A,$A39,$B:$B,$B39,$G:$G,"CDU",$J:$J,"PLANNED")&gt;0,"tied","standalone"),"")</f>
        <v/>
      </c>
    </row>
    <row r="40" spans="1:14">
      <c r="A40" s="6">
        <v>2023</v>
      </c>
      <c r="B40" s="6">
        <v>1</v>
      </c>
      <c r="C40" s="6" t="s">
        <v>60</v>
      </c>
      <c r="D40" s="6" t="s">
        <v>422</v>
      </c>
      <c r="E40" s="6" t="s">
        <v>423</v>
      </c>
      <c r="F40" s="6" t="str">
        <f>IF($M40="PADD I","PADD 1",IF($M40="PADD II","PADD 2",IF($M40="PADD III","PADD 3",IF($M40="PADD IV","PADD 4",IF($M40="PADD V","PADD 5","")))))</f>
        <v>PADD 2</v>
      </c>
      <c r="G40" s="6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6" t="s">
        <v>44</v>
      </c>
      <c r="I40" s="6" t="s">
        <v>482</v>
      </c>
      <c r="J40" s="6" t="s">
        <v>394</v>
      </c>
      <c r="K40" s="10">
        <v>40</v>
      </c>
      <c r="L40" s="10">
        <v>40</v>
      </c>
      <c r="M40" s="6" t="s">
        <v>425</v>
      </c>
      <c r="N40" s="6">
        <f>IF(OR($G40="FCC",$G40="Hydrocracker",$G40="Reformer"),IF(COUNTIFS($D:$D,$D40,$A:$A,$A40,$B:$B,$B40,$G:$G,"CDU",$J:$J,"PLANNED")&gt;0,"tied","standalone"),"")</f>
        <v/>
      </c>
    </row>
    <row r="41" spans="1:14">
      <c r="A41" s="6">
        <v>2023</v>
      </c>
      <c r="B41" s="6">
        <v>1</v>
      </c>
      <c r="C41" s="6" t="s">
        <v>60</v>
      </c>
      <c r="D41" s="6" t="s">
        <v>422</v>
      </c>
      <c r="E41" s="6" t="s">
        <v>423</v>
      </c>
      <c r="F41" s="6" t="str">
        <f>IF($M41="PADD I","PADD 1",IF($M41="PADD II","PADD 2",IF($M41="PADD III","PADD 3",IF($M41="PADD IV","PADD 4",IF($M41="PADD V","PADD 5","")))))</f>
        <v>PADD 2</v>
      </c>
      <c r="G41" s="6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6" t="s">
        <v>44</v>
      </c>
      <c r="I41" s="6" t="s">
        <v>483</v>
      </c>
      <c r="J41" s="6" t="s">
        <v>394</v>
      </c>
      <c r="K41" s="10">
        <v>40</v>
      </c>
      <c r="L41" s="10">
        <v>40</v>
      </c>
      <c r="M41" s="6" t="s">
        <v>425</v>
      </c>
      <c r="N41" s="6">
        <f>IF(OR($G41="FCC",$G41="Hydrocracker",$G41="Reformer"),IF(COUNTIFS($D:$D,$D41,$A:$A,$A41,$B:$B,$B41,$G:$G,"CDU",$J:$J,"PLANNED")&gt;0,"tied","standalone"),"")</f>
        <v/>
      </c>
    </row>
    <row r="42" spans="1:14">
      <c r="A42" s="6">
        <v>2023</v>
      </c>
      <c r="B42" s="6">
        <v>1</v>
      </c>
      <c r="C42" s="6" t="s">
        <v>60</v>
      </c>
      <c r="D42" s="6" t="s">
        <v>484</v>
      </c>
      <c r="E42" s="6" t="s">
        <v>438</v>
      </c>
      <c r="F42" s="6" t="str">
        <f>IF($M42="PADD I","PADD 1",IF($M42="PADD II","PADD 2",IF($M42="PADD III","PADD 3",IF($M42="PADD IV","PADD 4",IF($M42="PADD V","PADD 5","")))))</f>
        <v>PADD 5</v>
      </c>
      <c r="G42" s="6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6" t="s">
        <v>485</v>
      </c>
      <c r="I42" s="6" t="s">
        <v>486</v>
      </c>
      <c r="J42" s="6" t="s">
        <v>398</v>
      </c>
      <c r="K42" s="10">
        <v>39.77</v>
      </c>
      <c r="L42" s="10">
        <v>41</v>
      </c>
      <c r="M42" s="6" t="s">
        <v>436</v>
      </c>
      <c r="N42" s="6">
        <f>IF(OR($G42="FCC",$G42="Hydrocracker",$G42="Reformer"),IF(COUNTIFS($D:$D,$D42,$A:$A,$A42,$B:$B,$B42,$G:$G,"CDU",$J:$J,"PLANNED")&gt;0,"tied","standalone"),"")</f>
        <v/>
      </c>
    </row>
    <row r="43" spans="1:14">
      <c r="A43" s="6">
        <v>2023</v>
      </c>
      <c r="B43" s="6">
        <v>1</v>
      </c>
      <c r="C43" s="6" t="s">
        <v>60</v>
      </c>
      <c r="D43" s="6" t="s">
        <v>487</v>
      </c>
      <c r="E43" s="6" t="s">
        <v>488</v>
      </c>
      <c r="F43" s="6" t="str">
        <f>IF($M43="PADD I","PADD 1",IF($M43="PADD II","PADD 2",IF($M43="PADD III","PADD 3",IF($M43="PADD IV","PADD 4",IF($M43="PADD V","PADD 5","")))))</f>
        <v>PADD 4</v>
      </c>
      <c r="G43" s="6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6" t="s">
        <v>39</v>
      </c>
      <c r="I43" s="6" t="s">
        <v>489</v>
      </c>
      <c r="J43" s="6" t="s">
        <v>394</v>
      </c>
      <c r="K43" s="10">
        <v>39</v>
      </c>
      <c r="L43" s="10">
        <v>39</v>
      </c>
      <c r="M43" s="6" t="s">
        <v>480</v>
      </c>
      <c r="N43" s="6">
        <f>IF(OR($G43="FCC",$G43="Hydrocracker",$G43="Reformer"),IF(COUNTIFS($D:$D,$D43,$A:$A,$A43,$B:$B,$B43,$G:$G,"CDU",$J:$J,"PLANNED")&gt;0,"tied","standalone"),"")</f>
        <v/>
      </c>
    </row>
    <row r="44" spans="1:14">
      <c r="A44" s="6">
        <v>2023</v>
      </c>
      <c r="B44" s="6">
        <v>1</v>
      </c>
      <c r="C44" s="6" t="s">
        <v>60</v>
      </c>
      <c r="D44" s="6" t="s">
        <v>487</v>
      </c>
      <c r="E44" s="6" t="s">
        <v>488</v>
      </c>
      <c r="F44" s="6" t="str">
        <f>IF($M44="PADD I","PADD 1",IF($M44="PADD II","PADD 2",IF($M44="PADD III","PADD 3",IF($M44="PADD IV","PADD 4",IF($M44="PADD V","PADD 5","")))))</f>
        <v>PADD 4</v>
      </c>
      <c r="G44" s="6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6" t="s">
        <v>39</v>
      </c>
      <c r="I44" s="6" t="s">
        <v>379</v>
      </c>
      <c r="J44" s="6" t="s">
        <v>394</v>
      </c>
      <c r="K44" s="10">
        <v>39</v>
      </c>
      <c r="L44" s="10">
        <v>39</v>
      </c>
      <c r="M44" s="6" t="s">
        <v>480</v>
      </c>
      <c r="N44" s="6">
        <f>IF(OR($G44="FCC",$G44="Hydrocracker",$G44="Reformer"),IF(COUNTIFS($D:$D,$D44,$A:$A,$A44,$B:$B,$B44,$G:$G,"CDU",$J:$J,"PLANNED")&gt;0,"tied","standalone"),"")</f>
        <v/>
      </c>
    </row>
    <row r="45" spans="1:14">
      <c r="A45" s="6">
        <v>2023</v>
      </c>
      <c r="B45" s="6">
        <v>1</v>
      </c>
      <c r="C45" s="6" t="s">
        <v>60</v>
      </c>
      <c r="D45" s="6" t="s">
        <v>487</v>
      </c>
      <c r="E45" s="6" t="s">
        <v>488</v>
      </c>
      <c r="F45" s="6" t="str">
        <f>IF($M45="PADD I","PADD 1",IF($M45="PADD II","PADD 2",IF($M45="PADD III","PADD 3",IF($M45="PADD IV","PADD 4",IF($M45="PADD V","PADD 5","")))))</f>
        <v>PADD 4</v>
      </c>
      <c r="G45" s="6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6" t="s">
        <v>39</v>
      </c>
      <c r="I45" s="6" t="s">
        <v>489</v>
      </c>
      <c r="J45" s="6" t="s">
        <v>394</v>
      </c>
      <c r="K45" s="10">
        <v>38</v>
      </c>
      <c r="L45" s="10">
        <v>38</v>
      </c>
      <c r="M45" s="6" t="s">
        <v>480</v>
      </c>
      <c r="N45" s="6">
        <f>IF(OR($G45="FCC",$G45="Hydrocracker",$G45="Reformer"),IF(COUNTIFS($D:$D,$D45,$A:$A,$A45,$B:$B,$B45,$G:$G,"CDU",$J:$J,"PLANNED")&gt;0,"tied","standalone"),"")</f>
        <v/>
      </c>
    </row>
    <row r="46" spans="1:14">
      <c r="A46" s="6">
        <v>2023</v>
      </c>
      <c r="B46" s="6">
        <v>1</v>
      </c>
      <c r="C46" s="6" t="s">
        <v>60</v>
      </c>
      <c r="D46" s="6" t="s">
        <v>490</v>
      </c>
      <c r="E46" s="6" t="s">
        <v>419</v>
      </c>
      <c r="F46" s="6" t="str">
        <f>IF($M46="PADD I","PADD 1",IF($M46="PADD II","PADD 2",IF($M46="PADD III","PADD 3",IF($M46="PADD IV","PADD 4",IF($M46="PADD V","PADD 5","")))))</f>
        <v>PADD 5</v>
      </c>
      <c r="G46" s="6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6" t="s">
        <v>485</v>
      </c>
      <c r="I46" s="6" t="s">
        <v>491</v>
      </c>
      <c r="J46" s="6" t="s">
        <v>394</v>
      </c>
      <c r="K46" s="10">
        <v>36.04</v>
      </c>
      <c r="L46" s="10">
        <v>53</v>
      </c>
      <c r="M46" s="6" t="s">
        <v>436</v>
      </c>
      <c r="N46" s="6">
        <f>IF(OR($G46="FCC",$G46="Hydrocracker",$G46="Reformer"),IF(COUNTIFS($D:$D,$D46,$A:$A,$A46,$B:$B,$B46,$G:$G,"CDU",$J:$J,"PLANNED")&gt;0,"tied","standalone"),"")</f>
        <v/>
      </c>
    </row>
    <row r="47" spans="1:14">
      <c r="A47" s="6">
        <v>2023</v>
      </c>
      <c r="B47" s="6">
        <v>1</v>
      </c>
      <c r="C47" s="6" t="s">
        <v>60</v>
      </c>
      <c r="D47" s="6" t="s">
        <v>437</v>
      </c>
      <c r="E47" s="6" t="s">
        <v>438</v>
      </c>
      <c r="F47" s="6" t="str">
        <f>IF($M47="PADD I","PADD 1",IF($M47="PADD II","PADD 2",IF($M47="PADD III","PADD 3",IF($M47="PADD IV","PADD 4",IF($M47="PADD V","PADD 5","")))))</f>
        <v>PADD 3</v>
      </c>
      <c r="G47" s="6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6" t="s">
        <v>428</v>
      </c>
      <c r="I47" s="6" t="s">
        <v>492</v>
      </c>
      <c r="J47" s="6" t="s">
        <v>398</v>
      </c>
      <c r="K47" s="10">
        <v>36</v>
      </c>
      <c r="L47" s="10">
        <v>112.5</v>
      </c>
      <c r="M47" s="6" t="s">
        <v>421</v>
      </c>
      <c r="N47" s="6">
        <f>IF(OR($G47="FCC",$G47="Hydrocracker",$G47="Reformer"),IF(COUNTIFS($D:$D,$D47,$A:$A,$A47,$B:$B,$B47,$G:$G,"CDU",$J:$J,"PLANNED")&gt;0,"tied","standalone"),"")</f>
        <v/>
      </c>
    </row>
    <row r="48" spans="1:14">
      <c r="A48" s="6">
        <v>2023</v>
      </c>
      <c r="B48" s="6">
        <v>1</v>
      </c>
      <c r="C48" s="6" t="s">
        <v>60</v>
      </c>
      <c r="D48" s="6" t="s">
        <v>437</v>
      </c>
      <c r="E48" s="6" t="s">
        <v>438</v>
      </c>
      <c r="F48" s="6" t="str">
        <f>IF($M48="PADD I","PADD 1",IF($M48="PADD II","PADD 2",IF($M48="PADD III","PADD 3",IF($M48="PADD IV","PADD 4",IF($M48="PADD V","PADD 5","")))))</f>
        <v>PADD 3</v>
      </c>
      <c r="G48" s="6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6" t="s">
        <v>471</v>
      </c>
      <c r="I48" s="6" t="s">
        <v>493</v>
      </c>
      <c r="J48" s="6" t="s">
        <v>398</v>
      </c>
      <c r="K48" s="10">
        <v>36</v>
      </c>
      <c r="L48" s="10">
        <v>75</v>
      </c>
      <c r="M48" s="6" t="s">
        <v>421</v>
      </c>
      <c r="N48" s="6" t="str">
        <f>IF(OR($G48="FCC",$G48="Hydrocracker",$G48="Reformer"),IF(COUNTIFS($D:$D,$D48,$A:$A,$A48,$B:$B,$B48,$G:$G,"CDU",$J:$J,"PLANNED")&gt;0,"tied","standalone"),"")</f>
        <v>tied</v>
      </c>
    </row>
    <row r="49" spans="1:14">
      <c r="A49" s="6">
        <v>2023</v>
      </c>
      <c r="B49" s="6">
        <v>1</v>
      </c>
      <c r="C49" s="6" t="s">
        <v>60</v>
      </c>
      <c r="D49" s="6" t="s">
        <v>422</v>
      </c>
      <c r="E49" s="6" t="s">
        <v>423</v>
      </c>
      <c r="F49" s="6" t="str">
        <f>IF($M49="PADD I","PADD 1",IF($M49="PADD II","PADD 2",IF($M49="PADD III","PADD 3",IF($M49="PADD IV","PADD 4",IF($M49="PADD V","PADD 5","")))))</f>
        <v>PADD 2</v>
      </c>
      <c r="G49" s="6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6" t="s">
        <v>494</v>
      </c>
      <c r="I49" s="6" t="s">
        <v>495</v>
      </c>
      <c r="J49" s="6" t="s">
        <v>394</v>
      </c>
      <c r="K49" s="10">
        <v>35</v>
      </c>
      <c r="L49" s="10">
        <v>35</v>
      </c>
      <c r="M49" s="6" t="s">
        <v>425</v>
      </c>
      <c r="N49" s="6" t="str">
        <f>IF(OR($G49="FCC",$G49="Hydrocracker",$G49="Reformer"),IF(COUNTIFS($D:$D,$D49,$A:$A,$A49,$B:$B,$B49,$G:$G,"CDU",$J:$J,"PLANNED")&gt;0,"tied","standalone"),"")</f>
        <v>standalone</v>
      </c>
    </row>
    <row r="50" spans="1:14">
      <c r="A50" s="6">
        <v>2023</v>
      </c>
      <c r="B50" s="6">
        <v>1</v>
      </c>
      <c r="C50" s="6" t="s">
        <v>60</v>
      </c>
      <c r="D50" s="6" t="s">
        <v>496</v>
      </c>
      <c r="E50" s="6" t="s">
        <v>441</v>
      </c>
      <c r="F50" s="6" t="str">
        <f>IF($M50="PADD I","PADD 1",IF($M50="PADD II","PADD 2",IF($M50="PADD III","PADD 3",IF($M50="PADD IV","PADD 4",IF($M50="PADD V","PADD 5","")))))</f>
        <v>PADD 3</v>
      </c>
      <c r="G50" s="6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6" t="s">
        <v>44</v>
      </c>
      <c r="I50" s="6" t="s">
        <v>497</v>
      </c>
      <c r="J50" s="6" t="s">
        <v>398</v>
      </c>
      <c r="K50" s="10">
        <v>35</v>
      </c>
      <c r="L50" s="10">
        <v>35</v>
      </c>
      <c r="M50" s="6" t="s">
        <v>421</v>
      </c>
      <c r="N50" s="6">
        <f>IF(OR($G50="FCC",$G50="Hydrocracker",$G50="Reformer"),IF(COUNTIFS($D:$D,$D50,$A:$A,$A50,$B:$B,$B50,$G:$G,"CDU",$J:$J,"PLANNED")&gt;0,"tied","standalone"),"")</f>
        <v/>
      </c>
    </row>
    <row r="51" spans="1:14">
      <c r="A51" s="6">
        <v>2023</v>
      </c>
      <c r="B51" s="6">
        <v>1</v>
      </c>
      <c r="C51" s="6" t="s">
        <v>60</v>
      </c>
      <c r="D51" s="6" t="s">
        <v>498</v>
      </c>
      <c r="E51" s="6" t="s">
        <v>441</v>
      </c>
      <c r="F51" s="6" t="str">
        <f>IF($M51="PADD I","PADD 1",IF($M51="PADD II","PADD 2",IF($M51="PADD III","PADD 3",IF($M51="PADD IV","PADD 4",IF($M51="PADD V","PADD 5","")))))</f>
        <v>PADD 3</v>
      </c>
      <c r="G51" s="6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6" t="s">
        <v>44</v>
      </c>
      <c r="I51" s="6" t="s">
        <v>499</v>
      </c>
      <c r="J51" s="6" t="s">
        <v>394</v>
      </c>
      <c r="K51" s="10">
        <v>35</v>
      </c>
      <c r="L51" s="10">
        <v>35</v>
      </c>
      <c r="M51" s="6" t="s">
        <v>421</v>
      </c>
      <c r="N51" s="6">
        <f>IF(OR($G51="FCC",$G51="Hydrocracker",$G51="Reformer"),IF(COUNTIFS($D:$D,$D51,$A:$A,$A51,$B:$B,$B51,$G:$G,"CDU",$J:$J,"PLANNED")&gt;0,"tied","standalone"),"")</f>
        <v/>
      </c>
    </row>
    <row r="52" spans="1:14">
      <c r="A52" s="6">
        <v>2023</v>
      </c>
      <c r="B52" s="6">
        <v>1</v>
      </c>
      <c r="C52" s="6" t="s">
        <v>60</v>
      </c>
      <c r="D52" s="6" t="s">
        <v>500</v>
      </c>
      <c r="E52" s="6" t="s">
        <v>419</v>
      </c>
      <c r="F52" s="6" t="str">
        <f>IF($M52="PADD I","PADD 1",IF($M52="PADD II","PADD 2",IF($M52="PADD III","PADD 3",IF($M52="PADD IV","PADD 4",IF($M52="PADD V","PADD 5","")))))</f>
        <v>PADD 3</v>
      </c>
      <c r="G52" s="6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6" t="s">
        <v>44</v>
      </c>
      <c r="I52" s="6" t="s">
        <v>499</v>
      </c>
      <c r="J52" s="6" t="s">
        <v>398</v>
      </c>
      <c r="K52" s="10">
        <v>35</v>
      </c>
      <c r="L52" s="10">
        <v>35</v>
      </c>
      <c r="M52" s="6" t="s">
        <v>421</v>
      </c>
      <c r="N52" s="6">
        <f>IF(OR($G52="FCC",$G52="Hydrocracker",$G52="Reformer"),IF(COUNTIFS($D:$D,$D52,$A:$A,$A52,$B:$B,$B52,$G:$G,"CDU",$J:$J,"PLANNED")&gt;0,"tied","standalone"),"")</f>
        <v/>
      </c>
    </row>
    <row r="53" spans="1:14">
      <c r="A53" s="6">
        <v>2023</v>
      </c>
      <c r="B53" s="6">
        <v>1</v>
      </c>
      <c r="C53" s="6" t="s">
        <v>60</v>
      </c>
      <c r="D53" s="6" t="s">
        <v>501</v>
      </c>
      <c r="E53" s="6" t="s">
        <v>502</v>
      </c>
      <c r="F53" s="6" t="str">
        <f>IF($M53="PADD I","PADD 1",IF($M53="PADD II","PADD 2",IF($M53="PADD III","PADD 3",IF($M53="PADD IV","PADD 4",IF($M53="PADD V","PADD 5","")))))</f>
        <v>PADD 2</v>
      </c>
      <c r="G53" s="6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6" t="s">
        <v>428</v>
      </c>
      <c r="I53" s="6" t="s">
        <v>481</v>
      </c>
      <c r="J53" s="6" t="s">
        <v>394</v>
      </c>
      <c r="K53" s="10">
        <v>34.16</v>
      </c>
      <c r="L53" s="10">
        <v>56</v>
      </c>
      <c r="M53" s="6" t="s">
        <v>425</v>
      </c>
      <c r="N53" s="6">
        <f>IF(OR($G53="FCC",$G53="Hydrocracker",$G53="Reformer"),IF(COUNTIFS($D:$D,$D53,$A:$A,$A53,$B:$B,$B53,$G:$G,"CDU",$J:$J,"PLANNED")&gt;0,"tied","standalone"),"")</f>
        <v/>
      </c>
    </row>
    <row r="54" spans="1:14">
      <c r="A54" s="6">
        <v>2023</v>
      </c>
      <c r="B54" s="6">
        <v>1</v>
      </c>
      <c r="C54" s="6" t="s">
        <v>60</v>
      </c>
      <c r="D54" s="6" t="s">
        <v>465</v>
      </c>
      <c r="E54" s="6" t="s">
        <v>466</v>
      </c>
      <c r="F54" s="6" t="str">
        <f>IF($M54="PADD I","PADD 1",IF($M54="PADD II","PADD 2",IF($M54="PADD III","PADD 3",IF($M54="PADD IV","PADD 4",IF($M54="PADD V","PADD 5","")))))</f>
        <v>PADD 3</v>
      </c>
      <c r="G54" s="6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6" t="s">
        <v>485</v>
      </c>
      <c r="I54" s="6" t="s">
        <v>503</v>
      </c>
      <c r="J54" s="6" t="s">
        <v>394</v>
      </c>
      <c r="K54" s="10">
        <v>34</v>
      </c>
      <c r="L54" s="10">
        <v>34</v>
      </c>
      <c r="M54" s="6" t="s">
        <v>421</v>
      </c>
      <c r="N54" s="6">
        <f>IF(OR($G54="FCC",$G54="Hydrocracker",$G54="Reformer"),IF(COUNTIFS($D:$D,$D54,$A:$A,$A54,$B:$B,$B54,$G:$G,"CDU",$J:$J,"PLANNED")&gt;0,"tied","standalone"),"")</f>
        <v/>
      </c>
    </row>
    <row r="55" spans="1:14">
      <c r="A55" s="6">
        <v>2023</v>
      </c>
      <c r="B55" s="6">
        <v>1</v>
      </c>
      <c r="C55" s="6" t="s">
        <v>60</v>
      </c>
      <c r="D55" s="6" t="s">
        <v>465</v>
      </c>
      <c r="E55" s="6" t="s">
        <v>466</v>
      </c>
      <c r="F55" s="6" t="str">
        <f>IF($M55="PADD I","PADD 1",IF($M55="PADD II","PADD 2",IF($M55="PADD III","PADD 3",IF($M55="PADD IV","PADD 4",IF($M55="PADD V","PADD 5","")))))</f>
        <v>PADD 3</v>
      </c>
      <c r="G55" s="6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6" t="s">
        <v>485</v>
      </c>
      <c r="I55" s="6" t="s">
        <v>503</v>
      </c>
      <c r="J55" s="6" t="s">
        <v>394</v>
      </c>
      <c r="K55" s="10">
        <v>34</v>
      </c>
      <c r="L55" s="10">
        <v>34</v>
      </c>
      <c r="M55" s="6" t="s">
        <v>421</v>
      </c>
      <c r="N55" s="6">
        <f>IF(OR($G55="FCC",$G55="Hydrocracker",$G55="Reformer"),IF(COUNTIFS($D:$D,$D55,$A:$A,$A55,$B:$B,$B55,$G:$G,"CDU",$J:$J,"PLANNED")&gt;0,"tied","standalone"),"")</f>
        <v/>
      </c>
    </row>
    <row r="56" spans="1:14">
      <c r="A56" s="6">
        <v>2023</v>
      </c>
      <c r="B56" s="6">
        <v>1</v>
      </c>
      <c r="C56" s="6" t="s">
        <v>60</v>
      </c>
      <c r="D56" s="6" t="s">
        <v>465</v>
      </c>
      <c r="E56" s="6" t="s">
        <v>466</v>
      </c>
      <c r="F56" s="6" t="str">
        <f>IF($M56="PADD I","PADD 1",IF($M56="PADD II","PADD 2",IF($M56="PADD III","PADD 3",IF($M56="PADD IV","PADD 4",IF($M56="PADD V","PADD 5","")))))</f>
        <v>PADD 3</v>
      </c>
      <c r="G56" s="6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6" t="s">
        <v>471</v>
      </c>
      <c r="I56" s="6" t="s">
        <v>504</v>
      </c>
      <c r="J56" s="6" t="s">
        <v>394</v>
      </c>
      <c r="K56" s="10">
        <v>33.8</v>
      </c>
      <c r="L56" s="10">
        <v>52</v>
      </c>
      <c r="M56" s="6" t="s">
        <v>421</v>
      </c>
      <c r="N56" s="6" t="str">
        <f>IF(OR($G56="FCC",$G56="Hydrocracker",$G56="Reformer"),IF(COUNTIFS($D:$D,$D56,$A:$A,$A56,$B:$B,$B56,$G:$G,"CDU",$J:$J,"PLANNED")&gt;0,"tied","standalone"),"")</f>
        <v>standalone</v>
      </c>
    </row>
    <row r="57" spans="1:14">
      <c r="A57" s="6">
        <v>2023</v>
      </c>
      <c r="B57" s="6">
        <v>1</v>
      </c>
      <c r="C57" s="6" t="s">
        <v>60</v>
      </c>
      <c r="D57" s="6" t="s">
        <v>505</v>
      </c>
      <c r="E57" s="6" t="s">
        <v>455</v>
      </c>
      <c r="F57" s="6" t="str">
        <f>IF($M57="PADD I","PADD 1",IF($M57="PADD II","PADD 2",IF($M57="PADD III","PADD 3",IF($M57="PADD IV","PADD 4",IF($M57="PADD V","PADD 5","")))))</f>
        <v>PADD 3</v>
      </c>
      <c r="G57" s="6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6" t="s">
        <v>494</v>
      </c>
      <c r="I57" s="6" t="s">
        <v>506</v>
      </c>
      <c r="J57" s="6" t="s">
        <v>398</v>
      </c>
      <c r="K57" s="10">
        <v>33.75</v>
      </c>
      <c r="L57" s="10">
        <v>75</v>
      </c>
      <c r="M57" s="6" t="s">
        <v>421</v>
      </c>
      <c r="N57" s="6" t="str">
        <f>IF(OR($G57="FCC",$G57="Hydrocracker",$G57="Reformer"),IF(COUNTIFS($D:$D,$D57,$A:$A,$A57,$B:$B,$B57,$G:$G,"CDU",$J:$J,"PLANNED")&gt;0,"tied","standalone"),"")</f>
        <v>standalone</v>
      </c>
    </row>
    <row r="58" spans="1:14">
      <c r="A58" s="6">
        <v>2023</v>
      </c>
      <c r="B58" s="6">
        <v>1</v>
      </c>
      <c r="C58" s="6" t="s">
        <v>60</v>
      </c>
      <c r="D58" s="6" t="s">
        <v>507</v>
      </c>
      <c r="E58" s="6" t="s">
        <v>438</v>
      </c>
      <c r="F58" s="6" t="str">
        <f>IF($M58="PADD I","PADD 1",IF($M58="PADD II","PADD 2",IF($M58="PADD III","PADD 3",IF($M58="PADD IV","PADD 4",IF($M58="PADD V","PADD 5","")))))</f>
        <v>PADD 5</v>
      </c>
      <c r="G58" s="6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6" t="s">
        <v>494</v>
      </c>
      <c r="I58" s="6" t="s">
        <v>14</v>
      </c>
      <c r="J58" s="6" t="s">
        <v>394</v>
      </c>
      <c r="K58" s="10">
        <v>33.55</v>
      </c>
      <c r="L58" s="10">
        <v>55</v>
      </c>
      <c r="M58" s="6" t="s">
        <v>436</v>
      </c>
      <c r="N58" s="6" t="str">
        <f>IF(OR($G58="FCC",$G58="Hydrocracker",$G58="Reformer"),IF(COUNTIFS($D:$D,$D58,$A:$A,$A58,$B:$B,$B58,$G:$G,"CDU",$J:$J,"PLANNED")&gt;0,"tied","standalone"),"")</f>
        <v>standalone</v>
      </c>
    </row>
    <row r="59" spans="1:14">
      <c r="A59" s="6">
        <v>2023</v>
      </c>
      <c r="B59" s="6">
        <v>1</v>
      </c>
      <c r="C59" s="6" t="s">
        <v>60</v>
      </c>
      <c r="D59" s="6" t="s">
        <v>461</v>
      </c>
      <c r="E59" s="6" t="s">
        <v>419</v>
      </c>
      <c r="F59" s="6" t="str">
        <f>IF($M59="PADD I","PADD 1",IF($M59="PADD II","PADD 2",IF($M59="PADD III","PADD 3",IF($M59="PADD IV","PADD 4",IF($M59="PADD V","PADD 5","")))))</f>
        <v>PADD 1</v>
      </c>
      <c r="G59" s="6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6" t="s">
        <v>44</v>
      </c>
      <c r="I59" s="6" t="s">
        <v>508</v>
      </c>
      <c r="J59" s="6" t="s">
        <v>398</v>
      </c>
      <c r="K59" s="10">
        <v>33.15</v>
      </c>
      <c r="L59" s="10">
        <v>85</v>
      </c>
      <c r="M59" s="6" t="s">
        <v>463</v>
      </c>
      <c r="N59" s="6">
        <f>IF(OR($G59="FCC",$G59="Hydrocracker",$G59="Reformer"),IF(COUNTIFS($D:$D,$D59,$A:$A,$A59,$B:$B,$B59,$G:$G,"CDU",$J:$J,"PLANNED")&gt;0,"tied","standalone"),"")</f>
        <v/>
      </c>
    </row>
    <row r="60" spans="1:14">
      <c r="A60" s="6">
        <v>2023</v>
      </c>
      <c r="B60" s="6">
        <v>1</v>
      </c>
      <c r="C60" s="6" t="s">
        <v>60</v>
      </c>
      <c r="D60" s="6" t="s">
        <v>458</v>
      </c>
      <c r="E60" s="6" t="s">
        <v>459</v>
      </c>
      <c r="F60" s="6" t="str">
        <f>IF($M60="PADD I","PADD 1",IF($M60="PADD II","PADD 2",IF($M60="PADD III","PADD 3",IF($M60="PADD IV","PADD 4",IF($M60="PADD V","PADD 5","")))))</f>
        <v>PADD 3</v>
      </c>
      <c r="G60" s="6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6" t="s">
        <v>485</v>
      </c>
      <c r="I60" s="6" t="s">
        <v>509</v>
      </c>
      <c r="J60" s="6" t="s">
        <v>394</v>
      </c>
      <c r="K60" s="10">
        <v>33</v>
      </c>
      <c r="L60" s="10">
        <v>60</v>
      </c>
      <c r="M60" s="6" t="s">
        <v>421</v>
      </c>
      <c r="N60" s="6">
        <f>IF(OR($G60="FCC",$G60="Hydrocracker",$G60="Reformer"),IF(COUNTIFS($D:$D,$D60,$A:$A,$A60,$B:$B,$B60,$G:$G,"CDU",$J:$J,"PLANNED")&gt;0,"tied","standalone"),"")</f>
        <v/>
      </c>
    </row>
    <row r="61" spans="1:14">
      <c r="A61" s="6">
        <v>2023</v>
      </c>
      <c r="B61" s="6">
        <v>1</v>
      </c>
      <c r="C61" s="6" t="s">
        <v>60</v>
      </c>
      <c r="D61" s="6" t="s">
        <v>52</v>
      </c>
      <c r="E61" s="6" t="s">
        <v>441</v>
      </c>
      <c r="F61" s="6" t="str">
        <f>IF($M61="PADD I","PADD 1",IF($M61="PADD II","PADD 2",IF($M61="PADD III","PADD 3",IF($M61="PADD IV","PADD 4",IF($M61="PADD V","PADD 5","")))))</f>
        <v>PADD 5</v>
      </c>
      <c r="G61" s="6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6" t="s">
        <v>510</v>
      </c>
      <c r="I61" s="6" t="s">
        <v>511</v>
      </c>
      <c r="J61" s="6" t="s">
        <v>394</v>
      </c>
      <c r="K61" s="10">
        <v>33</v>
      </c>
      <c r="L61" s="10">
        <v>33</v>
      </c>
      <c r="M61" s="6" t="s">
        <v>436</v>
      </c>
      <c r="N61" s="6">
        <f>IF(OR($G61="FCC",$G61="Hydrocracker",$G61="Reformer"),IF(COUNTIFS($D:$D,$D61,$A:$A,$A61,$B:$B,$B61,$G:$G,"CDU",$J:$J,"PLANNED")&gt;0,"tied","standalone"),"")</f>
        <v/>
      </c>
    </row>
    <row r="62" spans="1:14">
      <c r="A62" s="6">
        <v>2023</v>
      </c>
      <c r="B62" s="6">
        <v>1</v>
      </c>
      <c r="C62" s="6" t="s">
        <v>60</v>
      </c>
      <c r="D62" s="6" t="s">
        <v>43</v>
      </c>
      <c r="E62" s="6" t="s">
        <v>455</v>
      </c>
      <c r="F62" s="6" t="str">
        <f>IF($M62="PADD I","PADD 1",IF($M62="PADD II","PADD 2",IF($M62="PADD III","PADD 3",IF($M62="PADD IV","PADD 4",IF($M62="PADD V","PADD 5","")))))</f>
        <v>PADD 3</v>
      </c>
      <c r="G62" s="6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6" t="s">
        <v>485</v>
      </c>
      <c r="I62" s="6" t="s">
        <v>491</v>
      </c>
      <c r="J62" s="6" t="s">
        <v>398</v>
      </c>
      <c r="K62" s="10">
        <v>32.33</v>
      </c>
      <c r="L62" s="10">
        <v>53</v>
      </c>
      <c r="M62" s="6" t="s">
        <v>421</v>
      </c>
      <c r="N62" s="6">
        <f>IF(OR($G62="FCC",$G62="Hydrocracker",$G62="Reformer"),IF(COUNTIFS($D:$D,$D62,$A:$A,$A62,$B:$B,$B62,$G:$G,"CDU",$J:$J,"PLANNED")&gt;0,"tied","standalone"),"")</f>
        <v/>
      </c>
    </row>
    <row r="63" spans="1:14">
      <c r="A63" s="6">
        <v>2023</v>
      </c>
      <c r="B63" s="6">
        <v>1</v>
      </c>
      <c r="C63" s="6" t="s">
        <v>60</v>
      </c>
      <c r="D63" s="6" t="s">
        <v>512</v>
      </c>
      <c r="E63" s="6" t="s">
        <v>488</v>
      </c>
      <c r="F63" s="6" t="str">
        <f>IF($M63="PADD I","PADD 1",IF($M63="PADD II","PADD 2",IF($M63="PADD III","PADD 3",IF($M63="PADD IV","PADD 4",IF($M63="PADD V","PADD 5","")))))</f>
        <v>PADD 4</v>
      </c>
      <c r="G63" s="6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6" t="s">
        <v>39</v>
      </c>
      <c r="I63" s="6" t="s">
        <v>124</v>
      </c>
      <c r="J63" s="6" t="s">
        <v>394</v>
      </c>
      <c r="K63" s="10">
        <v>32</v>
      </c>
      <c r="L63" s="10">
        <v>32</v>
      </c>
      <c r="M63" s="6" t="s">
        <v>480</v>
      </c>
      <c r="N63" s="6">
        <f>IF(OR($G63="FCC",$G63="Hydrocracker",$G63="Reformer"),IF(COUNTIFS($D:$D,$D63,$A:$A,$A63,$B:$B,$B63,$G:$G,"CDU",$J:$J,"PLANNED")&gt;0,"tied","standalone"),"")</f>
        <v/>
      </c>
    </row>
    <row r="64" spans="1:14">
      <c r="A64" s="6">
        <v>2023</v>
      </c>
      <c r="B64" s="6">
        <v>1</v>
      </c>
      <c r="C64" s="6" t="s">
        <v>60</v>
      </c>
      <c r="D64" s="6" t="s">
        <v>395</v>
      </c>
      <c r="E64" s="6" t="s">
        <v>433</v>
      </c>
      <c r="F64" s="6" t="str">
        <f>IF($M64="PADD I","PADD 1",IF($M64="PADD II","PADD 2",IF($M64="PADD III","PADD 3",IF($M64="PADD IV","PADD 4",IF($M64="PADD V","PADD 5","")))))</f>
        <v>PADD 2</v>
      </c>
      <c r="G64" s="6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6" t="s">
        <v>494</v>
      </c>
      <c r="I64" s="6" t="s">
        <v>513</v>
      </c>
      <c r="J64" s="6" t="s">
        <v>398</v>
      </c>
      <c r="K64" s="10">
        <v>32</v>
      </c>
      <c r="L64" s="10">
        <v>32</v>
      </c>
      <c r="M64" s="6" t="s">
        <v>425</v>
      </c>
      <c r="N64" s="6" t="str">
        <f>IF(OR($G64="FCC",$G64="Hydrocracker",$G64="Reformer"),IF(COUNTIFS($D:$D,$D64,$A:$A,$A64,$B:$B,$B64,$G:$G,"CDU",$J:$J,"PLANNED")&gt;0,"tied","standalone"),"")</f>
        <v>tied</v>
      </c>
    </row>
    <row r="65" spans="1:14">
      <c r="A65" s="6">
        <v>2023</v>
      </c>
      <c r="B65" s="6">
        <v>1</v>
      </c>
      <c r="C65" s="6" t="s">
        <v>60</v>
      </c>
      <c r="D65" s="6" t="s">
        <v>458</v>
      </c>
      <c r="E65" s="6" t="s">
        <v>459</v>
      </c>
      <c r="F65" s="6" t="str">
        <f>IF($M65="PADD I","PADD 1",IF($M65="PADD II","PADD 2",IF($M65="PADD III","PADD 3",IF($M65="PADD IV","PADD 4",IF($M65="PADD V","PADD 5","")))))</f>
        <v>PADD 3</v>
      </c>
      <c r="G65" s="6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6" t="s">
        <v>44</v>
      </c>
      <c r="I65" s="6" t="s">
        <v>514</v>
      </c>
      <c r="J65" s="6" t="s">
        <v>394</v>
      </c>
      <c r="K65" s="10">
        <v>30.5</v>
      </c>
      <c r="L65" s="10">
        <v>50</v>
      </c>
      <c r="M65" s="6" t="s">
        <v>421</v>
      </c>
      <c r="N65" s="6">
        <f>IF(OR($G65="FCC",$G65="Hydrocracker",$G65="Reformer"),IF(COUNTIFS($D:$D,$D65,$A:$A,$A65,$B:$B,$B65,$G:$G,"CDU",$J:$J,"PLANNED")&gt;0,"tied","standalone"),"")</f>
        <v/>
      </c>
    </row>
    <row r="66" spans="1:14">
      <c r="A66" s="6">
        <v>2023</v>
      </c>
      <c r="B66" s="6">
        <v>1</v>
      </c>
      <c r="C66" s="6" t="s">
        <v>60</v>
      </c>
      <c r="D66" s="6" t="s">
        <v>515</v>
      </c>
      <c r="E66" s="6" t="s">
        <v>419</v>
      </c>
      <c r="F66" s="6" t="str">
        <f>IF($M66="PADD I","PADD 1",IF($M66="PADD II","PADD 2",IF($M66="PADD III","PADD 3",IF($M66="PADD IV","PADD 4",IF($M66="PADD V","PADD 5","")))))</f>
        <v>PADD 5</v>
      </c>
      <c r="G66" s="6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6" t="s">
        <v>44</v>
      </c>
      <c r="I66" s="6" t="s">
        <v>516</v>
      </c>
      <c r="J66" s="6" t="s">
        <v>398</v>
      </c>
      <c r="K66" s="10">
        <v>30.5</v>
      </c>
      <c r="L66" s="10">
        <v>50</v>
      </c>
      <c r="M66" s="6" t="s">
        <v>436</v>
      </c>
      <c r="N66" s="6">
        <f>IF(OR($G66="FCC",$G66="Hydrocracker",$G66="Reformer"),IF(COUNTIFS($D:$D,$D66,$A:$A,$A66,$B:$B,$B66,$G:$G,"CDU",$J:$J,"PLANNED")&gt;0,"tied","standalone"),"")</f>
        <v/>
      </c>
    </row>
    <row r="67" spans="1:14">
      <c r="A67" s="6">
        <v>2023</v>
      </c>
      <c r="B67" s="6">
        <v>1</v>
      </c>
      <c r="C67" s="6" t="s">
        <v>60</v>
      </c>
      <c r="D67" s="6" t="s">
        <v>437</v>
      </c>
      <c r="E67" s="6" t="s">
        <v>438</v>
      </c>
      <c r="F67" s="6" t="str">
        <f>IF($M67="PADD I","PADD 1",IF($M67="PADD II","PADD 2",IF($M67="PADD III","PADD 3",IF($M67="PADD IV","PADD 4",IF($M67="PADD V","PADD 5","")))))</f>
        <v>PADD 3</v>
      </c>
      <c r="G67" s="6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6" t="s">
        <v>471</v>
      </c>
      <c r="I67" s="6" t="s">
        <v>493</v>
      </c>
      <c r="J67" s="6" t="s">
        <v>394</v>
      </c>
      <c r="K67" s="10">
        <v>30.225</v>
      </c>
      <c r="L67" s="10">
        <v>77.5</v>
      </c>
      <c r="M67" s="6" t="s">
        <v>421</v>
      </c>
      <c r="N67" s="6" t="str">
        <f>IF(OR($G67="FCC",$G67="Hydrocracker",$G67="Reformer"),IF(COUNTIFS($D:$D,$D67,$A:$A,$A67,$B:$B,$B67,$G:$G,"CDU",$J:$J,"PLANNED")&gt;0,"tied","standalone"),"")</f>
        <v>tied</v>
      </c>
    </row>
    <row r="68" spans="1:14">
      <c r="A68" s="6">
        <v>2023</v>
      </c>
      <c r="B68" s="6">
        <v>1</v>
      </c>
      <c r="C68" s="6" t="s">
        <v>60</v>
      </c>
      <c r="D68" s="6" t="s">
        <v>422</v>
      </c>
      <c r="E68" s="6" t="s">
        <v>423</v>
      </c>
      <c r="F68" s="6" t="str">
        <f>IF($M68="PADD I","PADD 1",IF($M68="PADD II","PADD 2",IF($M68="PADD III","PADD 3",IF($M68="PADD IV","PADD 4",IF($M68="PADD V","PADD 5","")))))</f>
        <v>PADD 2</v>
      </c>
      <c r="G68" s="6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6" t="s">
        <v>485</v>
      </c>
      <c r="I68" s="6" t="s">
        <v>517</v>
      </c>
      <c r="J68" s="6" t="s">
        <v>394</v>
      </c>
      <c r="K68" s="10">
        <v>30</v>
      </c>
      <c r="L68" s="10">
        <v>30</v>
      </c>
      <c r="M68" s="6" t="s">
        <v>425</v>
      </c>
      <c r="N68" s="6">
        <f>IF(OR($G68="FCC",$G68="Hydrocracker",$G68="Reformer"),IF(COUNTIFS($D:$D,$D68,$A:$A,$A68,$B:$B,$B68,$G:$G,"CDU",$J:$J,"PLANNED")&gt;0,"tied","standalone"),"")</f>
        <v/>
      </c>
    </row>
    <row r="69" spans="1:14">
      <c r="A69" s="6">
        <v>2023</v>
      </c>
      <c r="B69" s="6">
        <v>1</v>
      </c>
      <c r="C69" s="6" t="s">
        <v>60</v>
      </c>
      <c r="D69" s="6" t="s">
        <v>518</v>
      </c>
      <c r="E69" s="6" t="s">
        <v>419</v>
      </c>
      <c r="F69" s="6" t="str">
        <f>IF($M69="PADD I","PADD 1",IF($M69="PADD II","PADD 2",IF($M69="PADD III","PADD 3",IF($M69="PADD IV","PADD 4",IF($M69="PADD V","PADD 5","")))))</f>
        <v>PADD 3</v>
      </c>
      <c r="G69" s="6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6" t="s">
        <v>426</v>
      </c>
      <c r="I69" s="6" t="s">
        <v>519</v>
      </c>
      <c r="J69" s="6" t="s">
        <v>398</v>
      </c>
      <c r="K69" s="10">
        <v>30</v>
      </c>
      <c r="L69" s="10">
        <v>30</v>
      </c>
      <c r="M69" s="6" t="s">
        <v>421</v>
      </c>
      <c r="N69" s="6" t="str">
        <f>IF(OR($G69="FCC",$G69="Hydrocracker",$G69="Reformer"),IF(COUNTIFS($D:$D,$D69,$A:$A,$A69,$B:$B,$B69,$G:$G,"CDU",$J:$J,"PLANNED")&gt;0,"tied","standalone"),"")</f>
        <v>standalone</v>
      </c>
    </row>
    <row r="70" spans="1:14">
      <c r="A70" s="6">
        <v>2023</v>
      </c>
      <c r="B70" s="6">
        <v>1</v>
      </c>
      <c r="C70" s="6" t="s">
        <v>60</v>
      </c>
      <c r="D70" s="6" t="s">
        <v>512</v>
      </c>
      <c r="E70" s="6" t="s">
        <v>488</v>
      </c>
      <c r="F70" s="6" t="str">
        <f>IF($M70="PADD I","PADD 1",IF($M70="PADD II","PADD 2",IF($M70="PADD III","PADD 3",IF($M70="PADD IV","PADD 4",IF($M70="PADD V","PADD 5","")))))</f>
        <v>PADD 4</v>
      </c>
      <c r="G70" s="6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6" t="s">
        <v>44</v>
      </c>
      <c r="I70" s="6" t="s">
        <v>520</v>
      </c>
      <c r="J70" s="6" t="s">
        <v>394</v>
      </c>
      <c r="K70" s="10">
        <v>30</v>
      </c>
      <c r="L70" s="10">
        <v>30</v>
      </c>
      <c r="M70" s="6" t="s">
        <v>480</v>
      </c>
      <c r="N70" s="6">
        <f>IF(OR($G70="FCC",$G70="Hydrocracker",$G70="Reformer"),IF(COUNTIFS($D:$D,$D70,$A:$A,$A70,$B:$B,$B70,$G:$G,"CDU",$J:$J,"PLANNED")&gt;0,"tied","standalone"),"")</f>
        <v/>
      </c>
    </row>
    <row r="71" spans="1:14">
      <c r="A71" s="6">
        <v>2023</v>
      </c>
      <c r="B71" s="6">
        <v>1</v>
      </c>
      <c r="C71" s="6" t="s">
        <v>60</v>
      </c>
      <c r="D71" s="6" t="s">
        <v>395</v>
      </c>
      <c r="E71" s="6" t="s">
        <v>433</v>
      </c>
      <c r="F71" s="6" t="str">
        <f>IF($M71="PADD I","PADD 1",IF($M71="PADD II","PADD 2",IF($M71="PADD III","PADD 3",IF($M71="PADD IV","PADD 4",IF($M71="PADD V","PADD 5","")))))</f>
        <v>PADD 2</v>
      </c>
      <c r="G71" s="6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6" t="s">
        <v>471</v>
      </c>
      <c r="I71" s="6" t="s">
        <v>521</v>
      </c>
      <c r="J71" s="6" t="s">
        <v>398</v>
      </c>
      <c r="K71" s="10">
        <v>30</v>
      </c>
      <c r="L71" s="10">
        <v>30</v>
      </c>
      <c r="M71" s="6" t="s">
        <v>425</v>
      </c>
      <c r="N71" s="6" t="str">
        <f>IF(OR($G71="FCC",$G71="Hydrocracker",$G71="Reformer"),IF(COUNTIFS($D:$D,$D71,$A:$A,$A71,$B:$B,$B71,$G:$G,"CDU",$J:$J,"PLANNED")&gt;0,"tied","standalone"),"")</f>
        <v>tied</v>
      </c>
    </row>
    <row r="72" spans="1:14">
      <c r="A72" s="6">
        <v>2023</v>
      </c>
      <c r="B72" s="6">
        <v>1</v>
      </c>
      <c r="C72" s="6" t="s">
        <v>60</v>
      </c>
      <c r="D72" s="6" t="s">
        <v>384</v>
      </c>
      <c r="E72" s="6" t="s">
        <v>419</v>
      </c>
      <c r="F72" s="6" t="str">
        <f>IF($M72="PADD I","PADD 1",IF($M72="PADD II","PADD 2",IF($M72="PADD III","PADD 3",IF($M72="PADD IV","PADD 4",IF($M72="PADD V","PADD 5","")))))</f>
        <v>PADD 3</v>
      </c>
      <c r="G72" s="6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6" t="s">
        <v>426</v>
      </c>
      <c r="I72" s="6" t="s">
        <v>522</v>
      </c>
      <c r="J72" s="6" t="s">
        <v>394</v>
      </c>
      <c r="K72" s="10">
        <v>30</v>
      </c>
      <c r="L72" s="10">
        <v>30</v>
      </c>
      <c r="M72" s="6" t="s">
        <v>421</v>
      </c>
      <c r="N72" s="6" t="str">
        <f>IF(OR($G72="FCC",$G72="Hydrocracker",$G72="Reformer"),IF(COUNTIFS($D:$D,$D72,$A:$A,$A72,$B:$B,$B72,$G:$G,"CDU",$J:$J,"PLANNED")&gt;0,"tied","standalone"),"")</f>
        <v>standalone</v>
      </c>
    </row>
    <row r="73" spans="1:14">
      <c r="A73" s="6">
        <v>2023</v>
      </c>
      <c r="B73" s="6">
        <v>1</v>
      </c>
      <c r="C73" s="6" t="s">
        <v>60</v>
      </c>
      <c r="D73" s="6" t="s">
        <v>518</v>
      </c>
      <c r="E73" s="6" t="s">
        <v>419</v>
      </c>
      <c r="F73" s="6" t="str">
        <f>IF($M73="PADD I","PADD 1",IF($M73="PADD II","PADD 2",IF($M73="PADD III","PADD 3",IF($M73="PADD IV","PADD 4",IF($M73="PADD V","PADD 5","")))))</f>
        <v>PADD 3</v>
      </c>
      <c r="G73" s="6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6" t="s">
        <v>426</v>
      </c>
      <c r="I73" s="6" t="s">
        <v>523</v>
      </c>
      <c r="J73" s="6" t="s">
        <v>394</v>
      </c>
      <c r="K73" s="10">
        <v>30</v>
      </c>
      <c r="L73" s="10">
        <v>30</v>
      </c>
      <c r="M73" s="6" t="s">
        <v>421</v>
      </c>
      <c r="N73" s="6" t="str">
        <f>IF(OR($G73="FCC",$G73="Hydrocracker",$G73="Reformer"),IF(COUNTIFS($D:$D,$D73,$A:$A,$A73,$B:$B,$B73,$G:$G,"CDU",$J:$J,"PLANNED")&gt;0,"tied","standalone"),"")</f>
        <v>standalone</v>
      </c>
    </row>
    <row r="74" spans="1:14">
      <c r="A74" s="6">
        <v>2023</v>
      </c>
      <c r="B74" s="6">
        <v>1</v>
      </c>
      <c r="C74" s="6" t="s">
        <v>60</v>
      </c>
      <c r="D74" s="6" t="s">
        <v>445</v>
      </c>
      <c r="E74" s="6" t="s">
        <v>446</v>
      </c>
      <c r="F74" s="6" t="str">
        <f>IF($M74="PADD I","PADD 1",IF($M74="PADD II","PADD 2",IF($M74="PADD III","PADD 3",IF($M74="PADD IV","PADD 4",IF($M74="PADD V","PADD 5","")))))</f>
        <v>PADD 3</v>
      </c>
      <c r="G74" s="6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6" t="s">
        <v>428</v>
      </c>
      <c r="I74" s="6" t="s">
        <v>524</v>
      </c>
      <c r="J74" s="6" t="s">
        <v>394</v>
      </c>
      <c r="K74" s="10">
        <v>29.9</v>
      </c>
      <c r="L74" s="10">
        <v>115</v>
      </c>
      <c r="M74" s="6" t="s">
        <v>421</v>
      </c>
      <c r="N74" s="6">
        <f>IF(OR($G74="FCC",$G74="Hydrocracker",$G74="Reformer"),IF(COUNTIFS($D:$D,$D74,$A:$A,$A74,$B:$B,$B74,$G:$G,"CDU",$J:$J,"PLANNED")&gt;0,"tied","standalone"),"")</f>
        <v/>
      </c>
    </row>
    <row r="75" spans="1:14">
      <c r="A75" s="6">
        <v>2023</v>
      </c>
      <c r="B75" s="6">
        <v>1</v>
      </c>
      <c r="C75" s="6" t="s">
        <v>60</v>
      </c>
      <c r="D75" s="6" t="s">
        <v>512</v>
      </c>
      <c r="E75" s="6" t="s">
        <v>488</v>
      </c>
      <c r="F75" s="6" t="str">
        <f>IF($M75="PADD I","PADD 1",IF($M75="PADD II","PADD 2",IF($M75="PADD III","PADD 3",IF($M75="PADD IV","PADD 4",IF($M75="PADD V","PADD 5","")))))</f>
        <v>PADD 4</v>
      </c>
      <c r="G75" s="6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6" t="s">
        <v>426</v>
      </c>
      <c r="I75" s="6" t="s">
        <v>106</v>
      </c>
      <c r="J75" s="6" t="s">
        <v>394</v>
      </c>
      <c r="K75" s="10">
        <v>28.3</v>
      </c>
      <c r="L75" s="10">
        <v>28.3</v>
      </c>
      <c r="M75" s="6" t="s">
        <v>480</v>
      </c>
      <c r="N75" s="6" t="str">
        <f>IF(OR($G75="FCC",$G75="Hydrocracker",$G75="Reformer"),IF(COUNTIFS($D:$D,$D75,$A:$A,$A75,$B:$B,$B75,$G:$G,"CDU",$J:$J,"PLANNED")&gt;0,"tied","standalone"),"")</f>
        <v>standalone</v>
      </c>
    </row>
    <row r="76" spans="1:14">
      <c r="A76" s="6">
        <v>2023</v>
      </c>
      <c r="B76" s="6">
        <v>1</v>
      </c>
      <c r="C76" s="6" t="s">
        <v>60</v>
      </c>
      <c r="D76" s="6" t="s">
        <v>487</v>
      </c>
      <c r="E76" s="6" t="s">
        <v>488</v>
      </c>
      <c r="F76" s="6" t="str">
        <f>IF($M76="PADD I","PADD 1",IF($M76="PADD II","PADD 2",IF($M76="PADD III","PADD 3",IF($M76="PADD IV","PADD 4",IF($M76="PADD V","PADD 5","")))))</f>
        <v>PADD 4</v>
      </c>
      <c r="G76" s="6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6" t="s">
        <v>39</v>
      </c>
      <c r="I76" s="6" t="s">
        <v>379</v>
      </c>
      <c r="J76" s="6" t="s">
        <v>394</v>
      </c>
      <c r="K76" s="10">
        <v>28</v>
      </c>
      <c r="L76" s="10">
        <v>28</v>
      </c>
      <c r="M76" s="6" t="s">
        <v>480</v>
      </c>
      <c r="N76" s="6">
        <f>IF(OR($G76="FCC",$G76="Hydrocracker",$G76="Reformer"),IF(COUNTIFS($D:$D,$D76,$A:$A,$A76,$B:$B,$B76,$G:$G,"CDU",$J:$J,"PLANNED")&gt;0,"tied","standalone"),"")</f>
        <v/>
      </c>
    </row>
    <row r="77" spans="1:14">
      <c r="A77" s="6">
        <v>2023</v>
      </c>
      <c r="B77" s="6">
        <v>1</v>
      </c>
      <c r="C77" s="6" t="s">
        <v>60</v>
      </c>
      <c r="D77" s="6" t="s">
        <v>448</v>
      </c>
      <c r="E77" s="6" t="s">
        <v>449</v>
      </c>
      <c r="F77" s="6" t="str">
        <f>IF($M77="PADD I","PADD 1",IF($M77="PADD II","PADD 2",IF($M77="PADD III","PADD 3",IF($M77="PADD IV","PADD 4",IF($M77="PADD V","PADD 5","")))))</f>
        <v>PADD 3</v>
      </c>
      <c r="G77" s="6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6" t="s">
        <v>39</v>
      </c>
      <c r="I77" s="6" t="s">
        <v>525</v>
      </c>
      <c r="J77" s="6" t="s">
        <v>394</v>
      </c>
      <c r="K77" s="10">
        <v>27.93</v>
      </c>
      <c r="L77" s="10">
        <v>147</v>
      </c>
      <c r="M77" s="6" t="s">
        <v>421</v>
      </c>
      <c r="N77" s="6">
        <f>IF(OR($G77="FCC",$G77="Hydrocracker",$G77="Reformer"),IF(COUNTIFS($D:$D,$D77,$A:$A,$A77,$B:$B,$B77,$G:$G,"CDU",$J:$J,"PLANNED")&gt;0,"tied","standalone"),"")</f>
        <v/>
      </c>
    </row>
    <row r="78" spans="1:14">
      <c r="A78" s="6">
        <v>2023</v>
      </c>
      <c r="B78" s="6">
        <v>1</v>
      </c>
      <c r="C78" s="6" t="s">
        <v>60</v>
      </c>
      <c r="D78" s="6" t="s">
        <v>437</v>
      </c>
      <c r="E78" s="6" t="s">
        <v>438</v>
      </c>
      <c r="F78" s="6" t="str">
        <f>IF($M78="PADD I","PADD 1",IF($M78="PADD II","PADD 2",IF($M78="PADD III","PADD 3",IF($M78="PADD IV","PADD 4",IF($M78="PADD V","PADD 5","")))))</f>
        <v>PADD 3</v>
      </c>
      <c r="G78" s="6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6" t="s">
        <v>494</v>
      </c>
      <c r="I78" s="6" t="s">
        <v>526</v>
      </c>
      <c r="J78" s="6" t="s">
        <v>394</v>
      </c>
      <c r="K78" s="10">
        <v>27.3</v>
      </c>
      <c r="L78" s="10">
        <v>70</v>
      </c>
      <c r="M78" s="6" t="s">
        <v>421</v>
      </c>
      <c r="N78" s="6" t="str">
        <f>IF(OR($G78="FCC",$G78="Hydrocracker",$G78="Reformer"),IF(COUNTIFS($D:$D,$D78,$A:$A,$A78,$B:$B,$B78,$G:$G,"CDU",$J:$J,"PLANNED")&gt;0,"tied","standalone"),"")</f>
        <v>tied</v>
      </c>
    </row>
    <row r="79" spans="1:14">
      <c r="A79" s="6">
        <v>2023</v>
      </c>
      <c r="B79" s="6">
        <v>1</v>
      </c>
      <c r="C79" s="6" t="s">
        <v>60</v>
      </c>
      <c r="D79" s="6" t="s">
        <v>430</v>
      </c>
      <c r="E79" s="6" t="s">
        <v>431</v>
      </c>
      <c r="F79" s="6" t="str">
        <f>IF($M79="PADD I","PADD 1",IF($M79="PADD II","PADD 2",IF($M79="PADD III","PADD 3",IF($M79="PADD IV","PADD 4",IF($M79="PADD V","PADD 5","")))))</f>
        <v>PADD 3</v>
      </c>
      <c r="G79" s="6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6" t="s">
        <v>485</v>
      </c>
      <c r="I79" s="6" t="s">
        <v>527</v>
      </c>
      <c r="J79" s="6" t="s">
        <v>398</v>
      </c>
      <c r="K79" s="10">
        <v>26</v>
      </c>
      <c r="L79" s="10">
        <v>50</v>
      </c>
      <c r="M79" s="6" t="s">
        <v>421</v>
      </c>
      <c r="N79" s="6">
        <f>IF(OR($G79="FCC",$G79="Hydrocracker",$G79="Reformer"),IF(COUNTIFS($D:$D,$D79,$A:$A,$A79,$B:$B,$B79,$G:$G,"CDU",$J:$J,"PLANNED")&gt;0,"tied","standalone"),"")</f>
        <v/>
      </c>
    </row>
    <row r="80" spans="1:14">
      <c r="A80" s="6">
        <v>2023</v>
      </c>
      <c r="B80" s="6">
        <v>1</v>
      </c>
      <c r="C80" s="6" t="s">
        <v>60</v>
      </c>
      <c r="D80" s="6" t="s">
        <v>458</v>
      </c>
      <c r="E80" s="6" t="s">
        <v>459</v>
      </c>
      <c r="F80" s="6" t="str">
        <f>IF($M80="PADD I","PADD 1",IF($M80="PADD II","PADD 2",IF($M80="PADD III","PADD 3",IF($M80="PADD IV","PADD 4",IF($M80="PADD V","PADD 5","")))))</f>
        <v>PADD 3</v>
      </c>
      <c r="G80" s="6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6" t="s">
        <v>44</v>
      </c>
      <c r="I80" s="6" t="s">
        <v>528</v>
      </c>
      <c r="J80" s="6" t="s">
        <v>394</v>
      </c>
      <c r="K80" s="10">
        <v>25.62</v>
      </c>
      <c r="L80" s="10">
        <v>42</v>
      </c>
      <c r="M80" s="6" t="s">
        <v>421</v>
      </c>
      <c r="N80" s="6">
        <f>IF(OR($G80="FCC",$G80="Hydrocracker",$G80="Reformer"),IF(COUNTIFS($D:$D,$D80,$A:$A,$A80,$B:$B,$B80,$G:$G,"CDU",$J:$J,"PLANNED")&gt;0,"tied","standalone"),"")</f>
        <v/>
      </c>
    </row>
    <row r="81" spans="1:14">
      <c r="A81" s="6">
        <v>2023</v>
      </c>
      <c r="B81" s="6">
        <v>1</v>
      </c>
      <c r="C81" s="6" t="s">
        <v>60</v>
      </c>
      <c r="D81" s="6" t="s">
        <v>422</v>
      </c>
      <c r="E81" s="6" t="s">
        <v>423</v>
      </c>
      <c r="F81" s="6" t="str">
        <f>IF($M81="PADD I","PADD 1",IF($M81="PADD II","PADD 2",IF($M81="PADD III","PADD 3",IF($M81="PADD IV","PADD 4",IF($M81="PADD V","PADD 5","")))))</f>
        <v>PADD 2</v>
      </c>
      <c r="G81" s="6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6" t="s">
        <v>44</v>
      </c>
      <c r="I81" s="6" t="s">
        <v>529</v>
      </c>
      <c r="J81" s="6" t="s">
        <v>394</v>
      </c>
      <c r="K81" s="10">
        <v>25</v>
      </c>
      <c r="L81" s="10">
        <v>25</v>
      </c>
      <c r="M81" s="6" t="s">
        <v>425</v>
      </c>
      <c r="N81" s="6">
        <f>IF(OR($G81="FCC",$G81="Hydrocracker",$G81="Reformer"),IF(COUNTIFS($D:$D,$D81,$A:$A,$A81,$B:$B,$B81,$G:$G,"CDU",$J:$J,"PLANNED")&gt;0,"tied","standalone"),"")</f>
        <v/>
      </c>
    </row>
    <row r="82" spans="1:14">
      <c r="A82" s="6">
        <v>2023</v>
      </c>
      <c r="B82" s="6">
        <v>1</v>
      </c>
      <c r="C82" s="6" t="s">
        <v>60</v>
      </c>
      <c r="D82" s="6" t="s">
        <v>422</v>
      </c>
      <c r="E82" s="6" t="s">
        <v>423</v>
      </c>
      <c r="F82" s="6" t="str">
        <f>IF($M82="PADD I","PADD 1",IF($M82="PADD II","PADD 2",IF($M82="PADD III","PADD 3",IF($M82="PADD IV","PADD 4",IF($M82="PADD V","PADD 5","")))))</f>
        <v>PADD 2</v>
      </c>
      <c r="G82" s="6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6" t="s">
        <v>44</v>
      </c>
      <c r="I82" s="6" t="s">
        <v>530</v>
      </c>
      <c r="J82" s="6" t="s">
        <v>394</v>
      </c>
      <c r="K82" s="10">
        <v>25</v>
      </c>
      <c r="L82" s="10">
        <v>25</v>
      </c>
      <c r="M82" s="6" t="s">
        <v>425</v>
      </c>
      <c r="N82" s="6">
        <f>IF(OR($G82="FCC",$G82="Hydrocracker",$G82="Reformer"),IF(COUNTIFS($D:$D,$D82,$A:$A,$A82,$B:$B,$B82,$G:$G,"CDU",$J:$J,"PLANNED")&gt;0,"tied","standalone"),"")</f>
        <v/>
      </c>
    </row>
    <row r="83" spans="1:14">
      <c r="A83" s="6">
        <v>2023</v>
      </c>
      <c r="B83" s="6">
        <v>1</v>
      </c>
      <c r="C83" s="6" t="s">
        <v>60</v>
      </c>
      <c r="D83" s="6" t="s">
        <v>437</v>
      </c>
      <c r="E83" s="6" t="s">
        <v>438</v>
      </c>
      <c r="F83" s="6" t="str">
        <f>IF($M83="PADD I","PADD 1",IF($M83="PADD II","PADD 2",IF($M83="PADD III","PADD 3",IF($M83="PADD IV","PADD 4",IF($M83="PADD V","PADD 5","")))))</f>
        <v>PADD 3</v>
      </c>
      <c r="G83" s="6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6" t="s">
        <v>494</v>
      </c>
      <c r="I83" s="6" t="s">
        <v>526</v>
      </c>
      <c r="J83" s="6" t="s">
        <v>394</v>
      </c>
      <c r="K83" s="10">
        <v>24.5</v>
      </c>
      <c r="L83" s="10">
        <v>70</v>
      </c>
      <c r="M83" s="6" t="s">
        <v>421</v>
      </c>
      <c r="N83" s="6" t="str">
        <f>IF(OR($G83="FCC",$G83="Hydrocracker",$G83="Reformer"),IF(COUNTIFS($D:$D,$D83,$A:$A,$A83,$B:$B,$B83,$G:$G,"CDU",$J:$J,"PLANNED")&gt;0,"tied","standalone"),"")</f>
        <v>tied</v>
      </c>
    </row>
    <row r="84" spans="1:14">
      <c r="A84" s="6">
        <v>2023</v>
      </c>
      <c r="B84" s="6">
        <v>1</v>
      </c>
      <c r="C84" s="6" t="s">
        <v>60</v>
      </c>
      <c r="D84" s="6" t="s">
        <v>501</v>
      </c>
      <c r="E84" s="6" t="s">
        <v>502</v>
      </c>
      <c r="F84" s="6" t="str">
        <f>IF($M84="PADD I","PADD 1",IF($M84="PADD II","PADD 2",IF($M84="PADD III","PADD 3",IF($M84="PADD IV","PADD 4",IF($M84="PADD V","PADD 5","")))))</f>
        <v>PADD 2</v>
      </c>
      <c r="G84" s="6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6" t="s">
        <v>39</v>
      </c>
      <c r="I84" s="6" t="s">
        <v>531</v>
      </c>
      <c r="J84" s="6" t="s">
        <v>394</v>
      </c>
      <c r="K84" s="10">
        <v>24.4</v>
      </c>
      <c r="L84" s="10">
        <v>40</v>
      </c>
      <c r="M84" s="6" t="s">
        <v>425</v>
      </c>
      <c r="N84" s="6">
        <f>IF(OR($G84="FCC",$G84="Hydrocracker",$G84="Reformer"),IF(COUNTIFS($D:$D,$D84,$A:$A,$A84,$B:$B,$B84,$G:$G,"CDU",$J:$J,"PLANNED")&gt;0,"tied","standalone"),"")</f>
        <v/>
      </c>
    </row>
    <row r="85" spans="1:14">
      <c r="A85" s="6">
        <v>2023</v>
      </c>
      <c r="B85" s="6">
        <v>1</v>
      </c>
      <c r="C85" s="6" t="s">
        <v>60</v>
      </c>
      <c r="D85" s="6" t="s">
        <v>518</v>
      </c>
      <c r="E85" s="6" t="s">
        <v>419</v>
      </c>
      <c r="F85" s="6" t="str">
        <f>IF($M85="PADD I","PADD 1",IF($M85="PADD II","PADD 2",IF($M85="PADD III","PADD 3",IF($M85="PADD IV","PADD 4",IF($M85="PADD V","PADD 5","")))))</f>
        <v>PADD 3</v>
      </c>
      <c r="G85" s="6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6" t="s">
        <v>44</v>
      </c>
      <c r="I85" s="6" t="s">
        <v>532</v>
      </c>
      <c r="J85" s="6" t="s">
        <v>398</v>
      </c>
      <c r="K85" s="10">
        <v>24</v>
      </c>
      <c r="L85" s="10">
        <v>50</v>
      </c>
      <c r="M85" s="6" t="s">
        <v>421</v>
      </c>
      <c r="N85" s="6">
        <f>IF(OR($G85="FCC",$G85="Hydrocracker",$G85="Reformer"),IF(COUNTIFS($D:$D,$D85,$A:$A,$A85,$B:$B,$B85,$G:$G,"CDU",$J:$J,"PLANNED")&gt;0,"tied","standalone"),"")</f>
        <v/>
      </c>
    </row>
    <row r="86" spans="1:14">
      <c r="A86" s="6">
        <v>2023</v>
      </c>
      <c r="B86" s="6">
        <v>1</v>
      </c>
      <c r="C86" s="6" t="s">
        <v>60</v>
      </c>
      <c r="D86" s="6" t="s">
        <v>496</v>
      </c>
      <c r="E86" s="6" t="s">
        <v>441</v>
      </c>
      <c r="F86" s="6" t="str">
        <f>IF($M86="PADD I","PADD 1",IF($M86="PADD II","PADD 2",IF($M86="PADD III","PADD 3",IF($M86="PADD IV","PADD 4",IF($M86="PADD V","PADD 5","")))))</f>
        <v>PADD 3</v>
      </c>
      <c r="G86" s="6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6" t="s">
        <v>471</v>
      </c>
      <c r="I86" s="6" t="s">
        <v>533</v>
      </c>
      <c r="J86" s="6" t="s">
        <v>394</v>
      </c>
      <c r="K86" s="10">
        <v>24</v>
      </c>
      <c r="L86" s="10">
        <v>24</v>
      </c>
      <c r="M86" s="6" t="s">
        <v>421</v>
      </c>
      <c r="N86" s="6" t="str">
        <f>IF(OR($G86="FCC",$G86="Hydrocracker",$G86="Reformer"),IF(COUNTIFS($D:$D,$D86,$A:$A,$A86,$B:$B,$B86,$G:$G,"CDU",$J:$J,"PLANNED")&gt;0,"tied","standalone"),"")</f>
        <v>standalone</v>
      </c>
    </row>
    <row r="87" spans="1:14">
      <c r="A87" s="6">
        <v>2023</v>
      </c>
      <c r="B87" s="6">
        <v>1</v>
      </c>
      <c r="C87" s="6" t="s">
        <v>60</v>
      </c>
      <c r="D87" s="6" t="s">
        <v>445</v>
      </c>
      <c r="E87" s="6" t="s">
        <v>446</v>
      </c>
      <c r="F87" s="6" t="str">
        <f>IF($M87="PADD I","PADD 1",IF($M87="PADD II","PADD 2",IF($M87="PADD III","PADD 3",IF($M87="PADD IV","PADD 4",IF($M87="PADD V","PADD 5","")))))</f>
        <v>PADD 3</v>
      </c>
      <c r="G87" s="6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6" t="s">
        <v>485</v>
      </c>
      <c r="I87" s="6" t="s">
        <v>491</v>
      </c>
      <c r="J87" s="6" t="s">
        <v>394</v>
      </c>
      <c r="K87" s="10">
        <v>23.92</v>
      </c>
      <c r="L87" s="10">
        <v>92</v>
      </c>
      <c r="M87" s="6" t="s">
        <v>421</v>
      </c>
      <c r="N87" s="6">
        <f>IF(OR($G87="FCC",$G87="Hydrocracker",$G87="Reformer"),IF(COUNTIFS($D:$D,$D87,$A:$A,$A87,$B:$B,$B87,$G:$G,"CDU",$J:$J,"PLANNED")&gt;0,"tied","standalone"),"")</f>
        <v/>
      </c>
    </row>
    <row r="88" spans="1:14">
      <c r="A88" s="6">
        <v>2023</v>
      </c>
      <c r="B88" s="6">
        <v>1</v>
      </c>
      <c r="C88" s="6" t="s">
        <v>60</v>
      </c>
      <c r="D88" s="6" t="s">
        <v>448</v>
      </c>
      <c r="E88" s="6" t="s">
        <v>449</v>
      </c>
      <c r="F88" s="6" t="str">
        <f>IF($M88="PADD I","PADD 1",IF($M88="PADD II","PADD 2",IF($M88="PADD III","PADD 3",IF($M88="PADD IV","PADD 4",IF($M88="PADD V","PADD 5","")))))</f>
        <v>PADD 3</v>
      </c>
      <c r="G88" s="6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6" t="s">
        <v>39</v>
      </c>
      <c r="I88" s="6" t="s">
        <v>525</v>
      </c>
      <c r="J88" s="6" t="s">
        <v>398</v>
      </c>
      <c r="K88" s="10">
        <v>23.84</v>
      </c>
      <c r="L88" s="10">
        <v>149</v>
      </c>
      <c r="M88" s="6" t="s">
        <v>421</v>
      </c>
      <c r="N88" s="6">
        <f>IF(OR($G88="FCC",$G88="Hydrocracker",$G88="Reformer"),IF(COUNTIFS($D:$D,$D88,$A:$A,$A88,$B:$B,$B88,$G:$G,"CDU",$J:$J,"PLANNED")&gt;0,"tied","standalone"),"")</f>
        <v/>
      </c>
    </row>
    <row r="89" spans="1:14">
      <c r="A89" s="6">
        <v>2023</v>
      </c>
      <c r="B89" s="6">
        <v>1</v>
      </c>
      <c r="C89" s="6" t="s">
        <v>60</v>
      </c>
      <c r="D89" s="6" t="s">
        <v>534</v>
      </c>
      <c r="E89" s="6" t="s">
        <v>459</v>
      </c>
      <c r="F89" s="6" t="str">
        <f>IF($M89="PADD I","PADD 1",IF($M89="PADD II","PADD 2",IF($M89="PADD III","PADD 3",IF($M89="PADD IV","PADD 4",IF($M89="PADD V","PADD 5","")))))</f>
        <v>PADD 3</v>
      </c>
      <c r="G89" s="6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6" t="s">
        <v>44</v>
      </c>
      <c r="I89" s="6" t="s">
        <v>535</v>
      </c>
      <c r="J89" s="6" t="s">
        <v>394</v>
      </c>
      <c r="K89" s="10">
        <v>23.1</v>
      </c>
      <c r="L89" s="10">
        <v>66</v>
      </c>
      <c r="M89" s="6" t="s">
        <v>421</v>
      </c>
      <c r="N89" s="6">
        <f>IF(OR($G89="FCC",$G89="Hydrocracker",$G89="Reformer"),IF(COUNTIFS($D:$D,$D89,$A:$A,$A89,$B:$B,$B89,$G:$G,"CDU",$J:$J,"PLANNED")&gt;0,"tied","standalone"),"")</f>
        <v/>
      </c>
    </row>
    <row r="90" spans="1:14">
      <c r="A90" s="6">
        <v>2023</v>
      </c>
      <c r="B90" s="6">
        <v>1</v>
      </c>
      <c r="C90" s="6" t="s">
        <v>60</v>
      </c>
      <c r="D90" s="6" t="s">
        <v>437</v>
      </c>
      <c r="E90" s="6" t="s">
        <v>438</v>
      </c>
      <c r="F90" s="6" t="str">
        <f>IF($M90="PADD I","PADD 1",IF($M90="PADD II","PADD 2",IF($M90="PADD III","PADD 3",IF($M90="PADD IV","PADD 4",IF($M90="PADD V","PADD 5","")))))</f>
        <v>PADD 3</v>
      </c>
      <c r="G90" s="6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6" t="s">
        <v>44</v>
      </c>
      <c r="I90" s="6" t="s">
        <v>536</v>
      </c>
      <c r="J90" s="6" t="s">
        <v>398</v>
      </c>
      <c r="K90" s="10">
        <v>22.4</v>
      </c>
      <c r="L90" s="10">
        <v>64</v>
      </c>
      <c r="M90" s="6" t="s">
        <v>421</v>
      </c>
      <c r="N90" s="6">
        <f>IF(OR($G90="FCC",$G90="Hydrocracker",$G90="Reformer"),IF(COUNTIFS($D:$D,$D90,$A:$A,$A90,$B:$B,$B90,$G:$G,"CDU",$J:$J,"PLANNED")&gt;0,"tied","standalone"),"")</f>
        <v/>
      </c>
    </row>
    <row r="91" spans="1:14">
      <c r="A91" s="6">
        <v>2023</v>
      </c>
      <c r="B91" s="6">
        <v>1</v>
      </c>
      <c r="C91" s="6" t="s">
        <v>60</v>
      </c>
      <c r="D91" s="6" t="s">
        <v>448</v>
      </c>
      <c r="E91" s="6" t="s">
        <v>449</v>
      </c>
      <c r="F91" s="6" t="str">
        <f>IF($M91="PADD I","PADD 1",IF($M91="PADD II","PADD 2",IF($M91="PADD III","PADD 3",IF($M91="PADD IV","PADD 4",IF($M91="PADD V","PADD 5","")))))</f>
        <v>PADD 3</v>
      </c>
      <c r="G91" s="6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6" t="s">
        <v>428</v>
      </c>
      <c r="I91" s="6" t="s">
        <v>537</v>
      </c>
      <c r="J91" s="6" t="s">
        <v>398</v>
      </c>
      <c r="K91" s="10">
        <v>21.9765</v>
      </c>
      <c r="L91" s="10">
        <v>95.55</v>
      </c>
      <c r="M91" s="6" t="s">
        <v>421</v>
      </c>
      <c r="N91" s="6">
        <f>IF(OR($G91="FCC",$G91="Hydrocracker",$G91="Reformer"),IF(COUNTIFS($D:$D,$D91,$A:$A,$A91,$B:$B,$B91,$G:$G,"CDU",$J:$J,"PLANNED")&gt;0,"tied","standalone"),"")</f>
        <v/>
      </c>
    </row>
    <row r="92" spans="1:14">
      <c r="A92" s="6">
        <v>2023</v>
      </c>
      <c r="B92" s="6">
        <v>1</v>
      </c>
      <c r="C92" s="6" t="s">
        <v>60</v>
      </c>
      <c r="D92" s="6" t="s">
        <v>461</v>
      </c>
      <c r="E92" s="6" t="s">
        <v>419</v>
      </c>
      <c r="F92" s="6" t="str">
        <f>IF($M92="PADD I","PADD 1",IF($M92="PADD II","PADD 2",IF($M92="PADD III","PADD 3",IF($M92="PADD IV","PADD 4",IF($M92="PADD V","PADD 5","")))))</f>
        <v>PADD 1</v>
      </c>
      <c r="G92" s="6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6" t="s">
        <v>44</v>
      </c>
      <c r="I92" s="6" t="s">
        <v>538</v>
      </c>
      <c r="J92" s="6" t="s">
        <v>398</v>
      </c>
      <c r="K92" s="10">
        <v>21.06</v>
      </c>
      <c r="L92" s="10">
        <v>54</v>
      </c>
      <c r="M92" s="6" t="s">
        <v>463</v>
      </c>
      <c r="N92" s="6">
        <f>IF(OR($G92="FCC",$G92="Hydrocracker",$G92="Reformer"),IF(COUNTIFS($D:$D,$D92,$A:$A,$A92,$B:$B,$B92,$G:$G,"CDU",$J:$J,"PLANNED")&gt;0,"tied","standalone"),"")</f>
        <v/>
      </c>
    </row>
    <row r="93" spans="1:14">
      <c r="A93" s="6">
        <v>2023</v>
      </c>
      <c r="B93" s="6">
        <v>1</v>
      </c>
      <c r="C93" s="6" t="s">
        <v>60</v>
      </c>
      <c r="D93" s="6" t="s">
        <v>458</v>
      </c>
      <c r="E93" s="6" t="s">
        <v>459</v>
      </c>
      <c r="F93" s="6" t="str">
        <f>IF($M93="PADD I","PADD 1",IF($M93="PADD II","PADD 2",IF($M93="PADD III","PADD 3",IF($M93="PADD IV","PADD 4",IF($M93="PADD V","PADD 5","")))))</f>
        <v>PADD 3</v>
      </c>
      <c r="G93" s="6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6" t="s">
        <v>428</v>
      </c>
      <c r="I93" s="6" t="s">
        <v>539</v>
      </c>
      <c r="J93" s="6" t="s">
        <v>394</v>
      </c>
      <c r="K93" s="10">
        <v>21</v>
      </c>
      <c r="L93" s="10">
        <v>60</v>
      </c>
      <c r="M93" s="6" t="s">
        <v>421</v>
      </c>
      <c r="N93" s="6">
        <f>IF(OR($G93="FCC",$G93="Hydrocracker",$G93="Reformer"),IF(COUNTIFS($D:$D,$D93,$A:$A,$A93,$B:$B,$B93,$G:$G,"CDU",$J:$J,"PLANNED")&gt;0,"tied","standalone"),"")</f>
        <v/>
      </c>
    </row>
    <row r="94" spans="1:14">
      <c r="A94" s="6">
        <v>2023</v>
      </c>
      <c r="B94" s="6">
        <v>1</v>
      </c>
      <c r="C94" s="6" t="s">
        <v>60</v>
      </c>
      <c r="D94" s="6" t="s">
        <v>540</v>
      </c>
      <c r="E94" s="6" t="s">
        <v>541</v>
      </c>
      <c r="F94" s="6" t="str">
        <f>IF($M94="PADD I","PADD 1",IF($M94="PADD II","PADD 2",IF($M94="PADD III","PADD 3",IF($M94="PADD IV","PADD 4",IF($M94="PADD V","PADD 5","")))))</f>
        <v>PADD 3</v>
      </c>
      <c r="G94" s="6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6" t="s">
        <v>39</v>
      </c>
      <c r="I94" s="6" t="s">
        <v>542</v>
      </c>
      <c r="J94" s="6" t="s">
        <v>394</v>
      </c>
      <c r="K94" s="10">
        <v>21</v>
      </c>
      <c r="L94" s="10">
        <v>210</v>
      </c>
      <c r="M94" s="6" t="s">
        <v>421</v>
      </c>
      <c r="N94" s="6">
        <f>IF(OR($G94="FCC",$G94="Hydrocracker",$G94="Reformer"),IF(COUNTIFS($D:$D,$D94,$A:$A,$A94,$B:$B,$B94,$G:$G,"CDU",$J:$J,"PLANNED")&gt;0,"tied","standalone"),"")</f>
        <v/>
      </c>
    </row>
    <row r="95" spans="1:14">
      <c r="A95" s="6">
        <v>2023</v>
      </c>
      <c r="B95" s="6">
        <v>1</v>
      </c>
      <c r="C95" s="6" t="s">
        <v>60</v>
      </c>
      <c r="D95" s="6" t="s">
        <v>487</v>
      </c>
      <c r="E95" s="6" t="s">
        <v>488</v>
      </c>
      <c r="F95" s="6" t="str">
        <f>IF($M95="PADD I","PADD 1",IF($M95="PADD II","PADD 2",IF($M95="PADD III","PADD 3",IF($M95="PADD IV","PADD 4",IF($M95="PADD V","PADD 5","")))))</f>
        <v>PADD 4</v>
      </c>
      <c r="G95" s="6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6" t="s">
        <v>44</v>
      </c>
      <c r="I95" s="6" t="s">
        <v>543</v>
      </c>
      <c r="J95" s="6" t="s">
        <v>394</v>
      </c>
      <c r="K95" s="10">
        <v>21</v>
      </c>
      <c r="L95" s="10">
        <v>21</v>
      </c>
      <c r="M95" s="6" t="s">
        <v>480</v>
      </c>
      <c r="N95" s="6">
        <f>IF(OR($G95="FCC",$G95="Hydrocracker",$G95="Reformer"),IF(COUNTIFS($D:$D,$D95,$A:$A,$A95,$B:$B,$B95,$G:$G,"CDU",$J:$J,"PLANNED")&gt;0,"tied","standalone"),"")</f>
        <v/>
      </c>
    </row>
    <row r="96" spans="1:14">
      <c r="A96" s="6">
        <v>2023</v>
      </c>
      <c r="B96" s="6">
        <v>1</v>
      </c>
      <c r="C96" s="6" t="s">
        <v>60</v>
      </c>
      <c r="D96" s="6" t="s">
        <v>470</v>
      </c>
      <c r="E96" s="6" t="s">
        <v>423</v>
      </c>
      <c r="F96" s="6" t="str">
        <f>IF($M96="PADD I","PADD 1",IF($M96="PADD II","PADD 2",IF($M96="PADD III","PADD 3",IF($M96="PADD IV","PADD 4",IF($M96="PADD V","PADD 5","")))))</f>
        <v>PADD 2</v>
      </c>
      <c r="G96" s="6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6" t="s">
        <v>428</v>
      </c>
      <c r="I96" s="6" t="s">
        <v>481</v>
      </c>
      <c r="J96" s="6" t="s">
        <v>394</v>
      </c>
      <c r="K96" s="10">
        <v>20.5</v>
      </c>
      <c r="L96" s="10">
        <v>20.5</v>
      </c>
      <c r="M96" s="6" t="s">
        <v>425</v>
      </c>
      <c r="N96" s="6">
        <f>IF(OR($G96="FCC",$G96="Hydrocracker",$G96="Reformer"),IF(COUNTIFS($D:$D,$D96,$A:$A,$A96,$B:$B,$B96,$G:$G,"CDU",$J:$J,"PLANNED")&gt;0,"tied","standalone"),"")</f>
        <v/>
      </c>
    </row>
    <row r="97" spans="1:14">
      <c r="A97" s="6">
        <v>2023</v>
      </c>
      <c r="B97" s="6">
        <v>1</v>
      </c>
      <c r="C97" s="6" t="s">
        <v>60</v>
      </c>
      <c r="D97" s="6" t="s">
        <v>496</v>
      </c>
      <c r="E97" s="6" t="s">
        <v>441</v>
      </c>
      <c r="F97" s="6" t="str">
        <f>IF($M97="PADD I","PADD 1",IF($M97="PADD II","PADD 2",IF($M97="PADD III","PADD 3",IF($M97="PADD IV","PADD 4",IF($M97="PADD V","PADD 5","")))))</f>
        <v>PADD 3</v>
      </c>
      <c r="G97" s="6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6" t="s">
        <v>471</v>
      </c>
      <c r="I97" s="6" t="s">
        <v>533</v>
      </c>
      <c r="J97" s="6" t="s">
        <v>394</v>
      </c>
      <c r="K97" s="10">
        <v>20.01</v>
      </c>
      <c r="L97" s="10">
        <v>23</v>
      </c>
      <c r="M97" s="6" t="s">
        <v>421</v>
      </c>
      <c r="N97" s="6" t="str">
        <f>IF(OR($G97="FCC",$G97="Hydrocracker",$G97="Reformer"),IF(COUNTIFS($D:$D,$D97,$A:$A,$A97,$B:$B,$B97,$G:$G,"CDU",$J:$J,"PLANNED")&gt;0,"tied","standalone"),"")</f>
        <v>standalone</v>
      </c>
    </row>
    <row r="98" spans="1:14">
      <c r="A98" s="6">
        <v>2023</v>
      </c>
      <c r="B98" s="6">
        <v>1</v>
      </c>
      <c r="C98" s="6" t="s">
        <v>60</v>
      </c>
      <c r="D98" s="6" t="s">
        <v>487</v>
      </c>
      <c r="E98" s="6" t="s">
        <v>488</v>
      </c>
      <c r="F98" s="6" t="str">
        <f>IF($M98="PADD I","PADD 1",IF($M98="PADD II","PADD 2",IF($M98="PADD III","PADD 3",IF($M98="PADD IV","PADD 4",IF($M98="PADD V","PADD 5","")))))</f>
        <v>PADD 4</v>
      </c>
      <c r="G98" s="6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6" t="s">
        <v>428</v>
      </c>
      <c r="I98" s="6" t="s">
        <v>544</v>
      </c>
      <c r="J98" s="6" t="s">
        <v>394</v>
      </c>
      <c r="K98" s="10">
        <v>20</v>
      </c>
      <c r="L98" s="10">
        <v>20</v>
      </c>
      <c r="M98" s="6" t="s">
        <v>480</v>
      </c>
      <c r="N98" s="6">
        <f>IF(OR($G98="FCC",$G98="Hydrocracker",$G98="Reformer"),IF(COUNTIFS($D:$D,$D98,$A:$A,$A98,$B:$B,$B98,$G:$G,"CDU",$J:$J,"PLANNED")&gt;0,"tied","standalone"),"")</f>
        <v/>
      </c>
    </row>
    <row r="99" spans="1:14">
      <c r="A99" s="6">
        <v>2023</v>
      </c>
      <c r="B99" s="6">
        <v>1</v>
      </c>
      <c r="C99" s="6" t="s">
        <v>60</v>
      </c>
      <c r="D99" s="6" t="s">
        <v>512</v>
      </c>
      <c r="E99" s="6" t="s">
        <v>488</v>
      </c>
      <c r="F99" s="6" t="str">
        <f>IF($M99="PADD I","PADD 1",IF($M99="PADD II","PADD 2",IF($M99="PADD III","PADD 3",IF($M99="PADD IV","PADD 4",IF($M99="PADD V","PADD 5","")))))</f>
        <v>PADD 4</v>
      </c>
      <c r="G99" s="6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6" t="s">
        <v>44</v>
      </c>
      <c r="I99" s="6" t="s">
        <v>545</v>
      </c>
      <c r="J99" s="6" t="s">
        <v>394</v>
      </c>
      <c r="K99" s="10">
        <v>20</v>
      </c>
      <c r="L99" s="10">
        <v>20</v>
      </c>
      <c r="M99" s="6" t="s">
        <v>480</v>
      </c>
      <c r="N99" s="6">
        <f>IF(OR($G99="FCC",$G99="Hydrocracker",$G99="Reformer"),IF(COUNTIFS($D:$D,$D99,$A:$A,$A99,$B:$B,$B99,$G:$G,"CDU",$J:$J,"PLANNED")&gt;0,"tied","standalone"),"")</f>
        <v/>
      </c>
    </row>
    <row r="100" spans="1:14">
      <c r="A100" s="6">
        <v>2023</v>
      </c>
      <c r="B100" s="6">
        <v>1</v>
      </c>
      <c r="C100" s="6" t="s">
        <v>60</v>
      </c>
      <c r="D100" s="6" t="s">
        <v>546</v>
      </c>
      <c r="E100" s="6" t="s">
        <v>438</v>
      </c>
      <c r="F100" s="6" t="str">
        <f>IF($M100="PADD I","PADD 1",IF($M100="PADD II","PADD 2",IF($M100="PADD III","PADD 3",IF($M100="PADD IV","PADD 4",IF($M100="PADD V","PADD 5","")))))</f>
        <v>PADD 2</v>
      </c>
      <c r="G100" s="6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6" t="s">
        <v>39</v>
      </c>
      <c r="I100" s="6" t="s">
        <v>82</v>
      </c>
      <c r="J100" s="6" t="s">
        <v>398</v>
      </c>
      <c r="K100" s="10">
        <v>20</v>
      </c>
      <c r="L100" s="10">
        <v>20</v>
      </c>
      <c r="M100" s="6" t="s">
        <v>425</v>
      </c>
      <c r="N100" s="6">
        <f>IF(OR($G100="FCC",$G100="Hydrocracker",$G100="Reformer"),IF(COUNTIFS($D:$D,$D100,$A:$A,$A100,$B:$B,$B100,$G:$G,"CDU",$J:$J,"PLANNED")&gt;0,"tied","standalone"),"")</f>
        <v/>
      </c>
    </row>
    <row r="101" spans="1:14">
      <c r="A101" s="6">
        <v>2023</v>
      </c>
      <c r="B101" s="6">
        <v>1</v>
      </c>
      <c r="C101" s="6" t="s">
        <v>60</v>
      </c>
      <c r="D101" s="6" t="s">
        <v>458</v>
      </c>
      <c r="E101" s="6" t="s">
        <v>459</v>
      </c>
      <c r="F101" s="6" t="str">
        <f>IF($M101="PADD I","PADD 1",IF($M101="PADD II","PADD 2",IF($M101="PADD III","PADD 3",IF($M101="PADD IV","PADD 4",IF($M101="PADD V","PADD 5","")))))</f>
        <v>PADD 3</v>
      </c>
      <c r="G101" s="6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6" t="s">
        <v>44</v>
      </c>
      <c r="I101" s="6" t="s">
        <v>547</v>
      </c>
      <c r="J101" s="6" t="s">
        <v>394</v>
      </c>
      <c r="K101" s="10">
        <v>18.91</v>
      </c>
      <c r="L101" s="10">
        <v>31</v>
      </c>
      <c r="M101" s="6" t="s">
        <v>421</v>
      </c>
      <c r="N101" s="6">
        <f>IF(OR($G101="FCC",$G101="Hydrocracker",$G101="Reformer"),IF(COUNTIFS($D:$D,$D101,$A:$A,$A101,$B:$B,$B101,$G:$G,"CDU",$J:$J,"PLANNED")&gt;0,"tied","standalone"),"")</f>
        <v/>
      </c>
    </row>
    <row r="102" spans="1:14">
      <c r="A102" s="6">
        <v>2023</v>
      </c>
      <c r="B102" s="6">
        <v>1</v>
      </c>
      <c r="C102" s="6" t="s">
        <v>60</v>
      </c>
      <c r="D102" s="6" t="s">
        <v>375</v>
      </c>
      <c r="E102" s="6" t="s">
        <v>435</v>
      </c>
      <c r="F102" s="6" t="str">
        <f>IF($M102="PADD I","PADD 1",IF($M102="PADD II","PADD 2",IF($M102="PADD III","PADD 3",IF($M102="PADD IV","PADD 4",IF($M102="PADD V","PADD 5","")))))</f>
        <v>PADD 5</v>
      </c>
      <c r="G102" s="6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6" t="s">
        <v>494</v>
      </c>
      <c r="I102" s="6" t="s">
        <v>548</v>
      </c>
      <c r="J102" s="6" t="s">
        <v>398</v>
      </c>
      <c r="K102" s="10">
        <v>18.9</v>
      </c>
      <c r="L102" s="10">
        <v>42</v>
      </c>
      <c r="M102" s="6" t="s">
        <v>436</v>
      </c>
      <c r="N102" s="6" t="str">
        <f>IF(OR($G102="FCC",$G102="Hydrocracker",$G102="Reformer"),IF(COUNTIFS($D:$D,$D102,$A:$A,$A102,$B:$B,$B102,$G:$G,"CDU",$J:$J,"PLANNED")&gt;0,"tied","standalone"),"")</f>
        <v>tied</v>
      </c>
    </row>
    <row r="103" spans="1:14">
      <c r="A103" s="6">
        <v>2023</v>
      </c>
      <c r="B103" s="6">
        <v>1</v>
      </c>
      <c r="C103" s="6" t="s">
        <v>60</v>
      </c>
      <c r="D103" s="6" t="s">
        <v>445</v>
      </c>
      <c r="E103" s="6" t="s">
        <v>446</v>
      </c>
      <c r="F103" s="6" t="str">
        <f>IF($M103="PADD I","PADD 1",IF($M103="PADD II","PADD 2",IF($M103="PADD III","PADD 3",IF($M103="PADD IV","PADD 4",IF($M103="PADD V","PADD 5","")))))</f>
        <v>PADD 3</v>
      </c>
      <c r="G103" s="6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6" t="s">
        <v>44</v>
      </c>
      <c r="I103" s="6" t="s">
        <v>549</v>
      </c>
      <c r="J103" s="6" t="s">
        <v>394</v>
      </c>
      <c r="K103" s="10">
        <v>18.72</v>
      </c>
      <c r="L103" s="10">
        <v>72</v>
      </c>
      <c r="M103" s="6" t="s">
        <v>421</v>
      </c>
      <c r="N103" s="6">
        <f>IF(OR($G103="FCC",$G103="Hydrocracker",$G103="Reformer"),IF(COUNTIFS($D:$D,$D103,$A:$A,$A103,$B:$B,$B103,$G:$G,"CDU",$J:$J,"PLANNED")&gt;0,"tied","standalone"),"")</f>
        <v/>
      </c>
    </row>
    <row r="104" spans="1:14">
      <c r="A104" s="6">
        <v>2023</v>
      </c>
      <c r="B104" s="6">
        <v>1</v>
      </c>
      <c r="C104" s="6" t="s">
        <v>60</v>
      </c>
      <c r="D104" s="6" t="s">
        <v>550</v>
      </c>
      <c r="E104" s="6" t="s">
        <v>438</v>
      </c>
      <c r="F104" s="6" t="str">
        <f>IF($M104="PADD I","PADD 1",IF($M104="PADD II","PADD 2",IF($M104="PADD III","PADD 3",IF($M104="PADD IV","PADD 4",IF($M104="PADD V","PADD 5","")))))</f>
        <v>PADD 2</v>
      </c>
      <c r="G104" s="6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6" t="s">
        <v>44</v>
      </c>
      <c r="I104" s="6" t="s">
        <v>551</v>
      </c>
      <c r="J104" s="6" t="s">
        <v>394</v>
      </c>
      <c r="K104" s="10">
        <v>18.605</v>
      </c>
      <c r="L104" s="10">
        <v>30.5</v>
      </c>
      <c r="M104" s="6" t="s">
        <v>425</v>
      </c>
      <c r="N104" s="6">
        <f>IF(OR($G104="FCC",$G104="Hydrocracker",$G104="Reformer"),IF(COUNTIFS($D:$D,$D104,$A:$A,$A104,$B:$B,$B104,$G:$G,"CDU",$J:$J,"PLANNED")&gt;0,"tied","standalone"),"")</f>
        <v/>
      </c>
    </row>
    <row r="105" spans="1:14">
      <c r="A105" s="6">
        <v>2023</v>
      </c>
      <c r="B105" s="6">
        <v>1</v>
      </c>
      <c r="C105" s="6" t="s">
        <v>60</v>
      </c>
      <c r="D105" s="6" t="s">
        <v>458</v>
      </c>
      <c r="E105" s="6" t="s">
        <v>459</v>
      </c>
      <c r="F105" s="6" t="str">
        <f>IF($M105="PADD I","PADD 1",IF($M105="PADD II","PADD 2",IF($M105="PADD III","PADD 3",IF($M105="PADD IV","PADD 4",IF($M105="PADD V","PADD 5","")))))</f>
        <v>PADD 3</v>
      </c>
      <c r="G105" s="6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6" t="s">
        <v>44</v>
      </c>
      <c r="I105" s="6" t="s">
        <v>552</v>
      </c>
      <c r="J105" s="6" t="s">
        <v>394</v>
      </c>
      <c r="K105" s="10">
        <v>18.3</v>
      </c>
      <c r="L105" s="10">
        <v>30</v>
      </c>
      <c r="M105" s="6" t="s">
        <v>421</v>
      </c>
      <c r="N105" s="6">
        <f>IF(OR($G105="FCC",$G105="Hydrocracker",$G105="Reformer"),IF(COUNTIFS($D:$D,$D105,$A:$A,$A105,$B:$B,$B105,$G:$G,"CDU",$J:$J,"PLANNED")&gt;0,"tied","standalone"),"")</f>
        <v/>
      </c>
    </row>
    <row r="106" spans="1:14">
      <c r="A106" s="6">
        <v>2023</v>
      </c>
      <c r="B106" s="6">
        <v>1</v>
      </c>
      <c r="C106" s="6" t="s">
        <v>60</v>
      </c>
      <c r="D106" s="6" t="s">
        <v>458</v>
      </c>
      <c r="E106" s="6" t="s">
        <v>459</v>
      </c>
      <c r="F106" s="6" t="str">
        <f>IF($M106="PADD I","PADD 1",IF($M106="PADD II","PADD 2",IF($M106="PADD III","PADD 3",IF($M106="PADD IV","PADD 4",IF($M106="PADD V","PADD 5","")))))</f>
        <v>PADD 3</v>
      </c>
      <c r="G106" s="6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6" t="s">
        <v>44</v>
      </c>
      <c r="I106" s="6" t="s">
        <v>553</v>
      </c>
      <c r="J106" s="6" t="s">
        <v>394</v>
      </c>
      <c r="K106" s="10">
        <v>18.3</v>
      </c>
      <c r="L106" s="10">
        <v>30</v>
      </c>
      <c r="M106" s="6" t="s">
        <v>421</v>
      </c>
      <c r="N106" s="6">
        <f>IF(OR($G106="FCC",$G106="Hydrocracker",$G106="Reformer"),IF(COUNTIFS($D:$D,$D106,$A:$A,$A106,$B:$B,$B106,$G:$G,"CDU",$J:$J,"PLANNED")&gt;0,"tied","standalone"),"")</f>
        <v/>
      </c>
    </row>
    <row r="107" spans="1:14">
      <c r="A107" s="6">
        <v>2023</v>
      </c>
      <c r="B107" s="6">
        <v>1</v>
      </c>
      <c r="C107" s="6" t="s">
        <v>60</v>
      </c>
      <c r="D107" s="6" t="s">
        <v>384</v>
      </c>
      <c r="E107" s="6" t="s">
        <v>419</v>
      </c>
      <c r="F107" s="6" t="str">
        <f>IF($M107="PADD I","PADD 1",IF($M107="PADD II","PADD 2",IF($M107="PADD III","PADD 3",IF($M107="PADD IV","PADD 4",IF($M107="PADD V","PADD 5","")))))</f>
        <v>PADD 3</v>
      </c>
      <c r="G107" s="6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6" t="s">
        <v>426</v>
      </c>
      <c r="I107" s="6" t="s">
        <v>522</v>
      </c>
      <c r="J107" s="6" t="s">
        <v>398</v>
      </c>
      <c r="K107" s="10">
        <v>18.3</v>
      </c>
      <c r="L107" s="10">
        <v>30</v>
      </c>
      <c r="M107" s="6" t="s">
        <v>421</v>
      </c>
      <c r="N107" s="6" t="str">
        <f>IF(OR($G107="FCC",$G107="Hydrocracker",$G107="Reformer"),IF(COUNTIFS($D:$D,$D107,$A:$A,$A107,$B:$B,$B107,$G:$G,"CDU",$J:$J,"PLANNED")&gt;0,"tied","standalone"),"")</f>
        <v>standalone</v>
      </c>
    </row>
    <row r="108" spans="1:14">
      <c r="A108" s="6">
        <v>2023</v>
      </c>
      <c r="B108" s="6">
        <v>1</v>
      </c>
      <c r="C108" s="6" t="s">
        <v>60</v>
      </c>
      <c r="D108" s="6" t="s">
        <v>375</v>
      </c>
      <c r="E108" s="6" t="s">
        <v>435</v>
      </c>
      <c r="F108" s="6" t="str">
        <f>IF($M108="PADD I","PADD 1",IF($M108="PADD II","PADD 2",IF($M108="PADD III","PADD 3",IF($M108="PADD IV","PADD 4",IF($M108="PADD V","PADD 5","")))))</f>
        <v>PADD 5</v>
      </c>
      <c r="G108" s="6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6" t="s">
        <v>426</v>
      </c>
      <c r="I108" s="6" t="s">
        <v>554</v>
      </c>
      <c r="J108" s="6" t="s">
        <v>398</v>
      </c>
      <c r="K108" s="10">
        <v>18.2</v>
      </c>
      <c r="L108" s="10">
        <v>35</v>
      </c>
      <c r="M108" s="6" t="s">
        <v>436</v>
      </c>
      <c r="N108" s="6" t="str">
        <f>IF(OR($G108="FCC",$G108="Hydrocracker",$G108="Reformer"),IF(COUNTIFS($D:$D,$D108,$A:$A,$A108,$B:$B,$B108,$G:$G,"CDU",$J:$J,"PLANNED")&gt;0,"tied","standalone"),"")</f>
        <v>tied</v>
      </c>
    </row>
    <row r="109" spans="1:14">
      <c r="A109" s="6">
        <v>2023</v>
      </c>
      <c r="B109" s="6">
        <v>1</v>
      </c>
      <c r="C109" s="6" t="s">
        <v>60</v>
      </c>
      <c r="D109" s="6" t="s">
        <v>422</v>
      </c>
      <c r="E109" s="6" t="s">
        <v>423</v>
      </c>
      <c r="F109" s="6" t="str">
        <f>IF($M109="PADD I","PADD 1",IF($M109="PADD II","PADD 2",IF($M109="PADD III","PADD 3",IF($M109="PADD IV","PADD 4",IF($M109="PADD V","PADD 5","")))))</f>
        <v>PADD 2</v>
      </c>
      <c r="G109" s="6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6" t="s">
        <v>510</v>
      </c>
      <c r="I109" s="6" t="s">
        <v>555</v>
      </c>
      <c r="J109" s="6" t="s">
        <v>394</v>
      </c>
      <c r="K109" s="10">
        <v>18</v>
      </c>
      <c r="L109" s="10">
        <v>18</v>
      </c>
      <c r="M109" s="6" t="s">
        <v>425</v>
      </c>
      <c r="N109" s="6">
        <f>IF(OR($G109="FCC",$G109="Hydrocracker",$G109="Reformer"),IF(COUNTIFS($D:$D,$D109,$A:$A,$A109,$B:$B,$B109,$G:$G,"CDU",$J:$J,"PLANNED")&gt;0,"tied","standalone"),"")</f>
        <v/>
      </c>
    </row>
    <row r="110" spans="1:14">
      <c r="A110" s="6">
        <v>2023</v>
      </c>
      <c r="B110" s="6">
        <v>1</v>
      </c>
      <c r="C110" s="6" t="s">
        <v>60</v>
      </c>
      <c r="D110" s="6" t="s">
        <v>458</v>
      </c>
      <c r="E110" s="6" t="s">
        <v>459</v>
      </c>
      <c r="F110" s="6" t="str">
        <f>IF($M110="PADD I","PADD 1",IF($M110="PADD II","PADD 2",IF($M110="PADD III","PADD 3",IF($M110="PADD IV","PADD 4",IF($M110="PADD V","PADD 5","")))))</f>
        <v>PADD 3</v>
      </c>
      <c r="G110" s="6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6" t="s">
        <v>428</v>
      </c>
      <c r="I110" s="6" t="s">
        <v>556</v>
      </c>
      <c r="J110" s="6" t="s">
        <v>394</v>
      </c>
      <c r="K110" s="10">
        <v>17.85</v>
      </c>
      <c r="L110" s="10">
        <v>51</v>
      </c>
      <c r="M110" s="6" t="s">
        <v>421</v>
      </c>
      <c r="N110" s="6">
        <f>IF(OR($G110="FCC",$G110="Hydrocracker",$G110="Reformer"),IF(COUNTIFS($D:$D,$D110,$A:$A,$A110,$B:$B,$B110,$G:$G,"CDU",$J:$J,"PLANNED")&gt;0,"tied","standalone"),"")</f>
        <v/>
      </c>
    </row>
    <row r="111" spans="1:14">
      <c r="A111" s="6">
        <v>2023</v>
      </c>
      <c r="B111" s="6">
        <v>1</v>
      </c>
      <c r="C111" s="6" t="s">
        <v>60</v>
      </c>
      <c r="D111" s="6" t="s">
        <v>501</v>
      </c>
      <c r="E111" s="6" t="s">
        <v>502</v>
      </c>
      <c r="F111" s="6" t="str">
        <f>IF($M111="PADD I","PADD 1",IF($M111="PADD II","PADD 2",IF($M111="PADD III","PADD 3",IF($M111="PADD IV","PADD 4",IF($M111="PADD V","PADD 5","")))))</f>
        <v>PADD 2</v>
      </c>
      <c r="G111" s="6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6" t="s">
        <v>426</v>
      </c>
      <c r="I111" s="6" t="s">
        <v>106</v>
      </c>
      <c r="J111" s="6" t="s">
        <v>394</v>
      </c>
      <c r="K111" s="10">
        <v>17.69</v>
      </c>
      <c r="L111" s="10">
        <v>29</v>
      </c>
      <c r="M111" s="6" t="s">
        <v>425</v>
      </c>
      <c r="N111" s="6" t="str">
        <f>IF(OR($G111="FCC",$G111="Hydrocracker",$G111="Reformer"),IF(COUNTIFS($D:$D,$D111,$A:$A,$A111,$B:$B,$B111,$G:$G,"CDU",$J:$J,"PLANNED")&gt;0,"tied","standalone"),"")</f>
        <v>standalone</v>
      </c>
    </row>
    <row r="112" spans="1:14">
      <c r="A112" s="6">
        <v>2023</v>
      </c>
      <c r="B112" s="6">
        <v>1</v>
      </c>
      <c r="C112" s="6" t="s">
        <v>60</v>
      </c>
      <c r="D112" s="6" t="s">
        <v>452</v>
      </c>
      <c r="E112" s="6" t="s">
        <v>453</v>
      </c>
      <c r="F112" s="6" t="str">
        <f>IF($M112="PADD I","PADD 1",IF($M112="PADD II","PADD 2",IF($M112="PADD III","PADD 3",IF($M112="PADD IV","PADD 4",IF($M112="PADD V","PADD 5","")))))</f>
        <v>PADD 3</v>
      </c>
      <c r="G112" s="6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6" t="s">
        <v>44</v>
      </c>
      <c r="I112" s="6" t="s">
        <v>557</v>
      </c>
      <c r="J112" s="6" t="s">
        <v>398</v>
      </c>
      <c r="K112" s="10">
        <v>16.94</v>
      </c>
      <c r="L112" s="10">
        <v>22</v>
      </c>
      <c r="M112" s="6" t="s">
        <v>421</v>
      </c>
      <c r="N112" s="6">
        <f>IF(OR($G112="FCC",$G112="Hydrocracker",$G112="Reformer"),IF(COUNTIFS($D:$D,$D112,$A:$A,$A112,$B:$B,$B112,$G:$G,"CDU",$J:$J,"PLANNED")&gt;0,"tied","standalone"),"")</f>
        <v/>
      </c>
    </row>
    <row r="113" spans="1:14">
      <c r="A113" s="6">
        <v>2023</v>
      </c>
      <c r="B113" s="6">
        <v>1</v>
      </c>
      <c r="C113" s="6" t="s">
        <v>60</v>
      </c>
      <c r="D113" s="6" t="s">
        <v>452</v>
      </c>
      <c r="E113" s="6" t="s">
        <v>453</v>
      </c>
      <c r="F113" s="6" t="str">
        <f>IF($M113="PADD I","PADD 1",IF($M113="PADD II","PADD 2",IF($M113="PADD III","PADD 3",IF($M113="PADD IV","PADD 4",IF($M113="PADD V","PADD 5","")))))</f>
        <v>PADD 3</v>
      </c>
      <c r="G113" s="6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6" t="s">
        <v>44</v>
      </c>
      <c r="I113" s="6" t="s">
        <v>558</v>
      </c>
      <c r="J113" s="6" t="s">
        <v>398</v>
      </c>
      <c r="K113" s="10">
        <v>16.94</v>
      </c>
      <c r="L113" s="10">
        <v>22</v>
      </c>
      <c r="M113" s="6" t="s">
        <v>421</v>
      </c>
      <c r="N113" s="6">
        <f>IF(OR($G113="FCC",$G113="Hydrocracker",$G113="Reformer"),IF(COUNTIFS($D:$D,$D113,$A:$A,$A113,$B:$B,$B113,$G:$G,"CDU",$J:$J,"PLANNED")&gt;0,"tied","standalone"),"")</f>
        <v/>
      </c>
    </row>
    <row r="114" spans="1:14">
      <c r="A114" s="6">
        <v>2023</v>
      </c>
      <c r="B114" s="6">
        <v>1</v>
      </c>
      <c r="C114" s="6" t="s">
        <v>60</v>
      </c>
      <c r="D114" s="6" t="s">
        <v>371</v>
      </c>
      <c r="E114" s="6" t="s">
        <v>419</v>
      </c>
      <c r="F114" s="6" t="str">
        <f>IF($M114="PADD I","PADD 1",IF($M114="PADD II","PADD 2",IF($M114="PADD III","PADD 3",IF($M114="PADD IV","PADD 4",IF($M114="PADD V","PADD 5","")))))</f>
        <v>PADD 2</v>
      </c>
      <c r="G114" s="6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6" t="s">
        <v>428</v>
      </c>
      <c r="I114" s="6" t="s">
        <v>469</v>
      </c>
      <c r="J114" s="6" t="s">
        <v>398</v>
      </c>
      <c r="K114" s="10">
        <v>16.8</v>
      </c>
      <c r="L114" s="10">
        <v>105</v>
      </c>
      <c r="M114" s="6" t="s">
        <v>425</v>
      </c>
      <c r="N114" s="6">
        <f>IF(OR($G114="FCC",$G114="Hydrocracker",$G114="Reformer"),IF(COUNTIFS($D:$D,$D114,$A:$A,$A114,$B:$B,$B114,$G:$G,"CDU",$J:$J,"PLANNED")&gt;0,"tied","standalone"),"")</f>
        <v/>
      </c>
    </row>
    <row r="115" spans="1:14">
      <c r="A115" s="6">
        <v>2023</v>
      </c>
      <c r="B115" s="6">
        <v>1</v>
      </c>
      <c r="C115" s="6" t="s">
        <v>60</v>
      </c>
      <c r="D115" s="6" t="s">
        <v>487</v>
      </c>
      <c r="E115" s="6" t="s">
        <v>488</v>
      </c>
      <c r="F115" s="6" t="str">
        <f>IF($M115="PADD I","PADD 1",IF($M115="PADD II","PADD 2",IF($M115="PADD III","PADD 3",IF($M115="PADD IV","PADD 4",IF($M115="PADD V","PADD 5","")))))</f>
        <v>PADD 4</v>
      </c>
      <c r="G115" s="6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6" t="s">
        <v>428</v>
      </c>
      <c r="I115" s="6" t="s">
        <v>544</v>
      </c>
      <c r="J115" s="6" t="s">
        <v>394</v>
      </c>
      <c r="K115" s="10">
        <v>16.75</v>
      </c>
      <c r="L115" s="10">
        <v>16.75</v>
      </c>
      <c r="M115" s="6" t="s">
        <v>480</v>
      </c>
      <c r="N115" s="6">
        <f>IF(OR($G115="FCC",$G115="Hydrocracker",$G115="Reformer"),IF(COUNTIFS($D:$D,$D115,$A:$A,$A115,$B:$B,$B115,$G:$G,"CDU",$J:$J,"PLANNED")&gt;0,"tied","standalone"),"")</f>
        <v/>
      </c>
    </row>
    <row r="116" spans="1:14">
      <c r="A116" s="6">
        <v>2023</v>
      </c>
      <c r="B116" s="6">
        <v>1</v>
      </c>
      <c r="C116" s="6" t="s">
        <v>60</v>
      </c>
      <c r="D116" s="6" t="s">
        <v>375</v>
      </c>
      <c r="E116" s="6" t="s">
        <v>435</v>
      </c>
      <c r="F116" s="6" t="str">
        <f>IF($M116="PADD I","PADD 1",IF($M116="PADD II","PADD 2",IF($M116="PADD III","PADD 3",IF($M116="PADD IV","PADD 4",IF($M116="PADD V","PADD 5","")))))</f>
        <v>PADD 5</v>
      </c>
      <c r="G116" s="6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6" t="s">
        <v>485</v>
      </c>
      <c r="I116" s="6" t="s">
        <v>491</v>
      </c>
      <c r="J116" s="6" t="s">
        <v>394</v>
      </c>
      <c r="K116" s="10">
        <v>16.65</v>
      </c>
      <c r="L116" s="10">
        <v>22.5</v>
      </c>
      <c r="M116" s="6" t="s">
        <v>436</v>
      </c>
      <c r="N116" s="6">
        <f>IF(OR($G116="FCC",$G116="Hydrocracker",$G116="Reformer"),IF(COUNTIFS($D:$D,$D116,$A:$A,$A116,$B:$B,$B116,$G:$G,"CDU",$J:$J,"PLANNED")&gt;0,"tied","standalone"),"")</f>
        <v/>
      </c>
    </row>
    <row r="117" spans="1:14">
      <c r="A117" s="6">
        <v>2023</v>
      </c>
      <c r="B117" s="6">
        <v>1</v>
      </c>
      <c r="C117" s="6" t="s">
        <v>60</v>
      </c>
      <c r="D117" s="6" t="s">
        <v>518</v>
      </c>
      <c r="E117" s="6" t="s">
        <v>419</v>
      </c>
      <c r="F117" s="6" t="str">
        <f>IF($M117="PADD I","PADD 1",IF($M117="PADD II","PADD 2",IF($M117="PADD III","PADD 3",IF($M117="PADD IV","PADD 4",IF($M117="PADD V","PADD 5","")))))</f>
        <v>PADD 3</v>
      </c>
      <c r="G117" s="6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6" t="s">
        <v>39</v>
      </c>
      <c r="I117" s="6" t="s">
        <v>559</v>
      </c>
      <c r="J117" s="6" t="s">
        <v>394</v>
      </c>
      <c r="K117" s="10">
        <v>16.32</v>
      </c>
      <c r="L117" s="10">
        <v>34</v>
      </c>
      <c r="M117" s="6" t="s">
        <v>421</v>
      </c>
      <c r="N117" s="6">
        <f>IF(OR($G117="FCC",$G117="Hydrocracker",$G117="Reformer"),IF(COUNTIFS($D:$D,$D117,$A:$A,$A117,$B:$B,$B117,$G:$G,"CDU",$J:$J,"PLANNED")&gt;0,"tied","standalone"),"")</f>
        <v/>
      </c>
    </row>
    <row r="118" spans="1:14">
      <c r="A118" s="6">
        <v>2023</v>
      </c>
      <c r="B118" s="6">
        <v>1</v>
      </c>
      <c r="C118" s="6" t="s">
        <v>60</v>
      </c>
      <c r="D118" s="6" t="s">
        <v>445</v>
      </c>
      <c r="E118" s="6" t="s">
        <v>446</v>
      </c>
      <c r="F118" s="6" t="str">
        <f>IF($M118="PADD I","PADD 1",IF($M118="PADD II","PADD 2",IF($M118="PADD III","PADD 3",IF($M118="PADD IV","PADD 4",IF($M118="PADD V","PADD 5","")))))</f>
        <v>PADD 3</v>
      </c>
      <c r="G118" s="6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6" t="s">
        <v>39</v>
      </c>
      <c r="I118" s="6" t="s">
        <v>447</v>
      </c>
      <c r="J118" s="6" t="s">
        <v>394</v>
      </c>
      <c r="K118" s="10">
        <v>16.2</v>
      </c>
      <c r="L118" s="10">
        <v>270</v>
      </c>
      <c r="M118" s="6" t="s">
        <v>421</v>
      </c>
      <c r="N118" s="6">
        <f>IF(OR($G118="FCC",$G118="Hydrocracker",$G118="Reformer"),IF(COUNTIFS($D:$D,$D118,$A:$A,$A118,$B:$B,$B118,$G:$G,"CDU",$J:$J,"PLANNED")&gt;0,"tied","standalone"),"")</f>
        <v/>
      </c>
    </row>
    <row r="119" spans="1:14">
      <c r="A119" s="6">
        <v>2023</v>
      </c>
      <c r="B119" s="6">
        <v>1</v>
      </c>
      <c r="C119" s="6" t="s">
        <v>60</v>
      </c>
      <c r="D119" s="6" t="s">
        <v>452</v>
      </c>
      <c r="E119" s="6" t="s">
        <v>453</v>
      </c>
      <c r="F119" s="6" t="str">
        <f>IF($M119="PADD I","PADD 1",IF($M119="PADD II","PADD 2",IF($M119="PADD III","PADD 3",IF($M119="PADD IV","PADD 4",IF($M119="PADD V","PADD 5","")))))</f>
        <v>PADD 3</v>
      </c>
      <c r="G119" s="6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6" t="s">
        <v>44</v>
      </c>
      <c r="I119" s="6" t="s">
        <v>543</v>
      </c>
      <c r="J119" s="6" t="s">
        <v>398</v>
      </c>
      <c r="K119" s="10">
        <v>16.17</v>
      </c>
      <c r="L119" s="10">
        <v>21</v>
      </c>
      <c r="M119" s="6" t="s">
        <v>421</v>
      </c>
      <c r="N119" s="6">
        <f>IF(OR($G119="FCC",$G119="Hydrocracker",$G119="Reformer"),IF(COUNTIFS($D:$D,$D119,$A:$A,$A119,$B:$B,$B119,$G:$G,"CDU",$J:$J,"PLANNED")&gt;0,"tied","standalone"),"")</f>
        <v/>
      </c>
    </row>
    <row r="120" spans="1:14">
      <c r="A120" s="6">
        <v>2023</v>
      </c>
      <c r="B120" s="6">
        <v>1</v>
      </c>
      <c r="C120" s="6" t="s">
        <v>60</v>
      </c>
      <c r="D120" s="6" t="s">
        <v>479</v>
      </c>
      <c r="E120" s="6" t="s">
        <v>438</v>
      </c>
      <c r="F120" s="6" t="str">
        <f>IF($M120="PADD I","PADD 1",IF($M120="PADD II","PADD 2",IF($M120="PADD III","PADD 3",IF($M120="PADD IV","PADD 4",IF($M120="PADD V","PADD 5","")))))</f>
        <v>PADD 4</v>
      </c>
      <c r="G120" s="6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6" t="s">
        <v>426</v>
      </c>
      <c r="I120" s="6" t="s">
        <v>106</v>
      </c>
      <c r="J120" s="6" t="s">
        <v>394</v>
      </c>
      <c r="K120" s="10">
        <v>16.104</v>
      </c>
      <c r="L120" s="10">
        <v>26.4</v>
      </c>
      <c r="M120" s="6" t="s">
        <v>480</v>
      </c>
      <c r="N120" s="6" t="str">
        <f>IF(OR($G120="FCC",$G120="Hydrocracker",$G120="Reformer"),IF(COUNTIFS($D:$D,$D120,$A:$A,$A120,$B:$B,$B120,$G:$G,"CDU",$J:$J,"PLANNED")&gt;0,"tied","standalone"),"")</f>
        <v>standalone</v>
      </c>
    </row>
    <row r="121" spans="1:14">
      <c r="A121" s="6">
        <v>2023</v>
      </c>
      <c r="B121" s="6">
        <v>1</v>
      </c>
      <c r="C121" s="6" t="s">
        <v>60</v>
      </c>
      <c r="D121" s="6" t="s">
        <v>445</v>
      </c>
      <c r="E121" s="6" t="s">
        <v>446</v>
      </c>
      <c r="F121" s="6" t="str">
        <f>IF($M121="PADD I","PADD 1",IF($M121="PADD II","PADD 2",IF($M121="PADD III","PADD 3",IF($M121="PADD IV","PADD 4",IF($M121="PADD V","PADD 5","")))))</f>
        <v>PADD 3</v>
      </c>
      <c r="G121" s="6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6" t="s">
        <v>39</v>
      </c>
      <c r="I121" s="6" t="s">
        <v>560</v>
      </c>
      <c r="J121" s="6" t="s">
        <v>394</v>
      </c>
      <c r="K121" s="10">
        <v>16.1</v>
      </c>
      <c r="L121" s="10">
        <v>70</v>
      </c>
      <c r="M121" s="6" t="s">
        <v>421</v>
      </c>
      <c r="N121" s="6">
        <f>IF(OR($G121="FCC",$G121="Hydrocracker",$G121="Reformer"),IF(COUNTIFS($D:$D,$D121,$A:$A,$A121,$B:$B,$B121,$G:$G,"CDU",$J:$J,"PLANNED")&gt;0,"tied","standalone"),"")</f>
        <v/>
      </c>
    </row>
    <row r="122" spans="1:14">
      <c r="A122" s="6">
        <v>2023</v>
      </c>
      <c r="B122" s="6">
        <v>1</v>
      </c>
      <c r="C122" s="6" t="s">
        <v>60</v>
      </c>
      <c r="D122" s="6" t="s">
        <v>445</v>
      </c>
      <c r="E122" s="6" t="s">
        <v>446</v>
      </c>
      <c r="F122" s="6" t="str">
        <f>IF($M122="PADD I","PADD 1",IF($M122="PADD II","PADD 2",IF($M122="PADD III","PADD 3",IF($M122="PADD IV","PADD 4",IF($M122="PADD V","PADD 5","")))))</f>
        <v>PADD 3</v>
      </c>
      <c r="G122" s="6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6" t="s">
        <v>426</v>
      </c>
      <c r="I122" s="6" t="s">
        <v>106</v>
      </c>
      <c r="J122" s="6" t="s">
        <v>394</v>
      </c>
      <c r="K122" s="10">
        <v>16.1</v>
      </c>
      <c r="L122" s="10">
        <v>70</v>
      </c>
      <c r="M122" s="6" t="s">
        <v>421</v>
      </c>
      <c r="N122" s="6" t="str">
        <f>IF(OR($G122="FCC",$G122="Hydrocracker",$G122="Reformer"),IF(COUNTIFS($D:$D,$D122,$A:$A,$A122,$B:$B,$B122,$G:$G,"CDU",$J:$J,"PLANNED")&gt;0,"tied","standalone"),"")</f>
        <v>standalone</v>
      </c>
    </row>
    <row r="123" spans="1:14">
      <c r="A123" s="6">
        <v>2023</v>
      </c>
      <c r="B123" s="6">
        <v>1</v>
      </c>
      <c r="C123" s="6" t="s">
        <v>60</v>
      </c>
      <c r="D123" s="6" t="s">
        <v>507</v>
      </c>
      <c r="E123" s="6" t="s">
        <v>438</v>
      </c>
      <c r="F123" s="6" t="str">
        <f>IF($M123="PADD I","PADD 1",IF($M123="PADD II","PADD 2",IF($M123="PADD III","PADD 3",IF($M123="PADD IV","PADD 4",IF($M123="PADD V","PADD 5","")))))</f>
        <v>PADD 5</v>
      </c>
      <c r="G123" s="6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6" t="s">
        <v>39</v>
      </c>
      <c r="I123" s="6" t="s">
        <v>132</v>
      </c>
      <c r="J123" s="6" t="s">
        <v>394</v>
      </c>
      <c r="K123" s="10">
        <v>16</v>
      </c>
      <c r="L123" s="10">
        <v>160</v>
      </c>
      <c r="M123" s="6" t="s">
        <v>436</v>
      </c>
      <c r="N123" s="6">
        <f>IF(OR($G123="FCC",$G123="Hydrocracker",$G123="Reformer"),IF(COUNTIFS($D:$D,$D123,$A:$A,$A123,$B:$B,$B123,$G:$G,"CDU",$J:$J,"PLANNED")&gt;0,"tied","standalone"),"")</f>
        <v/>
      </c>
    </row>
    <row r="124" spans="1:14">
      <c r="A124" s="6">
        <v>2023</v>
      </c>
      <c r="B124" s="6">
        <v>1</v>
      </c>
      <c r="C124" s="6" t="s">
        <v>60</v>
      </c>
      <c r="D124" s="6" t="s">
        <v>534</v>
      </c>
      <c r="E124" s="6" t="s">
        <v>459</v>
      </c>
      <c r="F124" s="6" t="str">
        <f>IF($M124="PADD I","PADD 1",IF($M124="PADD II","PADD 2",IF($M124="PADD III","PADD 3",IF($M124="PADD IV","PADD 4",IF($M124="PADD V","PADD 5","")))))</f>
        <v>PADD 3</v>
      </c>
      <c r="G124" s="6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6" t="s">
        <v>44</v>
      </c>
      <c r="I124" s="6" t="s">
        <v>551</v>
      </c>
      <c r="J124" s="6" t="s">
        <v>394</v>
      </c>
      <c r="K124" s="10">
        <v>15.925</v>
      </c>
      <c r="L124" s="10">
        <v>45.5</v>
      </c>
      <c r="M124" s="6" t="s">
        <v>421</v>
      </c>
      <c r="N124" s="6">
        <f>IF(OR($G124="FCC",$G124="Hydrocracker",$G124="Reformer"),IF(COUNTIFS($D:$D,$D124,$A:$A,$A124,$B:$B,$B124,$G:$G,"CDU",$J:$J,"PLANNED")&gt;0,"tied","standalone"),"")</f>
        <v/>
      </c>
    </row>
    <row r="125" spans="1:14">
      <c r="A125" s="6">
        <v>2023</v>
      </c>
      <c r="B125" s="6">
        <v>1</v>
      </c>
      <c r="C125" s="6" t="s">
        <v>60</v>
      </c>
      <c r="D125" s="6" t="s">
        <v>452</v>
      </c>
      <c r="E125" s="6" t="s">
        <v>453</v>
      </c>
      <c r="F125" s="6" t="str">
        <f>IF($M125="PADD I","PADD 1",IF($M125="PADD II","PADD 2",IF($M125="PADD III","PADD 3",IF($M125="PADD IV","PADD 4",IF($M125="PADD V","PADD 5","")))))</f>
        <v>PADD 3</v>
      </c>
      <c r="G125" s="6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6" t="s">
        <v>426</v>
      </c>
      <c r="I125" s="6" t="s">
        <v>106</v>
      </c>
      <c r="J125" s="6" t="s">
        <v>398</v>
      </c>
      <c r="K125" s="10">
        <v>15.554</v>
      </c>
      <c r="L125" s="10">
        <v>20.2</v>
      </c>
      <c r="M125" s="6" t="s">
        <v>421</v>
      </c>
      <c r="N125" s="6" t="str">
        <f>IF(OR($G125="FCC",$G125="Hydrocracker",$G125="Reformer"),IF(COUNTIFS($D:$D,$D125,$A:$A,$A125,$B:$B,$B125,$G:$G,"CDU",$J:$J,"PLANNED")&gt;0,"tied","standalone"),"")</f>
        <v>tied</v>
      </c>
    </row>
    <row r="126" spans="1:14">
      <c r="A126" s="6">
        <v>2023</v>
      </c>
      <c r="B126" s="6">
        <v>1</v>
      </c>
      <c r="C126" s="6" t="s">
        <v>60</v>
      </c>
      <c r="D126" s="6" t="s">
        <v>561</v>
      </c>
      <c r="E126" s="6" t="s">
        <v>455</v>
      </c>
      <c r="F126" s="6" t="str">
        <f>IF($M126="PADD I","PADD 1",IF($M126="PADD II","PADD 2",IF($M126="PADD III","PADD 3",IF($M126="PADD IV","PADD 4",IF($M126="PADD V","PADD 5","")))))</f>
        <v>PADD 3</v>
      </c>
      <c r="G126" s="6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6" t="s">
        <v>426</v>
      </c>
      <c r="I126" s="6" t="s">
        <v>106</v>
      </c>
      <c r="J126" s="6" t="s">
        <v>398</v>
      </c>
      <c r="K126" s="10">
        <v>15.52</v>
      </c>
      <c r="L126" s="10">
        <v>97</v>
      </c>
      <c r="M126" s="6" t="s">
        <v>421</v>
      </c>
      <c r="N126" s="6" t="str">
        <f>IF(OR($G126="FCC",$G126="Hydrocracker",$G126="Reformer"),IF(COUNTIFS($D:$D,$D126,$A:$A,$A126,$B:$B,$B126,$G:$G,"CDU",$J:$J,"PLANNED")&gt;0,"tied","standalone"),"")</f>
        <v>tied</v>
      </c>
    </row>
    <row r="127" spans="1:14">
      <c r="A127" s="6">
        <v>2023</v>
      </c>
      <c r="B127" s="6">
        <v>1</v>
      </c>
      <c r="C127" s="6" t="s">
        <v>60</v>
      </c>
      <c r="D127" s="6" t="s">
        <v>445</v>
      </c>
      <c r="E127" s="6" t="s">
        <v>446</v>
      </c>
      <c r="F127" s="6" t="str">
        <f>IF($M127="PADD I","PADD 1",IF($M127="PADD II","PADD 2",IF($M127="PADD III","PADD 3",IF($M127="PADD IV","PADD 4",IF($M127="PADD V","PADD 5","")))))</f>
        <v>PADD 3</v>
      </c>
      <c r="G127" s="6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6" t="s">
        <v>494</v>
      </c>
      <c r="I127" s="6" t="s">
        <v>562</v>
      </c>
      <c r="J127" s="6" t="s">
        <v>394</v>
      </c>
      <c r="K127" s="10">
        <v>15.41</v>
      </c>
      <c r="L127" s="10">
        <v>67</v>
      </c>
      <c r="M127" s="6" t="s">
        <v>421</v>
      </c>
      <c r="N127" s="6" t="str">
        <f>IF(OR($G127="FCC",$G127="Hydrocracker",$G127="Reformer"),IF(COUNTIFS($D:$D,$D127,$A:$A,$A127,$B:$B,$B127,$G:$G,"CDU",$J:$J,"PLANNED")&gt;0,"tied","standalone"),"")</f>
        <v>standalone</v>
      </c>
    </row>
    <row r="128" spans="1:14">
      <c r="A128" s="6">
        <v>2023</v>
      </c>
      <c r="B128" s="6">
        <v>1</v>
      </c>
      <c r="C128" s="6" t="s">
        <v>60</v>
      </c>
      <c r="D128" s="6" t="s">
        <v>452</v>
      </c>
      <c r="E128" s="6" t="s">
        <v>453</v>
      </c>
      <c r="F128" s="6" t="str">
        <f>IF($M128="PADD I","PADD 1",IF($M128="PADD II","PADD 2",IF($M128="PADD III","PADD 3",IF($M128="PADD IV","PADD 4",IF($M128="PADD V","PADD 5","")))))</f>
        <v>PADD 3</v>
      </c>
      <c r="G128" s="6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6" t="s">
        <v>428</v>
      </c>
      <c r="I128" s="6" t="s">
        <v>563</v>
      </c>
      <c r="J128" s="6" t="s">
        <v>398</v>
      </c>
      <c r="K128" s="10">
        <v>15.4</v>
      </c>
      <c r="L128" s="10">
        <v>20</v>
      </c>
      <c r="M128" s="6" t="s">
        <v>421</v>
      </c>
      <c r="N128" s="6">
        <f>IF(OR($G128="FCC",$G128="Hydrocracker",$G128="Reformer"),IF(COUNTIFS($D:$D,$D128,$A:$A,$A128,$B:$B,$B128,$G:$G,"CDU",$J:$J,"PLANNED")&gt;0,"tied","standalone"),"")</f>
        <v/>
      </c>
    </row>
    <row r="129" spans="1:14">
      <c r="A129" s="6">
        <v>2023</v>
      </c>
      <c r="B129" s="6">
        <v>1</v>
      </c>
      <c r="C129" s="6" t="s">
        <v>60</v>
      </c>
      <c r="D129" s="6" t="s">
        <v>479</v>
      </c>
      <c r="E129" s="6" t="s">
        <v>438</v>
      </c>
      <c r="F129" s="6" t="str">
        <f>IF($M129="PADD I","PADD 1",IF($M129="PADD II","PADD 2",IF($M129="PADD III","PADD 3",IF($M129="PADD IV","PADD 4",IF($M129="PADD V","PADD 5","")))))</f>
        <v>PADD 4</v>
      </c>
      <c r="G129" s="6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6" t="s">
        <v>44</v>
      </c>
      <c r="I129" s="6" t="s">
        <v>564</v>
      </c>
      <c r="J129" s="6" t="s">
        <v>394</v>
      </c>
      <c r="K129" s="10">
        <v>15.39</v>
      </c>
      <c r="L129" s="10">
        <v>17.1</v>
      </c>
      <c r="M129" s="6" t="s">
        <v>480</v>
      </c>
      <c r="N129" s="6">
        <f>IF(OR($G129="FCC",$G129="Hydrocracker",$G129="Reformer"),IF(COUNTIFS($D:$D,$D129,$A:$A,$A129,$B:$B,$B129,$G:$G,"CDU",$J:$J,"PLANNED")&gt;0,"tied","standalone"),"")</f>
        <v/>
      </c>
    </row>
    <row r="130" spans="1:14">
      <c r="A130" s="6">
        <v>2023</v>
      </c>
      <c r="B130" s="6">
        <v>1</v>
      </c>
      <c r="C130" s="6" t="s">
        <v>60</v>
      </c>
      <c r="D130" s="6" t="s">
        <v>430</v>
      </c>
      <c r="E130" s="6" t="s">
        <v>431</v>
      </c>
      <c r="F130" s="6" t="str">
        <f>IF($M130="PADD I","PADD 1",IF($M130="PADD II","PADD 2",IF($M130="PADD III","PADD 3",IF($M130="PADD IV","PADD 4",IF($M130="PADD V","PADD 5","")))))</f>
        <v>PADD 3</v>
      </c>
      <c r="G130" s="6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6" t="s">
        <v>485</v>
      </c>
      <c r="I130" s="6" t="s">
        <v>565</v>
      </c>
      <c r="J130" s="6" t="s">
        <v>394</v>
      </c>
      <c r="K130" s="10">
        <v>15.36</v>
      </c>
      <c r="L130" s="10">
        <v>32</v>
      </c>
      <c r="M130" s="6" t="s">
        <v>421</v>
      </c>
      <c r="N130" s="6">
        <f>IF(OR($G130="FCC",$G130="Hydrocracker",$G130="Reformer"),IF(COUNTIFS($D:$D,$D130,$A:$A,$A130,$B:$B,$B130,$G:$G,"CDU",$J:$J,"PLANNED")&gt;0,"tied","standalone"),"")</f>
        <v/>
      </c>
    </row>
    <row r="131" spans="1:14">
      <c r="A131" s="6">
        <v>2023</v>
      </c>
      <c r="B131" s="6">
        <v>1</v>
      </c>
      <c r="C131" s="6" t="s">
        <v>60</v>
      </c>
      <c r="D131" s="6" t="s">
        <v>448</v>
      </c>
      <c r="E131" s="6" t="s">
        <v>449</v>
      </c>
      <c r="F131" s="6" t="str">
        <f>IF($M131="PADD I","PADD 1",IF($M131="PADD II","PADD 2",IF($M131="PADD III","PADD 3",IF($M131="PADD IV","PADD 4",IF($M131="PADD V","PADD 5","")))))</f>
        <v>PADD 3</v>
      </c>
      <c r="G131" s="6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6" t="s">
        <v>428</v>
      </c>
      <c r="I131" s="6" t="s">
        <v>450</v>
      </c>
      <c r="J131" s="6" t="s">
        <v>398</v>
      </c>
      <c r="K131" s="10">
        <v>15.288</v>
      </c>
      <c r="L131" s="10">
        <v>95.55</v>
      </c>
      <c r="M131" s="6" t="s">
        <v>421</v>
      </c>
      <c r="N131" s="6">
        <f>IF(OR($G131="FCC",$G131="Hydrocracker",$G131="Reformer"),IF(COUNTIFS($D:$D,$D131,$A:$A,$A131,$B:$B,$B131,$G:$G,"CDU",$J:$J,"PLANNED")&gt;0,"tied","standalone"),"")</f>
        <v/>
      </c>
    </row>
    <row r="132" spans="1:14">
      <c r="A132" s="6">
        <v>2023</v>
      </c>
      <c r="B132" s="6">
        <v>1</v>
      </c>
      <c r="C132" s="6" t="s">
        <v>60</v>
      </c>
      <c r="D132" s="6" t="s">
        <v>395</v>
      </c>
      <c r="E132" s="6" t="s">
        <v>433</v>
      </c>
      <c r="F132" s="6" t="str">
        <f>IF($M132="PADD I","PADD 1",IF($M132="PADD II","PADD 2",IF($M132="PADD III","PADD 3",IF($M132="PADD IV","PADD 4",IF($M132="PADD V","PADD 5","")))))</f>
        <v>PADD 2</v>
      </c>
      <c r="G132" s="6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6" t="s">
        <v>471</v>
      </c>
      <c r="I132" s="6" t="s">
        <v>566</v>
      </c>
      <c r="J132" s="6" t="s">
        <v>398</v>
      </c>
      <c r="K132" s="10">
        <v>15</v>
      </c>
      <c r="L132" s="10">
        <v>15</v>
      </c>
      <c r="M132" s="6" t="s">
        <v>425</v>
      </c>
      <c r="N132" s="6" t="str">
        <f>IF(OR($G132="FCC",$G132="Hydrocracker",$G132="Reformer"),IF(COUNTIFS($D:$D,$D132,$A:$A,$A132,$B:$B,$B132,$G:$G,"CDU",$J:$J,"PLANNED")&gt;0,"tied","standalone"),"")</f>
        <v>tied</v>
      </c>
    </row>
    <row r="133" spans="1:14">
      <c r="A133" s="6">
        <v>2023</v>
      </c>
      <c r="B133" s="6">
        <v>1</v>
      </c>
      <c r="C133" s="6" t="s">
        <v>60</v>
      </c>
      <c r="D133" s="6" t="s">
        <v>458</v>
      </c>
      <c r="E133" s="6" t="s">
        <v>459</v>
      </c>
      <c r="F133" s="6" t="str">
        <f>IF($M133="PADD I","PADD 1",IF($M133="PADD II","PADD 2",IF($M133="PADD III","PADD 3",IF($M133="PADD IV","PADD 4",IF($M133="PADD V","PADD 5","")))))</f>
        <v>PADD 3</v>
      </c>
      <c r="G133" s="6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6" t="s">
        <v>44</v>
      </c>
      <c r="I133" s="6" t="s">
        <v>567</v>
      </c>
      <c r="J133" s="6" t="s">
        <v>394</v>
      </c>
      <c r="K133" s="10">
        <v>14.64</v>
      </c>
      <c r="L133" s="10">
        <v>24</v>
      </c>
      <c r="M133" s="6" t="s">
        <v>421</v>
      </c>
      <c r="N133" s="6">
        <f>IF(OR($G133="FCC",$G133="Hydrocracker",$G133="Reformer"),IF(COUNTIFS($D:$D,$D133,$A:$A,$A133,$B:$B,$B133,$G:$G,"CDU",$J:$J,"PLANNED")&gt;0,"tied","standalone"),"")</f>
        <v/>
      </c>
    </row>
    <row r="134" spans="1:14">
      <c r="A134" s="6">
        <v>2023</v>
      </c>
      <c r="B134" s="6">
        <v>1</v>
      </c>
      <c r="C134" s="6" t="s">
        <v>60</v>
      </c>
      <c r="D134" s="6" t="s">
        <v>568</v>
      </c>
      <c r="E134" s="6" t="s">
        <v>419</v>
      </c>
      <c r="F134" s="6" t="str">
        <f>IF($M134="PADD I","PADD 1",IF($M134="PADD II","PADD 2",IF($M134="PADD III","PADD 3",IF($M134="PADD IV","PADD 4",IF($M134="PADD V","PADD 5","")))))</f>
        <v>PADD 5</v>
      </c>
      <c r="G134" s="6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6" t="s">
        <v>39</v>
      </c>
      <c r="I134" s="6" t="s">
        <v>569</v>
      </c>
      <c r="J134" s="6" t="s">
        <v>394</v>
      </c>
      <c r="K134" s="10">
        <v>14.5</v>
      </c>
      <c r="L134" s="10">
        <v>50</v>
      </c>
      <c r="M134" s="6" t="s">
        <v>436</v>
      </c>
      <c r="N134" s="6">
        <f>IF(OR($G134="FCC",$G134="Hydrocracker",$G134="Reformer"),IF(COUNTIFS($D:$D,$D134,$A:$A,$A134,$B:$B,$B134,$G:$G,"CDU",$J:$J,"PLANNED")&gt;0,"tied","standalone"),"")</f>
        <v/>
      </c>
    </row>
    <row r="135" spans="1:14">
      <c r="A135" s="6">
        <v>2023</v>
      </c>
      <c r="B135" s="6">
        <v>1</v>
      </c>
      <c r="C135" s="6" t="s">
        <v>60</v>
      </c>
      <c r="D135" s="6" t="s">
        <v>550</v>
      </c>
      <c r="E135" s="6" t="s">
        <v>438</v>
      </c>
      <c r="F135" s="6" t="str">
        <f>IF($M135="PADD I","PADD 1",IF($M135="PADD II","PADD 2",IF($M135="PADD III","PADD 3",IF($M135="PADD IV","PADD 4",IF($M135="PADD V","PADD 5","")))))</f>
        <v>PADD 2</v>
      </c>
      <c r="G135" s="6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6" t="s">
        <v>44</v>
      </c>
      <c r="I135" s="6" t="s">
        <v>570</v>
      </c>
      <c r="J135" s="6" t="s">
        <v>394</v>
      </c>
      <c r="K135" s="10">
        <v>14.335</v>
      </c>
      <c r="L135" s="10">
        <v>23.5</v>
      </c>
      <c r="M135" s="6" t="s">
        <v>425</v>
      </c>
      <c r="N135" s="6">
        <f>IF(OR($G135="FCC",$G135="Hydrocracker",$G135="Reformer"),IF(COUNTIFS($D:$D,$D135,$A:$A,$A135,$B:$B,$B135,$G:$G,"CDU",$J:$J,"PLANNED")&gt;0,"tied","standalone"),"")</f>
        <v/>
      </c>
    </row>
    <row r="136" spans="1:14">
      <c r="A136" s="6">
        <v>2023</v>
      </c>
      <c r="B136" s="6">
        <v>1</v>
      </c>
      <c r="C136" s="6" t="s">
        <v>60</v>
      </c>
      <c r="D136" s="6" t="s">
        <v>561</v>
      </c>
      <c r="E136" s="6" t="s">
        <v>455</v>
      </c>
      <c r="F136" s="6" t="str">
        <f>IF($M136="PADD I","PADD 1",IF($M136="PADD II","PADD 2",IF($M136="PADD III","PADD 3",IF($M136="PADD IV","PADD 4",IF($M136="PADD V","PADD 5","")))))</f>
        <v>PADD 3</v>
      </c>
      <c r="G136" s="6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6" t="s">
        <v>39</v>
      </c>
      <c r="I136" s="6" t="s">
        <v>113</v>
      </c>
      <c r="J136" s="6" t="s">
        <v>398</v>
      </c>
      <c r="K136" s="10">
        <v>14.3</v>
      </c>
      <c r="L136" s="10">
        <v>110</v>
      </c>
      <c r="M136" s="6" t="s">
        <v>421</v>
      </c>
      <c r="N136" s="6">
        <f>IF(OR($G136="FCC",$G136="Hydrocracker",$G136="Reformer"),IF(COUNTIFS($D:$D,$D136,$A:$A,$A136,$B:$B,$B136,$G:$G,"CDU",$J:$J,"PLANNED")&gt;0,"tied","standalone"),"")</f>
        <v/>
      </c>
    </row>
    <row r="137" spans="1:14">
      <c r="A137" s="6">
        <v>2023</v>
      </c>
      <c r="B137" s="6">
        <v>1</v>
      </c>
      <c r="C137" s="6" t="s">
        <v>60</v>
      </c>
      <c r="D137" s="6" t="s">
        <v>371</v>
      </c>
      <c r="E137" s="6" t="s">
        <v>419</v>
      </c>
      <c r="F137" s="6" t="str">
        <f>IF($M137="PADD I","PADD 1",IF($M137="PADD II","PADD 2",IF($M137="PADD III","PADD 3",IF($M137="PADD IV","PADD 4",IF($M137="PADD V","PADD 5","")))))</f>
        <v>PADD 2</v>
      </c>
      <c r="G137" s="6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6" t="s">
        <v>39</v>
      </c>
      <c r="I137" s="6" t="s">
        <v>571</v>
      </c>
      <c r="J137" s="6" t="s">
        <v>398</v>
      </c>
      <c r="K137" s="10">
        <v>14.3</v>
      </c>
      <c r="L137" s="10">
        <v>110</v>
      </c>
      <c r="M137" s="6" t="s">
        <v>425</v>
      </c>
      <c r="N137" s="6">
        <f>IF(OR($G137="FCC",$G137="Hydrocracker",$G137="Reformer"),IF(COUNTIFS($D:$D,$D137,$A:$A,$A137,$B:$B,$B137,$G:$G,"CDU",$J:$J,"PLANNED")&gt;0,"tied","standalone"),"")</f>
        <v/>
      </c>
    </row>
    <row r="138" spans="1:14">
      <c r="A138" s="6">
        <v>2023</v>
      </c>
      <c r="B138" s="6">
        <v>1</v>
      </c>
      <c r="C138" s="6" t="s">
        <v>60</v>
      </c>
      <c r="D138" s="6" t="s">
        <v>458</v>
      </c>
      <c r="E138" s="6" t="s">
        <v>459</v>
      </c>
      <c r="F138" s="6" t="str">
        <f>IF($M138="PADD I","PADD 1",IF($M138="PADD II","PADD 2",IF($M138="PADD III","PADD 3",IF($M138="PADD IV","PADD 4",IF($M138="PADD V","PADD 5","")))))</f>
        <v>PADD 3</v>
      </c>
      <c r="G138" s="6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6" t="s">
        <v>39</v>
      </c>
      <c r="I138" s="6" t="s">
        <v>572</v>
      </c>
      <c r="J138" s="6" t="s">
        <v>394</v>
      </c>
      <c r="K138" s="10">
        <v>14</v>
      </c>
      <c r="L138" s="10">
        <v>40</v>
      </c>
      <c r="M138" s="6" t="s">
        <v>421</v>
      </c>
      <c r="N138" s="6">
        <f>IF(OR($G138="FCC",$G138="Hydrocracker",$G138="Reformer"),IF(COUNTIFS($D:$D,$D138,$A:$A,$A138,$B:$B,$B138,$G:$G,"CDU",$J:$J,"PLANNED")&gt;0,"tied","standalone"),"")</f>
        <v/>
      </c>
    </row>
    <row r="139" spans="1:14">
      <c r="A139" s="6">
        <v>2023</v>
      </c>
      <c r="B139" s="6">
        <v>1</v>
      </c>
      <c r="C139" s="6" t="s">
        <v>60</v>
      </c>
      <c r="D139" s="6" t="s">
        <v>470</v>
      </c>
      <c r="E139" s="6" t="s">
        <v>423</v>
      </c>
      <c r="F139" s="6" t="str">
        <f>IF($M139="PADD I","PADD 1",IF($M139="PADD II","PADD 2",IF($M139="PADD III","PADD 3",IF($M139="PADD IV","PADD 4",IF($M139="PADD V","PADD 5","")))))</f>
        <v>PADD 2</v>
      </c>
      <c r="G139" s="6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6" t="s">
        <v>573</v>
      </c>
      <c r="I139" s="6" t="s">
        <v>574</v>
      </c>
      <c r="J139" s="6" t="s">
        <v>394</v>
      </c>
      <c r="K139" s="10">
        <v>13.5</v>
      </c>
      <c r="L139" s="10">
        <v>13.5</v>
      </c>
      <c r="M139" s="6" t="s">
        <v>425</v>
      </c>
      <c r="N139" s="6">
        <f>IF(OR($G139="FCC",$G139="Hydrocracker",$G139="Reformer"),IF(COUNTIFS($D:$D,$D139,$A:$A,$A139,$B:$B,$B139,$G:$G,"CDU",$J:$J,"PLANNED")&gt;0,"tied","standalone"),"")</f>
        <v/>
      </c>
    </row>
    <row r="140" spans="1:14">
      <c r="A140" s="6">
        <v>2023</v>
      </c>
      <c r="B140" s="6">
        <v>1</v>
      </c>
      <c r="C140" s="6" t="s">
        <v>60</v>
      </c>
      <c r="D140" s="6" t="s">
        <v>452</v>
      </c>
      <c r="E140" s="6" t="s">
        <v>453</v>
      </c>
      <c r="F140" s="6" t="str">
        <f>IF($M140="PADD I","PADD 1",IF($M140="PADD II","PADD 2",IF($M140="PADD III","PADD 3",IF($M140="PADD IV","PADD 4",IF($M140="PADD V","PADD 5","")))))</f>
        <v>PADD 3</v>
      </c>
      <c r="G140" s="6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6" t="s">
        <v>471</v>
      </c>
      <c r="I140" s="6" t="s">
        <v>575</v>
      </c>
      <c r="J140" s="6" t="s">
        <v>398</v>
      </c>
      <c r="K140" s="10">
        <v>13.475</v>
      </c>
      <c r="L140" s="10">
        <v>17.5</v>
      </c>
      <c r="M140" s="6" t="s">
        <v>421</v>
      </c>
      <c r="N140" s="6" t="str">
        <f>IF(OR($G140="FCC",$G140="Hydrocracker",$G140="Reformer"),IF(COUNTIFS($D:$D,$D140,$A:$A,$A140,$B:$B,$B140,$G:$G,"CDU",$J:$J,"PLANNED")&gt;0,"tied","standalone"),"")</f>
        <v>tied</v>
      </c>
    </row>
    <row r="141" spans="1:14">
      <c r="A141" s="6">
        <v>2023</v>
      </c>
      <c r="B141" s="6">
        <v>1</v>
      </c>
      <c r="C141" s="6" t="s">
        <v>60</v>
      </c>
      <c r="D141" s="6" t="s">
        <v>576</v>
      </c>
      <c r="E141" s="6" t="s">
        <v>455</v>
      </c>
      <c r="F141" s="6" t="str">
        <f>IF($M141="PADD I","PADD 1",IF($M141="PADD II","PADD 2",IF($M141="PADD III","PADD 3",IF($M141="PADD IV","PADD 4",IF($M141="PADD V","PADD 5","")))))</f>
        <v>PADD 3</v>
      </c>
      <c r="G141" s="6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6" t="s">
        <v>494</v>
      </c>
      <c r="I141" s="6" t="s">
        <v>577</v>
      </c>
      <c r="J141" s="6" t="s">
        <v>394</v>
      </c>
      <c r="K141" s="10">
        <v>13.11</v>
      </c>
      <c r="L141" s="10">
        <v>57</v>
      </c>
      <c r="M141" s="6" t="s">
        <v>421</v>
      </c>
      <c r="N141" s="6" t="str">
        <f>IF(OR($G141="FCC",$G141="Hydrocracker",$G141="Reformer"),IF(COUNTIFS($D:$D,$D141,$A:$A,$A141,$B:$B,$B141,$G:$G,"CDU",$J:$J,"PLANNED")&gt;0,"tied","standalone"),"")</f>
        <v>standalone</v>
      </c>
    </row>
    <row r="142" spans="1:14">
      <c r="A142" s="6">
        <v>2023</v>
      </c>
      <c r="B142" s="6">
        <v>1</v>
      </c>
      <c r="C142" s="6" t="s">
        <v>60</v>
      </c>
      <c r="D142" s="6" t="s">
        <v>448</v>
      </c>
      <c r="E142" s="6" t="s">
        <v>449</v>
      </c>
      <c r="F142" s="6" t="str">
        <f>IF($M142="PADD I","PADD 1",IF($M142="PADD II","PADD 2",IF($M142="PADD III","PADD 3",IF($M142="PADD IV","PADD 4",IF($M142="PADD V","PADD 5","")))))</f>
        <v>PADD 3</v>
      </c>
      <c r="G142" s="6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6" t="s">
        <v>485</v>
      </c>
      <c r="I142" s="6" t="s">
        <v>578</v>
      </c>
      <c r="J142" s="6" t="s">
        <v>398</v>
      </c>
      <c r="K142" s="10">
        <v>13.11</v>
      </c>
      <c r="L142" s="10">
        <v>57</v>
      </c>
      <c r="M142" s="6" t="s">
        <v>421</v>
      </c>
      <c r="N142" s="6">
        <f>IF(OR($G142="FCC",$G142="Hydrocracker",$G142="Reformer"),IF(COUNTIFS($D:$D,$D142,$A:$A,$A142,$B:$B,$B142,$G:$G,"CDU",$J:$J,"PLANNED")&gt;0,"tied","standalone"),"")</f>
        <v/>
      </c>
    </row>
    <row r="143" spans="1:14">
      <c r="A143" s="6">
        <v>2023</v>
      </c>
      <c r="B143" s="6">
        <v>1</v>
      </c>
      <c r="C143" s="6" t="s">
        <v>60</v>
      </c>
      <c r="D143" s="6" t="s">
        <v>470</v>
      </c>
      <c r="E143" s="6" t="s">
        <v>423</v>
      </c>
      <c r="F143" s="6" t="str">
        <f>IF($M143="PADD I","PADD 1",IF($M143="PADD II","PADD 2",IF($M143="PADD III","PADD 3",IF($M143="PADD IV","PADD 4",IF($M143="PADD V","PADD 5","")))))</f>
        <v>PADD 2</v>
      </c>
      <c r="G143" s="6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6" t="s">
        <v>426</v>
      </c>
      <c r="I143" s="6" t="s">
        <v>106</v>
      </c>
      <c r="J143" s="6" t="s">
        <v>394</v>
      </c>
      <c r="K143" s="10">
        <v>13</v>
      </c>
      <c r="L143" s="10">
        <v>13</v>
      </c>
      <c r="M143" s="6" t="s">
        <v>425</v>
      </c>
      <c r="N143" s="6" t="str">
        <f>IF(OR($G143="FCC",$G143="Hydrocracker",$G143="Reformer"),IF(COUNTIFS($D:$D,$D143,$A:$A,$A143,$B:$B,$B143,$G:$G,"CDU",$J:$J,"PLANNED")&gt;0,"tied","standalone"),"")</f>
        <v>standalone</v>
      </c>
    </row>
    <row r="144" spans="1:14">
      <c r="A144" s="6">
        <v>2023</v>
      </c>
      <c r="B144" s="6">
        <v>1</v>
      </c>
      <c r="C144" s="6" t="s">
        <v>60</v>
      </c>
      <c r="D144" s="6" t="s">
        <v>461</v>
      </c>
      <c r="E144" s="6" t="s">
        <v>419</v>
      </c>
      <c r="F144" s="6" t="str">
        <f>IF($M144="PADD I","PADD 1",IF($M144="PADD II","PADD 2",IF($M144="PADD III","PADD 3",IF($M144="PADD IV","PADD 4",IF($M144="PADD V","PADD 5","")))))</f>
        <v>PADD 1</v>
      </c>
      <c r="G144" s="6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6" t="s">
        <v>39</v>
      </c>
      <c r="I144" s="6" t="s">
        <v>579</v>
      </c>
      <c r="J144" s="6" t="s">
        <v>394</v>
      </c>
      <c r="K144" s="10">
        <v>12.95</v>
      </c>
      <c r="L144" s="10">
        <v>129.5</v>
      </c>
      <c r="M144" s="6" t="s">
        <v>463</v>
      </c>
      <c r="N144" s="6">
        <f>IF(OR($G144="FCC",$G144="Hydrocracker",$G144="Reformer"),IF(COUNTIFS($D:$D,$D144,$A:$A,$A144,$B:$B,$B144,$G:$G,"CDU",$J:$J,"PLANNED")&gt;0,"tied","standalone"),"")</f>
        <v/>
      </c>
    </row>
    <row r="145" spans="1:14">
      <c r="A145" s="6">
        <v>2023</v>
      </c>
      <c r="B145" s="6">
        <v>1</v>
      </c>
      <c r="C145" s="6" t="s">
        <v>60</v>
      </c>
      <c r="D145" s="6" t="s">
        <v>550</v>
      </c>
      <c r="E145" s="6" t="s">
        <v>438</v>
      </c>
      <c r="F145" s="6" t="str">
        <f>IF($M145="PADD I","PADD 1",IF($M145="PADD II","PADD 2",IF($M145="PADD III","PADD 3",IF($M145="PADD IV","PADD 4",IF($M145="PADD V","PADD 5","")))))</f>
        <v>PADD 2</v>
      </c>
      <c r="G145" s="6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6" t="s">
        <v>39</v>
      </c>
      <c r="I145" s="6" t="s">
        <v>580</v>
      </c>
      <c r="J145" s="6" t="s">
        <v>394</v>
      </c>
      <c r="K145" s="10">
        <v>12.65</v>
      </c>
      <c r="L145" s="10">
        <v>23</v>
      </c>
      <c r="M145" s="6" t="s">
        <v>425</v>
      </c>
      <c r="N145" s="6">
        <f>IF(OR($G145="FCC",$G145="Hydrocracker",$G145="Reformer"),IF(COUNTIFS($D:$D,$D145,$A:$A,$A145,$B:$B,$B145,$G:$G,"CDU",$J:$J,"PLANNED")&gt;0,"tied","standalone"),"")</f>
        <v/>
      </c>
    </row>
    <row r="146" spans="1:14">
      <c r="A146" s="6">
        <v>2023</v>
      </c>
      <c r="B146" s="6">
        <v>1</v>
      </c>
      <c r="C146" s="6" t="s">
        <v>60</v>
      </c>
      <c r="D146" s="6" t="s">
        <v>581</v>
      </c>
      <c r="E146" s="6" t="s">
        <v>582</v>
      </c>
      <c r="F146" s="6" t="str">
        <f>IF($M146="PADD I","PADD 1",IF($M146="PADD II","PADD 2",IF($M146="PADD III","PADD 3",IF($M146="PADD IV","PADD 4",IF($M146="PADD V","PADD 5","")))))</f>
        <v>PADD 5</v>
      </c>
      <c r="G146" s="6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6" t="s">
        <v>39</v>
      </c>
      <c r="I146" s="6" t="s">
        <v>82</v>
      </c>
      <c r="J146" s="6" t="s">
        <v>394</v>
      </c>
      <c r="K146" s="10">
        <v>12.4</v>
      </c>
      <c r="L146" s="10">
        <v>77.5</v>
      </c>
      <c r="M146" s="6" t="s">
        <v>436</v>
      </c>
      <c r="N146" s="6">
        <f>IF(OR($G146="FCC",$G146="Hydrocracker",$G146="Reformer"),IF(COUNTIFS($D:$D,$D146,$A:$A,$A146,$B:$B,$B146,$G:$G,"CDU",$J:$J,"PLANNED")&gt;0,"tied","standalone"),"")</f>
        <v/>
      </c>
    </row>
    <row r="147" spans="1:14">
      <c r="A147" s="6">
        <v>2023</v>
      </c>
      <c r="B147" s="6">
        <v>1</v>
      </c>
      <c r="C147" s="6" t="s">
        <v>60</v>
      </c>
      <c r="D147" s="6" t="s">
        <v>458</v>
      </c>
      <c r="E147" s="6" t="s">
        <v>459</v>
      </c>
      <c r="F147" s="6" t="str">
        <f>IF($M147="PADD I","PADD 1",IF($M147="PADD II","PADD 2",IF($M147="PADD III","PADD 3",IF($M147="PADD IV","PADD 4",IF($M147="PADD V","PADD 5","")))))</f>
        <v>PADD 3</v>
      </c>
      <c r="G147" s="6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6" t="s">
        <v>471</v>
      </c>
      <c r="I147" s="6" t="s">
        <v>583</v>
      </c>
      <c r="J147" s="6" t="s">
        <v>394</v>
      </c>
      <c r="K147" s="10">
        <v>12.25</v>
      </c>
      <c r="L147" s="10">
        <v>35</v>
      </c>
      <c r="M147" s="6" t="s">
        <v>421</v>
      </c>
      <c r="N147" s="6" t="str">
        <f>IF(OR($G147="FCC",$G147="Hydrocracker",$G147="Reformer"),IF(COUNTIFS($D:$D,$D147,$A:$A,$A147,$B:$B,$B147,$G:$G,"CDU",$J:$J,"PLANNED")&gt;0,"tied","standalone"),"")</f>
        <v>standalone</v>
      </c>
    </row>
    <row r="148" spans="1:14">
      <c r="A148" s="6">
        <v>2023</v>
      </c>
      <c r="B148" s="6">
        <v>1</v>
      </c>
      <c r="C148" s="6" t="s">
        <v>60</v>
      </c>
      <c r="D148" s="6" t="s">
        <v>568</v>
      </c>
      <c r="E148" s="6" t="s">
        <v>419</v>
      </c>
      <c r="F148" s="6" t="str">
        <f>IF($M148="PADD I","PADD 1",IF($M148="PADD II","PADD 2",IF($M148="PADD III","PADD 3",IF($M148="PADD IV","PADD 4",IF($M148="PADD V","PADD 5","")))))</f>
        <v>PADD 5</v>
      </c>
      <c r="G148" s="6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6" t="s">
        <v>494</v>
      </c>
      <c r="I148" s="6" t="s">
        <v>584</v>
      </c>
      <c r="J148" s="6" t="s">
        <v>394</v>
      </c>
      <c r="K148" s="10">
        <v>12.18</v>
      </c>
      <c r="L148" s="10">
        <v>42</v>
      </c>
      <c r="M148" s="6" t="s">
        <v>436</v>
      </c>
      <c r="N148" s="6" t="str">
        <f>IF(OR($G148="FCC",$G148="Hydrocracker",$G148="Reformer"),IF(COUNTIFS($D:$D,$D148,$A:$A,$A148,$B:$B,$B148,$G:$G,"CDU",$J:$J,"PLANNED")&gt;0,"tied","standalone"),"")</f>
        <v>tied</v>
      </c>
    </row>
    <row r="149" spans="1:14">
      <c r="A149" s="6">
        <v>2023</v>
      </c>
      <c r="B149" s="6">
        <v>1</v>
      </c>
      <c r="C149" s="6" t="s">
        <v>60</v>
      </c>
      <c r="D149" s="6" t="s">
        <v>382</v>
      </c>
      <c r="E149" s="6" t="s">
        <v>431</v>
      </c>
      <c r="F149" s="6" t="str">
        <f>IF($M149="PADD I","PADD 1",IF($M149="PADD II","PADD 2",IF($M149="PADD III","PADD 3",IF($M149="PADD IV","PADD 4",IF($M149="PADD V","PADD 5","")))))</f>
        <v>PADD 3</v>
      </c>
      <c r="G149" s="6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6" t="s">
        <v>426</v>
      </c>
      <c r="I149" s="6" t="s">
        <v>106</v>
      </c>
      <c r="J149" s="6" t="s">
        <v>394</v>
      </c>
      <c r="K149" s="10">
        <v>12</v>
      </c>
      <c r="L149" s="10">
        <v>120</v>
      </c>
      <c r="M149" s="6" t="s">
        <v>421</v>
      </c>
      <c r="N149" s="6" t="str">
        <f>IF(OR($G149="FCC",$G149="Hydrocracker",$G149="Reformer"),IF(COUNTIFS($D:$D,$D149,$A:$A,$A149,$B:$B,$B149,$G:$G,"CDU",$J:$J,"PLANNED")&gt;0,"tied","standalone"),"")</f>
        <v>tied</v>
      </c>
    </row>
    <row r="150" spans="1:14">
      <c r="A150" s="6">
        <v>2023</v>
      </c>
      <c r="B150" s="6">
        <v>1</v>
      </c>
      <c r="C150" s="6" t="s">
        <v>60</v>
      </c>
      <c r="D150" s="6" t="s">
        <v>512</v>
      </c>
      <c r="E150" s="6" t="s">
        <v>488</v>
      </c>
      <c r="F150" s="6" t="str">
        <f>IF($M150="PADD I","PADD 1",IF($M150="PADD II","PADD 2",IF($M150="PADD III","PADD 3",IF($M150="PADD IV","PADD 4",IF($M150="PADD V","PADD 5","")))))</f>
        <v>PADD 4</v>
      </c>
      <c r="G150" s="6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6" t="s">
        <v>44</v>
      </c>
      <c r="I150" s="6" t="s">
        <v>585</v>
      </c>
      <c r="J150" s="6" t="s">
        <v>394</v>
      </c>
      <c r="K150" s="10">
        <v>12</v>
      </c>
      <c r="L150" s="10">
        <v>12</v>
      </c>
      <c r="M150" s="6" t="s">
        <v>480</v>
      </c>
      <c r="N150" s="6">
        <f>IF(OR($G150="FCC",$G150="Hydrocracker",$G150="Reformer"),IF(COUNTIFS($D:$D,$D150,$A:$A,$A150,$B:$B,$B150,$G:$G,"CDU",$J:$J,"PLANNED")&gt;0,"tied","standalone"),"")</f>
        <v/>
      </c>
    </row>
    <row r="151" spans="1:14">
      <c r="A151" s="6">
        <v>2023</v>
      </c>
      <c r="B151" s="6">
        <v>1</v>
      </c>
      <c r="C151" s="6" t="s">
        <v>60</v>
      </c>
      <c r="D151" s="6" t="s">
        <v>546</v>
      </c>
      <c r="E151" s="6" t="s">
        <v>438</v>
      </c>
      <c r="F151" s="6" t="str">
        <f>IF($M151="PADD I","PADD 1",IF($M151="PADD II","PADD 2",IF($M151="PADD III","PADD 3",IF($M151="PADD IV","PADD 4",IF($M151="PADD V","PADD 5","")))))</f>
        <v>PADD 2</v>
      </c>
      <c r="G151" s="6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6" t="s">
        <v>428</v>
      </c>
      <c r="I151" s="6" t="s">
        <v>586</v>
      </c>
      <c r="J151" s="6" t="s">
        <v>398</v>
      </c>
      <c r="K151" s="10">
        <v>12</v>
      </c>
      <c r="L151" s="10">
        <v>12</v>
      </c>
      <c r="M151" s="6" t="s">
        <v>425</v>
      </c>
      <c r="N151" s="6">
        <f>IF(OR($G151="FCC",$G151="Hydrocracker",$G151="Reformer"),IF(COUNTIFS($D:$D,$D151,$A:$A,$A151,$B:$B,$B151,$G:$G,"CDU",$J:$J,"PLANNED")&gt;0,"tied","standalone"),"")</f>
        <v/>
      </c>
    </row>
    <row r="152" spans="1:14">
      <c r="A152" s="6">
        <v>2023</v>
      </c>
      <c r="B152" s="6">
        <v>1</v>
      </c>
      <c r="C152" s="6" t="s">
        <v>60</v>
      </c>
      <c r="D152" s="6" t="s">
        <v>382</v>
      </c>
      <c r="E152" s="6" t="s">
        <v>431</v>
      </c>
      <c r="F152" s="6" t="str">
        <f>IF($M152="PADD I","PADD 1",IF($M152="PADD II","PADD 2",IF($M152="PADD III","PADD 3",IF($M152="PADD IV","PADD 4",IF($M152="PADD V","PADD 5","")))))</f>
        <v>PADD 3</v>
      </c>
      <c r="G152" s="6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6" t="s">
        <v>39</v>
      </c>
      <c r="I152" s="6" t="s">
        <v>587</v>
      </c>
      <c r="J152" s="6" t="s">
        <v>398</v>
      </c>
      <c r="K152" s="10">
        <v>11.94</v>
      </c>
      <c r="L152" s="10">
        <v>119.4</v>
      </c>
      <c r="M152" s="6" t="s">
        <v>421</v>
      </c>
      <c r="N152" s="6">
        <f>IF(OR($G152="FCC",$G152="Hydrocracker",$G152="Reformer"),IF(COUNTIFS($D:$D,$D152,$A:$A,$A152,$B:$B,$B152,$G:$G,"CDU",$J:$J,"PLANNED")&gt;0,"tied","standalone"),"")</f>
        <v/>
      </c>
    </row>
    <row r="153" spans="1:14">
      <c r="A153" s="6">
        <v>2023</v>
      </c>
      <c r="B153" s="6">
        <v>1</v>
      </c>
      <c r="C153" s="6" t="s">
        <v>60</v>
      </c>
      <c r="D153" s="6" t="s">
        <v>445</v>
      </c>
      <c r="E153" s="6" t="s">
        <v>446</v>
      </c>
      <c r="F153" s="6" t="str">
        <f>IF($M153="PADD I","PADD 1",IF($M153="PADD II","PADD 2",IF($M153="PADD III","PADD 3",IF($M153="PADD IV","PADD 4",IF($M153="PADD V","PADD 5","")))))</f>
        <v>PADD 3</v>
      </c>
      <c r="G153" s="6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6" t="s">
        <v>471</v>
      </c>
      <c r="I153" s="6" t="s">
        <v>588</v>
      </c>
      <c r="J153" s="6" t="s">
        <v>394</v>
      </c>
      <c r="K153" s="10">
        <v>11.934</v>
      </c>
      <c r="L153" s="10">
        <v>45.9</v>
      </c>
      <c r="M153" s="6" t="s">
        <v>421</v>
      </c>
      <c r="N153" s="6" t="str">
        <f>IF(OR($G153="FCC",$G153="Hydrocracker",$G153="Reformer"),IF(COUNTIFS($D:$D,$D153,$A:$A,$A153,$B:$B,$B153,$G:$G,"CDU",$J:$J,"PLANNED")&gt;0,"tied","standalone"),"")</f>
        <v>standalone</v>
      </c>
    </row>
    <row r="154" spans="1:14">
      <c r="A154" s="6">
        <v>2023</v>
      </c>
      <c r="B154" s="6">
        <v>1</v>
      </c>
      <c r="C154" s="6" t="s">
        <v>60</v>
      </c>
      <c r="D154" s="6" t="s">
        <v>550</v>
      </c>
      <c r="E154" s="6" t="s">
        <v>438</v>
      </c>
      <c r="F154" s="6" t="str">
        <f>IF($M154="PADD I","PADD 1",IF($M154="PADD II","PADD 2",IF($M154="PADD III","PADD 3",IF($M154="PADD IV","PADD 4",IF($M154="PADD V","PADD 5","")))))</f>
        <v>PADD 2</v>
      </c>
      <c r="G154" s="6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6" t="s">
        <v>471</v>
      </c>
      <c r="I154" s="6" t="s">
        <v>589</v>
      </c>
      <c r="J154" s="6" t="s">
        <v>394</v>
      </c>
      <c r="K154" s="10">
        <v>11.825</v>
      </c>
      <c r="L154" s="10">
        <v>21.5</v>
      </c>
      <c r="M154" s="6" t="s">
        <v>425</v>
      </c>
      <c r="N154" s="6" t="str">
        <f>IF(OR($G154="FCC",$G154="Hydrocracker",$G154="Reformer"),IF(COUNTIFS($D:$D,$D154,$A:$A,$A154,$B:$B,$B154,$G:$G,"CDU",$J:$J,"PLANNED")&gt;0,"tied","standalone"),"")</f>
        <v>standalone</v>
      </c>
    </row>
    <row r="155" spans="1:14">
      <c r="A155" s="6">
        <v>2023</v>
      </c>
      <c r="B155" s="6">
        <v>1</v>
      </c>
      <c r="C155" s="6" t="s">
        <v>60</v>
      </c>
      <c r="D155" s="6" t="s">
        <v>445</v>
      </c>
      <c r="E155" s="6" t="s">
        <v>446</v>
      </c>
      <c r="F155" s="6" t="str">
        <f>IF($M155="PADD I","PADD 1",IF($M155="PADD II","PADD 2",IF($M155="PADD III","PADD 3",IF($M155="PADD IV","PADD 4",IF($M155="PADD V","PADD 5","")))))</f>
        <v>PADD 3</v>
      </c>
      <c r="G155" s="6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6" t="s">
        <v>471</v>
      </c>
      <c r="I155" s="6" t="s">
        <v>590</v>
      </c>
      <c r="J155" s="6" t="s">
        <v>394</v>
      </c>
      <c r="K155" s="10">
        <v>11.7</v>
      </c>
      <c r="L155" s="10">
        <v>45</v>
      </c>
      <c r="M155" s="6" t="s">
        <v>421</v>
      </c>
      <c r="N155" s="6" t="str">
        <f>IF(OR($G155="FCC",$G155="Hydrocracker",$G155="Reformer"),IF(COUNTIFS($D:$D,$D155,$A:$A,$A155,$B:$B,$B155,$G:$G,"CDU",$J:$J,"PLANNED")&gt;0,"tied","standalone"),"")</f>
        <v>standalone</v>
      </c>
    </row>
    <row r="156" spans="1:14">
      <c r="A156" s="6">
        <v>2023</v>
      </c>
      <c r="B156" s="6">
        <v>1</v>
      </c>
      <c r="C156" s="6" t="s">
        <v>60</v>
      </c>
      <c r="D156" s="6" t="s">
        <v>382</v>
      </c>
      <c r="E156" s="6" t="s">
        <v>431</v>
      </c>
      <c r="F156" s="6" t="str">
        <f>IF($M156="PADD I","PADD 1",IF($M156="PADD II","PADD 2",IF($M156="PADD III","PADD 3",IF($M156="PADD IV","PADD 4",IF($M156="PADD V","PADD 5","")))))</f>
        <v>PADD 3</v>
      </c>
      <c r="G156" s="6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6" t="s">
        <v>510</v>
      </c>
      <c r="I156" s="6" t="s">
        <v>591</v>
      </c>
      <c r="J156" s="6" t="s">
        <v>398</v>
      </c>
      <c r="K156" s="10">
        <v>11.36</v>
      </c>
      <c r="L156" s="10">
        <v>16</v>
      </c>
      <c r="M156" s="6" t="s">
        <v>421</v>
      </c>
      <c r="N156" s="6">
        <f>IF(OR($G156="FCC",$G156="Hydrocracker",$G156="Reformer"),IF(COUNTIFS($D:$D,$D156,$A:$A,$A156,$B:$B,$B156,$G:$G,"CDU",$J:$J,"PLANNED")&gt;0,"tied","standalone"),"")</f>
        <v/>
      </c>
    </row>
    <row r="157" spans="1:14">
      <c r="A157" s="6">
        <v>2023</v>
      </c>
      <c r="B157" s="6">
        <v>1</v>
      </c>
      <c r="C157" s="6" t="s">
        <v>60</v>
      </c>
      <c r="D157" s="6" t="s">
        <v>592</v>
      </c>
      <c r="E157" s="6" t="s">
        <v>593</v>
      </c>
      <c r="F157" s="6" t="str">
        <f>IF($M157="PADD I","PADD 1",IF($M157="PADD II","PADD 2",IF($M157="PADD III","PADD 3",IF($M157="PADD IV","PADD 4",IF($M157="PADD V","PADD 5","")))))</f>
        <v>PADD 2</v>
      </c>
      <c r="G157" s="6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6" t="s">
        <v>39</v>
      </c>
      <c r="I157" s="6" t="s">
        <v>594</v>
      </c>
      <c r="J157" s="6" t="s">
        <v>394</v>
      </c>
      <c r="K157" s="10">
        <v>11.2</v>
      </c>
      <c r="L157" s="10">
        <v>70</v>
      </c>
      <c r="M157" s="6" t="s">
        <v>425</v>
      </c>
      <c r="N157" s="6">
        <f>IF(OR($G157="FCC",$G157="Hydrocracker",$G157="Reformer"),IF(COUNTIFS($D:$D,$D157,$A:$A,$A157,$B:$B,$B157,$G:$G,"CDU",$J:$J,"PLANNED")&gt;0,"tied","standalone"),"")</f>
        <v/>
      </c>
    </row>
    <row r="158" spans="1:14">
      <c r="A158" s="6">
        <v>2023</v>
      </c>
      <c r="B158" s="6">
        <v>1</v>
      </c>
      <c r="C158" s="6" t="s">
        <v>60</v>
      </c>
      <c r="D158" s="6" t="s">
        <v>445</v>
      </c>
      <c r="E158" s="6" t="s">
        <v>446</v>
      </c>
      <c r="F158" s="6" t="str">
        <f>IF($M158="PADD I","PADD 1",IF($M158="PADD II","PADD 2",IF($M158="PADD III","PADD 3",IF($M158="PADD IV","PADD 4",IF($M158="PADD V","PADD 5","")))))</f>
        <v>PADD 3</v>
      </c>
      <c r="G158" s="6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6" t="s">
        <v>44</v>
      </c>
      <c r="I158" s="6" t="s">
        <v>595</v>
      </c>
      <c r="J158" s="6" t="s">
        <v>394</v>
      </c>
      <c r="K158" s="10">
        <v>11.18</v>
      </c>
      <c r="L158" s="10">
        <v>43</v>
      </c>
      <c r="M158" s="6" t="s">
        <v>421</v>
      </c>
      <c r="N158" s="6">
        <f>IF(OR($G158="FCC",$G158="Hydrocracker",$G158="Reformer"),IF(COUNTIFS($D:$D,$D158,$A:$A,$A158,$B:$B,$B158,$G:$G,"CDU",$J:$J,"PLANNED")&gt;0,"tied","standalone"),"")</f>
        <v/>
      </c>
    </row>
    <row r="159" spans="1:14">
      <c r="A159" s="6">
        <v>2023</v>
      </c>
      <c r="B159" s="6">
        <v>1</v>
      </c>
      <c r="C159" s="6" t="s">
        <v>60</v>
      </c>
      <c r="D159" s="6" t="s">
        <v>470</v>
      </c>
      <c r="E159" s="6" t="s">
        <v>423</v>
      </c>
      <c r="F159" s="6" t="str">
        <f>IF($M159="PADD I","PADD 1",IF($M159="PADD II","PADD 2",IF($M159="PADD III","PADD 3",IF($M159="PADD IV","PADD 4",IF($M159="PADD V","PADD 5","")))))</f>
        <v>PADD 2</v>
      </c>
      <c r="G159" s="6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6" t="s">
        <v>44</v>
      </c>
      <c r="I159" s="6" t="s">
        <v>596</v>
      </c>
      <c r="J159" s="6" t="s">
        <v>394</v>
      </c>
      <c r="K159" s="10">
        <v>11</v>
      </c>
      <c r="L159" s="10">
        <v>11</v>
      </c>
      <c r="M159" s="6" t="s">
        <v>425</v>
      </c>
      <c r="N159" s="6">
        <f>IF(OR($G159="FCC",$G159="Hydrocracker",$G159="Reformer"),IF(COUNTIFS($D:$D,$D159,$A:$A,$A159,$B:$B,$B159,$G:$G,"CDU",$J:$J,"PLANNED")&gt;0,"tied","standalone"),"")</f>
        <v/>
      </c>
    </row>
    <row r="160" spans="1:14">
      <c r="A160" s="6">
        <v>2023</v>
      </c>
      <c r="B160" s="6">
        <v>1</v>
      </c>
      <c r="C160" s="6" t="s">
        <v>60</v>
      </c>
      <c r="D160" s="6" t="s">
        <v>597</v>
      </c>
      <c r="E160" s="6" t="s">
        <v>441</v>
      </c>
      <c r="F160" s="6" t="str">
        <f>IF($M160="PADD I","PADD 1",IF($M160="PADD II","PADD 2",IF($M160="PADD III","PADD 3",IF($M160="PADD IV","PADD 4",IF($M160="PADD V","PADD 5","")))))</f>
        <v>PADD 5</v>
      </c>
      <c r="G160" s="6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6" t="s">
        <v>471</v>
      </c>
      <c r="I160" s="6" t="s">
        <v>598</v>
      </c>
      <c r="J160" s="6" t="s">
        <v>394</v>
      </c>
      <c r="K160" s="10">
        <v>10.92</v>
      </c>
      <c r="L160" s="10">
        <v>28</v>
      </c>
      <c r="M160" s="6" t="s">
        <v>436</v>
      </c>
      <c r="N160" s="6" t="str">
        <f>IF(OR($G160="FCC",$G160="Hydrocracker",$G160="Reformer"),IF(COUNTIFS($D:$D,$D160,$A:$A,$A160,$B:$B,$B160,$G:$G,"CDU",$J:$J,"PLANNED")&gt;0,"tied","standalone"),"")</f>
        <v>standalone</v>
      </c>
    </row>
    <row r="161" spans="1:14">
      <c r="A161" s="6">
        <v>2023</v>
      </c>
      <c r="B161" s="6">
        <v>1</v>
      </c>
      <c r="C161" s="6" t="s">
        <v>60</v>
      </c>
      <c r="D161" s="6" t="s">
        <v>445</v>
      </c>
      <c r="E161" s="6" t="s">
        <v>446</v>
      </c>
      <c r="F161" s="6" t="str">
        <f>IF($M161="PADD I","PADD 1",IF($M161="PADD II","PADD 2",IF($M161="PADD III","PADD 3",IF($M161="PADD IV","PADD 4",IF($M161="PADD V","PADD 5","")))))</f>
        <v>PADD 3</v>
      </c>
      <c r="G161" s="6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6" t="s">
        <v>44</v>
      </c>
      <c r="I161" s="6" t="s">
        <v>599</v>
      </c>
      <c r="J161" s="6" t="s">
        <v>394</v>
      </c>
      <c r="K161" s="10">
        <v>10.79</v>
      </c>
      <c r="L161" s="10">
        <v>41.5</v>
      </c>
      <c r="M161" s="6" t="s">
        <v>421</v>
      </c>
      <c r="N161" s="6">
        <f>IF(OR($G161="FCC",$G161="Hydrocracker",$G161="Reformer"),IF(COUNTIFS($D:$D,$D161,$A:$A,$A161,$B:$B,$B161,$G:$G,"CDU",$J:$J,"PLANNED")&gt;0,"tied","standalone"),"")</f>
        <v/>
      </c>
    </row>
    <row r="162" spans="1:14">
      <c r="A162" s="6">
        <v>2023</v>
      </c>
      <c r="B162" s="6">
        <v>1</v>
      </c>
      <c r="C162" s="6" t="s">
        <v>60</v>
      </c>
      <c r="D162" s="6" t="s">
        <v>445</v>
      </c>
      <c r="E162" s="6" t="s">
        <v>446</v>
      </c>
      <c r="F162" s="6" t="str">
        <f>IF($M162="PADD I","PADD 1",IF($M162="PADD II","PADD 2",IF($M162="PADD III","PADD 3",IF($M162="PADD IV","PADD 4",IF($M162="PADD V","PADD 5","")))))</f>
        <v>PADD 3</v>
      </c>
      <c r="G162" s="6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6" t="s">
        <v>44</v>
      </c>
      <c r="I162" s="6" t="s">
        <v>600</v>
      </c>
      <c r="J162" s="6" t="s">
        <v>394</v>
      </c>
      <c r="K162" s="10">
        <v>10.686</v>
      </c>
      <c r="L162" s="10">
        <v>41.1</v>
      </c>
      <c r="M162" s="6" t="s">
        <v>421</v>
      </c>
      <c r="N162" s="6">
        <f>IF(OR($G162="FCC",$G162="Hydrocracker",$G162="Reformer"),IF(COUNTIFS($D:$D,$D162,$A:$A,$A162,$B:$B,$B162,$G:$G,"CDU",$J:$J,"PLANNED")&gt;0,"tied","standalone"),"")</f>
        <v/>
      </c>
    </row>
    <row r="163" spans="1:14">
      <c r="A163" s="6">
        <v>2023</v>
      </c>
      <c r="B163" s="6">
        <v>1</v>
      </c>
      <c r="C163" s="6" t="s">
        <v>60</v>
      </c>
      <c r="D163" s="6" t="s">
        <v>445</v>
      </c>
      <c r="E163" s="6" t="s">
        <v>446</v>
      </c>
      <c r="F163" s="6" t="str">
        <f>IF($M163="PADD I","PADD 1",IF($M163="PADD II","PADD 2",IF($M163="PADD III","PADD 3",IF($M163="PADD IV","PADD 4",IF($M163="PADD V","PADD 5","")))))</f>
        <v>PADD 3</v>
      </c>
      <c r="G163" s="6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6" t="s">
        <v>44</v>
      </c>
      <c r="I163" s="6" t="s">
        <v>601</v>
      </c>
      <c r="J163" s="6" t="s">
        <v>394</v>
      </c>
      <c r="K163" s="10">
        <v>10.634</v>
      </c>
      <c r="L163" s="10">
        <v>40.9</v>
      </c>
      <c r="M163" s="6" t="s">
        <v>421</v>
      </c>
      <c r="N163" s="6">
        <f>IF(OR($G163="FCC",$G163="Hydrocracker",$G163="Reformer"),IF(COUNTIFS($D:$D,$D163,$A:$A,$A163,$B:$B,$B163,$G:$G,"CDU",$J:$J,"PLANNED")&gt;0,"tied","standalone"),"")</f>
        <v/>
      </c>
    </row>
    <row r="164" spans="1:14">
      <c r="A164" s="6">
        <v>2023</v>
      </c>
      <c r="B164" s="6">
        <v>1</v>
      </c>
      <c r="C164" s="6" t="s">
        <v>60</v>
      </c>
      <c r="D164" s="6" t="s">
        <v>383</v>
      </c>
      <c r="E164" s="6" t="s">
        <v>602</v>
      </c>
      <c r="F164" s="6" t="str">
        <f>IF($M164="PADD I","PADD 1",IF($M164="PADD II","PADD 2",IF($M164="PADD III","PADD 3",IF($M164="PADD IV","PADD 4",IF($M164="PADD V","PADD 5","")))))</f>
        <v>PADD 3</v>
      </c>
      <c r="G164" s="6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6" t="s">
        <v>39</v>
      </c>
      <c r="I164" s="6" t="s">
        <v>138</v>
      </c>
      <c r="J164" s="6" t="s">
        <v>394</v>
      </c>
      <c r="K164" s="10">
        <v>10.4</v>
      </c>
      <c r="L164" s="10">
        <v>80</v>
      </c>
      <c r="M164" s="6" t="s">
        <v>421</v>
      </c>
      <c r="N164" s="6">
        <f>IF(OR($G164="FCC",$G164="Hydrocracker",$G164="Reformer"),IF(COUNTIFS($D:$D,$D164,$A:$A,$A164,$B:$B,$B164,$G:$G,"CDU",$J:$J,"PLANNED")&gt;0,"tied","standalone"),"")</f>
        <v/>
      </c>
    </row>
    <row r="165" spans="1:14">
      <c r="A165" s="6">
        <v>2023</v>
      </c>
      <c r="B165" s="6">
        <v>1</v>
      </c>
      <c r="C165" s="6" t="s">
        <v>60</v>
      </c>
      <c r="D165" s="6" t="s">
        <v>568</v>
      </c>
      <c r="E165" s="6" t="s">
        <v>419</v>
      </c>
      <c r="F165" s="6" t="str">
        <f>IF($M165="PADD I","PADD 1",IF($M165="PADD II","PADD 2",IF($M165="PADD III","PADD 3",IF($M165="PADD IV","PADD 4",IF($M165="PADD V","PADD 5","")))))</f>
        <v>PADD 5</v>
      </c>
      <c r="G165" s="6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6" t="s">
        <v>39</v>
      </c>
      <c r="I165" s="6" t="s">
        <v>603</v>
      </c>
      <c r="J165" s="6" t="s">
        <v>394</v>
      </c>
      <c r="K165" s="10">
        <v>10.24</v>
      </c>
      <c r="L165" s="10">
        <v>32</v>
      </c>
      <c r="M165" s="6" t="s">
        <v>436</v>
      </c>
      <c r="N165" s="6">
        <f>IF(OR($G165="FCC",$G165="Hydrocracker",$G165="Reformer"),IF(COUNTIFS($D:$D,$D165,$A:$A,$A165,$B:$B,$B165,$G:$G,"CDU",$J:$J,"PLANNED")&gt;0,"tied","standalone"),"")</f>
        <v/>
      </c>
    </row>
    <row r="166" spans="1:14">
      <c r="A166" s="6">
        <v>2023</v>
      </c>
      <c r="B166" s="6">
        <v>1</v>
      </c>
      <c r="C166" s="6" t="s">
        <v>60</v>
      </c>
      <c r="D166" s="6" t="s">
        <v>445</v>
      </c>
      <c r="E166" s="6" t="s">
        <v>446</v>
      </c>
      <c r="F166" s="6" t="str">
        <f>IF($M166="PADD I","PADD 1",IF($M166="PADD II","PADD 2",IF($M166="PADD III","PADD 3",IF($M166="PADD IV","PADD 4",IF($M166="PADD V","PADD 5","")))))</f>
        <v>PADD 3</v>
      </c>
      <c r="G166" s="6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6" t="s">
        <v>44</v>
      </c>
      <c r="I166" s="6" t="s">
        <v>604</v>
      </c>
      <c r="J166" s="6" t="s">
        <v>394</v>
      </c>
      <c r="K166" s="10">
        <v>10.01</v>
      </c>
      <c r="L166" s="10">
        <v>38.5</v>
      </c>
      <c r="M166" s="6" t="s">
        <v>421</v>
      </c>
      <c r="N166" s="6">
        <f>IF(OR($G166="FCC",$G166="Hydrocracker",$G166="Reformer"),IF(COUNTIFS($D:$D,$D166,$A:$A,$A166,$B:$B,$B166,$G:$G,"CDU",$J:$J,"PLANNED")&gt;0,"tied","standalone"),"")</f>
        <v/>
      </c>
    </row>
    <row r="167" spans="1:14">
      <c r="A167" s="6">
        <v>2023</v>
      </c>
      <c r="B167" s="6">
        <v>1</v>
      </c>
      <c r="C167" s="6" t="s">
        <v>60</v>
      </c>
      <c r="D167" s="6" t="s">
        <v>512</v>
      </c>
      <c r="E167" s="6" t="s">
        <v>488</v>
      </c>
      <c r="F167" s="6" t="str">
        <f>IF($M167="PADD I","PADD 1",IF($M167="PADD II","PADD 2",IF($M167="PADD III","PADD 3",IF($M167="PADD IV","PADD 4",IF($M167="PADD V","PADD 5","")))))</f>
        <v>PADD 4</v>
      </c>
      <c r="G167" s="6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6" t="s">
        <v>428</v>
      </c>
      <c r="I167" s="6" t="s">
        <v>605</v>
      </c>
      <c r="J167" s="6" t="s">
        <v>394</v>
      </c>
      <c r="K167" s="10">
        <v>10</v>
      </c>
      <c r="L167" s="10">
        <v>10</v>
      </c>
      <c r="M167" s="6" t="s">
        <v>480</v>
      </c>
      <c r="N167" s="6">
        <f>IF(OR($G167="FCC",$G167="Hydrocracker",$G167="Reformer"),IF(COUNTIFS($D:$D,$D167,$A:$A,$A167,$B:$B,$B167,$G:$G,"CDU",$J:$J,"PLANNED")&gt;0,"tied","standalone"),"")</f>
        <v/>
      </c>
    </row>
    <row r="168" spans="1:14">
      <c r="A168" s="6">
        <v>2023</v>
      </c>
      <c r="B168" s="6">
        <v>1</v>
      </c>
      <c r="C168" s="6" t="s">
        <v>60</v>
      </c>
      <c r="D168" s="6" t="s">
        <v>487</v>
      </c>
      <c r="E168" s="6" t="s">
        <v>488</v>
      </c>
      <c r="F168" s="6" t="str">
        <f>IF($M168="PADD I","PADD 1",IF($M168="PADD II","PADD 2",IF($M168="PADD III","PADD 3",IF($M168="PADD IV","PADD 4",IF($M168="PADD V","PADD 5","")))))</f>
        <v>PADD 4</v>
      </c>
      <c r="G168" s="6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6" t="s">
        <v>428</v>
      </c>
      <c r="I168" s="6" t="s">
        <v>606</v>
      </c>
      <c r="J168" s="6" t="s">
        <v>394</v>
      </c>
      <c r="K168" s="10">
        <v>10</v>
      </c>
      <c r="L168" s="10">
        <v>10</v>
      </c>
      <c r="M168" s="6" t="s">
        <v>480</v>
      </c>
      <c r="N168" s="6">
        <f>IF(OR($G168="FCC",$G168="Hydrocracker",$G168="Reformer"),IF(COUNTIFS($D:$D,$D168,$A:$A,$A168,$B:$B,$B168,$G:$G,"CDU",$J:$J,"PLANNED")&gt;0,"tied","standalone"),"")</f>
        <v/>
      </c>
    </row>
    <row r="169" spans="1:14">
      <c r="A169" s="6">
        <v>2023</v>
      </c>
      <c r="B169" s="6">
        <v>1</v>
      </c>
      <c r="C169" s="6" t="s">
        <v>60</v>
      </c>
      <c r="D169" s="6" t="s">
        <v>487</v>
      </c>
      <c r="E169" s="6" t="s">
        <v>488</v>
      </c>
      <c r="F169" s="6" t="str">
        <f>IF($M169="PADD I","PADD 1",IF($M169="PADD II","PADD 2",IF($M169="PADD III","PADD 3",IF($M169="PADD IV","PADD 4",IF($M169="PADD V","PADD 5","")))))</f>
        <v>PADD 4</v>
      </c>
      <c r="G169" s="6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6" t="s">
        <v>471</v>
      </c>
      <c r="I169" s="6" t="s">
        <v>607</v>
      </c>
      <c r="J169" s="6" t="s">
        <v>394</v>
      </c>
      <c r="K169" s="10">
        <v>10</v>
      </c>
      <c r="L169" s="10">
        <v>10</v>
      </c>
      <c r="M169" s="6" t="s">
        <v>480</v>
      </c>
      <c r="N169" s="6" t="str">
        <f>IF(OR($G169="FCC",$G169="Hydrocracker",$G169="Reformer"),IF(COUNTIFS($D:$D,$D169,$A:$A,$A169,$B:$B,$B169,$G:$G,"CDU",$J:$J,"PLANNED")&gt;0,"tied","standalone"),"")</f>
        <v>standalone</v>
      </c>
    </row>
    <row r="170" spans="1:14">
      <c r="A170" s="6">
        <v>2023</v>
      </c>
      <c r="B170" s="6">
        <v>1</v>
      </c>
      <c r="C170" s="6" t="s">
        <v>60</v>
      </c>
      <c r="D170" s="6" t="s">
        <v>512</v>
      </c>
      <c r="E170" s="6" t="s">
        <v>488</v>
      </c>
      <c r="F170" s="6" t="str">
        <f>IF($M170="PADD I","PADD 1",IF($M170="PADD II","PADD 2",IF($M170="PADD III","PADD 3",IF($M170="PADD IV","PADD 4",IF($M170="PADD V","PADD 5","")))))</f>
        <v>PADD 4</v>
      </c>
      <c r="G170" s="6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6" t="s">
        <v>44</v>
      </c>
      <c r="I170" s="6" t="s">
        <v>543</v>
      </c>
      <c r="J170" s="6" t="s">
        <v>394</v>
      </c>
      <c r="K170" s="10">
        <v>10</v>
      </c>
      <c r="L170" s="10">
        <v>10</v>
      </c>
      <c r="M170" s="6" t="s">
        <v>480</v>
      </c>
      <c r="N170" s="6">
        <f>IF(OR($G170="FCC",$G170="Hydrocracker",$G170="Reformer"),IF(COUNTIFS($D:$D,$D170,$A:$A,$A170,$B:$B,$B170,$G:$G,"CDU",$J:$J,"PLANNED")&gt;0,"tied","standalone"),"")</f>
        <v/>
      </c>
    </row>
    <row r="171" spans="1:14">
      <c r="A171" s="6">
        <v>2023</v>
      </c>
      <c r="B171" s="6">
        <v>1</v>
      </c>
      <c r="C171" s="6" t="s">
        <v>60</v>
      </c>
      <c r="D171" s="6" t="s">
        <v>512</v>
      </c>
      <c r="E171" s="6" t="s">
        <v>488</v>
      </c>
      <c r="F171" s="6" t="str">
        <f>IF($M171="PADD I","PADD 1",IF($M171="PADD II","PADD 2",IF($M171="PADD III","PADD 3",IF($M171="PADD IV","PADD 4",IF($M171="PADD V","PADD 5","")))))</f>
        <v>PADD 4</v>
      </c>
      <c r="G171" s="6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6" t="s">
        <v>44</v>
      </c>
      <c r="I171" s="6" t="s">
        <v>608</v>
      </c>
      <c r="J171" s="6" t="s">
        <v>394</v>
      </c>
      <c r="K171" s="10">
        <v>10</v>
      </c>
      <c r="L171" s="10">
        <v>10</v>
      </c>
      <c r="M171" s="6" t="s">
        <v>480</v>
      </c>
      <c r="N171" s="6">
        <f>IF(OR($G171="FCC",$G171="Hydrocracker",$G171="Reformer"),IF(COUNTIFS($D:$D,$D171,$A:$A,$A171,$B:$B,$B171,$G:$G,"CDU",$J:$J,"PLANNED")&gt;0,"tied","standalone"),"")</f>
        <v/>
      </c>
    </row>
    <row r="172" spans="1:14">
      <c r="A172" s="6">
        <v>2023</v>
      </c>
      <c r="B172" s="6">
        <v>1</v>
      </c>
      <c r="C172" s="6" t="s">
        <v>60</v>
      </c>
      <c r="D172" s="6" t="s">
        <v>512</v>
      </c>
      <c r="E172" s="6" t="s">
        <v>488</v>
      </c>
      <c r="F172" s="6" t="str">
        <f>IF($M172="PADD I","PADD 1",IF($M172="PADD II","PADD 2",IF($M172="PADD III","PADD 3",IF($M172="PADD IV","PADD 4",IF($M172="PADD V","PADD 5","")))))</f>
        <v>PADD 4</v>
      </c>
      <c r="G172" s="6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6" t="s">
        <v>471</v>
      </c>
      <c r="I172" s="6" t="s">
        <v>609</v>
      </c>
      <c r="J172" s="6" t="s">
        <v>394</v>
      </c>
      <c r="K172" s="10">
        <v>10</v>
      </c>
      <c r="L172" s="10">
        <v>10</v>
      </c>
      <c r="M172" s="6" t="s">
        <v>480</v>
      </c>
      <c r="N172" s="6" t="str">
        <f>IF(OR($G172="FCC",$G172="Hydrocracker",$G172="Reformer"),IF(COUNTIFS($D:$D,$D172,$A:$A,$A172,$B:$B,$B172,$G:$G,"CDU",$J:$J,"PLANNED")&gt;0,"tied","standalone"),"")</f>
        <v>standalone</v>
      </c>
    </row>
    <row r="173" spans="1:14">
      <c r="A173" s="6">
        <v>2023</v>
      </c>
      <c r="B173" s="6">
        <v>1</v>
      </c>
      <c r="C173" s="6" t="s">
        <v>60</v>
      </c>
      <c r="D173" s="6" t="s">
        <v>540</v>
      </c>
      <c r="E173" s="6" t="s">
        <v>541</v>
      </c>
      <c r="F173" s="6" t="str">
        <f>IF($M173="PADD I","PADD 1",IF($M173="PADD II","PADD 2",IF($M173="PADD III","PADD 3",IF($M173="PADD IV","PADD 4",IF($M173="PADD V","PADD 5","")))))</f>
        <v>PADD 3</v>
      </c>
      <c r="G173" s="6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6" t="s">
        <v>428</v>
      </c>
      <c r="I173" s="6" t="s">
        <v>610</v>
      </c>
      <c r="J173" s="6" t="s">
        <v>394</v>
      </c>
      <c r="K173" s="10">
        <v>10</v>
      </c>
      <c r="L173" s="10">
        <v>100</v>
      </c>
      <c r="M173" s="6" t="s">
        <v>421</v>
      </c>
      <c r="N173" s="6">
        <f>IF(OR($G173="FCC",$G173="Hydrocracker",$G173="Reformer"),IF(COUNTIFS($D:$D,$D173,$A:$A,$A173,$B:$B,$B173,$G:$G,"CDU",$J:$J,"PLANNED")&gt;0,"tied","standalone"),"")</f>
        <v/>
      </c>
    </row>
    <row r="174" spans="1:14">
      <c r="A174" s="6">
        <v>2023</v>
      </c>
      <c r="B174" s="6">
        <v>1</v>
      </c>
      <c r="C174" s="6" t="s">
        <v>60</v>
      </c>
      <c r="D174" s="6" t="s">
        <v>518</v>
      </c>
      <c r="E174" s="6" t="s">
        <v>419</v>
      </c>
      <c r="F174" s="6" t="str">
        <f>IF($M174="PADD I","PADD 1",IF($M174="PADD II","PADD 2",IF($M174="PADD III","PADD 3",IF($M174="PADD IV","PADD 4",IF($M174="PADD V","PADD 5","")))))</f>
        <v>PADD 3</v>
      </c>
      <c r="G174" s="6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6" t="s">
        <v>39</v>
      </c>
      <c r="I174" s="6" t="s">
        <v>611</v>
      </c>
      <c r="J174" s="6" t="s">
        <v>394</v>
      </c>
      <c r="K174" s="10">
        <v>9.84</v>
      </c>
      <c r="L174" s="10">
        <v>20.5</v>
      </c>
      <c r="M174" s="6" t="s">
        <v>421</v>
      </c>
      <c r="N174" s="6">
        <f>IF(OR($G174="FCC",$G174="Hydrocracker",$G174="Reformer"),IF(COUNTIFS($D:$D,$D174,$A:$A,$A174,$B:$B,$B174,$G:$G,"CDU",$J:$J,"PLANNED")&gt;0,"tied","standalone"),"")</f>
        <v/>
      </c>
    </row>
    <row r="175" spans="1:14">
      <c r="A175" s="6">
        <v>2023</v>
      </c>
      <c r="B175" s="6">
        <v>1</v>
      </c>
      <c r="C175" s="6" t="s">
        <v>60</v>
      </c>
      <c r="D175" s="6" t="s">
        <v>378</v>
      </c>
      <c r="E175" s="6" t="s">
        <v>477</v>
      </c>
      <c r="F175" s="6" t="str">
        <f>IF($M175="PADD I","PADD 1",IF($M175="PADD II","PADD 2",IF($M175="PADD III","PADD 3",IF($M175="PADD IV","PADD 4",IF($M175="PADD V","PADD 5","")))))</f>
        <v>PADD 3</v>
      </c>
      <c r="G175" s="6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6" t="s">
        <v>44</v>
      </c>
      <c r="I175" s="6" t="s">
        <v>612</v>
      </c>
      <c r="J175" s="6" t="s">
        <v>394</v>
      </c>
      <c r="K175" s="10">
        <v>9.449999999999999</v>
      </c>
      <c r="L175" s="10">
        <v>27</v>
      </c>
      <c r="M175" s="6" t="s">
        <v>421</v>
      </c>
      <c r="N175" s="6">
        <f>IF(OR($G175="FCC",$G175="Hydrocracker",$G175="Reformer"),IF(COUNTIFS($D:$D,$D175,$A:$A,$A175,$B:$B,$B175,$G:$G,"CDU",$J:$J,"PLANNED")&gt;0,"tied","standalone"),"")</f>
        <v/>
      </c>
    </row>
    <row r="176" spans="1:14">
      <c r="A176" s="6">
        <v>2023</v>
      </c>
      <c r="B176" s="6">
        <v>1</v>
      </c>
      <c r="C176" s="6" t="s">
        <v>60</v>
      </c>
      <c r="D176" s="6" t="s">
        <v>613</v>
      </c>
      <c r="E176" s="6" t="s">
        <v>446</v>
      </c>
      <c r="F176" s="6" t="str">
        <f>IF($M176="PADD I","PADD 1",IF($M176="PADD II","PADD 2",IF($M176="PADD III","PADD 3",IF($M176="PADD IV","PADD 4",IF($M176="PADD V","PADD 5","")))))</f>
        <v>PADD 3</v>
      </c>
      <c r="G176" s="6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6" t="s">
        <v>44</v>
      </c>
      <c r="I176" s="6" t="s">
        <v>614</v>
      </c>
      <c r="J176" s="6" t="s">
        <v>394</v>
      </c>
      <c r="K176" s="10">
        <v>9.407</v>
      </c>
      <c r="L176" s="10">
        <v>40.9</v>
      </c>
      <c r="M176" s="6" t="s">
        <v>421</v>
      </c>
      <c r="N176" s="6">
        <f>IF(OR($G176="FCC",$G176="Hydrocracker",$G176="Reformer"),IF(COUNTIFS($D:$D,$D176,$A:$A,$A176,$B:$B,$B176,$G:$G,"CDU",$J:$J,"PLANNED")&gt;0,"tied","standalone"),"")</f>
        <v/>
      </c>
    </row>
    <row r="177" spans="1:14">
      <c r="A177" s="6">
        <v>2023</v>
      </c>
      <c r="B177" s="6">
        <v>1</v>
      </c>
      <c r="C177" s="6" t="s">
        <v>60</v>
      </c>
      <c r="D177" s="6" t="s">
        <v>487</v>
      </c>
      <c r="E177" s="6" t="s">
        <v>488</v>
      </c>
      <c r="F177" s="6" t="str">
        <f>IF($M177="PADD I","PADD 1",IF($M177="PADD II","PADD 2",IF($M177="PADD III","PADD 3",IF($M177="PADD IV","PADD 4",IF($M177="PADD V","PADD 5","")))))</f>
        <v>PADD 4</v>
      </c>
      <c r="G177" s="6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6" t="s">
        <v>426</v>
      </c>
      <c r="I177" s="6" t="s">
        <v>478</v>
      </c>
      <c r="J177" s="6" t="s">
        <v>394</v>
      </c>
      <c r="K177" s="10">
        <v>9.300000000000001</v>
      </c>
      <c r="L177" s="10">
        <v>9.300000000000001</v>
      </c>
      <c r="M177" s="6" t="s">
        <v>480</v>
      </c>
      <c r="N177" s="6" t="str">
        <f>IF(OR($G177="FCC",$G177="Hydrocracker",$G177="Reformer"),IF(COUNTIFS($D:$D,$D177,$A:$A,$A177,$B:$B,$B177,$G:$G,"CDU",$J:$J,"PLANNED")&gt;0,"tied","standalone"),"")</f>
        <v>standalone</v>
      </c>
    </row>
    <row r="178" spans="1:14">
      <c r="A178" s="6">
        <v>2023</v>
      </c>
      <c r="B178" s="6">
        <v>1</v>
      </c>
      <c r="C178" s="6" t="s">
        <v>60</v>
      </c>
      <c r="D178" s="6" t="s">
        <v>568</v>
      </c>
      <c r="E178" s="6" t="s">
        <v>419</v>
      </c>
      <c r="F178" s="6" t="str">
        <f>IF($M178="PADD I","PADD 1",IF($M178="PADD II","PADD 2",IF($M178="PADD III","PADD 3",IF($M178="PADD IV","PADD 4",IF($M178="PADD V","PADD 5","")))))</f>
        <v>PADD 5</v>
      </c>
      <c r="G178" s="6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6" t="s">
        <v>39</v>
      </c>
      <c r="I178" s="6" t="s">
        <v>603</v>
      </c>
      <c r="J178" s="6" t="s">
        <v>394</v>
      </c>
      <c r="K178" s="10">
        <v>9.279999999999999</v>
      </c>
      <c r="L178" s="10">
        <v>32</v>
      </c>
      <c r="M178" s="6" t="s">
        <v>436</v>
      </c>
      <c r="N178" s="6">
        <f>IF(OR($G178="FCC",$G178="Hydrocracker",$G178="Reformer"),IF(COUNTIFS($D:$D,$D178,$A:$A,$A178,$B:$B,$B178,$G:$G,"CDU",$J:$J,"PLANNED")&gt;0,"tied","standalone"),"")</f>
        <v/>
      </c>
    </row>
    <row r="179" spans="1:14">
      <c r="A179" s="6">
        <v>2023</v>
      </c>
      <c r="B179" s="6">
        <v>1</v>
      </c>
      <c r="C179" s="6" t="s">
        <v>60</v>
      </c>
      <c r="D179" s="6" t="s">
        <v>518</v>
      </c>
      <c r="E179" s="6" t="s">
        <v>419</v>
      </c>
      <c r="F179" s="6" t="str">
        <f>IF($M179="PADD I","PADD 1",IF($M179="PADD II","PADD 2",IF($M179="PADD III","PADD 3",IF($M179="PADD IV","PADD 4",IF($M179="PADD V","PADD 5","")))))</f>
        <v>PADD 3</v>
      </c>
      <c r="G179" s="6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6" t="s">
        <v>39</v>
      </c>
      <c r="I179" s="6" t="s">
        <v>615</v>
      </c>
      <c r="J179" s="6" t="s">
        <v>394</v>
      </c>
      <c r="K179" s="10">
        <v>8.880000000000001</v>
      </c>
      <c r="L179" s="10">
        <v>18.5</v>
      </c>
      <c r="M179" s="6" t="s">
        <v>421</v>
      </c>
      <c r="N179" s="6">
        <f>IF(OR($G179="FCC",$G179="Hydrocracker",$G179="Reformer"),IF(COUNTIFS($D:$D,$D179,$A:$A,$A179,$B:$B,$B179,$G:$G,"CDU",$J:$J,"PLANNED")&gt;0,"tied","standalone"),"")</f>
        <v/>
      </c>
    </row>
    <row r="180" spans="1:14">
      <c r="A180" s="6">
        <v>2023</v>
      </c>
      <c r="B180" s="6">
        <v>1</v>
      </c>
      <c r="C180" s="6" t="s">
        <v>60</v>
      </c>
      <c r="D180" s="6" t="s">
        <v>568</v>
      </c>
      <c r="E180" s="6" t="s">
        <v>419</v>
      </c>
      <c r="F180" s="6" t="str">
        <f>IF($M180="PADD I","PADD 1",IF($M180="PADD II","PADD 2",IF($M180="PADD III","PADD 3",IF($M180="PADD IV","PADD 4",IF($M180="PADD V","PADD 5","")))))</f>
        <v>PADD 5</v>
      </c>
      <c r="G180" s="6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6" t="s">
        <v>428</v>
      </c>
      <c r="I180" s="6" t="s">
        <v>481</v>
      </c>
      <c r="J180" s="6" t="s">
        <v>394</v>
      </c>
      <c r="K180" s="10">
        <v>8.699999999999999</v>
      </c>
      <c r="L180" s="10">
        <v>30</v>
      </c>
      <c r="M180" s="6" t="s">
        <v>436</v>
      </c>
      <c r="N180" s="6">
        <f>IF(OR($G180="FCC",$G180="Hydrocracker",$G180="Reformer"),IF(COUNTIFS($D:$D,$D180,$A:$A,$A180,$B:$B,$B180,$G:$G,"CDU",$J:$J,"PLANNED")&gt;0,"tied","standalone"),"")</f>
        <v/>
      </c>
    </row>
    <row r="181" spans="1:14">
      <c r="A181" s="6">
        <v>2023</v>
      </c>
      <c r="B181" s="6">
        <v>1</v>
      </c>
      <c r="C181" s="6" t="s">
        <v>60</v>
      </c>
      <c r="D181" s="6" t="s">
        <v>461</v>
      </c>
      <c r="E181" s="6" t="s">
        <v>419</v>
      </c>
      <c r="F181" s="6" t="str">
        <f>IF($M181="PADD I","PADD 1",IF($M181="PADD II","PADD 2",IF($M181="PADD III","PADD 3",IF($M181="PADD IV","PADD 4",IF($M181="PADD V","PADD 5","")))))</f>
        <v>PADD 1</v>
      </c>
      <c r="G181" s="6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6" t="s">
        <v>510</v>
      </c>
      <c r="I181" s="6" t="s">
        <v>616</v>
      </c>
      <c r="J181" s="6" t="s">
        <v>398</v>
      </c>
      <c r="K181" s="10">
        <v>8.58</v>
      </c>
      <c r="L181" s="10">
        <v>22</v>
      </c>
      <c r="M181" s="6" t="s">
        <v>463</v>
      </c>
      <c r="N181" s="6">
        <f>IF(OR($G181="FCC",$G181="Hydrocracker",$G181="Reformer"),IF(COUNTIFS($D:$D,$D181,$A:$A,$A181,$B:$B,$B181,$G:$G,"CDU",$J:$J,"PLANNED")&gt;0,"tied","standalone"),"")</f>
        <v/>
      </c>
    </row>
    <row r="182" spans="1:14">
      <c r="A182" s="6">
        <v>2023</v>
      </c>
      <c r="B182" s="6">
        <v>1</v>
      </c>
      <c r="C182" s="6" t="s">
        <v>60</v>
      </c>
      <c r="D182" s="6" t="s">
        <v>487</v>
      </c>
      <c r="E182" s="6" t="s">
        <v>488</v>
      </c>
      <c r="F182" s="6" t="str">
        <f>IF($M182="PADD I","PADD 1",IF($M182="PADD II","PADD 2",IF($M182="PADD III","PADD 3",IF($M182="PADD IV","PADD 4",IF($M182="PADD V","PADD 5","")))))</f>
        <v>PADD 4</v>
      </c>
      <c r="G182" s="6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6" t="s">
        <v>426</v>
      </c>
      <c r="I182" s="6" t="s">
        <v>478</v>
      </c>
      <c r="J182" s="6" t="s">
        <v>394</v>
      </c>
      <c r="K182" s="10">
        <v>8.5</v>
      </c>
      <c r="L182" s="10">
        <v>8.5</v>
      </c>
      <c r="M182" s="6" t="s">
        <v>480</v>
      </c>
      <c r="N182" s="6" t="str">
        <f>IF(OR($G182="FCC",$G182="Hydrocracker",$G182="Reformer"),IF(COUNTIFS($D:$D,$D182,$A:$A,$A182,$B:$B,$B182,$G:$G,"CDU",$J:$J,"PLANNED")&gt;0,"tied","standalone"),"")</f>
        <v>standalone</v>
      </c>
    </row>
    <row r="183" spans="1:14">
      <c r="A183" s="6">
        <v>2023</v>
      </c>
      <c r="B183" s="6">
        <v>1</v>
      </c>
      <c r="C183" s="6" t="s">
        <v>60</v>
      </c>
      <c r="D183" s="6" t="s">
        <v>581</v>
      </c>
      <c r="E183" s="6" t="s">
        <v>582</v>
      </c>
      <c r="F183" s="6" t="str">
        <f>IF($M183="PADD I","PADD 1",IF($M183="PADD II","PADD 2",IF($M183="PADD III","PADD 3",IF($M183="PADD IV","PADD 4",IF($M183="PADD V","PADD 5","")))))</f>
        <v>PADD 5</v>
      </c>
      <c r="G183" s="6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6" t="s">
        <v>44</v>
      </c>
      <c r="I183" s="6" t="s">
        <v>617</v>
      </c>
      <c r="J183" s="6" t="s">
        <v>394</v>
      </c>
      <c r="K183" s="10">
        <v>8.4</v>
      </c>
      <c r="L183" s="10">
        <v>52.5</v>
      </c>
      <c r="M183" s="6" t="s">
        <v>436</v>
      </c>
      <c r="N183" s="6">
        <f>IF(OR($G183="FCC",$G183="Hydrocracker",$G183="Reformer"),IF(COUNTIFS($D:$D,$D183,$A:$A,$A183,$B:$B,$B183,$G:$G,"CDU",$J:$J,"PLANNED")&gt;0,"tied","standalone"),"")</f>
        <v/>
      </c>
    </row>
    <row r="184" spans="1:14">
      <c r="A184" s="6">
        <v>2023</v>
      </c>
      <c r="B184" s="6">
        <v>1</v>
      </c>
      <c r="C184" s="6" t="s">
        <v>60</v>
      </c>
      <c r="D184" s="6" t="s">
        <v>487</v>
      </c>
      <c r="E184" s="6" t="s">
        <v>488</v>
      </c>
      <c r="F184" s="6" t="str">
        <f>IF($M184="PADD I","PADD 1",IF($M184="PADD II","PADD 2",IF($M184="PADD III","PADD 3",IF($M184="PADD IV","PADD 4",IF($M184="PADD V","PADD 5","")))))</f>
        <v>PADD 4</v>
      </c>
      <c r="G184" s="6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6" t="s">
        <v>428</v>
      </c>
      <c r="I184" s="6" t="s">
        <v>606</v>
      </c>
      <c r="J184" s="6" t="s">
        <v>394</v>
      </c>
      <c r="K184" s="10">
        <v>8.380000000000001</v>
      </c>
      <c r="L184" s="10">
        <v>8.380000000000001</v>
      </c>
      <c r="M184" s="6" t="s">
        <v>480</v>
      </c>
      <c r="N184" s="6">
        <f>IF(OR($G184="FCC",$G184="Hydrocracker",$G184="Reformer"),IF(COUNTIFS($D:$D,$D184,$A:$A,$A184,$B:$B,$B184,$G:$G,"CDU",$J:$J,"PLANNED")&gt;0,"tied","standalone"),"")</f>
        <v/>
      </c>
    </row>
    <row r="185" spans="1:14">
      <c r="A185" s="6">
        <v>2023</v>
      </c>
      <c r="B185" s="6">
        <v>1</v>
      </c>
      <c r="C185" s="6" t="s">
        <v>60</v>
      </c>
      <c r="D185" s="6" t="s">
        <v>458</v>
      </c>
      <c r="E185" s="6" t="s">
        <v>459</v>
      </c>
      <c r="F185" s="6" t="str">
        <f>IF($M185="PADD I","PADD 1",IF($M185="PADD II","PADD 2",IF($M185="PADD III","PADD 3",IF($M185="PADD IV","PADD 4",IF($M185="PADD V","PADD 5","")))))</f>
        <v>PADD 3</v>
      </c>
      <c r="G185" s="6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6" t="s">
        <v>618</v>
      </c>
      <c r="I185" s="6" t="s">
        <v>619</v>
      </c>
      <c r="J185" s="6" t="s">
        <v>394</v>
      </c>
      <c r="K185" s="10">
        <v>8.234999999999999</v>
      </c>
      <c r="L185" s="10">
        <v>13.5</v>
      </c>
      <c r="M185" s="6" t="s">
        <v>421</v>
      </c>
      <c r="N185" s="6">
        <f>IF(OR($G185="FCC",$G185="Hydrocracker",$G185="Reformer"),IF(COUNTIFS($D:$D,$D185,$A:$A,$A185,$B:$B,$B185,$G:$G,"CDU",$J:$J,"PLANNED")&gt;0,"tied","standalone"),"")</f>
        <v/>
      </c>
    </row>
    <row r="186" spans="1:14">
      <c r="A186" s="6">
        <v>2023</v>
      </c>
      <c r="B186" s="6">
        <v>1</v>
      </c>
      <c r="C186" s="6" t="s">
        <v>60</v>
      </c>
      <c r="D186" s="6" t="s">
        <v>568</v>
      </c>
      <c r="E186" s="6" t="s">
        <v>419</v>
      </c>
      <c r="F186" s="6" t="str">
        <f>IF($M186="PADD I","PADD 1",IF($M186="PADD II","PADD 2",IF($M186="PADD III","PADD 3",IF($M186="PADD IV","PADD 4",IF($M186="PADD V","PADD 5","")))))</f>
        <v>PADD 5</v>
      </c>
      <c r="G186" s="6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6" t="s">
        <v>44</v>
      </c>
      <c r="I186" s="6" t="s">
        <v>620</v>
      </c>
      <c r="J186" s="6" t="s">
        <v>394</v>
      </c>
      <c r="K186" s="10">
        <v>8.119999999999999</v>
      </c>
      <c r="L186" s="10">
        <v>28</v>
      </c>
      <c r="M186" s="6" t="s">
        <v>436</v>
      </c>
      <c r="N186" s="6">
        <f>IF(OR($G186="FCC",$G186="Hydrocracker",$G186="Reformer"),IF(COUNTIFS($D:$D,$D186,$A:$A,$A186,$B:$B,$B186,$G:$G,"CDU",$J:$J,"PLANNED")&gt;0,"tied","standalone"),"")</f>
        <v/>
      </c>
    </row>
    <row r="187" spans="1:14">
      <c r="A187" s="6">
        <v>2023</v>
      </c>
      <c r="B187" s="6">
        <v>1</v>
      </c>
      <c r="C187" s="6" t="s">
        <v>60</v>
      </c>
      <c r="D187" s="6" t="s">
        <v>581</v>
      </c>
      <c r="E187" s="6" t="s">
        <v>582</v>
      </c>
      <c r="F187" s="6" t="str">
        <f>IF($M187="PADD I","PADD 1",IF($M187="PADD II","PADD 2",IF($M187="PADD III","PADD 3",IF($M187="PADD IV","PADD 4",IF($M187="PADD V","PADD 5","")))))</f>
        <v>PADD 5</v>
      </c>
      <c r="G187" s="6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6" t="s">
        <v>426</v>
      </c>
      <c r="I187" s="6" t="s">
        <v>106</v>
      </c>
      <c r="J187" s="6" t="s">
        <v>394</v>
      </c>
      <c r="K187" s="10">
        <v>8</v>
      </c>
      <c r="L187" s="10">
        <v>50</v>
      </c>
      <c r="M187" s="6" t="s">
        <v>436</v>
      </c>
      <c r="N187" s="6" t="str">
        <f>IF(OR($G187="FCC",$G187="Hydrocracker",$G187="Reformer"),IF(COUNTIFS($D:$D,$D187,$A:$A,$A187,$B:$B,$B187,$G:$G,"CDU",$J:$J,"PLANNED")&gt;0,"tied","standalone"),"")</f>
        <v>standalone</v>
      </c>
    </row>
    <row r="188" spans="1:14">
      <c r="A188" s="6">
        <v>2023</v>
      </c>
      <c r="B188" s="6">
        <v>1</v>
      </c>
      <c r="C188" s="6" t="s">
        <v>60</v>
      </c>
      <c r="D188" s="6" t="s">
        <v>470</v>
      </c>
      <c r="E188" s="6" t="s">
        <v>423</v>
      </c>
      <c r="F188" s="6" t="str">
        <f>IF($M188="PADD I","PADD 1",IF($M188="PADD II","PADD 2",IF($M188="PADD III","PADD 3",IF($M188="PADD IV","PADD 4",IF($M188="PADD V","PADD 5","")))))</f>
        <v>PADD 2</v>
      </c>
      <c r="G188" s="6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6" t="s">
        <v>471</v>
      </c>
      <c r="I188" s="6" t="s">
        <v>621</v>
      </c>
      <c r="J188" s="6" t="s">
        <v>394</v>
      </c>
      <c r="K188" s="10">
        <v>8</v>
      </c>
      <c r="L188" s="10">
        <v>8</v>
      </c>
      <c r="M188" s="6" t="s">
        <v>425</v>
      </c>
      <c r="N188" s="6" t="str">
        <f>IF(OR($G188="FCC",$G188="Hydrocracker",$G188="Reformer"),IF(COUNTIFS($D:$D,$D188,$A:$A,$A188,$B:$B,$B188,$G:$G,"CDU",$J:$J,"PLANNED")&gt;0,"tied","standalone"),"")</f>
        <v>standalone</v>
      </c>
    </row>
    <row r="189" spans="1:14">
      <c r="A189" s="6">
        <v>2023</v>
      </c>
      <c r="B189" s="6">
        <v>1</v>
      </c>
      <c r="C189" s="6" t="s">
        <v>60</v>
      </c>
      <c r="D189" s="6" t="s">
        <v>622</v>
      </c>
      <c r="E189" s="6" t="s">
        <v>623</v>
      </c>
      <c r="F189" s="6" t="str">
        <f>IF($M189="PADD I","PADD 1",IF($M189="PADD II","PADD 2",IF($M189="PADD III","PADD 3",IF($M189="PADD IV","PADD 4",IF($M189="PADD V","PADD 5","")))))</f>
        <v>PADD 3</v>
      </c>
      <c r="G189" s="6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6" t="s">
        <v>39</v>
      </c>
      <c r="I189" s="6" t="s">
        <v>624</v>
      </c>
      <c r="J189" s="6" t="s">
        <v>394</v>
      </c>
      <c r="K189" s="10">
        <v>8</v>
      </c>
      <c r="L189" s="10">
        <v>50</v>
      </c>
      <c r="M189" s="6" t="s">
        <v>421</v>
      </c>
      <c r="N189" s="6">
        <f>IF(OR($G189="FCC",$G189="Hydrocracker",$G189="Reformer"),IF(COUNTIFS($D:$D,$D189,$A:$A,$A189,$B:$B,$B189,$G:$G,"CDU",$J:$J,"PLANNED")&gt;0,"tied","standalone"),"")</f>
        <v/>
      </c>
    </row>
    <row r="190" spans="1:14">
      <c r="A190" s="6">
        <v>2023</v>
      </c>
      <c r="B190" s="6">
        <v>1</v>
      </c>
      <c r="C190" s="6" t="s">
        <v>60</v>
      </c>
      <c r="D190" s="6" t="s">
        <v>581</v>
      </c>
      <c r="E190" s="6" t="s">
        <v>582</v>
      </c>
      <c r="F190" s="6" t="str">
        <f>IF($M190="PADD I","PADD 1",IF($M190="PADD II","PADD 2",IF($M190="PADD III","PADD 3",IF($M190="PADD IV","PADD 4",IF($M190="PADD V","PADD 5","")))))</f>
        <v>PADD 5</v>
      </c>
      <c r="G190" s="6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6" t="s">
        <v>428</v>
      </c>
      <c r="I190" s="6" t="s">
        <v>429</v>
      </c>
      <c r="J190" s="6" t="s">
        <v>394</v>
      </c>
      <c r="K190" s="10">
        <v>7.84</v>
      </c>
      <c r="L190" s="10">
        <v>49</v>
      </c>
      <c r="M190" s="6" t="s">
        <v>436</v>
      </c>
      <c r="N190" s="6">
        <f>IF(OR($G190="FCC",$G190="Hydrocracker",$G190="Reformer"),IF(COUNTIFS($D:$D,$D190,$A:$A,$A190,$B:$B,$B190,$G:$G,"CDU",$J:$J,"PLANNED")&gt;0,"tied","standalone"),"")</f>
        <v/>
      </c>
    </row>
    <row r="191" spans="1:14">
      <c r="A191" s="6">
        <v>2023</v>
      </c>
      <c r="B191" s="6">
        <v>1</v>
      </c>
      <c r="C191" s="6" t="s">
        <v>60</v>
      </c>
      <c r="D191" s="6" t="s">
        <v>445</v>
      </c>
      <c r="E191" s="6" t="s">
        <v>446</v>
      </c>
      <c r="F191" s="6" t="str">
        <f>IF($M191="PADD I","PADD 1",IF($M191="PADD II","PADD 2",IF($M191="PADD III","PADD 3",IF($M191="PADD IV","PADD 4",IF($M191="PADD V","PADD 5","")))))</f>
        <v>PADD 3</v>
      </c>
      <c r="G191" s="6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6" t="s">
        <v>428</v>
      </c>
      <c r="I191" s="6" t="s">
        <v>625</v>
      </c>
      <c r="J191" s="6" t="s">
        <v>394</v>
      </c>
      <c r="K191" s="10">
        <v>7.8</v>
      </c>
      <c r="L191" s="10">
        <v>30</v>
      </c>
      <c r="M191" s="6" t="s">
        <v>421</v>
      </c>
      <c r="N191" s="6">
        <f>IF(OR($G191="FCC",$G191="Hydrocracker",$G191="Reformer"),IF(COUNTIFS($D:$D,$D191,$A:$A,$A191,$B:$B,$B191,$G:$G,"CDU",$J:$J,"PLANNED")&gt;0,"tied","standalone"),"")</f>
        <v/>
      </c>
    </row>
    <row r="192" spans="1:14">
      <c r="A192" s="6">
        <v>2023</v>
      </c>
      <c r="B192" s="6">
        <v>1</v>
      </c>
      <c r="C192" s="6" t="s">
        <v>60</v>
      </c>
      <c r="D192" s="6" t="s">
        <v>626</v>
      </c>
      <c r="E192" s="6" t="s">
        <v>419</v>
      </c>
      <c r="F192" s="6" t="str">
        <f>IF($M192="PADD I","PADD 1",IF($M192="PADD II","PADD 2",IF($M192="PADD III","PADD 3",IF($M192="PADD IV","PADD 4",IF($M192="PADD V","PADD 5","")))))</f>
        <v>PADD 3</v>
      </c>
      <c r="G192" s="6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6" t="s">
        <v>471</v>
      </c>
      <c r="I192" s="6" t="s">
        <v>533</v>
      </c>
      <c r="J192" s="6" t="s">
        <v>394</v>
      </c>
      <c r="K192" s="10">
        <v>7.8</v>
      </c>
      <c r="L192" s="10">
        <v>12</v>
      </c>
      <c r="M192" s="6" t="s">
        <v>421</v>
      </c>
      <c r="N192" s="6" t="str">
        <f>IF(OR($G192="FCC",$G192="Hydrocracker",$G192="Reformer"),IF(COUNTIFS($D:$D,$D192,$A:$A,$A192,$B:$B,$B192,$G:$G,"CDU",$J:$J,"PLANNED")&gt;0,"tied","standalone"),"")</f>
        <v>standalone</v>
      </c>
    </row>
    <row r="193" spans="1:14">
      <c r="A193" s="6">
        <v>2023</v>
      </c>
      <c r="B193" s="6">
        <v>1</v>
      </c>
      <c r="C193" s="6" t="s">
        <v>60</v>
      </c>
      <c r="D193" s="6" t="s">
        <v>452</v>
      </c>
      <c r="E193" s="6" t="s">
        <v>453</v>
      </c>
      <c r="F193" s="6" t="str">
        <f>IF($M193="PADD I","PADD 1",IF($M193="PADD II","PADD 2",IF($M193="PADD III","PADD 3",IF($M193="PADD IV","PADD 4",IF($M193="PADD V","PADD 5","")))))</f>
        <v>PADD 3</v>
      </c>
      <c r="G193" s="6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6" t="s">
        <v>485</v>
      </c>
      <c r="I193" s="6" t="s">
        <v>491</v>
      </c>
      <c r="J193" s="6" t="s">
        <v>398</v>
      </c>
      <c r="K193" s="10">
        <v>7.7</v>
      </c>
      <c r="L193" s="10">
        <v>10</v>
      </c>
      <c r="M193" s="6" t="s">
        <v>421</v>
      </c>
      <c r="N193" s="6">
        <f>IF(OR($G193="FCC",$G193="Hydrocracker",$G193="Reformer"),IF(COUNTIFS($D:$D,$D193,$A:$A,$A193,$B:$B,$B193,$G:$G,"CDU",$J:$J,"PLANNED")&gt;0,"tied","standalone"),"")</f>
        <v/>
      </c>
    </row>
    <row r="194" spans="1:14">
      <c r="A194" s="6">
        <v>2023</v>
      </c>
      <c r="B194" s="6">
        <v>1</v>
      </c>
      <c r="C194" s="6" t="s">
        <v>60</v>
      </c>
      <c r="D194" s="6" t="s">
        <v>470</v>
      </c>
      <c r="E194" s="6" t="s">
        <v>423</v>
      </c>
      <c r="F194" s="6" t="str">
        <f>IF($M194="PADD I","PADD 1",IF($M194="PADD II","PADD 2",IF($M194="PADD III","PADD 3",IF($M194="PADD IV","PADD 4",IF($M194="PADD V","PADD 5","")))))</f>
        <v>PADD 2</v>
      </c>
      <c r="G194" s="6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6" t="s">
        <v>44</v>
      </c>
      <c r="I194" s="6" t="s">
        <v>627</v>
      </c>
      <c r="J194" s="6" t="s">
        <v>394</v>
      </c>
      <c r="K194" s="10">
        <v>7.7</v>
      </c>
      <c r="L194" s="10">
        <v>7.7</v>
      </c>
      <c r="M194" s="6" t="s">
        <v>425</v>
      </c>
      <c r="N194" s="6">
        <f>IF(OR($G194="FCC",$G194="Hydrocracker",$G194="Reformer"),IF(COUNTIFS($D:$D,$D194,$A:$A,$A194,$B:$B,$B194,$G:$G,"CDU",$J:$J,"PLANNED")&gt;0,"tied","standalone"),"")</f>
        <v/>
      </c>
    </row>
    <row r="195" spans="1:14">
      <c r="A195" s="6">
        <v>2023</v>
      </c>
      <c r="B195" s="6">
        <v>1</v>
      </c>
      <c r="C195" s="6" t="s">
        <v>60</v>
      </c>
      <c r="D195" s="6" t="s">
        <v>375</v>
      </c>
      <c r="E195" s="6" t="s">
        <v>435</v>
      </c>
      <c r="F195" s="6" t="str">
        <f>IF($M195="PADD I","PADD 1",IF($M195="PADD II","PADD 2",IF($M195="PADD III","PADD 3",IF($M195="PADD IV","PADD 4",IF($M195="PADD V","PADD 5","")))))</f>
        <v>PADD 5</v>
      </c>
      <c r="G195" s="6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6" t="s">
        <v>471</v>
      </c>
      <c r="I195" s="6" t="s">
        <v>15</v>
      </c>
      <c r="J195" s="6" t="s">
        <v>398</v>
      </c>
      <c r="K195" s="10">
        <v>7.67</v>
      </c>
      <c r="L195" s="10">
        <v>14.75</v>
      </c>
      <c r="M195" s="6" t="s">
        <v>436</v>
      </c>
      <c r="N195" s="6" t="str">
        <f>IF(OR($G195="FCC",$G195="Hydrocracker",$G195="Reformer"),IF(COUNTIFS($D:$D,$D195,$A:$A,$A195,$B:$B,$B195,$G:$G,"CDU",$J:$J,"PLANNED")&gt;0,"tied","standalone"),"")</f>
        <v>tied</v>
      </c>
    </row>
    <row r="196" spans="1:14">
      <c r="A196" s="6">
        <v>2023</v>
      </c>
      <c r="B196" s="6">
        <v>1</v>
      </c>
      <c r="C196" s="6" t="s">
        <v>60</v>
      </c>
      <c r="D196" s="6" t="s">
        <v>568</v>
      </c>
      <c r="E196" s="6" t="s">
        <v>419</v>
      </c>
      <c r="F196" s="6" t="str">
        <f>IF($M196="PADD I","PADD 1",IF($M196="PADD II","PADD 2",IF($M196="PADD III","PADD 3",IF($M196="PADD IV","PADD 4",IF($M196="PADD V","PADD 5","")))))</f>
        <v>PADD 5</v>
      </c>
      <c r="G196" s="6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6" t="s">
        <v>485</v>
      </c>
      <c r="I196" s="6" t="s">
        <v>628</v>
      </c>
      <c r="J196" s="6" t="s">
        <v>394</v>
      </c>
      <c r="K196" s="10">
        <v>7.54</v>
      </c>
      <c r="L196" s="10">
        <v>26</v>
      </c>
      <c r="M196" s="6" t="s">
        <v>436</v>
      </c>
      <c r="N196" s="6">
        <f>IF(OR($G196="FCC",$G196="Hydrocracker",$G196="Reformer"),IF(COUNTIFS($D:$D,$D196,$A:$A,$A196,$B:$B,$B196,$G:$G,"CDU",$J:$J,"PLANNED")&gt;0,"tied","standalone"),"")</f>
        <v/>
      </c>
    </row>
    <row r="197" spans="1:14">
      <c r="A197" s="6">
        <v>2023</v>
      </c>
      <c r="B197" s="6">
        <v>1</v>
      </c>
      <c r="C197" s="6" t="s">
        <v>60</v>
      </c>
      <c r="D197" s="6" t="s">
        <v>470</v>
      </c>
      <c r="E197" s="6" t="s">
        <v>423</v>
      </c>
      <c r="F197" s="6" t="str">
        <f>IF($M197="PADD I","PADD 1",IF($M197="PADD II","PADD 2",IF($M197="PADD III","PADD 3",IF($M197="PADD IV","PADD 4",IF($M197="PADD V","PADD 5","")))))</f>
        <v>PADD 2</v>
      </c>
      <c r="G197" s="6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6" t="s">
        <v>44</v>
      </c>
      <c r="I197" s="6" t="s">
        <v>508</v>
      </c>
      <c r="J197" s="6" t="s">
        <v>394</v>
      </c>
      <c r="K197" s="10">
        <v>7.5</v>
      </c>
      <c r="L197" s="10">
        <v>7.5</v>
      </c>
      <c r="M197" s="6" t="s">
        <v>425</v>
      </c>
      <c r="N197" s="6">
        <f>IF(OR($G197="FCC",$G197="Hydrocracker",$G197="Reformer"),IF(COUNTIFS($D:$D,$D197,$A:$A,$A197,$B:$B,$B197,$G:$G,"CDU",$J:$J,"PLANNED")&gt;0,"tied","standalone"),"")</f>
        <v/>
      </c>
    </row>
    <row r="198" spans="1:14">
      <c r="A198" s="6">
        <v>2023</v>
      </c>
      <c r="B198" s="6">
        <v>1</v>
      </c>
      <c r="C198" s="6" t="s">
        <v>60</v>
      </c>
      <c r="D198" s="6" t="s">
        <v>576</v>
      </c>
      <c r="E198" s="6" t="s">
        <v>455</v>
      </c>
      <c r="F198" s="6" t="str">
        <f>IF($M198="PADD I","PADD 1",IF($M198="PADD II","PADD 2",IF($M198="PADD III","PADD 3",IF($M198="PADD IV","PADD 4",IF($M198="PADD V","PADD 5","")))))</f>
        <v>PADD 3</v>
      </c>
      <c r="G198" s="6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6" t="s">
        <v>494</v>
      </c>
      <c r="I198" s="6" t="s">
        <v>400</v>
      </c>
      <c r="J198" s="6" t="s">
        <v>394</v>
      </c>
      <c r="K198" s="10">
        <v>7.41</v>
      </c>
      <c r="L198" s="10">
        <v>57</v>
      </c>
      <c r="M198" s="6" t="s">
        <v>421</v>
      </c>
      <c r="N198" s="6" t="str">
        <f>IF(OR($G198="FCC",$G198="Hydrocracker",$G198="Reformer"),IF(COUNTIFS($D:$D,$D198,$A:$A,$A198,$B:$B,$B198,$G:$G,"CDU",$J:$J,"PLANNED")&gt;0,"tied","standalone"),"")</f>
        <v>standalone</v>
      </c>
    </row>
    <row r="199" spans="1:14">
      <c r="A199" s="6">
        <v>2023</v>
      </c>
      <c r="B199" s="6">
        <v>1</v>
      </c>
      <c r="C199" s="6" t="s">
        <v>60</v>
      </c>
      <c r="D199" s="6" t="s">
        <v>568</v>
      </c>
      <c r="E199" s="6" t="s">
        <v>419</v>
      </c>
      <c r="F199" s="6" t="str">
        <f>IF($M199="PADD I","PADD 1",IF($M199="PADD II","PADD 2",IF($M199="PADD III","PADD 3",IF($M199="PADD IV","PADD 4",IF($M199="PADD V","PADD 5","")))))</f>
        <v>PADD 5</v>
      </c>
      <c r="G199" s="6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6" t="s">
        <v>485</v>
      </c>
      <c r="I199" s="6" t="s">
        <v>628</v>
      </c>
      <c r="J199" s="6" t="s">
        <v>398</v>
      </c>
      <c r="K199" s="10">
        <v>7.36</v>
      </c>
      <c r="L199" s="10">
        <v>23</v>
      </c>
      <c r="M199" s="6" t="s">
        <v>436</v>
      </c>
      <c r="N199" s="6">
        <f>IF(OR($G199="FCC",$G199="Hydrocracker",$G199="Reformer"),IF(COUNTIFS($D:$D,$D199,$A:$A,$A199,$B:$B,$B199,$G:$G,"CDU",$J:$J,"PLANNED")&gt;0,"tied","standalone"),"")</f>
        <v/>
      </c>
    </row>
    <row r="200" spans="1:14">
      <c r="A200" s="6">
        <v>2023</v>
      </c>
      <c r="B200" s="6">
        <v>1</v>
      </c>
      <c r="C200" s="6" t="s">
        <v>60</v>
      </c>
      <c r="D200" s="6" t="s">
        <v>568</v>
      </c>
      <c r="E200" s="6" t="s">
        <v>419</v>
      </c>
      <c r="F200" s="6" t="str">
        <f>IF($M200="PADD I","PADD 1",IF($M200="PADD II","PADD 2",IF($M200="PADD III","PADD 3",IF($M200="PADD IV","PADD 4",IF($M200="PADD V","PADD 5","")))))</f>
        <v>PADD 5</v>
      </c>
      <c r="G200" s="6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6" t="s">
        <v>44</v>
      </c>
      <c r="I200" s="6" t="s">
        <v>629</v>
      </c>
      <c r="J200" s="6" t="s">
        <v>394</v>
      </c>
      <c r="K200" s="10">
        <v>7.25</v>
      </c>
      <c r="L200" s="10">
        <v>25</v>
      </c>
      <c r="M200" s="6" t="s">
        <v>436</v>
      </c>
      <c r="N200" s="6">
        <f>IF(OR($G200="FCC",$G200="Hydrocracker",$G200="Reformer"),IF(COUNTIFS($D:$D,$D200,$A:$A,$A200,$B:$B,$B200,$G:$G,"CDU",$J:$J,"PLANNED")&gt;0,"tied","standalone"),"")</f>
        <v/>
      </c>
    </row>
    <row r="201" spans="1:14">
      <c r="A201" s="6">
        <v>2023</v>
      </c>
      <c r="B201" s="6">
        <v>1</v>
      </c>
      <c r="C201" s="6" t="s">
        <v>60</v>
      </c>
      <c r="D201" s="6" t="s">
        <v>496</v>
      </c>
      <c r="E201" s="6" t="s">
        <v>441</v>
      </c>
      <c r="F201" s="6" t="str">
        <f>IF($M201="PADD I","PADD 1",IF($M201="PADD II","PADD 2",IF($M201="PADD III","PADD 3",IF($M201="PADD IV","PADD 4",IF($M201="PADD V","PADD 5","")))))</f>
        <v>PADD 3</v>
      </c>
      <c r="G201" s="6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6" t="s">
        <v>510</v>
      </c>
      <c r="I201" s="6" t="s">
        <v>630</v>
      </c>
      <c r="J201" s="6" t="s">
        <v>394</v>
      </c>
      <c r="K201" s="10">
        <v>7.2</v>
      </c>
      <c r="L201" s="10">
        <v>7.2</v>
      </c>
      <c r="M201" s="6" t="s">
        <v>421</v>
      </c>
      <c r="N201" s="6">
        <f>IF(OR($G201="FCC",$G201="Hydrocracker",$G201="Reformer"),IF(COUNTIFS($D:$D,$D201,$A:$A,$A201,$B:$B,$B201,$G:$G,"CDU",$J:$J,"PLANNED")&gt;0,"tied","standalone"),"")</f>
        <v/>
      </c>
    </row>
    <row r="202" spans="1:14">
      <c r="A202" s="6">
        <v>2023</v>
      </c>
      <c r="B202" s="6">
        <v>1</v>
      </c>
      <c r="C202" s="6" t="s">
        <v>60</v>
      </c>
      <c r="D202" s="6" t="s">
        <v>445</v>
      </c>
      <c r="E202" s="6" t="s">
        <v>446</v>
      </c>
      <c r="F202" s="6" t="str">
        <f>IF($M202="PADD I","PADD 1",IF($M202="PADD II","PADD 2",IF($M202="PADD III","PADD 3",IF($M202="PADD IV","PADD 4",IF($M202="PADD V","PADD 5","")))))</f>
        <v>PADD 3</v>
      </c>
      <c r="G202" s="6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6" t="s">
        <v>428</v>
      </c>
      <c r="I202" s="6" t="s">
        <v>524</v>
      </c>
      <c r="J202" s="6" t="s">
        <v>394</v>
      </c>
      <c r="K202" s="10">
        <v>6.9</v>
      </c>
      <c r="L202" s="10">
        <v>115</v>
      </c>
      <c r="M202" s="6" t="s">
        <v>421</v>
      </c>
      <c r="N202" s="6">
        <f>IF(OR($G202="FCC",$G202="Hydrocracker",$G202="Reformer"),IF(COUNTIFS($D:$D,$D202,$A:$A,$A202,$B:$B,$B202,$G:$G,"CDU",$J:$J,"PLANNED")&gt;0,"tied","standalone"),"")</f>
        <v/>
      </c>
    </row>
    <row r="203" spans="1:14">
      <c r="A203" s="6">
        <v>2023</v>
      </c>
      <c r="B203" s="6">
        <v>1</v>
      </c>
      <c r="C203" s="6" t="s">
        <v>60</v>
      </c>
      <c r="D203" s="6" t="s">
        <v>568</v>
      </c>
      <c r="E203" s="6" t="s">
        <v>419</v>
      </c>
      <c r="F203" s="6" t="str">
        <f>IF($M203="PADD I","PADD 1",IF($M203="PADD II","PADD 2",IF($M203="PADD III","PADD 3",IF($M203="PADD IV","PADD 4",IF($M203="PADD V","PADD 5","")))))</f>
        <v>PADD 5</v>
      </c>
      <c r="G203" s="6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6" t="s">
        <v>631</v>
      </c>
      <c r="I203" s="6" t="s">
        <v>632</v>
      </c>
      <c r="J203" s="6" t="s">
        <v>394</v>
      </c>
      <c r="K203" s="10">
        <v>6.67</v>
      </c>
      <c r="L203" s="10">
        <v>23</v>
      </c>
      <c r="M203" s="6" t="s">
        <v>436</v>
      </c>
      <c r="N203" s="6" t="str">
        <f>IF(OR($G203="FCC",$G203="Hydrocracker",$G203="Reformer"),IF(COUNTIFS($D:$D,$D203,$A:$A,$A203,$B:$B,$B203,$G:$G,"CDU",$J:$J,"PLANNED")&gt;0,"tied","standalone"),"")</f>
        <v>tied</v>
      </c>
    </row>
    <row r="204" spans="1:14">
      <c r="A204" s="6">
        <v>2023</v>
      </c>
      <c r="B204" s="6">
        <v>1</v>
      </c>
      <c r="C204" s="6" t="s">
        <v>60</v>
      </c>
      <c r="D204" s="6" t="s">
        <v>437</v>
      </c>
      <c r="E204" s="6" t="s">
        <v>438</v>
      </c>
      <c r="F204" s="6" t="str">
        <f>IF($M204="PADD I","PADD 1",IF($M204="PADD II","PADD 2",IF($M204="PADD III","PADD 3",IF($M204="PADD IV","PADD 4",IF($M204="PADD V","PADD 5","")))))</f>
        <v>PADD 3</v>
      </c>
      <c r="G204" s="6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6" t="s">
        <v>471</v>
      </c>
      <c r="I204" s="6" t="s">
        <v>633</v>
      </c>
      <c r="J204" s="6" t="s">
        <v>394</v>
      </c>
      <c r="K204" s="10">
        <v>6.55</v>
      </c>
      <c r="L204" s="10">
        <v>65.5</v>
      </c>
      <c r="M204" s="6" t="s">
        <v>421</v>
      </c>
      <c r="N204" s="6" t="str">
        <f>IF(OR($G204="FCC",$G204="Hydrocracker",$G204="Reformer"),IF(COUNTIFS($D:$D,$D204,$A:$A,$A204,$B:$B,$B204,$G:$G,"CDU",$J:$J,"PLANNED")&gt;0,"tied","standalone"),"")</f>
        <v>tied</v>
      </c>
    </row>
    <row r="205" spans="1:14">
      <c r="A205" s="6">
        <v>2023</v>
      </c>
      <c r="B205" s="6">
        <v>1</v>
      </c>
      <c r="C205" s="6" t="s">
        <v>60</v>
      </c>
      <c r="D205" s="6" t="s">
        <v>422</v>
      </c>
      <c r="E205" s="6" t="s">
        <v>423</v>
      </c>
      <c r="F205" s="6" t="str">
        <f>IF($M205="PADD I","PADD 1",IF($M205="PADD II","PADD 2",IF($M205="PADD III","PADD 3",IF($M205="PADD IV","PADD 4",IF($M205="PADD V","PADD 5","")))))</f>
        <v>PADD 2</v>
      </c>
      <c r="G205" s="6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6" t="s">
        <v>485</v>
      </c>
      <c r="I205" s="6" t="s">
        <v>634</v>
      </c>
      <c r="J205" s="6" t="s">
        <v>394</v>
      </c>
      <c r="K205" s="10">
        <v>6.5</v>
      </c>
      <c r="L205" s="10">
        <v>6.5</v>
      </c>
      <c r="M205" s="6" t="s">
        <v>425</v>
      </c>
      <c r="N205" s="6">
        <f>IF(OR($G205="FCC",$G205="Hydrocracker",$G205="Reformer"),IF(COUNTIFS($D:$D,$D205,$A:$A,$A205,$B:$B,$B205,$G:$G,"CDU",$J:$J,"PLANNED")&gt;0,"tied","standalone"),"")</f>
        <v/>
      </c>
    </row>
    <row r="206" spans="1:14">
      <c r="A206" s="6">
        <v>2023</v>
      </c>
      <c r="B206" s="6">
        <v>1</v>
      </c>
      <c r="C206" s="6" t="s">
        <v>60</v>
      </c>
      <c r="D206" s="6" t="s">
        <v>382</v>
      </c>
      <c r="E206" s="6" t="s">
        <v>431</v>
      </c>
      <c r="F206" s="6" t="str">
        <f>IF($M206="PADD I","PADD 1",IF($M206="PADD II","PADD 2",IF($M206="PADD III","PADD 3",IF($M206="PADD IV","PADD 4",IF($M206="PADD V","PADD 5","")))))</f>
        <v>PADD 3</v>
      </c>
      <c r="G206" s="6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6" t="s">
        <v>494</v>
      </c>
      <c r="I206" s="6" t="s">
        <v>14</v>
      </c>
      <c r="J206" s="6" t="s">
        <v>394</v>
      </c>
      <c r="K206" s="10">
        <v>6.5</v>
      </c>
      <c r="L206" s="10">
        <v>65</v>
      </c>
      <c r="M206" s="6" t="s">
        <v>421</v>
      </c>
      <c r="N206" s="6" t="str">
        <f>IF(OR($G206="FCC",$G206="Hydrocracker",$G206="Reformer"),IF(COUNTIFS($D:$D,$D206,$A:$A,$A206,$B:$B,$B206,$G:$G,"CDU",$J:$J,"PLANNED")&gt;0,"tied","standalone"),"")</f>
        <v>tied</v>
      </c>
    </row>
    <row r="207" spans="1:14">
      <c r="A207" s="6">
        <v>2023</v>
      </c>
      <c r="B207" s="6">
        <v>1</v>
      </c>
      <c r="C207" s="6" t="s">
        <v>60</v>
      </c>
      <c r="D207" s="6" t="s">
        <v>507</v>
      </c>
      <c r="E207" s="6" t="s">
        <v>438</v>
      </c>
      <c r="F207" s="6" t="str">
        <f>IF($M207="PADD I","PADD 1",IF($M207="PADD II","PADD 2",IF($M207="PADD III","PADD 3",IF($M207="PADD IV","PADD 4",IF($M207="PADD V","PADD 5","")))))</f>
        <v>PADD 5</v>
      </c>
      <c r="G207" s="6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6" t="s">
        <v>428</v>
      </c>
      <c r="I207" s="6" t="s">
        <v>635</v>
      </c>
      <c r="J207" s="6" t="s">
        <v>394</v>
      </c>
      <c r="K207" s="10">
        <v>6.2</v>
      </c>
      <c r="L207" s="10">
        <v>62</v>
      </c>
      <c r="M207" s="6" t="s">
        <v>436</v>
      </c>
      <c r="N207" s="6">
        <f>IF(OR($G207="FCC",$G207="Hydrocracker",$G207="Reformer"),IF(COUNTIFS($D:$D,$D207,$A:$A,$A207,$B:$B,$B207,$G:$G,"CDU",$J:$J,"PLANNED")&gt;0,"tied","standalone"),"")</f>
        <v/>
      </c>
    </row>
    <row r="208" spans="1:14">
      <c r="A208" s="6">
        <v>2023</v>
      </c>
      <c r="B208" s="6">
        <v>1</v>
      </c>
      <c r="C208" s="6" t="s">
        <v>60</v>
      </c>
      <c r="D208" s="6" t="s">
        <v>568</v>
      </c>
      <c r="E208" s="6" t="s">
        <v>419</v>
      </c>
      <c r="F208" s="6" t="str">
        <f>IF($M208="PADD I","PADD 1",IF($M208="PADD II","PADD 2",IF($M208="PADD III","PADD 3",IF($M208="PADD IV","PADD 4",IF($M208="PADD V","PADD 5","")))))</f>
        <v>PADD 5</v>
      </c>
      <c r="G208" s="6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6" t="s">
        <v>471</v>
      </c>
      <c r="I208" s="6" t="s">
        <v>636</v>
      </c>
      <c r="J208" s="6" t="s">
        <v>394</v>
      </c>
      <c r="K208" s="10">
        <v>5.92</v>
      </c>
      <c r="L208" s="10">
        <v>18.5</v>
      </c>
      <c r="M208" s="6" t="s">
        <v>436</v>
      </c>
      <c r="N208" s="6" t="str">
        <f>IF(OR($G208="FCC",$G208="Hydrocracker",$G208="Reformer"),IF(COUNTIFS($D:$D,$D208,$A:$A,$A208,$B:$B,$B208,$G:$G,"CDU",$J:$J,"PLANNED")&gt;0,"tied","standalone"),"")</f>
        <v>tied</v>
      </c>
    </row>
    <row r="209" spans="1:14">
      <c r="A209" s="6">
        <v>2023</v>
      </c>
      <c r="B209" s="6">
        <v>1</v>
      </c>
      <c r="C209" s="6" t="s">
        <v>60</v>
      </c>
      <c r="D209" s="6" t="s">
        <v>568</v>
      </c>
      <c r="E209" s="6" t="s">
        <v>419</v>
      </c>
      <c r="F209" s="6" t="str">
        <f>IF($M209="PADD I","PADD 1",IF($M209="PADD II","PADD 2",IF($M209="PADD III","PADD 3",IF($M209="PADD IV","PADD 4",IF($M209="PADD V","PADD 5","")))))</f>
        <v>PADD 5</v>
      </c>
      <c r="G209" s="6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6" t="s">
        <v>44</v>
      </c>
      <c r="I209" s="6" t="s">
        <v>637</v>
      </c>
      <c r="J209" s="6" t="s">
        <v>394</v>
      </c>
      <c r="K209" s="10">
        <v>5.8</v>
      </c>
      <c r="L209" s="10">
        <v>20</v>
      </c>
      <c r="M209" s="6" t="s">
        <v>436</v>
      </c>
      <c r="N209" s="6">
        <f>IF(OR($G209="FCC",$G209="Hydrocracker",$G209="Reformer"),IF(COUNTIFS($D:$D,$D209,$A:$A,$A209,$B:$B,$B209,$G:$G,"CDU",$J:$J,"PLANNED")&gt;0,"tied","standalone"),"")</f>
        <v/>
      </c>
    </row>
    <row r="210" spans="1:14">
      <c r="A210" s="6">
        <v>2023</v>
      </c>
      <c r="B210" s="6">
        <v>1</v>
      </c>
      <c r="C210" s="6" t="s">
        <v>60</v>
      </c>
      <c r="D210" s="6" t="s">
        <v>445</v>
      </c>
      <c r="E210" s="6" t="s">
        <v>446</v>
      </c>
      <c r="F210" s="6" t="str">
        <f>IF($M210="PADD I","PADD 1",IF($M210="PADD II","PADD 2",IF($M210="PADD III","PADD 3",IF($M210="PADD IV","PADD 4",IF($M210="PADD V","PADD 5","")))))</f>
        <v>PADD 3</v>
      </c>
      <c r="G210" s="6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6" t="s">
        <v>485</v>
      </c>
      <c r="I210" s="6" t="s">
        <v>491</v>
      </c>
      <c r="J210" s="6" t="s">
        <v>394</v>
      </c>
      <c r="K210" s="10">
        <v>5.52</v>
      </c>
      <c r="L210" s="10">
        <v>92</v>
      </c>
      <c r="M210" s="6" t="s">
        <v>421</v>
      </c>
      <c r="N210" s="6">
        <f>IF(OR($G210="FCC",$G210="Hydrocracker",$G210="Reformer"),IF(COUNTIFS($D:$D,$D210,$A:$A,$A210,$B:$B,$B210,$G:$G,"CDU",$J:$J,"PLANNED")&gt;0,"tied","standalone"),"")</f>
        <v/>
      </c>
    </row>
    <row r="211" spans="1:14">
      <c r="A211" s="6">
        <v>2023</v>
      </c>
      <c r="B211" s="6">
        <v>1</v>
      </c>
      <c r="C211" s="6" t="s">
        <v>60</v>
      </c>
      <c r="D211" s="6" t="s">
        <v>470</v>
      </c>
      <c r="E211" s="6" t="s">
        <v>423</v>
      </c>
      <c r="F211" s="6" t="str">
        <f>IF($M211="PADD I","PADD 1",IF($M211="PADD II","PADD 2",IF($M211="PADD III","PADD 3",IF($M211="PADD IV","PADD 4",IF($M211="PADD V","PADD 5","")))))</f>
        <v>PADD 2</v>
      </c>
      <c r="G211" s="6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6" t="s">
        <v>44</v>
      </c>
      <c r="I211" s="6" t="s">
        <v>638</v>
      </c>
      <c r="J211" s="6" t="s">
        <v>394</v>
      </c>
      <c r="K211" s="10">
        <v>5.5</v>
      </c>
      <c r="L211" s="10">
        <v>5.5</v>
      </c>
      <c r="M211" s="6" t="s">
        <v>425</v>
      </c>
      <c r="N211" s="6">
        <f>IF(OR($G211="FCC",$G211="Hydrocracker",$G211="Reformer"),IF(COUNTIFS($D:$D,$D211,$A:$A,$A211,$B:$B,$B211,$G:$G,"CDU",$J:$J,"PLANNED")&gt;0,"tied","standalone"),"")</f>
        <v/>
      </c>
    </row>
    <row r="212" spans="1:14">
      <c r="A212" s="6">
        <v>2023</v>
      </c>
      <c r="B212" s="6">
        <v>1</v>
      </c>
      <c r="C212" s="6" t="s">
        <v>60</v>
      </c>
      <c r="D212" s="6" t="s">
        <v>534</v>
      </c>
      <c r="E212" s="6" t="s">
        <v>459</v>
      </c>
      <c r="F212" s="6" t="str">
        <f>IF($M212="PADD I","PADD 1",IF($M212="PADD II","PADD 2",IF($M212="PADD III","PADD 3",IF($M212="PADD IV","PADD 4",IF($M212="PADD V","PADD 5","")))))</f>
        <v>PADD 3</v>
      </c>
      <c r="G212" s="6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6" t="s">
        <v>44</v>
      </c>
      <c r="I212" s="6" t="s">
        <v>543</v>
      </c>
      <c r="J212" s="6" t="s">
        <v>394</v>
      </c>
      <c r="K212" s="10">
        <v>5.5</v>
      </c>
      <c r="L212" s="10">
        <v>10</v>
      </c>
      <c r="M212" s="6" t="s">
        <v>421</v>
      </c>
      <c r="N212" s="6">
        <f>IF(OR($G212="FCC",$G212="Hydrocracker",$G212="Reformer"),IF(COUNTIFS($D:$D,$D212,$A:$A,$A212,$B:$B,$B212,$G:$G,"CDU",$J:$J,"PLANNED")&gt;0,"tied","standalone"),"")</f>
        <v/>
      </c>
    </row>
    <row r="213" spans="1:14">
      <c r="A213" s="6">
        <v>2023</v>
      </c>
      <c r="B213" s="6">
        <v>1</v>
      </c>
      <c r="C213" s="6" t="s">
        <v>60</v>
      </c>
      <c r="D213" s="6" t="s">
        <v>487</v>
      </c>
      <c r="E213" s="6" t="s">
        <v>488</v>
      </c>
      <c r="F213" s="6" t="str">
        <f>IF($M213="PADD I","PADD 1",IF($M213="PADD II","PADD 2",IF($M213="PADD III","PADD 3",IF($M213="PADD IV","PADD 4",IF($M213="PADD V","PADD 5","")))))</f>
        <v>PADD 4</v>
      </c>
      <c r="G213" s="6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6" t="s">
        <v>471</v>
      </c>
      <c r="I213" s="6" t="s">
        <v>607</v>
      </c>
      <c r="J213" s="6" t="s">
        <v>394</v>
      </c>
      <c r="K213" s="10">
        <v>5.5</v>
      </c>
      <c r="L213" s="10">
        <v>5.5</v>
      </c>
      <c r="M213" s="6" t="s">
        <v>480</v>
      </c>
      <c r="N213" s="6" t="str">
        <f>IF(OR($G213="FCC",$G213="Hydrocracker",$G213="Reformer"),IF(COUNTIFS($D:$D,$D213,$A:$A,$A213,$B:$B,$B213,$G:$G,"CDU",$J:$J,"PLANNED")&gt;0,"tied","standalone"),"")</f>
        <v>standalone</v>
      </c>
    </row>
    <row r="214" spans="1:14">
      <c r="A214" s="6">
        <v>2023</v>
      </c>
      <c r="B214" s="6">
        <v>1</v>
      </c>
      <c r="C214" s="6" t="s">
        <v>60</v>
      </c>
      <c r="D214" s="6" t="s">
        <v>51</v>
      </c>
      <c r="E214" s="6" t="s">
        <v>431</v>
      </c>
      <c r="F214" s="6" t="str">
        <f>IF($M214="PADD I","PADD 1",IF($M214="PADD II","PADD 2",IF($M214="PADD III","PADD 3",IF($M214="PADD IV","PADD 4",IF($M214="PADD V","PADD 5","")))))</f>
        <v>PADD 3</v>
      </c>
      <c r="G214" s="6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6" t="s">
        <v>426</v>
      </c>
      <c r="I214" s="6" t="s">
        <v>639</v>
      </c>
      <c r="J214" s="6" t="s">
        <v>398</v>
      </c>
      <c r="K214" s="10">
        <v>5.4</v>
      </c>
      <c r="L214" s="10">
        <v>90</v>
      </c>
      <c r="M214" s="6" t="s">
        <v>421</v>
      </c>
      <c r="N214" s="6" t="str">
        <f>IF(OR($G214="FCC",$G214="Hydrocracker",$G214="Reformer"),IF(COUNTIFS($D:$D,$D214,$A:$A,$A214,$B:$B,$B214,$G:$G,"CDU",$J:$J,"PLANNED")&gt;0,"tied","standalone"),"")</f>
        <v>standalone</v>
      </c>
    </row>
    <row r="215" spans="1:14">
      <c r="A215" s="6">
        <v>2023</v>
      </c>
      <c r="B215" s="6">
        <v>1</v>
      </c>
      <c r="C215" s="6" t="s">
        <v>60</v>
      </c>
      <c r="D215" s="6" t="s">
        <v>568</v>
      </c>
      <c r="E215" s="6" t="s">
        <v>419</v>
      </c>
      <c r="F215" s="6" t="str">
        <f>IF($M215="PADD I","PADD 1",IF($M215="PADD II","PADD 2",IF($M215="PADD III","PADD 3",IF($M215="PADD IV","PADD 4",IF($M215="PADD V","PADD 5","")))))</f>
        <v>PADD 5</v>
      </c>
      <c r="G215" s="6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6" t="s">
        <v>44</v>
      </c>
      <c r="I215" s="6" t="s">
        <v>629</v>
      </c>
      <c r="J215" s="6" t="s">
        <v>394</v>
      </c>
      <c r="K215" s="10">
        <v>5.3568</v>
      </c>
      <c r="L215" s="10">
        <v>16.74</v>
      </c>
      <c r="M215" s="6" t="s">
        <v>436</v>
      </c>
      <c r="N215" s="6">
        <f>IF(OR($G215="FCC",$G215="Hydrocracker",$G215="Reformer"),IF(COUNTIFS($D:$D,$D215,$A:$A,$A215,$B:$B,$B215,$G:$G,"CDU",$J:$J,"PLANNED")&gt;0,"tied","standalone"),"")</f>
        <v/>
      </c>
    </row>
    <row r="216" spans="1:14">
      <c r="A216" s="6">
        <v>2023</v>
      </c>
      <c r="B216" s="6">
        <v>1</v>
      </c>
      <c r="C216" s="6" t="s">
        <v>60</v>
      </c>
      <c r="D216" s="6" t="s">
        <v>445</v>
      </c>
      <c r="E216" s="6" t="s">
        <v>446</v>
      </c>
      <c r="F216" s="6" t="str">
        <f>IF($M216="PADD I","PADD 1",IF($M216="PADD II","PADD 2",IF($M216="PADD III","PADD 3",IF($M216="PADD IV","PADD 4",IF($M216="PADD V","PADD 5","")))))</f>
        <v>PADD 3</v>
      </c>
      <c r="G216" s="6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6" t="s">
        <v>44</v>
      </c>
      <c r="I216" s="6" t="s">
        <v>600</v>
      </c>
      <c r="J216" s="6" t="s">
        <v>394</v>
      </c>
      <c r="K216" s="10">
        <v>5.343</v>
      </c>
      <c r="L216" s="10">
        <v>41.1</v>
      </c>
      <c r="M216" s="6" t="s">
        <v>421</v>
      </c>
      <c r="N216" s="6">
        <f>IF(OR($G216="FCC",$G216="Hydrocracker",$G216="Reformer"),IF(COUNTIFS($D:$D,$D216,$A:$A,$A216,$B:$B,$B216,$G:$G,"CDU",$J:$J,"PLANNED")&gt;0,"tied","standalone"),"")</f>
        <v/>
      </c>
    </row>
    <row r="217" spans="1:14">
      <c r="A217" s="6">
        <v>2023</v>
      </c>
      <c r="B217" s="6">
        <v>1</v>
      </c>
      <c r="C217" s="6" t="s">
        <v>60</v>
      </c>
      <c r="D217" s="6" t="s">
        <v>437</v>
      </c>
      <c r="E217" s="6" t="s">
        <v>438</v>
      </c>
      <c r="F217" s="6" t="str">
        <f>IF($M217="PADD I","PADD 1",IF($M217="PADD II","PADD 2",IF($M217="PADD III","PADD 3",IF($M217="PADD IV","PADD 4",IF($M217="PADD V","PADD 5","")))))</f>
        <v>PADD 3</v>
      </c>
      <c r="G217" s="6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6" t="s">
        <v>485</v>
      </c>
      <c r="I217" s="6" t="s">
        <v>640</v>
      </c>
      <c r="J217" s="6" t="s">
        <v>394</v>
      </c>
      <c r="K217" s="10">
        <v>5.28</v>
      </c>
      <c r="L217" s="10">
        <v>33</v>
      </c>
      <c r="M217" s="6" t="s">
        <v>421</v>
      </c>
      <c r="N217" s="6">
        <f>IF(OR($G217="FCC",$G217="Hydrocracker",$G217="Reformer"),IF(COUNTIFS($D:$D,$D217,$A:$A,$A217,$B:$B,$B217,$G:$G,"CDU",$J:$J,"PLANNED")&gt;0,"tied","standalone"),"")</f>
        <v/>
      </c>
    </row>
    <row r="218" spans="1:14">
      <c r="A218" s="6">
        <v>2023</v>
      </c>
      <c r="B218" s="6">
        <v>1</v>
      </c>
      <c r="C218" s="6" t="s">
        <v>60</v>
      </c>
      <c r="D218" s="6" t="s">
        <v>568</v>
      </c>
      <c r="E218" s="6" t="s">
        <v>419</v>
      </c>
      <c r="F218" s="6" t="str">
        <f>IF($M218="PADD I","PADD 1",IF($M218="PADD II","PADD 2",IF($M218="PADD III","PADD 3",IF($M218="PADD IV","PADD 4",IF($M218="PADD V","PADD 5","")))))</f>
        <v>PADD 5</v>
      </c>
      <c r="G218" s="6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6" t="s">
        <v>471</v>
      </c>
      <c r="I218" s="6" t="s">
        <v>641</v>
      </c>
      <c r="J218" s="6" t="s">
        <v>394</v>
      </c>
      <c r="K218" s="10">
        <v>5.22</v>
      </c>
      <c r="L218" s="10">
        <v>18</v>
      </c>
      <c r="M218" s="6" t="s">
        <v>436</v>
      </c>
      <c r="N218" s="6" t="str">
        <f>IF(OR($G218="FCC",$G218="Hydrocracker",$G218="Reformer"),IF(COUNTIFS($D:$D,$D218,$A:$A,$A218,$B:$B,$B218,$G:$G,"CDU",$J:$J,"PLANNED")&gt;0,"tied","standalone"),"")</f>
        <v>tied</v>
      </c>
    </row>
    <row r="219" spans="1:14">
      <c r="A219" s="6">
        <v>2023</v>
      </c>
      <c r="B219" s="6">
        <v>1</v>
      </c>
      <c r="C219" s="6" t="s">
        <v>60</v>
      </c>
      <c r="D219" s="6" t="s">
        <v>383</v>
      </c>
      <c r="E219" s="6" t="s">
        <v>602</v>
      </c>
      <c r="F219" s="6" t="str">
        <f>IF($M219="PADD I","PADD 1",IF($M219="PADD II","PADD 2",IF($M219="PADD III","PADD 3",IF($M219="PADD IV","PADD 4",IF($M219="PADD V","PADD 5","")))))</f>
        <v>PADD 3</v>
      </c>
      <c r="G219" s="6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6" t="s">
        <v>471</v>
      </c>
      <c r="I219" s="6" t="s">
        <v>642</v>
      </c>
      <c r="J219" s="6" t="s">
        <v>394</v>
      </c>
      <c r="K219" s="10">
        <v>5.12</v>
      </c>
      <c r="L219" s="10">
        <v>16</v>
      </c>
      <c r="M219" s="6" t="s">
        <v>421</v>
      </c>
      <c r="N219" s="6" t="str">
        <f>IF(OR($G219="FCC",$G219="Hydrocracker",$G219="Reformer"),IF(COUNTIFS($D:$D,$D219,$A:$A,$A219,$B:$B,$B219,$G:$G,"CDU",$J:$J,"PLANNED")&gt;0,"tied","standalone"),"")</f>
        <v>standalone</v>
      </c>
    </row>
    <row r="220" spans="1:14">
      <c r="A220" s="6">
        <v>2023</v>
      </c>
      <c r="B220" s="6">
        <v>1</v>
      </c>
      <c r="C220" s="6" t="s">
        <v>60</v>
      </c>
      <c r="D220" s="6" t="s">
        <v>561</v>
      </c>
      <c r="E220" s="6" t="s">
        <v>455</v>
      </c>
      <c r="F220" s="6" t="str">
        <f>IF($M220="PADD I","PADD 1",IF($M220="PADD II","PADD 2",IF($M220="PADD III","PADD 3",IF($M220="PADD IV","PADD 4",IF($M220="PADD V","PADD 5","")))))</f>
        <v>PADD 3</v>
      </c>
      <c r="G220" s="6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6" t="s">
        <v>428</v>
      </c>
      <c r="I220" s="6" t="s">
        <v>643</v>
      </c>
      <c r="J220" s="6" t="s">
        <v>398</v>
      </c>
      <c r="K220" s="10">
        <v>5.07</v>
      </c>
      <c r="L220" s="10">
        <v>39</v>
      </c>
      <c r="M220" s="6" t="s">
        <v>421</v>
      </c>
      <c r="N220" s="6">
        <f>IF(OR($G220="FCC",$G220="Hydrocracker",$G220="Reformer"),IF(COUNTIFS($D:$D,$D220,$A:$A,$A220,$B:$B,$B220,$G:$G,"CDU",$J:$J,"PLANNED")&gt;0,"tied","standalone"),"")</f>
        <v/>
      </c>
    </row>
    <row r="221" spans="1:14">
      <c r="A221" s="6">
        <v>2023</v>
      </c>
      <c r="B221" s="6">
        <v>1</v>
      </c>
      <c r="C221" s="6" t="s">
        <v>60</v>
      </c>
      <c r="D221" s="6" t="s">
        <v>540</v>
      </c>
      <c r="E221" s="6" t="s">
        <v>541</v>
      </c>
      <c r="F221" s="6" t="str">
        <f>IF($M221="PADD I","PADD 1",IF($M221="PADD II","PADD 2",IF($M221="PADD III","PADD 3",IF($M221="PADD IV","PADD 4",IF($M221="PADD V","PADD 5","")))))</f>
        <v>PADD 3</v>
      </c>
      <c r="G221" s="6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6" t="s">
        <v>426</v>
      </c>
      <c r="I221" s="6" t="s">
        <v>522</v>
      </c>
      <c r="J221" s="6" t="s">
        <v>394</v>
      </c>
      <c r="K221" s="10">
        <v>4.86</v>
      </c>
      <c r="L221" s="10">
        <v>81</v>
      </c>
      <c r="M221" s="6" t="s">
        <v>421</v>
      </c>
      <c r="N221" s="6" t="str">
        <f>IF(OR($G221="FCC",$G221="Hydrocracker",$G221="Reformer"),IF(COUNTIFS($D:$D,$D221,$A:$A,$A221,$B:$B,$B221,$G:$G,"CDU",$J:$J,"PLANNED")&gt;0,"tied","standalone"),"")</f>
        <v>standalone</v>
      </c>
    </row>
    <row r="222" spans="1:14">
      <c r="A222" s="6">
        <v>2023</v>
      </c>
      <c r="B222" s="6">
        <v>1</v>
      </c>
      <c r="C222" s="6" t="s">
        <v>60</v>
      </c>
      <c r="D222" s="6" t="s">
        <v>383</v>
      </c>
      <c r="E222" s="6" t="s">
        <v>602</v>
      </c>
      <c r="F222" s="6" t="str">
        <f>IF($M222="PADD I","PADD 1",IF($M222="PADD II","PADD 2",IF($M222="PADD III","PADD 3",IF($M222="PADD IV","PADD 4",IF($M222="PADD V","PADD 5","")))))</f>
        <v>PADD 3</v>
      </c>
      <c r="G222" s="6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6" t="s">
        <v>44</v>
      </c>
      <c r="I222" s="6" t="s">
        <v>644</v>
      </c>
      <c r="J222" s="6" t="s">
        <v>394</v>
      </c>
      <c r="K222" s="10">
        <v>4.8</v>
      </c>
      <c r="L222" s="10">
        <v>30</v>
      </c>
      <c r="M222" s="6" t="s">
        <v>421</v>
      </c>
      <c r="N222" s="6">
        <f>IF(OR($G222="FCC",$G222="Hydrocracker",$G222="Reformer"),IF(COUNTIFS($D:$D,$D222,$A:$A,$A222,$B:$B,$B222,$G:$G,"CDU",$J:$J,"PLANNED")&gt;0,"tied","standalone"),"")</f>
        <v/>
      </c>
    </row>
    <row r="223" spans="1:14">
      <c r="A223" s="6">
        <v>2023</v>
      </c>
      <c r="B223" s="6">
        <v>1</v>
      </c>
      <c r="C223" s="6" t="s">
        <v>60</v>
      </c>
      <c r="D223" s="6" t="s">
        <v>437</v>
      </c>
      <c r="E223" s="6" t="s">
        <v>438</v>
      </c>
      <c r="F223" s="6" t="str">
        <f>IF($M223="PADD I","PADD 1",IF($M223="PADD II","PADD 2",IF($M223="PADD III","PADD 3",IF($M223="PADD IV","PADD 4",IF($M223="PADD V","PADD 5","")))))</f>
        <v>PADD 3</v>
      </c>
      <c r="G223" s="6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6" t="s">
        <v>485</v>
      </c>
      <c r="I223" s="6" t="s">
        <v>645</v>
      </c>
      <c r="J223" s="6" t="s">
        <v>398</v>
      </c>
      <c r="K223" s="10">
        <v>4.725</v>
      </c>
      <c r="L223" s="10">
        <v>13.5</v>
      </c>
      <c r="M223" s="6" t="s">
        <v>421</v>
      </c>
      <c r="N223" s="6">
        <f>IF(OR($G223="FCC",$G223="Hydrocracker",$G223="Reformer"),IF(COUNTIFS($D:$D,$D223,$A:$A,$A223,$B:$B,$B223,$G:$G,"CDU",$J:$J,"PLANNED")&gt;0,"tied","standalone"),"")</f>
        <v/>
      </c>
    </row>
    <row r="224" spans="1:14">
      <c r="A224" s="6">
        <v>2023</v>
      </c>
      <c r="B224" s="6">
        <v>1</v>
      </c>
      <c r="C224" s="6" t="s">
        <v>60</v>
      </c>
      <c r="D224" s="6" t="s">
        <v>382</v>
      </c>
      <c r="E224" s="6" t="s">
        <v>431</v>
      </c>
      <c r="F224" s="6" t="str">
        <f>IF($M224="PADD I","PADD 1",IF($M224="PADD II","PADD 2",IF($M224="PADD III","PADD 3",IF($M224="PADD IV","PADD 4",IF($M224="PADD V","PADD 5","")))))</f>
        <v>PADD 3</v>
      </c>
      <c r="G224" s="6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6" t="s">
        <v>428</v>
      </c>
      <c r="I224" s="6" t="s">
        <v>646</v>
      </c>
      <c r="J224" s="6" t="s">
        <v>398</v>
      </c>
      <c r="K224" s="10">
        <v>4.68</v>
      </c>
      <c r="L224" s="10">
        <v>46.8</v>
      </c>
      <c r="M224" s="6" t="s">
        <v>421</v>
      </c>
      <c r="N224" s="6">
        <f>IF(OR($G224="FCC",$G224="Hydrocracker",$G224="Reformer"),IF(COUNTIFS($D:$D,$D224,$A:$A,$A224,$B:$B,$B224,$G:$G,"CDU",$J:$J,"PLANNED")&gt;0,"tied","standalone"),"")</f>
        <v/>
      </c>
    </row>
    <row r="225" spans="1:14">
      <c r="A225" s="6">
        <v>2023</v>
      </c>
      <c r="B225" s="6">
        <v>1</v>
      </c>
      <c r="C225" s="6" t="s">
        <v>60</v>
      </c>
      <c r="D225" s="6" t="s">
        <v>445</v>
      </c>
      <c r="E225" s="6" t="s">
        <v>446</v>
      </c>
      <c r="F225" s="6" t="str">
        <f>IF($M225="PADD I","PADD 1",IF($M225="PADD II","PADD 2",IF($M225="PADD III","PADD 3",IF($M225="PADD IV","PADD 4",IF($M225="PADD V","PADD 5","")))))</f>
        <v>PADD 3</v>
      </c>
      <c r="G225" s="6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6" t="s">
        <v>510</v>
      </c>
      <c r="I225" s="6" t="s">
        <v>511</v>
      </c>
      <c r="J225" s="6" t="s">
        <v>394</v>
      </c>
      <c r="K225" s="10">
        <v>4.368</v>
      </c>
      <c r="L225" s="10">
        <v>16.8</v>
      </c>
      <c r="M225" s="6" t="s">
        <v>421</v>
      </c>
      <c r="N225" s="6">
        <f>IF(OR($G225="FCC",$G225="Hydrocracker",$G225="Reformer"),IF(COUNTIFS($D:$D,$D225,$A:$A,$A225,$B:$B,$B225,$G:$G,"CDU",$J:$J,"PLANNED")&gt;0,"tied","standalone"),"")</f>
        <v/>
      </c>
    </row>
    <row r="226" spans="1:14">
      <c r="A226" s="6">
        <v>2023</v>
      </c>
      <c r="B226" s="6">
        <v>1</v>
      </c>
      <c r="C226" s="6" t="s">
        <v>60</v>
      </c>
      <c r="D226" s="6" t="s">
        <v>445</v>
      </c>
      <c r="E226" s="6" t="s">
        <v>446</v>
      </c>
      <c r="F226" s="6" t="str">
        <f>IF($M226="PADD I","PADD 1",IF($M226="PADD II","PADD 2",IF($M226="PADD III","PADD 3",IF($M226="PADD IV","PADD 4",IF($M226="PADD V","PADD 5","")))))</f>
        <v>PADD 3</v>
      </c>
      <c r="G226" s="6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6" t="s">
        <v>44</v>
      </c>
      <c r="I226" s="6" t="s">
        <v>549</v>
      </c>
      <c r="J226" s="6" t="s">
        <v>394</v>
      </c>
      <c r="K226" s="10">
        <v>4.32</v>
      </c>
      <c r="L226" s="10">
        <v>72</v>
      </c>
      <c r="M226" s="6" t="s">
        <v>421</v>
      </c>
      <c r="N226" s="6">
        <f>IF(OR($G226="FCC",$G226="Hydrocracker",$G226="Reformer"),IF(COUNTIFS($D:$D,$D226,$A:$A,$A226,$B:$B,$B226,$G:$G,"CDU",$J:$J,"PLANNED")&gt;0,"tied","standalone"),"")</f>
        <v/>
      </c>
    </row>
    <row r="227" spans="1:14">
      <c r="A227" s="6">
        <v>2023</v>
      </c>
      <c r="B227" s="6">
        <v>1</v>
      </c>
      <c r="C227" s="6" t="s">
        <v>60</v>
      </c>
      <c r="D227" s="6" t="s">
        <v>479</v>
      </c>
      <c r="E227" s="6" t="s">
        <v>438</v>
      </c>
      <c r="F227" s="6" t="str">
        <f>IF($M227="PADD I","PADD 1",IF($M227="PADD II","PADD 2",IF($M227="PADD III","PADD 3",IF($M227="PADD IV","PADD 4",IF($M227="PADD V","PADD 5","")))))</f>
        <v>PADD 4</v>
      </c>
      <c r="G227" s="6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6" t="s">
        <v>426</v>
      </c>
      <c r="I227" s="6" t="s">
        <v>106</v>
      </c>
      <c r="J227" s="6" t="s">
        <v>398</v>
      </c>
      <c r="K227" s="10">
        <v>4.224</v>
      </c>
      <c r="L227" s="10">
        <v>26.4</v>
      </c>
      <c r="M227" s="6" t="s">
        <v>480</v>
      </c>
      <c r="N227" s="6" t="str">
        <f>IF(OR($G227="FCC",$G227="Hydrocracker",$G227="Reformer"),IF(COUNTIFS($D:$D,$D227,$A:$A,$A227,$B:$B,$B227,$G:$G,"CDU",$J:$J,"PLANNED")&gt;0,"tied","standalone"),"")</f>
        <v>standalone</v>
      </c>
    </row>
    <row r="228" spans="1:14">
      <c r="A228" s="6">
        <v>2023</v>
      </c>
      <c r="B228" s="6">
        <v>1</v>
      </c>
      <c r="C228" s="6" t="s">
        <v>60</v>
      </c>
      <c r="D228" s="6" t="s">
        <v>576</v>
      </c>
      <c r="E228" s="6" t="s">
        <v>455</v>
      </c>
      <c r="F228" s="6" t="str">
        <f>IF($M228="PADD I","PADD 1",IF($M228="PADD II","PADD 2",IF($M228="PADD III","PADD 3",IF($M228="PADD IV","PADD 4",IF($M228="PADD V","PADD 5","")))))</f>
        <v>PADD 3</v>
      </c>
      <c r="G228" s="6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6" t="s">
        <v>471</v>
      </c>
      <c r="I228" s="6" t="s">
        <v>647</v>
      </c>
      <c r="J228" s="6" t="s">
        <v>394</v>
      </c>
      <c r="K228" s="10">
        <v>4.2</v>
      </c>
      <c r="L228" s="10">
        <v>70</v>
      </c>
      <c r="M228" s="6" t="s">
        <v>421</v>
      </c>
      <c r="N228" s="6" t="str">
        <f>IF(OR($G228="FCC",$G228="Hydrocracker",$G228="Reformer"),IF(COUNTIFS($D:$D,$D228,$A:$A,$A228,$B:$B,$B228,$G:$G,"CDU",$J:$J,"PLANNED")&gt;0,"tied","standalone"),"")</f>
        <v>standalone</v>
      </c>
    </row>
    <row r="229" spans="1:14">
      <c r="A229" s="6">
        <v>2023</v>
      </c>
      <c r="B229" s="6">
        <v>1</v>
      </c>
      <c r="C229" s="6" t="s">
        <v>60</v>
      </c>
      <c r="D229" s="6" t="s">
        <v>445</v>
      </c>
      <c r="E229" s="6" t="s">
        <v>446</v>
      </c>
      <c r="F229" s="6" t="str">
        <f>IF($M229="PADD I","PADD 1",IF($M229="PADD II","PADD 2",IF($M229="PADD III","PADD 3",IF($M229="PADD IV","PADD 4",IF($M229="PADD V","PADD 5","")))))</f>
        <v>PADD 3</v>
      </c>
      <c r="G229" s="6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6" t="s">
        <v>39</v>
      </c>
      <c r="I229" s="6" t="s">
        <v>560</v>
      </c>
      <c r="J229" s="6" t="s">
        <v>394</v>
      </c>
      <c r="K229" s="10">
        <v>4.2</v>
      </c>
      <c r="L229" s="10">
        <v>70</v>
      </c>
      <c r="M229" s="6" t="s">
        <v>421</v>
      </c>
      <c r="N229" s="6">
        <f>IF(OR($G229="FCC",$G229="Hydrocracker",$G229="Reformer"),IF(COUNTIFS($D:$D,$D229,$A:$A,$A229,$B:$B,$B229,$G:$G,"CDU",$J:$J,"PLANNED")&gt;0,"tied","standalone"),"")</f>
        <v/>
      </c>
    </row>
    <row r="230" spans="1:14">
      <c r="A230" s="6">
        <v>2023</v>
      </c>
      <c r="B230" s="6">
        <v>1</v>
      </c>
      <c r="C230" s="6" t="s">
        <v>60</v>
      </c>
      <c r="D230" s="6" t="s">
        <v>445</v>
      </c>
      <c r="E230" s="6" t="s">
        <v>446</v>
      </c>
      <c r="F230" s="6" t="str">
        <f>IF($M230="PADD I","PADD 1",IF($M230="PADD II","PADD 2",IF($M230="PADD III","PADD 3",IF($M230="PADD IV","PADD 4",IF($M230="PADD V","PADD 5","")))))</f>
        <v>PADD 3</v>
      </c>
      <c r="G230" s="6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6" t="s">
        <v>426</v>
      </c>
      <c r="I230" s="6" t="s">
        <v>106</v>
      </c>
      <c r="J230" s="6" t="s">
        <v>394</v>
      </c>
      <c r="K230" s="10">
        <v>4.2</v>
      </c>
      <c r="L230" s="10">
        <v>70</v>
      </c>
      <c r="M230" s="6" t="s">
        <v>421</v>
      </c>
      <c r="N230" s="6" t="str">
        <f>IF(OR($G230="FCC",$G230="Hydrocracker",$G230="Reformer"),IF(COUNTIFS($D:$D,$D230,$A:$A,$A230,$B:$B,$B230,$G:$G,"CDU",$J:$J,"PLANNED")&gt;0,"tied","standalone"),"")</f>
        <v>standalone</v>
      </c>
    </row>
    <row r="231" spans="1:14">
      <c r="A231" s="6">
        <v>2023</v>
      </c>
      <c r="B231" s="6">
        <v>1</v>
      </c>
      <c r="C231" s="6" t="s">
        <v>60</v>
      </c>
      <c r="D231" s="6" t="s">
        <v>445</v>
      </c>
      <c r="E231" s="6" t="s">
        <v>446</v>
      </c>
      <c r="F231" s="6" t="str">
        <f>IF($M231="PADD I","PADD 1",IF($M231="PADD II","PADD 2",IF($M231="PADD III","PADD 3",IF($M231="PADD IV","PADD 4",IF($M231="PADD V","PADD 5","")))))</f>
        <v>PADD 3</v>
      </c>
      <c r="G231" s="6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6" t="s">
        <v>494</v>
      </c>
      <c r="I231" s="6" t="s">
        <v>562</v>
      </c>
      <c r="J231" s="6" t="s">
        <v>394</v>
      </c>
      <c r="K231" s="10">
        <v>4.02</v>
      </c>
      <c r="L231" s="10">
        <v>67</v>
      </c>
      <c r="M231" s="6" t="s">
        <v>421</v>
      </c>
      <c r="N231" s="6" t="str">
        <f>IF(OR($G231="FCC",$G231="Hydrocracker",$G231="Reformer"),IF(COUNTIFS($D:$D,$D231,$A:$A,$A231,$B:$B,$B231,$G:$G,"CDU",$J:$J,"PLANNED")&gt;0,"tied","standalone"),"")</f>
        <v>standalone</v>
      </c>
    </row>
    <row r="232" spans="1:14">
      <c r="A232" s="6">
        <v>2023</v>
      </c>
      <c r="B232" s="6">
        <v>1</v>
      </c>
      <c r="C232" s="6" t="s">
        <v>60</v>
      </c>
      <c r="D232" s="6" t="s">
        <v>383</v>
      </c>
      <c r="E232" s="6" t="s">
        <v>602</v>
      </c>
      <c r="F232" s="6" t="str">
        <f>IF($M232="PADD I","PADD 1",IF($M232="PADD II","PADD 2",IF($M232="PADD III","PADD 3",IF($M232="PADD IV","PADD 4",IF($M232="PADD V","PADD 5","")))))</f>
        <v>PADD 3</v>
      </c>
      <c r="G232" s="6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6" t="s">
        <v>44</v>
      </c>
      <c r="I232" s="6" t="s">
        <v>648</v>
      </c>
      <c r="J232" s="6" t="s">
        <v>394</v>
      </c>
      <c r="K232" s="10">
        <v>4</v>
      </c>
      <c r="L232" s="10">
        <v>25</v>
      </c>
      <c r="M232" s="6" t="s">
        <v>421</v>
      </c>
      <c r="N232" s="6">
        <f>IF(OR($G232="FCC",$G232="Hydrocracker",$G232="Reformer"),IF(COUNTIFS($D:$D,$D232,$A:$A,$A232,$B:$B,$B232,$G:$G,"CDU",$J:$J,"PLANNED")&gt;0,"tied","standalone"),"")</f>
        <v/>
      </c>
    </row>
    <row r="233" spans="1:14">
      <c r="A233" s="6">
        <v>2023</v>
      </c>
      <c r="B233" s="6">
        <v>1</v>
      </c>
      <c r="C233" s="6" t="s">
        <v>60</v>
      </c>
      <c r="D233" s="6" t="s">
        <v>581</v>
      </c>
      <c r="E233" s="6" t="s">
        <v>582</v>
      </c>
      <c r="F233" s="6" t="str">
        <f>IF($M233="PADD I","PADD 1",IF($M233="PADD II","PADD 2",IF($M233="PADD III","PADD 3",IF($M233="PADD IV","PADD 4",IF($M233="PADD V","PADD 5","")))))</f>
        <v>PADD 5</v>
      </c>
      <c r="G233" s="6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6" t="s">
        <v>485</v>
      </c>
      <c r="I233" s="6" t="s">
        <v>649</v>
      </c>
      <c r="J233" s="6" t="s">
        <v>394</v>
      </c>
      <c r="K233" s="10">
        <v>4</v>
      </c>
      <c r="L233" s="10">
        <v>25</v>
      </c>
      <c r="M233" s="6" t="s">
        <v>436</v>
      </c>
      <c r="N233" s="6">
        <f>IF(OR($G233="FCC",$G233="Hydrocracker",$G233="Reformer"),IF(COUNTIFS($D:$D,$D233,$A:$A,$A233,$B:$B,$B233,$G:$G,"CDU",$J:$J,"PLANNED")&gt;0,"tied","standalone"),"")</f>
        <v/>
      </c>
    </row>
    <row r="234" spans="1:14">
      <c r="A234" s="6">
        <v>2023</v>
      </c>
      <c r="B234" s="6">
        <v>1</v>
      </c>
      <c r="C234" s="6" t="s">
        <v>60</v>
      </c>
      <c r="D234" s="6" t="s">
        <v>507</v>
      </c>
      <c r="E234" s="6" t="s">
        <v>438</v>
      </c>
      <c r="F234" s="6" t="str">
        <f>IF($M234="PADD I","PADD 1",IF($M234="PADD II","PADD 2",IF($M234="PADD III","PADD 3",IF($M234="PADD IV","PADD 4",IF($M234="PADD V","PADD 5","")))))</f>
        <v>PADD 5</v>
      </c>
      <c r="G234" s="6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6" t="s">
        <v>39</v>
      </c>
      <c r="I234" s="6" t="s">
        <v>136</v>
      </c>
      <c r="J234" s="6" t="s">
        <v>394</v>
      </c>
      <c r="K234" s="10">
        <v>3.9</v>
      </c>
      <c r="L234" s="10">
        <v>65</v>
      </c>
      <c r="M234" s="6" t="s">
        <v>436</v>
      </c>
      <c r="N234" s="6">
        <f>IF(OR($G234="FCC",$G234="Hydrocracker",$G234="Reformer"),IF(COUNTIFS($D:$D,$D234,$A:$A,$A234,$B:$B,$B234,$G:$G,"CDU",$J:$J,"PLANNED")&gt;0,"tied","standalone"),"")</f>
        <v/>
      </c>
    </row>
    <row r="235" spans="1:14">
      <c r="A235" s="6">
        <v>2023</v>
      </c>
      <c r="B235" s="6">
        <v>1</v>
      </c>
      <c r="C235" s="6" t="s">
        <v>60</v>
      </c>
      <c r="D235" s="6" t="s">
        <v>452</v>
      </c>
      <c r="E235" s="6" t="s">
        <v>453</v>
      </c>
      <c r="F235" s="6" t="str">
        <f>IF($M235="PADD I","PADD 1",IF($M235="PADD II","PADD 2",IF($M235="PADD III","PADD 3",IF($M235="PADD IV","PADD 4",IF($M235="PADD V","PADD 5","")))))</f>
        <v>PADD 3</v>
      </c>
      <c r="G235" s="6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6" t="s">
        <v>618</v>
      </c>
      <c r="I235" s="6" t="s">
        <v>650</v>
      </c>
      <c r="J235" s="6" t="s">
        <v>398</v>
      </c>
      <c r="K235" s="10">
        <v>3.85</v>
      </c>
      <c r="L235" s="10">
        <v>5</v>
      </c>
      <c r="M235" s="6" t="s">
        <v>421</v>
      </c>
      <c r="N235" s="6">
        <f>IF(OR($G235="FCC",$G235="Hydrocracker",$G235="Reformer"),IF(COUNTIFS($D:$D,$D235,$A:$A,$A235,$B:$B,$B235,$G:$G,"CDU",$J:$J,"PLANNED")&gt;0,"tied","standalone"),"")</f>
        <v/>
      </c>
    </row>
    <row r="236" spans="1:14">
      <c r="A236" s="6">
        <v>2023</v>
      </c>
      <c r="B236" s="6">
        <v>1</v>
      </c>
      <c r="C236" s="6" t="s">
        <v>60</v>
      </c>
      <c r="D236" s="6" t="s">
        <v>550</v>
      </c>
      <c r="E236" s="6" t="s">
        <v>438</v>
      </c>
      <c r="F236" s="6" t="str">
        <f>IF($M236="PADD I","PADD 1",IF($M236="PADD II","PADD 2",IF($M236="PADD III","PADD 3",IF($M236="PADD IV","PADD 4",IF($M236="PADD V","PADD 5","")))))</f>
        <v>PADD 2</v>
      </c>
      <c r="G236" s="6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6" t="s">
        <v>426</v>
      </c>
      <c r="I236" s="6" t="s">
        <v>106</v>
      </c>
      <c r="J236" s="6" t="s">
        <v>394</v>
      </c>
      <c r="K236" s="10">
        <v>3.77</v>
      </c>
      <c r="L236" s="10">
        <v>6.5</v>
      </c>
      <c r="M236" s="6" t="s">
        <v>425</v>
      </c>
      <c r="N236" s="6" t="str">
        <f>IF(OR($G236="FCC",$G236="Hydrocracker",$G236="Reformer"),IF(COUNTIFS($D:$D,$D236,$A:$A,$A236,$B:$B,$B236,$G:$G,"CDU",$J:$J,"PLANNED")&gt;0,"tied","standalone"),"")</f>
        <v>standalone</v>
      </c>
    </row>
    <row r="237" spans="1:14">
      <c r="A237" s="6">
        <v>2023</v>
      </c>
      <c r="B237" s="6">
        <v>1</v>
      </c>
      <c r="C237" s="6" t="s">
        <v>60</v>
      </c>
      <c r="D237" s="6" t="s">
        <v>507</v>
      </c>
      <c r="E237" s="6" t="s">
        <v>438</v>
      </c>
      <c r="F237" s="6" t="str">
        <f>IF($M237="PADD I","PADD 1",IF($M237="PADD II","PADD 2",IF($M237="PADD III","PADD 3",IF($M237="PADD IV","PADD 4",IF($M237="PADD V","PADD 5","")))))</f>
        <v>PADD 5</v>
      </c>
      <c r="G237" s="6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6" t="s">
        <v>428</v>
      </c>
      <c r="I237" s="6" t="s">
        <v>651</v>
      </c>
      <c r="J237" s="6" t="s">
        <v>394</v>
      </c>
      <c r="K237" s="10">
        <v>3.72</v>
      </c>
      <c r="L237" s="10">
        <v>62</v>
      </c>
      <c r="M237" s="6" t="s">
        <v>436</v>
      </c>
      <c r="N237" s="6">
        <f>IF(OR($G237="FCC",$G237="Hydrocracker",$G237="Reformer"),IF(COUNTIFS($D:$D,$D237,$A:$A,$A237,$B:$B,$B237,$G:$G,"CDU",$J:$J,"PLANNED")&gt;0,"tied","standalone"),"")</f>
        <v/>
      </c>
    </row>
    <row r="238" spans="1:14">
      <c r="A238" s="6">
        <v>2023</v>
      </c>
      <c r="B238" s="6">
        <v>1</v>
      </c>
      <c r="C238" s="6" t="s">
        <v>60</v>
      </c>
      <c r="D238" s="6" t="s">
        <v>652</v>
      </c>
      <c r="E238" s="6" t="s">
        <v>419</v>
      </c>
      <c r="F238" s="6" t="str">
        <f>IF($M238="PADD I","PADD 1",IF($M238="PADD II","PADD 2",IF($M238="PADD III","PADD 3",IF($M238="PADD IV","PADD 4",IF($M238="PADD V","PADD 5","")))))</f>
        <v>PADD 2</v>
      </c>
      <c r="G238" s="6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6" t="s">
        <v>485</v>
      </c>
      <c r="I238" s="6" t="s">
        <v>491</v>
      </c>
      <c r="J238" s="6" t="s">
        <v>394</v>
      </c>
      <c r="K238" s="10">
        <v>3.696</v>
      </c>
      <c r="L238" s="10">
        <v>23.1</v>
      </c>
      <c r="M238" s="6" t="s">
        <v>425</v>
      </c>
      <c r="N238" s="6">
        <f>IF(OR($G238="FCC",$G238="Hydrocracker",$G238="Reformer"),IF(COUNTIFS($D:$D,$D238,$A:$A,$A238,$B:$B,$B238,$G:$G,"CDU",$J:$J,"PLANNED")&gt;0,"tied","standalone"),"")</f>
        <v/>
      </c>
    </row>
    <row r="239" spans="1:14">
      <c r="A239" s="6">
        <v>2023</v>
      </c>
      <c r="B239" s="6">
        <v>1</v>
      </c>
      <c r="C239" s="6" t="s">
        <v>60</v>
      </c>
      <c r="D239" s="6" t="s">
        <v>452</v>
      </c>
      <c r="E239" s="6" t="s">
        <v>453</v>
      </c>
      <c r="F239" s="6" t="str">
        <f>IF($M239="PADD I","PADD 1",IF($M239="PADD II","PADD 2",IF($M239="PADD III","PADD 3",IF($M239="PADD IV","PADD 4",IF($M239="PADD V","PADD 5","")))))</f>
        <v>PADD 3</v>
      </c>
      <c r="G239" s="6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6" t="s">
        <v>510</v>
      </c>
      <c r="I239" s="6" t="s">
        <v>653</v>
      </c>
      <c r="J239" s="6" t="s">
        <v>398</v>
      </c>
      <c r="K239" s="10">
        <v>3.696</v>
      </c>
      <c r="L239" s="10">
        <v>4.8</v>
      </c>
      <c r="M239" s="6" t="s">
        <v>421</v>
      </c>
      <c r="N239" s="6">
        <f>IF(OR($G239="FCC",$G239="Hydrocracker",$G239="Reformer"),IF(COUNTIFS($D:$D,$D239,$A:$A,$A239,$B:$B,$B239,$G:$G,"CDU",$J:$J,"PLANNED")&gt;0,"tied","standalone"),"")</f>
        <v/>
      </c>
    </row>
    <row r="240" spans="1:14">
      <c r="A240" s="6">
        <v>2023</v>
      </c>
      <c r="B240" s="6">
        <v>1</v>
      </c>
      <c r="C240" s="6" t="s">
        <v>60</v>
      </c>
      <c r="D240" s="6" t="s">
        <v>581</v>
      </c>
      <c r="E240" s="6" t="s">
        <v>582</v>
      </c>
      <c r="F240" s="6" t="str">
        <f>IF($M240="PADD I","PADD 1",IF($M240="PADD II","PADD 2",IF($M240="PADD III","PADD 3",IF($M240="PADD IV","PADD 4",IF($M240="PADD V","PADD 5","")))))</f>
        <v>PADD 5</v>
      </c>
      <c r="G240" s="6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6" t="s">
        <v>471</v>
      </c>
      <c r="I240" s="6" t="s">
        <v>607</v>
      </c>
      <c r="J240" s="6" t="s">
        <v>394</v>
      </c>
      <c r="K240" s="10">
        <v>3.6</v>
      </c>
      <c r="L240" s="10">
        <v>22.5</v>
      </c>
      <c r="M240" s="6" t="s">
        <v>436</v>
      </c>
      <c r="N240" s="6" t="str">
        <f>IF(OR($G240="FCC",$G240="Hydrocracker",$G240="Reformer"),IF(COUNTIFS($D:$D,$D240,$A:$A,$A240,$B:$B,$B240,$G:$G,"CDU",$J:$J,"PLANNED")&gt;0,"tied","standalone"),"")</f>
        <v>standalone</v>
      </c>
    </row>
    <row r="241" spans="1:14">
      <c r="A241" s="6">
        <v>2023</v>
      </c>
      <c r="B241" s="6">
        <v>1</v>
      </c>
      <c r="C241" s="6" t="s">
        <v>60</v>
      </c>
      <c r="D241" s="6" t="s">
        <v>576</v>
      </c>
      <c r="E241" s="6" t="s">
        <v>455</v>
      </c>
      <c r="F241" s="6" t="str">
        <f>IF($M241="PADD I","PADD 1",IF($M241="PADD II","PADD 2",IF($M241="PADD III","PADD 3",IF($M241="PADD IV","PADD 4",IF($M241="PADD V","PADD 5","")))))</f>
        <v>PADD 3</v>
      </c>
      <c r="G241" s="6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6" t="s">
        <v>494</v>
      </c>
      <c r="I241" s="6" t="s">
        <v>400</v>
      </c>
      <c r="J241" s="6" t="s">
        <v>394</v>
      </c>
      <c r="K241" s="10">
        <v>3.42</v>
      </c>
      <c r="L241" s="10">
        <v>57</v>
      </c>
      <c r="M241" s="6" t="s">
        <v>421</v>
      </c>
      <c r="N241" s="6" t="str">
        <f>IF(OR($G241="FCC",$G241="Hydrocracker",$G241="Reformer"),IF(COUNTIFS($D:$D,$D241,$A:$A,$A241,$B:$B,$B241,$G:$G,"CDU",$J:$J,"PLANNED")&gt;0,"tied","standalone"),"")</f>
        <v>standalone</v>
      </c>
    </row>
    <row r="242" spans="1:14">
      <c r="A242" s="6">
        <v>2023</v>
      </c>
      <c r="B242" s="6">
        <v>1</v>
      </c>
      <c r="C242" s="6" t="s">
        <v>60</v>
      </c>
      <c r="D242" s="6" t="s">
        <v>501</v>
      </c>
      <c r="E242" s="6" t="s">
        <v>502</v>
      </c>
      <c r="F242" s="6" t="str">
        <f>IF($M242="PADD I","PADD 1",IF($M242="PADD II","PADD 2",IF($M242="PADD III","PADD 3",IF($M242="PADD IV","PADD 4",IF($M242="PADD V","PADD 5","")))))</f>
        <v>PADD 2</v>
      </c>
      <c r="G242" s="6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6" t="s">
        <v>618</v>
      </c>
      <c r="I242" s="6" t="s">
        <v>654</v>
      </c>
      <c r="J242" s="6" t="s">
        <v>394</v>
      </c>
      <c r="K242" s="10">
        <v>3.355</v>
      </c>
      <c r="L242" s="10">
        <v>5.5</v>
      </c>
      <c r="M242" s="6" t="s">
        <v>425</v>
      </c>
      <c r="N242" s="6">
        <f>IF(OR($G242="FCC",$G242="Hydrocracker",$G242="Reformer"),IF(COUNTIFS($D:$D,$D242,$A:$A,$A242,$B:$B,$B242,$G:$G,"CDU",$J:$J,"PLANNED")&gt;0,"tied","standalone"),"")</f>
        <v/>
      </c>
    </row>
    <row r="243" spans="1:14">
      <c r="A243" s="6">
        <v>2023</v>
      </c>
      <c r="B243" s="6">
        <v>1</v>
      </c>
      <c r="C243" s="6" t="s">
        <v>60</v>
      </c>
      <c r="D243" s="6" t="s">
        <v>561</v>
      </c>
      <c r="E243" s="6" t="s">
        <v>455</v>
      </c>
      <c r="F243" s="6" t="str">
        <f>IF($M243="PADD I","PADD 1",IF($M243="PADD II","PADD 2",IF($M243="PADD III","PADD 3",IF($M243="PADD IV","PADD 4",IF($M243="PADD V","PADD 5","")))))</f>
        <v>PADD 3</v>
      </c>
      <c r="G243" s="6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6" t="s">
        <v>44</v>
      </c>
      <c r="I243" s="6" t="s">
        <v>655</v>
      </c>
      <c r="J243" s="6" t="s">
        <v>398</v>
      </c>
      <c r="K243" s="10">
        <v>3.25</v>
      </c>
      <c r="L243" s="10">
        <v>25</v>
      </c>
      <c r="M243" s="6" t="s">
        <v>421</v>
      </c>
      <c r="N243" s="6">
        <f>IF(OR($G243="FCC",$G243="Hydrocracker",$G243="Reformer"),IF(COUNTIFS($D:$D,$D243,$A:$A,$A243,$B:$B,$B243,$G:$G,"CDU",$J:$J,"PLANNED")&gt;0,"tied","standalone"),"")</f>
        <v/>
      </c>
    </row>
    <row r="244" spans="1:14">
      <c r="A244" s="6">
        <v>2023</v>
      </c>
      <c r="B244" s="6">
        <v>1</v>
      </c>
      <c r="C244" s="6" t="s">
        <v>60</v>
      </c>
      <c r="D244" s="6" t="s">
        <v>458</v>
      </c>
      <c r="E244" s="6" t="s">
        <v>459</v>
      </c>
      <c r="F244" s="6" t="str">
        <f>IF($M244="PADD I","PADD 1",IF($M244="PADD II","PADD 2",IF($M244="PADD III","PADD 3",IF($M244="PADD IV","PADD 4",IF($M244="PADD V","PADD 5","")))))</f>
        <v>PADD 3</v>
      </c>
      <c r="G244" s="6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6" t="s">
        <v>510</v>
      </c>
      <c r="I244" s="6" t="s">
        <v>656</v>
      </c>
      <c r="J244" s="6" t="s">
        <v>394</v>
      </c>
      <c r="K244" s="10">
        <v>3.05</v>
      </c>
      <c r="L244" s="10">
        <v>5</v>
      </c>
      <c r="M244" s="6" t="s">
        <v>421</v>
      </c>
      <c r="N244" s="6">
        <f>IF(OR($G244="FCC",$G244="Hydrocracker",$G244="Reformer"),IF(COUNTIFS($D:$D,$D244,$A:$A,$A244,$B:$B,$B244,$G:$G,"CDU",$J:$J,"PLANNED")&gt;0,"tied","standalone"),"")</f>
        <v/>
      </c>
    </row>
    <row r="245" spans="1:14">
      <c r="A245" s="6">
        <v>2023</v>
      </c>
      <c r="B245" s="6">
        <v>1</v>
      </c>
      <c r="C245" s="6" t="s">
        <v>60</v>
      </c>
      <c r="D245" s="6" t="s">
        <v>383</v>
      </c>
      <c r="E245" s="6" t="s">
        <v>602</v>
      </c>
      <c r="F245" s="6" t="str">
        <f>IF($M245="PADD I","PADD 1",IF($M245="PADD II","PADD 2",IF($M245="PADD III","PADD 3",IF($M245="PADD IV","PADD 4",IF($M245="PADD V","PADD 5","")))))</f>
        <v>PADD 3</v>
      </c>
      <c r="G245" s="6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6" t="s">
        <v>44</v>
      </c>
      <c r="I245" s="6" t="s">
        <v>657</v>
      </c>
      <c r="J245" s="6" t="s">
        <v>394</v>
      </c>
      <c r="K245" s="10">
        <v>3.024</v>
      </c>
      <c r="L245" s="10">
        <v>18.9</v>
      </c>
      <c r="M245" s="6" t="s">
        <v>421</v>
      </c>
      <c r="N245" s="6">
        <f>IF(OR($G245="FCC",$G245="Hydrocracker",$G245="Reformer"),IF(COUNTIFS($D:$D,$D245,$A:$A,$A245,$B:$B,$B245,$G:$G,"CDU",$J:$J,"PLANNED")&gt;0,"tied","standalone"),"")</f>
        <v/>
      </c>
    </row>
    <row r="246" spans="1:14">
      <c r="A246" s="6">
        <v>2023</v>
      </c>
      <c r="B246" s="6">
        <v>1</v>
      </c>
      <c r="C246" s="6" t="s">
        <v>60</v>
      </c>
      <c r="D246" s="6" t="s">
        <v>422</v>
      </c>
      <c r="E246" s="6" t="s">
        <v>423</v>
      </c>
      <c r="F246" s="6" t="str">
        <f>IF($M246="PADD I","PADD 1",IF($M246="PADD II","PADD 2",IF($M246="PADD III","PADD 3",IF($M246="PADD IV","PADD 4",IF($M246="PADD V","PADD 5","")))))</f>
        <v>PADD 2</v>
      </c>
      <c r="G246" s="6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6" t="s">
        <v>510</v>
      </c>
      <c r="I246" s="6" t="s">
        <v>591</v>
      </c>
      <c r="J246" s="6" t="s">
        <v>394</v>
      </c>
      <c r="K246" s="10">
        <v>3</v>
      </c>
      <c r="L246" s="10">
        <v>3</v>
      </c>
      <c r="M246" s="6" t="s">
        <v>425</v>
      </c>
      <c r="N246" s="6">
        <f>IF(OR($G246="FCC",$G246="Hydrocracker",$G246="Reformer"),IF(COUNTIFS($D:$D,$D246,$A:$A,$A246,$B:$B,$B246,$G:$G,"CDU",$J:$J,"PLANNED")&gt;0,"tied","standalone"),"")</f>
        <v/>
      </c>
    </row>
    <row r="247" spans="1:14">
      <c r="A247" s="6">
        <v>2023</v>
      </c>
      <c r="B247" s="6">
        <v>1</v>
      </c>
      <c r="C247" s="6" t="s">
        <v>60</v>
      </c>
      <c r="D247" s="6" t="s">
        <v>422</v>
      </c>
      <c r="E247" s="6" t="s">
        <v>423</v>
      </c>
      <c r="F247" s="6" t="str">
        <f>IF($M247="PADD I","PADD 1",IF($M247="PADD II","PADD 2",IF($M247="PADD III","PADD 3",IF($M247="PADD IV","PADD 4",IF($M247="PADD V","PADD 5","")))))</f>
        <v>PADD 2</v>
      </c>
      <c r="G247" s="6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6" t="s">
        <v>510</v>
      </c>
      <c r="I247" s="6" t="s">
        <v>658</v>
      </c>
      <c r="J247" s="6" t="s">
        <v>394</v>
      </c>
      <c r="K247" s="10">
        <v>3</v>
      </c>
      <c r="L247" s="10">
        <v>3</v>
      </c>
      <c r="M247" s="6" t="s">
        <v>425</v>
      </c>
      <c r="N247" s="6">
        <f>IF(OR($G247="FCC",$G247="Hydrocracker",$G247="Reformer"),IF(COUNTIFS($D:$D,$D247,$A:$A,$A247,$B:$B,$B247,$G:$G,"CDU",$J:$J,"PLANNED")&gt;0,"tied","standalone"),"")</f>
        <v/>
      </c>
    </row>
    <row r="248" spans="1:14">
      <c r="A248" s="6">
        <v>2023</v>
      </c>
      <c r="B248" s="6">
        <v>1</v>
      </c>
      <c r="C248" s="6" t="s">
        <v>60</v>
      </c>
      <c r="D248" s="6" t="s">
        <v>371</v>
      </c>
      <c r="E248" s="6" t="s">
        <v>419</v>
      </c>
      <c r="F248" s="6" t="str">
        <f>IF($M248="PADD I","PADD 1",IF($M248="PADD II","PADD 2",IF($M248="PADD III","PADD 3",IF($M248="PADD IV","PADD 4",IF($M248="PADD V","PADD 5","")))))</f>
        <v>PADD 2</v>
      </c>
      <c r="G248" s="6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6" t="s">
        <v>44</v>
      </c>
      <c r="I248" s="6" t="s">
        <v>659</v>
      </c>
      <c r="J248" s="6" t="s">
        <v>394</v>
      </c>
      <c r="K248" s="10">
        <v>3</v>
      </c>
      <c r="L248" s="10">
        <v>50</v>
      </c>
      <c r="M248" s="6" t="s">
        <v>425</v>
      </c>
      <c r="N248" s="6">
        <f>IF(OR($G248="FCC",$G248="Hydrocracker",$G248="Reformer"),IF(COUNTIFS($D:$D,$D248,$A:$A,$A248,$B:$B,$B248,$G:$G,"CDU",$J:$J,"PLANNED")&gt;0,"tied","standalone"),"")</f>
        <v/>
      </c>
    </row>
    <row r="249" spans="1:14">
      <c r="A249" s="6">
        <v>2023</v>
      </c>
      <c r="B249" s="6">
        <v>1</v>
      </c>
      <c r="C249" s="6" t="s">
        <v>60</v>
      </c>
      <c r="D249" s="6" t="s">
        <v>622</v>
      </c>
      <c r="E249" s="6" t="s">
        <v>623</v>
      </c>
      <c r="F249" s="6" t="str">
        <f>IF($M249="PADD I","PADD 1",IF($M249="PADD II","PADD 2",IF($M249="PADD III","PADD 3",IF($M249="PADD IV","PADD 4",IF($M249="PADD V","PADD 5","")))))</f>
        <v>PADD 3</v>
      </c>
      <c r="G249" s="6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6" t="s">
        <v>39</v>
      </c>
      <c r="I249" s="6" t="s">
        <v>624</v>
      </c>
      <c r="J249" s="6" t="s">
        <v>394</v>
      </c>
      <c r="K249" s="10">
        <v>3</v>
      </c>
      <c r="L249" s="10">
        <v>50</v>
      </c>
      <c r="M249" s="6" t="s">
        <v>421</v>
      </c>
      <c r="N249" s="6">
        <f>IF(OR($G249="FCC",$G249="Hydrocracker",$G249="Reformer"),IF(COUNTIFS($D:$D,$D249,$A:$A,$A249,$B:$B,$B249,$G:$G,"CDU",$J:$J,"PLANNED")&gt;0,"tied","standalone"),"")</f>
        <v/>
      </c>
    </row>
    <row r="250" spans="1:14">
      <c r="A250" s="6">
        <v>2023</v>
      </c>
      <c r="B250" s="6">
        <v>1</v>
      </c>
      <c r="C250" s="6" t="s">
        <v>60</v>
      </c>
      <c r="D250" s="6" t="s">
        <v>660</v>
      </c>
      <c r="E250" s="6" t="s">
        <v>661</v>
      </c>
      <c r="F250" s="6" t="str">
        <f>IF($M250="PADD I","PADD 1",IF($M250="PADD II","PADD 2",IF($M250="PADD III","PADD 3",IF($M250="PADD IV","PADD 4",IF($M250="PADD V","PADD 5","")))))</f>
        <v>PADD 2</v>
      </c>
      <c r="G250" s="6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6" t="s">
        <v>39</v>
      </c>
      <c r="I250" s="6" t="s">
        <v>424</v>
      </c>
      <c r="J250" s="6" t="s">
        <v>394</v>
      </c>
      <c r="K250" s="10">
        <v>2.85</v>
      </c>
      <c r="L250" s="10">
        <v>15</v>
      </c>
      <c r="M250" s="6" t="s">
        <v>425</v>
      </c>
      <c r="N250" s="6">
        <f>IF(OR($G250="FCC",$G250="Hydrocracker",$G250="Reformer"),IF(COUNTIFS($D:$D,$D250,$A:$A,$A250,$B:$B,$B250,$G:$G,"CDU",$J:$J,"PLANNED")&gt;0,"tied","standalone"),"")</f>
        <v/>
      </c>
    </row>
    <row r="251" spans="1:14">
      <c r="A251" s="6">
        <v>2023</v>
      </c>
      <c r="B251" s="6">
        <v>1</v>
      </c>
      <c r="C251" s="6" t="s">
        <v>60</v>
      </c>
      <c r="D251" s="6" t="s">
        <v>445</v>
      </c>
      <c r="E251" s="6" t="s">
        <v>446</v>
      </c>
      <c r="F251" s="6" t="str">
        <f>IF($M251="PADD I","PADD 1",IF($M251="PADD II","PADD 2",IF($M251="PADD III","PADD 3",IF($M251="PADD IV","PADD 4",IF($M251="PADD V","PADD 5","")))))</f>
        <v>PADD 3</v>
      </c>
      <c r="G251" s="6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6" t="s">
        <v>471</v>
      </c>
      <c r="I251" s="6" t="s">
        <v>590</v>
      </c>
      <c r="J251" s="6" t="s">
        <v>394</v>
      </c>
      <c r="K251" s="10">
        <v>2.7</v>
      </c>
      <c r="L251" s="10">
        <v>45</v>
      </c>
      <c r="M251" s="6" t="s">
        <v>421</v>
      </c>
      <c r="N251" s="6" t="str">
        <f>IF(OR($G251="FCC",$G251="Hydrocracker",$G251="Reformer"),IF(COUNTIFS($D:$D,$D251,$A:$A,$A251,$B:$B,$B251,$G:$G,"CDU",$J:$J,"PLANNED")&gt;0,"tied","standalone"),"")</f>
        <v>standalone</v>
      </c>
    </row>
    <row r="252" spans="1:14">
      <c r="A252" s="6">
        <v>2023</v>
      </c>
      <c r="B252" s="6">
        <v>1</v>
      </c>
      <c r="C252" s="6" t="s">
        <v>60</v>
      </c>
      <c r="D252" s="6" t="s">
        <v>662</v>
      </c>
      <c r="E252" s="6" t="s">
        <v>466</v>
      </c>
      <c r="F252" s="6" t="str">
        <f>IF($M252="PADD I","PADD 1",IF($M252="PADD II","PADD 2",IF($M252="PADD III","PADD 3",IF($M252="PADD IV","PADD 4",IF($M252="PADD V","PADD 5","")))))</f>
        <v>PADD 3</v>
      </c>
      <c r="G252" s="6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6" t="s">
        <v>485</v>
      </c>
      <c r="I252" s="6" t="s">
        <v>491</v>
      </c>
      <c r="J252" s="6" t="s">
        <v>394</v>
      </c>
      <c r="K252" s="10">
        <v>2.64</v>
      </c>
      <c r="L252" s="10">
        <v>44</v>
      </c>
      <c r="M252" s="6" t="s">
        <v>421</v>
      </c>
      <c r="N252" s="6">
        <f>IF(OR($G252="FCC",$G252="Hydrocracker",$G252="Reformer"),IF(COUNTIFS($D:$D,$D252,$A:$A,$A252,$B:$B,$B252,$G:$G,"CDU",$J:$J,"PLANNED")&gt;0,"tied","standalone"),"")</f>
        <v/>
      </c>
    </row>
    <row r="253" spans="1:14">
      <c r="A253" s="6">
        <v>2023</v>
      </c>
      <c r="B253" s="6">
        <v>1</v>
      </c>
      <c r="C253" s="6" t="s">
        <v>60</v>
      </c>
      <c r="D253" s="6" t="s">
        <v>383</v>
      </c>
      <c r="E253" s="6" t="s">
        <v>602</v>
      </c>
      <c r="F253" s="6" t="str">
        <f>IF($M253="PADD I","PADD 1",IF($M253="PADD II","PADD 2",IF($M253="PADD III","PADD 3",IF($M253="PADD IV","PADD 4",IF($M253="PADD V","PADD 5","")))))</f>
        <v>PADD 3</v>
      </c>
      <c r="G253" s="6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6" t="s">
        <v>426</v>
      </c>
      <c r="I253" s="6" t="s">
        <v>663</v>
      </c>
      <c r="J253" s="6" t="s">
        <v>394</v>
      </c>
      <c r="K253" s="10">
        <v>2.6</v>
      </c>
      <c r="L253" s="10">
        <v>20</v>
      </c>
      <c r="M253" s="6" t="s">
        <v>421</v>
      </c>
      <c r="N253" s="6" t="str">
        <f>IF(OR($G253="FCC",$G253="Hydrocracker",$G253="Reformer"),IF(COUNTIFS($D:$D,$D253,$A:$A,$A253,$B:$B,$B253,$G:$G,"CDU",$J:$J,"PLANNED")&gt;0,"tied","standalone"),"")</f>
        <v>standalone</v>
      </c>
    </row>
    <row r="254" spans="1:14">
      <c r="A254" s="6">
        <v>2023</v>
      </c>
      <c r="B254" s="6">
        <v>1</v>
      </c>
      <c r="C254" s="6" t="s">
        <v>60</v>
      </c>
      <c r="D254" s="6" t="s">
        <v>445</v>
      </c>
      <c r="E254" s="6" t="s">
        <v>446</v>
      </c>
      <c r="F254" s="6" t="str">
        <f>IF($M254="PADD I","PADD 1",IF($M254="PADD II","PADD 2",IF($M254="PADD III","PADD 3",IF($M254="PADD IV","PADD 4",IF($M254="PADD V","PADD 5","")))))</f>
        <v>PADD 3</v>
      </c>
      <c r="G254" s="6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6" t="s">
        <v>44</v>
      </c>
      <c r="I254" s="6" t="s">
        <v>595</v>
      </c>
      <c r="J254" s="6" t="s">
        <v>394</v>
      </c>
      <c r="K254" s="10">
        <v>2.58</v>
      </c>
      <c r="L254" s="10">
        <v>43</v>
      </c>
      <c r="M254" s="6" t="s">
        <v>421</v>
      </c>
      <c r="N254" s="6">
        <f>IF(OR($G254="FCC",$G254="Hydrocracker",$G254="Reformer"),IF(COUNTIFS($D:$D,$D254,$A:$A,$A254,$B:$B,$B254,$G:$G,"CDU",$J:$J,"PLANNED")&gt;0,"tied","standalone"),"")</f>
        <v/>
      </c>
    </row>
    <row r="255" spans="1:14">
      <c r="A255" s="6">
        <v>2023</v>
      </c>
      <c r="B255" s="6">
        <v>1</v>
      </c>
      <c r="C255" s="6" t="s">
        <v>60</v>
      </c>
      <c r="D255" s="6" t="s">
        <v>568</v>
      </c>
      <c r="E255" s="6" t="s">
        <v>419</v>
      </c>
      <c r="F255" s="6" t="str">
        <f>IF($M255="PADD I","PADD 1",IF($M255="PADD II","PADD 2",IF($M255="PADD III","PADD 3",IF($M255="PADD IV","PADD 4",IF($M255="PADD V","PADD 5","")))))</f>
        <v>PADD 5</v>
      </c>
      <c r="G255" s="6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6" t="s">
        <v>494</v>
      </c>
      <c r="I255" s="6" t="s">
        <v>584</v>
      </c>
      <c r="J255" s="6" t="s">
        <v>398</v>
      </c>
      <c r="K255" s="10">
        <v>2.52</v>
      </c>
      <c r="L255" s="10">
        <v>42</v>
      </c>
      <c r="M255" s="6" t="s">
        <v>436</v>
      </c>
      <c r="N255" s="6" t="str">
        <f>IF(OR($G255="FCC",$G255="Hydrocracker",$G255="Reformer"),IF(COUNTIFS($D:$D,$D255,$A:$A,$A255,$B:$B,$B255,$G:$G,"CDU",$J:$J,"PLANNED")&gt;0,"tied","standalone"),"")</f>
        <v>tied</v>
      </c>
    </row>
    <row r="256" spans="1:14">
      <c r="A256" s="6">
        <v>2023</v>
      </c>
      <c r="B256" s="6">
        <v>1</v>
      </c>
      <c r="C256" s="6" t="s">
        <v>60</v>
      </c>
      <c r="D256" s="6" t="s">
        <v>445</v>
      </c>
      <c r="E256" s="6" t="s">
        <v>446</v>
      </c>
      <c r="F256" s="6" t="str">
        <f>IF($M256="PADD I","PADD 1",IF($M256="PADD II","PADD 2",IF($M256="PADD III","PADD 3",IF($M256="PADD IV","PADD 4",IF($M256="PADD V","PADD 5","")))))</f>
        <v>PADD 3</v>
      </c>
      <c r="G256" s="6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6" t="s">
        <v>44</v>
      </c>
      <c r="I256" s="6" t="s">
        <v>601</v>
      </c>
      <c r="J256" s="6" t="s">
        <v>394</v>
      </c>
      <c r="K256" s="10">
        <v>2.454</v>
      </c>
      <c r="L256" s="10">
        <v>40.9</v>
      </c>
      <c r="M256" s="6" t="s">
        <v>421</v>
      </c>
      <c r="N256" s="6">
        <f>IF(OR($G256="FCC",$G256="Hydrocracker",$G256="Reformer"),IF(COUNTIFS($D:$D,$D256,$A:$A,$A256,$B:$B,$B256,$G:$G,"CDU",$J:$J,"PLANNED")&gt;0,"tied","standalone"),"")</f>
        <v/>
      </c>
    </row>
    <row r="257" spans="1:14">
      <c r="A257" s="6">
        <v>2023</v>
      </c>
      <c r="B257" s="6">
        <v>1</v>
      </c>
      <c r="C257" s="6" t="s">
        <v>60</v>
      </c>
      <c r="D257" s="6" t="s">
        <v>613</v>
      </c>
      <c r="E257" s="6" t="s">
        <v>446</v>
      </c>
      <c r="F257" s="6" t="str">
        <f>IF($M257="PADD I","PADD 1",IF($M257="PADD II","PADD 2",IF($M257="PADD III","PADD 3",IF($M257="PADD IV","PADD 4",IF($M257="PADD V","PADD 5","")))))</f>
        <v>PADD 3</v>
      </c>
      <c r="G257" s="6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6" t="s">
        <v>44</v>
      </c>
      <c r="I257" s="6" t="s">
        <v>614</v>
      </c>
      <c r="J257" s="6" t="s">
        <v>394</v>
      </c>
      <c r="K257" s="10">
        <v>2.454</v>
      </c>
      <c r="L257" s="10">
        <v>40.9</v>
      </c>
      <c r="M257" s="6" t="s">
        <v>421</v>
      </c>
      <c r="N257" s="6">
        <f>IF(OR($G257="FCC",$G257="Hydrocracker",$G257="Reformer"),IF(COUNTIFS($D:$D,$D257,$A:$A,$A257,$B:$B,$B257,$G:$G,"CDU",$J:$J,"PLANNED")&gt;0,"tied","standalone"),"")</f>
        <v/>
      </c>
    </row>
    <row r="258" spans="1:14">
      <c r="A258" s="6">
        <v>2023</v>
      </c>
      <c r="B258" s="6">
        <v>1</v>
      </c>
      <c r="C258" s="6" t="s">
        <v>60</v>
      </c>
      <c r="D258" s="6" t="s">
        <v>383</v>
      </c>
      <c r="E258" s="6" t="s">
        <v>602</v>
      </c>
      <c r="F258" s="6" t="str">
        <f>IF($M258="PADD I","PADD 1",IF($M258="PADD II","PADD 2",IF($M258="PADD III","PADD 3",IF($M258="PADD IV","PADD 4",IF($M258="PADD V","PADD 5","")))))</f>
        <v>PADD 3</v>
      </c>
      <c r="G258" s="6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6" t="s">
        <v>428</v>
      </c>
      <c r="I258" s="6" t="s">
        <v>605</v>
      </c>
      <c r="J258" s="6" t="s">
        <v>394</v>
      </c>
      <c r="K258" s="10">
        <v>2.4089</v>
      </c>
      <c r="L258" s="10">
        <v>18.53</v>
      </c>
      <c r="M258" s="6" t="s">
        <v>421</v>
      </c>
      <c r="N258" s="6">
        <f>IF(OR($G258="FCC",$G258="Hydrocracker",$G258="Reformer"),IF(COUNTIFS($D:$D,$D258,$A:$A,$A258,$B:$B,$B258,$G:$G,"CDU",$J:$J,"PLANNED")&gt;0,"tied","standalone"),"")</f>
        <v/>
      </c>
    </row>
    <row r="259" spans="1:14">
      <c r="A259" s="6">
        <v>2023</v>
      </c>
      <c r="B259" s="6">
        <v>1</v>
      </c>
      <c r="C259" s="6" t="s">
        <v>60</v>
      </c>
      <c r="D259" s="6" t="s">
        <v>380</v>
      </c>
      <c r="E259" s="6" t="s">
        <v>423</v>
      </c>
      <c r="F259" s="6" t="str">
        <f>IF($M259="PADD I","PADD 1",IF($M259="PADD II","PADD 2",IF($M259="PADD III","PADD 3",IF($M259="PADD IV","PADD 4",IF($M259="PADD V","PADD 5","")))))</f>
        <v>PADD 2</v>
      </c>
      <c r="G259" s="6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6" t="s">
        <v>485</v>
      </c>
      <c r="I259" s="6" t="s">
        <v>491</v>
      </c>
      <c r="J259" s="6" t="s">
        <v>394</v>
      </c>
      <c r="K259" s="10">
        <v>2.3</v>
      </c>
      <c r="L259" s="10">
        <v>23</v>
      </c>
      <c r="M259" s="6" t="s">
        <v>425</v>
      </c>
      <c r="N259" s="6">
        <f>IF(OR($G259="FCC",$G259="Hydrocracker",$G259="Reformer"),IF(COUNTIFS($D:$D,$D259,$A:$A,$A259,$B:$B,$B259,$G:$G,"CDU",$J:$J,"PLANNED")&gt;0,"tied","standalone"),"")</f>
        <v/>
      </c>
    </row>
    <row r="260" spans="1:14">
      <c r="A260" s="6">
        <v>2023</v>
      </c>
      <c r="B260" s="6">
        <v>1</v>
      </c>
      <c r="C260" s="6" t="s">
        <v>60</v>
      </c>
      <c r="D260" s="6" t="s">
        <v>660</v>
      </c>
      <c r="E260" s="6" t="s">
        <v>661</v>
      </c>
      <c r="F260" s="6" t="str">
        <f>IF($M260="PADD I","PADD 1",IF($M260="PADD II","PADD 2",IF($M260="PADD III","PADD 3",IF($M260="PADD IV","PADD 4",IF($M260="PADD V","PADD 5","")))))</f>
        <v>PADD 2</v>
      </c>
      <c r="G260" s="6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6" t="s">
        <v>39</v>
      </c>
      <c r="I260" s="6" t="s">
        <v>381</v>
      </c>
      <c r="J260" s="6" t="s">
        <v>394</v>
      </c>
      <c r="K260" s="10">
        <v>2.28</v>
      </c>
      <c r="L260" s="10">
        <v>12</v>
      </c>
      <c r="M260" s="6" t="s">
        <v>425</v>
      </c>
      <c r="N260" s="6">
        <f>IF(OR($G260="FCC",$G260="Hydrocracker",$G260="Reformer"),IF(COUNTIFS($D:$D,$D260,$A:$A,$A260,$B:$B,$B260,$G:$G,"CDU",$J:$J,"PLANNED")&gt;0,"tied","standalone"),"")</f>
        <v/>
      </c>
    </row>
    <row r="261" spans="1:14">
      <c r="A261" s="6">
        <v>2023</v>
      </c>
      <c r="B261" s="6">
        <v>1</v>
      </c>
      <c r="C261" s="6" t="s">
        <v>60</v>
      </c>
      <c r="D261" s="6" t="s">
        <v>383</v>
      </c>
      <c r="E261" s="6" t="s">
        <v>602</v>
      </c>
      <c r="F261" s="6" t="str">
        <f>IF($M261="PADD I","PADD 1",IF($M261="PADD II","PADD 2",IF($M261="PADD III","PADD 3",IF($M261="PADD IV","PADD 4",IF($M261="PADD V","PADD 5","")))))</f>
        <v>PADD 3</v>
      </c>
      <c r="G261" s="6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6" t="s">
        <v>44</v>
      </c>
      <c r="I261" s="6" t="s">
        <v>551</v>
      </c>
      <c r="J261" s="6" t="s">
        <v>394</v>
      </c>
      <c r="K261" s="10">
        <v>2.16</v>
      </c>
      <c r="L261" s="10">
        <v>13.5</v>
      </c>
      <c r="M261" s="6" t="s">
        <v>421</v>
      </c>
      <c r="N261" s="6">
        <f>IF(OR($G261="FCC",$G261="Hydrocracker",$G261="Reformer"),IF(COUNTIFS($D:$D,$D261,$A:$A,$A261,$B:$B,$B261,$G:$G,"CDU",$J:$J,"PLANNED")&gt;0,"tied","standalone"),"")</f>
        <v/>
      </c>
    </row>
    <row r="262" spans="1:14">
      <c r="A262" s="6">
        <v>2023</v>
      </c>
      <c r="B262" s="6">
        <v>1</v>
      </c>
      <c r="C262" s="6" t="s">
        <v>60</v>
      </c>
      <c r="D262" s="6" t="s">
        <v>581</v>
      </c>
      <c r="E262" s="6" t="s">
        <v>582</v>
      </c>
      <c r="F262" s="6" t="str">
        <f>IF($M262="PADD I","PADD 1",IF($M262="PADD II","PADD 2",IF($M262="PADD III","PADD 3",IF($M262="PADD IV","PADD 4",IF($M262="PADD V","PADD 5","")))))</f>
        <v>PADD 5</v>
      </c>
      <c r="G262" s="6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6" t="s">
        <v>485</v>
      </c>
      <c r="I262" s="6" t="s">
        <v>664</v>
      </c>
      <c r="J262" s="6" t="s">
        <v>394</v>
      </c>
      <c r="K262" s="10">
        <v>2.16</v>
      </c>
      <c r="L262" s="10">
        <v>13.5</v>
      </c>
      <c r="M262" s="6" t="s">
        <v>436</v>
      </c>
      <c r="N262" s="6">
        <f>IF(OR($G262="FCC",$G262="Hydrocracker",$G262="Reformer"),IF(COUNTIFS($D:$D,$D262,$A:$A,$A262,$B:$B,$B262,$G:$G,"CDU",$J:$J,"PLANNED")&gt;0,"tied","standalone"),"")</f>
        <v/>
      </c>
    </row>
    <row r="263" spans="1:14">
      <c r="A263" s="6">
        <v>2023</v>
      </c>
      <c r="B263" s="6">
        <v>1</v>
      </c>
      <c r="C263" s="6" t="s">
        <v>60</v>
      </c>
      <c r="D263" s="6" t="s">
        <v>665</v>
      </c>
      <c r="E263" s="6" t="s">
        <v>455</v>
      </c>
      <c r="F263" s="6" t="str">
        <f>IF($M263="PADD I","PADD 1",IF($M263="PADD II","PADD 2",IF($M263="PADD III","PADD 3",IF($M263="PADD IV","PADD 4",IF($M263="PADD V","PADD 5","")))))</f>
        <v>PADD 5</v>
      </c>
      <c r="G263" s="6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6" t="s">
        <v>494</v>
      </c>
      <c r="I263" s="6" t="s">
        <v>14</v>
      </c>
      <c r="J263" s="6" t="s">
        <v>398</v>
      </c>
      <c r="K263" s="10">
        <v>2.16</v>
      </c>
      <c r="L263" s="10">
        <v>36</v>
      </c>
      <c r="M263" s="6" t="s">
        <v>436</v>
      </c>
      <c r="N263" s="6" t="str">
        <f>IF(OR($G263="FCC",$G263="Hydrocracker",$G263="Reformer"),IF(COUNTIFS($D:$D,$D263,$A:$A,$A263,$B:$B,$B263,$G:$G,"CDU",$J:$J,"PLANNED")&gt;0,"tied","standalone"),"")</f>
        <v>standalone</v>
      </c>
    </row>
    <row r="264" spans="1:14">
      <c r="A264" s="6">
        <v>2023</v>
      </c>
      <c r="B264" s="6">
        <v>1</v>
      </c>
      <c r="C264" s="6" t="s">
        <v>60</v>
      </c>
      <c r="D264" s="6" t="s">
        <v>581</v>
      </c>
      <c r="E264" s="6" t="s">
        <v>582</v>
      </c>
      <c r="F264" s="6" t="str">
        <f>IF($M264="PADD I","PADD 1",IF($M264="PADD II","PADD 2",IF($M264="PADD III","PADD 3",IF($M264="PADD IV","PADD 4",IF($M264="PADD V","PADD 5","")))))</f>
        <v>PADD 5</v>
      </c>
      <c r="G264" s="6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6" t="s">
        <v>510</v>
      </c>
      <c r="I264" s="6" t="s">
        <v>666</v>
      </c>
      <c r="J264" s="6" t="s">
        <v>394</v>
      </c>
      <c r="K264" s="10">
        <v>2.04</v>
      </c>
      <c r="L264" s="10">
        <v>12.75</v>
      </c>
      <c r="M264" s="6" t="s">
        <v>436</v>
      </c>
      <c r="N264" s="6">
        <f>IF(OR($G264="FCC",$G264="Hydrocracker",$G264="Reformer"),IF(COUNTIFS($D:$D,$D264,$A:$A,$A264,$B:$B,$B264,$G:$G,"CDU",$J:$J,"PLANNED")&gt;0,"tied","standalone"),"")</f>
        <v/>
      </c>
    </row>
    <row r="265" spans="1:14">
      <c r="A265" s="6">
        <v>2023</v>
      </c>
      <c r="B265" s="6">
        <v>1</v>
      </c>
      <c r="C265" s="6" t="s">
        <v>60</v>
      </c>
      <c r="D265" s="6" t="s">
        <v>470</v>
      </c>
      <c r="E265" s="6" t="s">
        <v>423</v>
      </c>
      <c r="F265" s="6" t="str">
        <f>IF($M265="PADD I","PADD 1",IF($M265="PADD II","PADD 2",IF($M265="PADD III","PADD 3",IF($M265="PADD IV","PADD 4",IF($M265="PADD V","PADD 5","")))))</f>
        <v>PADD 2</v>
      </c>
      <c r="G265" s="6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6" t="s">
        <v>618</v>
      </c>
      <c r="I265" s="6" t="s">
        <v>654</v>
      </c>
      <c r="J265" s="6" t="s">
        <v>394</v>
      </c>
      <c r="K265" s="10">
        <v>2</v>
      </c>
      <c r="L265" s="10">
        <v>2</v>
      </c>
      <c r="M265" s="6" t="s">
        <v>425</v>
      </c>
      <c r="N265" s="6">
        <f>IF(OR($G265="FCC",$G265="Hydrocracker",$G265="Reformer"),IF(COUNTIFS($D:$D,$D265,$A:$A,$A265,$B:$B,$B265,$G:$G,"CDU",$J:$J,"PLANNED")&gt;0,"tied","standalone"),"")</f>
        <v/>
      </c>
    </row>
    <row r="266" spans="1:14">
      <c r="A266" s="6">
        <v>2023</v>
      </c>
      <c r="B266" s="6">
        <v>1</v>
      </c>
      <c r="C266" s="6" t="s">
        <v>60</v>
      </c>
      <c r="D266" s="6" t="s">
        <v>581</v>
      </c>
      <c r="E266" s="6" t="s">
        <v>582</v>
      </c>
      <c r="F266" s="6" t="str">
        <f>IF($M266="PADD I","PADD 1",IF($M266="PADD II","PADD 2",IF($M266="PADD III","PADD 3",IF($M266="PADD IV","PADD 4",IF($M266="PADD V","PADD 5","")))))</f>
        <v>PADD 5</v>
      </c>
      <c r="G266" s="6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6" t="s">
        <v>494</v>
      </c>
      <c r="I266" s="6" t="s">
        <v>14</v>
      </c>
      <c r="J266" s="6" t="s">
        <v>394</v>
      </c>
      <c r="K266" s="10">
        <v>1.92</v>
      </c>
      <c r="L266" s="10">
        <v>12</v>
      </c>
      <c r="M266" s="6" t="s">
        <v>436</v>
      </c>
      <c r="N266" s="6" t="str">
        <f>IF(OR($G266="FCC",$G266="Hydrocracker",$G266="Reformer"),IF(COUNTIFS($D:$D,$D266,$A:$A,$A266,$B:$B,$B266,$G:$G,"CDU",$J:$J,"PLANNED")&gt;0,"tied","standalone"),"")</f>
        <v>standalone</v>
      </c>
    </row>
    <row r="267" spans="1:14">
      <c r="A267" s="6">
        <v>2023</v>
      </c>
      <c r="B267" s="6">
        <v>1</v>
      </c>
      <c r="C267" s="6" t="s">
        <v>60</v>
      </c>
      <c r="D267" s="6" t="s">
        <v>568</v>
      </c>
      <c r="E267" s="6" t="s">
        <v>419</v>
      </c>
      <c r="F267" s="6" t="str">
        <f>IF($M267="PADD I","PADD 1",IF($M267="PADD II","PADD 2",IF($M267="PADD III","PADD 3",IF($M267="PADD IV","PADD 4",IF($M267="PADD V","PADD 5","")))))</f>
        <v>PADD 5</v>
      </c>
      <c r="G267" s="6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6" t="s">
        <v>618</v>
      </c>
      <c r="I267" s="6" t="s">
        <v>667</v>
      </c>
      <c r="J267" s="6" t="s">
        <v>394</v>
      </c>
      <c r="K267" s="10">
        <v>1.885</v>
      </c>
      <c r="L267" s="10">
        <v>6.5</v>
      </c>
      <c r="M267" s="6" t="s">
        <v>436</v>
      </c>
      <c r="N267" s="6">
        <f>IF(OR($G267="FCC",$G267="Hydrocracker",$G267="Reformer"),IF(COUNTIFS($D:$D,$D267,$A:$A,$A267,$B:$B,$B267,$G:$G,"CDU",$J:$J,"PLANNED")&gt;0,"tied","standalone"),"")</f>
        <v/>
      </c>
    </row>
    <row r="268" spans="1:14">
      <c r="A268" s="6">
        <v>2023</v>
      </c>
      <c r="B268" s="6">
        <v>1</v>
      </c>
      <c r="C268" s="6" t="s">
        <v>60</v>
      </c>
      <c r="D268" s="6" t="s">
        <v>501</v>
      </c>
      <c r="E268" s="6" t="s">
        <v>502</v>
      </c>
      <c r="F268" s="6" t="str">
        <f>IF($M268="PADD I","PADD 1",IF($M268="PADD II","PADD 2",IF($M268="PADD III","PADD 3",IF($M268="PADD IV","PADD 4",IF($M268="PADD V","PADD 5","")))))</f>
        <v>PADD 2</v>
      </c>
      <c r="G268" s="6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6" t="s">
        <v>510</v>
      </c>
      <c r="I268" s="6" t="s">
        <v>511</v>
      </c>
      <c r="J268" s="6" t="s">
        <v>394</v>
      </c>
      <c r="K268" s="10">
        <v>1.83</v>
      </c>
      <c r="L268" s="10">
        <v>3</v>
      </c>
      <c r="M268" s="6" t="s">
        <v>425</v>
      </c>
      <c r="N268" s="6">
        <f>IF(OR($G268="FCC",$G268="Hydrocracker",$G268="Reformer"),IF(COUNTIFS($D:$D,$D268,$A:$A,$A268,$B:$B,$B268,$G:$G,"CDU",$J:$J,"PLANNED")&gt;0,"tied","standalone"),"")</f>
        <v/>
      </c>
    </row>
    <row r="269" spans="1:14">
      <c r="A269" s="6">
        <v>2023</v>
      </c>
      <c r="B269" s="6">
        <v>1</v>
      </c>
      <c r="C269" s="6" t="s">
        <v>60</v>
      </c>
      <c r="D269" s="6" t="s">
        <v>568</v>
      </c>
      <c r="E269" s="6" t="s">
        <v>419</v>
      </c>
      <c r="F269" s="6" t="str">
        <f>IF($M269="PADD I","PADD 1",IF($M269="PADD II","PADD 2",IF($M269="PADD III","PADD 3",IF($M269="PADD IV","PADD 4",IF($M269="PADD V","PADD 5","")))))</f>
        <v>PADD 5</v>
      </c>
      <c r="G269" s="6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6" t="s">
        <v>428</v>
      </c>
      <c r="I269" s="6" t="s">
        <v>481</v>
      </c>
      <c r="J269" s="6" t="s">
        <v>398</v>
      </c>
      <c r="K269" s="10">
        <v>1.8</v>
      </c>
      <c r="L269" s="10">
        <v>30</v>
      </c>
      <c r="M269" s="6" t="s">
        <v>436</v>
      </c>
      <c r="N269" s="6">
        <f>IF(OR($G269="FCC",$G269="Hydrocracker",$G269="Reformer"),IF(COUNTIFS($D:$D,$D269,$A:$A,$A269,$B:$B,$B269,$G:$G,"CDU",$J:$J,"PLANNED")&gt;0,"tied","standalone"),"")</f>
        <v/>
      </c>
    </row>
    <row r="270" spans="1:14">
      <c r="A270" s="6">
        <v>2023</v>
      </c>
      <c r="B270" s="6">
        <v>1</v>
      </c>
      <c r="C270" s="6" t="s">
        <v>60</v>
      </c>
      <c r="D270" s="6" t="s">
        <v>597</v>
      </c>
      <c r="E270" s="6" t="s">
        <v>441</v>
      </c>
      <c r="F270" s="6" t="str">
        <f>IF($M270="PADD I","PADD 1",IF($M270="PADD II","PADD 2",IF($M270="PADD III","PADD 3",IF($M270="PADD IV","PADD 4",IF($M270="PADD V","PADD 5","")))))</f>
        <v>PADD 5</v>
      </c>
      <c r="G270" s="6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6" t="s">
        <v>471</v>
      </c>
      <c r="I270" s="6" t="s">
        <v>598</v>
      </c>
      <c r="J270" s="6" t="s">
        <v>394</v>
      </c>
      <c r="K270" s="10">
        <v>1.68</v>
      </c>
      <c r="L270" s="10">
        <v>28</v>
      </c>
      <c r="M270" s="6" t="s">
        <v>436</v>
      </c>
      <c r="N270" s="6" t="str">
        <f>IF(OR($G270="FCC",$G270="Hydrocracker",$G270="Reformer"),IF(COUNTIFS($D:$D,$D270,$A:$A,$A270,$B:$B,$B270,$G:$G,"CDU",$J:$J,"PLANNED")&gt;0,"tied","standalone"),"")</f>
        <v>standalone</v>
      </c>
    </row>
    <row r="271" spans="1:14">
      <c r="A271" s="6">
        <v>2023</v>
      </c>
      <c r="B271" s="6">
        <v>1</v>
      </c>
      <c r="C271" s="6" t="s">
        <v>60</v>
      </c>
      <c r="D271" s="6" t="s">
        <v>581</v>
      </c>
      <c r="E271" s="6" t="s">
        <v>582</v>
      </c>
      <c r="F271" s="6" t="str">
        <f>IF($M271="PADD I","PADD 1",IF($M271="PADD II","PADD 2",IF($M271="PADD III","PADD 3",IF($M271="PADD IV","PADD 4",IF($M271="PADD V","PADD 5","")))))</f>
        <v>PADD 5</v>
      </c>
      <c r="G271" s="6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6" t="s">
        <v>44</v>
      </c>
      <c r="I271" s="6" t="s">
        <v>668</v>
      </c>
      <c r="J271" s="6" t="s">
        <v>394</v>
      </c>
      <c r="K271" s="10">
        <v>1.6</v>
      </c>
      <c r="L271" s="10">
        <v>10</v>
      </c>
      <c r="M271" s="6" t="s">
        <v>436</v>
      </c>
      <c r="N271" s="6">
        <f>IF(OR($G271="FCC",$G271="Hydrocracker",$G271="Reformer"),IF(COUNTIFS($D:$D,$D271,$A:$A,$A271,$B:$B,$B271,$G:$G,"CDU",$J:$J,"PLANNED")&gt;0,"tied","standalone"),"")</f>
        <v/>
      </c>
    </row>
    <row r="272" spans="1:14">
      <c r="A272" s="6">
        <v>2023</v>
      </c>
      <c r="B272" s="6">
        <v>1</v>
      </c>
      <c r="C272" s="6" t="s">
        <v>60</v>
      </c>
      <c r="D272" s="6" t="s">
        <v>568</v>
      </c>
      <c r="E272" s="6" t="s">
        <v>419</v>
      </c>
      <c r="F272" s="6" t="str">
        <f>IF($M272="PADD I","PADD 1",IF($M272="PADD II","PADD 2",IF($M272="PADD III","PADD 3",IF($M272="PADD IV","PADD 4",IF($M272="PADD V","PADD 5","")))))</f>
        <v>PADD 5</v>
      </c>
      <c r="G272" s="6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6" t="s">
        <v>39</v>
      </c>
      <c r="I272" s="6" t="s">
        <v>569</v>
      </c>
      <c r="J272" s="6" t="s">
        <v>398</v>
      </c>
      <c r="K272" s="10">
        <v>1.5</v>
      </c>
      <c r="L272" s="10">
        <v>50</v>
      </c>
      <c r="M272" s="6" t="s">
        <v>436</v>
      </c>
      <c r="N272" s="6">
        <f>IF(OR($G272="FCC",$G272="Hydrocracker",$G272="Reformer"),IF(COUNTIFS($D:$D,$D272,$A:$A,$A272,$B:$B,$B272,$G:$G,"CDU",$J:$J,"PLANNED")&gt;0,"tied","standalone"),"")</f>
        <v/>
      </c>
    </row>
    <row r="273" spans="1:14">
      <c r="A273" s="6">
        <v>2023</v>
      </c>
      <c r="B273" s="6">
        <v>1</v>
      </c>
      <c r="C273" s="6" t="s">
        <v>60</v>
      </c>
      <c r="D273" s="6" t="s">
        <v>568</v>
      </c>
      <c r="E273" s="6" t="s">
        <v>419</v>
      </c>
      <c r="F273" s="6" t="str">
        <f>IF($M273="PADD I","PADD 1",IF($M273="PADD II","PADD 2",IF($M273="PADD III","PADD 3",IF($M273="PADD IV","PADD 4",IF($M273="PADD V","PADD 5","")))))</f>
        <v>PADD 5</v>
      </c>
      <c r="G273" s="6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6" t="s">
        <v>494</v>
      </c>
      <c r="I273" s="6" t="s">
        <v>632</v>
      </c>
      <c r="J273" s="6" t="s">
        <v>394</v>
      </c>
      <c r="K273" s="10">
        <v>1.38</v>
      </c>
      <c r="L273" s="10">
        <v>23</v>
      </c>
      <c r="M273" s="6" t="s">
        <v>436</v>
      </c>
      <c r="N273" s="6" t="str">
        <f>IF(OR($G273="FCC",$G273="Hydrocracker",$G273="Reformer"),IF(COUNTIFS($D:$D,$D273,$A:$A,$A273,$B:$B,$B273,$G:$G,"CDU",$J:$J,"PLANNED")&gt;0,"tied","standalone"),"")</f>
        <v>tied</v>
      </c>
    </row>
    <row r="274" spans="1:14">
      <c r="A274" s="6">
        <v>2023</v>
      </c>
      <c r="B274" s="6">
        <v>1</v>
      </c>
      <c r="C274" s="6" t="s">
        <v>60</v>
      </c>
      <c r="D274" s="6" t="s">
        <v>383</v>
      </c>
      <c r="E274" s="6" t="s">
        <v>602</v>
      </c>
      <c r="F274" s="6" t="str">
        <f>IF($M274="PADD I","PADD 1",IF($M274="PADD II","PADD 2",IF($M274="PADD III","PADD 3",IF($M274="PADD IV","PADD 4",IF($M274="PADD V","PADD 5","")))))</f>
        <v>PADD 3</v>
      </c>
      <c r="G274" s="6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6" t="s">
        <v>44</v>
      </c>
      <c r="I274" s="6" t="s">
        <v>669</v>
      </c>
      <c r="J274" s="6" t="s">
        <v>394</v>
      </c>
      <c r="K274" s="10">
        <v>1.28</v>
      </c>
      <c r="L274" s="10">
        <v>8</v>
      </c>
      <c r="M274" s="6" t="s">
        <v>421</v>
      </c>
      <c r="N274" s="6">
        <f>IF(OR($G274="FCC",$G274="Hydrocracker",$G274="Reformer"),IF(COUNTIFS($D:$D,$D274,$A:$A,$A274,$B:$B,$B274,$G:$G,"CDU",$J:$J,"PLANNED")&gt;0,"tied","standalone"),"")</f>
        <v/>
      </c>
    </row>
    <row r="275" spans="1:14">
      <c r="A275" s="6">
        <v>2023</v>
      </c>
      <c r="B275" s="6">
        <v>1</v>
      </c>
      <c r="C275" s="6" t="s">
        <v>60</v>
      </c>
      <c r="D275" s="6" t="s">
        <v>51</v>
      </c>
      <c r="E275" s="6" t="s">
        <v>431</v>
      </c>
      <c r="F275" s="6" t="str">
        <f>IF($M275="PADD I","PADD 1",IF($M275="PADD II","PADD 2",IF($M275="PADD III","PADD 3",IF($M275="PADD IV","PADD 4",IF($M275="PADD V","PADD 5","")))))</f>
        <v>PADD 3</v>
      </c>
      <c r="G275" s="6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6" t="s">
        <v>510</v>
      </c>
      <c r="I275" s="6" t="s">
        <v>670</v>
      </c>
      <c r="J275" s="6" t="s">
        <v>398</v>
      </c>
      <c r="K275" s="10">
        <v>1.26</v>
      </c>
      <c r="L275" s="10">
        <v>21</v>
      </c>
      <c r="M275" s="6" t="s">
        <v>421</v>
      </c>
      <c r="N275" s="6">
        <f>IF(OR($G275="FCC",$G275="Hydrocracker",$G275="Reformer"),IF(COUNTIFS($D:$D,$D275,$A:$A,$A275,$B:$B,$B275,$G:$G,"CDU",$J:$J,"PLANNED")&gt;0,"tied","standalone"),"")</f>
        <v/>
      </c>
    </row>
    <row r="276" spans="1:14">
      <c r="A276" s="6">
        <v>2023</v>
      </c>
      <c r="B276" s="6">
        <v>1</v>
      </c>
      <c r="C276" s="6" t="s">
        <v>60</v>
      </c>
      <c r="D276" s="6" t="s">
        <v>660</v>
      </c>
      <c r="E276" s="6" t="s">
        <v>661</v>
      </c>
      <c r="F276" s="6" t="str">
        <f>IF($M276="PADD I","PADD 1",IF($M276="PADD II","PADD 2",IF($M276="PADD III","PADD 3",IF($M276="PADD IV","PADD 4",IF($M276="PADD V","PADD 5","")))))</f>
        <v>PADD 2</v>
      </c>
      <c r="G276" s="6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6" t="s">
        <v>426</v>
      </c>
      <c r="I276" s="6" t="s">
        <v>106</v>
      </c>
      <c r="J276" s="6" t="s">
        <v>394</v>
      </c>
      <c r="K276" s="10">
        <v>1.216</v>
      </c>
      <c r="L276" s="10">
        <v>6.4</v>
      </c>
      <c r="M276" s="6" t="s">
        <v>425</v>
      </c>
      <c r="N276" s="6" t="str">
        <f>IF(OR($G276="FCC",$G276="Hydrocracker",$G276="Reformer"),IF(COUNTIFS($D:$D,$D276,$A:$A,$A276,$B:$B,$B276,$G:$G,"CDU",$J:$J,"PLANNED")&gt;0,"tied","standalone"),"")</f>
        <v>standalone</v>
      </c>
    </row>
    <row r="277" spans="1:14">
      <c r="A277" s="6">
        <v>2023</v>
      </c>
      <c r="B277" s="6">
        <v>1</v>
      </c>
      <c r="C277" s="6" t="s">
        <v>60</v>
      </c>
      <c r="D277" s="6" t="s">
        <v>445</v>
      </c>
      <c r="E277" s="6" t="s">
        <v>446</v>
      </c>
      <c r="F277" s="6" t="str">
        <f>IF($M277="PADD I","PADD 1",IF($M277="PADD II","PADD 2",IF($M277="PADD III","PADD 3",IF($M277="PADD IV","PADD 4",IF($M277="PADD V","PADD 5","")))))</f>
        <v>PADD 3</v>
      </c>
      <c r="G277" s="6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6" t="s">
        <v>44</v>
      </c>
      <c r="I277" s="6" t="s">
        <v>671</v>
      </c>
      <c r="J277" s="6" t="s">
        <v>394</v>
      </c>
      <c r="K277" s="10">
        <v>1.17</v>
      </c>
      <c r="L277" s="10">
        <v>4.5</v>
      </c>
      <c r="M277" s="6" t="s">
        <v>421</v>
      </c>
      <c r="N277" s="6">
        <f>IF(OR($G277="FCC",$G277="Hydrocracker",$G277="Reformer"),IF(COUNTIFS($D:$D,$D277,$A:$A,$A277,$B:$B,$B277,$G:$G,"CDU",$J:$J,"PLANNED")&gt;0,"tied","standalone"),"")</f>
        <v/>
      </c>
    </row>
    <row r="278" spans="1:14">
      <c r="A278" s="6">
        <v>2023</v>
      </c>
      <c r="B278" s="6">
        <v>1</v>
      </c>
      <c r="C278" s="6" t="s">
        <v>60</v>
      </c>
      <c r="D278" s="6" t="s">
        <v>660</v>
      </c>
      <c r="E278" s="6" t="s">
        <v>661</v>
      </c>
      <c r="F278" s="6" t="str">
        <f>IF($M278="PADD I","PADD 1",IF($M278="PADD II","PADD 2",IF($M278="PADD III","PADD 3",IF($M278="PADD IV","PADD 4",IF($M278="PADD V","PADD 5","")))))</f>
        <v>PADD 2</v>
      </c>
      <c r="G278" s="6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6" t="s">
        <v>44</v>
      </c>
      <c r="I278" s="6" t="s">
        <v>672</v>
      </c>
      <c r="J278" s="6" t="s">
        <v>394</v>
      </c>
      <c r="K278" s="10">
        <v>1.14</v>
      </c>
      <c r="L278" s="10">
        <v>6</v>
      </c>
      <c r="M278" s="6" t="s">
        <v>425</v>
      </c>
      <c r="N278" s="6">
        <f>IF(OR($G278="FCC",$G278="Hydrocracker",$G278="Reformer"),IF(COUNTIFS($D:$D,$D278,$A:$A,$A278,$B:$B,$B278,$G:$G,"CDU",$J:$J,"PLANNED")&gt;0,"tied","standalone"),"")</f>
        <v/>
      </c>
    </row>
    <row r="279" spans="1:14">
      <c r="A279" s="6">
        <v>2023</v>
      </c>
      <c r="B279" s="6">
        <v>1</v>
      </c>
      <c r="C279" s="6" t="s">
        <v>60</v>
      </c>
      <c r="D279" s="6" t="s">
        <v>383</v>
      </c>
      <c r="E279" s="6" t="s">
        <v>602</v>
      </c>
      <c r="F279" s="6" t="str">
        <f>IF($M279="PADD I","PADD 1",IF($M279="PADD II","PADD 2",IF($M279="PADD III","PADD 3",IF($M279="PADD IV","PADD 4",IF($M279="PADD V","PADD 5","")))))</f>
        <v>PADD 3</v>
      </c>
      <c r="G279" s="6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6" t="s">
        <v>573</v>
      </c>
      <c r="I279" s="6" t="s">
        <v>574</v>
      </c>
      <c r="J279" s="6" t="s">
        <v>394</v>
      </c>
      <c r="K279" s="10">
        <v>1.1088</v>
      </c>
      <c r="L279" s="10">
        <v>6.93</v>
      </c>
      <c r="M279" s="6" t="s">
        <v>421</v>
      </c>
      <c r="N279" s="6">
        <f>IF(OR($G279="FCC",$G279="Hydrocracker",$G279="Reformer"),IF(COUNTIFS($D:$D,$D279,$A:$A,$A279,$B:$B,$B279,$G:$G,"CDU",$J:$J,"PLANNED")&gt;0,"tied","standalone"),"")</f>
        <v/>
      </c>
    </row>
    <row r="280" spans="1:14">
      <c r="A280" s="6">
        <v>2023</v>
      </c>
      <c r="B280" s="6">
        <v>1</v>
      </c>
      <c r="C280" s="6" t="s">
        <v>60</v>
      </c>
      <c r="D280" s="6" t="s">
        <v>383</v>
      </c>
      <c r="E280" s="6" t="s">
        <v>602</v>
      </c>
      <c r="F280" s="6" t="str">
        <f>IF($M280="PADD I","PADD 1",IF($M280="PADD II","PADD 2",IF($M280="PADD III","PADD 3",IF($M280="PADD IV","PADD 4",IF($M280="PADD V","PADD 5","")))))</f>
        <v>PADD 3</v>
      </c>
      <c r="G280" s="6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6" t="s">
        <v>618</v>
      </c>
      <c r="I280" s="6" t="s">
        <v>673</v>
      </c>
      <c r="J280" s="6" t="s">
        <v>394</v>
      </c>
      <c r="K280" s="10">
        <v>0.96</v>
      </c>
      <c r="L280" s="10">
        <v>6</v>
      </c>
      <c r="M280" s="6" t="s">
        <v>421</v>
      </c>
      <c r="N280" s="6">
        <f>IF(OR($G280="FCC",$G280="Hydrocracker",$G280="Reformer"),IF(COUNTIFS($D:$D,$D280,$A:$A,$A280,$B:$B,$B280,$G:$G,"CDU",$J:$J,"PLANNED")&gt;0,"tied","standalone"),"")</f>
        <v/>
      </c>
    </row>
    <row r="281" spans="1:14">
      <c r="A281" s="6">
        <v>2023</v>
      </c>
      <c r="B281" s="6">
        <v>1</v>
      </c>
      <c r="C281" s="6" t="s">
        <v>60</v>
      </c>
      <c r="D281" s="6" t="s">
        <v>479</v>
      </c>
      <c r="E281" s="6" t="s">
        <v>438</v>
      </c>
      <c r="F281" s="6" t="str">
        <f>IF($M281="PADD I","PADD 1",IF($M281="PADD II","PADD 2",IF($M281="PADD III","PADD 3",IF($M281="PADD IV","PADD 4",IF($M281="PADD V","PADD 5","")))))</f>
        <v>PADD 4</v>
      </c>
      <c r="G281" s="6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6" t="s">
        <v>510</v>
      </c>
      <c r="I281" s="6" t="s">
        <v>511</v>
      </c>
      <c r="J281" s="6" t="s">
        <v>398</v>
      </c>
      <c r="K281" s="10">
        <v>0.96</v>
      </c>
      <c r="L281" s="10">
        <v>6</v>
      </c>
      <c r="M281" s="6" t="s">
        <v>480</v>
      </c>
      <c r="N281" s="6">
        <f>IF(OR($G281="FCC",$G281="Hydrocracker",$G281="Reformer"),IF(COUNTIFS($D:$D,$D281,$A:$A,$A281,$B:$B,$B281,$G:$G,"CDU",$J:$J,"PLANNED")&gt;0,"tied","standalone"),"")</f>
        <v/>
      </c>
    </row>
    <row r="282" spans="1:14">
      <c r="A282" s="6">
        <v>2023</v>
      </c>
      <c r="B282" s="6">
        <v>1</v>
      </c>
      <c r="C282" s="6" t="s">
        <v>60</v>
      </c>
      <c r="D282" s="6" t="s">
        <v>660</v>
      </c>
      <c r="E282" s="6" t="s">
        <v>661</v>
      </c>
      <c r="F282" s="6" t="str">
        <f>IF($M282="PADD I","PADD 1",IF($M282="PADD II","PADD 2",IF($M282="PADD III","PADD 3",IF($M282="PADD IV","PADD 4",IF($M282="PADD V","PADD 5","")))))</f>
        <v>PADD 2</v>
      </c>
      <c r="G282" s="6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6" t="s">
        <v>44</v>
      </c>
      <c r="I282" s="6" t="s">
        <v>508</v>
      </c>
      <c r="J282" s="6" t="s">
        <v>394</v>
      </c>
      <c r="K282" s="10">
        <v>0.95</v>
      </c>
      <c r="L282" s="10">
        <v>5</v>
      </c>
      <c r="M282" s="6" t="s">
        <v>425</v>
      </c>
      <c r="N282" s="6">
        <f>IF(OR($G282="FCC",$G282="Hydrocracker",$G282="Reformer"),IF(COUNTIFS($D:$D,$D282,$A:$A,$A282,$B:$B,$B282,$G:$G,"CDU",$J:$J,"PLANNED")&gt;0,"tied","standalone"),"")</f>
        <v/>
      </c>
    </row>
    <row r="283" spans="1:14">
      <c r="A283" s="6">
        <v>2023</v>
      </c>
      <c r="B283" s="6">
        <v>1</v>
      </c>
      <c r="C283" s="6" t="s">
        <v>60</v>
      </c>
      <c r="D283" s="6" t="s">
        <v>660</v>
      </c>
      <c r="E283" s="6" t="s">
        <v>661</v>
      </c>
      <c r="F283" s="6" t="str">
        <f>IF($M283="PADD I","PADD 1",IF($M283="PADD II","PADD 2",IF($M283="PADD III","PADD 3",IF($M283="PADD IV","PADD 4",IF($M283="PADD V","PADD 5","")))))</f>
        <v>PADD 2</v>
      </c>
      <c r="G283" s="6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6" t="s">
        <v>44</v>
      </c>
      <c r="I283" s="6" t="s">
        <v>674</v>
      </c>
      <c r="J283" s="6" t="s">
        <v>394</v>
      </c>
      <c r="K283" s="10">
        <v>0.95</v>
      </c>
      <c r="L283" s="10">
        <v>5</v>
      </c>
      <c r="M283" s="6" t="s">
        <v>425</v>
      </c>
      <c r="N283" s="6">
        <f>IF(OR($G283="FCC",$G283="Hydrocracker",$G283="Reformer"),IF(COUNTIFS($D:$D,$D283,$A:$A,$A283,$B:$B,$B283,$G:$G,"CDU",$J:$J,"PLANNED")&gt;0,"tied","standalone"),"")</f>
        <v/>
      </c>
    </row>
    <row r="284" spans="1:14">
      <c r="A284" s="6">
        <v>2023</v>
      </c>
      <c r="B284" s="6">
        <v>1</v>
      </c>
      <c r="C284" s="6" t="s">
        <v>60</v>
      </c>
      <c r="D284" s="6" t="s">
        <v>660</v>
      </c>
      <c r="E284" s="6" t="s">
        <v>661</v>
      </c>
      <c r="F284" s="6" t="str">
        <f>IF($M284="PADD I","PADD 1",IF($M284="PADD II","PADD 2",IF($M284="PADD III","PADD 3",IF($M284="PADD IV","PADD 4",IF($M284="PADD V","PADD 5","")))))</f>
        <v>PADD 2</v>
      </c>
      <c r="G284" s="6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6" t="s">
        <v>471</v>
      </c>
      <c r="I284" s="6" t="s">
        <v>15</v>
      </c>
      <c r="J284" s="6" t="s">
        <v>394</v>
      </c>
      <c r="K284" s="10">
        <v>0.95</v>
      </c>
      <c r="L284" s="10">
        <v>5</v>
      </c>
      <c r="M284" s="6" t="s">
        <v>425</v>
      </c>
      <c r="N284" s="6" t="str">
        <f>IF(OR($G284="FCC",$G284="Hydrocracker",$G284="Reformer"),IF(COUNTIFS($D:$D,$D284,$A:$A,$A284,$B:$B,$B284,$G:$G,"CDU",$J:$J,"PLANNED")&gt;0,"tied","standalone"),"")</f>
        <v>standalone</v>
      </c>
    </row>
    <row r="285" spans="1:14">
      <c r="A285" s="6">
        <v>2023</v>
      </c>
      <c r="B285" s="6">
        <v>1</v>
      </c>
      <c r="C285" s="6" t="s">
        <v>60</v>
      </c>
      <c r="D285" s="6" t="s">
        <v>445</v>
      </c>
      <c r="E285" s="6" t="s">
        <v>446</v>
      </c>
      <c r="F285" s="6" t="str">
        <f>IF($M285="PADD I","PADD 1",IF($M285="PADD II","PADD 2",IF($M285="PADD III","PADD 3",IF($M285="PADD IV","PADD 4",IF($M285="PADD V","PADD 5","")))))</f>
        <v>PADD 3</v>
      </c>
      <c r="G285" s="6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6" t="s">
        <v>44</v>
      </c>
      <c r="I285" s="6" t="s">
        <v>675</v>
      </c>
      <c r="J285" s="6" t="s">
        <v>394</v>
      </c>
      <c r="K285" s="10">
        <v>0.91</v>
      </c>
      <c r="L285" s="10">
        <v>3.5</v>
      </c>
      <c r="M285" s="6" t="s">
        <v>421</v>
      </c>
      <c r="N285" s="6">
        <f>IF(OR($G285="FCC",$G285="Hydrocracker",$G285="Reformer"),IF(COUNTIFS($D:$D,$D285,$A:$A,$A285,$B:$B,$B285,$G:$G,"CDU",$J:$J,"PLANNED")&gt;0,"tied","standalone"),"")</f>
        <v/>
      </c>
    </row>
    <row r="286" spans="1:14">
      <c r="A286" s="6">
        <v>2023</v>
      </c>
      <c r="B286" s="6">
        <v>1</v>
      </c>
      <c r="C286" s="6" t="s">
        <v>60</v>
      </c>
      <c r="D286" s="6" t="s">
        <v>660</v>
      </c>
      <c r="E286" s="6" t="s">
        <v>661</v>
      </c>
      <c r="F286" s="6" t="str">
        <f>IF($M286="PADD I","PADD 1",IF($M286="PADD II","PADD 2",IF($M286="PADD III","PADD 3",IF($M286="PADD IV","PADD 4",IF($M286="PADD V","PADD 5","")))))</f>
        <v>PADD 2</v>
      </c>
      <c r="G286" s="6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6" t="s">
        <v>44</v>
      </c>
      <c r="I286" s="6" t="s">
        <v>676</v>
      </c>
      <c r="J286" s="6" t="s">
        <v>394</v>
      </c>
      <c r="K286" s="10">
        <v>0.874</v>
      </c>
      <c r="L286" s="10">
        <v>4.6</v>
      </c>
      <c r="M286" s="6" t="s">
        <v>425</v>
      </c>
      <c r="N286" s="6">
        <f>IF(OR($G286="FCC",$G286="Hydrocracker",$G286="Reformer"),IF(COUNTIFS($D:$D,$D286,$A:$A,$A286,$B:$B,$B286,$G:$G,"CDU",$J:$J,"PLANNED")&gt;0,"tied","standalone"),"")</f>
        <v/>
      </c>
    </row>
    <row r="287" spans="1:14">
      <c r="A287" s="6">
        <v>2023</v>
      </c>
      <c r="B287" s="6">
        <v>1</v>
      </c>
      <c r="C287" s="6" t="s">
        <v>60</v>
      </c>
      <c r="D287" s="6" t="s">
        <v>660</v>
      </c>
      <c r="E287" s="6" t="s">
        <v>661</v>
      </c>
      <c r="F287" s="6" t="str">
        <f>IF($M287="PADD I","PADD 1",IF($M287="PADD II","PADD 2",IF($M287="PADD III","PADD 3",IF($M287="PADD IV","PADD 4",IF($M287="PADD V","PADD 5","")))))</f>
        <v>PADD 2</v>
      </c>
      <c r="G287" s="6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6" t="s">
        <v>618</v>
      </c>
      <c r="I287" s="6" t="s">
        <v>654</v>
      </c>
      <c r="J287" s="6" t="s">
        <v>394</v>
      </c>
      <c r="K287" s="10">
        <v>0.8436</v>
      </c>
      <c r="L287" s="10">
        <v>4.44</v>
      </c>
      <c r="M287" s="6" t="s">
        <v>425</v>
      </c>
      <c r="N287" s="6">
        <f>IF(OR($G287="FCC",$G287="Hydrocracker",$G287="Reformer"),IF(COUNTIFS($D:$D,$D287,$A:$A,$A287,$B:$B,$B287,$G:$G,"CDU",$J:$J,"PLANNED")&gt;0,"tied","standalone"),"")</f>
        <v/>
      </c>
    </row>
    <row r="288" spans="1:14">
      <c r="A288" s="6">
        <v>2023</v>
      </c>
      <c r="B288" s="6">
        <v>1</v>
      </c>
      <c r="C288" s="6" t="s">
        <v>60</v>
      </c>
      <c r="D288" s="6" t="s">
        <v>660</v>
      </c>
      <c r="E288" s="6" t="s">
        <v>661</v>
      </c>
      <c r="F288" s="6" t="str">
        <f>IF($M288="PADD I","PADD 1",IF($M288="PADD II","PADD 2",IF($M288="PADD III","PADD 3",IF($M288="PADD IV","PADD 4",IF($M288="PADD V","PADD 5","")))))</f>
        <v>PADD 2</v>
      </c>
      <c r="G288" s="6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6" t="s">
        <v>428</v>
      </c>
      <c r="I288" s="6" t="s">
        <v>677</v>
      </c>
      <c r="J288" s="6" t="s">
        <v>394</v>
      </c>
      <c r="K288" s="10">
        <v>0.836</v>
      </c>
      <c r="L288" s="10">
        <v>4.4</v>
      </c>
      <c r="M288" s="6" t="s">
        <v>425</v>
      </c>
      <c r="N288" s="6">
        <f>IF(OR($G288="FCC",$G288="Hydrocracker",$G288="Reformer"),IF(COUNTIFS($D:$D,$D288,$A:$A,$A288,$B:$B,$B288,$G:$G,"CDU",$J:$J,"PLANNED")&gt;0,"tied","standalone"),"")</f>
        <v/>
      </c>
    </row>
    <row r="289" spans="1:14">
      <c r="A289" s="6">
        <v>2023</v>
      </c>
      <c r="B289" s="6">
        <v>1</v>
      </c>
      <c r="C289" s="6" t="s">
        <v>60</v>
      </c>
      <c r="D289" s="6" t="s">
        <v>678</v>
      </c>
      <c r="E289" s="6" t="s">
        <v>438</v>
      </c>
      <c r="F289" s="6" t="str">
        <f>IF($M289="PADD I","PADD 1",IF($M289="PADD II","PADD 2",IF($M289="PADD III","PADD 3",IF($M289="PADD IV","PADD 4",IF($M289="PADD V","PADD 5","")))))</f>
        <v>PADD 3</v>
      </c>
      <c r="G289" s="6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6" t="s">
        <v>510</v>
      </c>
      <c r="I289" s="6" t="s">
        <v>666</v>
      </c>
      <c r="J289" s="6" t="s">
        <v>394</v>
      </c>
      <c r="K289" s="10">
        <v>0.828</v>
      </c>
      <c r="L289" s="10">
        <v>13.8</v>
      </c>
      <c r="M289" s="6" t="s">
        <v>421</v>
      </c>
      <c r="N289" s="6">
        <f>IF(OR($G289="FCC",$G289="Hydrocracker",$G289="Reformer"),IF(COUNTIFS($D:$D,$D289,$A:$A,$A289,$B:$B,$B289,$G:$G,"CDU",$J:$J,"PLANNED")&gt;0,"tied","standalone"),"")</f>
        <v/>
      </c>
    </row>
    <row r="290" spans="1:14">
      <c r="A290" s="6">
        <v>2023</v>
      </c>
      <c r="B290" s="6">
        <v>1</v>
      </c>
      <c r="C290" s="6" t="s">
        <v>60</v>
      </c>
      <c r="D290" s="6" t="s">
        <v>660</v>
      </c>
      <c r="E290" s="6" t="s">
        <v>661</v>
      </c>
      <c r="F290" s="6" t="str">
        <f>IF($M290="PADD I","PADD 1",IF($M290="PADD II","PADD 2",IF($M290="PADD III","PADD 3",IF($M290="PADD IV","PADD 4",IF($M290="PADD V","PADD 5","")))))</f>
        <v>PADD 2</v>
      </c>
      <c r="G290" s="6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6" t="s">
        <v>428</v>
      </c>
      <c r="I290" s="6" t="s">
        <v>544</v>
      </c>
      <c r="J290" s="6" t="s">
        <v>394</v>
      </c>
      <c r="K290" s="10">
        <v>0.8169999999999999</v>
      </c>
      <c r="L290" s="10">
        <v>4.3</v>
      </c>
      <c r="M290" s="6" t="s">
        <v>425</v>
      </c>
      <c r="N290" s="6">
        <f>IF(OR($G290="FCC",$G290="Hydrocracker",$G290="Reformer"),IF(COUNTIFS($D:$D,$D290,$A:$A,$A290,$B:$B,$B290,$G:$G,"CDU",$J:$J,"PLANNED")&gt;0,"tied","standalone"),"")</f>
        <v/>
      </c>
    </row>
    <row r="291" spans="1:14">
      <c r="A291" s="6">
        <v>2023</v>
      </c>
      <c r="B291" s="6">
        <v>1</v>
      </c>
      <c r="C291" s="6" t="s">
        <v>60</v>
      </c>
      <c r="D291" s="6" t="s">
        <v>660</v>
      </c>
      <c r="E291" s="6" t="s">
        <v>661</v>
      </c>
      <c r="F291" s="6" t="str">
        <f>IF($M291="PADD I","PADD 1",IF($M291="PADD II","PADD 2",IF($M291="PADD III","PADD 3",IF($M291="PADD IV","PADD 4",IF($M291="PADD V","PADD 5","")))))</f>
        <v>PADD 2</v>
      </c>
      <c r="G291" s="6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6" t="s">
        <v>44</v>
      </c>
      <c r="I291" s="6" t="s">
        <v>679</v>
      </c>
      <c r="J291" s="6" t="s">
        <v>394</v>
      </c>
      <c r="K291" s="10">
        <v>0.76</v>
      </c>
      <c r="L291" s="10">
        <v>4</v>
      </c>
      <c r="M291" s="6" t="s">
        <v>425</v>
      </c>
      <c r="N291" s="6">
        <f>IF(OR($G291="FCC",$G291="Hydrocracker",$G291="Reformer"),IF(COUNTIFS($D:$D,$D291,$A:$A,$A291,$B:$B,$B291,$G:$G,"CDU",$J:$J,"PLANNED")&gt;0,"tied","standalone"),"")</f>
        <v/>
      </c>
    </row>
    <row r="292" spans="1:14">
      <c r="A292" s="6">
        <v>2023</v>
      </c>
      <c r="B292" s="6">
        <v>1</v>
      </c>
      <c r="C292" s="6" t="s">
        <v>60</v>
      </c>
      <c r="D292" s="6" t="s">
        <v>660</v>
      </c>
      <c r="E292" s="6" t="s">
        <v>661</v>
      </c>
      <c r="F292" s="6" t="str">
        <f>IF($M292="PADD I","PADD 1",IF($M292="PADD II","PADD 2",IF($M292="PADD III","PADD 3",IF($M292="PADD IV","PADD 4",IF($M292="PADD V","PADD 5","")))))</f>
        <v>PADD 2</v>
      </c>
      <c r="G292" s="6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6" t="s">
        <v>485</v>
      </c>
      <c r="I292" s="6" t="s">
        <v>491</v>
      </c>
      <c r="J292" s="6" t="s">
        <v>394</v>
      </c>
      <c r="K292" s="10">
        <v>0.741</v>
      </c>
      <c r="L292" s="10">
        <v>3.9</v>
      </c>
      <c r="M292" s="6" t="s">
        <v>425</v>
      </c>
      <c r="N292" s="6">
        <f>IF(OR($G292="FCC",$G292="Hydrocracker",$G292="Reformer"),IF(COUNTIFS($D:$D,$D292,$A:$A,$A292,$B:$B,$B292,$G:$G,"CDU",$J:$J,"PLANNED")&gt;0,"tied","standalone"),"")</f>
        <v/>
      </c>
    </row>
    <row r="293" spans="1:14">
      <c r="A293" s="6">
        <v>2023</v>
      </c>
      <c r="B293" s="6">
        <v>1</v>
      </c>
      <c r="C293" s="6" t="s">
        <v>60</v>
      </c>
      <c r="D293" s="6" t="s">
        <v>680</v>
      </c>
      <c r="E293" s="6" t="s">
        <v>541</v>
      </c>
      <c r="F293" s="6" t="str">
        <f>IF($M293="PADD I","PADD 1",IF($M293="PADD II","PADD 2",IF($M293="PADD III","PADD 3",IF($M293="PADD IV","PADD 4",IF($M293="PADD V","PADD 5","")))))</f>
        <v>PADD 3</v>
      </c>
      <c r="G293" s="6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6" t="s">
        <v>44</v>
      </c>
      <c r="I293" s="6" t="s">
        <v>514</v>
      </c>
      <c r="J293" s="6" t="s">
        <v>394</v>
      </c>
      <c r="K293" s="10">
        <v>0.72</v>
      </c>
      <c r="L293" s="10">
        <v>12</v>
      </c>
      <c r="M293" s="6" t="s">
        <v>421</v>
      </c>
      <c r="N293" s="6">
        <f>IF(OR($G293="FCC",$G293="Hydrocracker",$G293="Reformer"),IF(COUNTIFS($D:$D,$D293,$A:$A,$A293,$B:$B,$B293,$G:$G,"CDU",$J:$J,"PLANNED")&gt;0,"tied","standalone"),"")</f>
        <v/>
      </c>
    </row>
    <row r="294" spans="1:14">
      <c r="A294" s="6">
        <v>2023</v>
      </c>
      <c r="B294" s="6">
        <v>1</v>
      </c>
      <c r="C294" s="6" t="s">
        <v>60</v>
      </c>
      <c r="D294" s="6" t="s">
        <v>49</v>
      </c>
      <c r="E294" s="6" t="s">
        <v>438</v>
      </c>
      <c r="F294" s="6" t="str">
        <f>IF($M294="PADD I","PADD 1",IF($M294="PADD II","PADD 2",IF($M294="PADD III","PADD 3",IF($M294="PADD IV","PADD 4",IF($M294="PADD V","PADD 5","")))))</f>
        <v>PADD 2</v>
      </c>
      <c r="G294" s="6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6" t="s">
        <v>485</v>
      </c>
      <c r="I294" s="6" t="s">
        <v>681</v>
      </c>
      <c r="J294" s="6" t="s">
        <v>394</v>
      </c>
      <c r="K294" s="10">
        <v>0.72</v>
      </c>
      <c r="L294" s="10">
        <v>12</v>
      </c>
      <c r="M294" s="6" t="s">
        <v>425</v>
      </c>
      <c r="N294" s="6">
        <f>IF(OR($G294="FCC",$G294="Hydrocracker",$G294="Reformer"),IF(COUNTIFS($D:$D,$D294,$A:$A,$A294,$B:$B,$B294,$G:$G,"CDU",$J:$J,"PLANNED")&gt;0,"tied","standalone"),"")</f>
        <v/>
      </c>
    </row>
    <row r="295" spans="1:14">
      <c r="A295" s="6">
        <v>2023</v>
      </c>
      <c r="B295" s="6">
        <v>1</v>
      </c>
      <c r="C295" s="6" t="s">
        <v>60</v>
      </c>
      <c r="D295" s="6" t="s">
        <v>383</v>
      </c>
      <c r="E295" s="6" t="s">
        <v>602</v>
      </c>
      <c r="F295" s="6" t="str">
        <f>IF($M295="PADD I","PADD 1",IF($M295="PADD II","PADD 2",IF($M295="PADD III","PADD 3",IF($M295="PADD IV","PADD 4",IF($M295="PADD V","PADD 5","")))))</f>
        <v>PADD 3</v>
      </c>
      <c r="G295" s="6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6" t="s">
        <v>510</v>
      </c>
      <c r="I295" s="6" t="s">
        <v>511</v>
      </c>
      <c r="J295" s="6" t="s">
        <v>394</v>
      </c>
      <c r="K295" s="10">
        <v>0.64</v>
      </c>
      <c r="L295" s="10">
        <v>4</v>
      </c>
      <c r="M295" s="6" t="s">
        <v>421</v>
      </c>
      <c r="N295" s="6">
        <f>IF(OR($G295="FCC",$G295="Hydrocracker",$G295="Reformer"),IF(COUNTIFS($D:$D,$D295,$A:$A,$A295,$B:$B,$B295,$G:$G,"CDU",$J:$J,"PLANNED")&gt;0,"tied","standalone"),"")</f>
        <v/>
      </c>
    </row>
    <row r="296" spans="1:14">
      <c r="A296" s="6">
        <v>2023</v>
      </c>
      <c r="B296" s="6">
        <v>1</v>
      </c>
      <c r="C296" s="6" t="s">
        <v>60</v>
      </c>
      <c r="D296" s="6" t="s">
        <v>682</v>
      </c>
      <c r="E296" s="6" t="s">
        <v>683</v>
      </c>
      <c r="F296" s="6" t="str">
        <f>IF($M296="PADD I","PADD 1",IF($M296="PADD II","PADD 2",IF($M296="PADD III","PADD 3",IF($M296="PADD IV","PADD 4",IF($M296="PADD V","PADD 5","")))))</f>
        <v>PADD 4</v>
      </c>
      <c r="G296" s="6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6" t="s">
        <v>426</v>
      </c>
      <c r="I296" s="6" t="s">
        <v>684</v>
      </c>
      <c r="J296" s="6" t="s">
        <v>394</v>
      </c>
      <c r="K296" s="10">
        <v>0.375</v>
      </c>
      <c r="L296" s="10">
        <v>12.5</v>
      </c>
      <c r="M296" s="6" t="s">
        <v>480</v>
      </c>
      <c r="N296" s="6" t="str">
        <f>IF(OR($G296="FCC",$G296="Hydrocracker",$G296="Reformer"),IF(COUNTIFS($D:$D,$D296,$A:$A,$A296,$B:$B,$B296,$G:$G,"CDU",$J:$J,"PLANNED")&gt;0,"tied","standalone"),"")</f>
        <v>standalone</v>
      </c>
    </row>
    <row r="297" spans="1:14">
      <c r="A297" s="6">
        <v>2023</v>
      </c>
      <c r="B297" s="6">
        <v>1</v>
      </c>
      <c r="C297" s="6" t="s">
        <v>60</v>
      </c>
      <c r="D297" s="6" t="s">
        <v>660</v>
      </c>
      <c r="E297" s="6" t="s">
        <v>661</v>
      </c>
      <c r="F297" s="6" t="str">
        <f>IF($M297="PADD I","PADD 1",IF($M297="PADD II","PADD 2",IF($M297="PADD III","PADD 3",IF($M297="PADD IV","PADD 4",IF($M297="PADD V","PADD 5","")))))</f>
        <v>PADD 2</v>
      </c>
      <c r="G297" s="6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6" t="s">
        <v>510</v>
      </c>
      <c r="I297" s="6" t="s">
        <v>666</v>
      </c>
      <c r="J297" s="6" t="s">
        <v>394</v>
      </c>
      <c r="K297" s="10">
        <v>0.304</v>
      </c>
      <c r="L297" s="10">
        <v>1.6</v>
      </c>
      <c r="M297" s="6" t="s">
        <v>425</v>
      </c>
      <c r="N297" s="6">
        <f>IF(OR($G297="FCC",$G297="Hydrocracker",$G297="Reformer"),IF(COUNTIFS($D:$D,$D297,$A:$A,$A297,$B:$B,$B297,$G:$G,"CDU",$J:$J,"PLANNED")&gt;0,"tied","standalone"),"")</f>
        <v/>
      </c>
    </row>
    <row r="298" spans="1:14">
      <c r="A298" s="6">
        <v>2023</v>
      </c>
      <c r="B298" s="6">
        <v>1</v>
      </c>
      <c r="C298" s="6" t="s">
        <v>60</v>
      </c>
      <c r="D298" s="6" t="s">
        <v>518</v>
      </c>
      <c r="E298" s="6" t="s">
        <v>419</v>
      </c>
      <c r="F298" s="6" t="str">
        <f>IF($M298="PADD I","PADD 1",IF($M298="PADD II","PADD 2",IF($M298="PADD III","PADD 3",IF($M298="PADD IV","PADD 4",IF($M298="PADD V","PADD 5","")))))</f>
        <v>PADD 3</v>
      </c>
      <c r="G298" s="6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6" t="s">
        <v>471</v>
      </c>
      <c r="I298" s="6" t="s">
        <v>685</v>
      </c>
      <c r="J298" s="6" t="s">
        <v>394</v>
      </c>
      <c r="K298" s="10">
        <v>0.21</v>
      </c>
      <c r="L298" s="10">
        <v>7</v>
      </c>
      <c r="M298" s="6" t="s">
        <v>421</v>
      </c>
      <c r="N298" s="6" t="str">
        <f>IF(OR($G298="FCC",$G298="Hydrocracker",$G298="Reformer"),IF(COUNTIFS($D:$D,$D298,$A:$A,$A298,$B:$B,$B298,$G:$G,"CDU",$J:$J,"PLANNED")&gt;0,"tied","standalone"),"")</f>
        <v>standalone</v>
      </c>
    </row>
    <row r="299" spans="1:14">
      <c r="A299" s="6">
        <v>2023</v>
      </c>
      <c r="B299" s="6">
        <v>1</v>
      </c>
      <c r="C299" s="6" t="s">
        <v>60</v>
      </c>
      <c r="D299" s="6" t="s">
        <v>686</v>
      </c>
      <c r="E299" s="6" t="s">
        <v>419</v>
      </c>
      <c r="F299" s="6" t="str">
        <f>IF($M299="PADD I","PADD 1",IF($M299="PADD II","PADD 2",IF($M299="PADD III","PADD 3",IF($M299="PADD IV","PADD 4",IF($M299="PADD V","PADD 5","")))))</f>
        <v>PADD 5</v>
      </c>
      <c r="G299" s="6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6" t="s">
        <v>687</v>
      </c>
      <c r="I299" s="6" t="s">
        <v>688</v>
      </c>
      <c r="J299" s="6" t="s">
        <v>394</v>
      </c>
      <c r="K299" s="10">
        <v>0.058</v>
      </c>
      <c r="L299" s="10">
        <v>0.2</v>
      </c>
      <c r="M299" s="6" t="s">
        <v>436</v>
      </c>
      <c r="N299" s="6">
        <f>IF(OR($G299="FCC",$G299="Hydrocracker",$G299="Reformer"),IF(COUNTIFS($D:$D,$D299,$A:$A,$A299,$B:$B,$B299,$G:$G,"CDU",$J:$J,"PLANNED")&gt;0,"tied","standalone"),"")</f>
        <v/>
      </c>
    </row>
    <row r="300" spans="1:14">
      <c r="A300" s="6">
        <v>2023</v>
      </c>
      <c r="B300" s="6">
        <v>2</v>
      </c>
      <c r="C300" s="6" t="s">
        <v>61</v>
      </c>
      <c r="D300" s="6" t="s">
        <v>418</v>
      </c>
      <c r="E300" s="6" t="s">
        <v>419</v>
      </c>
      <c r="F300" s="6" t="str">
        <f>IF($M300="PADD I","PADD 1",IF($M300="PADD II","PADD 2",IF($M300="PADD III","PADD 3",IF($M300="PADD IV","PADD 4",IF($M300="PADD V","PADD 5","")))))</f>
        <v>PADD 3</v>
      </c>
      <c r="G300" s="6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6" t="s">
        <v>39</v>
      </c>
      <c r="I300" s="6" t="s">
        <v>420</v>
      </c>
      <c r="J300" s="6" t="s">
        <v>398</v>
      </c>
      <c r="K300" s="10">
        <v>269.14</v>
      </c>
      <c r="L300" s="10">
        <v>269.14</v>
      </c>
      <c r="M300" s="6" t="s">
        <v>421</v>
      </c>
      <c r="N300" s="6">
        <f>IF(OR($G300="FCC",$G300="Hydrocracker",$G300="Reformer"),IF(COUNTIFS($D:$D,$D300,$A:$A,$A300,$B:$B,$B300,$G:$G,"CDU",$J:$J,"PLANNED")&gt;0,"tied","standalone"),"")</f>
        <v/>
      </c>
    </row>
    <row r="301" spans="1:14">
      <c r="A301" s="6">
        <v>2023</v>
      </c>
      <c r="B301" s="6">
        <v>2</v>
      </c>
      <c r="C301" s="6" t="s">
        <v>61</v>
      </c>
      <c r="D301" s="6" t="s">
        <v>437</v>
      </c>
      <c r="E301" s="6" t="s">
        <v>438</v>
      </c>
      <c r="F301" s="6" t="str">
        <f>IF($M301="PADD I","PADD 1",IF($M301="PADD II","PADD 2",IF($M301="PADD III","PADD 3",IF($M301="PADD IV","PADD 4",IF($M301="PADD V","PADD 5","")))))</f>
        <v>PADD 3</v>
      </c>
      <c r="G301" s="6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6" t="s">
        <v>39</v>
      </c>
      <c r="I301" s="6" t="s">
        <v>439</v>
      </c>
      <c r="J301" s="6" t="s">
        <v>398</v>
      </c>
      <c r="K301" s="10">
        <v>245</v>
      </c>
      <c r="L301" s="10">
        <v>245</v>
      </c>
      <c r="M301" s="6" t="s">
        <v>421</v>
      </c>
      <c r="N301" s="6">
        <f>IF(OR($G301="FCC",$G301="Hydrocracker",$G301="Reformer"),IF(COUNTIFS($D:$D,$D301,$A:$A,$A301,$B:$B,$B301,$G:$G,"CDU",$J:$J,"PLANNED")&gt;0,"tied","standalone"),"")</f>
        <v/>
      </c>
    </row>
    <row r="302" spans="1:14">
      <c r="A302" s="6">
        <v>2023</v>
      </c>
      <c r="B302" s="6">
        <v>2</v>
      </c>
      <c r="C302" s="6" t="s">
        <v>61</v>
      </c>
      <c r="D302" s="6" t="s">
        <v>430</v>
      </c>
      <c r="E302" s="6" t="s">
        <v>431</v>
      </c>
      <c r="F302" s="6" t="str">
        <f>IF($M302="PADD I","PADD 1",IF($M302="PADD II","PADD 2",IF($M302="PADD III","PADD 3",IF($M302="PADD IV","PADD 4",IF($M302="PADD V","PADD 5","")))))</f>
        <v>PADD 3</v>
      </c>
      <c r="G302" s="6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6" t="s">
        <v>39</v>
      </c>
      <c r="I302" s="6" t="s">
        <v>432</v>
      </c>
      <c r="J302" s="6" t="s">
        <v>398</v>
      </c>
      <c r="K302" s="10">
        <v>210</v>
      </c>
      <c r="L302" s="10">
        <v>210</v>
      </c>
      <c r="M302" s="6" t="s">
        <v>421</v>
      </c>
      <c r="N302" s="6">
        <f>IF(OR($G302="FCC",$G302="Hydrocracker",$G302="Reformer"),IF(COUNTIFS($D:$D,$D302,$A:$A,$A302,$B:$B,$B302,$G:$G,"CDU",$J:$J,"PLANNED")&gt;0,"tied","standalone"),"")</f>
        <v/>
      </c>
    </row>
    <row r="303" spans="1:14">
      <c r="A303" s="6">
        <v>2023</v>
      </c>
      <c r="B303" s="6">
        <v>2</v>
      </c>
      <c r="C303" s="6" t="s">
        <v>61</v>
      </c>
      <c r="D303" s="6" t="s">
        <v>375</v>
      </c>
      <c r="E303" s="6" t="s">
        <v>435</v>
      </c>
      <c r="F303" s="6" t="str">
        <f>IF($M303="PADD I","PADD 1",IF($M303="PADD II","PADD 2",IF($M303="PADD III","PADD 3",IF($M303="PADD IV","PADD 4",IF($M303="PADD V","PADD 5","")))))</f>
        <v>PADD 5</v>
      </c>
      <c r="G303" s="6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6" t="s">
        <v>39</v>
      </c>
      <c r="I303" s="6" t="s">
        <v>94</v>
      </c>
      <c r="J303" s="6" t="s">
        <v>398</v>
      </c>
      <c r="K303" s="10">
        <v>155</v>
      </c>
      <c r="L303" s="10">
        <v>155</v>
      </c>
      <c r="M303" s="6" t="s">
        <v>436</v>
      </c>
      <c r="N303" s="6">
        <f>IF(OR($G303="FCC",$G303="Hydrocracker",$G303="Reformer"),IF(COUNTIFS($D:$D,$D303,$A:$A,$A303,$B:$B,$B303,$G:$G,"CDU",$J:$J,"PLANNED")&gt;0,"tied","standalone"),"")</f>
        <v/>
      </c>
    </row>
    <row r="304" spans="1:14">
      <c r="A304" s="6">
        <v>2023</v>
      </c>
      <c r="B304" s="6">
        <v>2</v>
      </c>
      <c r="C304" s="6" t="s">
        <v>61</v>
      </c>
      <c r="D304" s="6" t="s">
        <v>461</v>
      </c>
      <c r="E304" s="6" t="s">
        <v>419</v>
      </c>
      <c r="F304" s="6" t="str">
        <f>IF($M304="PADD I","PADD 1",IF($M304="PADD II","PADD 2",IF($M304="PADD III","PADD 3",IF($M304="PADD IV","PADD 4",IF($M304="PADD V","PADD 5","")))))</f>
        <v>PADD 1</v>
      </c>
      <c r="G304" s="6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6" t="s">
        <v>426</v>
      </c>
      <c r="I304" s="6" t="s">
        <v>106</v>
      </c>
      <c r="J304" s="6" t="s">
        <v>398</v>
      </c>
      <c r="K304" s="10">
        <v>150</v>
      </c>
      <c r="L304" s="10">
        <v>150</v>
      </c>
      <c r="M304" s="6" t="s">
        <v>463</v>
      </c>
      <c r="N304" s="6" t="str">
        <f>IF(OR($G304="FCC",$G304="Hydrocracker",$G304="Reformer"),IF(COUNTIFS($D:$D,$D304,$A:$A,$A304,$B:$B,$B304,$G:$G,"CDU",$J:$J,"PLANNED")&gt;0,"tied","standalone"),"")</f>
        <v>tied</v>
      </c>
    </row>
    <row r="305" spans="1:14">
      <c r="A305" s="6">
        <v>2023</v>
      </c>
      <c r="B305" s="6">
        <v>2</v>
      </c>
      <c r="C305" s="6" t="s">
        <v>61</v>
      </c>
      <c r="D305" s="6" t="s">
        <v>461</v>
      </c>
      <c r="E305" s="6" t="s">
        <v>419</v>
      </c>
      <c r="F305" s="6" t="str">
        <f>IF($M305="PADD I","PADD 1",IF($M305="PADD II","PADD 2",IF($M305="PADD III","PADD 3",IF($M305="PADD IV","PADD 4",IF($M305="PADD V","PADD 5","")))))</f>
        <v>PADD 1</v>
      </c>
      <c r="G305" s="6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6" t="s">
        <v>39</v>
      </c>
      <c r="I305" s="6" t="s">
        <v>462</v>
      </c>
      <c r="J305" s="6" t="s">
        <v>398</v>
      </c>
      <c r="K305" s="10">
        <v>129</v>
      </c>
      <c r="L305" s="10">
        <v>129</v>
      </c>
      <c r="M305" s="6" t="s">
        <v>463</v>
      </c>
      <c r="N305" s="6">
        <f>IF(OR($G305="FCC",$G305="Hydrocracker",$G305="Reformer"),IF(COUNTIFS($D:$D,$D305,$A:$A,$A305,$B:$B,$B305,$G:$G,"CDU",$J:$J,"PLANNED")&gt;0,"tied","standalone"),"")</f>
        <v/>
      </c>
    </row>
    <row r="306" spans="1:14">
      <c r="A306" s="6">
        <v>2023</v>
      </c>
      <c r="B306" s="6">
        <v>2</v>
      </c>
      <c r="C306" s="6" t="s">
        <v>61</v>
      </c>
      <c r="D306" s="6" t="s">
        <v>437</v>
      </c>
      <c r="E306" s="6" t="s">
        <v>438</v>
      </c>
      <c r="F306" s="6" t="str">
        <f>IF($M306="PADD I","PADD 1",IF($M306="PADD II","PADD 2",IF($M306="PADD III","PADD 3",IF($M306="PADD IV","PADD 4",IF($M306="PADD V","PADD 5","")))))</f>
        <v>PADD 3</v>
      </c>
      <c r="G306" s="6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6" t="s">
        <v>428</v>
      </c>
      <c r="I306" s="6" t="s">
        <v>492</v>
      </c>
      <c r="J306" s="6" t="s">
        <v>398</v>
      </c>
      <c r="K306" s="10">
        <v>112.5</v>
      </c>
      <c r="L306" s="10">
        <v>112.5</v>
      </c>
      <c r="M306" s="6" t="s">
        <v>421</v>
      </c>
      <c r="N306" s="6">
        <f>IF(OR($G306="FCC",$G306="Hydrocracker",$G306="Reformer"),IF(COUNTIFS($D:$D,$D306,$A:$A,$A306,$B:$B,$B306,$G:$G,"CDU",$J:$J,"PLANNED")&gt;0,"tied","standalone"),"")</f>
        <v/>
      </c>
    </row>
    <row r="307" spans="1:14">
      <c r="A307" s="6">
        <v>2023</v>
      </c>
      <c r="B307" s="6">
        <v>2</v>
      </c>
      <c r="C307" s="6" t="s">
        <v>61</v>
      </c>
      <c r="D307" s="6" t="s">
        <v>422</v>
      </c>
      <c r="E307" s="6" t="s">
        <v>423</v>
      </c>
      <c r="F307" s="6" t="str">
        <f>IF($M307="PADD I","PADD 1",IF($M307="PADD II","PADD 2",IF($M307="PADD III","PADD 3",IF($M307="PADD IV","PADD 4",IF($M307="PADD V","PADD 5","")))))</f>
        <v>PADD 2</v>
      </c>
      <c r="G307" s="6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6" t="s">
        <v>39</v>
      </c>
      <c r="I307" s="6" t="s">
        <v>424</v>
      </c>
      <c r="J307" s="6" t="s">
        <v>394</v>
      </c>
      <c r="K307" s="10">
        <v>110</v>
      </c>
      <c r="L307" s="10">
        <v>110</v>
      </c>
      <c r="M307" s="6" t="s">
        <v>425</v>
      </c>
      <c r="N307" s="6">
        <f>IF(OR($G307="FCC",$G307="Hydrocracker",$G307="Reformer"),IF(COUNTIFS($D:$D,$D307,$A:$A,$A307,$B:$B,$B307,$G:$G,"CDU",$J:$J,"PLANNED")&gt;0,"tied","standalone"),"")</f>
        <v/>
      </c>
    </row>
    <row r="308" spans="1:14">
      <c r="A308" s="6">
        <v>2023</v>
      </c>
      <c r="B308" s="6">
        <v>2</v>
      </c>
      <c r="C308" s="6" t="s">
        <v>61</v>
      </c>
      <c r="D308" s="6" t="s">
        <v>561</v>
      </c>
      <c r="E308" s="6" t="s">
        <v>455</v>
      </c>
      <c r="F308" s="6" t="str">
        <f>IF($M308="PADD I","PADD 1",IF($M308="PADD II","PADD 2",IF($M308="PADD III","PADD 3",IF($M308="PADD IV","PADD 4",IF($M308="PADD V","PADD 5","")))))</f>
        <v>PADD 3</v>
      </c>
      <c r="G308" s="6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6" t="s">
        <v>39</v>
      </c>
      <c r="I308" s="6" t="s">
        <v>113</v>
      </c>
      <c r="J308" s="6" t="s">
        <v>398</v>
      </c>
      <c r="K308" s="10">
        <v>110</v>
      </c>
      <c r="L308" s="10">
        <v>110</v>
      </c>
      <c r="M308" s="6" t="s">
        <v>421</v>
      </c>
      <c r="N308" s="6">
        <f>IF(OR($G308="FCC",$G308="Hydrocracker",$G308="Reformer"),IF(COUNTIFS($D:$D,$D308,$A:$A,$A308,$B:$B,$B308,$G:$G,"CDU",$J:$J,"PLANNED")&gt;0,"tied","standalone"),"")</f>
        <v/>
      </c>
    </row>
    <row r="309" spans="1:14">
      <c r="A309" s="6">
        <v>2023</v>
      </c>
      <c r="B309" s="6">
        <v>2</v>
      </c>
      <c r="C309" s="6" t="s">
        <v>61</v>
      </c>
      <c r="D309" s="6" t="s">
        <v>418</v>
      </c>
      <c r="E309" s="6" t="s">
        <v>419</v>
      </c>
      <c r="F309" s="6" t="str">
        <f>IF($M309="PADD I","PADD 1",IF($M309="PADD II","PADD 2",IF($M309="PADD III","PADD 3",IF($M309="PADD IV","PADD 4",IF($M309="PADD V","PADD 5","")))))</f>
        <v>PADD 3</v>
      </c>
      <c r="G309" s="6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6" t="s">
        <v>426</v>
      </c>
      <c r="I309" s="6" t="s">
        <v>427</v>
      </c>
      <c r="J309" s="6" t="s">
        <v>398</v>
      </c>
      <c r="K309" s="10">
        <v>104</v>
      </c>
      <c r="L309" s="10">
        <v>104</v>
      </c>
      <c r="M309" s="6" t="s">
        <v>421</v>
      </c>
      <c r="N309" s="6" t="str">
        <f>IF(OR($G309="FCC",$G309="Hydrocracker",$G309="Reformer"),IF(COUNTIFS($D:$D,$D309,$A:$A,$A309,$B:$B,$B309,$G:$G,"CDU",$J:$J,"PLANNED")&gt;0,"tied","standalone"),"")</f>
        <v>tied</v>
      </c>
    </row>
    <row r="310" spans="1:14">
      <c r="A310" s="6">
        <v>2023</v>
      </c>
      <c r="B310" s="6">
        <v>2</v>
      </c>
      <c r="C310" s="6" t="s">
        <v>61</v>
      </c>
      <c r="D310" s="6" t="s">
        <v>418</v>
      </c>
      <c r="E310" s="6" t="s">
        <v>419</v>
      </c>
      <c r="F310" s="6" t="str">
        <f>IF($M310="PADD I","PADD 1",IF($M310="PADD II","PADD 2",IF($M310="PADD III","PADD 3",IF($M310="PADD IV","PADD 4",IF($M310="PADD V","PADD 5","")))))</f>
        <v>PADD 3</v>
      </c>
      <c r="G310" s="6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6" t="s">
        <v>428</v>
      </c>
      <c r="I310" s="6" t="s">
        <v>429</v>
      </c>
      <c r="J310" s="6" t="s">
        <v>398</v>
      </c>
      <c r="K310" s="10">
        <v>103</v>
      </c>
      <c r="L310" s="10">
        <v>103</v>
      </c>
      <c r="M310" s="6" t="s">
        <v>421</v>
      </c>
      <c r="N310" s="6">
        <f>IF(OR($G310="FCC",$G310="Hydrocracker",$G310="Reformer"),IF(COUNTIFS($D:$D,$D310,$A:$A,$A310,$B:$B,$B310,$G:$G,"CDU",$J:$J,"PLANNED")&gt;0,"tied","standalone"),"")</f>
        <v/>
      </c>
    </row>
    <row r="311" spans="1:14">
      <c r="A311" s="6">
        <v>2023</v>
      </c>
      <c r="B311" s="6">
        <v>2</v>
      </c>
      <c r="C311" s="6" t="s">
        <v>61</v>
      </c>
      <c r="D311" s="6" t="s">
        <v>430</v>
      </c>
      <c r="E311" s="6" t="s">
        <v>431</v>
      </c>
      <c r="F311" s="6" t="str">
        <f>IF($M311="PADD I","PADD 1",IF($M311="PADD II","PADD 2",IF($M311="PADD III","PADD 3",IF($M311="PADD IV","PADD 4",IF($M311="PADD V","PADD 5","")))))</f>
        <v>PADD 3</v>
      </c>
      <c r="G311" s="6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6" t="s">
        <v>428</v>
      </c>
      <c r="I311" s="6" t="s">
        <v>468</v>
      </c>
      <c r="J311" s="6" t="s">
        <v>394</v>
      </c>
      <c r="K311" s="10">
        <v>103</v>
      </c>
      <c r="L311" s="10">
        <v>103</v>
      </c>
      <c r="M311" s="6" t="s">
        <v>421</v>
      </c>
      <c r="N311" s="6">
        <f>IF(OR($G311="FCC",$G311="Hydrocracker",$G311="Reformer"),IF(COUNTIFS($D:$D,$D311,$A:$A,$A311,$B:$B,$B311,$G:$G,"CDU",$J:$J,"PLANNED")&gt;0,"tied","standalone"),"")</f>
        <v/>
      </c>
    </row>
    <row r="312" spans="1:14">
      <c r="A312" s="6">
        <v>2023</v>
      </c>
      <c r="B312" s="6">
        <v>2</v>
      </c>
      <c r="C312" s="6" t="s">
        <v>61</v>
      </c>
      <c r="D312" s="6" t="s">
        <v>375</v>
      </c>
      <c r="E312" s="6" t="s">
        <v>435</v>
      </c>
      <c r="F312" s="6" t="str">
        <f>IF($M312="PADD I","PADD 1",IF($M312="PADD II","PADD 2",IF($M312="PADD III","PADD 3",IF($M312="PADD IV","PADD 4",IF($M312="PADD V","PADD 5","")))))</f>
        <v>PADD 5</v>
      </c>
      <c r="G312" s="6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6" t="s">
        <v>428</v>
      </c>
      <c r="I312" s="6" t="s">
        <v>481</v>
      </c>
      <c r="J312" s="6" t="s">
        <v>398</v>
      </c>
      <c r="K312" s="10">
        <v>90</v>
      </c>
      <c r="L312" s="10">
        <v>90</v>
      </c>
      <c r="M312" s="6" t="s">
        <v>436</v>
      </c>
      <c r="N312" s="6">
        <f>IF(OR($G312="FCC",$G312="Hydrocracker",$G312="Reformer"),IF(COUNTIFS($D:$D,$D312,$A:$A,$A312,$B:$B,$B312,$G:$G,"CDU",$J:$J,"PLANNED")&gt;0,"tied","standalone"),"")</f>
        <v/>
      </c>
    </row>
    <row r="313" spans="1:14">
      <c r="A313" s="6">
        <v>2023</v>
      </c>
      <c r="B313" s="6">
        <v>2</v>
      </c>
      <c r="C313" s="6" t="s">
        <v>61</v>
      </c>
      <c r="D313" s="6" t="s">
        <v>51</v>
      </c>
      <c r="E313" s="6" t="s">
        <v>431</v>
      </c>
      <c r="F313" s="6" t="str">
        <f>IF($M313="PADD I","PADD 1",IF($M313="PADD II","PADD 2",IF($M313="PADD III","PADD 3",IF($M313="PADD IV","PADD 4",IF($M313="PADD V","PADD 5","")))))</f>
        <v>PADD 3</v>
      </c>
      <c r="G313" s="6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6" t="s">
        <v>426</v>
      </c>
      <c r="I313" s="6" t="s">
        <v>639</v>
      </c>
      <c r="J313" s="6" t="s">
        <v>398</v>
      </c>
      <c r="K313" s="10">
        <v>90</v>
      </c>
      <c r="L313" s="10">
        <v>90</v>
      </c>
      <c r="M313" s="6" t="s">
        <v>421</v>
      </c>
      <c r="N313" s="6" t="str">
        <f>IF(OR($G313="FCC",$G313="Hydrocracker",$G313="Reformer"),IF(COUNTIFS($D:$D,$D313,$A:$A,$A313,$B:$B,$B313,$G:$G,"CDU",$J:$J,"PLANNED")&gt;0,"tied","standalone"),"")</f>
        <v>standalone</v>
      </c>
    </row>
    <row r="314" spans="1:14">
      <c r="A314" s="6">
        <v>2023</v>
      </c>
      <c r="B314" s="6">
        <v>2</v>
      </c>
      <c r="C314" s="6" t="s">
        <v>61</v>
      </c>
      <c r="D314" s="6" t="s">
        <v>43</v>
      </c>
      <c r="E314" s="6" t="s">
        <v>455</v>
      </c>
      <c r="F314" s="6" t="str">
        <f>IF($M314="PADD I","PADD 1",IF($M314="PADD II","PADD 2",IF($M314="PADD III","PADD 3",IF($M314="PADD IV","PADD 4",IF($M314="PADD V","PADD 5","")))))</f>
        <v>PADD 3</v>
      </c>
      <c r="G314" s="6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6" t="s">
        <v>39</v>
      </c>
      <c r="I314" s="6" t="s">
        <v>456</v>
      </c>
      <c r="J314" s="6" t="s">
        <v>398</v>
      </c>
      <c r="K314" s="10">
        <v>89.28</v>
      </c>
      <c r="L314" s="10">
        <v>93</v>
      </c>
      <c r="M314" s="6" t="s">
        <v>421</v>
      </c>
      <c r="N314" s="6">
        <f>IF(OR($G314="FCC",$G314="Hydrocracker",$G314="Reformer"),IF(COUNTIFS($D:$D,$D314,$A:$A,$A314,$B:$B,$B314,$G:$G,"CDU",$J:$J,"PLANNED")&gt;0,"tied","standalone"),"")</f>
        <v/>
      </c>
    </row>
    <row r="315" spans="1:14">
      <c r="A315" s="6">
        <v>2023</v>
      </c>
      <c r="B315" s="6">
        <v>2</v>
      </c>
      <c r="C315" s="6" t="s">
        <v>61</v>
      </c>
      <c r="D315" s="6" t="s">
        <v>395</v>
      </c>
      <c r="E315" s="6" t="s">
        <v>433</v>
      </c>
      <c r="F315" s="6" t="str">
        <f>IF($M315="PADD I","PADD 1",IF($M315="PADD II","PADD 2",IF($M315="PADD III","PADD 3",IF($M315="PADD IV","PADD 4",IF($M315="PADD V","PADD 5","")))))</f>
        <v>PADD 2</v>
      </c>
      <c r="G315" s="6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6" t="s">
        <v>39</v>
      </c>
      <c r="I315" s="6" t="s">
        <v>434</v>
      </c>
      <c r="J315" s="6" t="s">
        <v>398</v>
      </c>
      <c r="K315" s="10">
        <v>88</v>
      </c>
      <c r="L315" s="10">
        <v>88</v>
      </c>
      <c r="M315" s="6" t="s">
        <v>425</v>
      </c>
      <c r="N315" s="6">
        <f>IF(OR($G315="FCC",$G315="Hydrocracker",$G315="Reformer"),IF(COUNTIFS($D:$D,$D315,$A:$A,$A315,$B:$B,$B315,$G:$G,"CDU",$J:$J,"PLANNED")&gt;0,"tied","standalone"),"")</f>
        <v/>
      </c>
    </row>
    <row r="316" spans="1:14">
      <c r="A316" s="6">
        <v>2023</v>
      </c>
      <c r="B316" s="6">
        <v>2</v>
      </c>
      <c r="C316" s="6" t="s">
        <v>61</v>
      </c>
      <c r="D316" s="6" t="s">
        <v>461</v>
      </c>
      <c r="E316" s="6" t="s">
        <v>419</v>
      </c>
      <c r="F316" s="6" t="str">
        <f>IF($M316="PADD I","PADD 1",IF($M316="PADD II","PADD 2",IF($M316="PADD III","PADD 3",IF($M316="PADD IV","PADD 4",IF($M316="PADD V","PADD 5","")))))</f>
        <v>PADD 1</v>
      </c>
      <c r="G316" s="6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6" t="s">
        <v>44</v>
      </c>
      <c r="I316" s="6" t="s">
        <v>508</v>
      </c>
      <c r="J316" s="6" t="s">
        <v>398</v>
      </c>
      <c r="K316" s="10">
        <v>85</v>
      </c>
      <c r="L316" s="10">
        <v>85</v>
      </c>
      <c r="M316" s="6" t="s">
        <v>463</v>
      </c>
      <c r="N316" s="6">
        <f>IF(OR($G316="FCC",$G316="Hydrocracker",$G316="Reformer"),IF(COUNTIFS($D:$D,$D316,$A:$A,$A316,$B:$B,$B316,$G:$G,"CDU",$J:$J,"PLANNED")&gt;0,"tied","standalone"),"")</f>
        <v/>
      </c>
    </row>
    <row r="317" spans="1:14">
      <c r="A317" s="6">
        <v>2023</v>
      </c>
      <c r="B317" s="6">
        <v>2</v>
      </c>
      <c r="C317" s="6" t="s">
        <v>61</v>
      </c>
      <c r="D317" s="6" t="s">
        <v>395</v>
      </c>
      <c r="E317" s="6" t="s">
        <v>433</v>
      </c>
      <c r="F317" s="6" t="str">
        <f>IF($M317="PADD I","PADD 1",IF($M317="PADD II","PADD 2",IF($M317="PADD III","PADD 3",IF($M317="PADD IV","PADD 4",IF($M317="PADD V","PADD 5","")))))</f>
        <v>PADD 2</v>
      </c>
      <c r="G317" s="6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6" t="s">
        <v>426</v>
      </c>
      <c r="I317" s="6" t="s">
        <v>106</v>
      </c>
      <c r="J317" s="6" t="s">
        <v>398</v>
      </c>
      <c r="K317" s="10">
        <v>79</v>
      </c>
      <c r="L317" s="10">
        <v>79</v>
      </c>
      <c r="M317" s="6" t="s">
        <v>425</v>
      </c>
      <c r="N317" s="6" t="str">
        <f>IF(OR($G317="FCC",$G317="Hydrocracker",$G317="Reformer"),IF(COUNTIFS($D:$D,$D317,$A:$A,$A317,$B:$B,$B317,$G:$G,"CDU",$J:$J,"PLANNED")&gt;0,"tied","standalone"),"")</f>
        <v>tied</v>
      </c>
    </row>
    <row r="318" spans="1:14">
      <c r="A318" s="6">
        <v>2023</v>
      </c>
      <c r="B318" s="6">
        <v>2</v>
      </c>
      <c r="C318" s="6" t="s">
        <v>61</v>
      </c>
      <c r="D318" s="6" t="s">
        <v>689</v>
      </c>
      <c r="E318" s="6" t="s">
        <v>502</v>
      </c>
      <c r="F318" s="6" t="str">
        <f>IF($M318="PADD I","PADD 1",IF($M318="PADD II","PADD 2",IF($M318="PADD III","PADD 3",IF($M318="PADD IV","PADD 4",IF($M318="PADD V","PADD 5","")))))</f>
        <v>PADD 5</v>
      </c>
      <c r="G318" s="6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6" t="s">
        <v>39</v>
      </c>
      <c r="I318" s="6" t="s">
        <v>690</v>
      </c>
      <c r="J318" s="6" t="s">
        <v>398</v>
      </c>
      <c r="K318" s="10">
        <v>77.76000000000001</v>
      </c>
      <c r="L318" s="10">
        <v>144</v>
      </c>
      <c r="M318" s="6" t="s">
        <v>436</v>
      </c>
      <c r="N318" s="6">
        <f>IF(OR($G318="FCC",$G318="Hydrocracker",$G318="Reformer"),IF(COUNTIFS($D:$D,$D318,$A:$A,$A318,$B:$B,$B318,$G:$G,"CDU",$J:$J,"PLANNED")&gt;0,"tied","standalone"),"")</f>
        <v/>
      </c>
    </row>
    <row r="319" spans="1:14">
      <c r="A319" s="6">
        <v>2023</v>
      </c>
      <c r="B319" s="6">
        <v>2</v>
      </c>
      <c r="C319" s="6" t="s">
        <v>61</v>
      </c>
      <c r="D319" s="6" t="s">
        <v>437</v>
      </c>
      <c r="E319" s="6" t="s">
        <v>438</v>
      </c>
      <c r="F319" s="6" t="str">
        <f>IF($M319="PADD I","PADD 1",IF($M319="PADD II","PADD 2",IF($M319="PADD III","PADD 3",IF($M319="PADD IV","PADD 4",IF($M319="PADD V","PADD 5","")))))</f>
        <v>PADD 3</v>
      </c>
      <c r="G319" s="6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6" t="s">
        <v>471</v>
      </c>
      <c r="I319" s="6" t="s">
        <v>493</v>
      </c>
      <c r="J319" s="6" t="s">
        <v>398</v>
      </c>
      <c r="K319" s="10">
        <v>75</v>
      </c>
      <c r="L319" s="10">
        <v>75</v>
      </c>
      <c r="M319" s="6" t="s">
        <v>421</v>
      </c>
      <c r="N319" s="6" t="str">
        <f>IF(OR($G319="FCC",$G319="Hydrocracker",$G319="Reformer"),IF(COUNTIFS($D:$D,$D319,$A:$A,$A319,$B:$B,$B319,$G:$G,"CDU",$J:$J,"PLANNED")&gt;0,"tied","standalone"),"")</f>
        <v>tied</v>
      </c>
    </row>
    <row r="320" spans="1:14">
      <c r="A320" s="6">
        <v>2023</v>
      </c>
      <c r="B320" s="6">
        <v>2</v>
      </c>
      <c r="C320" s="6" t="s">
        <v>61</v>
      </c>
      <c r="D320" s="6" t="s">
        <v>452</v>
      </c>
      <c r="E320" s="6" t="s">
        <v>453</v>
      </c>
      <c r="F320" s="6" t="str">
        <f>IF($M320="PADD I","PADD 1",IF($M320="PADD II","PADD 2",IF($M320="PADD III","PADD 3",IF($M320="PADD IV","PADD 4",IF($M320="PADD V","PADD 5","")))))</f>
        <v>PADD 3</v>
      </c>
      <c r="G320" s="6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6" t="s">
        <v>39</v>
      </c>
      <c r="I320" s="6" t="s">
        <v>454</v>
      </c>
      <c r="J320" s="6" t="s">
        <v>398</v>
      </c>
      <c r="K320" s="10">
        <v>75</v>
      </c>
      <c r="L320" s="10">
        <v>75</v>
      </c>
      <c r="M320" s="6" t="s">
        <v>421</v>
      </c>
      <c r="N320" s="6">
        <f>IF(OR($G320="FCC",$G320="Hydrocracker",$G320="Reformer"),IF(COUNTIFS($D:$D,$D320,$A:$A,$A320,$B:$B,$B320,$G:$G,"CDU",$J:$J,"PLANNED")&gt;0,"tied","standalone"),"")</f>
        <v/>
      </c>
    </row>
    <row r="321" spans="1:14">
      <c r="A321" s="6">
        <v>2023</v>
      </c>
      <c r="B321" s="6">
        <v>2</v>
      </c>
      <c r="C321" s="6" t="s">
        <v>61</v>
      </c>
      <c r="D321" s="6" t="s">
        <v>373</v>
      </c>
      <c r="E321" s="6" t="s">
        <v>438</v>
      </c>
      <c r="F321" s="6" t="str">
        <f>IF($M321="PADD I","PADD 1",IF($M321="PADD II","PADD 2",IF($M321="PADD III","PADD 3",IF($M321="PADD IV","PADD 4",IF($M321="PADD V","PADD 5","")))))</f>
        <v>PADD 3</v>
      </c>
      <c r="G321" s="6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6" t="s">
        <v>39</v>
      </c>
      <c r="I321" s="6" t="s">
        <v>100</v>
      </c>
      <c r="J321" s="6" t="s">
        <v>398</v>
      </c>
      <c r="K321" s="10">
        <v>74.8</v>
      </c>
      <c r="L321" s="10">
        <v>110</v>
      </c>
      <c r="M321" s="6" t="s">
        <v>421</v>
      </c>
      <c r="N321" s="6">
        <f>IF(OR($G321="FCC",$G321="Hydrocracker",$G321="Reformer"),IF(COUNTIFS($D:$D,$D321,$A:$A,$A321,$B:$B,$B321,$G:$G,"CDU",$J:$J,"PLANNED")&gt;0,"tied","standalone"),"")</f>
        <v/>
      </c>
    </row>
    <row r="322" spans="1:14">
      <c r="A322" s="6">
        <v>2023</v>
      </c>
      <c r="B322" s="6">
        <v>2</v>
      </c>
      <c r="C322" s="6" t="s">
        <v>61</v>
      </c>
      <c r="D322" s="6" t="s">
        <v>52</v>
      </c>
      <c r="E322" s="6" t="s">
        <v>441</v>
      </c>
      <c r="F322" s="6" t="str">
        <f>IF($M322="PADD I","PADD 1",IF($M322="PADD II","PADD 2",IF($M322="PADD III","PADD 3",IF($M322="PADD IV","PADD 4",IF($M322="PADD V","PADD 5","")))))</f>
        <v>PADD 5</v>
      </c>
      <c r="G322" s="6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6" t="s">
        <v>426</v>
      </c>
      <c r="I322" s="6" t="s">
        <v>106</v>
      </c>
      <c r="J322" s="6" t="s">
        <v>398</v>
      </c>
      <c r="K322" s="10">
        <v>72.5</v>
      </c>
      <c r="L322" s="10">
        <v>72.5</v>
      </c>
      <c r="M322" s="6" t="s">
        <v>436</v>
      </c>
      <c r="N322" s="6" t="str">
        <f>IF(OR($G322="FCC",$G322="Hydrocracker",$G322="Reformer"),IF(COUNTIFS($D:$D,$D322,$A:$A,$A322,$B:$B,$B322,$G:$G,"CDU",$J:$J,"PLANNED")&gt;0,"tied","standalone"),"")</f>
        <v>standalone</v>
      </c>
    </row>
    <row r="323" spans="1:14">
      <c r="A323" s="6">
        <v>2023</v>
      </c>
      <c r="B323" s="6">
        <v>2</v>
      </c>
      <c r="C323" s="6" t="s">
        <v>61</v>
      </c>
      <c r="D323" s="6" t="s">
        <v>437</v>
      </c>
      <c r="E323" s="6" t="s">
        <v>438</v>
      </c>
      <c r="F323" s="6" t="str">
        <f>IF($M323="PADD I","PADD 1",IF($M323="PADD II","PADD 2",IF($M323="PADD III","PADD 3",IF($M323="PADD IV","PADD 4",IF($M323="PADD V","PADD 5","")))))</f>
        <v>PADD 3</v>
      </c>
      <c r="G323" s="6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6" t="s">
        <v>494</v>
      </c>
      <c r="I323" s="6" t="s">
        <v>526</v>
      </c>
      <c r="J323" s="6" t="s">
        <v>394</v>
      </c>
      <c r="K323" s="10">
        <v>70</v>
      </c>
      <c r="L323" s="10">
        <v>70</v>
      </c>
      <c r="M323" s="6" t="s">
        <v>421</v>
      </c>
      <c r="N323" s="6" t="str">
        <f>IF(OR($G323="FCC",$G323="Hydrocracker",$G323="Reformer"),IF(COUNTIFS($D:$D,$D323,$A:$A,$A323,$B:$B,$B323,$G:$G,"CDU",$J:$J,"PLANNED")&gt;0,"tied","standalone"),"")</f>
        <v>tied</v>
      </c>
    </row>
    <row r="324" spans="1:14">
      <c r="A324" s="6">
        <v>2023</v>
      </c>
      <c r="B324" s="6">
        <v>2</v>
      </c>
      <c r="C324" s="6" t="s">
        <v>61</v>
      </c>
      <c r="D324" s="6" t="s">
        <v>382</v>
      </c>
      <c r="E324" s="6" t="s">
        <v>431</v>
      </c>
      <c r="F324" s="6" t="str">
        <f>IF($M324="PADD I","PADD 1",IF($M324="PADD II","PADD 2",IF($M324="PADD III","PADD 3",IF($M324="PADD IV","PADD 4",IF($M324="PADD V","PADD 5","")))))</f>
        <v>PADD 3</v>
      </c>
      <c r="G324" s="6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6" t="s">
        <v>426</v>
      </c>
      <c r="I324" s="6" t="s">
        <v>106</v>
      </c>
      <c r="J324" s="6" t="s">
        <v>398</v>
      </c>
      <c r="K324" s="10">
        <v>68.40000000000001</v>
      </c>
      <c r="L324" s="10">
        <v>120</v>
      </c>
      <c r="M324" s="6" t="s">
        <v>421</v>
      </c>
      <c r="N324" s="6" t="str">
        <f>IF(OR($G324="FCC",$G324="Hydrocracker",$G324="Reformer"),IF(COUNTIFS($D:$D,$D324,$A:$A,$A324,$B:$B,$B324,$G:$G,"CDU",$J:$J,"PLANNED")&gt;0,"tied","standalone"),"")</f>
        <v>standalone</v>
      </c>
    </row>
    <row r="325" spans="1:14">
      <c r="A325" s="6">
        <v>2023</v>
      </c>
      <c r="B325" s="6">
        <v>2</v>
      </c>
      <c r="C325" s="6" t="s">
        <v>61</v>
      </c>
      <c r="D325" s="6" t="s">
        <v>576</v>
      </c>
      <c r="E325" s="6" t="s">
        <v>455</v>
      </c>
      <c r="F325" s="6" t="str">
        <f>IF($M325="PADD I","PADD 1",IF($M325="PADD II","PADD 2",IF($M325="PADD III","PADD 3",IF($M325="PADD IV","PADD 4",IF($M325="PADD V","PADD 5","")))))</f>
        <v>PADD 3</v>
      </c>
      <c r="G325" s="6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6" t="s">
        <v>39</v>
      </c>
      <c r="I325" s="6" t="s">
        <v>691</v>
      </c>
      <c r="J325" s="6" t="s">
        <v>398</v>
      </c>
      <c r="K325" s="10">
        <v>65.55</v>
      </c>
      <c r="L325" s="10">
        <v>115</v>
      </c>
      <c r="M325" s="6" t="s">
        <v>421</v>
      </c>
      <c r="N325" s="6">
        <f>IF(OR($G325="FCC",$G325="Hydrocracker",$G325="Reformer"),IF(COUNTIFS($D:$D,$D325,$A:$A,$A325,$B:$B,$B325,$G:$G,"CDU",$J:$J,"PLANNED")&gt;0,"tied","standalone"),"")</f>
        <v/>
      </c>
    </row>
    <row r="326" spans="1:14">
      <c r="A326" s="6">
        <v>2023</v>
      </c>
      <c r="B326" s="6">
        <v>2</v>
      </c>
      <c r="C326" s="6" t="s">
        <v>61</v>
      </c>
      <c r="D326" s="6" t="s">
        <v>418</v>
      </c>
      <c r="E326" s="6" t="s">
        <v>419</v>
      </c>
      <c r="F326" s="6" t="str">
        <f>IF($M326="PADD I","PADD 1",IF($M326="PADD II","PADD 2",IF($M326="PADD III","PADD 3",IF($M326="PADD IV","PADD 4",IF($M326="PADD V","PADD 5","")))))</f>
        <v>PADD 3</v>
      </c>
      <c r="G326" s="6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6" t="s">
        <v>44</v>
      </c>
      <c r="I326" s="6" t="s">
        <v>443</v>
      </c>
      <c r="J326" s="6" t="s">
        <v>398</v>
      </c>
      <c r="K326" s="10">
        <v>65.40000000000001</v>
      </c>
      <c r="L326" s="10">
        <v>65.40000000000001</v>
      </c>
      <c r="M326" s="6" t="s">
        <v>421</v>
      </c>
      <c r="N326" s="6">
        <f>IF(OR($G326="FCC",$G326="Hydrocracker",$G326="Reformer"),IF(COUNTIFS($D:$D,$D326,$A:$A,$A326,$B:$B,$B326,$G:$G,"CDU",$J:$J,"PLANNED")&gt;0,"tied","standalone"),"")</f>
        <v/>
      </c>
    </row>
    <row r="327" spans="1:14">
      <c r="A327" s="6">
        <v>2023</v>
      </c>
      <c r="B327" s="6">
        <v>2</v>
      </c>
      <c r="C327" s="6" t="s">
        <v>61</v>
      </c>
      <c r="D327" s="6" t="s">
        <v>395</v>
      </c>
      <c r="E327" s="6" t="s">
        <v>433</v>
      </c>
      <c r="F327" s="6" t="str">
        <f>IF($M327="PADD I","PADD 1",IF($M327="PADD II","PADD 2",IF($M327="PADD III","PADD 3",IF($M327="PADD IV","PADD 4",IF($M327="PADD V","PADD 5","")))))</f>
        <v>PADD 2</v>
      </c>
      <c r="G327" s="6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6" t="s">
        <v>44</v>
      </c>
      <c r="I327" s="6" t="s">
        <v>444</v>
      </c>
      <c r="J327" s="6" t="s">
        <v>398</v>
      </c>
      <c r="K327" s="10">
        <v>65</v>
      </c>
      <c r="L327" s="10">
        <v>65</v>
      </c>
      <c r="M327" s="6" t="s">
        <v>425</v>
      </c>
      <c r="N327" s="6">
        <f>IF(OR($G327="FCC",$G327="Hydrocracker",$G327="Reformer"),IF(COUNTIFS($D:$D,$D327,$A:$A,$A327,$B:$B,$B327,$G:$G,"CDU",$J:$J,"PLANNED")&gt;0,"tied","standalone"),"")</f>
        <v/>
      </c>
    </row>
    <row r="328" spans="1:14">
      <c r="A328" s="6">
        <v>2023</v>
      </c>
      <c r="B328" s="6">
        <v>2</v>
      </c>
      <c r="C328" s="6" t="s">
        <v>61</v>
      </c>
      <c r="D328" s="6" t="s">
        <v>437</v>
      </c>
      <c r="E328" s="6" t="s">
        <v>438</v>
      </c>
      <c r="F328" s="6" t="str">
        <f>IF($M328="PADD I","PADD 1",IF($M328="PADD II","PADD 2",IF($M328="PADD III","PADD 3",IF($M328="PADD IV","PADD 4",IF($M328="PADD V","PADD 5","")))))</f>
        <v>PADD 3</v>
      </c>
      <c r="G328" s="6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6" t="s">
        <v>44</v>
      </c>
      <c r="I328" s="6" t="s">
        <v>536</v>
      </c>
      <c r="J328" s="6" t="s">
        <v>398</v>
      </c>
      <c r="K328" s="10">
        <v>64</v>
      </c>
      <c r="L328" s="10">
        <v>64</v>
      </c>
      <c r="M328" s="6" t="s">
        <v>421</v>
      </c>
      <c r="N328" s="6">
        <f>IF(OR($G328="FCC",$G328="Hydrocracker",$G328="Reformer"),IF(COUNTIFS($D:$D,$D328,$A:$A,$A328,$B:$B,$B328,$G:$G,"CDU",$J:$J,"PLANNED")&gt;0,"tied","standalone"),"")</f>
        <v/>
      </c>
    </row>
    <row r="329" spans="1:14">
      <c r="A329" s="6">
        <v>2023</v>
      </c>
      <c r="B329" s="6">
        <v>2</v>
      </c>
      <c r="C329" s="6" t="s">
        <v>61</v>
      </c>
      <c r="D329" s="6" t="s">
        <v>418</v>
      </c>
      <c r="E329" s="6" t="s">
        <v>419</v>
      </c>
      <c r="F329" s="6" t="str">
        <f>IF($M329="PADD I","PADD 1",IF($M329="PADD II","PADD 2",IF($M329="PADD III","PADD 3",IF($M329="PADD IV","PADD 4",IF($M329="PADD V","PADD 5","")))))</f>
        <v>PADD 3</v>
      </c>
      <c r="G329" s="6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6" t="s">
        <v>44</v>
      </c>
      <c r="I329" s="6" t="s">
        <v>451</v>
      </c>
      <c r="J329" s="6" t="s">
        <v>398</v>
      </c>
      <c r="K329" s="10">
        <v>58.5</v>
      </c>
      <c r="L329" s="10">
        <v>58.5</v>
      </c>
      <c r="M329" s="6" t="s">
        <v>421</v>
      </c>
      <c r="N329" s="6">
        <f>IF(OR($G329="FCC",$G329="Hydrocracker",$G329="Reformer"),IF(COUNTIFS($D:$D,$D329,$A:$A,$A329,$B:$B,$B329,$G:$G,"CDU",$J:$J,"PLANNED")&gt;0,"tied","standalone"),"")</f>
        <v/>
      </c>
    </row>
    <row r="330" spans="1:14">
      <c r="A330" s="6">
        <v>2023</v>
      </c>
      <c r="B330" s="6">
        <v>2</v>
      </c>
      <c r="C330" s="6" t="s">
        <v>61</v>
      </c>
      <c r="D330" s="6" t="s">
        <v>592</v>
      </c>
      <c r="E330" s="6" t="s">
        <v>593</v>
      </c>
      <c r="F330" s="6" t="str">
        <f>IF($M330="PADD I","PADD 1",IF($M330="PADD II","PADD 2",IF($M330="PADD III","PADD 3",IF($M330="PADD IV","PADD 4",IF($M330="PADD V","PADD 5","")))))</f>
        <v>PADD 2</v>
      </c>
      <c r="G330" s="6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6" t="s">
        <v>39</v>
      </c>
      <c r="I330" s="6" t="s">
        <v>594</v>
      </c>
      <c r="J330" s="6" t="s">
        <v>394</v>
      </c>
      <c r="K330" s="10">
        <v>55.3</v>
      </c>
      <c r="L330" s="10">
        <v>70</v>
      </c>
      <c r="M330" s="6" t="s">
        <v>425</v>
      </c>
      <c r="N330" s="6">
        <f>IF(OR($G330="FCC",$G330="Hydrocracker",$G330="Reformer"),IF(COUNTIFS($D:$D,$D330,$A:$A,$A330,$B:$B,$B330,$G:$G,"CDU",$J:$J,"PLANNED")&gt;0,"tied","standalone"),"")</f>
        <v/>
      </c>
    </row>
    <row r="331" spans="1:14">
      <c r="A331" s="6">
        <v>2023</v>
      </c>
      <c r="B331" s="6">
        <v>2</v>
      </c>
      <c r="C331" s="6" t="s">
        <v>61</v>
      </c>
      <c r="D331" s="6" t="s">
        <v>422</v>
      </c>
      <c r="E331" s="6" t="s">
        <v>423</v>
      </c>
      <c r="F331" s="6" t="str">
        <f>IF($M331="PADD I","PADD 1",IF($M331="PADD II","PADD 2",IF($M331="PADD III","PADD 3",IF($M331="PADD IV","PADD 4",IF($M331="PADD V","PADD 5","")))))</f>
        <v>PADD 2</v>
      </c>
      <c r="G331" s="6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6" t="s">
        <v>426</v>
      </c>
      <c r="I331" s="6" t="s">
        <v>457</v>
      </c>
      <c r="J331" s="6" t="s">
        <v>394</v>
      </c>
      <c r="K331" s="10">
        <v>55</v>
      </c>
      <c r="L331" s="10">
        <v>55</v>
      </c>
      <c r="M331" s="6" t="s">
        <v>425</v>
      </c>
      <c r="N331" s="6" t="str">
        <f>IF(OR($G331="FCC",$G331="Hydrocracker",$G331="Reformer"),IF(COUNTIFS($D:$D,$D331,$A:$A,$A331,$B:$B,$B331,$G:$G,"CDU",$J:$J,"PLANNED")&gt;0,"tied","standalone"),"")</f>
        <v>standalone</v>
      </c>
    </row>
    <row r="332" spans="1:14">
      <c r="A332" s="6">
        <v>2023</v>
      </c>
      <c r="B332" s="6">
        <v>2</v>
      </c>
      <c r="C332" s="6" t="s">
        <v>61</v>
      </c>
      <c r="D332" s="6" t="s">
        <v>461</v>
      </c>
      <c r="E332" s="6" t="s">
        <v>419</v>
      </c>
      <c r="F332" s="6" t="str">
        <f>IF($M332="PADD I","PADD 1",IF($M332="PADD II","PADD 2",IF($M332="PADD III","PADD 3",IF($M332="PADD IV","PADD 4",IF($M332="PADD V","PADD 5","")))))</f>
        <v>PADD 1</v>
      </c>
      <c r="G332" s="6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6" t="s">
        <v>44</v>
      </c>
      <c r="I332" s="6" t="s">
        <v>538</v>
      </c>
      <c r="J332" s="6" t="s">
        <v>398</v>
      </c>
      <c r="K332" s="10">
        <v>54</v>
      </c>
      <c r="L332" s="10">
        <v>54</v>
      </c>
      <c r="M332" s="6" t="s">
        <v>463</v>
      </c>
      <c r="N332" s="6">
        <f>IF(OR($G332="FCC",$G332="Hydrocracker",$G332="Reformer"),IF(COUNTIFS($D:$D,$D332,$A:$A,$A332,$B:$B,$B332,$G:$G,"CDU",$J:$J,"PLANNED")&gt;0,"tied","standalone"),"")</f>
        <v/>
      </c>
    </row>
    <row r="333" spans="1:14">
      <c r="A333" s="6">
        <v>2023</v>
      </c>
      <c r="B333" s="6">
        <v>2</v>
      </c>
      <c r="C333" s="6" t="s">
        <v>61</v>
      </c>
      <c r="D333" s="6" t="s">
        <v>43</v>
      </c>
      <c r="E333" s="6" t="s">
        <v>455</v>
      </c>
      <c r="F333" s="6" t="str">
        <f>IF($M333="PADD I","PADD 1",IF($M333="PADD II","PADD 2",IF($M333="PADD III","PADD 3",IF($M333="PADD IV","PADD 4",IF($M333="PADD V","PADD 5","")))))</f>
        <v>PADD 3</v>
      </c>
      <c r="G333" s="6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6" t="s">
        <v>485</v>
      </c>
      <c r="I333" s="6" t="s">
        <v>491</v>
      </c>
      <c r="J333" s="6" t="s">
        <v>398</v>
      </c>
      <c r="K333" s="10">
        <v>50.88</v>
      </c>
      <c r="L333" s="10">
        <v>53</v>
      </c>
      <c r="M333" s="6" t="s">
        <v>421</v>
      </c>
      <c r="N333" s="6">
        <f>IF(OR($G333="FCC",$G333="Hydrocracker",$G333="Reformer"),IF(COUNTIFS($D:$D,$D333,$A:$A,$A333,$B:$B,$B333,$G:$G,"CDU",$J:$J,"PLANNED")&gt;0,"tied","standalone"),"")</f>
        <v/>
      </c>
    </row>
    <row r="334" spans="1:14">
      <c r="A334" s="6">
        <v>2023</v>
      </c>
      <c r="B334" s="6">
        <v>2</v>
      </c>
      <c r="C334" s="6" t="s">
        <v>61</v>
      </c>
      <c r="D334" s="6" t="s">
        <v>430</v>
      </c>
      <c r="E334" s="6" t="s">
        <v>431</v>
      </c>
      <c r="F334" s="6" t="str">
        <f>IF($M334="PADD I","PADD 1",IF($M334="PADD II","PADD 2",IF($M334="PADD III","PADD 3",IF($M334="PADD IV","PADD 4",IF($M334="PADD V","PADD 5","")))))</f>
        <v>PADD 3</v>
      </c>
      <c r="G334" s="6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6" t="s">
        <v>485</v>
      </c>
      <c r="I334" s="6" t="s">
        <v>527</v>
      </c>
      <c r="J334" s="6" t="s">
        <v>398</v>
      </c>
      <c r="K334" s="10">
        <v>50</v>
      </c>
      <c r="L334" s="10">
        <v>50</v>
      </c>
      <c r="M334" s="6" t="s">
        <v>421</v>
      </c>
      <c r="N334" s="6">
        <f>IF(OR($G334="FCC",$G334="Hydrocracker",$G334="Reformer"),IF(COUNTIFS($D:$D,$D334,$A:$A,$A334,$B:$B,$B334,$G:$G,"CDU",$J:$J,"PLANNED")&gt;0,"tied","standalone"),"")</f>
        <v/>
      </c>
    </row>
    <row r="335" spans="1:14">
      <c r="A335" s="6">
        <v>2023</v>
      </c>
      <c r="B335" s="6">
        <v>2</v>
      </c>
      <c r="C335" s="6" t="s">
        <v>61</v>
      </c>
      <c r="D335" s="6" t="s">
        <v>422</v>
      </c>
      <c r="E335" s="6" t="s">
        <v>423</v>
      </c>
      <c r="F335" s="6" t="str">
        <f>IF($M335="PADD I","PADD 1",IF($M335="PADD II","PADD 2",IF($M335="PADD III","PADD 3",IF($M335="PADD IV","PADD 4",IF($M335="PADD V","PADD 5","")))))</f>
        <v>PADD 2</v>
      </c>
      <c r="G335" s="6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6" t="s">
        <v>39</v>
      </c>
      <c r="I335" s="6" t="s">
        <v>464</v>
      </c>
      <c r="J335" s="6" t="s">
        <v>394</v>
      </c>
      <c r="K335" s="10">
        <v>50</v>
      </c>
      <c r="L335" s="10">
        <v>50</v>
      </c>
      <c r="M335" s="6" t="s">
        <v>425</v>
      </c>
      <c r="N335" s="6">
        <f>IF(OR($G335="FCC",$G335="Hydrocracker",$G335="Reformer"),IF(COUNTIFS($D:$D,$D335,$A:$A,$A335,$B:$B,$B335,$G:$G,"CDU",$J:$J,"PLANNED")&gt;0,"tied","standalone"),"")</f>
        <v/>
      </c>
    </row>
    <row r="336" spans="1:14">
      <c r="A336" s="6">
        <v>2023</v>
      </c>
      <c r="B336" s="6">
        <v>2</v>
      </c>
      <c r="C336" s="6" t="s">
        <v>61</v>
      </c>
      <c r="D336" s="6" t="s">
        <v>568</v>
      </c>
      <c r="E336" s="6" t="s">
        <v>419</v>
      </c>
      <c r="F336" s="6" t="str">
        <f>IF($M336="PADD I","PADD 1",IF($M336="PADD II","PADD 2",IF($M336="PADD III","PADD 3",IF($M336="PADD IV","PADD 4",IF($M336="PADD V","PADD 5","")))))</f>
        <v>PADD 5</v>
      </c>
      <c r="G336" s="6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6" t="s">
        <v>39</v>
      </c>
      <c r="I336" s="6" t="s">
        <v>569</v>
      </c>
      <c r="J336" s="6" t="s">
        <v>394</v>
      </c>
      <c r="K336" s="10">
        <v>50</v>
      </c>
      <c r="L336" s="10">
        <v>50</v>
      </c>
      <c r="M336" s="6" t="s">
        <v>436</v>
      </c>
      <c r="N336" s="6">
        <f>IF(OR($G336="FCC",$G336="Hydrocracker",$G336="Reformer"),IF(COUNTIFS($D:$D,$D336,$A:$A,$A336,$B:$B,$B336,$G:$G,"CDU",$J:$J,"PLANNED")&gt;0,"tied","standalone"),"")</f>
        <v/>
      </c>
    </row>
    <row r="337" spans="1:14">
      <c r="A337" s="6">
        <v>2023</v>
      </c>
      <c r="B337" s="6">
        <v>2</v>
      </c>
      <c r="C337" s="6" t="s">
        <v>61</v>
      </c>
      <c r="D337" s="6" t="s">
        <v>465</v>
      </c>
      <c r="E337" s="6" t="s">
        <v>466</v>
      </c>
      <c r="F337" s="6" t="str">
        <f>IF($M337="PADD I","PADD 1",IF($M337="PADD II","PADD 2",IF($M337="PADD III","PADD 3",IF($M337="PADD IV","PADD 4",IF($M337="PADD V","PADD 5","")))))</f>
        <v>PADD 3</v>
      </c>
      <c r="G337" s="6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6" t="s">
        <v>428</v>
      </c>
      <c r="I337" s="6" t="s">
        <v>467</v>
      </c>
      <c r="J337" s="6" t="s">
        <v>394</v>
      </c>
      <c r="K337" s="10">
        <v>50</v>
      </c>
      <c r="L337" s="10">
        <v>50</v>
      </c>
      <c r="M337" s="6" t="s">
        <v>421</v>
      </c>
      <c r="N337" s="6">
        <f>IF(OR($G337="FCC",$G337="Hydrocracker",$G337="Reformer"),IF(COUNTIFS($D:$D,$D337,$A:$A,$A337,$B:$B,$B337,$G:$G,"CDU",$J:$J,"PLANNED")&gt;0,"tied","standalone"),"")</f>
        <v/>
      </c>
    </row>
    <row r="338" spans="1:14">
      <c r="A338" s="6">
        <v>2023</v>
      </c>
      <c r="B338" s="6">
        <v>2</v>
      </c>
      <c r="C338" s="6" t="s">
        <v>61</v>
      </c>
      <c r="D338" s="6" t="s">
        <v>515</v>
      </c>
      <c r="E338" s="6" t="s">
        <v>419</v>
      </c>
      <c r="F338" s="6" t="str">
        <f>IF($M338="PADD I","PADD 1",IF($M338="PADD II","PADD 2",IF($M338="PADD III","PADD 3",IF($M338="PADD IV","PADD 4",IF($M338="PADD V","PADD 5","")))))</f>
        <v>PADD 5</v>
      </c>
      <c r="G338" s="6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6" t="s">
        <v>44</v>
      </c>
      <c r="I338" s="6" t="s">
        <v>516</v>
      </c>
      <c r="J338" s="6" t="s">
        <v>398</v>
      </c>
      <c r="K338" s="10">
        <v>50</v>
      </c>
      <c r="L338" s="10">
        <v>50</v>
      </c>
      <c r="M338" s="6" t="s">
        <v>436</v>
      </c>
      <c r="N338" s="6">
        <f>IF(OR($G338="FCC",$G338="Hydrocracker",$G338="Reformer"),IF(COUNTIFS($D:$D,$D338,$A:$A,$A338,$B:$B,$B338,$G:$G,"CDU",$J:$J,"PLANNED")&gt;0,"tied","standalone"),"")</f>
        <v/>
      </c>
    </row>
    <row r="339" spans="1:14">
      <c r="A339" s="6">
        <v>2023</v>
      </c>
      <c r="B339" s="6">
        <v>2</v>
      </c>
      <c r="C339" s="6" t="s">
        <v>61</v>
      </c>
      <c r="D339" s="6" t="s">
        <v>373</v>
      </c>
      <c r="E339" s="6" t="s">
        <v>438</v>
      </c>
      <c r="F339" s="6" t="str">
        <f>IF($M339="PADD I","PADD 1",IF($M339="PADD II","PADD 2",IF($M339="PADD III","PADD 3",IF($M339="PADD IV","PADD 4",IF($M339="PADD V","PADD 5","")))))</f>
        <v>PADD 3</v>
      </c>
      <c r="G339" s="6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6" t="s">
        <v>471</v>
      </c>
      <c r="I339" s="6" t="s">
        <v>692</v>
      </c>
      <c r="J339" s="6" t="s">
        <v>398</v>
      </c>
      <c r="K339" s="10">
        <v>48.75</v>
      </c>
      <c r="L339" s="10">
        <v>65</v>
      </c>
      <c r="M339" s="6" t="s">
        <v>421</v>
      </c>
      <c r="N339" s="6" t="str">
        <f>IF(OR($G339="FCC",$G339="Hydrocracker",$G339="Reformer"),IF(COUNTIFS($D:$D,$D339,$A:$A,$A339,$B:$B,$B339,$G:$G,"CDU",$J:$J,"PLANNED")&gt;0,"tied","standalone"),"")</f>
        <v>tied</v>
      </c>
    </row>
    <row r="340" spans="1:14">
      <c r="A340" s="6">
        <v>2023</v>
      </c>
      <c r="B340" s="6">
        <v>2</v>
      </c>
      <c r="C340" s="6" t="s">
        <v>61</v>
      </c>
      <c r="D340" s="6" t="s">
        <v>540</v>
      </c>
      <c r="E340" s="6" t="s">
        <v>541</v>
      </c>
      <c r="F340" s="6" t="str">
        <f>IF($M340="PADD I","PADD 1",IF($M340="PADD II","PADD 2",IF($M340="PADD III","PADD 3",IF($M340="PADD IV","PADD 4",IF($M340="PADD V","PADD 5","")))))</f>
        <v>PADD 3</v>
      </c>
      <c r="G340" s="6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6" t="s">
        <v>485</v>
      </c>
      <c r="I340" s="6" t="s">
        <v>693</v>
      </c>
      <c r="J340" s="6" t="s">
        <v>394</v>
      </c>
      <c r="K340" s="10">
        <v>47.3</v>
      </c>
      <c r="L340" s="10">
        <v>110</v>
      </c>
      <c r="M340" s="6" t="s">
        <v>421</v>
      </c>
      <c r="N340" s="6">
        <f>IF(OR($G340="FCC",$G340="Hydrocracker",$G340="Reformer"),IF(COUNTIFS($D:$D,$D340,$A:$A,$A340,$B:$B,$B340,$G:$G,"CDU",$J:$J,"PLANNED")&gt;0,"tied","standalone"),"")</f>
        <v/>
      </c>
    </row>
    <row r="341" spans="1:14">
      <c r="A341" s="6">
        <v>2023</v>
      </c>
      <c r="B341" s="6">
        <v>2</v>
      </c>
      <c r="C341" s="6" t="s">
        <v>61</v>
      </c>
      <c r="D341" s="6" t="s">
        <v>597</v>
      </c>
      <c r="E341" s="6" t="s">
        <v>441</v>
      </c>
      <c r="F341" s="6" t="str">
        <f>IF($M341="PADD I","PADD 1",IF($M341="PADD II","PADD 2",IF($M341="PADD III","PADD 3",IF($M341="PADD IV","PADD 4",IF($M341="PADD V","PADD 5","")))))</f>
        <v>PADD 5</v>
      </c>
      <c r="G341" s="6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6" t="s">
        <v>426</v>
      </c>
      <c r="I341" s="6" t="s">
        <v>106</v>
      </c>
      <c r="J341" s="6" t="s">
        <v>394</v>
      </c>
      <c r="K341" s="10">
        <v>45.6</v>
      </c>
      <c r="L341" s="10">
        <v>80</v>
      </c>
      <c r="M341" s="6" t="s">
        <v>436</v>
      </c>
      <c r="N341" s="6" t="str">
        <f>IF(OR($G341="FCC",$G341="Hydrocracker",$G341="Reformer"),IF(COUNTIFS($D:$D,$D341,$A:$A,$A341,$B:$B,$B341,$G:$G,"CDU",$J:$J,"PLANNED")&gt;0,"tied","standalone"),"")</f>
        <v>standalone</v>
      </c>
    </row>
    <row r="342" spans="1:14">
      <c r="A342" s="6">
        <v>2023</v>
      </c>
      <c r="B342" s="6">
        <v>2</v>
      </c>
      <c r="C342" s="6" t="s">
        <v>61</v>
      </c>
      <c r="D342" s="6" t="s">
        <v>373</v>
      </c>
      <c r="E342" s="6" t="s">
        <v>438</v>
      </c>
      <c r="F342" s="6" t="str">
        <f>IF($M342="PADD I","PADD 1",IF($M342="PADD II","PADD 2",IF($M342="PADD III","PADD 3",IF($M342="PADD IV","PADD 4",IF($M342="PADD V","PADD 5","")))))</f>
        <v>PADD 3</v>
      </c>
      <c r="G342" s="6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6" t="s">
        <v>44</v>
      </c>
      <c r="I342" s="6" t="s">
        <v>694</v>
      </c>
      <c r="J342" s="6" t="s">
        <v>398</v>
      </c>
      <c r="K342" s="10">
        <v>45</v>
      </c>
      <c r="L342" s="10">
        <v>60</v>
      </c>
      <c r="M342" s="6" t="s">
        <v>421</v>
      </c>
      <c r="N342" s="6">
        <f>IF(OR($G342="FCC",$G342="Hydrocracker",$G342="Reformer"),IF(COUNTIFS($D:$D,$D342,$A:$A,$A342,$B:$B,$B342,$G:$G,"CDU",$J:$J,"PLANNED")&gt;0,"tied","standalone"),"")</f>
        <v/>
      </c>
    </row>
    <row r="343" spans="1:14">
      <c r="A343" s="6">
        <v>2023</v>
      </c>
      <c r="B343" s="6">
        <v>2</v>
      </c>
      <c r="C343" s="6" t="s">
        <v>61</v>
      </c>
      <c r="D343" s="6" t="s">
        <v>418</v>
      </c>
      <c r="E343" s="6" t="s">
        <v>419</v>
      </c>
      <c r="F343" s="6" t="str">
        <f>IF($M343="PADD I","PADD 1",IF($M343="PADD II","PADD 2",IF($M343="PADD III","PADD 3",IF($M343="PADD IV","PADD 4",IF($M343="PADD V","PADD 5","")))))</f>
        <v>PADD 3</v>
      </c>
      <c r="G343" s="6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6" t="s">
        <v>471</v>
      </c>
      <c r="I343" s="6" t="s">
        <v>472</v>
      </c>
      <c r="J343" s="6" t="s">
        <v>398</v>
      </c>
      <c r="K343" s="10">
        <v>44.6</v>
      </c>
      <c r="L343" s="10">
        <v>44.6</v>
      </c>
      <c r="M343" s="6" t="s">
        <v>421</v>
      </c>
      <c r="N343" s="6" t="str">
        <f>IF(OR($G343="FCC",$G343="Hydrocracker",$G343="Reformer"),IF(COUNTIFS($D:$D,$D343,$A:$A,$A343,$B:$B,$B343,$G:$G,"CDU",$J:$J,"PLANNED")&gt;0,"tied","standalone"),"")</f>
        <v>tied</v>
      </c>
    </row>
    <row r="344" spans="1:14">
      <c r="A344" s="6">
        <v>2023</v>
      </c>
      <c r="B344" s="6">
        <v>2</v>
      </c>
      <c r="C344" s="6" t="s">
        <v>61</v>
      </c>
      <c r="D344" s="6" t="s">
        <v>561</v>
      </c>
      <c r="E344" s="6" t="s">
        <v>455</v>
      </c>
      <c r="F344" s="6" t="str">
        <f>IF($M344="PADD I","PADD 1",IF($M344="PADD II","PADD 2",IF($M344="PADD III","PADD 3",IF($M344="PADD IV","PADD 4",IF($M344="PADD V","PADD 5","")))))</f>
        <v>PADD 3</v>
      </c>
      <c r="G344" s="6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6" t="s">
        <v>494</v>
      </c>
      <c r="I344" s="6" t="s">
        <v>14</v>
      </c>
      <c r="J344" s="6" t="s">
        <v>394</v>
      </c>
      <c r="K344" s="10">
        <v>44.5</v>
      </c>
      <c r="L344" s="10">
        <v>50</v>
      </c>
      <c r="M344" s="6" t="s">
        <v>421</v>
      </c>
      <c r="N344" s="6" t="str">
        <f>IF(OR($G344="FCC",$G344="Hydrocracker",$G344="Reformer"),IF(COUNTIFS($D:$D,$D344,$A:$A,$A344,$B:$B,$B344,$G:$G,"CDU",$J:$J,"PLANNED")&gt;0,"tied","standalone"),"")</f>
        <v>tied</v>
      </c>
    </row>
    <row r="345" spans="1:14">
      <c r="A345" s="6">
        <v>2023</v>
      </c>
      <c r="B345" s="6">
        <v>2</v>
      </c>
      <c r="C345" s="6" t="s">
        <v>61</v>
      </c>
      <c r="D345" s="6" t="s">
        <v>695</v>
      </c>
      <c r="E345" s="6" t="s">
        <v>438</v>
      </c>
      <c r="F345" s="6" t="str">
        <f>IF($M345="PADD I","PADD 1",IF($M345="PADD II","PADD 2",IF($M345="PADD III","PADD 3",IF($M345="PADD IV","PADD 4",IF($M345="PADD V","PADD 5","")))))</f>
        <v>PADD 3</v>
      </c>
      <c r="G345" s="6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6" t="s">
        <v>44</v>
      </c>
      <c r="I345" s="6" t="s">
        <v>499</v>
      </c>
      <c r="J345" s="6" t="s">
        <v>394</v>
      </c>
      <c r="K345" s="10">
        <v>43.2</v>
      </c>
      <c r="L345" s="10">
        <v>80</v>
      </c>
      <c r="M345" s="6" t="s">
        <v>421</v>
      </c>
      <c r="N345" s="6">
        <f>IF(OR($G345="FCC",$G345="Hydrocracker",$G345="Reformer"),IF(COUNTIFS($D:$D,$D345,$A:$A,$A345,$B:$B,$B345,$G:$G,"CDU",$J:$J,"PLANNED")&gt;0,"tied","standalone"),"")</f>
        <v/>
      </c>
    </row>
    <row r="346" spans="1:14">
      <c r="A346" s="6">
        <v>2023</v>
      </c>
      <c r="B346" s="6">
        <v>2</v>
      </c>
      <c r="C346" s="6" t="s">
        <v>61</v>
      </c>
      <c r="D346" s="6" t="s">
        <v>422</v>
      </c>
      <c r="E346" s="6" t="s">
        <v>423</v>
      </c>
      <c r="F346" s="6" t="str">
        <f>IF($M346="PADD I","PADD 1",IF($M346="PADD II","PADD 2",IF($M346="PADD III","PADD 3",IF($M346="PADD IV","PADD 4",IF($M346="PADD V","PADD 5","")))))</f>
        <v>PADD 2</v>
      </c>
      <c r="G346" s="6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6" t="s">
        <v>471</v>
      </c>
      <c r="I346" s="6" t="s">
        <v>473</v>
      </c>
      <c r="J346" s="6" t="s">
        <v>394</v>
      </c>
      <c r="K346" s="10">
        <v>42</v>
      </c>
      <c r="L346" s="10">
        <v>42</v>
      </c>
      <c r="M346" s="6" t="s">
        <v>425</v>
      </c>
      <c r="N346" s="6" t="str">
        <f>IF(OR($G346="FCC",$G346="Hydrocracker",$G346="Reformer"),IF(COUNTIFS($D:$D,$D346,$A:$A,$A346,$B:$B,$B346,$G:$G,"CDU",$J:$J,"PLANNED")&gt;0,"tied","standalone"),"")</f>
        <v>standalone</v>
      </c>
    </row>
    <row r="347" spans="1:14">
      <c r="A347" s="6">
        <v>2023</v>
      </c>
      <c r="B347" s="6">
        <v>2</v>
      </c>
      <c r="C347" s="6" t="s">
        <v>61</v>
      </c>
      <c r="D347" s="6" t="s">
        <v>375</v>
      </c>
      <c r="E347" s="6" t="s">
        <v>435</v>
      </c>
      <c r="F347" s="6" t="str">
        <f>IF($M347="PADD I","PADD 1",IF($M347="PADD II","PADD 2",IF($M347="PADD III","PADD 3",IF($M347="PADD IV","PADD 4",IF($M347="PADD V","PADD 5","")))))</f>
        <v>PADD 5</v>
      </c>
      <c r="G347" s="6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6" t="s">
        <v>494</v>
      </c>
      <c r="I347" s="6" t="s">
        <v>548</v>
      </c>
      <c r="J347" s="6" t="s">
        <v>398</v>
      </c>
      <c r="K347" s="10">
        <v>42</v>
      </c>
      <c r="L347" s="10">
        <v>42</v>
      </c>
      <c r="M347" s="6" t="s">
        <v>436</v>
      </c>
      <c r="N347" s="6" t="str">
        <f>IF(OR($G347="FCC",$G347="Hydrocracker",$G347="Reformer"),IF(COUNTIFS($D:$D,$D347,$A:$A,$A347,$B:$B,$B347,$G:$G,"CDU",$J:$J,"PLANNED")&gt;0,"tied","standalone"),"")</f>
        <v>tied</v>
      </c>
    </row>
    <row r="348" spans="1:14">
      <c r="A348" s="6">
        <v>2023</v>
      </c>
      <c r="B348" s="6">
        <v>2</v>
      </c>
      <c r="C348" s="6" t="s">
        <v>61</v>
      </c>
      <c r="D348" s="6" t="s">
        <v>395</v>
      </c>
      <c r="E348" s="6" t="s">
        <v>433</v>
      </c>
      <c r="F348" s="6" t="str">
        <f>IF($M348="PADD I","PADD 1",IF($M348="PADD II","PADD 2",IF($M348="PADD III","PADD 3",IF($M348="PADD IV","PADD 4",IF($M348="PADD V","PADD 5","")))))</f>
        <v>PADD 2</v>
      </c>
      <c r="G348" s="6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6" t="s">
        <v>44</v>
      </c>
      <c r="I348" s="6" t="s">
        <v>474</v>
      </c>
      <c r="J348" s="6" t="s">
        <v>398</v>
      </c>
      <c r="K348" s="10">
        <v>42</v>
      </c>
      <c r="L348" s="10">
        <v>42</v>
      </c>
      <c r="M348" s="6" t="s">
        <v>425</v>
      </c>
      <c r="N348" s="6">
        <f>IF(OR($G348="FCC",$G348="Hydrocracker",$G348="Reformer"),IF(COUNTIFS($D:$D,$D348,$A:$A,$A348,$B:$B,$B348,$G:$G,"CDU",$J:$J,"PLANNED")&gt;0,"tied","standalone"),"")</f>
        <v/>
      </c>
    </row>
    <row r="349" spans="1:14">
      <c r="A349" s="6">
        <v>2023</v>
      </c>
      <c r="B349" s="6">
        <v>2</v>
      </c>
      <c r="C349" s="6" t="s">
        <v>61</v>
      </c>
      <c r="D349" s="6" t="s">
        <v>568</v>
      </c>
      <c r="E349" s="6" t="s">
        <v>419</v>
      </c>
      <c r="F349" s="6" t="str">
        <f>IF($M349="PADD I","PADD 1",IF($M349="PADD II","PADD 2",IF($M349="PADD III","PADD 3",IF($M349="PADD IV","PADD 4",IF($M349="PADD V","PADD 5","")))))</f>
        <v>PADD 5</v>
      </c>
      <c r="G349" s="6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6" t="s">
        <v>494</v>
      </c>
      <c r="I349" s="6" t="s">
        <v>584</v>
      </c>
      <c r="J349" s="6" t="s">
        <v>394</v>
      </c>
      <c r="K349" s="10">
        <v>42</v>
      </c>
      <c r="L349" s="10">
        <v>42</v>
      </c>
      <c r="M349" s="6" t="s">
        <v>436</v>
      </c>
      <c r="N349" s="6" t="str">
        <f>IF(OR($G349="FCC",$G349="Hydrocracker",$G349="Reformer"),IF(COUNTIFS($D:$D,$D349,$A:$A,$A349,$B:$B,$B349,$G:$G,"CDU",$J:$J,"PLANNED")&gt;0,"tied","standalone"),"")</f>
        <v>standalone</v>
      </c>
    </row>
    <row r="350" spans="1:14">
      <c r="A350" s="6">
        <v>2023</v>
      </c>
      <c r="B350" s="6">
        <v>2</v>
      </c>
      <c r="C350" s="6" t="s">
        <v>61</v>
      </c>
      <c r="D350" s="6" t="s">
        <v>465</v>
      </c>
      <c r="E350" s="6" t="s">
        <v>466</v>
      </c>
      <c r="F350" s="6" t="str">
        <f>IF($M350="PADD I","PADD 1",IF($M350="PADD II","PADD 2",IF($M350="PADD III","PADD 3",IF($M350="PADD IV","PADD 4",IF($M350="PADD V","PADD 5","")))))</f>
        <v>PADD 3</v>
      </c>
      <c r="G350" s="6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6" t="s">
        <v>426</v>
      </c>
      <c r="I350" s="6" t="s">
        <v>475</v>
      </c>
      <c r="J350" s="6" t="s">
        <v>394</v>
      </c>
      <c r="K350" s="10">
        <v>42</v>
      </c>
      <c r="L350" s="10">
        <v>42</v>
      </c>
      <c r="M350" s="6" t="s">
        <v>421</v>
      </c>
      <c r="N350" s="6" t="str">
        <f>IF(OR($G350="FCC",$G350="Hydrocracker",$G350="Reformer"),IF(COUNTIFS($D:$D,$D350,$A:$A,$A350,$B:$B,$B350,$G:$G,"CDU",$J:$J,"PLANNED")&gt;0,"tied","standalone"),"")</f>
        <v>standalone</v>
      </c>
    </row>
    <row r="351" spans="1:14">
      <c r="A351" s="6">
        <v>2023</v>
      </c>
      <c r="B351" s="6">
        <v>2</v>
      </c>
      <c r="C351" s="6" t="s">
        <v>61</v>
      </c>
      <c r="D351" s="6" t="s">
        <v>696</v>
      </c>
      <c r="E351" s="6" t="s">
        <v>455</v>
      </c>
      <c r="F351" s="6" t="str">
        <f>IF($M351="PADD I","PADD 1",IF($M351="PADD II","PADD 2",IF($M351="PADD III","PADD 3",IF($M351="PADD IV","PADD 4",IF($M351="PADD V","PADD 5","")))))</f>
        <v>PADD 3</v>
      </c>
      <c r="G351" s="6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6" t="s">
        <v>44</v>
      </c>
      <c r="I351" s="6" t="s">
        <v>697</v>
      </c>
      <c r="J351" s="6" t="s">
        <v>394</v>
      </c>
      <c r="K351" s="10">
        <v>41.85</v>
      </c>
      <c r="L351" s="10">
        <v>45</v>
      </c>
      <c r="M351" s="6" t="s">
        <v>421</v>
      </c>
      <c r="N351" s="6">
        <f>IF(OR($G351="FCC",$G351="Hydrocracker",$G351="Reformer"),IF(COUNTIFS($D:$D,$D351,$A:$A,$A351,$B:$B,$B351,$G:$G,"CDU",$J:$J,"PLANNED")&gt;0,"tied","standalone"),"")</f>
        <v/>
      </c>
    </row>
    <row r="352" spans="1:14">
      <c r="A352" s="6">
        <v>2023</v>
      </c>
      <c r="B352" s="6">
        <v>2</v>
      </c>
      <c r="C352" s="6" t="s">
        <v>61</v>
      </c>
      <c r="D352" s="6" t="s">
        <v>422</v>
      </c>
      <c r="E352" s="6" t="s">
        <v>423</v>
      </c>
      <c r="F352" s="6" t="str">
        <f>IF($M352="PADD I","PADD 1",IF($M352="PADD II","PADD 2",IF($M352="PADD III","PADD 3",IF($M352="PADD IV","PADD 4",IF($M352="PADD V","PADD 5","")))))</f>
        <v>PADD 2</v>
      </c>
      <c r="G352" s="6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6" t="s">
        <v>44</v>
      </c>
      <c r="I352" s="6" t="s">
        <v>482</v>
      </c>
      <c r="J352" s="6" t="s">
        <v>394</v>
      </c>
      <c r="K352" s="10">
        <v>40</v>
      </c>
      <c r="L352" s="10">
        <v>40</v>
      </c>
      <c r="M352" s="6" t="s">
        <v>425</v>
      </c>
      <c r="N352" s="6">
        <f>IF(OR($G352="FCC",$G352="Hydrocracker",$G352="Reformer"),IF(COUNTIFS($D:$D,$D352,$A:$A,$A352,$B:$B,$B352,$G:$G,"CDU",$J:$J,"PLANNED")&gt;0,"tied","standalone"),"")</f>
        <v/>
      </c>
    </row>
    <row r="353" spans="1:14">
      <c r="A353" s="6">
        <v>2023</v>
      </c>
      <c r="B353" s="6">
        <v>2</v>
      </c>
      <c r="C353" s="6" t="s">
        <v>61</v>
      </c>
      <c r="D353" s="6" t="s">
        <v>422</v>
      </c>
      <c r="E353" s="6" t="s">
        <v>423</v>
      </c>
      <c r="F353" s="6" t="str">
        <f>IF($M353="PADD I","PADD 1",IF($M353="PADD II","PADD 2",IF($M353="PADD III","PADD 3",IF($M353="PADD IV","PADD 4",IF($M353="PADD V","PADD 5","")))))</f>
        <v>PADD 2</v>
      </c>
      <c r="G353" s="6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6" t="s">
        <v>44</v>
      </c>
      <c r="I353" s="6" t="s">
        <v>483</v>
      </c>
      <c r="J353" s="6" t="s">
        <v>394</v>
      </c>
      <c r="K353" s="10">
        <v>40</v>
      </c>
      <c r="L353" s="10">
        <v>40</v>
      </c>
      <c r="M353" s="6" t="s">
        <v>425</v>
      </c>
      <c r="N353" s="6">
        <f>IF(OR($G353="FCC",$G353="Hydrocracker",$G353="Reformer"),IF(COUNTIFS($D:$D,$D353,$A:$A,$A353,$B:$B,$B353,$G:$G,"CDU",$J:$J,"PLANNED")&gt;0,"tied","standalone"),"")</f>
        <v/>
      </c>
    </row>
    <row r="354" spans="1:14">
      <c r="A354" s="6">
        <v>2023</v>
      </c>
      <c r="B354" s="6">
        <v>2</v>
      </c>
      <c r="C354" s="6" t="s">
        <v>61</v>
      </c>
      <c r="D354" s="6" t="s">
        <v>445</v>
      </c>
      <c r="E354" s="6" t="s">
        <v>446</v>
      </c>
      <c r="F354" s="6" t="str">
        <f>IF($M354="PADD I","PADD 1",IF($M354="PADD II","PADD 2",IF($M354="PADD III","PADD 3",IF($M354="PADD IV","PADD 4",IF($M354="PADD V","PADD 5","")))))</f>
        <v>PADD 3</v>
      </c>
      <c r="G354" s="6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6" t="s">
        <v>39</v>
      </c>
      <c r="I354" s="6" t="s">
        <v>560</v>
      </c>
      <c r="J354" s="6" t="s">
        <v>394</v>
      </c>
      <c r="K354" s="10">
        <v>39.9</v>
      </c>
      <c r="L354" s="10">
        <v>70</v>
      </c>
      <c r="M354" s="6" t="s">
        <v>421</v>
      </c>
      <c r="N354" s="6">
        <f>IF(OR($G354="FCC",$G354="Hydrocracker",$G354="Reformer"),IF(COUNTIFS($D:$D,$D354,$A:$A,$A354,$B:$B,$B354,$G:$G,"CDU",$J:$J,"PLANNED")&gt;0,"tied","standalone"),"")</f>
        <v/>
      </c>
    </row>
    <row r="355" spans="1:14">
      <c r="A355" s="6">
        <v>2023</v>
      </c>
      <c r="B355" s="6">
        <v>2</v>
      </c>
      <c r="C355" s="6" t="s">
        <v>61</v>
      </c>
      <c r="D355" s="6" t="s">
        <v>561</v>
      </c>
      <c r="E355" s="6" t="s">
        <v>455</v>
      </c>
      <c r="F355" s="6" t="str">
        <f>IF($M355="PADD I","PADD 1",IF($M355="PADD II","PADD 2",IF($M355="PADD III","PADD 3",IF($M355="PADD IV","PADD 4",IF($M355="PADD V","PADD 5","")))))</f>
        <v>PADD 3</v>
      </c>
      <c r="G355" s="6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6" t="s">
        <v>428</v>
      </c>
      <c r="I355" s="6" t="s">
        <v>643</v>
      </c>
      <c r="J355" s="6" t="s">
        <v>398</v>
      </c>
      <c r="K355" s="10">
        <v>39</v>
      </c>
      <c r="L355" s="10">
        <v>39</v>
      </c>
      <c r="M355" s="6" t="s">
        <v>421</v>
      </c>
      <c r="N355" s="6">
        <f>IF(OR($G355="FCC",$G355="Hydrocracker",$G355="Reformer"),IF(COUNTIFS($D:$D,$D355,$A:$A,$A355,$B:$B,$B355,$G:$G,"CDU",$J:$J,"PLANNED")&gt;0,"tied","standalone"),"")</f>
        <v/>
      </c>
    </row>
    <row r="356" spans="1:14">
      <c r="A356" s="6">
        <v>2023</v>
      </c>
      <c r="B356" s="6">
        <v>2</v>
      </c>
      <c r="C356" s="6" t="s">
        <v>61</v>
      </c>
      <c r="D356" s="6" t="s">
        <v>487</v>
      </c>
      <c r="E356" s="6" t="s">
        <v>488</v>
      </c>
      <c r="F356" s="6" t="str">
        <f>IF($M356="PADD I","PADD 1",IF($M356="PADD II","PADD 2",IF($M356="PADD III","PADD 3",IF($M356="PADD IV","PADD 4",IF($M356="PADD V","PADD 5","")))))</f>
        <v>PADD 4</v>
      </c>
      <c r="G356" s="6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6" t="s">
        <v>39</v>
      </c>
      <c r="I356" s="6" t="s">
        <v>489</v>
      </c>
      <c r="J356" s="6" t="s">
        <v>394</v>
      </c>
      <c r="K356" s="10">
        <v>39</v>
      </c>
      <c r="L356" s="10">
        <v>39</v>
      </c>
      <c r="M356" s="6" t="s">
        <v>480</v>
      </c>
      <c r="N356" s="6">
        <f>IF(OR($G356="FCC",$G356="Hydrocracker",$G356="Reformer"),IF(COUNTIFS($D:$D,$D356,$A:$A,$A356,$B:$B,$B356,$G:$G,"CDU",$J:$J,"PLANNED")&gt;0,"tied","standalone"),"")</f>
        <v/>
      </c>
    </row>
    <row r="357" spans="1:14">
      <c r="A357" s="6">
        <v>2023</v>
      </c>
      <c r="B357" s="6">
        <v>2</v>
      </c>
      <c r="C357" s="6" t="s">
        <v>61</v>
      </c>
      <c r="D357" s="6" t="s">
        <v>487</v>
      </c>
      <c r="E357" s="6" t="s">
        <v>488</v>
      </c>
      <c r="F357" s="6" t="str">
        <f>IF($M357="PADD I","PADD 1",IF($M357="PADD II","PADD 2",IF($M357="PADD III","PADD 3",IF($M357="PADD IV","PADD 4",IF($M357="PADD V","PADD 5","")))))</f>
        <v>PADD 4</v>
      </c>
      <c r="G357" s="6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6" t="s">
        <v>39</v>
      </c>
      <c r="I357" s="6" t="s">
        <v>489</v>
      </c>
      <c r="J357" s="6" t="s">
        <v>394</v>
      </c>
      <c r="K357" s="10">
        <v>38</v>
      </c>
      <c r="L357" s="10">
        <v>38</v>
      </c>
      <c r="M357" s="6" t="s">
        <v>480</v>
      </c>
      <c r="N357" s="6">
        <f>IF(OR($G357="FCC",$G357="Hydrocracker",$G357="Reformer"),IF(COUNTIFS($D:$D,$D357,$A:$A,$A357,$B:$B,$B357,$G:$G,"CDU",$J:$J,"PLANNED")&gt;0,"tied","standalone"),"")</f>
        <v/>
      </c>
    </row>
    <row r="358" spans="1:14">
      <c r="A358" s="6">
        <v>2023</v>
      </c>
      <c r="B358" s="6">
        <v>2</v>
      </c>
      <c r="C358" s="6" t="s">
        <v>61</v>
      </c>
      <c r="D358" s="6" t="s">
        <v>665</v>
      </c>
      <c r="E358" s="6" t="s">
        <v>455</v>
      </c>
      <c r="F358" s="6" t="str">
        <f>IF($M358="PADD I","PADD 1",IF($M358="PADD II","PADD 2",IF($M358="PADD III","PADD 3",IF($M358="PADD IV","PADD 4",IF($M358="PADD V","PADD 5","")))))</f>
        <v>PADD 5</v>
      </c>
      <c r="G358" s="6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6" t="s">
        <v>494</v>
      </c>
      <c r="I358" s="6" t="s">
        <v>14</v>
      </c>
      <c r="J358" s="6" t="s">
        <v>398</v>
      </c>
      <c r="K358" s="10">
        <v>36</v>
      </c>
      <c r="L358" s="10">
        <v>36</v>
      </c>
      <c r="M358" s="6" t="s">
        <v>436</v>
      </c>
      <c r="N358" s="6" t="str">
        <f>IF(OR($G358="FCC",$G358="Hydrocracker",$G358="Reformer"),IF(COUNTIFS($D:$D,$D358,$A:$A,$A358,$B:$B,$B358,$G:$G,"CDU",$J:$J,"PLANNED")&gt;0,"tied","standalone"),"")</f>
        <v>standalone</v>
      </c>
    </row>
    <row r="359" spans="1:14">
      <c r="A359" s="6">
        <v>2023</v>
      </c>
      <c r="B359" s="6">
        <v>2</v>
      </c>
      <c r="C359" s="6" t="s">
        <v>61</v>
      </c>
      <c r="D359" s="6" t="s">
        <v>689</v>
      </c>
      <c r="E359" s="6" t="s">
        <v>502</v>
      </c>
      <c r="F359" s="6" t="str">
        <f>IF($M359="PADD I","PADD 1",IF($M359="PADD II","PADD 2",IF($M359="PADD III","PADD 3",IF($M359="PADD IV","PADD 4",IF($M359="PADD V","PADD 5","")))))</f>
        <v>PADD 5</v>
      </c>
      <c r="G359" s="6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6" t="s">
        <v>428</v>
      </c>
      <c r="I359" s="6" t="s">
        <v>429</v>
      </c>
      <c r="J359" s="6" t="s">
        <v>398</v>
      </c>
      <c r="K359" s="10">
        <v>35.532</v>
      </c>
      <c r="L359" s="10">
        <v>65.8</v>
      </c>
      <c r="M359" s="6" t="s">
        <v>436</v>
      </c>
      <c r="N359" s="6">
        <f>IF(OR($G359="FCC",$G359="Hydrocracker",$G359="Reformer"),IF(COUNTIFS($D:$D,$D359,$A:$A,$A359,$B:$B,$B359,$G:$G,"CDU",$J:$J,"PLANNED")&gt;0,"tied","standalone"),"")</f>
        <v/>
      </c>
    </row>
    <row r="360" spans="1:14">
      <c r="A360" s="6">
        <v>2023</v>
      </c>
      <c r="B360" s="6">
        <v>2</v>
      </c>
      <c r="C360" s="6" t="s">
        <v>61</v>
      </c>
      <c r="D360" s="6" t="s">
        <v>422</v>
      </c>
      <c r="E360" s="6" t="s">
        <v>423</v>
      </c>
      <c r="F360" s="6" t="str">
        <f>IF($M360="PADD I","PADD 1",IF($M360="PADD II","PADD 2",IF($M360="PADD III","PADD 3",IF($M360="PADD IV","PADD 4",IF($M360="PADD V","PADD 5","")))))</f>
        <v>PADD 2</v>
      </c>
      <c r="G360" s="6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6" t="s">
        <v>494</v>
      </c>
      <c r="I360" s="6" t="s">
        <v>495</v>
      </c>
      <c r="J360" s="6" t="s">
        <v>394</v>
      </c>
      <c r="K360" s="10">
        <v>35</v>
      </c>
      <c r="L360" s="10">
        <v>35</v>
      </c>
      <c r="M360" s="6" t="s">
        <v>425</v>
      </c>
      <c r="N360" s="6" t="str">
        <f>IF(OR($G360="FCC",$G360="Hydrocracker",$G360="Reformer"),IF(COUNTIFS($D:$D,$D360,$A:$A,$A360,$B:$B,$B360,$G:$G,"CDU",$J:$J,"PLANNED")&gt;0,"tied","standalone"),"")</f>
        <v>standalone</v>
      </c>
    </row>
    <row r="361" spans="1:14">
      <c r="A361" s="6">
        <v>2023</v>
      </c>
      <c r="B361" s="6">
        <v>2</v>
      </c>
      <c r="C361" s="6" t="s">
        <v>61</v>
      </c>
      <c r="D361" s="6" t="s">
        <v>375</v>
      </c>
      <c r="E361" s="6" t="s">
        <v>435</v>
      </c>
      <c r="F361" s="6" t="str">
        <f>IF($M361="PADD I","PADD 1",IF($M361="PADD II","PADD 2",IF($M361="PADD III","PADD 3",IF($M361="PADD IV","PADD 4",IF($M361="PADD V","PADD 5","")))))</f>
        <v>PADD 5</v>
      </c>
      <c r="G361" s="6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6" t="s">
        <v>426</v>
      </c>
      <c r="I361" s="6" t="s">
        <v>554</v>
      </c>
      <c r="J361" s="6" t="s">
        <v>398</v>
      </c>
      <c r="K361" s="10">
        <v>35</v>
      </c>
      <c r="L361" s="10">
        <v>35</v>
      </c>
      <c r="M361" s="6" t="s">
        <v>436</v>
      </c>
      <c r="N361" s="6" t="str">
        <f>IF(OR($G361="FCC",$G361="Hydrocracker",$G361="Reformer"),IF(COUNTIFS($D:$D,$D361,$A:$A,$A361,$B:$B,$B361,$G:$G,"CDU",$J:$J,"PLANNED")&gt;0,"tied","standalone"),"")</f>
        <v>tied</v>
      </c>
    </row>
    <row r="362" spans="1:14">
      <c r="A362" s="6">
        <v>2023</v>
      </c>
      <c r="B362" s="6">
        <v>2</v>
      </c>
      <c r="C362" s="6" t="s">
        <v>61</v>
      </c>
      <c r="D362" s="6" t="s">
        <v>496</v>
      </c>
      <c r="E362" s="6" t="s">
        <v>441</v>
      </c>
      <c r="F362" s="6" t="str">
        <f>IF($M362="PADD I","PADD 1",IF($M362="PADD II","PADD 2",IF($M362="PADD III","PADD 3",IF($M362="PADD IV","PADD 4",IF($M362="PADD V","PADD 5","")))))</f>
        <v>PADD 3</v>
      </c>
      <c r="G362" s="6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6" t="s">
        <v>44</v>
      </c>
      <c r="I362" s="6" t="s">
        <v>497</v>
      </c>
      <c r="J362" s="6" t="s">
        <v>398</v>
      </c>
      <c r="K362" s="10">
        <v>35</v>
      </c>
      <c r="L362" s="10">
        <v>35</v>
      </c>
      <c r="M362" s="6" t="s">
        <v>421</v>
      </c>
      <c r="N362" s="6">
        <f>IF(OR($G362="FCC",$G362="Hydrocracker",$G362="Reformer"),IF(COUNTIFS($D:$D,$D362,$A:$A,$A362,$B:$B,$B362,$G:$G,"CDU",$J:$J,"PLANNED")&gt;0,"tied","standalone"),"")</f>
        <v/>
      </c>
    </row>
    <row r="363" spans="1:14">
      <c r="A363" s="6">
        <v>2023</v>
      </c>
      <c r="B363" s="6">
        <v>2</v>
      </c>
      <c r="C363" s="6" t="s">
        <v>61</v>
      </c>
      <c r="D363" s="6" t="s">
        <v>498</v>
      </c>
      <c r="E363" s="6" t="s">
        <v>441</v>
      </c>
      <c r="F363" s="6" t="str">
        <f>IF($M363="PADD I","PADD 1",IF($M363="PADD II","PADD 2",IF($M363="PADD III","PADD 3",IF($M363="PADD IV","PADD 4",IF($M363="PADD V","PADD 5","")))))</f>
        <v>PADD 3</v>
      </c>
      <c r="G363" s="6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6" t="s">
        <v>44</v>
      </c>
      <c r="I363" s="6" t="s">
        <v>499</v>
      </c>
      <c r="J363" s="6" t="s">
        <v>394</v>
      </c>
      <c r="K363" s="10">
        <v>35</v>
      </c>
      <c r="L363" s="10">
        <v>35</v>
      </c>
      <c r="M363" s="6" t="s">
        <v>421</v>
      </c>
      <c r="N363" s="6">
        <f>IF(OR($G363="FCC",$G363="Hydrocracker",$G363="Reformer"),IF(COUNTIFS($D:$D,$D363,$A:$A,$A363,$B:$B,$B363,$G:$G,"CDU",$J:$J,"PLANNED")&gt;0,"tied","standalone"),"")</f>
        <v/>
      </c>
    </row>
    <row r="364" spans="1:14">
      <c r="A364" s="6">
        <v>2023</v>
      </c>
      <c r="B364" s="6">
        <v>2</v>
      </c>
      <c r="C364" s="6" t="s">
        <v>61</v>
      </c>
      <c r="D364" s="6" t="s">
        <v>500</v>
      </c>
      <c r="E364" s="6" t="s">
        <v>419</v>
      </c>
      <c r="F364" s="6" t="str">
        <f>IF($M364="PADD I","PADD 1",IF($M364="PADD II","PADD 2",IF($M364="PADD III","PADD 3",IF($M364="PADD IV","PADD 4",IF($M364="PADD V","PADD 5","")))))</f>
        <v>PADD 3</v>
      </c>
      <c r="G364" s="6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6" t="s">
        <v>44</v>
      </c>
      <c r="I364" s="6" t="s">
        <v>499</v>
      </c>
      <c r="J364" s="6" t="s">
        <v>398</v>
      </c>
      <c r="K364" s="10">
        <v>35</v>
      </c>
      <c r="L364" s="10">
        <v>35</v>
      </c>
      <c r="M364" s="6" t="s">
        <v>421</v>
      </c>
      <c r="N364" s="6">
        <f>IF(OR($G364="FCC",$G364="Hydrocracker",$G364="Reformer"),IF(COUNTIFS($D:$D,$D364,$A:$A,$A364,$B:$B,$B364,$G:$G,"CDU",$J:$J,"PLANNED")&gt;0,"tied","standalone"),"")</f>
        <v/>
      </c>
    </row>
    <row r="365" spans="1:14">
      <c r="A365" s="6">
        <v>2023</v>
      </c>
      <c r="B365" s="6">
        <v>2</v>
      </c>
      <c r="C365" s="6" t="s">
        <v>61</v>
      </c>
      <c r="D365" s="6" t="s">
        <v>465</v>
      </c>
      <c r="E365" s="6" t="s">
        <v>466</v>
      </c>
      <c r="F365" s="6" t="str">
        <f>IF($M365="PADD I","PADD 1",IF($M365="PADD II","PADD 2",IF($M365="PADD III","PADD 3",IF($M365="PADD IV","PADD 4",IF($M365="PADD V","PADD 5","")))))</f>
        <v>PADD 3</v>
      </c>
      <c r="G365" s="6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6" t="s">
        <v>485</v>
      </c>
      <c r="I365" s="6" t="s">
        <v>503</v>
      </c>
      <c r="J365" s="6" t="s">
        <v>394</v>
      </c>
      <c r="K365" s="10">
        <v>34</v>
      </c>
      <c r="L365" s="10">
        <v>34</v>
      </c>
      <c r="M365" s="6" t="s">
        <v>421</v>
      </c>
      <c r="N365" s="6">
        <f>IF(OR($G365="FCC",$G365="Hydrocracker",$G365="Reformer"),IF(COUNTIFS($D:$D,$D365,$A:$A,$A365,$B:$B,$B365,$G:$G,"CDU",$J:$J,"PLANNED")&gt;0,"tied","standalone"),"")</f>
        <v/>
      </c>
    </row>
    <row r="366" spans="1:14">
      <c r="A366" s="6">
        <v>2023</v>
      </c>
      <c r="B366" s="6">
        <v>2</v>
      </c>
      <c r="C366" s="6" t="s">
        <v>61</v>
      </c>
      <c r="D366" s="6" t="s">
        <v>465</v>
      </c>
      <c r="E366" s="6" t="s">
        <v>466</v>
      </c>
      <c r="F366" s="6" t="str">
        <f>IF($M366="PADD I","PADD 1",IF($M366="PADD II","PADD 2",IF($M366="PADD III","PADD 3",IF($M366="PADD IV","PADD 4",IF($M366="PADD V","PADD 5","")))))</f>
        <v>PADD 3</v>
      </c>
      <c r="G366" s="6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6" t="s">
        <v>485</v>
      </c>
      <c r="I366" s="6" t="s">
        <v>503</v>
      </c>
      <c r="J366" s="6" t="s">
        <v>394</v>
      </c>
      <c r="K366" s="10">
        <v>34</v>
      </c>
      <c r="L366" s="10">
        <v>34</v>
      </c>
      <c r="M366" s="6" t="s">
        <v>421</v>
      </c>
      <c r="N366" s="6">
        <f>IF(OR($G366="FCC",$G366="Hydrocracker",$G366="Reformer"),IF(COUNTIFS($D:$D,$D366,$A:$A,$A366,$B:$B,$B366,$G:$G,"CDU",$J:$J,"PLANNED")&gt;0,"tied","standalone"),"")</f>
        <v/>
      </c>
    </row>
    <row r="367" spans="1:14">
      <c r="A367" s="6">
        <v>2023</v>
      </c>
      <c r="B367" s="6">
        <v>2</v>
      </c>
      <c r="C367" s="6" t="s">
        <v>61</v>
      </c>
      <c r="D367" s="6" t="s">
        <v>52</v>
      </c>
      <c r="E367" s="6" t="s">
        <v>441</v>
      </c>
      <c r="F367" s="6" t="str">
        <f>IF($M367="PADD I","PADD 1",IF($M367="PADD II","PADD 2",IF($M367="PADD III","PADD 3",IF($M367="PADD IV","PADD 4",IF($M367="PADD V","PADD 5","")))))</f>
        <v>PADD 5</v>
      </c>
      <c r="G367" s="6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6" t="s">
        <v>510</v>
      </c>
      <c r="I367" s="6" t="s">
        <v>511</v>
      </c>
      <c r="J367" s="6" t="s">
        <v>394</v>
      </c>
      <c r="K367" s="10">
        <v>33</v>
      </c>
      <c r="L367" s="10">
        <v>33</v>
      </c>
      <c r="M367" s="6" t="s">
        <v>436</v>
      </c>
      <c r="N367" s="6">
        <f>IF(OR($G367="FCC",$G367="Hydrocracker",$G367="Reformer"),IF(COUNTIFS($D:$D,$D367,$A:$A,$A367,$B:$B,$B367,$G:$G,"CDU",$J:$J,"PLANNED")&gt;0,"tied","standalone"),"")</f>
        <v/>
      </c>
    </row>
    <row r="368" spans="1:14">
      <c r="A368" s="6">
        <v>2023</v>
      </c>
      <c r="B368" s="6">
        <v>2</v>
      </c>
      <c r="C368" s="6" t="s">
        <v>61</v>
      </c>
      <c r="D368" s="6" t="s">
        <v>437</v>
      </c>
      <c r="E368" s="6" t="s">
        <v>438</v>
      </c>
      <c r="F368" s="6" t="str">
        <f>IF($M368="PADD I","PADD 1",IF($M368="PADD II","PADD 2",IF($M368="PADD III","PADD 3",IF($M368="PADD IV","PADD 4",IF($M368="PADD V","PADD 5","")))))</f>
        <v>PADD 3</v>
      </c>
      <c r="G368" s="6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6" t="s">
        <v>485</v>
      </c>
      <c r="I368" s="6" t="s">
        <v>640</v>
      </c>
      <c r="J368" s="6" t="s">
        <v>394</v>
      </c>
      <c r="K368" s="10">
        <v>33</v>
      </c>
      <c r="L368" s="10">
        <v>33</v>
      </c>
      <c r="M368" s="6" t="s">
        <v>421</v>
      </c>
      <c r="N368" s="6">
        <f>IF(OR($G368="FCC",$G368="Hydrocracker",$G368="Reformer"),IF(COUNTIFS($D:$D,$D368,$A:$A,$A368,$B:$B,$B368,$G:$G,"CDU",$J:$J,"PLANNED")&gt;0,"tied","standalone"),"")</f>
        <v/>
      </c>
    </row>
    <row r="369" spans="1:14">
      <c r="A369" s="6">
        <v>2023</v>
      </c>
      <c r="B369" s="6">
        <v>2</v>
      </c>
      <c r="C369" s="6" t="s">
        <v>61</v>
      </c>
      <c r="D369" s="6" t="s">
        <v>512</v>
      </c>
      <c r="E369" s="6" t="s">
        <v>488</v>
      </c>
      <c r="F369" s="6" t="str">
        <f>IF($M369="PADD I","PADD 1",IF($M369="PADD II","PADD 2",IF($M369="PADD III","PADD 3",IF($M369="PADD IV","PADD 4",IF($M369="PADD V","PADD 5","")))))</f>
        <v>PADD 4</v>
      </c>
      <c r="G369" s="6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6" t="s">
        <v>39</v>
      </c>
      <c r="I369" s="6" t="s">
        <v>124</v>
      </c>
      <c r="J369" s="6" t="s">
        <v>394</v>
      </c>
      <c r="K369" s="10">
        <v>32</v>
      </c>
      <c r="L369" s="10">
        <v>32</v>
      </c>
      <c r="M369" s="6" t="s">
        <v>480</v>
      </c>
      <c r="N369" s="6">
        <f>IF(OR($G369="FCC",$G369="Hydrocracker",$G369="Reformer"),IF(COUNTIFS($D:$D,$D369,$A:$A,$A369,$B:$B,$B369,$G:$G,"CDU",$J:$J,"PLANNED")&gt;0,"tied","standalone"),"")</f>
        <v/>
      </c>
    </row>
    <row r="370" spans="1:14">
      <c r="A370" s="6">
        <v>2023</v>
      </c>
      <c r="B370" s="6">
        <v>2</v>
      </c>
      <c r="C370" s="6" t="s">
        <v>61</v>
      </c>
      <c r="D370" s="6" t="s">
        <v>568</v>
      </c>
      <c r="E370" s="6" t="s">
        <v>419</v>
      </c>
      <c r="F370" s="6" t="str">
        <f>IF($M370="PADD I","PADD 1",IF($M370="PADD II","PADD 2",IF($M370="PADD III","PADD 3",IF($M370="PADD IV","PADD 4",IF($M370="PADD V","PADD 5","")))))</f>
        <v>PADD 5</v>
      </c>
      <c r="G370" s="6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6" t="s">
        <v>39</v>
      </c>
      <c r="I370" s="6" t="s">
        <v>603</v>
      </c>
      <c r="J370" s="6" t="s">
        <v>394</v>
      </c>
      <c r="K370" s="10">
        <v>32</v>
      </c>
      <c r="L370" s="10">
        <v>32</v>
      </c>
      <c r="M370" s="6" t="s">
        <v>436</v>
      </c>
      <c r="N370" s="6">
        <f>IF(OR($G370="FCC",$G370="Hydrocracker",$G370="Reformer"),IF(COUNTIFS($D:$D,$D370,$A:$A,$A370,$B:$B,$B370,$G:$G,"CDU",$J:$J,"PLANNED")&gt;0,"tied","standalone"),"")</f>
        <v/>
      </c>
    </row>
    <row r="371" spans="1:14">
      <c r="A371" s="6">
        <v>2023</v>
      </c>
      <c r="B371" s="6">
        <v>2</v>
      </c>
      <c r="C371" s="6" t="s">
        <v>61</v>
      </c>
      <c r="D371" s="6" t="s">
        <v>395</v>
      </c>
      <c r="E371" s="6" t="s">
        <v>433</v>
      </c>
      <c r="F371" s="6" t="str">
        <f>IF($M371="PADD I","PADD 1",IF($M371="PADD II","PADD 2",IF($M371="PADD III","PADD 3",IF($M371="PADD IV","PADD 4",IF($M371="PADD V","PADD 5","")))))</f>
        <v>PADD 2</v>
      </c>
      <c r="G371" s="6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6" t="s">
        <v>494</v>
      </c>
      <c r="I371" s="6" t="s">
        <v>513</v>
      </c>
      <c r="J371" s="6" t="s">
        <v>398</v>
      </c>
      <c r="K371" s="10">
        <v>32</v>
      </c>
      <c r="L371" s="10">
        <v>32</v>
      </c>
      <c r="M371" s="6" t="s">
        <v>425</v>
      </c>
      <c r="N371" s="6" t="str">
        <f>IF(OR($G371="FCC",$G371="Hydrocracker",$G371="Reformer"),IF(COUNTIFS($D:$D,$D371,$A:$A,$A371,$B:$B,$B371,$G:$G,"CDU",$J:$J,"PLANNED")&gt;0,"tied","standalone"),"")</f>
        <v>tied</v>
      </c>
    </row>
    <row r="372" spans="1:14">
      <c r="A372" s="6">
        <v>2023</v>
      </c>
      <c r="B372" s="6">
        <v>2</v>
      </c>
      <c r="C372" s="6" t="s">
        <v>61</v>
      </c>
      <c r="D372" s="6" t="s">
        <v>430</v>
      </c>
      <c r="E372" s="6" t="s">
        <v>431</v>
      </c>
      <c r="F372" s="6" t="str">
        <f>IF($M372="PADD I","PADD 1",IF($M372="PADD II","PADD 2",IF($M372="PADD III","PADD 3",IF($M372="PADD IV","PADD 4",IF($M372="PADD V","PADD 5","")))))</f>
        <v>PADD 3</v>
      </c>
      <c r="G372" s="6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6" t="s">
        <v>485</v>
      </c>
      <c r="I372" s="6" t="s">
        <v>565</v>
      </c>
      <c r="J372" s="6" t="s">
        <v>394</v>
      </c>
      <c r="K372" s="10">
        <v>32</v>
      </c>
      <c r="L372" s="10">
        <v>32</v>
      </c>
      <c r="M372" s="6" t="s">
        <v>421</v>
      </c>
      <c r="N372" s="6">
        <f>IF(OR($G372="FCC",$G372="Hydrocracker",$G372="Reformer"),IF(COUNTIFS($D:$D,$D372,$A:$A,$A372,$B:$B,$B372,$G:$G,"CDU",$J:$J,"PLANNED")&gt;0,"tied","standalone"),"")</f>
        <v/>
      </c>
    </row>
    <row r="373" spans="1:14">
      <c r="A373" s="6">
        <v>2023</v>
      </c>
      <c r="B373" s="6">
        <v>2</v>
      </c>
      <c r="C373" s="6" t="s">
        <v>61</v>
      </c>
      <c r="D373" s="6" t="s">
        <v>581</v>
      </c>
      <c r="E373" s="6" t="s">
        <v>582</v>
      </c>
      <c r="F373" s="6" t="str">
        <f>IF($M373="PADD I","PADD 1",IF($M373="PADD II","PADD 2",IF($M373="PADD III","PADD 3",IF($M373="PADD IV","PADD 4",IF($M373="PADD V","PADD 5","")))))</f>
        <v>PADD 5</v>
      </c>
      <c r="G373" s="6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6" t="s">
        <v>39</v>
      </c>
      <c r="I373" s="6" t="s">
        <v>82</v>
      </c>
      <c r="J373" s="6" t="s">
        <v>394</v>
      </c>
      <c r="K373" s="10">
        <v>30.225</v>
      </c>
      <c r="L373" s="10">
        <v>77.5</v>
      </c>
      <c r="M373" s="6" t="s">
        <v>436</v>
      </c>
      <c r="N373" s="6">
        <f>IF(OR($G373="FCC",$G373="Hydrocracker",$G373="Reformer"),IF(COUNTIFS($D:$D,$D373,$A:$A,$A373,$B:$B,$B373,$G:$G,"CDU",$J:$J,"PLANNED")&gt;0,"tied","standalone"),"")</f>
        <v/>
      </c>
    </row>
    <row r="374" spans="1:14">
      <c r="A374" s="6">
        <v>2023</v>
      </c>
      <c r="B374" s="6">
        <v>2</v>
      </c>
      <c r="C374" s="6" t="s">
        <v>61</v>
      </c>
      <c r="D374" s="6" t="s">
        <v>422</v>
      </c>
      <c r="E374" s="6" t="s">
        <v>423</v>
      </c>
      <c r="F374" s="6" t="str">
        <f>IF($M374="PADD I","PADD 1",IF($M374="PADD II","PADD 2",IF($M374="PADD III","PADD 3",IF($M374="PADD IV","PADD 4",IF($M374="PADD V","PADD 5","")))))</f>
        <v>PADD 2</v>
      </c>
      <c r="G374" s="6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6" t="s">
        <v>485</v>
      </c>
      <c r="I374" s="6" t="s">
        <v>517</v>
      </c>
      <c r="J374" s="6" t="s">
        <v>394</v>
      </c>
      <c r="K374" s="10">
        <v>30</v>
      </c>
      <c r="L374" s="10">
        <v>30</v>
      </c>
      <c r="M374" s="6" t="s">
        <v>425</v>
      </c>
      <c r="N374" s="6">
        <f>IF(OR($G374="FCC",$G374="Hydrocracker",$G374="Reformer"),IF(COUNTIFS($D:$D,$D374,$A:$A,$A374,$B:$B,$B374,$G:$G,"CDU",$J:$J,"PLANNED")&gt;0,"tied","standalone"),"")</f>
        <v/>
      </c>
    </row>
    <row r="375" spans="1:14">
      <c r="A375" s="6">
        <v>2023</v>
      </c>
      <c r="B375" s="6">
        <v>2</v>
      </c>
      <c r="C375" s="6" t="s">
        <v>61</v>
      </c>
      <c r="D375" s="6" t="s">
        <v>518</v>
      </c>
      <c r="E375" s="6" t="s">
        <v>419</v>
      </c>
      <c r="F375" s="6" t="str">
        <f>IF($M375="PADD I","PADD 1",IF($M375="PADD II","PADD 2",IF($M375="PADD III","PADD 3",IF($M375="PADD IV","PADD 4",IF($M375="PADD V","PADD 5","")))))</f>
        <v>PADD 3</v>
      </c>
      <c r="G375" s="6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6" t="s">
        <v>426</v>
      </c>
      <c r="I375" s="6" t="s">
        <v>519</v>
      </c>
      <c r="J375" s="6" t="s">
        <v>398</v>
      </c>
      <c r="K375" s="10">
        <v>30</v>
      </c>
      <c r="L375" s="10">
        <v>30</v>
      </c>
      <c r="M375" s="6" t="s">
        <v>421</v>
      </c>
      <c r="N375" s="6" t="str">
        <f>IF(OR($G375="FCC",$G375="Hydrocracker",$G375="Reformer"),IF(COUNTIFS($D:$D,$D375,$A:$A,$A375,$B:$B,$B375,$G:$G,"CDU",$J:$J,"PLANNED")&gt;0,"tied","standalone"),"")</f>
        <v>standalone</v>
      </c>
    </row>
    <row r="376" spans="1:14">
      <c r="A376" s="6">
        <v>2023</v>
      </c>
      <c r="B376" s="6">
        <v>2</v>
      </c>
      <c r="C376" s="6" t="s">
        <v>61</v>
      </c>
      <c r="D376" s="6" t="s">
        <v>512</v>
      </c>
      <c r="E376" s="6" t="s">
        <v>488</v>
      </c>
      <c r="F376" s="6" t="str">
        <f>IF($M376="PADD I","PADD 1",IF($M376="PADD II","PADD 2",IF($M376="PADD III","PADD 3",IF($M376="PADD IV","PADD 4",IF($M376="PADD V","PADD 5","")))))</f>
        <v>PADD 4</v>
      </c>
      <c r="G376" s="6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6" t="s">
        <v>44</v>
      </c>
      <c r="I376" s="6" t="s">
        <v>520</v>
      </c>
      <c r="J376" s="6" t="s">
        <v>394</v>
      </c>
      <c r="K376" s="10">
        <v>30</v>
      </c>
      <c r="L376" s="10">
        <v>30</v>
      </c>
      <c r="M376" s="6" t="s">
        <v>480</v>
      </c>
      <c r="N376" s="6">
        <f>IF(OR($G376="FCC",$G376="Hydrocracker",$G376="Reformer"),IF(COUNTIFS($D:$D,$D376,$A:$A,$A376,$B:$B,$B376,$G:$G,"CDU",$J:$J,"PLANNED")&gt;0,"tied","standalone"),"")</f>
        <v/>
      </c>
    </row>
    <row r="377" spans="1:14">
      <c r="A377" s="6">
        <v>2023</v>
      </c>
      <c r="B377" s="6">
        <v>2</v>
      </c>
      <c r="C377" s="6" t="s">
        <v>61</v>
      </c>
      <c r="D377" s="6" t="s">
        <v>395</v>
      </c>
      <c r="E377" s="6" t="s">
        <v>433</v>
      </c>
      <c r="F377" s="6" t="str">
        <f>IF($M377="PADD I","PADD 1",IF($M377="PADD II","PADD 2",IF($M377="PADD III","PADD 3",IF($M377="PADD IV","PADD 4",IF($M377="PADD V","PADD 5","")))))</f>
        <v>PADD 2</v>
      </c>
      <c r="G377" s="6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6" t="s">
        <v>471</v>
      </c>
      <c r="I377" s="6" t="s">
        <v>521</v>
      </c>
      <c r="J377" s="6" t="s">
        <v>398</v>
      </c>
      <c r="K377" s="10">
        <v>30</v>
      </c>
      <c r="L377" s="10">
        <v>30</v>
      </c>
      <c r="M377" s="6" t="s">
        <v>425</v>
      </c>
      <c r="N377" s="6" t="str">
        <f>IF(OR($G377="FCC",$G377="Hydrocracker",$G377="Reformer"),IF(COUNTIFS($D:$D,$D377,$A:$A,$A377,$B:$B,$B377,$G:$G,"CDU",$J:$J,"PLANNED")&gt;0,"tied","standalone"),"")</f>
        <v>tied</v>
      </c>
    </row>
    <row r="378" spans="1:14">
      <c r="A378" s="6">
        <v>2023</v>
      </c>
      <c r="B378" s="6">
        <v>2</v>
      </c>
      <c r="C378" s="6" t="s">
        <v>61</v>
      </c>
      <c r="D378" s="6" t="s">
        <v>568</v>
      </c>
      <c r="E378" s="6" t="s">
        <v>419</v>
      </c>
      <c r="F378" s="6" t="str">
        <f>IF($M378="PADD I","PADD 1",IF($M378="PADD II","PADD 2",IF($M378="PADD III","PADD 3",IF($M378="PADD IV","PADD 4",IF($M378="PADD V","PADD 5","")))))</f>
        <v>PADD 5</v>
      </c>
      <c r="G378" s="6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6" t="s">
        <v>428</v>
      </c>
      <c r="I378" s="6" t="s">
        <v>481</v>
      </c>
      <c r="J378" s="6" t="s">
        <v>394</v>
      </c>
      <c r="K378" s="10">
        <v>30</v>
      </c>
      <c r="L378" s="10">
        <v>30</v>
      </c>
      <c r="M378" s="6" t="s">
        <v>436</v>
      </c>
      <c r="N378" s="6">
        <f>IF(OR($G378="FCC",$G378="Hydrocracker",$G378="Reformer"),IF(COUNTIFS($D:$D,$D378,$A:$A,$A378,$B:$B,$B378,$G:$G,"CDU",$J:$J,"PLANNED")&gt;0,"tied","standalone"),"")</f>
        <v/>
      </c>
    </row>
    <row r="379" spans="1:14">
      <c r="A379" s="6">
        <v>2023</v>
      </c>
      <c r="B379" s="6">
        <v>2</v>
      </c>
      <c r="C379" s="6" t="s">
        <v>61</v>
      </c>
      <c r="D379" s="6" t="s">
        <v>465</v>
      </c>
      <c r="E379" s="6" t="s">
        <v>466</v>
      </c>
      <c r="F379" s="6" t="str">
        <f>IF($M379="PADD I","PADD 1",IF($M379="PADD II","PADD 2",IF($M379="PADD III","PADD 3",IF($M379="PADD IV","PADD 4",IF($M379="PADD V","PADD 5","")))))</f>
        <v>PADD 3</v>
      </c>
      <c r="G379" s="6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6" t="s">
        <v>471</v>
      </c>
      <c r="I379" s="6" t="s">
        <v>698</v>
      </c>
      <c r="J379" s="6" t="s">
        <v>398</v>
      </c>
      <c r="K379" s="10">
        <v>30</v>
      </c>
      <c r="L379" s="10">
        <v>30</v>
      </c>
      <c r="M379" s="6" t="s">
        <v>421</v>
      </c>
      <c r="N379" s="6" t="str">
        <f>IF(OR($G379="FCC",$G379="Hydrocracker",$G379="Reformer"),IF(COUNTIFS($D:$D,$D379,$A:$A,$A379,$B:$B,$B379,$G:$G,"CDU",$J:$J,"PLANNED")&gt;0,"tied","standalone"),"")</f>
        <v>standalone</v>
      </c>
    </row>
    <row r="380" spans="1:14">
      <c r="A380" s="6">
        <v>2023</v>
      </c>
      <c r="B380" s="6">
        <v>2</v>
      </c>
      <c r="C380" s="6" t="s">
        <v>61</v>
      </c>
      <c r="D380" s="6" t="s">
        <v>384</v>
      </c>
      <c r="E380" s="6" t="s">
        <v>419</v>
      </c>
      <c r="F380" s="6" t="str">
        <f>IF($M380="PADD I","PADD 1",IF($M380="PADD II","PADD 2",IF($M380="PADD III","PADD 3",IF($M380="PADD IV","PADD 4",IF($M380="PADD V","PADD 5","")))))</f>
        <v>PADD 3</v>
      </c>
      <c r="G380" s="6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6" t="s">
        <v>426</v>
      </c>
      <c r="I380" s="6" t="s">
        <v>522</v>
      </c>
      <c r="J380" s="6" t="s">
        <v>398</v>
      </c>
      <c r="K380" s="10">
        <v>30</v>
      </c>
      <c r="L380" s="10">
        <v>30</v>
      </c>
      <c r="M380" s="6" t="s">
        <v>421</v>
      </c>
      <c r="N380" s="6" t="str">
        <f>IF(OR($G380="FCC",$G380="Hydrocracker",$G380="Reformer"),IF(COUNTIFS($D:$D,$D380,$A:$A,$A380,$B:$B,$B380,$G:$G,"CDU",$J:$J,"PLANNED")&gt;0,"tied","standalone"),"")</f>
        <v>standalone</v>
      </c>
    </row>
    <row r="381" spans="1:14">
      <c r="A381" s="6">
        <v>2023</v>
      </c>
      <c r="B381" s="6">
        <v>2</v>
      </c>
      <c r="C381" s="6" t="s">
        <v>61</v>
      </c>
      <c r="D381" s="6" t="s">
        <v>384</v>
      </c>
      <c r="E381" s="6" t="s">
        <v>419</v>
      </c>
      <c r="F381" s="6" t="str">
        <f>IF($M381="PADD I","PADD 1",IF($M381="PADD II","PADD 2",IF($M381="PADD III","PADD 3",IF($M381="PADD IV","PADD 4",IF($M381="PADD V","PADD 5","")))))</f>
        <v>PADD 3</v>
      </c>
      <c r="G381" s="6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6" t="s">
        <v>426</v>
      </c>
      <c r="I381" s="6" t="s">
        <v>522</v>
      </c>
      <c r="J381" s="6" t="s">
        <v>394</v>
      </c>
      <c r="K381" s="10">
        <v>30</v>
      </c>
      <c r="L381" s="10">
        <v>30</v>
      </c>
      <c r="M381" s="6" t="s">
        <v>421</v>
      </c>
      <c r="N381" s="6" t="str">
        <f>IF(OR($G381="FCC",$G381="Hydrocracker",$G381="Reformer"),IF(COUNTIFS($D:$D,$D381,$A:$A,$A381,$B:$B,$B381,$G:$G,"CDU",$J:$J,"PLANNED")&gt;0,"tied","standalone"),"")</f>
        <v>standalone</v>
      </c>
    </row>
    <row r="382" spans="1:14">
      <c r="A382" s="6">
        <v>2023</v>
      </c>
      <c r="B382" s="6">
        <v>2</v>
      </c>
      <c r="C382" s="6" t="s">
        <v>61</v>
      </c>
      <c r="D382" s="6" t="s">
        <v>518</v>
      </c>
      <c r="E382" s="6" t="s">
        <v>419</v>
      </c>
      <c r="F382" s="6" t="str">
        <f>IF($M382="PADD I","PADD 1",IF($M382="PADD II","PADD 2",IF($M382="PADD III","PADD 3",IF($M382="PADD IV","PADD 4",IF($M382="PADD V","PADD 5","")))))</f>
        <v>PADD 3</v>
      </c>
      <c r="G382" s="6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6" t="s">
        <v>426</v>
      </c>
      <c r="I382" s="6" t="s">
        <v>523</v>
      </c>
      <c r="J382" s="6" t="s">
        <v>394</v>
      </c>
      <c r="K382" s="10">
        <v>30</v>
      </c>
      <c r="L382" s="10">
        <v>30</v>
      </c>
      <c r="M382" s="6" t="s">
        <v>421</v>
      </c>
      <c r="N382" s="6" t="str">
        <f>IF(OR($G382="FCC",$G382="Hydrocracker",$G382="Reformer"),IF(COUNTIFS($D:$D,$D382,$A:$A,$A382,$B:$B,$B382,$G:$G,"CDU",$J:$J,"PLANNED")&gt;0,"tied","standalone"),"")</f>
        <v>standalone</v>
      </c>
    </row>
    <row r="383" spans="1:14">
      <c r="A383" s="6">
        <v>2023</v>
      </c>
      <c r="B383" s="6">
        <v>2</v>
      </c>
      <c r="C383" s="6" t="s">
        <v>61</v>
      </c>
      <c r="D383" s="6" t="s">
        <v>512</v>
      </c>
      <c r="E383" s="6" t="s">
        <v>488</v>
      </c>
      <c r="F383" s="6" t="str">
        <f>IF($M383="PADD I","PADD 1",IF($M383="PADD II","PADD 2",IF($M383="PADD III","PADD 3",IF($M383="PADD IV","PADD 4",IF($M383="PADD V","PADD 5","")))))</f>
        <v>PADD 4</v>
      </c>
      <c r="G383" s="6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6" t="s">
        <v>426</v>
      </c>
      <c r="I383" s="6" t="s">
        <v>106</v>
      </c>
      <c r="J383" s="6" t="s">
        <v>394</v>
      </c>
      <c r="K383" s="10">
        <v>28.3</v>
      </c>
      <c r="L383" s="10">
        <v>28.3</v>
      </c>
      <c r="M383" s="6" t="s">
        <v>480</v>
      </c>
      <c r="N383" s="6" t="str">
        <f>IF(OR($G383="FCC",$G383="Hydrocracker",$G383="Reformer"),IF(COUNTIFS($D:$D,$D383,$A:$A,$A383,$B:$B,$B383,$G:$G,"CDU",$J:$J,"PLANNED")&gt;0,"tied","standalone"),"")</f>
        <v>standalone</v>
      </c>
    </row>
    <row r="384" spans="1:14">
      <c r="A384" s="6">
        <v>2023</v>
      </c>
      <c r="B384" s="6">
        <v>2</v>
      </c>
      <c r="C384" s="6" t="s">
        <v>61</v>
      </c>
      <c r="D384" s="6" t="s">
        <v>487</v>
      </c>
      <c r="E384" s="6" t="s">
        <v>488</v>
      </c>
      <c r="F384" s="6" t="str">
        <f>IF($M384="PADD I","PADD 1",IF($M384="PADD II","PADD 2",IF($M384="PADD III","PADD 3",IF($M384="PADD IV","PADD 4",IF($M384="PADD V","PADD 5","")))))</f>
        <v>PADD 4</v>
      </c>
      <c r="G384" s="6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6" t="s">
        <v>39</v>
      </c>
      <c r="I384" s="6" t="s">
        <v>379</v>
      </c>
      <c r="J384" s="6" t="s">
        <v>394</v>
      </c>
      <c r="K384" s="10">
        <v>28</v>
      </c>
      <c r="L384" s="10">
        <v>28</v>
      </c>
      <c r="M384" s="6" t="s">
        <v>480</v>
      </c>
      <c r="N384" s="6">
        <f>IF(OR($G384="FCC",$G384="Hydrocracker",$G384="Reformer"),IF(COUNTIFS($D:$D,$D384,$A:$A,$A384,$B:$B,$B384,$G:$G,"CDU",$J:$J,"PLANNED")&gt;0,"tied","standalone"),"")</f>
        <v/>
      </c>
    </row>
    <row r="385" spans="1:14">
      <c r="A385" s="6">
        <v>2023</v>
      </c>
      <c r="B385" s="6">
        <v>2</v>
      </c>
      <c r="C385" s="6" t="s">
        <v>61</v>
      </c>
      <c r="D385" s="6" t="s">
        <v>568</v>
      </c>
      <c r="E385" s="6" t="s">
        <v>419</v>
      </c>
      <c r="F385" s="6" t="str">
        <f>IF($M385="PADD I","PADD 1",IF($M385="PADD II","PADD 2",IF($M385="PADD III","PADD 3",IF($M385="PADD IV","PADD 4",IF($M385="PADD V","PADD 5","")))))</f>
        <v>PADD 5</v>
      </c>
      <c r="G385" s="6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6" t="s">
        <v>44</v>
      </c>
      <c r="I385" s="6" t="s">
        <v>620</v>
      </c>
      <c r="J385" s="6" t="s">
        <v>394</v>
      </c>
      <c r="K385" s="10">
        <v>28</v>
      </c>
      <c r="L385" s="10">
        <v>28</v>
      </c>
      <c r="M385" s="6" t="s">
        <v>436</v>
      </c>
      <c r="N385" s="6">
        <f>IF(OR($G385="FCC",$G385="Hydrocracker",$G385="Reformer"),IF(COUNTIFS($D:$D,$D385,$A:$A,$A385,$B:$B,$B385,$G:$G,"CDU",$J:$J,"PLANNED")&gt;0,"tied","standalone"),"")</f>
        <v/>
      </c>
    </row>
    <row r="386" spans="1:14">
      <c r="A386" s="6">
        <v>2023</v>
      </c>
      <c r="B386" s="6">
        <v>2</v>
      </c>
      <c r="C386" s="6" t="s">
        <v>61</v>
      </c>
      <c r="D386" s="6" t="s">
        <v>507</v>
      </c>
      <c r="E386" s="6" t="s">
        <v>438</v>
      </c>
      <c r="F386" s="6" t="str">
        <f>IF($M386="PADD I","PADD 1",IF($M386="PADD II","PADD 2",IF($M386="PADD III","PADD 3",IF($M386="PADD IV","PADD 4",IF($M386="PADD V","PADD 5","")))))</f>
        <v>PADD 5</v>
      </c>
      <c r="G386" s="6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6" t="s">
        <v>494</v>
      </c>
      <c r="I386" s="6" t="s">
        <v>14</v>
      </c>
      <c r="J386" s="6" t="s">
        <v>394</v>
      </c>
      <c r="K386" s="10">
        <v>27.5</v>
      </c>
      <c r="L386" s="10">
        <v>55</v>
      </c>
      <c r="M386" s="6" t="s">
        <v>436</v>
      </c>
      <c r="N386" s="6" t="str">
        <f>IF(OR($G386="FCC",$G386="Hydrocracker",$G386="Reformer"),IF(COUNTIFS($D:$D,$D386,$A:$A,$A386,$B:$B,$B386,$G:$G,"CDU",$J:$J,"PLANNED")&gt;0,"tied","standalone"),"")</f>
        <v>standalone</v>
      </c>
    </row>
    <row r="387" spans="1:14">
      <c r="A387" s="6">
        <v>2023</v>
      </c>
      <c r="B387" s="6">
        <v>2</v>
      </c>
      <c r="C387" s="6" t="s">
        <v>61</v>
      </c>
      <c r="D387" s="6" t="s">
        <v>576</v>
      </c>
      <c r="E387" s="6" t="s">
        <v>455</v>
      </c>
      <c r="F387" s="6" t="str">
        <f>IF($M387="PADD I","PADD 1",IF($M387="PADD II","PADD 2",IF($M387="PADD III","PADD 3",IF($M387="PADD IV","PADD 4",IF($M387="PADD V","PADD 5","")))))</f>
        <v>PADD 3</v>
      </c>
      <c r="G387" s="6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6" t="s">
        <v>428</v>
      </c>
      <c r="I387" s="6" t="s">
        <v>699</v>
      </c>
      <c r="J387" s="6" t="s">
        <v>394</v>
      </c>
      <c r="K387" s="10">
        <v>27.36</v>
      </c>
      <c r="L387" s="10">
        <v>48</v>
      </c>
      <c r="M387" s="6" t="s">
        <v>421</v>
      </c>
      <c r="N387" s="6">
        <f>IF(OR($G387="FCC",$G387="Hydrocracker",$G387="Reformer"),IF(COUNTIFS($D:$D,$D387,$A:$A,$A387,$B:$B,$B387,$G:$G,"CDU",$J:$J,"PLANNED")&gt;0,"tied","standalone"),"")</f>
        <v/>
      </c>
    </row>
    <row r="388" spans="1:14">
      <c r="A388" s="6">
        <v>2023</v>
      </c>
      <c r="B388" s="6">
        <v>2</v>
      </c>
      <c r="C388" s="6" t="s">
        <v>61</v>
      </c>
      <c r="D388" s="6" t="s">
        <v>378</v>
      </c>
      <c r="E388" s="6" t="s">
        <v>477</v>
      </c>
      <c r="F388" s="6" t="str">
        <f>IF($M388="PADD I","PADD 1",IF($M388="PADD II","PADD 2",IF($M388="PADD III","PADD 3",IF($M388="PADD IV","PADD 4",IF($M388="PADD V","PADD 5","")))))</f>
        <v>PADD 3</v>
      </c>
      <c r="G388" s="6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6" t="s">
        <v>44</v>
      </c>
      <c r="I388" s="6" t="s">
        <v>612</v>
      </c>
      <c r="J388" s="6" t="s">
        <v>394</v>
      </c>
      <c r="K388" s="10">
        <v>27</v>
      </c>
      <c r="L388" s="10">
        <v>27</v>
      </c>
      <c r="M388" s="6" t="s">
        <v>421</v>
      </c>
      <c r="N388" s="6">
        <f>IF(OR($G388="FCC",$G388="Hydrocracker",$G388="Reformer"),IF(COUNTIFS($D:$D,$D388,$A:$A,$A388,$B:$B,$B388,$G:$G,"CDU",$J:$J,"PLANNED")&gt;0,"tied","standalone"),"")</f>
        <v/>
      </c>
    </row>
    <row r="389" spans="1:14">
      <c r="A389" s="6">
        <v>2023</v>
      </c>
      <c r="B389" s="6">
        <v>2</v>
      </c>
      <c r="C389" s="6" t="s">
        <v>61</v>
      </c>
      <c r="D389" s="6" t="s">
        <v>568</v>
      </c>
      <c r="E389" s="6" t="s">
        <v>419</v>
      </c>
      <c r="F389" s="6" t="str">
        <f>IF($M389="PADD I","PADD 1",IF($M389="PADD II","PADD 2",IF($M389="PADD III","PADD 3",IF($M389="PADD IV","PADD 4",IF($M389="PADD V","PADD 5","")))))</f>
        <v>PADD 5</v>
      </c>
      <c r="G389" s="6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6" t="s">
        <v>485</v>
      </c>
      <c r="I389" s="6" t="s">
        <v>628</v>
      </c>
      <c r="J389" s="6" t="s">
        <v>394</v>
      </c>
      <c r="K389" s="10">
        <v>26</v>
      </c>
      <c r="L389" s="10">
        <v>26</v>
      </c>
      <c r="M389" s="6" t="s">
        <v>436</v>
      </c>
      <c r="N389" s="6">
        <f>IF(OR($G389="FCC",$G389="Hydrocracker",$G389="Reformer"),IF(COUNTIFS($D:$D,$D389,$A:$A,$A389,$B:$B,$B389,$G:$G,"CDU",$J:$J,"PLANNED")&gt;0,"tied","standalone"),"")</f>
        <v/>
      </c>
    </row>
    <row r="390" spans="1:14">
      <c r="A390" s="6">
        <v>2023</v>
      </c>
      <c r="B390" s="6">
        <v>2</v>
      </c>
      <c r="C390" s="6" t="s">
        <v>61</v>
      </c>
      <c r="D390" s="6" t="s">
        <v>561</v>
      </c>
      <c r="E390" s="6" t="s">
        <v>455</v>
      </c>
      <c r="F390" s="6" t="str">
        <f>IF($M390="PADD I","PADD 1",IF($M390="PADD II","PADD 2",IF($M390="PADD III","PADD 3",IF($M390="PADD IV","PADD 4",IF($M390="PADD V","PADD 5","")))))</f>
        <v>PADD 3</v>
      </c>
      <c r="G390" s="6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6" t="s">
        <v>44</v>
      </c>
      <c r="I390" s="6" t="s">
        <v>655</v>
      </c>
      <c r="J390" s="6" t="s">
        <v>398</v>
      </c>
      <c r="K390" s="10">
        <v>25</v>
      </c>
      <c r="L390" s="10">
        <v>25</v>
      </c>
      <c r="M390" s="6" t="s">
        <v>421</v>
      </c>
      <c r="N390" s="6">
        <f>IF(OR($G390="FCC",$G390="Hydrocracker",$G390="Reformer"),IF(COUNTIFS($D:$D,$D390,$A:$A,$A390,$B:$B,$B390,$G:$G,"CDU",$J:$J,"PLANNED")&gt;0,"tied","standalone"),"")</f>
        <v/>
      </c>
    </row>
    <row r="391" spans="1:14">
      <c r="A391" s="6">
        <v>2023</v>
      </c>
      <c r="B391" s="6">
        <v>2</v>
      </c>
      <c r="C391" s="6" t="s">
        <v>61</v>
      </c>
      <c r="D391" s="6" t="s">
        <v>422</v>
      </c>
      <c r="E391" s="6" t="s">
        <v>423</v>
      </c>
      <c r="F391" s="6" t="str">
        <f>IF($M391="PADD I","PADD 1",IF($M391="PADD II","PADD 2",IF($M391="PADD III","PADD 3",IF($M391="PADD IV","PADD 4",IF($M391="PADD V","PADD 5","")))))</f>
        <v>PADD 2</v>
      </c>
      <c r="G391" s="6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6" t="s">
        <v>44</v>
      </c>
      <c r="I391" s="6" t="s">
        <v>529</v>
      </c>
      <c r="J391" s="6" t="s">
        <v>394</v>
      </c>
      <c r="K391" s="10">
        <v>25</v>
      </c>
      <c r="L391" s="10">
        <v>25</v>
      </c>
      <c r="M391" s="6" t="s">
        <v>425</v>
      </c>
      <c r="N391" s="6">
        <f>IF(OR($G391="FCC",$G391="Hydrocracker",$G391="Reformer"),IF(COUNTIFS($D:$D,$D391,$A:$A,$A391,$B:$B,$B391,$G:$G,"CDU",$J:$J,"PLANNED")&gt;0,"tied","standalone"),"")</f>
        <v/>
      </c>
    </row>
    <row r="392" spans="1:14">
      <c r="A392" s="6">
        <v>2023</v>
      </c>
      <c r="B392" s="6">
        <v>2</v>
      </c>
      <c r="C392" s="6" t="s">
        <v>61</v>
      </c>
      <c r="D392" s="6" t="s">
        <v>422</v>
      </c>
      <c r="E392" s="6" t="s">
        <v>423</v>
      </c>
      <c r="F392" s="6" t="str">
        <f>IF($M392="PADD I","PADD 1",IF($M392="PADD II","PADD 2",IF($M392="PADD III","PADD 3",IF($M392="PADD IV","PADD 4",IF($M392="PADD V","PADD 5","")))))</f>
        <v>PADD 2</v>
      </c>
      <c r="G392" s="6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6" t="s">
        <v>44</v>
      </c>
      <c r="I392" s="6" t="s">
        <v>530</v>
      </c>
      <c r="J392" s="6" t="s">
        <v>394</v>
      </c>
      <c r="K392" s="10">
        <v>25</v>
      </c>
      <c r="L392" s="10">
        <v>25</v>
      </c>
      <c r="M392" s="6" t="s">
        <v>425</v>
      </c>
      <c r="N392" s="6">
        <f>IF(OR($G392="FCC",$G392="Hydrocracker",$G392="Reformer"),IF(COUNTIFS($D:$D,$D392,$A:$A,$A392,$B:$B,$B392,$G:$G,"CDU",$J:$J,"PLANNED")&gt;0,"tied","standalone"),"")</f>
        <v/>
      </c>
    </row>
    <row r="393" spans="1:14">
      <c r="A393" s="6">
        <v>2023</v>
      </c>
      <c r="B393" s="6">
        <v>2</v>
      </c>
      <c r="C393" s="6" t="s">
        <v>61</v>
      </c>
      <c r="D393" s="6" t="s">
        <v>568</v>
      </c>
      <c r="E393" s="6" t="s">
        <v>419</v>
      </c>
      <c r="F393" s="6" t="str">
        <f>IF($M393="PADD I","PADD 1",IF($M393="PADD II","PADD 2",IF($M393="PADD III","PADD 3",IF($M393="PADD IV","PADD 4",IF($M393="PADD V","PADD 5","")))))</f>
        <v>PADD 5</v>
      </c>
      <c r="G393" s="6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6" t="s">
        <v>44</v>
      </c>
      <c r="I393" s="6" t="s">
        <v>629</v>
      </c>
      <c r="J393" s="6" t="s">
        <v>394</v>
      </c>
      <c r="K393" s="10">
        <v>25</v>
      </c>
      <c r="L393" s="10">
        <v>25</v>
      </c>
      <c r="M393" s="6" t="s">
        <v>436</v>
      </c>
      <c r="N393" s="6">
        <f>IF(OR($G393="FCC",$G393="Hydrocracker",$G393="Reformer"),IF(COUNTIFS($D:$D,$D393,$A:$A,$A393,$B:$B,$B393,$G:$G,"CDU",$J:$J,"PLANNED")&gt;0,"tied","standalone"),"")</f>
        <v/>
      </c>
    </row>
    <row r="394" spans="1:14">
      <c r="A394" s="6">
        <v>2023</v>
      </c>
      <c r="B394" s="6">
        <v>2</v>
      </c>
      <c r="C394" s="6" t="s">
        <v>61</v>
      </c>
      <c r="D394" s="6" t="s">
        <v>576</v>
      </c>
      <c r="E394" s="6" t="s">
        <v>455</v>
      </c>
      <c r="F394" s="6" t="str">
        <f>IF($M394="PADD I","PADD 1",IF($M394="PADD II","PADD 2",IF($M394="PADD III","PADD 3",IF($M394="PADD IV","PADD 4",IF($M394="PADD V","PADD 5","")))))</f>
        <v>PADD 3</v>
      </c>
      <c r="G394" s="6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6" t="s">
        <v>494</v>
      </c>
      <c r="I394" s="6" t="s">
        <v>400</v>
      </c>
      <c r="J394" s="6" t="s">
        <v>398</v>
      </c>
      <c r="K394" s="10">
        <v>24.3</v>
      </c>
      <c r="L394" s="10">
        <v>45</v>
      </c>
      <c r="M394" s="6" t="s">
        <v>421</v>
      </c>
      <c r="N394" s="6" t="str">
        <f>IF(OR($G394="FCC",$G394="Hydrocracker",$G394="Reformer"),IF(COUNTIFS($D:$D,$D394,$A:$A,$A394,$B:$B,$B394,$G:$G,"CDU",$J:$J,"PLANNED")&gt;0,"tied","standalone"),"")</f>
        <v>tied</v>
      </c>
    </row>
    <row r="395" spans="1:14">
      <c r="A395" s="6">
        <v>2023</v>
      </c>
      <c r="B395" s="6">
        <v>2</v>
      </c>
      <c r="C395" s="6" t="s">
        <v>61</v>
      </c>
      <c r="D395" s="6" t="s">
        <v>470</v>
      </c>
      <c r="E395" s="6" t="s">
        <v>423</v>
      </c>
      <c r="F395" s="6" t="str">
        <f>IF($M395="PADD I","PADD 1",IF($M395="PADD II","PADD 2",IF($M395="PADD III","PADD 3",IF($M395="PADD IV","PADD 4",IF($M395="PADD V","PADD 5","")))))</f>
        <v>PADD 2</v>
      </c>
      <c r="G395" s="6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6" t="s">
        <v>39</v>
      </c>
      <c r="I395" s="6" t="s">
        <v>82</v>
      </c>
      <c r="J395" s="6" t="s">
        <v>394</v>
      </c>
      <c r="K395" s="10">
        <v>24.3</v>
      </c>
      <c r="L395" s="10">
        <v>45</v>
      </c>
      <c r="M395" s="6" t="s">
        <v>425</v>
      </c>
      <c r="N395" s="6">
        <f>IF(OR($G395="FCC",$G395="Hydrocracker",$G395="Reformer"),IF(COUNTIFS($D:$D,$D395,$A:$A,$A395,$B:$B,$B395,$G:$G,"CDU",$J:$J,"PLANNED")&gt;0,"tied","standalone"),"")</f>
        <v/>
      </c>
    </row>
    <row r="396" spans="1:14">
      <c r="A396" s="6">
        <v>2023</v>
      </c>
      <c r="B396" s="6">
        <v>2</v>
      </c>
      <c r="C396" s="6" t="s">
        <v>61</v>
      </c>
      <c r="D396" s="6" t="s">
        <v>576</v>
      </c>
      <c r="E396" s="6" t="s">
        <v>455</v>
      </c>
      <c r="F396" s="6" t="str">
        <f>IF($M396="PADD I","PADD 1",IF($M396="PADD II","PADD 2",IF($M396="PADD III","PADD 3",IF($M396="PADD IV","PADD 4",IF($M396="PADD V","PADD 5","")))))</f>
        <v>PADD 3</v>
      </c>
      <c r="G396" s="6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6" t="s">
        <v>494</v>
      </c>
      <c r="I396" s="6" t="s">
        <v>577</v>
      </c>
      <c r="J396" s="6" t="s">
        <v>394</v>
      </c>
      <c r="K396" s="10">
        <v>24.3</v>
      </c>
      <c r="L396" s="10">
        <v>45</v>
      </c>
      <c r="M396" s="6" t="s">
        <v>421</v>
      </c>
      <c r="N396" s="6" t="str">
        <f>IF(OR($G396="FCC",$G396="Hydrocracker",$G396="Reformer"),IF(COUNTIFS($D:$D,$D396,$A:$A,$A396,$B:$B,$B396,$G:$G,"CDU",$J:$J,"PLANNED")&gt;0,"tied","standalone"),"")</f>
        <v>tied</v>
      </c>
    </row>
    <row r="397" spans="1:14">
      <c r="A397" s="6">
        <v>2023</v>
      </c>
      <c r="B397" s="6">
        <v>2</v>
      </c>
      <c r="C397" s="6" t="s">
        <v>61</v>
      </c>
      <c r="D397" s="6" t="s">
        <v>568</v>
      </c>
      <c r="E397" s="6" t="s">
        <v>419</v>
      </c>
      <c r="F397" s="6" t="str">
        <f>IF($M397="PADD I","PADD 1",IF($M397="PADD II","PADD 2",IF($M397="PADD III","PADD 3",IF($M397="PADD IV","PADD 4",IF($M397="PADD V","PADD 5","")))))</f>
        <v>PADD 5</v>
      </c>
      <c r="G397" s="6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6" t="s">
        <v>631</v>
      </c>
      <c r="I397" s="6" t="s">
        <v>632</v>
      </c>
      <c r="J397" s="6" t="s">
        <v>394</v>
      </c>
      <c r="K397" s="10">
        <v>23</v>
      </c>
      <c r="L397" s="10">
        <v>23</v>
      </c>
      <c r="M397" s="6" t="s">
        <v>436</v>
      </c>
      <c r="N397" s="6" t="str">
        <f>IF(OR($G397="FCC",$G397="Hydrocracker",$G397="Reformer"),IF(COUNTIFS($D:$D,$D397,$A:$A,$A397,$B:$B,$B397,$G:$G,"CDU",$J:$J,"PLANNED")&gt;0,"tied","standalone"),"")</f>
        <v>standalone</v>
      </c>
    </row>
    <row r="398" spans="1:14">
      <c r="A398" s="6">
        <v>2023</v>
      </c>
      <c r="B398" s="6">
        <v>2</v>
      </c>
      <c r="C398" s="6" t="s">
        <v>61</v>
      </c>
      <c r="D398" s="6" t="s">
        <v>496</v>
      </c>
      <c r="E398" s="6" t="s">
        <v>441</v>
      </c>
      <c r="F398" s="6" t="str">
        <f>IF($M398="PADD I","PADD 1",IF($M398="PADD II","PADD 2",IF($M398="PADD III","PADD 3",IF($M398="PADD IV","PADD 4",IF($M398="PADD V","PADD 5","")))))</f>
        <v>PADD 3</v>
      </c>
      <c r="G398" s="6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6" t="s">
        <v>471</v>
      </c>
      <c r="I398" s="6" t="s">
        <v>533</v>
      </c>
      <c r="J398" s="6" t="s">
        <v>394</v>
      </c>
      <c r="K398" s="10">
        <v>23</v>
      </c>
      <c r="L398" s="10">
        <v>23</v>
      </c>
      <c r="M398" s="6" t="s">
        <v>421</v>
      </c>
      <c r="N398" s="6" t="str">
        <f>IF(OR($G398="FCC",$G398="Hydrocracker",$G398="Reformer"),IF(COUNTIFS($D:$D,$D398,$A:$A,$A398,$B:$B,$B398,$G:$G,"CDU",$J:$J,"PLANNED")&gt;0,"tied","standalone"),"")</f>
        <v>standalone</v>
      </c>
    </row>
    <row r="399" spans="1:14">
      <c r="A399" s="6">
        <v>2023</v>
      </c>
      <c r="B399" s="6">
        <v>2</v>
      </c>
      <c r="C399" s="6" t="s">
        <v>61</v>
      </c>
      <c r="D399" s="6" t="s">
        <v>382</v>
      </c>
      <c r="E399" s="6" t="s">
        <v>431</v>
      </c>
      <c r="F399" s="6" t="str">
        <f>IF($M399="PADD I","PADD 1",IF($M399="PADD II","PADD 2",IF($M399="PADD III","PADD 3",IF($M399="PADD IV","PADD 4",IF($M399="PADD V","PADD 5","")))))</f>
        <v>PADD 3</v>
      </c>
      <c r="G399" s="6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6" t="s">
        <v>39</v>
      </c>
      <c r="I399" s="6" t="s">
        <v>700</v>
      </c>
      <c r="J399" s="6" t="s">
        <v>394</v>
      </c>
      <c r="K399" s="10">
        <v>22.5</v>
      </c>
      <c r="L399" s="10">
        <v>45</v>
      </c>
      <c r="M399" s="6" t="s">
        <v>421</v>
      </c>
      <c r="N399" s="6">
        <f>IF(OR($G399="FCC",$G399="Hydrocracker",$G399="Reformer"),IF(COUNTIFS($D:$D,$D399,$A:$A,$A399,$B:$B,$B399,$G:$G,"CDU",$J:$J,"PLANNED")&gt;0,"tied","standalone"),"")</f>
        <v/>
      </c>
    </row>
    <row r="400" spans="1:14">
      <c r="A400" s="6">
        <v>2023</v>
      </c>
      <c r="B400" s="6">
        <v>2</v>
      </c>
      <c r="C400" s="6" t="s">
        <v>61</v>
      </c>
      <c r="D400" s="6" t="s">
        <v>375</v>
      </c>
      <c r="E400" s="6" t="s">
        <v>435</v>
      </c>
      <c r="F400" s="6" t="str">
        <f>IF($M400="PADD I","PADD 1",IF($M400="PADD II","PADD 2",IF($M400="PADD III","PADD 3",IF($M400="PADD IV","PADD 4",IF($M400="PADD V","PADD 5","")))))</f>
        <v>PADD 5</v>
      </c>
      <c r="G400" s="6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6" t="s">
        <v>485</v>
      </c>
      <c r="I400" s="6" t="s">
        <v>491</v>
      </c>
      <c r="J400" s="6" t="s">
        <v>394</v>
      </c>
      <c r="K400" s="10">
        <v>22.5</v>
      </c>
      <c r="L400" s="10">
        <v>22.5</v>
      </c>
      <c r="M400" s="6" t="s">
        <v>436</v>
      </c>
      <c r="N400" s="6">
        <f>IF(OR($G400="FCC",$G400="Hydrocracker",$G400="Reformer"),IF(COUNTIFS($D:$D,$D400,$A:$A,$A400,$B:$B,$B400,$G:$G,"CDU",$J:$J,"PLANNED")&gt;0,"tied","standalone"),"")</f>
        <v/>
      </c>
    </row>
    <row r="401" spans="1:14">
      <c r="A401" s="6">
        <v>2023</v>
      </c>
      <c r="B401" s="6">
        <v>2</v>
      </c>
      <c r="C401" s="6" t="s">
        <v>61</v>
      </c>
      <c r="D401" s="6" t="s">
        <v>484</v>
      </c>
      <c r="E401" s="6" t="s">
        <v>438</v>
      </c>
      <c r="F401" s="6" t="str">
        <f>IF($M401="PADD I","PADD 1",IF($M401="PADD II","PADD 2",IF($M401="PADD III","PADD 3",IF($M401="PADD IV","PADD 4",IF($M401="PADD V","PADD 5","")))))</f>
        <v>PADD 5</v>
      </c>
      <c r="G401" s="6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6" t="s">
        <v>485</v>
      </c>
      <c r="I401" s="6" t="s">
        <v>486</v>
      </c>
      <c r="J401" s="6" t="s">
        <v>398</v>
      </c>
      <c r="K401" s="10">
        <v>22.14</v>
      </c>
      <c r="L401" s="10">
        <v>41</v>
      </c>
      <c r="M401" s="6" t="s">
        <v>436</v>
      </c>
      <c r="N401" s="6">
        <f>IF(OR($G401="FCC",$G401="Hydrocracker",$G401="Reformer"),IF(COUNTIFS($D:$D,$D401,$A:$A,$A401,$B:$B,$B401,$G:$G,"CDU",$J:$J,"PLANNED")&gt;0,"tied","standalone"),"")</f>
        <v/>
      </c>
    </row>
    <row r="402" spans="1:14">
      <c r="A402" s="6">
        <v>2023</v>
      </c>
      <c r="B402" s="6">
        <v>2</v>
      </c>
      <c r="C402" s="6" t="s">
        <v>61</v>
      </c>
      <c r="D402" s="6" t="s">
        <v>461</v>
      </c>
      <c r="E402" s="6" t="s">
        <v>419</v>
      </c>
      <c r="F402" s="6" t="str">
        <f>IF($M402="PADD I","PADD 1",IF($M402="PADD II","PADD 2",IF($M402="PADD III","PADD 3",IF($M402="PADD IV","PADD 4",IF($M402="PADD V","PADD 5","")))))</f>
        <v>PADD 1</v>
      </c>
      <c r="G402" s="6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6" t="s">
        <v>510</v>
      </c>
      <c r="I402" s="6" t="s">
        <v>616</v>
      </c>
      <c r="J402" s="6" t="s">
        <v>398</v>
      </c>
      <c r="K402" s="10">
        <v>22</v>
      </c>
      <c r="L402" s="10">
        <v>22</v>
      </c>
      <c r="M402" s="6" t="s">
        <v>463</v>
      </c>
      <c r="N402" s="6">
        <f>IF(OR($G402="FCC",$G402="Hydrocracker",$G402="Reformer"),IF(COUNTIFS($D:$D,$D402,$A:$A,$A402,$B:$B,$B402,$G:$G,"CDU",$J:$J,"PLANNED")&gt;0,"tied","standalone"),"")</f>
        <v/>
      </c>
    </row>
    <row r="403" spans="1:14">
      <c r="A403" s="6">
        <v>2023</v>
      </c>
      <c r="B403" s="6">
        <v>2</v>
      </c>
      <c r="C403" s="6" t="s">
        <v>61</v>
      </c>
      <c r="D403" s="6" t="s">
        <v>452</v>
      </c>
      <c r="E403" s="6" t="s">
        <v>453</v>
      </c>
      <c r="F403" s="6" t="str">
        <f>IF($M403="PADD I","PADD 1",IF($M403="PADD II","PADD 2",IF($M403="PADD III","PADD 3",IF($M403="PADD IV","PADD 4",IF($M403="PADD V","PADD 5","")))))</f>
        <v>PADD 3</v>
      </c>
      <c r="G403" s="6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6" t="s">
        <v>44</v>
      </c>
      <c r="I403" s="6" t="s">
        <v>557</v>
      </c>
      <c r="J403" s="6" t="s">
        <v>398</v>
      </c>
      <c r="K403" s="10">
        <v>22</v>
      </c>
      <c r="L403" s="10">
        <v>22</v>
      </c>
      <c r="M403" s="6" t="s">
        <v>421</v>
      </c>
      <c r="N403" s="6">
        <f>IF(OR($G403="FCC",$G403="Hydrocracker",$G403="Reformer"),IF(COUNTIFS($D:$D,$D403,$A:$A,$A403,$B:$B,$B403,$G:$G,"CDU",$J:$J,"PLANNED")&gt;0,"tied","standalone"),"")</f>
        <v/>
      </c>
    </row>
    <row r="404" spans="1:14">
      <c r="A404" s="6">
        <v>2023</v>
      </c>
      <c r="B404" s="6">
        <v>2</v>
      </c>
      <c r="C404" s="6" t="s">
        <v>61</v>
      </c>
      <c r="D404" s="6" t="s">
        <v>452</v>
      </c>
      <c r="E404" s="6" t="s">
        <v>453</v>
      </c>
      <c r="F404" s="6" t="str">
        <f>IF($M404="PADD I","PADD 1",IF($M404="PADD II","PADD 2",IF($M404="PADD III","PADD 3",IF($M404="PADD IV","PADD 4",IF($M404="PADD V","PADD 5","")))))</f>
        <v>PADD 3</v>
      </c>
      <c r="G404" s="6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6" t="s">
        <v>44</v>
      </c>
      <c r="I404" s="6" t="s">
        <v>558</v>
      </c>
      <c r="J404" s="6" t="s">
        <v>398</v>
      </c>
      <c r="K404" s="10">
        <v>22</v>
      </c>
      <c r="L404" s="10">
        <v>22</v>
      </c>
      <c r="M404" s="6" t="s">
        <v>421</v>
      </c>
      <c r="N404" s="6">
        <f>IF(OR($G404="FCC",$G404="Hydrocracker",$G404="Reformer"),IF(COUNTIFS($D:$D,$D404,$A:$A,$A404,$B:$B,$B404,$G:$G,"CDU",$J:$J,"PLANNED")&gt;0,"tied","standalone"),"")</f>
        <v/>
      </c>
    </row>
    <row r="405" spans="1:14">
      <c r="A405" s="6">
        <v>2023</v>
      </c>
      <c r="B405" s="6">
        <v>2</v>
      </c>
      <c r="C405" s="6" t="s">
        <v>61</v>
      </c>
      <c r="D405" s="6" t="s">
        <v>487</v>
      </c>
      <c r="E405" s="6" t="s">
        <v>488</v>
      </c>
      <c r="F405" s="6" t="str">
        <f>IF($M405="PADD I","PADD 1",IF($M405="PADD II","PADD 2",IF($M405="PADD III","PADD 3",IF($M405="PADD IV","PADD 4",IF($M405="PADD V","PADD 5","")))))</f>
        <v>PADD 4</v>
      </c>
      <c r="G405" s="6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6" t="s">
        <v>39</v>
      </c>
      <c r="I405" s="6" t="s">
        <v>379</v>
      </c>
      <c r="J405" s="6" t="s">
        <v>394</v>
      </c>
      <c r="K405" s="10">
        <v>21.06</v>
      </c>
      <c r="L405" s="10">
        <v>39</v>
      </c>
      <c r="M405" s="6" t="s">
        <v>480</v>
      </c>
      <c r="N405" s="6">
        <f>IF(OR($G405="FCC",$G405="Hydrocracker",$G405="Reformer"),IF(COUNTIFS($D:$D,$D405,$A:$A,$A405,$B:$B,$B405,$G:$G,"CDU",$J:$J,"PLANNED")&gt;0,"tied","standalone"),"")</f>
        <v/>
      </c>
    </row>
    <row r="406" spans="1:14">
      <c r="A406" s="6">
        <v>2023</v>
      </c>
      <c r="B406" s="6">
        <v>2</v>
      </c>
      <c r="C406" s="6" t="s">
        <v>61</v>
      </c>
      <c r="D406" s="6" t="s">
        <v>452</v>
      </c>
      <c r="E406" s="6" t="s">
        <v>453</v>
      </c>
      <c r="F406" s="6" t="str">
        <f>IF($M406="PADD I","PADD 1",IF($M406="PADD II","PADD 2",IF($M406="PADD III","PADD 3",IF($M406="PADD IV","PADD 4",IF($M406="PADD V","PADD 5","")))))</f>
        <v>PADD 3</v>
      </c>
      <c r="G406" s="6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6" t="s">
        <v>44</v>
      </c>
      <c r="I406" s="6" t="s">
        <v>543</v>
      </c>
      <c r="J406" s="6" t="s">
        <v>398</v>
      </c>
      <c r="K406" s="10">
        <v>21</v>
      </c>
      <c r="L406" s="10">
        <v>21</v>
      </c>
      <c r="M406" s="6" t="s">
        <v>421</v>
      </c>
      <c r="N406" s="6">
        <f>IF(OR($G406="FCC",$G406="Hydrocracker",$G406="Reformer"),IF(COUNTIFS($D:$D,$D406,$A:$A,$A406,$B:$B,$B406,$G:$G,"CDU",$J:$J,"PLANNED")&gt;0,"tied","standalone"),"")</f>
        <v/>
      </c>
    </row>
    <row r="407" spans="1:14">
      <c r="A407" s="6">
        <v>2023</v>
      </c>
      <c r="B407" s="6">
        <v>2</v>
      </c>
      <c r="C407" s="6" t="s">
        <v>61</v>
      </c>
      <c r="D407" s="6" t="s">
        <v>51</v>
      </c>
      <c r="E407" s="6" t="s">
        <v>431</v>
      </c>
      <c r="F407" s="6" t="str">
        <f>IF($M407="PADD I","PADD 1",IF($M407="PADD II","PADD 2",IF($M407="PADD III","PADD 3",IF($M407="PADD IV","PADD 4",IF($M407="PADD V","PADD 5","")))))</f>
        <v>PADD 3</v>
      </c>
      <c r="G407" s="6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6" t="s">
        <v>510</v>
      </c>
      <c r="I407" s="6" t="s">
        <v>670</v>
      </c>
      <c r="J407" s="6" t="s">
        <v>398</v>
      </c>
      <c r="K407" s="10">
        <v>21</v>
      </c>
      <c r="L407" s="10">
        <v>21</v>
      </c>
      <c r="M407" s="6" t="s">
        <v>421</v>
      </c>
      <c r="N407" s="6">
        <f>IF(OR($G407="FCC",$G407="Hydrocracker",$G407="Reformer"),IF(COUNTIFS($D:$D,$D407,$A:$A,$A407,$B:$B,$B407,$G:$G,"CDU",$J:$J,"PLANNED")&gt;0,"tied","standalone"),"")</f>
        <v/>
      </c>
    </row>
    <row r="408" spans="1:14">
      <c r="A408" s="6">
        <v>2023</v>
      </c>
      <c r="B408" s="6">
        <v>2</v>
      </c>
      <c r="C408" s="6" t="s">
        <v>61</v>
      </c>
      <c r="D408" s="6" t="s">
        <v>487</v>
      </c>
      <c r="E408" s="6" t="s">
        <v>488</v>
      </c>
      <c r="F408" s="6" t="str">
        <f>IF($M408="PADD I","PADD 1",IF($M408="PADD II","PADD 2",IF($M408="PADD III","PADD 3",IF($M408="PADD IV","PADD 4",IF($M408="PADD V","PADD 5","")))))</f>
        <v>PADD 4</v>
      </c>
      <c r="G408" s="6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6" t="s">
        <v>44</v>
      </c>
      <c r="I408" s="6" t="s">
        <v>543</v>
      </c>
      <c r="J408" s="6" t="s">
        <v>394</v>
      </c>
      <c r="K408" s="10">
        <v>21</v>
      </c>
      <c r="L408" s="10">
        <v>21</v>
      </c>
      <c r="M408" s="6" t="s">
        <v>480</v>
      </c>
      <c r="N408" s="6">
        <f>IF(OR($G408="FCC",$G408="Hydrocracker",$G408="Reformer"),IF(COUNTIFS($D:$D,$D408,$A:$A,$A408,$B:$B,$B408,$G:$G,"CDU",$J:$J,"PLANNED")&gt;0,"tied","standalone"),"")</f>
        <v/>
      </c>
    </row>
    <row r="409" spans="1:14">
      <c r="A409" s="6">
        <v>2023</v>
      </c>
      <c r="B409" s="6">
        <v>2</v>
      </c>
      <c r="C409" s="6" t="s">
        <v>61</v>
      </c>
      <c r="D409" s="6" t="s">
        <v>470</v>
      </c>
      <c r="E409" s="6" t="s">
        <v>423</v>
      </c>
      <c r="F409" s="6" t="str">
        <f>IF($M409="PADD I","PADD 1",IF($M409="PADD II","PADD 2",IF($M409="PADD III","PADD 3",IF($M409="PADD IV","PADD 4",IF($M409="PADD V","PADD 5","")))))</f>
        <v>PADD 2</v>
      </c>
      <c r="G409" s="6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6" t="s">
        <v>428</v>
      </c>
      <c r="I409" s="6" t="s">
        <v>481</v>
      </c>
      <c r="J409" s="6" t="s">
        <v>394</v>
      </c>
      <c r="K409" s="10">
        <v>20.5</v>
      </c>
      <c r="L409" s="10">
        <v>20.5</v>
      </c>
      <c r="M409" s="6" t="s">
        <v>425</v>
      </c>
      <c r="N409" s="6">
        <f>IF(OR($G409="FCC",$G409="Hydrocracker",$G409="Reformer"),IF(COUNTIFS($D:$D,$D409,$A:$A,$A409,$B:$B,$B409,$G:$G,"CDU",$J:$J,"PLANNED")&gt;0,"tied","standalone"),"")</f>
        <v/>
      </c>
    </row>
    <row r="410" spans="1:14">
      <c r="A410" s="6">
        <v>2023</v>
      </c>
      <c r="B410" s="6">
        <v>2</v>
      </c>
      <c r="C410" s="6" t="s">
        <v>61</v>
      </c>
      <c r="D410" s="6" t="s">
        <v>581</v>
      </c>
      <c r="E410" s="6" t="s">
        <v>582</v>
      </c>
      <c r="F410" s="6" t="str">
        <f>IF($M410="PADD I","PADD 1",IF($M410="PADD II","PADD 2",IF($M410="PADD III","PADD 3",IF($M410="PADD IV","PADD 4",IF($M410="PADD V","PADD 5","")))))</f>
        <v>PADD 5</v>
      </c>
      <c r="G410" s="6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6" t="s">
        <v>44</v>
      </c>
      <c r="I410" s="6" t="s">
        <v>617</v>
      </c>
      <c r="J410" s="6" t="s">
        <v>394</v>
      </c>
      <c r="K410" s="10">
        <v>20.475</v>
      </c>
      <c r="L410" s="10">
        <v>52.5</v>
      </c>
      <c r="M410" s="6" t="s">
        <v>436</v>
      </c>
      <c r="N410" s="6">
        <f>IF(OR($G410="FCC",$G410="Hydrocracker",$G410="Reformer"),IF(COUNTIFS($D:$D,$D410,$A:$A,$A410,$B:$B,$B410,$G:$G,"CDU",$J:$J,"PLANNED")&gt;0,"tied","standalone"),"")</f>
        <v/>
      </c>
    </row>
    <row r="411" spans="1:14">
      <c r="A411" s="6">
        <v>2023</v>
      </c>
      <c r="B411" s="6">
        <v>2</v>
      </c>
      <c r="C411" s="6" t="s">
        <v>61</v>
      </c>
      <c r="D411" s="6" t="s">
        <v>445</v>
      </c>
      <c r="E411" s="6" t="s">
        <v>446</v>
      </c>
      <c r="F411" s="6" t="str">
        <f>IF($M411="PADD I","PADD 1",IF($M411="PADD II","PADD 2",IF($M411="PADD III","PADD 3",IF($M411="PADD IV","PADD 4",IF($M411="PADD V","PADD 5","")))))</f>
        <v>PADD 3</v>
      </c>
      <c r="G411" s="6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6" t="s">
        <v>39</v>
      </c>
      <c r="I411" s="6" t="s">
        <v>560</v>
      </c>
      <c r="J411" s="6" t="s">
        <v>398</v>
      </c>
      <c r="K411" s="10">
        <v>20.3</v>
      </c>
      <c r="L411" s="10">
        <v>70</v>
      </c>
      <c r="M411" s="6" t="s">
        <v>421</v>
      </c>
      <c r="N411" s="6">
        <f>IF(OR($G411="FCC",$G411="Hydrocracker",$G411="Reformer"),IF(COUNTIFS($D:$D,$D411,$A:$A,$A411,$B:$B,$B411,$G:$G,"CDU",$J:$J,"PLANNED")&gt;0,"tied","standalone"),"")</f>
        <v/>
      </c>
    </row>
    <row r="412" spans="1:14">
      <c r="A412" s="6">
        <v>2023</v>
      </c>
      <c r="B412" s="6">
        <v>2</v>
      </c>
      <c r="C412" s="6" t="s">
        <v>61</v>
      </c>
      <c r="D412" s="6" t="s">
        <v>452</v>
      </c>
      <c r="E412" s="6" t="s">
        <v>453</v>
      </c>
      <c r="F412" s="6" t="str">
        <f>IF($M412="PADD I","PADD 1",IF($M412="PADD II","PADD 2",IF($M412="PADD III","PADD 3",IF($M412="PADD IV","PADD 4",IF($M412="PADD V","PADD 5","")))))</f>
        <v>PADD 3</v>
      </c>
      <c r="G412" s="6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6" t="s">
        <v>426</v>
      </c>
      <c r="I412" s="6" t="s">
        <v>106</v>
      </c>
      <c r="J412" s="6" t="s">
        <v>398</v>
      </c>
      <c r="K412" s="10">
        <v>20.2</v>
      </c>
      <c r="L412" s="10">
        <v>20.2</v>
      </c>
      <c r="M412" s="6" t="s">
        <v>421</v>
      </c>
      <c r="N412" s="6" t="str">
        <f>IF(OR($G412="FCC",$G412="Hydrocracker",$G412="Reformer"),IF(COUNTIFS($D:$D,$D412,$A:$A,$A412,$B:$B,$B412,$G:$G,"CDU",$J:$J,"PLANNED")&gt;0,"tied","standalone"),"")</f>
        <v>tied</v>
      </c>
    </row>
    <row r="413" spans="1:14">
      <c r="A413" s="6">
        <v>2023</v>
      </c>
      <c r="B413" s="6">
        <v>2</v>
      </c>
      <c r="C413" s="6" t="s">
        <v>61</v>
      </c>
      <c r="D413" s="6" t="s">
        <v>487</v>
      </c>
      <c r="E413" s="6" t="s">
        <v>488</v>
      </c>
      <c r="F413" s="6" t="str">
        <f>IF($M413="PADD I","PADD 1",IF($M413="PADD II","PADD 2",IF($M413="PADD III","PADD 3",IF($M413="PADD IV","PADD 4",IF($M413="PADD V","PADD 5","")))))</f>
        <v>PADD 4</v>
      </c>
      <c r="G413" s="6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6" t="s">
        <v>428</v>
      </c>
      <c r="I413" s="6" t="s">
        <v>544</v>
      </c>
      <c r="J413" s="6" t="s">
        <v>394</v>
      </c>
      <c r="K413" s="10">
        <v>20</v>
      </c>
      <c r="L413" s="10">
        <v>20</v>
      </c>
      <c r="M413" s="6" t="s">
        <v>480</v>
      </c>
      <c r="N413" s="6">
        <f>IF(OR($G413="FCC",$G413="Hydrocracker",$G413="Reformer"),IF(COUNTIFS($D:$D,$D413,$A:$A,$A413,$B:$B,$B413,$G:$G,"CDU",$J:$J,"PLANNED")&gt;0,"tied","standalone"),"")</f>
        <v/>
      </c>
    </row>
    <row r="414" spans="1:14">
      <c r="A414" s="6">
        <v>2023</v>
      </c>
      <c r="B414" s="6">
        <v>2</v>
      </c>
      <c r="C414" s="6" t="s">
        <v>61</v>
      </c>
      <c r="D414" s="6" t="s">
        <v>512</v>
      </c>
      <c r="E414" s="6" t="s">
        <v>488</v>
      </c>
      <c r="F414" s="6" t="str">
        <f>IF($M414="PADD I","PADD 1",IF($M414="PADD II","PADD 2",IF($M414="PADD III","PADD 3",IF($M414="PADD IV","PADD 4",IF($M414="PADD V","PADD 5","")))))</f>
        <v>PADD 4</v>
      </c>
      <c r="G414" s="6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6" t="s">
        <v>44</v>
      </c>
      <c r="I414" s="6" t="s">
        <v>545</v>
      </c>
      <c r="J414" s="6" t="s">
        <v>394</v>
      </c>
      <c r="K414" s="10">
        <v>20</v>
      </c>
      <c r="L414" s="10">
        <v>20</v>
      </c>
      <c r="M414" s="6" t="s">
        <v>480</v>
      </c>
      <c r="N414" s="6">
        <f>IF(OR($G414="FCC",$G414="Hydrocracker",$G414="Reformer"),IF(COUNTIFS($D:$D,$D414,$A:$A,$A414,$B:$B,$B414,$G:$G,"CDU",$J:$J,"PLANNED")&gt;0,"tied","standalone"),"")</f>
        <v/>
      </c>
    </row>
    <row r="415" spans="1:14">
      <c r="A415" s="6">
        <v>2023</v>
      </c>
      <c r="B415" s="6">
        <v>2</v>
      </c>
      <c r="C415" s="6" t="s">
        <v>61</v>
      </c>
      <c r="D415" s="6" t="s">
        <v>440</v>
      </c>
      <c r="E415" s="6" t="s">
        <v>441</v>
      </c>
      <c r="F415" s="6" t="str">
        <f>IF($M415="PADD I","PADD 1",IF($M415="PADD II","PADD 2",IF($M415="PADD III","PADD 3",IF($M415="PADD IV","PADD 4",IF($M415="PADD V","PADD 5","")))))</f>
        <v>PADD 3</v>
      </c>
      <c r="G415" s="6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6" t="s">
        <v>44</v>
      </c>
      <c r="I415" s="6" t="s">
        <v>701</v>
      </c>
      <c r="J415" s="6" t="s">
        <v>398</v>
      </c>
      <c r="K415" s="10">
        <v>20</v>
      </c>
      <c r="L415" s="10">
        <v>40</v>
      </c>
      <c r="M415" s="6" t="s">
        <v>421</v>
      </c>
      <c r="N415" s="6">
        <f>IF(OR($G415="FCC",$G415="Hydrocracker",$G415="Reformer"),IF(COUNTIFS($D:$D,$D415,$A:$A,$A415,$B:$B,$B415,$G:$G,"CDU",$J:$J,"PLANNED")&gt;0,"tied","standalone"),"")</f>
        <v/>
      </c>
    </row>
    <row r="416" spans="1:14">
      <c r="A416" s="6">
        <v>2023</v>
      </c>
      <c r="B416" s="6">
        <v>2</v>
      </c>
      <c r="C416" s="6" t="s">
        <v>61</v>
      </c>
      <c r="D416" s="6" t="s">
        <v>568</v>
      </c>
      <c r="E416" s="6" t="s">
        <v>419</v>
      </c>
      <c r="F416" s="6" t="str">
        <f>IF($M416="PADD I","PADD 1",IF($M416="PADD II","PADD 2",IF($M416="PADD III","PADD 3",IF($M416="PADD IV","PADD 4",IF($M416="PADD V","PADD 5","")))))</f>
        <v>PADD 5</v>
      </c>
      <c r="G416" s="6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6" t="s">
        <v>44</v>
      </c>
      <c r="I416" s="6" t="s">
        <v>637</v>
      </c>
      <c r="J416" s="6" t="s">
        <v>394</v>
      </c>
      <c r="K416" s="10">
        <v>20</v>
      </c>
      <c r="L416" s="10">
        <v>20</v>
      </c>
      <c r="M416" s="6" t="s">
        <v>436</v>
      </c>
      <c r="N416" s="6">
        <f>IF(OR($G416="FCC",$G416="Hydrocracker",$G416="Reformer"),IF(COUNTIFS($D:$D,$D416,$A:$A,$A416,$B:$B,$B416,$G:$G,"CDU",$J:$J,"PLANNED")&gt;0,"tied","standalone"),"")</f>
        <v/>
      </c>
    </row>
    <row r="417" spans="1:14">
      <c r="A417" s="6">
        <v>2023</v>
      </c>
      <c r="B417" s="6">
        <v>2</v>
      </c>
      <c r="C417" s="6" t="s">
        <v>61</v>
      </c>
      <c r="D417" s="6" t="s">
        <v>546</v>
      </c>
      <c r="E417" s="6" t="s">
        <v>438</v>
      </c>
      <c r="F417" s="6" t="str">
        <f>IF($M417="PADD I","PADD 1",IF($M417="PADD II","PADD 2",IF($M417="PADD III","PADD 3",IF($M417="PADD IV","PADD 4",IF($M417="PADD V","PADD 5","")))))</f>
        <v>PADD 2</v>
      </c>
      <c r="G417" s="6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6" t="s">
        <v>39</v>
      </c>
      <c r="I417" s="6" t="s">
        <v>82</v>
      </c>
      <c r="J417" s="6" t="s">
        <v>398</v>
      </c>
      <c r="K417" s="10">
        <v>20</v>
      </c>
      <c r="L417" s="10">
        <v>20</v>
      </c>
      <c r="M417" s="6" t="s">
        <v>425</v>
      </c>
      <c r="N417" s="6">
        <f>IF(OR($G417="FCC",$G417="Hydrocracker",$G417="Reformer"),IF(COUNTIFS($D:$D,$D417,$A:$A,$A417,$B:$B,$B417,$G:$G,"CDU",$J:$J,"PLANNED")&gt;0,"tied","standalone"),"")</f>
        <v/>
      </c>
    </row>
    <row r="418" spans="1:14">
      <c r="A418" s="6">
        <v>2023</v>
      </c>
      <c r="B418" s="6">
        <v>2</v>
      </c>
      <c r="C418" s="6" t="s">
        <v>61</v>
      </c>
      <c r="D418" s="6" t="s">
        <v>452</v>
      </c>
      <c r="E418" s="6" t="s">
        <v>453</v>
      </c>
      <c r="F418" s="6" t="str">
        <f>IF($M418="PADD I","PADD 1",IF($M418="PADD II","PADD 2",IF($M418="PADD III","PADD 3",IF($M418="PADD IV","PADD 4",IF($M418="PADD V","PADD 5","")))))</f>
        <v>PADD 3</v>
      </c>
      <c r="G418" s="6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6" t="s">
        <v>428</v>
      </c>
      <c r="I418" s="6" t="s">
        <v>563</v>
      </c>
      <c r="J418" s="6" t="s">
        <v>398</v>
      </c>
      <c r="K418" s="10">
        <v>20</v>
      </c>
      <c r="L418" s="10">
        <v>20</v>
      </c>
      <c r="M418" s="6" t="s">
        <v>421</v>
      </c>
      <c r="N418" s="6">
        <f>IF(OR($G418="FCC",$G418="Hydrocracker",$G418="Reformer"),IF(COUNTIFS($D:$D,$D418,$A:$A,$A418,$B:$B,$B418,$G:$G,"CDU",$J:$J,"PLANNED")&gt;0,"tied","standalone"),"")</f>
        <v/>
      </c>
    </row>
    <row r="419" spans="1:14">
      <c r="A419" s="6">
        <v>2023</v>
      </c>
      <c r="B419" s="6">
        <v>2</v>
      </c>
      <c r="C419" s="6" t="s">
        <v>61</v>
      </c>
      <c r="D419" s="6" t="s">
        <v>430</v>
      </c>
      <c r="E419" s="6" t="s">
        <v>431</v>
      </c>
      <c r="F419" s="6" t="str">
        <f>IF($M419="PADD I","PADD 1",IF($M419="PADD II","PADD 2",IF($M419="PADD III","PADD 3",IF($M419="PADD IV","PADD 4",IF($M419="PADD V","PADD 5","")))))</f>
        <v>PADD 3</v>
      </c>
      <c r="G419" s="6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6" t="s">
        <v>426</v>
      </c>
      <c r="I419" s="6" t="s">
        <v>702</v>
      </c>
      <c r="J419" s="6" t="s">
        <v>394</v>
      </c>
      <c r="K419" s="10">
        <v>19.8</v>
      </c>
      <c r="L419" s="10">
        <v>110</v>
      </c>
      <c r="M419" s="6" t="s">
        <v>421</v>
      </c>
      <c r="N419" s="6" t="str">
        <f>IF(OR($G419="FCC",$G419="Hydrocracker",$G419="Reformer"),IF(COUNTIFS($D:$D,$D419,$A:$A,$A419,$B:$B,$B419,$G:$G,"CDU",$J:$J,"PLANNED")&gt;0,"tied","standalone"),"")</f>
        <v>tied</v>
      </c>
    </row>
    <row r="420" spans="1:14">
      <c r="A420" s="6">
        <v>2023</v>
      </c>
      <c r="B420" s="6">
        <v>2</v>
      </c>
      <c r="C420" s="6" t="s">
        <v>61</v>
      </c>
      <c r="D420" s="6" t="s">
        <v>581</v>
      </c>
      <c r="E420" s="6" t="s">
        <v>582</v>
      </c>
      <c r="F420" s="6" t="str">
        <f>IF($M420="PADD I","PADD 1",IF($M420="PADD II","PADD 2",IF($M420="PADD III","PADD 3",IF($M420="PADD IV","PADD 4",IF($M420="PADD V","PADD 5","")))))</f>
        <v>PADD 5</v>
      </c>
      <c r="G420" s="6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6" t="s">
        <v>426</v>
      </c>
      <c r="I420" s="6" t="s">
        <v>106</v>
      </c>
      <c r="J420" s="6" t="s">
        <v>394</v>
      </c>
      <c r="K420" s="10">
        <v>19.5</v>
      </c>
      <c r="L420" s="10">
        <v>50</v>
      </c>
      <c r="M420" s="6" t="s">
        <v>436</v>
      </c>
      <c r="N420" s="6" t="str">
        <f>IF(OR($G420="FCC",$G420="Hydrocracker",$G420="Reformer"),IF(COUNTIFS($D:$D,$D420,$A:$A,$A420,$B:$B,$B420,$G:$G,"CDU",$J:$J,"PLANNED")&gt;0,"tied","standalone"),"")</f>
        <v>standalone</v>
      </c>
    </row>
    <row r="421" spans="1:14">
      <c r="A421" s="6">
        <v>2023</v>
      </c>
      <c r="B421" s="6">
        <v>2</v>
      </c>
      <c r="C421" s="6" t="s">
        <v>61</v>
      </c>
      <c r="D421" s="6" t="s">
        <v>581</v>
      </c>
      <c r="E421" s="6" t="s">
        <v>582</v>
      </c>
      <c r="F421" s="6" t="str">
        <f>IF($M421="PADD I","PADD 1",IF($M421="PADD II","PADD 2",IF($M421="PADD III","PADD 3",IF($M421="PADD IV","PADD 4",IF($M421="PADD V","PADD 5","")))))</f>
        <v>PADD 5</v>
      </c>
      <c r="G421" s="6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6" t="s">
        <v>428</v>
      </c>
      <c r="I421" s="6" t="s">
        <v>429</v>
      </c>
      <c r="J421" s="6" t="s">
        <v>394</v>
      </c>
      <c r="K421" s="10">
        <v>19.11</v>
      </c>
      <c r="L421" s="10">
        <v>49</v>
      </c>
      <c r="M421" s="6" t="s">
        <v>436</v>
      </c>
      <c r="N421" s="6">
        <f>IF(OR($G421="FCC",$G421="Hydrocracker",$G421="Reformer"),IF(COUNTIFS($D:$D,$D421,$A:$A,$A421,$B:$B,$B421,$G:$G,"CDU",$J:$J,"PLANNED")&gt;0,"tied","standalone"),"")</f>
        <v/>
      </c>
    </row>
    <row r="422" spans="1:14">
      <c r="A422" s="6">
        <v>2023</v>
      </c>
      <c r="B422" s="6">
        <v>2</v>
      </c>
      <c r="C422" s="6" t="s">
        <v>61</v>
      </c>
      <c r="D422" s="6" t="s">
        <v>422</v>
      </c>
      <c r="E422" s="6" t="s">
        <v>423</v>
      </c>
      <c r="F422" s="6" t="str">
        <f>IF($M422="PADD I","PADD 1",IF($M422="PADD II","PADD 2",IF($M422="PADD III","PADD 3",IF($M422="PADD IV","PADD 4",IF($M422="PADD V","PADD 5","")))))</f>
        <v>PADD 2</v>
      </c>
      <c r="G422" s="6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6" t="s">
        <v>510</v>
      </c>
      <c r="I422" s="6" t="s">
        <v>555</v>
      </c>
      <c r="J422" s="6" t="s">
        <v>394</v>
      </c>
      <c r="K422" s="10">
        <v>18</v>
      </c>
      <c r="L422" s="10">
        <v>18</v>
      </c>
      <c r="M422" s="6" t="s">
        <v>425</v>
      </c>
      <c r="N422" s="6">
        <f>IF(OR($G422="FCC",$G422="Hydrocracker",$G422="Reformer"),IF(COUNTIFS($D:$D,$D422,$A:$A,$A422,$B:$B,$B422,$G:$G,"CDU",$J:$J,"PLANNED")&gt;0,"tied","standalone"),"")</f>
        <v/>
      </c>
    </row>
    <row r="423" spans="1:14">
      <c r="A423" s="6">
        <v>2023</v>
      </c>
      <c r="B423" s="6">
        <v>2</v>
      </c>
      <c r="C423" s="6" t="s">
        <v>61</v>
      </c>
      <c r="D423" s="6" t="s">
        <v>568</v>
      </c>
      <c r="E423" s="6" t="s">
        <v>419</v>
      </c>
      <c r="F423" s="6" t="str">
        <f>IF($M423="PADD I","PADD 1",IF($M423="PADD II","PADD 2",IF($M423="PADD III","PADD 3",IF($M423="PADD IV","PADD 4",IF($M423="PADD V","PADD 5","")))))</f>
        <v>PADD 5</v>
      </c>
      <c r="G423" s="6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6" t="s">
        <v>471</v>
      </c>
      <c r="I423" s="6" t="s">
        <v>641</v>
      </c>
      <c r="J423" s="6" t="s">
        <v>394</v>
      </c>
      <c r="K423" s="10">
        <v>18</v>
      </c>
      <c r="L423" s="10">
        <v>18</v>
      </c>
      <c r="M423" s="6" t="s">
        <v>436</v>
      </c>
      <c r="N423" s="6" t="str">
        <f>IF(OR($G423="FCC",$G423="Hydrocracker",$G423="Reformer"),IF(COUNTIFS($D:$D,$D423,$A:$A,$A423,$B:$B,$B423,$G:$G,"CDU",$J:$J,"PLANNED")&gt;0,"tied","standalone"),"")</f>
        <v>standalone</v>
      </c>
    </row>
    <row r="424" spans="1:14">
      <c r="A424" s="6">
        <v>2023</v>
      </c>
      <c r="B424" s="6">
        <v>2</v>
      </c>
      <c r="C424" s="6" t="s">
        <v>61</v>
      </c>
      <c r="D424" s="6" t="s">
        <v>622</v>
      </c>
      <c r="E424" s="6" t="s">
        <v>623</v>
      </c>
      <c r="F424" s="6" t="str">
        <f>IF($M424="PADD I","PADD 1",IF($M424="PADD II","PADD 2",IF($M424="PADD III","PADD 3",IF($M424="PADD IV","PADD 4",IF($M424="PADD V","PADD 5","")))))</f>
        <v>PADD 3</v>
      </c>
      <c r="G424" s="6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6" t="s">
        <v>39</v>
      </c>
      <c r="I424" s="6" t="s">
        <v>624</v>
      </c>
      <c r="J424" s="6" t="s">
        <v>394</v>
      </c>
      <c r="K424" s="10">
        <v>18</v>
      </c>
      <c r="L424" s="10">
        <v>50</v>
      </c>
      <c r="M424" s="6" t="s">
        <v>421</v>
      </c>
      <c r="N424" s="6">
        <f>IF(OR($G424="FCC",$G424="Hydrocracker",$G424="Reformer"),IF(COUNTIFS($D:$D,$D424,$A:$A,$A424,$B:$B,$B424,$G:$G,"CDU",$J:$J,"PLANNED")&gt;0,"tied","standalone"),"")</f>
        <v/>
      </c>
    </row>
    <row r="425" spans="1:14">
      <c r="A425" s="6">
        <v>2023</v>
      </c>
      <c r="B425" s="6">
        <v>2</v>
      </c>
      <c r="C425" s="6" t="s">
        <v>61</v>
      </c>
      <c r="D425" s="6" t="s">
        <v>452</v>
      </c>
      <c r="E425" s="6" t="s">
        <v>453</v>
      </c>
      <c r="F425" s="6" t="str">
        <f>IF($M425="PADD I","PADD 1",IF($M425="PADD II","PADD 2",IF($M425="PADD III","PADD 3",IF($M425="PADD IV","PADD 4",IF($M425="PADD V","PADD 5","")))))</f>
        <v>PADD 3</v>
      </c>
      <c r="G425" s="6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6" t="s">
        <v>471</v>
      </c>
      <c r="I425" s="6" t="s">
        <v>575</v>
      </c>
      <c r="J425" s="6" t="s">
        <v>398</v>
      </c>
      <c r="K425" s="10">
        <v>17.5</v>
      </c>
      <c r="L425" s="10">
        <v>17.5</v>
      </c>
      <c r="M425" s="6" t="s">
        <v>421</v>
      </c>
      <c r="N425" s="6" t="str">
        <f>IF(OR($G425="FCC",$G425="Hydrocracker",$G425="Reformer"),IF(COUNTIFS($D:$D,$D425,$A:$A,$A425,$B:$B,$B425,$G:$G,"CDU",$J:$J,"PLANNED")&gt;0,"tied","standalone"),"")</f>
        <v>tied</v>
      </c>
    </row>
    <row r="426" spans="1:14">
      <c r="A426" s="6">
        <v>2023</v>
      </c>
      <c r="B426" s="6">
        <v>2</v>
      </c>
      <c r="C426" s="6" t="s">
        <v>61</v>
      </c>
      <c r="D426" s="6" t="s">
        <v>445</v>
      </c>
      <c r="E426" s="6" t="s">
        <v>446</v>
      </c>
      <c r="F426" s="6" t="str">
        <f>IF($M426="PADD I","PADD 1",IF($M426="PADD II","PADD 2",IF($M426="PADD III","PADD 3",IF($M426="PADD IV","PADD 4",IF($M426="PADD V","PADD 5","")))))</f>
        <v>PADD 3</v>
      </c>
      <c r="G426" s="6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6" t="s">
        <v>428</v>
      </c>
      <c r="I426" s="6" t="s">
        <v>625</v>
      </c>
      <c r="J426" s="6" t="s">
        <v>394</v>
      </c>
      <c r="K426" s="10">
        <v>17.5</v>
      </c>
      <c r="L426" s="10">
        <v>35</v>
      </c>
      <c r="M426" s="6" t="s">
        <v>421</v>
      </c>
      <c r="N426" s="6">
        <f>IF(OR($G426="FCC",$G426="Hydrocracker",$G426="Reformer"),IF(COUNTIFS($D:$D,$D426,$A:$A,$A426,$B:$B,$B426,$G:$G,"CDU",$J:$J,"PLANNED")&gt;0,"tied","standalone"),"")</f>
        <v/>
      </c>
    </row>
    <row r="427" spans="1:14">
      <c r="A427" s="6">
        <v>2023</v>
      </c>
      <c r="B427" s="6">
        <v>2</v>
      </c>
      <c r="C427" s="6" t="s">
        <v>61</v>
      </c>
      <c r="D427" s="6" t="s">
        <v>395</v>
      </c>
      <c r="E427" s="6" t="s">
        <v>433</v>
      </c>
      <c r="F427" s="6" t="str">
        <f>IF($M427="PADD I","PADD 1",IF($M427="PADD II","PADD 2",IF($M427="PADD III","PADD 3",IF($M427="PADD IV","PADD 4",IF($M427="PADD V","PADD 5","")))))</f>
        <v>PADD 2</v>
      </c>
      <c r="G427" s="6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6" t="s">
        <v>471</v>
      </c>
      <c r="I427" s="6" t="s">
        <v>566</v>
      </c>
      <c r="J427" s="6" t="s">
        <v>398</v>
      </c>
      <c r="K427" s="10">
        <v>15</v>
      </c>
      <c r="L427" s="10">
        <v>15</v>
      </c>
      <c r="M427" s="6" t="s">
        <v>425</v>
      </c>
      <c r="N427" s="6" t="str">
        <f>IF(OR($G427="FCC",$G427="Hydrocracker",$G427="Reformer"),IF(COUNTIFS($D:$D,$D427,$A:$A,$A427,$B:$B,$B427,$G:$G,"CDU",$J:$J,"PLANNED")&gt;0,"tied","standalone"),"")</f>
        <v>tied</v>
      </c>
    </row>
    <row r="428" spans="1:14">
      <c r="A428" s="6">
        <v>2023</v>
      </c>
      <c r="B428" s="6">
        <v>2</v>
      </c>
      <c r="C428" s="6" t="s">
        <v>61</v>
      </c>
      <c r="D428" s="6" t="s">
        <v>375</v>
      </c>
      <c r="E428" s="6" t="s">
        <v>435</v>
      </c>
      <c r="F428" s="6" t="str">
        <f>IF($M428="PADD I","PADD 1",IF($M428="PADD II","PADD 2",IF($M428="PADD III","PADD 3",IF($M428="PADD IV","PADD 4",IF($M428="PADD V","PADD 5","")))))</f>
        <v>PADD 5</v>
      </c>
      <c r="G428" s="6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6" t="s">
        <v>471</v>
      </c>
      <c r="I428" s="6" t="s">
        <v>15</v>
      </c>
      <c r="J428" s="6" t="s">
        <v>398</v>
      </c>
      <c r="K428" s="10">
        <v>14.75</v>
      </c>
      <c r="L428" s="10">
        <v>14.75</v>
      </c>
      <c r="M428" s="6" t="s">
        <v>436</v>
      </c>
      <c r="N428" s="6" t="str">
        <f>IF(OR($G428="FCC",$G428="Hydrocracker",$G428="Reformer"),IF(COUNTIFS($D:$D,$D428,$A:$A,$A428,$B:$B,$B428,$G:$G,"CDU",$J:$J,"PLANNED")&gt;0,"tied","standalone"),"")</f>
        <v>tied</v>
      </c>
    </row>
    <row r="429" spans="1:14">
      <c r="A429" s="6">
        <v>2023</v>
      </c>
      <c r="B429" s="6">
        <v>2</v>
      </c>
      <c r="C429" s="6" t="s">
        <v>61</v>
      </c>
      <c r="D429" s="6" t="s">
        <v>437</v>
      </c>
      <c r="E429" s="6" t="s">
        <v>438</v>
      </c>
      <c r="F429" s="6" t="str">
        <f>IF($M429="PADD I","PADD 1",IF($M429="PADD II","PADD 2",IF($M429="PADD III","PADD 3",IF($M429="PADD IV","PADD 4",IF($M429="PADD V","PADD 5","")))))</f>
        <v>PADD 3</v>
      </c>
      <c r="G429" s="6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6" t="s">
        <v>485</v>
      </c>
      <c r="I429" s="6" t="s">
        <v>645</v>
      </c>
      <c r="J429" s="6" t="s">
        <v>398</v>
      </c>
      <c r="K429" s="10">
        <v>13.5</v>
      </c>
      <c r="L429" s="10">
        <v>13.5</v>
      </c>
      <c r="M429" s="6" t="s">
        <v>421</v>
      </c>
      <c r="N429" s="6">
        <f>IF(OR($G429="FCC",$G429="Hydrocracker",$G429="Reformer"),IF(COUNTIFS($D:$D,$D429,$A:$A,$A429,$B:$B,$B429,$G:$G,"CDU",$J:$J,"PLANNED")&gt;0,"tied","standalone"),"")</f>
        <v/>
      </c>
    </row>
    <row r="430" spans="1:14">
      <c r="A430" s="6">
        <v>2023</v>
      </c>
      <c r="B430" s="6">
        <v>2</v>
      </c>
      <c r="C430" s="6" t="s">
        <v>61</v>
      </c>
      <c r="D430" s="6" t="s">
        <v>470</v>
      </c>
      <c r="E430" s="6" t="s">
        <v>423</v>
      </c>
      <c r="F430" s="6" t="str">
        <f>IF($M430="PADD I","PADD 1",IF($M430="PADD II","PADD 2",IF($M430="PADD III","PADD 3",IF($M430="PADD IV","PADD 4",IF($M430="PADD V","PADD 5","")))))</f>
        <v>PADD 2</v>
      </c>
      <c r="G430" s="6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6" t="s">
        <v>573</v>
      </c>
      <c r="I430" s="6" t="s">
        <v>574</v>
      </c>
      <c r="J430" s="6" t="s">
        <v>394</v>
      </c>
      <c r="K430" s="10">
        <v>13.5</v>
      </c>
      <c r="L430" s="10">
        <v>13.5</v>
      </c>
      <c r="M430" s="6" t="s">
        <v>425</v>
      </c>
      <c r="N430" s="6">
        <f>IF(OR($G430="FCC",$G430="Hydrocracker",$G430="Reformer"),IF(COUNTIFS($D:$D,$D430,$A:$A,$A430,$B:$B,$B430,$G:$G,"CDU",$J:$J,"PLANNED")&gt;0,"tied","standalone"),"")</f>
        <v/>
      </c>
    </row>
    <row r="431" spans="1:14">
      <c r="A431" s="6">
        <v>2023</v>
      </c>
      <c r="B431" s="6">
        <v>2</v>
      </c>
      <c r="C431" s="6" t="s">
        <v>61</v>
      </c>
      <c r="D431" s="6" t="s">
        <v>465</v>
      </c>
      <c r="E431" s="6" t="s">
        <v>466</v>
      </c>
      <c r="F431" s="6" t="str">
        <f>IF($M431="PADD I","PADD 1",IF($M431="PADD II","PADD 2",IF($M431="PADD III","PADD 3",IF($M431="PADD IV","PADD 4",IF($M431="PADD V","PADD 5","")))))</f>
        <v>PADD 3</v>
      </c>
      <c r="G431" s="6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6" t="s">
        <v>44</v>
      </c>
      <c r="I431" s="6" t="s">
        <v>703</v>
      </c>
      <c r="J431" s="6" t="s">
        <v>398</v>
      </c>
      <c r="K431" s="10">
        <v>13</v>
      </c>
      <c r="L431" s="10">
        <v>13</v>
      </c>
      <c r="M431" s="6" t="s">
        <v>421</v>
      </c>
      <c r="N431" s="6">
        <f>IF(OR($G431="FCC",$G431="Hydrocracker",$G431="Reformer"),IF(COUNTIFS($D:$D,$D431,$A:$A,$A431,$B:$B,$B431,$G:$G,"CDU",$J:$J,"PLANNED")&gt;0,"tied","standalone"),"")</f>
        <v/>
      </c>
    </row>
    <row r="432" spans="1:14">
      <c r="A432" s="6">
        <v>2023</v>
      </c>
      <c r="B432" s="6">
        <v>2</v>
      </c>
      <c r="C432" s="6" t="s">
        <v>61</v>
      </c>
      <c r="D432" s="6" t="s">
        <v>470</v>
      </c>
      <c r="E432" s="6" t="s">
        <v>423</v>
      </c>
      <c r="F432" s="6" t="str">
        <f>IF($M432="PADD I","PADD 1",IF($M432="PADD II","PADD 2",IF($M432="PADD III","PADD 3",IF($M432="PADD IV","PADD 4",IF($M432="PADD V","PADD 5","")))))</f>
        <v>PADD 2</v>
      </c>
      <c r="G432" s="6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6" t="s">
        <v>426</v>
      </c>
      <c r="I432" s="6" t="s">
        <v>106</v>
      </c>
      <c r="J432" s="6" t="s">
        <v>394</v>
      </c>
      <c r="K432" s="10">
        <v>13</v>
      </c>
      <c r="L432" s="10">
        <v>13</v>
      </c>
      <c r="M432" s="6" t="s">
        <v>425</v>
      </c>
      <c r="N432" s="6" t="str">
        <f>IF(OR($G432="FCC",$G432="Hydrocracker",$G432="Reformer"),IF(COUNTIFS($D:$D,$D432,$A:$A,$A432,$B:$B,$B432,$G:$G,"CDU",$J:$J,"PLANNED")&gt;0,"tied","standalone"),"")</f>
        <v>standalone</v>
      </c>
    </row>
    <row r="433" spans="1:14">
      <c r="A433" s="6">
        <v>2023</v>
      </c>
      <c r="B433" s="6">
        <v>2</v>
      </c>
      <c r="C433" s="6" t="s">
        <v>61</v>
      </c>
      <c r="D433" s="6" t="s">
        <v>652</v>
      </c>
      <c r="E433" s="6" t="s">
        <v>419</v>
      </c>
      <c r="F433" s="6" t="str">
        <f>IF($M433="PADD I","PADD 1",IF($M433="PADD II","PADD 2",IF($M433="PADD III","PADD 3",IF($M433="PADD IV","PADD 4",IF($M433="PADD V","PADD 5","")))))</f>
        <v>PADD 2</v>
      </c>
      <c r="G433" s="6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6" t="s">
        <v>426</v>
      </c>
      <c r="I433" s="6" t="s">
        <v>704</v>
      </c>
      <c r="J433" s="6" t="s">
        <v>394</v>
      </c>
      <c r="K433" s="10">
        <v>13</v>
      </c>
      <c r="L433" s="10">
        <v>26</v>
      </c>
      <c r="M433" s="6" t="s">
        <v>425</v>
      </c>
      <c r="N433" s="6" t="str">
        <f>IF(OR($G433="FCC",$G433="Hydrocracker",$G433="Reformer"),IF(COUNTIFS($D:$D,$D433,$A:$A,$A433,$B:$B,$B433,$G:$G,"CDU",$J:$J,"PLANNED")&gt;0,"tied","standalone"),"")</f>
        <v>standalone</v>
      </c>
    </row>
    <row r="434" spans="1:14">
      <c r="A434" s="6">
        <v>2023</v>
      </c>
      <c r="B434" s="6">
        <v>2</v>
      </c>
      <c r="C434" s="6" t="s">
        <v>61</v>
      </c>
      <c r="D434" s="6" t="s">
        <v>561</v>
      </c>
      <c r="E434" s="6" t="s">
        <v>455</v>
      </c>
      <c r="F434" s="6" t="str">
        <f>IF($M434="PADD I","PADD 1",IF($M434="PADD II","PADD 2",IF($M434="PADD III","PADD 3",IF($M434="PADD IV","PADD 4",IF($M434="PADD V","PADD 5","")))))</f>
        <v>PADD 3</v>
      </c>
      <c r="G434" s="6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6" t="s">
        <v>44</v>
      </c>
      <c r="I434" s="6" t="s">
        <v>705</v>
      </c>
      <c r="J434" s="6" t="s">
        <v>394</v>
      </c>
      <c r="K434" s="10">
        <v>12.46</v>
      </c>
      <c r="L434" s="10">
        <v>14</v>
      </c>
      <c r="M434" s="6" t="s">
        <v>421</v>
      </c>
      <c r="N434" s="6">
        <f>IF(OR($G434="FCC",$G434="Hydrocracker",$G434="Reformer"),IF(COUNTIFS($D:$D,$D434,$A:$A,$A434,$B:$B,$B434,$G:$G,"CDU",$J:$J,"PLANNED")&gt;0,"tied","standalone"),"")</f>
        <v/>
      </c>
    </row>
    <row r="435" spans="1:14">
      <c r="A435" s="6">
        <v>2023</v>
      </c>
      <c r="B435" s="6">
        <v>2</v>
      </c>
      <c r="C435" s="6" t="s">
        <v>61</v>
      </c>
      <c r="D435" s="6" t="s">
        <v>512</v>
      </c>
      <c r="E435" s="6" t="s">
        <v>488</v>
      </c>
      <c r="F435" s="6" t="str">
        <f>IF($M435="PADD I","PADD 1",IF($M435="PADD II","PADD 2",IF($M435="PADD III","PADD 3",IF($M435="PADD IV","PADD 4",IF($M435="PADD V","PADD 5","")))))</f>
        <v>PADD 4</v>
      </c>
      <c r="G435" s="6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6" t="s">
        <v>44</v>
      </c>
      <c r="I435" s="6" t="s">
        <v>585</v>
      </c>
      <c r="J435" s="6" t="s">
        <v>394</v>
      </c>
      <c r="K435" s="10">
        <v>12</v>
      </c>
      <c r="L435" s="10">
        <v>12</v>
      </c>
      <c r="M435" s="6" t="s">
        <v>480</v>
      </c>
      <c r="N435" s="6">
        <f>IF(OR($G435="FCC",$G435="Hydrocracker",$G435="Reformer"),IF(COUNTIFS($D:$D,$D435,$A:$A,$A435,$B:$B,$B435,$G:$G,"CDU",$J:$J,"PLANNED")&gt;0,"tied","standalone"),"")</f>
        <v/>
      </c>
    </row>
    <row r="436" spans="1:14">
      <c r="A436" s="6">
        <v>2023</v>
      </c>
      <c r="B436" s="6">
        <v>2</v>
      </c>
      <c r="C436" s="6" t="s">
        <v>61</v>
      </c>
      <c r="D436" s="6" t="s">
        <v>546</v>
      </c>
      <c r="E436" s="6" t="s">
        <v>438</v>
      </c>
      <c r="F436" s="6" t="str">
        <f>IF($M436="PADD I","PADD 1",IF($M436="PADD II","PADD 2",IF($M436="PADD III","PADD 3",IF($M436="PADD IV","PADD 4",IF($M436="PADD V","PADD 5","")))))</f>
        <v>PADD 2</v>
      </c>
      <c r="G436" s="6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6" t="s">
        <v>428</v>
      </c>
      <c r="I436" s="6" t="s">
        <v>586</v>
      </c>
      <c r="J436" s="6" t="s">
        <v>398</v>
      </c>
      <c r="K436" s="10">
        <v>12</v>
      </c>
      <c r="L436" s="10">
        <v>12</v>
      </c>
      <c r="M436" s="6" t="s">
        <v>425</v>
      </c>
      <c r="N436" s="6">
        <f>IF(OR($G436="FCC",$G436="Hydrocracker",$G436="Reformer"),IF(COUNTIFS($D:$D,$D436,$A:$A,$A436,$B:$B,$B436,$G:$G,"CDU",$J:$J,"PLANNED")&gt;0,"tied","standalone"),"")</f>
        <v/>
      </c>
    </row>
    <row r="437" spans="1:14">
      <c r="A437" s="6">
        <v>2023</v>
      </c>
      <c r="B437" s="6">
        <v>2</v>
      </c>
      <c r="C437" s="6" t="s">
        <v>61</v>
      </c>
      <c r="D437" s="6" t="s">
        <v>445</v>
      </c>
      <c r="E437" s="6" t="s">
        <v>446</v>
      </c>
      <c r="F437" s="6" t="str">
        <f>IF($M437="PADD I","PADD 1",IF($M437="PADD II","PADD 2",IF($M437="PADD III","PADD 3",IF($M437="PADD IV","PADD 4",IF($M437="PADD V","PADD 5","")))))</f>
        <v>PADD 3</v>
      </c>
      <c r="G437" s="6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6" t="s">
        <v>44</v>
      </c>
      <c r="I437" s="6" t="s">
        <v>600</v>
      </c>
      <c r="J437" s="6" t="s">
        <v>394</v>
      </c>
      <c r="K437" s="10">
        <v>11.919</v>
      </c>
      <c r="L437" s="10">
        <v>41.1</v>
      </c>
      <c r="M437" s="6" t="s">
        <v>421</v>
      </c>
      <c r="N437" s="6">
        <f>IF(OR($G437="FCC",$G437="Hydrocracker",$G437="Reformer"),IF(COUNTIFS($D:$D,$D437,$A:$A,$A437,$B:$B,$B437,$G:$G,"CDU",$J:$J,"PLANNED")&gt;0,"tied","standalone"),"")</f>
        <v/>
      </c>
    </row>
    <row r="438" spans="1:14">
      <c r="A438" s="6">
        <v>2023</v>
      </c>
      <c r="B438" s="6">
        <v>2</v>
      </c>
      <c r="C438" s="6" t="s">
        <v>61</v>
      </c>
      <c r="D438" s="6" t="s">
        <v>626</v>
      </c>
      <c r="E438" s="6" t="s">
        <v>419</v>
      </c>
      <c r="F438" s="6" t="str">
        <f>IF($M438="PADD I","PADD 1",IF($M438="PADD II","PADD 2",IF($M438="PADD III","PADD 3",IF($M438="PADD IV","PADD 4",IF($M438="PADD V","PADD 5","")))))</f>
        <v>PADD 3</v>
      </c>
      <c r="G438" s="6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6" t="s">
        <v>44</v>
      </c>
      <c r="I438" s="6" t="s">
        <v>706</v>
      </c>
      <c r="J438" s="6" t="s">
        <v>398</v>
      </c>
      <c r="K438" s="10">
        <v>11.57</v>
      </c>
      <c r="L438" s="10">
        <v>13</v>
      </c>
      <c r="M438" s="6" t="s">
        <v>421</v>
      </c>
      <c r="N438" s="6">
        <f>IF(OR($G438="FCC",$G438="Hydrocracker",$G438="Reformer"),IF(COUNTIFS($D:$D,$D438,$A:$A,$A438,$B:$B,$B438,$G:$G,"CDU",$J:$J,"PLANNED")&gt;0,"tied","standalone"),"")</f>
        <v/>
      </c>
    </row>
    <row r="439" spans="1:14">
      <c r="A439" s="6">
        <v>2023</v>
      </c>
      <c r="B439" s="6">
        <v>2</v>
      </c>
      <c r="C439" s="6" t="s">
        <v>61</v>
      </c>
      <c r="D439" s="6" t="s">
        <v>626</v>
      </c>
      <c r="E439" s="6" t="s">
        <v>419</v>
      </c>
      <c r="F439" s="6" t="str">
        <f>IF($M439="PADD I","PADD 1",IF($M439="PADD II","PADD 2",IF($M439="PADD III","PADD 3",IF($M439="PADD IV","PADD 4",IF($M439="PADD V","PADD 5","")))))</f>
        <v>PADD 3</v>
      </c>
      <c r="G439" s="6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6" t="s">
        <v>618</v>
      </c>
      <c r="I439" s="6" t="s">
        <v>654</v>
      </c>
      <c r="J439" s="6" t="s">
        <v>394</v>
      </c>
      <c r="K439" s="10">
        <v>11.5</v>
      </c>
      <c r="L439" s="10">
        <v>25</v>
      </c>
      <c r="M439" s="6" t="s">
        <v>421</v>
      </c>
      <c r="N439" s="6">
        <f>IF(OR($G439="FCC",$G439="Hydrocracker",$G439="Reformer"),IF(COUNTIFS($D:$D,$D439,$A:$A,$A439,$B:$B,$B439,$G:$G,"CDU",$J:$J,"PLANNED")&gt;0,"tied","standalone"),"")</f>
        <v/>
      </c>
    </row>
    <row r="440" spans="1:14">
      <c r="A440" s="6">
        <v>2023</v>
      </c>
      <c r="B440" s="6">
        <v>2</v>
      </c>
      <c r="C440" s="6" t="s">
        <v>61</v>
      </c>
      <c r="D440" s="6" t="s">
        <v>479</v>
      </c>
      <c r="E440" s="6" t="s">
        <v>438</v>
      </c>
      <c r="F440" s="6" t="str">
        <f>IF($M440="PADD I","PADD 1",IF($M440="PADD II","PADD 2",IF($M440="PADD III","PADD 3",IF($M440="PADD IV","PADD 4",IF($M440="PADD V","PADD 5","")))))</f>
        <v>PADD 4</v>
      </c>
      <c r="G440" s="6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6" t="s">
        <v>426</v>
      </c>
      <c r="I440" s="6" t="s">
        <v>106</v>
      </c>
      <c r="J440" s="6" t="s">
        <v>398</v>
      </c>
      <c r="K440" s="10">
        <v>11.352</v>
      </c>
      <c r="L440" s="10">
        <v>26.4</v>
      </c>
      <c r="M440" s="6" t="s">
        <v>480</v>
      </c>
      <c r="N440" s="6" t="str">
        <f>IF(OR($G440="FCC",$G440="Hydrocracker",$G440="Reformer"),IF(COUNTIFS($D:$D,$D440,$A:$A,$A440,$B:$B,$B440,$G:$G,"CDU",$J:$J,"PLANNED")&gt;0,"tied","standalone"),"")</f>
        <v>standalone</v>
      </c>
    </row>
    <row r="441" spans="1:14">
      <c r="A441" s="6">
        <v>2023</v>
      </c>
      <c r="B441" s="6">
        <v>2</v>
      </c>
      <c r="C441" s="6" t="s">
        <v>61</v>
      </c>
      <c r="D441" s="6" t="s">
        <v>470</v>
      </c>
      <c r="E441" s="6" t="s">
        <v>423</v>
      </c>
      <c r="F441" s="6" t="str">
        <f>IF($M441="PADD I","PADD 1",IF($M441="PADD II","PADD 2",IF($M441="PADD III","PADD 3",IF($M441="PADD IV","PADD 4",IF($M441="PADD V","PADD 5","")))))</f>
        <v>PADD 2</v>
      </c>
      <c r="G441" s="6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6" t="s">
        <v>39</v>
      </c>
      <c r="I441" s="6" t="s">
        <v>82</v>
      </c>
      <c r="J441" s="6" t="s">
        <v>394</v>
      </c>
      <c r="K441" s="10">
        <v>11.27</v>
      </c>
      <c r="L441" s="10">
        <v>24.5</v>
      </c>
      <c r="M441" s="6" t="s">
        <v>425</v>
      </c>
      <c r="N441" s="6">
        <f>IF(OR($G441="FCC",$G441="Hydrocracker",$G441="Reformer"),IF(COUNTIFS($D:$D,$D441,$A:$A,$A441,$B:$B,$B441,$G:$G,"CDU",$J:$J,"PLANNED")&gt;0,"tied","standalone"),"")</f>
        <v/>
      </c>
    </row>
    <row r="442" spans="1:14">
      <c r="A442" s="6">
        <v>2023</v>
      </c>
      <c r="B442" s="6">
        <v>2</v>
      </c>
      <c r="C442" s="6" t="s">
        <v>61</v>
      </c>
      <c r="D442" s="6" t="s">
        <v>445</v>
      </c>
      <c r="E442" s="6" t="s">
        <v>446</v>
      </c>
      <c r="F442" s="6" t="str">
        <f>IF($M442="PADD I","PADD 1",IF($M442="PADD II","PADD 2",IF($M442="PADD III","PADD 3",IF($M442="PADD IV","PADD 4",IF($M442="PADD V","PADD 5","")))))</f>
        <v>PADD 3</v>
      </c>
      <c r="G442" s="6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6" t="s">
        <v>471</v>
      </c>
      <c r="I442" s="6" t="s">
        <v>590</v>
      </c>
      <c r="J442" s="6" t="s">
        <v>394</v>
      </c>
      <c r="K442" s="10">
        <v>11.25</v>
      </c>
      <c r="L442" s="10">
        <v>45</v>
      </c>
      <c r="M442" s="6" t="s">
        <v>421</v>
      </c>
      <c r="N442" s="6" t="str">
        <f>IF(OR($G442="FCC",$G442="Hydrocracker",$G442="Reformer"),IF(COUNTIFS($D:$D,$D442,$A:$A,$A442,$B:$B,$B442,$G:$G,"CDU",$J:$J,"PLANNED")&gt;0,"tied","standalone"),"")</f>
        <v>tied</v>
      </c>
    </row>
    <row r="443" spans="1:14">
      <c r="A443" s="6">
        <v>2023</v>
      </c>
      <c r="B443" s="6">
        <v>2</v>
      </c>
      <c r="C443" s="6" t="s">
        <v>61</v>
      </c>
      <c r="D443" s="6" t="s">
        <v>470</v>
      </c>
      <c r="E443" s="6" t="s">
        <v>423</v>
      </c>
      <c r="F443" s="6" t="str">
        <f>IF($M443="PADD I","PADD 1",IF($M443="PADD II","PADD 2",IF($M443="PADD III","PADD 3",IF($M443="PADD IV","PADD 4",IF($M443="PADD V","PADD 5","")))))</f>
        <v>PADD 2</v>
      </c>
      <c r="G443" s="6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6" t="s">
        <v>44</v>
      </c>
      <c r="I443" s="6" t="s">
        <v>596</v>
      </c>
      <c r="J443" s="6" t="s">
        <v>394</v>
      </c>
      <c r="K443" s="10">
        <v>11</v>
      </c>
      <c r="L443" s="10">
        <v>11</v>
      </c>
      <c r="M443" s="6" t="s">
        <v>425</v>
      </c>
      <c r="N443" s="6">
        <f>IF(OR($G443="FCC",$G443="Hydrocracker",$G443="Reformer"),IF(COUNTIFS($D:$D,$D443,$A:$A,$A443,$B:$B,$B443,$G:$G,"CDU",$J:$J,"PLANNED")&gt;0,"tied","standalone"),"")</f>
        <v/>
      </c>
    </row>
    <row r="444" spans="1:14">
      <c r="A444" s="6">
        <v>2023</v>
      </c>
      <c r="B444" s="6">
        <v>2</v>
      </c>
      <c r="C444" s="6" t="s">
        <v>61</v>
      </c>
      <c r="D444" s="6" t="s">
        <v>445</v>
      </c>
      <c r="E444" s="6" t="s">
        <v>446</v>
      </c>
      <c r="F444" s="6" t="str">
        <f>IF($M444="PADD I","PADD 1",IF($M444="PADD II","PADD 2",IF($M444="PADD III","PADD 3",IF($M444="PADD IV","PADD 4",IF($M444="PADD V","PADD 5","")))))</f>
        <v>PADD 3</v>
      </c>
      <c r="G444" s="6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6" t="s">
        <v>471</v>
      </c>
      <c r="I444" s="6" t="s">
        <v>590</v>
      </c>
      <c r="J444" s="6" t="s">
        <v>394</v>
      </c>
      <c r="K444" s="10">
        <v>10.8</v>
      </c>
      <c r="L444" s="10">
        <v>30</v>
      </c>
      <c r="M444" s="6" t="s">
        <v>421</v>
      </c>
      <c r="N444" s="6" t="str">
        <f>IF(OR($G444="FCC",$G444="Hydrocracker",$G444="Reformer"),IF(COUNTIFS($D:$D,$D444,$A:$A,$A444,$B:$B,$B444,$G:$G,"CDU",$J:$J,"PLANNED")&gt;0,"tied","standalone"),"")</f>
        <v>tied</v>
      </c>
    </row>
    <row r="445" spans="1:14">
      <c r="A445" s="6">
        <v>2023</v>
      </c>
      <c r="B445" s="6">
        <v>2</v>
      </c>
      <c r="C445" s="6" t="s">
        <v>61</v>
      </c>
      <c r="D445" s="6" t="s">
        <v>452</v>
      </c>
      <c r="E445" s="6" t="s">
        <v>453</v>
      </c>
      <c r="F445" s="6" t="str">
        <f>IF($M445="PADD I","PADD 1",IF($M445="PADD II","PADD 2",IF($M445="PADD III","PADD 3",IF($M445="PADD IV","PADD 4",IF($M445="PADD V","PADD 5","")))))</f>
        <v>PADD 3</v>
      </c>
      <c r="G445" s="6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6" t="s">
        <v>485</v>
      </c>
      <c r="I445" s="6" t="s">
        <v>491</v>
      </c>
      <c r="J445" s="6" t="s">
        <v>398</v>
      </c>
      <c r="K445" s="10">
        <v>10</v>
      </c>
      <c r="L445" s="10">
        <v>10</v>
      </c>
      <c r="M445" s="6" t="s">
        <v>421</v>
      </c>
      <c r="N445" s="6">
        <f>IF(OR($G445="FCC",$G445="Hydrocracker",$G445="Reformer"),IF(COUNTIFS($D:$D,$D445,$A:$A,$A445,$B:$B,$B445,$G:$G,"CDU",$J:$J,"PLANNED")&gt;0,"tied","standalone"),"")</f>
        <v/>
      </c>
    </row>
    <row r="446" spans="1:14">
      <c r="A446" s="6">
        <v>2023</v>
      </c>
      <c r="B446" s="6">
        <v>2</v>
      </c>
      <c r="C446" s="6" t="s">
        <v>61</v>
      </c>
      <c r="D446" s="6" t="s">
        <v>512</v>
      </c>
      <c r="E446" s="6" t="s">
        <v>488</v>
      </c>
      <c r="F446" s="6" t="str">
        <f>IF($M446="PADD I","PADD 1",IF($M446="PADD II","PADD 2",IF($M446="PADD III","PADD 3",IF($M446="PADD IV","PADD 4",IF($M446="PADD V","PADD 5","")))))</f>
        <v>PADD 4</v>
      </c>
      <c r="G446" s="6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6" t="s">
        <v>428</v>
      </c>
      <c r="I446" s="6" t="s">
        <v>605</v>
      </c>
      <c r="J446" s="6" t="s">
        <v>394</v>
      </c>
      <c r="K446" s="10">
        <v>10</v>
      </c>
      <c r="L446" s="10">
        <v>10</v>
      </c>
      <c r="M446" s="6" t="s">
        <v>480</v>
      </c>
      <c r="N446" s="6">
        <f>IF(OR($G446="FCC",$G446="Hydrocracker",$G446="Reformer"),IF(COUNTIFS($D:$D,$D446,$A:$A,$A446,$B:$B,$B446,$G:$G,"CDU",$J:$J,"PLANNED")&gt;0,"tied","standalone"),"")</f>
        <v/>
      </c>
    </row>
    <row r="447" spans="1:14">
      <c r="A447" s="6">
        <v>2023</v>
      </c>
      <c r="B447" s="6">
        <v>2</v>
      </c>
      <c r="C447" s="6" t="s">
        <v>61</v>
      </c>
      <c r="D447" s="6" t="s">
        <v>487</v>
      </c>
      <c r="E447" s="6" t="s">
        <v>488</v>
      </c>
      <c r="F447" s="6" t="str">
        <f>IF($M447="PADD I","PADD 1",IF($M447="PADD II","PADD 2",IF($M447="PADD III","PADD 3",IF($M447="PADD IV","PADD 4",IF($M447="PADD V","PADD 5","")))))</f>
        <v>PADD 4</v>
      </c>
      <c r="G447" s="6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6" t="s">
        <v>428</v>
      </c>
      <c r="I447" s="6" t="s">
        <v>606</v>
      </c>
      <c r="J447" s="6" t="s">
        <v>394</v>
      </c>
      <c r="K447" s="10">
        <v>10</v>
      </c>
      <c r="L447" s="10">
        <v>10</v>
      </c>
      <c r="M447" s="6" t="s">
        <v>480</v>
      </c>
      <c r="N447" s="6">
        <f>IF(OR($G447="FCC",$G447="Hydrocracker",$G447="Reformer"),IF(COUNTIFS($D:$D,$D447,$A:$A,$A447,$B:$B,$B447,$G:$G,"CDU",$J:$J,"PLANNED")&gt;0,"tied","standalone"),"")</f>
        <v/>
      </c>
    </row>
    <row r="448" spans="1:14">
      <c r="A448" s="6">
        <v>2023</v>
      </c>
      <c r="B448" s="6">
        <v>2</v>
      </c>
      <c r="C448" s="6" t="s">
        <v>61</v>
      </c>
      <c r="D448" s="6" t="s">
        <v>487</v>
      </c>
      <c r="E448" s="6" t="s">
        <v>488</v>
      </c>
      <c r="F448" s="6" t="str">
        <f>IF($M448="PADD I","PADD 1",IF($M448="PADD II","PADD 2",IF($M448="PADD III","PADD 3",IF($M448="PADD IV","PADD 4",IF($M448="PADD V","PADD 5","")))))</f>
        <v>PADD 4</v>
      </c>
      <c r="G448" s="6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6" t="s">
        <v>471</v>
      </c>
      <c r="I448" s="6" t="s">
        <v>607</v>
      </c>
      <c r="J448" s="6" t="s">
        <v>394</v>
      </c>
      <c r="K448" s="10">
        <v>10</v>
      </c>
      <c r="L448" s="10">
        <v>10</v>
      </c>
      <c r="M448" s="6" t="s">
        <v>480</v>
      </c>
      <c r="N448" s="6" t="str">
        <f>IF(OR($G448="FCC",$G448="Hydrocracker",$G448="Reformer"),IF(COUNTIFS($D:$D,$D448,$A:$A,$A448,$B:$B,$B448,$G:$G,"CDU",$J:$J,"PLANNED")&gt;0,"tied","standalone"),"")</f>
        <v>standalone</v>
      </c>
    </row>
    <row r="449" spans="1:14">
      <c r="A449" s="6">
        <v>2023</v>
      </c>
      <c r="B449" s="6">
        <v>2</v>
      </c>
      <c r="C449" s="6" t="s">
        <v>61</v>
      </c>
      <c r="D449" s="6" t="s">
        <v>512</v>
      </c>
      <c r="E449" s="6" t="s">
        <v>488</v>
      </c>
      <c r="F449" s="6" t="str">
        <f>IF($M449="PADD I","PADD 1",IF($M449="PADD II","PADD 2",IF($M449="PADD III","PADD 3",IF($M449="PADD IV","PADD 4",IF($M449="PADD V","PADD 5","")))))</f>
        <v>PADD 4</v>
      </c>
      <c r="G449" s="6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6" t="s">
        <v>44</v>
      </c>
      <c r="I449" s="6" t="s">
        <v>543</v>
      </c>
      <c r="J449" s="6" t="s">
        <v>394</v>
      </c>
      <c r="K449" s="10">
        <v>10</v>
      </c>
      <c r="L449" s="10">
        <v>10</v>
      </c>
      <c r="M449" s="6" t="s">
        <v>480</v>
      </c>
      <c r="N449" s="6">
        <f>IF(OR($G449="FCC",$G449="Hydrocracker",$G449="Reformer"),IF(COUNTIFS($D:$D,$D449,$A:$A,$A449,$B:$B,$B449,$G:$G,"CDU",$J:$J,"PLANNED")&gt;0,"tied","standalone"),"")</f>
        <v/>
      </c>
    </row>
    <row r="450" spans="1:14">
      <c r="A450" s="6">
        <v>2023</v>
      </c>
      <c r="B450" s="6">
        <v>2</v>
      </c>
      <c r="C450" s="6" t="s">
        <v>61</v>
      </c>
      <c r="D450" s="6" t="s">
        <v>512</v>
      </c>
      <c r="E450" s="6" t="s">
        <v>488</v>
      </c>
      <c r="F450" s="6" t="str">
        <f>IF($M450="PADD I","PADD 1",IF($M450="PADD II","PADD 2",IF($M450="PADD III","PADD 3",IF($M450="PADD IV","PADD 4",IF($M450="PADD V","PADD 5","")))))</f>
        <v>PADD 4</v>
      </c>
      <c r="G450" s="6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6" t="s">
        <v>44</v>
      </c>
      <c r="I450" s="6" t="s">
        <v>608</v>
      </c>
      <c r="J450" s="6" t="s">
        <v>394</v>
      </c>
      <c r="K450" s="10">
        <v>10</v>
      </c>
      <c r="L450" s="10">
        <v>10</v>
      </c>
      <c r="M450" s="6" t="s">
        <v>480</v>
      </c>
      <c r="N450" s="6">
        <f>IF(OR($G450="FCC",$G450="Hydrocracker",$G450="Reformer"),IF(COUNTIFS($D:$D,$D450,$A:$A,$A450,$B:$B,$B450,$G:$G,"CDU",$J:$J,"PLANNED")&gt;0,"tied","standalone"),"")</f>
        <v/>
      </c>
    </row>
    <row r="451" spans="1:14">
      <c r="A451" s="6">
        <v>2023</v>
      </c>
      <c r="B451" s="6">
        <v>2</v>
      </c>
      <c r="C451" s="6" t="s">
        <v>61</v>
      </c>
      <c r="D451" s="6" t="s">
        <v>512</v>
      </c>
      <c r="E451" s="6" t="s">
        <v>488</v>
      </c>
      <c r="F451" s="6" t="str">
        <f>IF($M451="PADD I","PADD 1",IF($M451="PADD II","PADD 2",IF($M451="PADD III","PADD 3",IF($M451="PADD IV","PADD 4",IF($M451="PADD V","PADD 5","")))))</f>
        <v>PADD 4</v>
      </c>
      <c r="G451" s="6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6" t="s">
        <v>471</v>
      </c>
      <c r="I451" s="6" t="s">
        <v>609</v>
      </c>
      <c r="J451" s="6" t="s">
        <v>394</v>
      </c>
      <c r="K451" s="10">
        <v>10</v>
      </c>
      <c r="L451" s="10">
        <v>10</v>
      </c>
      <c r="M451" s="6" t="s">
        <v>480</v>
      </c>
      <c r="N451" s="6" t="str">
        <f>IF(OR($G451="FCC",$G451="Hydrocracker",$G451="Reformer"),IF(COUNTIFS($D:$D,$D451,$A:$A,$A451,$B:$B,$B451,$G:$G,"CDU",$J:$J,"PLANNED")&gt;0,"tied","standalone"),"")</f>
        <v>standalone</v>
      </c>
    </row>
    <row r="452" spans="1:14">
      <c r="A452" s="6">
        <v>2023</v>
      </c>
      <c r="B452" s="6">
        <v>2</v>
      </c>
      <c r="C452" s="6" t="s">
        <v>61</v>
      </c>
      <c r="D452" s="6" t="s">
        <v>626</v>
      </c>
      <c r="E452" s="6" t="s">
        <v>419</v>
      </c>
      <c r="F452" s="6" t="str">
        <f>IF($M452="PADD I","PADD 1",IF($M452="PADD II","PADD 2",IF($M452="PADD III","PADD 3",IF($M452="PADD IV","PADD 4",IF($M452="PADD V","PADD 5","")))))</f>
        <v>PADD 3</v>
      </c>
      <c r="G452" s="6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6" t="s">
        <v>471</v>
      </c>
      <c r="I452" s="6" t="s">
        <v>533</v>
      </c>
      <c r="J452" s="6" t="s">
        <v>398</v>
      </c>
      <c r="K452" s="10">
        <v>9.84</v>
      </c>
      <c r="L452" s="10">
        <v>12</v>
      </c>
      <c r="M452" s="6" t="s">
        <v>421</v>
      </c>
      <c r="N452" s="6" t="str">
        <f>IF(OR($G452="FCC",$G452="Hydrocracker",$G452="Reformer"),IF(COUNTIFS($D:$D,$D452,$A:$A,$A452,$B:$B,$B452,$G:$G,"CDU",$J:$J,"PLANNED")&gt;0,"tied","standalone"),"")</f>
        <v>standalone</v>
      </c>
    </row>
    <row r="453" spans="1:14">
      <c r="A453" s="6">
        <v>2023</v>
      </c>
      <c r="B453" s="6">
        <v>2</v>
      </c>
      <c r="C453" s="6" t="s">
        <v>61</v>
      </c>
      <c r="D453" s="6" t="s">
        <v>581</v>
      </c>
      <c r="E453" s="6" t="s">
        <v>582</v>
      </c>
      <c r="F453" s="6" t="str">
        <f>IF($M453="PADD I","PADD 1",IF($M453="PADD II","PADD 2",IF($M453="PADD III","PADD 3",IF($M453="PADD IV","PADD 4",IF($M453="PADD V","PADD 5","")))))</f>
        <v>PADD 5</v>
      </c>
      <c r="G453" s="6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6" t="s">
        <v>485</v>
      </c>
      <c r="I453" s="6" t="s">
        <v>649</v>
      </c>
      <c r="J453" s="6" t="s">
        <v>394</v>
      </c>
      <c r="K453" s="10">
        <v>9.75</v>
      </c>
      <c r="L453" s="10">
        <v>25</v>
      </c>
      <c r="M453" s="6" t="s">
        <v>436</v>
      </c>
      <c r="N453" s="6">
        <f>IF(OR($G453="FCC",$G453="Hydrocracker",$G453="Reformer"),IF(COUNTIFS($D:$D,$D453,$A:$A,$A453,$B:$B,$B453,$G:$G,"CDU",$J:$J,"PLANNED")&gt;0,"tied","standalone"),"")</f>
        <v/>
      </c>
    </row>
    <row r="454" spans="1:14">
      <c r="A454" s="6">
        <v>2023</v>
      </c>
      <c r="B454" s="6">
        <v>2</v>
      </c>
      <c r="C454" s="6" t="s">
        <v>61</v>
      </c>
      <c r="D454" s="6" t="s">
        <v>515</v>
      </c>
      <c r="E454" s="6" t="s">
        <v>419</v>
      </c>
      <c r="F454" s="6" t="str">
        <f>IF($M454="PADD I","PADD 1",IF($M454="PADD II","PADD 2",IF($M454="PADD III","PADD 3",IF($M454="PADD IV","PADD 4",IF($M454="PADD V","PADD 5","")))))</f>
        <v>PADD 5</v>
      </c>
      <c r="G454" s="6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6" t="s">
        <v>44</v>
      </c>
      <c r="I454" s="6" t="s">
        <v>516</v>
      </c>
      <c r="J454" s="6" t="s">
        <v>394</v>
      </c>
      <c r="K454" s="10">
        <v>9.2988</v>
      </c>
      <c r="L454" s="10">
        <v>66.42</v>
      </c>
      <c r="M454" s="6" t="s">
        <v>436</v>
      </c>
      <c r="N454" s="6">
        <f>IF(OR($G454="FCC",$G454="Hydrocracker",$G454="Reformer"),IF(COUNTIFS($D:$D,$D454,$A:$A,$A454,$B:$B,$B454,$G:$G,"CDU",$J:$J,"PLANNED")&gt;0,"tied","standalone"),"")</f>
        <v/>
      </c>
    </row>
    <row r="455" spans="1:14">
      <c r="A455" s="6">
        <v>2023</v>
      </c>
      <c r="B455" s="6">
        <v>2</v>
      </c>
      <c r="C455" s="6" t="s">
        <v>61</v>
      </c>
      <c r="D455" s="6" t="s">
        <v>382</v>
      </c>
      <c r="E455" s="6" t="s">
        <v>431</v>
      </c>
      <c r="F455" s="6" t="str">
        <f>IF($M455="PADD I","PADD 1",IF($M455="PADD II","PADD 2",IF($M455="PADD III","PADD 3",IF($M455="PADD IV","PADD 4",IF($M455="PADD V","PADD 5","")))))</f>
        <v>PADD 3</v>
      </c>
      <c r="G455" s="6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6" t="s">
        <v>510</v>
      </c>
      <c r="I455" s="6" t="s">
        <v>591</v>
      </c>
      <c r="J455" s="6" t="s">
        <v>398</v>
      </c>
      <c r="K455" s="10">
        <v>9.119999999999999</v>
      </c>
      <c r="L455" s="10">
        <v>16</v>
      </c>
      <c r="M455" s="6" t="s">
        <v>421</v>
      </c>
      <c r="N455" s="6">
        <f>IF(OR($G455="FCC",$G455="Hydrocracker",$G455="Reformer"),IF(COUNTIFS($D:$D,$D455,$A:$A,$A455,$B:$B,$B455,$G:$G,"CDU",$J:$J,"PLANNED")&gt;0,"tied","standalone"),"")</f>
        <v/>
      </c>
    </row>
    <row r="456" spans="1:14">
      <c r="A456" s="6">
        <v>2023</v>
      </c>
      <c r="B456" s="6">
        <v>2</v>
      </c>
      <c r="C456" s="6" t="s">
        <v>61</v>
      </c>
      <c r="D456" s="6" t="s">
        <v>487</v>
      </c>
      <c r="E456" s="6" t="s">
        <v>488</v>
      </c>
      <c r="F456" s="6" t="str">
        <f>IF($M456="PADD I","PADD 1",IF($M456="PADD II","PADD 2",IF($M456="PADD III","PADD 3",IF($M456="PADD IV","PADD 4",IF($M456="PADD V","PADD 5","")))))</f>
        <v>PADD 4</v>
      </c>
      <c r="G456" s="6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6" t="s">
        <v>428</v>
      </c>
      <c r="I456" s="6" t="s">
        <v>544</v>
      </c>
      <c r="J456" s="6" t="s">
        <v>394</v>
      </c>
      <c r="K456" s="10">
        <v>9.045</v>
      </c>
      <c r="L456" s="10">
        <v>16.75</v>
      </c>
      <c r="M456" s="6" t="s">
        <v>480</v>
      </c>
      <c r="N456" s="6">
        <f>IF(OR($G456="FCC",$G456="Hydrocracker",$G456="Reformer"),IF(COUNTIFS($D:$D,$D456,$A:$A,$A456,$B:$B,$B456,$G:$G,"CDU",$J:$J,"PLANNED")&gt;0,"tied","standalone"),"")</f>
        <v/>
      </c>
    </row>
    <row r="457" spans="1:14">
      <c r="A457" s="6">
        <v>2023</v>
      </c>
      <c r="B457" s="6">
        <v>2</v>
      </c>
      <c r="C457" s="6" t="s">
        <v>61</v>
      </c>
      <c r="D457" s="6" t="s">
        <v>581</v>
      </c>
      <c r="E457" s="6" t="s">
        <v>582</v>
      </c>
      <c r="F457" s="6" t="str">
        <f>IF($M457="PADD I","PADD 1",IF($M457="PADD II","PADD 2",IF($M457="PADD III","PADD 3",IF($M457="PADD IV","PADD 4",IF($M457="PADD V","PADD 5","")))))</f>
        <v>PADD 5</v>
      </c>
      <c r="G457" s="6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6" t="s">
        <v>471</v>
      </c>
      <c r="I457" s="6" t="s">
        <v>607</v>
      </c>
      <c r="J457" s="6" t="s">
        <v>394</v>
      </c>
      <c r="K457" s="10">
        <v>8.775</v>
      </c>
      <c r="L457" s="10">
        <v>22.5</v>
      </c>
      <c r="M457" s="6" t="s">
        <v>436</v>
      </c>
      <c r="N457" s="6" t="str">
        <f>IF(OR($G457="FCC",$G457="Hydrocracker",$G457="Reformer"),IF(COUNTIFS($D:$D,$D457,$A:$A,$A457,$B:$B,$B457,$G:$G,"CDU",$J:$J,"PLANNED")&gt;0,"tied","standalone"),"")</f>
        <v>standalone</v>
      </c>
    </row>
    <row r="458" spans="1:14">
      <c r="A458" s="6">
        <v>2023</v>
      </c>
      <c r="B458" s="6">
        <v>2</v>
      </c>
      <c r="C458" s="6" t="s">
        <v>61</v>
      </c>
      <c r="D458" s="6" t="s">
        <v>487</v>
      </c>
      <c r="E458" s="6" t="s">
        <v>488</v>
      </c>
      <c r="F458" s="6" t="str">
        <f>IF($M458="PADD I","PADD 1",IF($M458="PADD II","PADD 2",IF($M458="PADD III","PADD 3",IF($M458="PADD IV","PADD 4",IF($M458="PADD V","PADD 5","")))))</f>
        <v>PADD 4</v>
      </c>
      <c r="G458" s="6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6" t="s">
        <v>426</v>
      </c>
      <c r="I458" s="6" t="s">
        <v>478</v>
      </c>
      <c r="J458" s="6" t="s">
        <v>394</v>
      </c>
      <c r="K458" s="10">
        <v>8.5</v>
      </c>
      <c r="L458" s="10">
        <v>8.5</v>
      </c>
      <c r="M458" s="6" t="s">
        <v>480</v>
      </c>
      <c r="N458" s="6" t="str">
        <f>IF(OR($G458="FCC",$G458="Hydrocracker",$G458="Reformer"),IF(COUNTIFS($D:$D,$D458,$A:$A,$A458,$B:$B,$B458,$G:$G,"CDU",$J:$J,"PLANNED")&gt;0,"tied","standalone"),"")</f>
        <v>standalone</v>
      </c>
    </row>
    <row r="459" spans="1:14">
      <c r="A459" s="6">
        <v>2023</v>
      </c>
      <c r="B459" s="6">
        <v>2</v>
      </c>
      <c r="C459" s="6" t="s">
        <v>61</v>
      </c>
      <c r="D459" s="6" t="s">
        <v>487</v>
      </c>
      <c r="E459" s="6" t="s">
        <v>488</v>
      </c>
      <c r="F459" s="6" t="str">
        <f>IF($M459="PADD I","PADD 1",IF($M459="PADD II","PADD 2",IF($M459="PADD III","PADD 3",IF($M459="PADD IV","PADD 4",IF($M459="PADD V","PADD 5","")))))</f>
        <v>PADD 4</v>
      </c>
      <c r="G459" s="6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6" t="s">
        <v>428</v>
      </c>
      <c r="I459" s="6" t="s">
        <v>606</v>
      </c>
      <c r="J459" s="6" t="s">
        <v>394</v>
      </c>
      <c r="K459" s="10">
        <v>8.380000000000001</v>
      </c>
      <c r="L459" s="10">
        <v>8.380000000000001</v>
      </c>
      <c r="M459" s="6" t="s">
        <v>480</v>
      </c>
      <c r="N459" s="6">
        <f>IF(OR($G459="FCC",$G459="Hydrocracker",$G459="Reformer"),IF(COUNTIFS($D:$D,$D459,$A:$A,$A459,$B:$B,$B459,$G:$G,"CDU",$J:$J,"PLANNED")&gt;0,"tied","standalone"),"")</f>
        <v/>
      </c>
    </row>
    <row r="460" spans="1:14">
      <c r="A460" s="6">
        <v>2023</v>
      </c>
      <c r="B460" s="6">
        <v>2</v>
      </c>
      <c r="C460" s="6" t="s">
        <v>61</v>
      </c>
      <c r="D460" s="6" t="s">
        <v>470</v>
      </c>
      <c r="E460" s="6" t="s">
        <v>423</v>
      </c>
      <c r="F460" s="6" t="str">
        <f>IF($M460="PADD I","PADD 1",IF($M460="PADD II","PADD 2",IF($M460="PADD III","PADD 3",IF($M460="PADD IV","PADD 4",IF($M460="PADD V","PADD 5","")))))</f>
        <v>PADD 2</v>
      </c>
      <c r="G460" s="6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6" t="s">
        <v>471</v>
      </c>
      <c r="I460" s="6" t="s">
        <v>621</v>
      </c>
      <c r="J460" s="6" t="s">
        <v>394</v>
      </c>
      <c r="K460" s="10">
        <v>8</v>
      </c>
      <c r="L460" s="10">
        <v>8</v>
      </c>
      <c r="M460" s="6" t="s">
        <v>425</v>
      </c>
      <c r="N460" s="6" t="str">
        <f>IF(OR($G460="FCC",$G460="Hydrocracker",$G460="Reformer"),IF(COUNTIFS($D:$D,$D460,$A:$A,$A460,$B:$B,$B460,$G:$G,"CDU",$J:$J,"PLANNED")&gt;0,"tied","standalone"),"")</f>
        <v>standalone</v>
      </c>
    </row>
    <row r="461" spans="1:14">
      <c r="A461" s="6">
        <v>2023</v>
      </c>
      <c r="B461" s="6">
        <v>2</v>
      </c>
      <c r="C461" s="6" t="s">
        <v>61</v>
      </c>
      <c r="D461" s="6" t="s">
        <v>568</v>
      </c>
      <c r="E461" s="6" t="s">
        <v>419</v>
      </c>
      <c r="F461" s="6" t="str">
        <f>IF($M461="PADD I","PADD 1",IF($M461="PADD II","PADD 2",IF($M461="PADD III","PADD 3",IF($M461="PADD IV","PADD 4",IF($M461="PADD V","PADD 5","")))))</f>
        <v>PADD 5</v>
      </c>
      <c r="G461" s="6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6" t="s">
        <v>39</v>
      </c>
      <c r="I461" s="6" t="s">
        <v>603</v>
      </c>
      <c r="J461" s="6" t="s">
        <v>394</v>
      </c>
      <c r="K461" s="10">
        <v>8</v>
      </c>
      <c r="L461" s="10">
        <v>32</v>
      </c>
      <c r="M461" s="6" t="s">
        <v>436</v>
      </c>
      <c r="N461" s="6">
        <f>IF(OR($G461="FCC",$G461="Hydrocracker",$G461="Reformer"),IF(COUNTIFS($D:$D,$D461,$A:$A,$A461,$B:$B,$B461,$G:$G,"CDU",$J:$J,"PLANNED")&gt;0,"tied","standalone"),"")</f>
        <v/>
      </c>
    </row>
    <row r="462" spans="1:14">
      <c r="A462" s="6">
        <v>2023</v>
      </c>
      <c r="B462" s="6">
        <v>2</v>
      </c>
      <c r="C462" s="6" t="s">
        <v>61</v>
      </c>
      <c r="D462" s="6" t="s">
        <v>470</v>
      </c>
      <c r="E462" s="6" t="s">
        <v>423</v>
      </c>
      <c r="F462" s="6" t="str">
        <f>IF($M462="PADD I","PADD 1",IF($M462="PADD II","PADD 2",IF($M462="PADD III","PADD 3",IF($M462="PADD IV","PADD 4",IF($M462="PADD V","PADD 5","")))))</f>
        <v>PADD 2</v>
      </c>
      <c r="G462" s="6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6" t="s">
        <v>44</v>
      </c>
      <c r="I462" s="6" t="s">
        <v>627</v>
      </c>
      <c r="J462" s="6" t="s">
        <v>394</v>
      </c>
      <c r="K462" s="10">
        <v>7.7</v>
      </c>
      <c r="L462" s="10">
        <v>7.7</v>
      </c>
      <c r="M462" s="6" t="s">
        <v>425</v>
      </c>
      <c r="N462" s="6">
        <f>IF(OR($G462="FCC",$G462="Hydrocracker",$G462="Reformer"),IF(COUNTIFS($D:$D,$D462,$A:$A,$A462,$B:$B,$B462,$G:$G,"CDU",$J:$J,"PLANNED")&gt;0,"tied","standalone"),"")</f>
        <v/>
      </c>
    </row>
    <row r="463" spans="1:14">
      <c r="A463" s="6">
        <v>2023</v>
      </c>
      <c r="B463" s="6">
        <v>2</v>
      </c>
      <c r="C463" s="6" t="s">
        <v>61</v>
      </c>
      <c r="D463" s="6" t="s">
        <v>371</v>
      </c>
      <c r="E463" s="6" t="s">
        <v>419</v>
      </c>
      <c r="F463" s="6" t="str">
        <f>IF($M463="PADD I","PADD 1",IF($M463="PADD II","PADD 2",IF($M463="PADD III","PADD 3",IF($M463="PADD IV","PADD 4",IF($M463="PADD V","PADD 5","")))))</f>
        <v>PADD 2</v>
      </c>
      <c r="G463" s="6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6" t="s">
        <v>426</v>
      </c>
      <c r="I463" s="6" t="s">
        <v>707</v>
      </c>
      <c r="J463" s="6" t="s">
        <v>394</v>
      </c>
      <c r="K463" s="10">
        <v>7.56</v>
      </c>
      <c r="L463" s="10">
        <v>42</v>
      </c>
      <c r="M463" s="6" t="s">
        <v>425</v>
      </c>
      <c r="N463" s="6" t="str">
        <f>IF(OR($G463="FCC",$G463="Hydrocracker",$G463="Reformer"),IF(COUNTIFS($D:$D,$D463,$A:$A,$A463,$B:$B,$B463,$G:$G,"CDU",$J:$J,"PLANNED")&gt;0,"tied","standalone"),"")</f>
        <v>standalone</v>
      </c>
    </row>
    <row r="464" spans="1:14">
      <c r="A464" s="6">
        <v>2023</v>
      </c>
      <c r="B464" s="6">
        <v>2</v>
      </c>
      <c r="C464" s="6" t="s">
        <v>61</v>
      </c>
      <c r="D464" s="6" t="s">
        <v>470</v>
      </c>
      <c r="E464" s="6" t="s">
        <v>423</v>
      </c>
      <c r="F464" s="6" t="str">
        <f>IF($M464="PADD I","PADD 1",IF($M464="PADD II","PADD 2",IF($M464="PADD III","PADD 3",IF($M464="PADD IV","PADD 4",IF($M464="PADD V","PADD 5","")))))</f>
        <v>PADD 2</v>
      </c>
      <c r="G464" s="6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6" t="s">
        <v>44</v>
      </c>
      <c r="I464" s="6" t="s">
        <v>508</v>
      </c>
      <c r="J464" s="6" t="s">
        <v>394</v>
      </c>
      <c r="K464" s="10">
        <v>7.5</v>
      </c>
      <c r="L464" s="10">
        <v>7.5</v>
      </c>
      <c r="M464" s="6" t="s">
        <v>425</v>
      </c>
      <c r="N464" s="6">
        <f>IF(OR($G464="FCC",$G464="Hydrocracker",$G464="Reformer"),IF(COUNTIFS($D:$D,$D464,$A:$A,$A464,$B:$B,$B464,$G:$G,"CDU",$J:$J,"PLANNED")&gt;0,"tied","standalone"),"")</f>
        <v/>
      </c>
    </row>
    <row r="465" spans="1:14">
      <c r="A465" s="6">
        <v>2023</v>
      </c>
      <c r="B465" s="6">
        <v>2</v>
      </c>
      <c r="C465" s="6" t="s">
        <v>61</v>
      </c>
      <c r="D465" s="6" t="s">
        <v>540</v>
      </c>
      <c r="E465" s="6" t="s">
        <v>541</v>
      </c>
      <c r="F465" s="6" t="str">
        <f>IF($M465="PADD I","PADD 1",IF($M465="PADD II","PADD 2",IF($M465="PADD III","PADD 3",IF($M465="PADD IV","PADD 4",IF($M465="PADD V","PADD 5","")))))</f>
        <v>PADD 3</v>
      </c>
      <c r="G465" s="6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6" t="s">
        <v>494</v>
      </c>
      <c r="I465" s="6" t="s">
        <v>708</v>
      </c>
      <c r="J465" s="6" t="s">
        <v>394</v>
      </c>
      <c r="K465" s="10">
        <v>7.35</v>
      </c>
      <c r="L465" s="10">
        <v>105</v>
      </c>
      <c r="M465" s="6" t="s">
        <v>421</v>
      </c>
      <c r="N465" s="6" t="str">
        <f>IF(OR($G465="FCC",$G465="Hydrocracker",$G465="Reformer"),IF(COUNTIFS($D:$D,$D465,$A:$A,$A465,$B:$B,$B465,$G:$G,"CDU",$J:$J,"PLANNED")&gt;0,"tied","standalone"),"")</f>
        <v>standalone</v>
      </c>
    </row>
    <row r="466" spans="1:14">
      <c r="A466" s="6">
        <v>2023</v>
      </c>
      <c r="B466" s="6">
        <v>2</v>
      </c>
      <c r="C466" s="6" t="s">
        <v>61</v>
      </c>
      <c r="D466" s="6" t="s">
        <v>507</v>
      </c>
      <c r="E466" s="6" t="s">
        <v>438</v>
      </c>
      <c r="F466" s="6" t="str">
        <f>IF($M466="PADD I","PADD 1",IF($M466="PADD II","PADD 2",IF($M466="PADD III","PADD 3",IF($M466="PADD IV","PADD 4",IF($M466="PADD V","PADD 5","")))))</f>
        <v>PADD 5</v>
      </c>
      <c r="G466" s="6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6" t="s">
        <v>426</v>
      </c>
      <c r="I466" s="6" t="s">
        <v>106</v>
      </c>
      <c r="J466" s="6" t="s">
        <v>394</v>
      </c>
      <c r="K466" s="10">
        <v>7.28</v>
      </c>
      <c r="L466" s="10">
        <v>104</v>
      </c>
      <c r="M466" s="6" t="s">
        <v>436</v>
      </c>
      <c r="N466" s="6" t="str">
        <f>IF(OR($G466="FCC",$G466="Hydrocracker",$G466="Reformer"),IF(COUNTIFS($D:$D,$D466,$A:$A,$A466,$B:$B,$B466,$G:$G,"CDU",$J:$J,"PLANNED")&gt;0,"tied","standalone"),"")</f>
        <v>standalone</v>
      </c>
    </row>
    <row r="467" spans="1:14">
      <c r="A467" s="6">
        <v>2023</v>
      </c>
      <c r="B467" s="6">
        <v>2</v>
      </c>
      <c r="C467" s="6" t="s">
        <v>61</v>
      </c>
      <c r="D467" s="6" t="s">
        <v>496</v>
      </c>
      <c r="E467" s="6" t="s">
        <v>441</v>
      </c>
      <c r="F467" s="6" t="str">
        <f>IF($M467="PADD I","PADD 1",IF($M467="PADD II","PADD 2",IF($M467="PADD III","PADD 3",IF($M467="PADD IV","PADD 4",IF($M467="PADD V","PADD 5","")))))</f>
        <v>PADD 3</v>
      </c>
      <c r="G467" s="6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6" t="s">
        <v>510</v>
      </c>
      <c r="I467" s="6" t="s">
        <v>630</v>
      </c>
      <c r="J467" s="6" t="s">
        <v>394</v>
      </c>
      <c r="K467" s="10">
        <v>7.2</v>
      </c>
      <c r="L467" s="10">
        <v>7.2</v>
      </c>
      <c r="M467" s="6" t="s">
        <v>421</v>
      </c>
      <c r="N467" s="6">
        <f>IF(OR($G467="FCC",$G467="Hydrocracker",$G467="Reformer"),IF(COUNTIFS($D:$D,$D467,$A:$A,$A467,$B:$B,$B467,$G:$G,"CDU",$J:$J,"PLANNED")&gt;0,"tied","standalone"),"")</f>
        <v/>
      </c>
    </row>
    <row r="468" spans="1:14">
      <c r="A468" s="6">
        <v>2023</v>
      </c>
      <c r="B468" s="6">
        <v>2</v>
      </c>
      <c r="C468" s="6" t="s">
        <v>61</v>
      </c>
      <c r="D468" s="6" t="s">
        <v>515</v>
      </c>
      <c r="E468" s="6" t="s">
        <v>419</v>
      </c>
      <c r="F468" s="6" t="str">
        <f>IF($M468="PADD I","PADD 1",IF($M468="PADD II","PADD 2",IF($M468="PADD III","PADD 3",IF($M468="PADD IV","PADD 4",IF($M468="PADD V","PADD 5","")))))</f>
        <v>PADD 5</v>
      </c>
      <c r="G468" s="6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6" t="s">
        <v>426</v>
      </c>
      <c r="I468" s="6" t="s">
        <v>106</v>
      </c>
      <c r="J468" s="6" t="s">
        <v>398</v>
      </c>
      <c r="K468" s="10">
        <v>7</v>
      </c>
      <c r="L468" s="10">
        <v>50</v>
      </c>
      <c r="M468" s="6" t="s">
        <v>436</v>
      </c>
      <c r="N468" s="6" t="str">
        <f>IF(OR($G468="FCC",$G468="Hydrocracker",$G468="Reformer"),IF(COUNTIFS($D:$D,$D468,$A:$A,$A468,$B:$B,$B468,$G:$G,"CDU",$J:$J,"PLANNED")&gt;0,"tied","standalone"),"")</f>
        <v>standalone</v>
      </c>
    </row>
    <row r="469" spans="1:14">
      <c r="A469" s="6">
        <v>2023</v>
      </c>
      <c r="B469" s="6">
        <v>2</v>
      </c>
      <c r="C469" s="6" t="s">
        <v>61</v>
      </c>
      <c r="D469" s="6" t="s">
        <v>709</v>
      </c>
      <c r="E469" s="6" t="s">
        <v>710</v>
      </c>
      <c r="F469" s="6" t="str">
        <f>IF($M469="PADD I","PADD 1",IF($M469="PADD II","PADD 2",IF($M469="PADD III","PADD 3",IF($M469="PADD IV","PADD 4",IF($M469="PADD V","PADD 5","")))))</f>
        <v>PADD 3</v>
      </c>
      <c r="G469" s="6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6" t="s">
        <v>39</v>
      </c>
      <c r="I469" s="6" t="s">
        <v>82</v>
      </c>
      <c r="J469" s="6" t="s">
        <v>398</v>
      </c>
      <c r="K469" s="10">
        <v>6.8</v>
      </c>
      <c r="L469" s="10">
        <v>10</v>
      </c>
      <c r="M469" s="6" t="s">
        <v>421</v>
      </c>
      <c r="N469" s="6">
        <f>IF(OR($G469="FCC",$G469="Hydrocracker",$G469="Reformer"),IF(COUNTIFS($D:$D,$D469,$A:$A,$A469,$B:$B,$B469,$G:$G,"CDU",$J:$J,"PLANNED")&gt;0,"tied","standalone"),"")</f>
        <v/>
      </c>
    </row>
    <row r="470" spans="1:14">
      <c r="A470" s="6">
        <v>2023</v>
      </c>
      <c r="B470" s="6">
        <v>2</v>
      </c>
      <c r="C470" s="6" t="s">
        <v>61</v>
      </c>
      <c r="D470" s="6" t="s">
        <v>479</v>
      </c>
      <c r="E470" s="6" t="s">
        <v>438</v>
      </c>
      <c r="F470" s="6" t="str">
        <f>IF($M470="PADD I","PADD 1",IF($M470="PADD II","PADD 2",IF($M470="PADD III","PADD 3",IF($M470="PADD IV","PADD 4",IF($M470="PADD V","PADD 5","")))))</f>
        <v>PADD 4</v>
      </c>
      <c r="G470" s="6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6" t="s">
        <v>44</v>
      </c>
      <c r="I470" s="6" t="s">
        <v>564</v>
      </c>
      <c r="J470" s="6" t="s">
        <v>394</v>
      </c>
      <c r="K470" s="10">
        <v>6.669</v>
      </c>
      <c r="L470" s="10">
        <v>17.1</v>
      </c>
      <c r="M470" s="6" t="s">
        <v>480</v>
      </c>
      <c r="N470" s="6">
        <f>IF(OR($G470="FCC",$G470="Hydrocracker",$G470="Reformer"),IF(COUNTIFS($D:$D,$D470,$A:$A,$A470,$B:$B,$B470,$G:$G,"CDU",$J:$J,"PLANNED")&gt;0,"tied","standalone"),"")</f>
        <v/>
      </c>
    </row>
    <row r="471" spans="1:14">
      <c r="A471" s="6">
        <v>2023</v>
      </c>
      <c r="B471" s="6">
        <v>2</v>
      </c>
      <c r="C471" s="6" t="s">
        <v>61</v>
      </c>
      <c r="D471" s="6" t="s">
        <v>540</v>
      </c>
      <c r="E471" s="6" t="s">
        <v>541</v>
      </c>
      <c r="F471" s="6" t="str">
        <f>IF($M471="PADD I","PADD 1",IF($M471="PADD II","PADD 2",IF($M471="PADD III","PADD 3",IF($M471="PADD IV","PADD 4",IF($M471="PADD V","PADD 5","")))))</f>
        <v>PADD 3</v>
      </c>
      <c r="G471" s="6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6" t="s">
        <v>485</v>
      </c>
      <c r="I471" s="6" t="s">
        <v>693</v>
      </c>
      <c r="J471" s="6" t="s">
        <v>394</v>
      </c>
      <c r="K471" s="10">
        <v>6.65</v>
      </c>
      <c r="L471" s="10">
        <v>95</v>
      </c>
      <c r="M471" s="6" t="s">
        <v>421</v>
      </c>
      <c r="N471" s="6">
        <f>IF(OR($G471="FCC",$G471="Hydrocracker",$G471="Reformer"),IF(COUNTIFS($D:$D,$D471,$A:$A,$A471,$B:$B,$B471,$G:$G,"CDU",$J:$J,"PLANNED")&gt;0,"tied","standalone"),"")</f>
        <v/>
      </c>
    </row>
    <row r="472" spans="1:14">
      <c r="A472" s="6">
        <v>2023</v>
      </c>
      <c r="B472" s="6">
        <v>2</v>
      </c>
      <c r="C472" s="6" t="s">
        <v>61</v>
      </c>
      <c r="D472" s="6" t="s">
        <v>422</v>
      </c>
      <c r="E472" s="6" t="s">
        <v>423</v>
      </c>
      <c r="F472" s="6" t="str">
        <f>IF($M472="PADD I","PADD 1",IF($M472="PADD II","PADD 2",IF($M472="PADD III","PADD 3",IF($M472="PADD IV","PADD 4",IF($M472="PADD V","PADD 5","")))))</f>
        <v>PADD 2</v>
      </c>
      <c r="G472" s="6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6" t="s">
        <v>485</v>
      </c>
      <c r="I472" s="6" t="s">
        <v>634</v>
      </c>
      <c r="J472" s="6" t="s">
        <v>394</v>
      </c>
      <c r="K472" s="10">
        <v>6.5</v>
      </c>
      <c r="L472" s="10">
        <v>6.5</v>
      </c>
      <c r="M472" s="6" t="s">
        <v>425</v>
      </c>
      <c r="N472" s="6">
        <f>IF(OR($G472="FCC",$G472="Hydrocracker",$G472="Reformer"),IF(COUNTIFS($D:$D,$D472,$A:$A,$A472,$B:$B,$B472,$G:$G,"CDU",$J:$J,"PLANNED")&gt;0,"tied","standalone"),"")</f>
        <v/>
      </c>
    </row>
    <row r="473" spans="1:14">
      <c r="A473" s="6">
        <v>2023</v>
      </c>
      <c r="B473" s="6">
        <v>2</v>
      </c>
      <c r="C473" s="6" t="s">
        <v>61</v>
      </c>
      <c r="D473" s="6" t="s">
        <v>568</v>
      </c>
      <c r="E473" s="6" t="s">
        <v>419</v>
      </c>
      <c r="F473" s="6" t="str">
        <f>IF($M473="PADD I","PADD 1",IF($M473="PADD II","PADD 2",IF($M473="PADD III","PADD 3",IF($M473="PADD IV","PADD 4",IF($M473="PADD V","PADD 5","")))))</f>
        <v>PADD 5</v>
      </c>
      <c r="G473" s="6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6" t="s">
        <v>618</v>
      </c>
      <c r="I473" s="6" t="s">
        <v>667</v>
      </c>
      <c r="J473" s="6" t="s">
        <v>394</v>
      </c>
      <c r="K473" s="10">
        <v>6.5</v>
      </c>
      <c r="L473" s="10">
        <v>6.5</v>
      </c>
      <c r="M473" s="6" t="s">
        <v>436</v>
      </c>
      <c r="N473" s="6">
        <f>IF(OR($G473="FCC",$G473="Hydrocracker",$G473="Reformer"),IF(COUNTIFS($D:$D,$D473,$A:$A,$A473,$B:$B,$B473,$G:$G,"CDU",$J:$J,"PLANNED")&gt;0,"tied","standalone"),"")</f>
        <v/>
      </c>
    </row>
    <row r="474" spans="1:14">
      <c r="A474" s="6">
        <v>2023</v>
      </c>
      <c r="B474" s="6">
        <v>2</v>
      </c>
      <c r="C474" s="6" t="s">
        <v>61</v>
      </c>
      <c r="D474" s="6" t="s">
        <v>597</v>
      </c>
      <c r="E474" s="6" t="s">
        <v>441</v>
      </c>
      <c r="F474" s="6" t="str">
        <f>IF($M474="PADD I","PADD 1",IF($M474="PADD II","PADD 2",IF($M474="PADD III","PADD 3",IF($M474="PADD IV","PADD 4",IF($M474="PADD V","PADD 5","")))))</f>
        <v>PADD 5</v>
      </c>
      <c r="G474" s="6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6" t="s">
        <v>471</v>
      </c>
      <c r="I474" s="6" t="s">
        <v>598</v>
      </c>
      <c r="J474" s="6" t="s">
        <v>394</v>
      </c>
      <c r="K474" s="10">
        <v>5.88</v>
      </c>
      <c r="L474" s="10">
        <v>28</v>
      </c>
      <c r="M474" s="6" t="s">
        <v>436</v>
      </c>
      <c r="N474" s="6" t="str">
        <f>IF(OR($G474="FCC",$G474="Hydrocracker",$G474="Reformer"),IF(COUNTIFS($D:$D,$D474,$A:$A,$A474,$B:$B,$B474,$G:$G,"CDU",$J:$J,"PLANNED")&gt;0,"tied","standalone"),"")</f>
        <v>standalone</v>
      </c>
    </row>
    <row r="475" spans="1:14">
      <c r="A475" s="6">
        <v>2023</v>
      </c>
      <c r="B475" s="6">
        <v>2</v>
      </c>
      <c r="C475" s="6" t="s">
        <v>61</v>
      </c>
      <c r="D475" s="6" t="s">
        <v>380</v>
      </c>
      <c r="E475" s="6" t="s">
        <v>423</v>
      </c>
      <c r="F475" s="6" t="str">
        <f>IF($M475="PADD I","PADD 1",IF($M475="PADD II","PADD 2",IF($M475="PADD III","PADD 3",IF($M475="PADD IV","PADD 4",IF($M475="PADD V","PADD 5","")))))</f>
        <v>PADD 2</v>
      </c>
      <c r="G475" s="6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6" t="s">
        <v>485</v>
      </c>
      <c r="I475" s="6" t="s">
        <v>491</v>
      </c>
      <c r="J475" s="6" t="s">
        <v>394</v>
      </c>
      <c r="K475" s="10">
        <v>5.75</v>
      </c>
      <c r="L475" s="10">
        <v>23</v>
      </c>
      <c r="M475" s="6" t="s">
        <v>425</v>
      </c>
      <c r="N475" s="6">
        <f>IF(OR($G475="FCC",$G475="Hydrocracker",$G475="Reformer"),IF(COUNTIFS($D:$D,$D475,$A:$A,$A475,$B:$B,$B475,$G:$G,"CDU",$J:$J,"PLANNED")&gt;0,"tied","standalone"),"")</f>
        <v/>
      </c>
    </row>
    <row r="476" spans="1:14">
      <c r="A476" s="6">
        <v>2023</v>
      </c>
      <c r="B476" s="6">
        <v>2</v>
      </c>
      <c r="C476" s="6" t="s">
        <v>61</v>
      </c>
      <c r="D476" s="6" t="s">
        <v>487</v>
      </c>
      <c r="E476" s="6" t="s">
        <v>488</v>
      </c>
      <c r="F476" s="6" t="str">
        <f>IF($M476="PADD I","PADD 1",IF($M476="PADD II","PADD 2",IF($M476="PADD III","PADD 3",IF($M476="PADD IV","PADD 4",IF($M476="PADD V","PADD 5","")))))</f>
        <v>PADD 4</v>
      </c>
      <c r="G476" s="6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6" t="s">
        <v>426</v>
      </c>
      <c r="I476" s="6" t="s">
        <v>478</v>
      </c>
      <c r="J476" s="6" t="s">
        <v>394</v>
      </c>
      <c r="K476" s="10">
        <v>5.673</v>
      </c>
      <c r="L476" s="10">
        <v>9.300000000000001</v>
      </c>
      <c r="M476" s="6" t="s">
        <v>480</v>
      </c>
      <c r="N476" s="6" t="str">
        <f>IF(OR($G476="FCC",$G476="Hydrocracker",$G476="Reformer"),IF(COUNTIFS($D:$D,$D476,$A:$A,$A476,$B:$B,$B476,$G:$G,"CDU",$J:$J,"PLANNED")&gt;0,"tied","standalone"),"")</f>
        <v>standalone</v>
      </c>
    </row>
    <row r="477" spans="1:14">
      <c r="A477" s="6">
        <v>2023</v>
      </c>
      <c r="B477" s="6">
        <v>2</v>
      </c>
      <c r="C477" s="6" t="s">
        <v>61</v>
      </c>
      <c r="D477" s="6" t="s">
        <v>470</v>
      </c>
      <c r="E477" s="6" t="s">
        <v>423</v>
      </c>
      <c r="F477" s="6" t="str">
        <f>IF($M477="PADD I","PADD 1",IF($M477="PADD II","PADD 2",IF($M477="PADD III","PADD 3",IF($M477="PADD IV","PADD 4",IF($M477="PADD V","PADD 5","")))))</f>
        <v>PADD 2</v>
      </c>
      <c r="G477" s="6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6" t="s">
        <v>44</v>
      </c>
      <c r="I477" s="6" t="s">
        <v>638</v>
      </c>
      <c r="J477" s="6" t="s">
        <v>394</v>
      </c>
      <c r="K477" s="10">
        <v>5.5</v>
      </c>
      <c r="L477" s="10">
        <v>5.5</v>
      </c>
      <c r="M477" s="6" t="s">
        <v>425</v>
      </c>
      <c r="N477" s="6">
        <f>IF(OR($G477="FCC",$G477="Hydrocracker",$G477="Reformer"),IF(COUNTIFS($D:$D,$D477,$A:$A,$A477,$B:$B,$B477,$G:$G,"CDU",$J:$J,"PLANNED")&gt;0,"tied","standalone"),"")</f>
        <v/>
      </c>
    </row>
    <row r="478" spans="1:14">
      <c r="A478" s="6">
        <v>2023</v>
      </c>
      <c r="B478" s="6">
        <v>2</v>
      </c>
      <c r="C478" s="6" t="s">
        <v>61</v>
      </c>
      <c r="D478" s="6" t="s">
        <v>487</v>
      </c>
      <c r="E478" s="6" t="s">
        <v>488</v>
      </c>
      <c r="F478" s="6" t="str">
        <f>IF($M478="PADD I","PADD 1",IF($M478="PADD II","PADD 2",IF($M478="PADD III","PADD 3",IF($M478="PADD IV","PADD 4",IF($M478="PADD V","PADD 5","")))))</f>
        <v>PADD 4</v>
      </c>
      <c r="G478" s="6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6" t="s">
        <v>471</v>
      </c>
      <c r="I478" s="6" t="s">
        <v>607</v>
      </c>
      <c r="J478" s="6" t="s">
        <v>394</v>
      </c>
      <c r="K478" s="10">
        <v>5.5</v>
      </c>
      <c r="L478" s="10">
        <v>5.5</v>
      </c>
      <c r="M478" s="6" t="s">
        <v>480</v>
      </c>
      <c r="N478" s="6" t="str">
        <f>IF(OR($G478="FCC",$G478="Hydrocracker",$G478="Reformer"),IF(COUNTIFS($D:$D,$D478,$A:$A,$A478,$B:$B,$B478,$G:$G,"CDU",$J:$J,"PLANNED")&gt;0,"tied","standalone"),"")</f>
        <v>standalone</v>
      </c>
    </row>
    <row r="479" spans="1:14">
      <c r="A479" s="6">
        <v>2023</v>
      </c>
      <c r="B479" s="6">
        <v>2</v>
      </c>
      <c r="C479" s="6" t="s">
        <v>61</v>
      </c>
      <c r="D479" s="6" t="s">
        <v>652</v>
      </c>
      <c r="E479" s="6" t="s">
        <v>419</v>
      </c>
      <c r="F479" s="6" t="str">
        <f>IF($M479="PADD I","PADD 1",IF($M479="PADD II","PADD 2",IF($M479="PADD III","PADD 3",IF($M479="PADD IV","PADD 4",IF($M479="PADD V","PADD 5","")))))</f>
        <v>PADD 2</v>
      </c>
      <c r="G479" s="6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6" t="s">
        <v>39</v>
      </c>
      <c r="I479" s="6" t="s">
        <v>711</v>
      </c>
      <c r="J479" s="6" t="s">
        <v>394</v>
      </c>
      <c r="K479" s="10">
        <v>5.32</v>
      </c>
      <c r="L479" s="10">
        <v>38</v>
      </c>
      <c r="M479" s="6" t="s">
        <v>425</v>
      </c>
      <c r="N479" s="6">
        <f>IF(OR($G479="FCC",$G479="Hydrocracker",$G479="Reformer"),IF(COUNTIFS($D:$D,$D479,$A:$A,$A479,$B:$B,$B479,$G:$G,"CDU",$J:$J,"PLANNED")&gt;0,"tied","standalone"),"")</f>
        <v/>
      </c>
    </row>
    <row r="480" spans="1:14">
      <c r="A480" s="6">
        <v>2023</v>
      </c>
      <c r="B480" s="6">
        <v>2</v>
      </c>
      <c r="C480" s="6" t="s">
        <v>61</v>
      </c>
      <c r="D480" s="6" t="s">
        <v>581</v>
      </c>
      <c r="E480" s="6" t="s">
        <v>582</v>
      </c>
      <c r="F480" s="6" t="str">
        <f>IF($M480="PADD I","PADD 1",IF($M480="PADD II","PADD 2",IF($M480="PADD III","PADD 3",IF($M480="PADD IV","PADD 4",IF($M480="PADD V","PADD 5","")))))</f>
        <v>PADD 5</v>
      </c>
      <c r="G480" s="6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6" t="s">
        <v>485</v>
      </c>
      <c r="I480" s="6" t="s">
        <v>664</v>
      </c>
      <c r="J480" s="6" t="s">
        <v>394</v>
      </c>
      <c r="K480" s="10">
        <v>5.265</v>
      </c>
      <c r="L480" s="10">
        <v>13.5</v>
      </c>
      <c r="M480" s="6" t="s">
        <v>436</v>
      </c>
      <c r="N480" s="6">
        <f>IF(OR($G480="FCC",$G480="Hydrocracker",$G480="Reformer"),IF(COUNTIFS($D:$D,$D480,$A:$A,$A480,$B:$B,$B480,$G:$G,"CDU",$J:$J,"PLANNED")&gt;0,"tied","standalone"),"")</f>
        <v/>
      </c>
    </row>
    <row r="481" spans="1:14">
      <c r="A481" s="6">
        <v>2023</v>
      </c>
      <c r="B481" s="6">
        <v>2</v>
      </c>
      <c r="C481" s="6" t="s">
        <v>61</v>
      </c>
      <c r="D481" s="6" t="s">
        <v>712</v>
      </c>
      <c r="E481" s="6" t="s">
        <v>602</v>
      </c>
      <c r="F481" s="6" t="str">
        <f>IF($M481="PADD I","PADD 1",IF($M481="PADD II","PADD 2",IF($M481="PADD III","PADD 3",IF($M481="PADD IV","PADD 4",IF($M481="PADD V","PADD 5","")))))</f>
        <v>PADD 3</v>
      </c>
      <c r="G481" s="6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6" t="s">
        <v>39</v>
      </c>
      <c r="I481" s="6" t="s">
        <v>713</v>
      </c>
      <c r="J481" s="6" t="s">
        <v>394</v>
      </c>
      <c r="K481" s="10">
        <v>5.11</v>
      </c>
      <c r="L481" s="10">
        <v>73</v>
      </c>
      <c r="M481" s="6" t="s">
        <v>421</v>
      </c>
      <c r="N481" s="6">
        <f>IF(OR($G481="FCC",$G481="Hydrocracker",$G481="Reformer"),IF(COUNTIFS($D:$D,$D481,$A:$A,$A481,$B:$B,$B481,$G:$G,"CDU",$J:$J,"PLANNED")&gt;0,"tied","standalone"),"")</f>
        <v/>
      </c>
    </row>
    <row r="482" spans="1:14">
      <c r="A482" s="6">
        <v>2023</v>
      </c>
      <c r="B482" s="6">
        <v>2</v>
      </c>
      <c r="C482" s="6" t="s">
        <v>61</v>
      </c>
      <c r="D482" s="6" t="s">
        <v>452</v>
      </c>
      <c r="E482" s="6" t="s">
        <v>453</v>
      </c>
      <c r="F482" s="6" t="str">
        <f>IF($M482="PADD I","PADD 1",IF($M482="PADD II","PADD 2",IF($M482="PADD III","PADD 3",IF($M482="PADD IV","PADD 4",IF($M482="PADD V","PADD 5","")))))</f>
        <v>PADD 3</v>
      </c>
      <c r="G482" s="6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6" t="s">
        <v>618</v>
      </c>
      <c r="I482" s="6" t="s">
        <v>650</v>
      </c>
      <c r="J482" s="6" t="s">
        <v>398</v>
      </c>
      <c r="K482" s="10">
        <v>5</v>
      </c>
      <c r="L482" s="10">
        <v>5</v>
      </c>
      <c r="M482" s="6" t="s">
        <v>421</v>
      </c>
      <c r="N482" s="6">
        <f>IF(OR($G482="FCC",$G482="Hydrocracker",$G482="Reformer"),IF(COUNTIFS($D:$D,$D482,$A:$A,$A482,$B:$B,$B482,$G:$G,"CDU",$J:$J,"PLANNED")&gt;0,"tied","standalone"),"")</f>
        <v/>
      </c>
    </row>
    <row r="483" spans="1:14">
      <c r="A483" s="6">
        <v>2023</v>
      </c>
      <c r="B483" s="6">
        <v>2</v>
      </c>
      <c r="C483" s="6" t="s">
        <v>61</v>
      </c>
      <c r="D483" s="6" t="s">
        <v>581</v>
      </c>
      <c r="E483" s="6" t="s">
        <v>582</v>
      </c>
      <c r="F483" s="6" t="str">
        <f>IF($M483="PADD I","PADD 1",IF($M483="PADD II","PADD 2",IF($M483="PADD III","PADD 3",IF($M483="PADD IV","PADD 4",IF($M483="PADD V","PADD 5","")))))</f>
        <v>PADD 5</v>
      </c>
      <c r="G483" s="6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6" t="s">
        <v>510</v>
      </c>
      <c r="I483" s="6" t="s">
        <v>666</v>
      </c>
      <c r="J483" s="6" t="s">
        <v>394</v>
      </c>
      <c r="K483" s="10">
        <v>4.9725</v>
      </c>
      <c r="L483" s="10">
        <v>12.75</v>
      </c>
      <c r="M483" s="6" t="s">
        <v>436</v>
      </c>
      <c r="N483" s="6">
        <f>IF(OR($G483="FCC",$G483="Hydrocracker",$G483="Reformer"),IF(COUNTIFS($D:$D,$D483,$A:$A,$A483,$B:$B,$B483,$G:$G,"CDU",$J:$J,"PLANNED")&gt;0,"tied","standalone"),"")</f>
        <v/>
      </c>
    </row>
    <row r="484" spans="1:14">
      <c r="A484" s="6">
        <v>2023</v>
      </c>
      <c r="B484" s="6">
        <v>2</v>
      </c>
      <c r="C484" s="6" t="s">
        <v>61</v>
      </c>
      <c r="D484" s="6" t="s">
        <v>515</v>
      </c>
      <c r="E484" s="6" t="s">
        <v>419</v>
      </c>
      <c r="F484" s="6" t="str">
        <f>IF($M484="PADD I","PADD 1",IF($M484="PADD II","PADD 2",IF($M484="PADD III","PADD 3",IF($M484="PADD IV","PADD 4",IF($M484="PADD V","PADD 5","")))))</f>
        <v>PADD 5</v>
      </c>
      <c r="G484" s="6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6" t="s">
        <v>44</v>
      </c>
      <c r="I484" s="6" t="s">
        <v>714</v>
      </c>
      <c r="J484" s="6" t="s">
        <v>398</v>
      </c>
      <c r="K484" s="10">
        <v>4.9</v>
      </c>
      <c r="L484" s="10">
        <v>35</v>
      </c>
      <c r="M484" s="6" t="s">
        <v>436</v>
      </c>
      <c r="N484" s="6">
        <f>IF(OR($G484="FCC",$G484="Hydrocracker",$G484="Reformer"),IF(COUNTIFS($D:$D,$D484,$A:$A,$A484,$B:$B,$B484,$G:$G,"CDU",$J:$J,"PLANNED")&gt;0,"tied","standalone"),"")</f>
        <v/>
      </c>
    </row>
    <row r="485" spans="1:14">
      <c r="A485" s="6">
        <v>2023</v>
      </c>
      <c r="B485" s="6">
        <v>2</v>
      </c>
      <c r="C485" s="6" t="s">
        <v>61</v>
      </c>
      <c r="D485" s="6" t="s">
        <v>368</v>
      </c>
      <c r="E485" s="6" t="s">
        <v>715</v>
      </c>
      <c r="F485" s="6" t="str">
        <f>IF($M485="PADD I","PADD 1",IF($M485="PADD II","PADD 2",IF($M485="PADD III","PADD 3",IF($M485="PADD IV","PADD 4",IF($M485="PADD V","PADD 5","")))))</f>
        <v>PADD 3</v>
      </c>
      <c r="G485" s="6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6" t="s">
        <v>494</v>
      </c>
      <c r="I485" s="6" t="s">
        <v>14</v>
      </c>
      <c r="J485" s="6" t="s">
        <v>394</v>
      </c>
      <c r="K485" s="10">
        <v>4.84</v>
      </c>
      <c r="L485" s="10">
        <v>44</v>
      </c>
      <c r="M485" s="6" t="s">
        <v>421</v>
      </c>
      <c r="N485" s="6" t="str">
        <f>IF(OR($G485="FCC",$G485="Hydrocracker",$G485="Reformer"),IF(COUNTIFS($D:$D,$D485,$A:$A,$A485,$B:$B,$B485,$G:$G,"CDU",$J:$J,"PLANNED")&gt;0,"tied","standalone"),"")</f>
        <v>standalone</v>
      </c>
    </row>
    <row r="486" spans="1:14">
      <c r="A486" s="6">
        <v>2023</v>
      </c>
      <c r="B486" s="6">
        <v>2</v>
      </c>
      <c r="C486" s="6" t="s">
        <v>61</v>
      </c>
      <c r="D486" s="6" t="s">
        <v>452</v>
      </c>
      <c r="E486" s="6" t="s">
        <v>453</v>
      </c>
      <c r="F486" s="6" t="str">
        <f>IF($M486="PADD I","PADD 1",IF($M486="PADD II","PADD 2",IF($M486="PADD III","PADD 3",IF($M486="PADD IV","PADD 4",IF($M486="PADD V","PADD 5","")))))</f>
        <v>PADD 3</v>
      </c>
      <c r="G486" s="6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6" t="s">
        <v>510</v>
      </c>
      <c r="I486" s="6" t="s">
        <v>653</v>
      </c>
      <c r="J486" s="6" t="s">
        <v>398</v>
      </c>
      <c r="K486" s="10">
        <v>4.8</v>
      </c>
      <c r="L486" s="10">
        <v>4.8</v>
      </c>
      <c r="M486" s="6" t="s">
        <v>421</v>
      </c>
      <c r="N486" s="6">
        <f>IF(OR($G486="FCC",$G486="Hydrocracker",$G486="Reformer"),IF(COUNTIFS($D:$D,$D486,$A:$A,$A486,$B:$B,$B486,$G:$G,"CDU",$J:$J,"PLANNED")&gt;0,"tied","standalone"),"")</f>
        <v/>
      </c>
    </row>
    <row r="487" spans="1:14">
      <c r="A487" s="6">
        <v>2023</v>
      </c>
      <c r="B487" s="6">
        <v>2</v>
      </c>
      <c r="C487" s="6" t="s">
        <v>61</v>
      </c>
      <c r="D487" s="6" t="s">
        <v>581</v>
      </c>
      <c r="E487" s="6" t="s">
        <v>582</v>
      </c>
      <c r="F487" s="6" t="str">
        <f>IF($M487="PADD I","PADD 1",IF($M487="PADD II","PADD 2",IF($M487="PADD III","PADD 3",IF($M487="PADD IV","PADD 4",IF($M487="PADD V","PADD 5","")))))</f>
        <v>PADD 5</v>
      </c>
      <c r="G487" s="6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6" t="s">
        <v>494</v>
      </c>
      <c r="I487" s="6" t="s">
        <v>14</v>
      </c>
      <c r="J487" s="6" t="s">
        <v>394</v>
      </c>
      <c r="K487" s="10">
        <v>4.68</v>
      </c>
      <c r="L487" s="10">
        <v>12</v>
      </c>
      <c r="M487" s="6" t="s">
        <v>436</v>
      </c>
      <c r="N487" s="6" t="str">
        <f>IF(OR($G487="FCC",$G487="Hydrocracker",$G487="Reformer"),IF(COUNTIFS($D:$D,$D487,$A:$A,$A487,$B:$B,$B487,$G:$G,"CDU",$J:$J,"PLANNED")&gt;0,"tied","standalone"),"")</f>
        <v>standalone</v>
      </c>
    </row>
    <row r="488" spans="1:14">
      <c r="A488" s="6">
        <v>2023</v>
      </c>
      <c r="B488" s="6">
        <v>2</v>
      </c>
      <c r="C488" s="6" t="s">
        <v>61</v>
      </c>
      <c r="D488" s="6" t="s">
        <v>709</v>
      </c>
      <c r="E488" s="6" t="s">
        <v>710</v>
      </c>
      <c r="F488" s="6" t="str">
        <f>IF($M488="PADD I","PADD 1",IF($M488="PADD II","PADD 2",IF($M488="PADD III","PADD 3",IF($M488="PADD IV","PADD 4",IF($M488="PADD V","PADD 5","")))))</f>
        <v>PADD 3</v>
      </c>
      <c r="G488" s="6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6" t="s">
        <v>428</v>
      </c>
      <c r="I488" s="6" t="s">
        <v>481</v>
      </c>
      <c r="J488" s="6" t="s">
        <v>398</v>
      </c>
      <c r="K488" s="10">
        <v>4.42</v>
      </c>
      <c r="L488" s="10">
        <v>6.5</v>
      </c>
      <c r="M488" s="6" t="s">
        <v>421</v>
      </c>
      <c r="N488" s="6">
        <f>IF(OR($G488="FCC",$G488="Hydrocracker",$G488="Reformer"),IF(COUNTIFS($D:$D,$D488,$A:$A,$A488,$B:$B,$B488,$G:$G,"CDU",$J:$J,"PLANNED")&gt;0,"tied","standalone"),"")</f>
        <v/>
      </c>
    </row>
    <row r="489" spans="1:14">
      <c r="A489" s="6">
        <v>2023</v>
      </c>
      <c r="B489" s="6">
        <v>2</v>
      </c>
      <c r="C489" s="6" t="s">
        <v>61</v>
      </c>
      <c r="D489" s="6" t="s">
        <v>665</v>
      </c>
      <c r="E489" s="6" t="s">
        <v>455</v>
      </c>
      <c r="F489" s="6" t="str">
        <f>IF($M489="PADD I","PADD 1",IF($M489="PADD II","PADD 2",IF($M489="PADD III","PADD 3",IF($M489="PADD IV","PADD 4",IF($M489="PADD V","PADD 5","")))))</f>
        <v>PADD 5</v>
      </c>
      <c r="G489" s="6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6" t="s">
        <v>471</v>
      </c>
      <c r="I489" s="6" t="s">
        <v>716</v>
      </c>
      <c r="J489" s="6" t="s">
        <v>398</v>
      </c>
      <c r="K489" s="10">
        <v>4.4</v>
      </c>
      <c r="L489" s="10">
        <v>40</v>
      </c>
      <c r="M489" s="6" t="s">
        <v>436</v>
      </c>
      <c r="N489" s="6" t="str">
        <f>IF(OR($G489="FCC",$G489="Hydrocracker",$G489="Reformer"),IF(COUNTIFS($D:$D,$D489,$A:$A,$A489,$B:$B,$B489,$G:$G,"CDU",$J:$J,"PLANNED")&gt;0,"tied","standalone"),"")</f>
        <v>standalone</v>
      </c>
    </row>
    <row r="490" spans="1:14">
      <c r="A490" s="6">
        <v>2023</v>
      </c>
      <c r="B490" s="6">
        <v>2</v>
      </c>
      <c r="C490" s="6" t="s">
        <v>61</v>
      </c>
      <c r="D490" s="6" t="s">
        <v>490</v>
      </c>
      <c r="E490" s="6" t="s">
        <v>419</v>
      </c>
      <c r="F490" s="6" t="str">
        <f>IF($M490="PADD I","PADD 1",IF($M490="PADD II","PADD 2",IF($M490="PADD III","PADD 3",IF($M490="PADD IV","PADD 4",IF($M490="PADD V","PADD 5","")))))</f>
        <v>PADD 5</v>
      </c>
      <c r="G490" s="6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6" t="s">
        <v>44</v>
      </c>
      <c r="I490" s="6" t="s">
        <v>717</v>
      </c>
      <c r="J490" s="6" t="s">
        <v>394</v>
      </c>
      <c r="K490" s="10">
        <v>4.4</v>
      </c>
      <c r="L490" s="10">
        <v>40</v>
      </c>
      <c r="M490" s="6" t="s">
        <v>436</v>
      </c>
      <c r="N490" s="6">
        <f>IF(OR($G490="FCC",$G490="Hydrocracker",$G490="Reformer"),IF(COUNTIFS($D:$D,$D490,$A:$A,$A490,$B:$B,$B490,$G:$G,"CDU",$J:$J,"PLANNED")&gt;0,"tied","standalone"),"")</f>
        <v/>
      </c>
    </row>
    <row r="491" spans="1:14">
      <c r="A491" s="6">
        <v>2023</v>
      </c>
      <c r="B491" s="6">
        <v>2</v>
      </c>
      <c r="C491" s="6" t="s">
        <v>61</v>
      </c>
      <c r="D491" s="6" t="s">
        <v>581</v>
      </c>
      <c r="E491" s="6" t="s">
        <v>582</v>
      </c>
      <c r="F491" s="6" t="str">
        <f>IF($M491="PADD I","PADD 1",IF($M491="PADD II","PADD 2",IF($M491="PADD III","PADD 3",IF($M491="PADD IV","PADD 4",IF($M491="PADD V","PADD 5","")))))</f>
        <v>PADD 5</v>
      </c>
      <c r="G491" s="6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6" t="s">
        <v>44</v>
      </c>
      <c r="I491" s="6" t="s">
        <v>668</v>
      </c>
      <c r="J491" s="6" t="s">
        <v>394</v>
      </c>
      <c r="K491" s="10">
        <v>3.9</v>
      </c>
      <c r="L491" s="10">
        <v>10</v>
      </c>
      <c r="M491" s="6" t="s">
        <v>436</v>
      </c>
      <c r="N491" s="6">
        <f>IF(OR($G491="FCC",$G491="Hydrocracker",$G491="Reformer"),IF(COUNTIFS($D:$D,$D491,$A:$A,$A491,$B:$B,$B491,$G:$G,"CDU",$J:$J,"PLANNED")&gt;0,"tied","standalone"),"")</f>
        <v/>
      </c>
    </row>
    <row r="492" spans="1:14">
      <c r="A492" s="6">
        <v>2023</v>
      </c>
      <c r="B492" s="6">
        <v>2</v>
      </c>
      <c r="C492" s="6" t="s">
        <v>61</v>
      </c>
      <c r="D492" s="6" t="s">
        <v>568</v>
      </c>
      <c r="E492" s="6" t="s">
        <v>419</v>
      </c>
      <c r="F492" s="6" t="str">
        <f>IF($M492="PADD I","PADD 1",IF($M492="PADD II","PADD 2",IF($M492="PADD III","PADD 3",IF($M492="PADD IV","PADD 4",IF($M492="PADD V","PADD 5","")))))</f>
        <v>PADD 5</v>
      </c>
      <c r="G492" s="6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6" t="s">
        <v>44</v>
      </c>
      <c r="I492" s="6" t="s">
        <v>629</v>
      </c>
      <c r="J492" s="6" t="s">
        <v>394</v>
      </c>
      <c r="K492" s="10">
        <v>3.5154</v>
      </c>
      <c r="L492" s="10">
        <v>16.74</v>
      </c>
      <c r="M492" s="6" t="s">
        <v>436</v>
      </c>
      <c r="N492" s="6">
        <f>IF(OR($G492="FCC",$G492="Hydrocracker",$G492="Reformer"),IF(COUNTIFS($D:$D,$D492,$A:$A,$A492,$B:$B,$B492,$G:$G,"CDU",$J:$J,"PLANNED")&gt;0,"tied","standalone"),"")</f>
        <v/>
      </c>
    </row>
    <row r="493" spans="1:14">
      <c r="A493" s="6">
        <v>2023</v>
      </c>
      <c r="B493" s="6">
        <v>2</v>
      </c>
      <c r="C493" s="6" t="s">
        <v>61</v>
      </c>
      <c r="D493" s="6" t="s">
        <v>518</v>
      </c>
      <c r="E493" s="6" t="s">
        <v>419</v>
      </c>
      <c r="F493" s="6" t="str">
        <f>IF($M493="PADD I","PADD 1",IF($M493="PADD II","PADD 2",IF($M493="PADD III","PADD 3",IF($M493="PADD IV","PADD 4",IF($M493="PADD V","PADD 5","")))))</f>
        <v>PADD 3</v>
      </c>
      <c r="G493" s="6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6" t="s">
        <v>471</v>
      </c>
      <c r="I493" s="6" t="s">
        <v>685</v>
      </c>
      <c r="J493" s="6" t="s">
        <v>394</v>
      </c>
      <c r="K493" s="10">
        <v>3.22</v>
      </c>
      <c r="L493" s="10">
        <v>7</v>
      </c>
      <c r="M493" s="6" t="s">
        <v>421</v>
      </c>
      <c r="N493" s="6" t="str">
        <f>IF(OR($G493="FCC",$G493="Hydrocracker",$G493="Reformer"),IF(COUNTIFS($D:$D,$D493,$A:$A,$A493,$B:$B,$B493,$G:$G,"CDU",$J:$J,"PLANNED")&gt;0,"tied","standalone"),"")</f>
        <v>standalone</v>
      </c>
    </row>
    <row r="494" spans="1:14">
      <c r="A494" s="6">
        <v>2023</v>
      </c>
      <c r="B494" s="6">
        <v>2</v>
      </c>
      <c r="C494" s="6" t="s">
        <v>61</v>
      </c>
      <c r="D494" s="6" t="s">
        <v>515</v>
      </c>
      <c r="E494" s="6" t="s">
        <v>419</v>
      </c>
      <c r="F494" s="6" t="str">
        <f>IF($M494="PADD I","PADD 1",IF($M494="PADD II","PADD 2",IF($M494="PADD III","PADD 3",IF($M494="PADD IV","PADD 4",IF($M494="PADD V","PADD 5","")))))</f>
        <v>PADD 5</v>
      </c>
      <c r="G494" s="6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6" t="s">
        <v>494</v>
      </c>
      <c r="I494" s="6" t="s">
        <v>718</v>
      </c>
      <c r="J494" s="6" t="s">
        <v>398</v>
      </c>
      <c r="K494" s="10">
        <v>3.025</v>
      </c>
      <c r="L494" s="10">
        <v>27.5</v>
      </c>
      <c r="M494" s="6" t="s">
        <v>436</v>
      </c>
      <c r="N494" s="6" t="str">
        <f>IF(OR($G494="FCC",$G494="Hydrocracker",$G494="Reformer"),IF(COUNTIFS($D:$D,$D494,$A:$A,$A494,$B:$B,$B494,$G:$G,"CDU",$J:$J,"PLANNED")&gt;0,"tied","standalone"),"")</f>
        <v>standalone</v>
      </c>
    </row>
    <row r="495" spans="1:14">
      <c r="A495" s="6">
        <v>2023</v>
      </c>
      <c r="B495" s="6">
        <v>2</v>
      </c>
      <c r="C495" s="6" t="s">
        <v>61</v>
      </c>
      <c r="D495" s="6" t="s">
        <v>422</v>
      </c>
      <c r="E495" s="6" t="s">
        <v>423</v>
      </c>
      <c r="F495" s="6" t="str">
        <f>IF($M495="PADD I","PADD 1",IF($M495="PADD II","PADD 2",IF($M495="PADD III","PADD 3",IF($M495="PADD IV","PADD 4",IF($M495="PADD V","PADD 5","")))))</f>
        <v>PADD 2</v>
      </c>
      <c r="G495" s="6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6" t="s">
        <v>510</v>
      </c>
      <c r="I495" s="6" t="s">
        <v>591</v>
      </c>
      <c r="J495" s="6" t="s">
        <v>394</v>
      </c>
      <c r="K495" s="10">
        <v>3</v>
      </c>
      <c r="L495" s="10">
        <v>3</v>
      </c>
      <c r="M495" s="6" t="s">
        <v>425</v>
      </c>
      <c r="N495" s="6">
        <f>IF(OR($G495="FCC",$G495="Hydrocracker",$G495="Reformer"),IF(COUNTIFS($D:$D,$D495,$A:$A,$A495,$B:$B,$B495,$G:$G,"CDU",$J:$J,"PLANNED")&gt;0,"tied","standalone"),"")</f>
        <v/>
      </c>
    </row>
    <row r="496" spans="1:14">
      <c r="A496" s="6">
        <v>2023</v>
      </c>
      <c r="B496" s="6">
        <v>2</v>
      </c>
      <c r="C496" s="6" t="s">
        <v>61</v>
      </c>
      <c r="D496" s="6" t="s">
        <v>422</v>
      </c>
      <c r="E496" s="6" t="s">
        <v>423</v>
      </c>
      <c r="F496" s="6" t="str">
        <f>IF($M496="PADD I","PADD 1",IF($M496="PADD II","PADD 2",IF($M496="PADD III","PADD 3",IF($M496="PADD IV","PADD 4",IF($M496="PADD V","PADD 5","")))))</f>
        <v>PADD 2</v>
      </c>
      <c r="G496" s="6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6" t="s">
        <v>510</v>
      </c>
      <c r="I496" s="6" t="s">
        <v>658</v>
      </c>
      <c r="J496" s="6" t="s">
        <v>394</v>
      </c>
      <c r="K496" s="10">
        <v>3</v>
      </c>
      <c r="L496" s="10">
        <v>3</v>
      </c>
      <c r="M496" s="6" t="s">
        <v>425</v>
      </c>
      <c r="N496" s="6">
        <f>IF(OR($G496="FCC",$G496="Hydrocracker",$G496="Reformer"),IF(COUNTIFS($D:$D,$D496,$A:$A,$A496,$B:$B,$B496,$G:$G,"CDU",$J:$J,"PLANNED")&gt;0,"tied","standalone"),"")</f>
        <v/>
      </c>
    </row>
    <row r="497" spans="1:14">
      <c r="A497" s="6">
        <v>2023</v>
      </c>
      <c r="B497" s="6">
        <v>2</v>
      </c>
      <c r="C497" s="6" t="s">
        <v>61</v>
      </c>
      <c r="D497" s="6" t="s">
        <v>515</v>
      </c>
      <c r="E497" s="6" t="s">
        <v>419</v>
      </c>
      <c r="F497" s="6" t="str">
        <f>IF($M497="PADD I","PADD 1",IF($M497="PADD II","PADD 2",IF($M497="PADD III","PADD 3",IF($M497="PADD IV","PADD 4",IF($M497="PADD V","PADD 5","")))))</f>
        <v>PADD 5</v>
      </c>
      <c r="G497" s="6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6" t="s">
        <v>44</v>
      </c>
      <c r="I497" s="6" t="s">
        <v>719</v>
      </c>
      <c r="J497" s="6" t="s">
        <v>398</v>
      </c>
      <c r="K497" s="10">
        <v>2.66</v>
      </c>
      <c r="L497" s="10">
        <v>19</v>
      </c>
      <c r="M497" s="6" t="s">
        <v>436</v>
      </c>
      <c r="N497" s="6">
        <f>IF(OR($G497="FCC",$G497="Hydrocracker",$G497="Reformer"),IF(COUNTIFS($D:$D,$D497,$A:$A,$A497,$B:$B,$B497,$G:$G,"CDU",$J:$J,"PLANNED")&gt;0,"tied","standalone"),"")</f>
        <v/>
      </c>
    </row>
    <row r="498" spans="1:14">
      <c r="A498" s="6">
        <v>2023</v>
      </c>
      <c r="B498" s="6">
        <v>2</v>
      </c>
      <c r="C498" s="6" t="s">
        <v>61</v>
      </c>
      <c r="D498" s="6" t="s">
        <v>479</v>
      </c>
      <c r="E498" s="6" t="s">
        <v>438</v>
      </c>
      <c r="F498" s="6" t="str">
        <f>IF($M498="PADD I","PADD 1",IF($M498="PADD II","PADD 2",IF($M498="PADD III","PADD 3",IF($M498="PADD IV","PADD 4",IF($M498="PADD V","PADD 5","")))))</f>
        <v>PADD 4</v>
      </c>
      <c r="G498" s="6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6" t="s">
        <v>510</v>
      </c>
      <c r="I498" s="6" t="s">
        <v>511</v>
      </c>
      <c r="J498" s="6" t="s">
        <v>398</v>
      </c>
      <c r="K498" s="10">
        <v>2.58</v>
      </c>
      <c r="L498" s="10">
        <v>6</v>
      </c>
      <c r="M498" s="6" t="s">
        <v>480</v>
      </c>
      <c r="N498" s="6">
        <f>IF(OR($G498="FCC",$G498="Hydrocracker",$G498="Reformer"),IF(COUNTIFS($D:$D,$D498,$A:$A,$A498,$B:$B,$B498,$G:$G,"CDU",$J:$J,"PLANNED")&gt;0,"tied","standalone"),"")</f>
        <v/>
      </c>
    </row>
    <row r="499" spans="1:14">
      <c r="A499" s="6">
        <v>2023</v>
      </c>
      <c r="B499" s="6">
        <v>2</v>
      </c>
      <c r="C499" s="6" t="s">
        <v>61</v>
      </c>
      <c r="D499" s="6" t="s">
        <v>720</v>
      </c>
      <c r="E499" s="6" t="s">
        <v>455</v>
      </c>
      <c r="F499" s="6" t="str">
        <f>IF($M499="PADD I","PADD 1",IF($M499="PADD II","PADD 2",IF($M499="PADD III","PADD 3",IF($M499="PADD IV","PADD 4",IF($M499="PADD V","PADD 5","")))))</f>
        <v>PADD 2</v>
      </c>
      <c r="G499" s="6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6" t="s">
        <v>471</v>
      </c>
      <c r="I499" s="6" t="s">
        <v>240</v>
      </c>
      <c r="J499" s="6" t="s">
        <v>394</v>
      </c>
      <c r="K499" s="10">
        <v>2.52</v>
      </c>
      <c r="L499" s="10">
        <v>36</v>
      </c>
      <c r="M499" s="6" t="s">
        <v>425</v>
      </c>
      <c r="N499" s="6" t="str">
        <f>IF(OR($G499="FCC",$G499="Hydrocracker",$G499="Reformer"),IF(COUNTIFS($D:$D,$D499,$A:$A,$A499,$B:$B,$B499,$G:$G,"CDU",$J:$J,"PLANNED")&gt;0,"tied","standalone"),"")</f>
        <v>standalone</v>
      </c>
    </row>
    <row r="500" spans="1:14">
      <c r="A500" s="6">
        <v>2023</v>
      </c>
      <c r="B500" s="6">
        <v>2</v>
      </c>
      <c r="C500" s="6" t="s">
        <v>61</v>
      </c>
      <c r="D500" s="6" t="s">
        <v>660</v>
      </c>
      <c r="E500" s="6" t="s">
        <v>661</v>
      </c>
      <c r="F500" s="6" t="str">
        <f>IF($M500="PADD I","PADD 1",IF($M500="PADD II","PADD 2",IF($M500="PADD III","PADD 3",IF($M500="PADD IV","PADD 4",IF($M500="PADD V","PADD 5","")))))</f>
        <v>PADD 2</v>
      </c>
      <c r="G500" s="6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6" t="s">
        <v>39</v>
      </c>
      <c r="I500" s="6" t="s">
        <v>381</v>
      </c>
      <c r="J500" s="6" t="s">
        <v>394</v>
      </c>
      <c r="K500" s="10">
        <v>2.4</v>
      </c>
      <c r="L500" s="10">
        <v>60</v>
      </c>
      <c r="M500" s="6" t="s">
        <v>425</v>
      </c>
      <c r="N500" s="6">
        <f>IF(OR($G500="FCC",$G500="Hydrocracker",$G500="Reformer"),IF(COUNTIFS($D:$D,$D500,$A:$A,$A500,$B:$B,$B500,$G:$G,"CDU",$J:$J,"PLANNED")&gt;0,"tied","standalone"),"")</f>
        <v/>
      </c>
    </row>
    <row r="501" spans="1:14">
      <c r="A501" s="6">
        <v>2023</v>
      </c>
      <c r="B501" s="6">
        <v>2</v>
      </c>
      <c r="C501" s="6" t="s">
        <v>61</v>
      </c>
      <c r="D501" s="6" t="s">
        <v>652</v>
      </c>
      <c r="E501" s="6" t="s">
        <v>419</v>
      </c>
      <c r="F501" s="6" t="str">
        <f>IF($M501="PADD I","PADD 1",IF($M501="PADD II","PADD 2",IF($M501="PADD III","PADD 3",IF($M501="PADD IV","PADD 4",IF($M501="PADD V","PADD 5","")))))</f>
        <v>PADD 2</v>
      </c>
      <c r="G501" s="6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6" t="s">
        <v>428</v>
      </c>
      <c r="I501" s="6" t="s">
        <v>586</v>
      </c>
      <c r="J501" s="6" t="s">
        <v>394</v>
      </c>
      <c r="K501" s="10">
        <v>2.1</v>
      </c>
      <c r="L501" s="10">
        <v>15</v>
      </c>
      <c r="M501" s="6" t="s">
        <v>425</v>
      </c>
      <c r="N501" s="6">
        <f>IF(OR($G501="FCC",$G501="Hydrocracker",$G501="Reformer"),IF(COUNTIFS($D:$D,$D501,$A:$A,$A501,$B:$B,$B501,$G:$G,"CDU",$J:$J,"PLANNED")&gt;0,"tied","standalone"),"")</f>
        <v/>
      </c>
    </row>
    <row r="502" spans="1:14">
      <c r="A502" s="6">
        <v>2023</v>
      </c>
      <c r="B502" s="6">
        <v>2</v>
      </c>
      <c r="C502" s="6" t="s">
        <v>61</v>
      </c>
      <c r="D502" s="6" t="s">
        <v>484</v>
      </c>
      <c r="E502" s="6" t="s">
        <v>438</v>
      </c>
      <c r="F502" s="6" t="str">
        <f>IF($M502="PADD I","PADD 1",IF($M502="PADD II","PADD 2",IF($M502="PADD III","PADD 3",IF($M502="PADD IV","PADD 4",IF($M502="PADD V","PADD 5","")))))</f>
        <v>PADD 5</v>
      </c>
      <c r="G502" s="6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6" t="s">
        <v>471</v>
      </c>
      <c r="I502" s="6" t="s">
        <v>721</v>
      </c>
      <c r="J502" s="6" t="s">
        <v>394</v>
      </c>
      <c r="K502" s="10">
        <v>2.1</v>
      </c>
      <c r="L502" s="10">
        <v>15</v>
      </c>
      <c r="M502" s="6" t="s">
        <v>436</v>
      </c>
      <c r="N502" s="6" t="str">
        <f>IF(OR($G502="FCC",$G502="Hydrocracker",$G502="Reformer"),IF(COUNTIFS($D:$D,$D502,$A:$A,$A502,$B:$B,$B502,$G:$G,"CDU",$J:$J,"PLANNED")&gt;0,"tied","standalone"),"")</f>
        <v>standalone</v>
      </c>
    </row>
    <row r="503" spans="1:14">
      <c r="A503" s="6">
        <v>2023</v>
      </c>
      <c r="B503" s="6">
        <v>2</v>
      </c>
      <c r="C503" s="6" t="s">
        <v>61</v>
      </c>
      <c r="D503" s="6" t="s">
        <v>515</v>
      </c>
      <c r="E503" s="6" t="s">
        <v>419</v>
      </c>
      <c r="F503" s="6" t="str">
        <f>IF($M503="PADD I","PADD 1",IF($M503="PADD II","PADD 2",IF($M503="PADD III","PADD 3",IF($M503="PADD IV","PADD 4",IF($M503="PADD V","PADD 5","")))))</f>
        <v>PADD 5</v>
      </c>
      <c r="G503" s="6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6" t="s">
        <v>510</v>
      </c>
      <c r="I503" s="6" t="s">
        <v>722</v>
      </c>
      <c r="J503" s="6" t="s">
        <v>398</v>
      </c>
      <c r="K503" s="10">
        <v>2.1</v>
      </c>
      <c r="L503" s="10">
        <v>15</v>
      </c>
      <c r="M503" s="6" t="s">
        <v>436</v>
      </c>
      <c r="N503" s="6">
        <f>IF(OR($G503="FCC",$G503="Hydrocracker",$G503="Reformer"),IF(COUNTIFS($D:$D,$D503,$A:$A,$A503,$B:$B,$B503,$G:$G,"CDU",$J:$J,"PLANNED")&gt;0,"tied","standalone"),"")</f>
        <v/>
      </c>
    </row>
    <row r="504" spans="1:14">
      <c r="A504" s="6">
        <v>2023</v>
      </c>
      <c r="B504" s="6">
        <v>2</v>
      </c>
      <c r="C504" s="6" t="s">
        <v>61</v>
      </c>
      <c r="D504" s="6" t="s">
        <v>470</v>
      </c>
      <c r="E504" s="6" t="s">
        <v>423</v>
      </c>
      <c r="F504" s="6" t="str">
        <f>IF($M504="PADD I","PADD 1",IF($M504="PADD II","PADD 2",IF($M504="PADD III","PADD 3",IF($M504="PADD IV","PADD 4",IF($M504="PADD V","PADD 5","")))))</f>
        <v>PADD 2</v>
      </c>
      <c r="G504" s="6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6" t="s">
        <v>618</v>
      </c>
      <c r="I504" s="6" t="s">
        <v>654</v>
      </c>
      <c r="J504" s="6" t="s">
        <v>394</v>
      </c>
      <c r="K504" s="10">
        <v>2</v>
      </c>
      <c r="L504" s="10">
        <v>2</v>
      </c>
      <c r="M504" s="6" t="s">
        <v>425</v>
      </c>
      <c r="N504" s="6">
        <f>IF(OR($G504="FCC",$G504="Hydrocracker",$G504="Reformer"),IF(COUNTIFS($D:$D,$D504,$A:$A,$A504,$B:$B,$B504,$G:$G,"CDU",$J:$J,"PLANNED")&gt;0,"tied","standalone"),"")</f>
        <v/>
      </c>
    </row>
    <row r="505" spans="1:14">
      <c r="A505" s="6">
        <v>2023</v>
      </c>
      <c r="B505" s="6">
        <v>2</v>
      </c>
      <c r="C505" s="6" t="s">
        <v>61</v>
      </c>
      <c r="D505" s="6" t="s">
        <v>550</v>
      </c>
      <c r="E505" s="6" t="s">
        <v>438</v>
      </c>
      <c r="F505" s="6" t="str">
        <f>IF($M505="PADD I","PADD 1",IF($M505="PADD II","PADD 2",IF($M505="PADD III","PADD 3",IF($M505="PADD IV","PADD 4",IF($M505="PADD V","PADD 5","")))))</f>
        <v>PADD 2</v>
      </c>
      <c r="G505" s="6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6" t="s">
        <v>426</v>
      </c>
      <c r="I505" s="6" t="s">
        <v>106</v>
      </c>
      <c r="J505" s="6" t="s">
        <v>394</v>
      </c>
      <c r="K505" s="10">
        <v>1.885</v>
      </c>
      <c r="L505" s="10">
        <v>6.5</v>
      </c>
      <c r="M505" s="6" t="s">
        <v>425</v>
      </c>
      <c r="N505" s="6" t="str">
        <f>IF(OR($G505="FCC",$G505="Hydrocracker",$G505="Reformer"),IF(COUNTIFS($D:$D,$D505,$A:$A,$A505,$B:$B,$B505,$G:$G,"CDU",$J:$J,"PLANNED")&gt;0,"tied","standalone"),"")</f>
        <v>standalone</v>
      </c>
    </row>
    <row r="506" spans="1:14">
      <c r="A506" s="6">
        <v>2023</v>
      </c>
      <c r="B506" s="6">
        <v>2</v>
      </c>
      <c r="C506" s="6" t="s">
        <v>61</v>
      </c>
      <c r="D506" s="6" t="s">
        <v>515</v>
      </c>
      <c r="E506" s="6" t="s">
        <v>419</v>
      </c>
      <c r="F506" s="6" t="str">
        <f>IF($M506="PADD I","PADD 1",IF($M506="PADD II","PADD 2",IF($M506="PADD III","PADD 3",IF($M506="PADD IV","PADD 4",IF($M506="PADD V","PADD 5","")))))</f>
        <v>PADD 5</v>
      </c>
      <c r="G506" s="6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6" t="s">
        <v>471</v>
      </c>
      <c r="I506" s="6" t="s">
        <v>723</v>
      </c>
      <c r="J506" s="6" t="s">
        <v>398</v>
      </c>
      <c r="K506" s="10">
        <v>1.76</v>
      </c>
      <c r="L506" s="10">
        <v>16</v>
      </c>
      <c r="M506" s="6" t="s">
        <v>436</v>
      </c>
      <c r="N506" s="6" t="str">
        <f>IF(OR($G506="FCC",$G506="Hydrocracker",$G506="Reformer"),IF(COUNTIFS($D:$D,$D506,$A:$A,$A506,$B:$B,$B506,$G:$G,"CDU",$J:$J,"PLANNED")&gt;0,"tied","standalone"),"")</f>
        <v>standalone</v>
      </c>
    </row>
    <row r="507" spans="1:14">
      <c r="A507" s="6">
        <v>2023</v>
      </c>
      <c r="B507" s="6">
        <v>2</v>
      </c>
      <c r="C507" s="6" t="s">
        <v>61</v>
      </c>
      <c r="D507" s="6" t="s">
        <v>712</v>
      </c>
      <c r="E507" s="6" t="s">
        <v>602</v>
      </c>
      <c r="F507" s="6" t="str">
        <f>IF($M507="PADD I","PADD 1",IF($M507="PADD II","PADD 2",IF($M507="PADD III","PADD 3",IF($M507="PADD IV","PADD 4",IF($M507="PADD V","PADD 5","")))))</f>
        <v>PADD 3</v>
      </c>
      <c r="G507" s="6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6" t="s">
        <v>428</v>
      </c>
      <c r="I507" s="6" t="s">
        <v>481</v>
      </c>
      <c r="J507" s="6" t="s">
        <v>394</v>
      </c>
      <c r="K507" s="10">
        <v>1.68</v>
      </c>
      <c r="L507" s="10">
        <v>24</v>
      </c>
      <c r="M507" s="6" t="s">
        <v>421</v>
      </c>
      <c r="N507" s="6">
        <f>IF(OR($G507="FCC",$G507="Hydrocracker",$G507="Reformer"),IF(COUNTIFS($D:$D,$D507,$A:$A,$A507,$B:$B,$B507,$G:$G,"CDU",$J:$J,"PLANNED")&gt;0,"tied","standalone"),"")</f>
        <v/>
      </c>
    </row>
    <row r="508" spans="1:14">
      <c r="A508" s="6">
        <v>2023</v>
      </c>
      <c r="B508" s="6">
        <v>2</v>
      </c>
      <c r="C508" s="6" t="s">
        <v>61</v>
      </c>
      <c r="D508" s="6" t="s">
        <v>568</v>
      </c>
      <c r="E508" s="6" t="s">
        <v>419</v>
      </c>
      <c r="F508" s="6" t="str">
        <f>IF($M508="PADD I","PADD 1",IF($M508="PADD II","PADD 2",IF($M508="PADD III","PADD 3",IF($M508="PADD IV","PADD 4",IF($M508="PADD V","PADD 5","")))))</f>
        <v>PADD 5</v>
      </c>
      <c r="G508" s="6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6" t="s">
        <v>471</v>
      </c>
      <c r="I508" s="6" t="s">
        <v>636</v>
      </c>
      <c r="J508" s="6" t="s">
        <v>394</v>
      </c>
      <c r="K508" s="10">
        <v>1.295</v>
      </c>
      <c r="L508" s="10">
        <v>18.5</v>
      </c>
      <c r="M508" s="6" t="s">
        <v>436</v>
      </c>
      <c r="N508" s="6" t="str">
        <f>IF(OR($G508="FCC",$G508="Hydrocracker",$G508="Reformer"),IF(COUNTIFS($D:$D,$D508,$A:$A,$A508,$B:$B,$B508,$G:$G,"CDU",$J:$J,"PLANNED")&gt;0,"tied","standalone"),"")</f>
        <v>standalone</v>
      </c>
    </row>
    <row r="509" spans="1:14">
      <c r="A509" s="6">
        <v>2023</v>
      </c>
      <c r="B509" s="6">
        <v>2</v>
      </c>
      <c r="C509" s="6" t="s">
        <v>61</v>
      </c>
      <c r="D509" s="6" t="s">
        <v>568</v>
      </c>
      <c r="E509" s="6" t="s">
        <v>419</v>
      </c>
      <c r="F509" s="6" t="str">
        <f>IF($M509="PADD I","PADD 1",IF($M509="PADD II","PADD 2",IF($M509="PADD III","PADD 3",IF($M509="PADD IV","PADD 4",IF($M509="PADD V","PADD 5","")))))</f>
        <v>PADD 5</v>
      </c>
      <c r="G509" s="6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6" t="s">
        <v>485</v>
      </c>
      <c r="I509" s="6" t="s">
        <v>628</v>
      </c>
      <c r="J509" s="6" t="s">
        <v>398</v>
      </c>
      <c r="K509" s="10">
        <v>0.92</v>
      </c>
      <c r="L509" s="10">
        <v>23</v>
      </c>
      <c r="M509" s="6" t="s">
        <v>436</v>
      </c>
      <c r="N509" s="6">
        <f>IF(OR($G509="FCC",$G509="Hydrocracker",$G509="Reformer"),IF(COUNTIFS($D:$D,$D509,$A:$A,$A509,$B:$B,$B509,$G:$G,"CDU",$J:$J,"PLANNED")&gt;0,"tied","standalone"),"")</f>
        <v/>
      </c>
    </row>
    <row r="510" spans="1:14">
      <c r="A510" s="6">
        <v>2023</v>
      </c>
      <c r="B510" s="6">
        <v>2</v>
      </c>
      <c r="C510" s="6" t="s">
        <v>61</v>
      </c>
      <c r="D510" s="6" t="s">
        <v>49</v>
      </c>
      <c r="E510" s="6" t="s">
        <v>438</v>
      </c>
      <c r="F510" s="6" t="str">
        <f>IF($M510="PADD I","PADD 1",IF($M510="PADD II","PADD 2",IF($M510="PADD III","PADD 3",IF($M510="PADD IV","PADD 4",IF($M510="PADD V","PADD 5","")))))</f>
        <v>PADD 2</v>
      </c>
      <c r="G510" s="6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6" t="s">
        <v>485</v>
      </c>
      <c r="I510" s="6" t="s">
        <v>681</v>
      </c>
      <c r="J510" s="6" t="s">
        <v>394</v>
      </c>
      <c r="K510" s="10">
        <v>0.84</v>
      </c>
      <c r="L510" s="10">
        <v>12</v>
      </c>
      <c r="M510" s="6" t="s">
        <v>425</v>
      </c>
      <c r="N510" s="6">
        <f>IF(OR($G510="FCC",$G510="Hydrocracker",$G510="Reformer"),IF(COUNTIFS($D:$D,$D510,$A:$A,$A510,$B:$B,$B510,$G:$G,"CDU",$J:$J,"PLANNED")&gt;0,"tied","standalone"),"")</f>
        <v/>
      </c>
    </row>
    <row r="511" spans="1:14">
      <c r="A511" s="6">
        <v>2023</v>
      </c>
      <c r="B511" s="6">
        <v>2</v>
      </c>
      <c r="C511" s="6" t="s">
        <v>61</v>
      </c>
      <c r="D511" s="6" t="s">
        <v>660</v>
      </c>
      <c r="E511" s="6" t="s">
        <v>661</v>
      </c>
      <c r="F511" s="6" t="str">
        <f>IF($M511="PADD I","PADD 1",IF($M511="PADD II","PADD 2",IF($M511="PADD III","PADD 3",IF($M511="PADD IV","PADD 4",IF($M511="PADD V","PADD 5","")))))</f>
        <v>PADD 2</v>
      </c>
      <c r="G511" s="6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6" t="s">
        <v>428</v>
      </c>
      <c r="I511" s="6" t="s">
        <v>544</v>
      </c>
      <c r="J511" s="6" t="s">
        <v>394</v>
      </c>
      <c r="K511" s="10">
        <v>0.84</v>
      </c>
      <c r="L511" s="10">
        <v>21</v>
      </c>
      <c r="M511" s="6" t="s">
        <v>425</v>
      </c>
      <c r="N511" s="6">
        <f>IF(OR($G511="FCC",$G511="Hydrocracker",$G511="Reformer"),IF(COUNTIFS($D:$D,$D511,$A:$A,$A511,$B:$B,$B511,$G:$G,"CDU",$J:$J,"PLANNED")&gt;0,"tied","standalone"),"")</f>
        <v/>
      </c>
    </row>
    <row r="512" spans="1:14">
      <c r="A512" s="6">
        <v>2023</v>
      </c>
      <c r="B512" s="6">
        <v>2</v>
      </c>
      <c r="C512" s="6" t="s">
        <v>61</v>
      </c>
      <c r="D512" s="6" t="s">
        <v>660</v>
      </c>
      <c r="E512" s="6" t="s">
        <v>661</v>
      </c>
      <c r="F512" s="6" t="str">
        <f>IF($M512="PADD I","PADD 1",IF($M512="PADD II","PADD 2",IF($M512="PADD III","PADD 3",IF($M512="PADD IV","PADD 4",IF($M512="PADD V","PADD 5","")))))</f>
        <v>PADD 2</v>
      </c>
      <c r="G512" s="6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6" t="s">
        <v>485</v>
      </c>
      <c r="I512" s="6" t="s">
        <v>491</v>
      </c>
      <c r="J512" s="6" t="s">
        <v>398</v>
      </c>
      <c r="K512" s="10">
        <v>0.78</v>
      </c>
      <c r="L512" s="10">
        <v>19.5</v>
      </c>
      <c r="M512" s="6" t="s">
        <v>425</v>
      </c>
      <c r="N512" s="6">
        <f>IF(OR($G512="FCC",$G512="Hydrocracker",$G512="Reformer"),IF(COUNTIFS($D:$D,$D512,$A:$A,$A512,$B:$B,$B512,$G:$G,"CDU",$J:$J,"PLANNED")&gt;0,"tied","standalone"),"")</f>
        <v/>
      </c>
    </row>
    <row r="513" spans="1:14">
      <c r="A513" s="6">
        <v>2023</v>
      </c>
      <c r="B513" s="6">
        <v>2</v>
      </c>
      <c r="C513" s="6" t="s">
        <v>61</v>
      </c>
      <c r="D513" s="6" t="s">
        <v>682</v>
      </c>
      <c r="E513" s="6" t="s">
        <v>683</v>
      </c>
      <c r="F513" s="6" t="str">
        <f>IF($M513="PADD I","PADD 1",IF($M513="PADD II","PADD 2",IF($M513="PADD III","PADD 3",IF($M513="PADD IV","PADD 4",IF($M513="PADD V","PADD 5","")))))</f>
        <v>PADD 4</v>
      </c>
      <c r="G513" s="6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6" t="s">
        <v>426</v>
      </c>
      <c r="I513" s="6" t="s">
        <v>684</v>
      </c>
      <c r="J513" s="6" t="s">
        <v>394</v>
      </c>
      <c r="K513" s="10">
        <v>0.5</v>
      </c>
      <c r="L513" s="10">
        <v>12.5</v>
      </c>
      <c r="M513" s="6" t="s">
        <v>480</v>
      </c>
      <c r="N513" s="6" t="str">
        <f>IF(OR($G513="FCC",$G513="Hydrocracker",$G513="Reformer"),IF(COUNTIFS($D:$D,$D513,$A:$A,$A513,$B:$B,$B513,$G:$G,"CDU",$J:$J,"PLANNED")&gt;0,"tied","standalone"),"")</f>
        <v>standalone</v>
      </c>
    </row>
    <row r="514" spans="1:14">
      <c r="A514" s="6">
        <v>2023</v>
      </c>
      <c r="B514" s="6">
        <v>2</v>
      </c>
      <c r="C514" s="6" t="s">
        <v>61</v>
      </c>
      <c r="D514" s="6" t="s">
        <v>682</v>
      </c>
      <c r="E514" s="6" t="s">
        <v>683</v>
      </c>
      <c r="F514" s="6" t="str">
        <f>IF($M514="PADD I","PADD 1",IF($M514="PADD II","PADD 2",IF($M514="PADD III","PADD 3",IF($M514="PADD IV","PADD 4",IF($M514="PADD V","PADD 5","")))))</f>
        <v>PADD 4</v>
      </c>
      <c r="G514" s="6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6" t="s">
        <v>44</v>
      </c>
      <c r="I514" s="6" t="s">
        <v>724</v>
      </c>
      <c r="J514" s="6" t="s">
        <v>394</v>
      </c>
      <c r="K514" s="10">
        <v>0.46</v>
      </c>
      <c r="L514" s="10">
        <v>11.5</v>
      </c>
      <c r="M514" s="6" t="s">
        <v>480</v>
      </c>
      <c r="N514" s="6">
        <f>IF(OR($G514="FCC",$G514="Hydrocracker",$G514="Reformer"),IF(COUNTIFS($D:$D,$D514,$A:$A,$A514,$B:$B,$B514,$G:$G,"CDU",$J:$J,"PLANNED")&gt;0,"tied","standalone"),"")</f>
        <v/>
      </c>
    </row>
    <row r="515" spans="1:14">
      <c r="A515" s="6">
        <v>2023</v>
      </c>
      <c r="B515" s="6">
        <v>2</v>
      </c>
      <c r="C515" s="6" t="s">
        <v>61</v>
      </c>
      <c r="D515" s="6" t="s">
        <v>686</v>
      </c>
      <c r="E515" s="6" t="s">
        <v>419</v>
      </c>
      <c r="F515" s="6" t="str">
        <f>IF($M515="PADD I","PADD 1",IF($M515="PADD II","PADD 2",IF($M515="PADD III","PADD 3",IF($M515="PADD IV","PADD 4",IF($M515="PADD V","PADD 5","")))))</f>
        <v>PADD 5</v>
      </c>
      <c r="G515" s="6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6" t="s">
        <v>687</v>
      </c>
      <c r="I515" s="6" t="s">
        <v>688</v>
      </c>
      <c r="J515" s="6" t="s">
        <v>394</v>
      </c>
      <c r="K515" s="10">
        <v>0.2</v>
      </c>
      <c r="L515" s="10">
        <v>0.2</v>
      </c>
      <c r="M515" s="6" t="s">
        <v>436</v>
      </c>
      <c r="N515" s="6">
        <f>IF(OR($G515="FCC",$G515="Hydrocracker",$G515="Reformer"),IF(COUNTIFS($D:$D,$D515,$A:$A,$A515,$B:$B,$B515,$G:$G,"CDU",$J:$J,"PLANNED")&gt;0,"tied","standalone"),"")</f>
        <v/>
      </c>
    </row>
    <row r="516" spans="1:14">
      <c r="A516" s="6">
        <v>2023</v>
      </c>
      <c r="B516" s="6">
        <v>2</v>
      </c>
      <c r="C516" s="6" t="s">
        <v>61</v>
      </c>
      <c r="D516" s="6" t="s">
        <v>682</v>
      </c>
      <c r="E516" s="6" t="s">
        <v>683</v>
      </c>
      <c r="F516" s="6" t="str">
        <f>IF($M516="PADD I","PADD 1",IF($M516="PADD II","PADD 2",IF($M516="PADD III","PADD 3",IF($M516="PADD IV","PADD 4",IF($M516="PADD V","PADD 5","")))))</f>
        <v>PADD 4</v>
      </c>
      <c r="G516" s="6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6" t="s">
        <v>510</v>
      </c>
      <c r="I516" s="6" t="s">
        <v>666</v>
      </c>
      <c r="J516" s="6" t="s">
        <v>394</v>
      </c>
      <c r="K516" s="10">
        <v>0.124</v>
      </c>
      <c r="L516" s="10">
        <v>3.1</v>
      </c>
      <c r="M516" s="6" t="s">
        <v>480</v>
      </c>
      <c r="N516" s="6">
        <f>IF(OR($G516="FCC",$G516="Hydrocracker",$G516="Reformer"),IF(COUNTIFS($D:$D,$D516,$A:$A,$A516,$B:$B,$B516,$G:$G,"CDU",$J:$J,"PLANNED")&gt;0,"tied","standalone"),"")</f>
        <v/>
      </c>
    </row>
    <row r="517" spans="1:14">
      <c r="A517" s="6">
        <v>2023</v>
      </c>
      <c r="B517" s="6">
        <v>3</v>
      </c>
      <c r="C517" s="6" t="s">
        <v>62</v>
      </c>
      <c r="D517" s="6" t="s">
        <v>418</v>
      </c>
      <c r="E517" s="6" t="s">
        <v>419</v>
      </c>
      <c r="F517" s="6" t="str">
        <f>IF($M517="PADD I","PADD 1",IF($M517="PADD II","PADD 2",IF($M517="PADD III","PADD 3",IF($M517="PADD IV","PADD 4",IF($M517="PADD V","PADD 5","")))))</f>
        <v>PADD 3</v>
      </c>
      <c r="G517" s="6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6" t="s">
        <v>39</v>
      </c>
      <c r="I517" s="6" t="s">
        <v>420</v>
      </c>
      <c r="J517" s="6" t="s">
        <v>398</v>
      </c>
      <c r="K517" s="10">
        <v>269.14</v>
      </c>
      <c r="L517" s="10">
        <v>269.14</v>
      </c>
      <c r="M517" s="6" t="s">
        <v>421</v>
      </c>
      <c r="N517" s="6">
        <f>IF(OR($G517="FCC",$G517="Hydrocracker",$G517="Reformer"),IF(COUNTIFS($D:$D,$D517,$A:$A,$A517,$B:$B,$B517,$G:$G,"CDU",$J:$J,"PLANNED")&gt;0,"tied","standalone"),"")</f>
        <v/>
      </c>
    </row>
    <row r="518" spans="1:14">
      <c r="A518" s="6">
        <v>2023</v>
      </c>
      <c r="B518" s="6">
        <v>3</v>
      </c>
      <c r="C518" s="6" t="s">
        <v>62</v>
      </c>
      <c r="D518" s="6" t="s">
        <v>437</v>
      </c>
      <c r="E518" s="6" t="s">
        <v>438</v>
      </c>
      <c r="F518" s="6" t="str">
        <f>IF($M518="PADD I","PADD 1",IF($M518="PADD II","PADD 2",IF($M518="PADD III","PADD 3",IF($M518="PADD IV","PADD 4",IF($M518="PADD V","PADD 5","")))))</f>
        <v>PADD 3</v>
      </c>
      <c r="G518" s="6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6" t="s">
        <v>39</v>
      </c>
      <c r="I518" s="6" t="s">
        <v>439</v>
      </c>
      <c r="J518" s="6" t="s">
        <v>398</v>
      </c>
      <c r="K518" s="10">
        <v>245</v>
      </c>
      <c r="L518" s="10">
        <v>245</v>
      </c>
      <c r="M518" s="6" t="s">
        <v>421</v>
      </c>
      <c r="N518" s="6">
        <f>IF(OR($G518="FCC",$G518="Hydrocracker",$G518="Reformer"),IF(COUNTIFS($D:$D,$D518,$A:$A,$A518,$B:$B,$B518,$G:$G,"CDU",$J:$J,"PLANNED")&gt;0,"tied","standalone"),"")</f>
        <v/>
      </c>
    </row>
    <row r="519" spans="1:14">
      <c r="A519" s="6">
        <v>2023</v>
      </c>
      <c r="B519" s="6">
        <v>3</v>
      </c>
      <c r="C519" s="6" t="s">
        <v>62</v>
      </c>
      <c r="D519" s="6" t="s">
        <v>461</v>
      </c>
      <c r="E519" s="6" t="s">
        <v>419</v>
      </c>
      <c r="F519" s="6" t="str">
        <f>IF($M519="PADD I","PADD 1",IF($M519="PADD II","PADD 2",IF($M519="PADD III","PADD 3",IF($M519="PADD IV","PADD 4",IF($M519="PADD V","PADD 5","")))))</f>
        <v>PADD 1</v>
      </c>
      <c r="G519" s="6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6" t="s">
        <v>426</v>
      </c>
      <c r="I519" s="6" t="s">
        <v>106</v>
      </c>
      <c r="J519" s="6" t="s">
        <v>398</v>
      </c>
      <c r="K519" s="10">
        <v>130.5</v>
      </c>
      <c r="L519" s="10">
        <v>150</v>
      </c>
      <c r="M519" s="6" t="s">
        <v>463</v>
      </c>
      <c r="N519" s="6" t="str">
        <f>IF(OR($G519="FCC",$G519="Hydrocracker",$G519="Reformer"),IF(COUNTIFS($D:$D,$D519,$A:$A,$A519,$B:$B,$B519,$G:$G,"CDU",$J:$J,"PLANNED")&gt;0,"tied","standalone"),"")</f>
        <v>tied</v>
      </c>
    </row>
    <row r="520" spans="1:14">
      <c r="A520" s="6">
        <v>2023</v>
      </c>
      <c r="B520" s="6">
        <v>3</v>
      </c>
      <c r="C520" s="6" t="s">
        <v>62</v>
      </c>
      <c r="D520" s="6" t="s">
        <v>725</v>
      </c>
      <c r="E520" s="6" t="s">
        <v>502</v>
      </c>
      <c r="F520" s="6" t="str">
        <f>IF($M520="PADD I","PADD 1",IF($M520="PADD II","PADD 2",IF($M520="PADD III","PADD 3",IF($M520="PADD IV","PADD 4",IF($M520="PADD V","PADD 5","")))))</f>
        <v>PADD 2</v>
      </c>
      <c r="G520" s="6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6" t="s">
        <v>39</v>
      </c>
      <c r="I520" s="6" t="s">
        <v>82</v>
      </c>
      <c r="J520" s="6" t="s">
        <v>398</v>
      </c>
      <c r="K520" s="10">
        <v>129.6</v>
      </c>
      <c r="L520" s="10">
        <v>160</v>
      </c>
      <c r="M520" s="6" t="s">
        <v>425</v>
      </c>
      <c r="N520" s="6">
        <f>IF(OR($G520="FCC",$G520="Hydrocracker",$G520="Reformer"),IF(COUNTIFS($D:$D,$D520,$A:$A,$A520,$B:$B,$B520,$G:$G,"CDU",$J:$J,"PLANNED")&gt;0,"tied","standalone"),"")</f>
        <v/>
      </c>
    </row>
    <row r="521" spans="1:14">
      <c r="A521" s="6">
        <v>2023</v>
      </c>
      <c r="B521" s="6">
        <v>3</v>
      </c>
      <c r="C521" s="6" t="s">
        <v>62</v>
      </c>
      <c r="D521" s="6" t="s">
        <v>576</v>
      </c>
      <c r="E521" s="6" t="s">
        <v>455</v>
      </c>
      <c r="F521" s="6" t="str">
        <f>IF($M521="PADD I","PADD 1",IF($M521="PADD II","PADD 2",IF($M521="PADD III","PADD 3",IF($M521="PADD IV","PADD 4",IF($M521="PADD V","PADD 5","")))))</f>
        <v>PADD 3</v>
      </c>
      <c r="G521" s="6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6" t="s">
        <v>39</v>
      </c>
      <c r="I521" s="6" t="s">
        <v>691</v>
      </c>
      <c r="J521" s="6" t="s">
        <v>398</v>
      </c>
      <c r="K521" s="10">
        <v>115</v>
      </c>
      <c r="L521" s="10">
        <v>115</v>
      </c>
      <c r="M521" s="6" t="s">
        <v>421</v>
      </c>
      <c r="N521" s="6">
        <f>IF(OR($G521="FCC",$G521="Hydrocracker",$G521="Reformer"),IF(COUNTIFS($D:$D,$D521,$A:$A,$A521,$B:$B,$B521,$G:$G,"CDU",$J:$J,"PLANNED")&gt;0,"tied","standalone"),"")</f>
        <v/>
      </c>
    </row>
    <row r="522" spans="1:14">
      <c r="A522" s="6">
        <v>2023</v>
      </c>
      <c r="B522" s="6">
        <v>3</v>
      </c>
      <c r="C522" s="6" t="s">
        <v>62</v>
      </c>
      <c r="D522" s="6" t="s">
        <v>422</v>
      </c>
      <c r="E522" s="6" t="s">
        <v>423</v>
      </c>
      <c r="F522" s="6" t="str">
        <f>IF($M522="PADD I","PADD 1",IF($M522="PADD II","PADD 2",IF($M522="PADD III","PADD 3",IF($M522="PADD IV","PADD 4",IF($M522="PADD V","PADD 5","")))))</f>
        <v>PADD 2</v>
      </c>
      <c r="G522" s="6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6" t="s">
        <v>39</v>
      </c>
      <c r="I522" s="6" t="s">
        <v>424</v>
      </c>
      <c r="J522" s="6" t="s">
        <v>394</v>
      </c>
      <c r="K522" s="10">
        <v>112.8</v>
      </c>
      <c r="L522" s="10">
        <v>120</v>
      </c>
      <c r="M522" s="6" t="s">
        <v>425</v>
      </c>
      <c r="N522" s="6">
        <f>IF(OR($G522="FCC",$G522="Hydrocracker",$G522="Reformer"),IF(COUNTIFS($D:$D,$D522,$A:$A,$A522,$B:$B,$B522,$G:$G,"CDU",$J:$J,"PLANNED")&gt;0,"tied","standalone"),"")</f>
        <v/>
      </c>
    </row>
    <row r="523" spans="1:14">
      <c r="A523" s="6">
        <v>2023</v>
      </c>
      <c r="B523" s="6">
        <v>3</v>
      </c>
      <c r="C523" s="6" t="s">
        <v>62</v>
      </c>
      <c r="D523" s="6" t="s">
        <v>437</v>
      </c>
      <c r="E523" s="6" t="s">
        <v>438</v>
      </c>
      <c r="F523" s="6" t="str">
        <f>IF($M523="PADD I","PADD 1",IF($M523="PADD II","PADD 2",IF($M523="PADD III","PADD 3",IF($M523="PADD IV","PADD 4",IF($M523="PADD V","PADD 5","")))))</f>
        <v>PADD 3</v>
      </c>
      <c r="G523" s="6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6" t="s">
        <v>428</v>
      </c>
      <c r="I523" s="6" t="s">
        <v>492</v>
      </c>
      <c r="J523" s="6" t="s">
        <v>398</v>
      </c>
      <c r="K523" s="10">
        <v>112.5</v>
      </c>
      <c r="L523" s="10">
        <v>112.5</v>
      </c>
      <c r="M523" s="6" t="s">
        <v>421</v>
      </c>
      <c r="N523" s="6">
        <f>IF(OR($G523="FCC",$G523="Hydrocracker",$G523="Reformer"),IF(COUNTIFS($D:$D,$D523,$A:$A,$A523,$B:$B,$B523,$G:$G,"CDU",$J:$J,"PLANNED")&gt;0,"tied","standalone"),"")</f>
        <v/>
      </c>
    </row>
    <row r="524" spans="1:14">
      <c r="A524" s="6">
        <v>2023</v>
      </c>
      <c r="B524" s="6">
        <v>3</v>
      </c>
      <c r="C524" s="6" t="s">
        <v>62</v>
      </c>
      <c r="D524" s="6" t="s">
        <v>461</v>
      </c>
      <c r="E524" s="6" t="s">
        <v>419</v>
      </c>
      <c r="F524" s="6" t="str">
        <f>IF($M524="PADD I","PADD 1",IF($M524="PADD II","PADD 2",IF($M524="PADD III","PADD 3",IF($M524="PADD IV","PADD 4",IF($M524="PADD V","PADD 5","")))))</f>
        <v>PADD 1</v>
      </c>
      <c r="G524" s="6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6" t="s">
        <v>39</v>
      </c>
      <c r="I524" s="6" t="s">
        <v>462</v>
      </c>
      <c r="J524" s="6" t="s">
        <v>398</v>
      </c>
      <c r="K524" s="10">
        <v>112.23</v>
      </c>
      <c r="L524" s="10">
        <v>129</v>
      </c>
      <c r="M524" s="6" t="s">
        <v>463</v>
      </c>
      <c r="N524" s="6">
        <f>IF(OR($G524="FCC",$G524="Hydrocracker",$G524="Reformer"),IF(COUNTIFS($D:$D,$D524,$A:$A,$A524,$B:$B,$B524,$G:$G,"CDU",$J:$J,"PLANNED")&gt;0,"tied","standalone"),"")</f>
        <v/>
      </c>
    </row>
    <row r="525" spans="1:14">
      <c r="A525" s="6">
        <v>2023</v>
      </c>
      <c r="B525" s="6">
        <v>3</v>
      </c>
      <c r="C525" s="6" t="s">
        <v>62</v>
      </c>
      <c r="D525" s="6" t="s">
        <v>422</v>
      </c>
      <c r="E525" s="6" t="s">
        <v>423</v>
      </c>
      <c r="F525" s="6" t="str">
        <f>IF($M525="PADD I","PADD 1",IF($M525="PADD II","PADD 2",IF($M525="PADD III","PADD 3",IF($M525="PADD IV","PADD 4",IF($M525="PADD V","PADD 5","")))))</f>
        <v>PADD 2</v>
      </c>
      <c r="G525" s="6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6" t="s">
        <v>39</v>
      </c>
      <c r="I525" s="6" t="s">
        <v>424</v>
      </c>
      <c r="J525" s="6" t="s">
        <v>394</v>
      </c>
      <c r="K525" s="10">
        <v>110</v>
      </c>
      <c r="L525" s="10">
        <v>110</v>
      </c>
      <c r="M525" s="6" t="s">
        <v>425</v>
      </c>
      <c r="N525" s="6">
        <f>IF(OR($G525="FCC",$G525="Hydrocracker",$G525="Reformer"),IF(COUNTIFS($D:$D,$D525,$A:$A,$A525,$B:$B,$B525,$G:$G,"CDU",$J:$J,"PLANNED")&gt;0,"tied","standalone"),"")</f>
        <v/>
      </c>
    </row>
    <row r="526" spans="1:14">
      <c r="A526" s="6">
        <v>2023</v>
      </c>
      <c r="B526" s="6">
        <v>3</v>
      </c>
      <c r="C526" s="6" t="s">
        <v>62</v>
      </c>
      <c r="D526" s="6" t="s">
        <v>540</v>
      </c>
      <c r="E526" s="6" t="s">
        <v>541</v>
      </c>
      <c r="F526" s="6" t="str">
        <f>IF($M526="PADD I","PADD 1",IF($M526="PADD II","PADD 2",IF($M526="PADD III","PADD 3",IF($M526="PADD IV","PADD 4",IF($M526="PADD V","PADD 5","")))))</f>
        <v>PADD 3</v>
      </c>
      <c r="G526" s="6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6" t="s">
        <v>494</v>
      </c>
      <c r="I526" s="6" t="s">
        <v>708</v>
      </c>
      <c r="J526" s="6" t="s">
        <v>394</v>
      </c>
      <c r="K526" s="10">
        <v>105</v>
      </c>
      <c r="L526" s="10">
        <v>105</v>
      </c>
      <c r="M526" s="6" t="s">
        <v>421</v>
      </c>
      <c r="N526" s="6" t="str">
        <f>IF(OR($G526="FCC",$G526="Hydrocracker",$G526="Reformer"),IF(COUNTIFS($D:$D,$D526,$A:$A,$A526,$B:$B,$B526,$G:$G,"CDU",$J:$J,"PLANNED")&gt;0,"tied","standalone"),"")</f>
        <v>standalone</v>
      </c>
    </row>
    <row r="527" spans="1:14">
      <c r="A527" s="6">
        <v>2023</v>
      </c>
      <c r="B527" s="6">
        <v>3</v>
      </c>
      <c r="C527" s="6" t="s">
        <v>62</v>
      </c>
      <c r="D527" s="6" t="s">
        <v>418</v>
      </c>
      <c r="E527" s="6" t="s">
        <v>419</v>
      </c>
      <c r="F527" s="6" t="str">
        <f>IF($M527="PADD I","PADD 1",IF($M527="PADD II","PADD 2",IF($M527="PADD III","PADD 3",IF($M527="PADD IV","PADD 4",IF($M527="PADD V","PADD 5","")))))</f>
        <v>PADD 3</v>
      </c>
      <c r="G527" s="6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6" t="s">
        <v>426</v>
      </c>
      <c r="I527" s="6" t="s">
        <v>427</v>
      </c>
      <c r="J527" s="6" t="s">
        <v>398</v>
      </c>
      <c r="K527" s="10">
        <v>104</v>
      </c>
      <c r="L527" s="10">
        <v>104</v>
      </c>
      <c r="M527" s="6" t="s">
        <v>421</v>
      </c>
      <c r="N527" s="6" t="str">
        <f>IF(OR($G527="FCC",$G527="Hydrocracker",$G527="Reformer"),IF(COUNTIFS($D:$D,$D527,$A:$A,$A527,$B:$B,$B527,$G:$G,"CDU",$J:$J,"PLANNED")&gt;0,"tied","standalone"),"")</f>
        <v>tied</v>
      </c>
    </row>
    <row r="528" spans="1:14">
      <c r="A528" s="6">
        <v>2023</v>
      </c>
      <c r="B528" s="6">
        <v>3</v>
      </c>
      <c r="C528" s="6" t="s">
        <v>62</v>
      </c>
      <c r="D528" s="6" t="s">
        <v>418</v>
      </c>
      <c r="E528" s="6" t="s">
        <v>419</v>
      </c>
      <c r="F528" s="6" t="str">
        <f>IF($M528="PADD I","PADD 1",IF($M528="PADD II","PADD 2",IF($M528="PADD III","PADD 3",IF($M528="PADD IV","PADD 4",IF($M528="PADD V","PADD 5","")))))</f>
        <v>PADD 3</v>
      </c>
      <c r="G528" s="6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6" t="s">
        <v>428</v>
      </c>
      <c r="I528" s="6" t="s">
        <v>429</v>
      </c>
      <c r="J528" s="6" t="s">
        <v>398</v>
      </c>
      <c r="K528" s="10">
        <v>103</v>
      </c>
      <c r="L528" s="10">
        <v>103</v>
      </c>
      <c r="M528" s="6" t="s">
        <v>421</v>
      </c>
      <c r="N528" s="6">
        <f>IF(OR($G528="FCC",$G528="Hydrocracker",$G528="Reformer"),IF(COUNTIFS($D:$D,$D528,$A:$A,$A528,$B:$B,$B528,$G:$G,"CDU",$J:$J,"PLANNED")&gt;0,"tied","standalone"),"")</f>
        <v/>
      </c>
    </row>
    <row r="529" spans="1:14">
      <c r="A529" s="6">
        <v>2023</v>
      </c>
      <c r="B529" s="6">
        <v>3</v>
      </c>
      <c r="C529" s="6" t="s">
        <v>62</v>
      </c>
      <c r="D529" s="6" t="s">
        <v>689</v>
      </c>
      <c r="E529" s="6" t="s">
        <v>502</v>
      </c>
      <c r="F529" s="6" t="str">
        <f>IF($M529="PADD I","PADD 1",IF($M529="PADD II","PADD 2",IF($M529="PADD III","PADD 3",IF($M529="PADD IV","PADD 4",IF($M529="PADD V","PADD 5","")))))</f>
        <v>PADD 5</v>
      </c>
      <c r="G529" s="6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6" t="s">
        <v>39</v>
      </c>
      <c r="I529" s="6" t="s">
        <v>690</v>
      </c>
      <c r="J529" s="6" t="s">
        <v>398</v>
      </c>
      <c r="K529" s="10">
        <v>79.2</v>
      </c>
      <c r="L529" s="10">
        <v>144</v>
      </c>
      <c r="M529" s="6" t="s">
        <v>436</v>
      </c>
      <c r="N529" s="6">
        <f>IF(OR($G529="FCC",$G529="Hydrocracker",$G529="Reformer"),IF(COUNTIFS($D:$D,$D529,$A:$A,$A529,$B:$B,$B529,$G:$G,"CDU",$J:$J,"PLANNED")&gt;0,"tied","standalone"),"")</f>
        <v/>
      </c>
    </row>
    <row r="530" spans="1:14">
      <c r="A530" s="6">
        <v>2023</v>
      </c>
      <c r="B530" s="6">
        <v>3</v>
      </c>
      <c r="C530" s="6" t="s">
        <v>62</v>
      </c>
      <c r="D530" s="6" t="s">
        <v>437</v>
      </c>
      <c r="E530" s="6" t="s">
        <v>438</v>
      </c>
      <c r="F530" s="6" t="str">
        <f>IF($M530="PADD I","PADD 1",IF($M530="PADD II","PADD 2",IF($M530="PADD III","PADD 3",IF($M530="PADD IV","PADD 4",IF($M530="PADD V","PADD 5","")))))</f>
        <v>PADD 3</v>
      </c>
      <c r="G530" s="6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6" t="s">
        <v>471</v>
      </c>
      <c r="I530" s="6" t="s">
        <v>493</v>
      </c>
      <c r="J530" s="6" t="s">
        <v>398</v>
      </c>
      <c r="K530" s="10">
        <v>75</v>
      </c>
      <c r="L530" s="10">
        <v>75</v>
      </c>
      <c r="M530" s="6" t="s">
        <v>421</v>
      </c>
      <c r="N530" s="6" t="str">
        <f>IF(OR($G530="FCC",$G530="Hydrocracker",$G530="Reformer"),IF(COUNTIFS($D:$D,$D530,$A:$A,$A530,$B:$B,$B530,$G:$G,"CDU",$J:$J,"PLANNED")&gt;0,"tied","standalone"),"")</f>
        <v>tied</v>
      </c>
    </row>
    <row r="531" spans="1:14">
      <c r="A531" s="6">
        <v>2023</v>
      </c>
      <c r="B531" s="6">
        <v>3</v>
      </c>
      <c r="C531" s="6" t="s">
        <v>62</v>
      </c>
      <c r="D531" s="6" t="s">
        <v>461</v>
      </c>
      <c r="E531" s="6" t="s">
        <v>419</v>
      </c>
      <c r="F531" s="6" t="str">
        <f>IF($M531="PADD I","PADD 1",IF($M531="PADD II","PADD 2",IF($M531="PADD III","PADD 3",IF($M531="PADD IV","PADD 4",IF($M531="PADD V","PADD 5","")))))</f>
        <v>PADD 1</v>
      </c>
      <c r="G531" s="6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6" t="s">
        <v>44</v>
      </c>
      <c r="I531" s="6" t="s">
        <v>508</v>
      </c>
      <c r="J531" s="6" t="s">
        <v>398</v>
      </c>
      <c r="K531" s="10">
        <v>73.95</v>
      </c>
      <c r="L531" s="10">
        <v>85</v>
      </c>
      <c r="M531" s="6" t="s">
        <v>463</v>
      </c>
      <c r="N531" s="6">
        <f>IF(OR($G531="FCC",$G531="Hydrocracker",$G531="Reformer"),IF(COUNTIFS($D:$D,$D531,$A:$A,$A531,$B:$B,$B531,$G:$G,"CDU",$J:$J,"PLANNED")&gt;0,"tied","standalone"),"")</f>
        <v/>
      </c>
    </row>
    <row r="532" spans="1:14">
      <c r="A532" s="6">
        <v>2023</v>
      </c>
      <c r="B532" s="6">
        <v>3</v>
      </c>
      <c r="C532" s="6" t="s">
        <v>62</v>
      </c>
      <c r="D532" s="6" t="s">
        <v>726</v>
      </c>
      <c r="E532" s="6" t="s">
        <v>727</v>
      </c>
      <c r="F532" s="6" t="str">
        <f>IF($M532="PADD I","PADD 1",IF($M532="PADD II","PADD 2",IF($M532="PADD III","PADD 3",IF($M532="PADD IV","PADD 4",IF($M532="PADD V","PADD 5","")))))</f>
        <v>PADD 1</v>
      </c>
      <c r="G532" s="6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6" t="s">
        <v>39</v>
      </c>
      <c r="I532" s="6" t="s">
        <v>728</v>
      </c>
      <c r="J532" s="6" t="s">
        <v>394</v>
      </c>
      <c r="K532" s="10">
        <v>71.5</v>
      </c>
      <c r="L532" s="10">
        <v>110</v>
      </c>
      <c r="M532" s="6" t="s">
        <v>463</v>
      </c>
      <c r="N532" s="6">
        <f>IF(OR($G532="FCC",$G532="Hydrocracker",$G532="Reformer"),IF(COUNTIFS($D:$D,$D532,$A:$A,$A532,$B:$B,$B532,$G:$G,"CDU",$J:$J,"PLANNED")&gt;0,"tied","standalone"),"")</f>
        <v/>
      </c>
    </row>
    <row r="533" spans="1:14">
      <c r="A533" s="6">
        <v>2023</v>
      </c>
      <c r="B533" s="6">
        <v>3</v>
      </c>
      <c r="C533" s="6" t="s">
        <v>62</v>
      </c>
      <c r="D533" s="6" t="s">
        <v>437</v>
      </c>
      <c r="E533" s="6" t="s">
        <v>438</v>
      </c>
      <c r="F533" s="6" t="str">
        <f>IF($M533="PADD I","PADD 1",IF($M533="PADD II","PADD 2",IF($M533="PADD III","PADD 3",IF($M533="PADD IV","PADD 4",IF($M533="PADD V","PADD 5","")))))</f>
        <v>PADD 3</v>
      </c>
      <c r="G533" s="6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6" t="s">
        <v>494</v>
      </c>
      <c r="I533" s="6" t="s">
        <v>526</v>
      </c>
      <c r="J533" s="6" t="s">
        <v>394</v>
      </c>
      <c r="K533" s="10">
        <v>70</v>
      </c>
      <c r="L533" s="10">
        <v>70</v>
      </c>
      <c r="M533" s="6" t="s">
        <v>421</v>
      </c>
      <c r="N533" s="6" t="str">
        <f>IF(OR($G533="FCC",$G533="Hydrocracker",$G533="Reformer"),IF(COUNTIFS($D:$D,$D533,$A:$A,$A533,$B:$B,$B533,$G:$G,"CDU",$J:$J,"PLANNED")&gt;0,"tied","standalone"),"")</f>
        <v>tied</v>
      </c>
    </row>
    <row r="534" spans="1:14">
      <c r="A534" s="6">
        <v>2023</v>
      </c>
      <c r="B534" s="6">
        <v>3</v>
      </c>
      <c r="C534" s="6" t="s">
        <v>62</v>
      </c>
      <c r="D534" s="6" t="s">
        <v>418</v>
      </c>
      <c r="E534" s="6" t="s">
        <v>419</v>
      </c>
      <c r="F534" s="6" t="str">
        <f>IF($M534="PADD I","PADD 1",IF($M534="PADD II","PADD 2",IF($M534="PADD III","PADD 3",IF($M534="PADD IV","PADD 4",IF($M534="PADD V","PADD 5","")))))</f>
        <v>PADD 3</v>
      </c>
      <c r="G534" s="6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6" t="s">
        <v>44</v>
      </c>
      <c r="I534" s="6" t="s">
        <v>443</v>
      </c>
      <c r="J534" s="6" t="s">
        <v>398</v>
      </c>
      <c r="K534" s="10">
        <v>65.40000000000001</v>
      </c>
      <c r="L534" s="10">
        <v>65.40000000000001</v>
      </c>
      <c r="M534" s="6" t="s">
        <v>421</v>
      </c>
      <c r="N534" s="6">
        <f>IF(OR($G534="FCC",$G534="Hydrocracker",$G534="Reformer"),IF(COUNTIFS($D:$D,$D534,$A:$A,$A534,$B:$B,$B534,$G:$G,"CDU",$J:$J,"PLANNED")&gt;0,"tied","standalone"),"")</f>
        <v/>
      </c>
    </row>
    <row r="535" spans="1:14">
      <c r="A535" s="6">
        <v>2023</v>
      </c>
      <c r="B535" s="6">
        <v>3</v>
      </c>
      <c r="C535" s="6" t="s">
        <v>62</v>
      </c>
      <c r="D535" s="6" t="s">
        <v>437</v>
      </c>
      <c r="E535" s="6" t="s">
        <v>438</v>
      </c>
      <c r="F535" s="6" t="str">
        <f>IF($M535="PADD I","PADD 1",IF($M535="PADD II","PADD 2",IF($M535="PADD III","PADD 3",IF($M535="PADD IV","PADD 4",IF($M535="PADD V","PADD 5","")))))</f>
        <v>PADD 3</v>
      </c>
      <c r="G535" s="6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6" t="s">
        <v>44</v>
      </c>
      <c r="I535" s="6" t="s">
        <v>536</v>
      </c>
      <c r="J535" s="6" t="s">
        <v>398</v>
      </c>
      <c r="K535" s="10">
        <v>64</v>
      </c>
      <c r="L535" s="10">
        <v>64</v>
      </c>
      <c r="M535" s="6" t="s">
        <v>421</v>
      </c>
      <c r="N535" s="6">
        <f>IF(OR($G535="FCC",$G535="Hydrocracker",$G535="Reformer"),IF(COUNTIFS($D:$D,$D535,$A:$A,$A535,$B:$B,$B535,$G:$G,"CDU",$J:$J,"PLANNED")&gt;0,"tied","standalone"),"")</f>
        <v/>
      </c>
    </row>
    <row r="536" spans="1:14">
      <c r="A536" s="6">
        <v>2023</v>
      </c>
      <c r="B536" s="6">
        <v>3</v>
      </c>
      <c r="C536" s="6" t="s">
        <v>62</v>
      </c>
      <c r="D536" s="6" t="s">
        <v>382</v>
      </c>
      <c r="E536" s="6" t="s">
        <v>431</v>
      </c>
      <c r="F536" s="6" t="str">
        <f>IF($M536="PADD I","PADD 1",IF($M536="PADD II","PADD 2",IF($M536="PADD III","PADD 3",IF($M536="PADD IV","PADD 4",IF($M536="PADD V","PADD 5","")))))</f>
        <v>PADD 3</v>
      </c>
      <c r="G536" s="6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6" t="s">
        <v>39</v>
      </c>
      <c r="I536" s="6" t="s">
        <v>729</v>
      </c>
      <c r="J536" s="6" t="s">
        <v>398</v>
      </c>
      <c r="K536" s="10">
        <v>62.5</v>
      </c>
      <c r="L536" s="10">
        <v>62.5</v>
      </c>
      <c r="M536" s="6" t="s">
        <v>421</v>
      </c>
      <c r="N536" s="6">
        <f>IF(OR($G536="FCC",$G536="Hydrocracker",$G536="Reformer"),IF(COUNTIFS($D:$D,$D536,$A:$A,$A536,$B:$B,$B536,$G:$G,"CDU",$J:$J,"PLANNED")&gt;0,"tied","standalone"),"")</f>
        <v/>
      </c>
    </row>
    <row r="537" spans="1:14">
      <c r="A537" s="6">
        <v>2023</v>
      </c>
      <c r="B537" s="6">
        <v>3</v>
      </c>
      <c r="C537" s="6" t="s">
        <v>62</v>
      </c>
      <c r="D537" s="6" t="s">
        <v>730</v>
      </c>
      <c r="E537" s="6" t="s">
        <v>731</v>
      </c>
      <c r="F537" s="6" t="str">
        <f>IF($M537="PADD I","PADD 1",IF($M537="PADD II","PADD 2",IF($M537="PADD III","PADD 3",IF($M537="PADD IV","PADD 4",IF($M537="PADD V","PADD 5","")))))</f>
        <v>PADD 3</v>
      </c>
      <c r="G537" s="6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6" t="s">
        <v>39</v>
      </c>
      <c r="I537" s="6" t="s">
        <v>82</v>
      </c>
      <c r="J537" s="6" t="s">
        <v>398</v>
      </c>
      <c r="K537" s="10">
        <v>61.1</v>
      </c>
      <c r="L537" s="10">
        <v>65</v>
      </c>
      <c r="M537" s="6" t="s">
        <v>421</v>
      </c>
      <c r="N537" s="6">
        <f>IF(OR($G537="FCC",$G537="Hydrocracker",$G537="Reformer"),IF(COUNTIFS($D:$D,$D537,$A:$A,$A537,$B:$B,$B537,$G:$G,"CDU",$J:$J,"PLANNED")&gt;0,"tied","standalone"),"")</f>
        <v/>
      </c>
    </row>
    <row r="538" spans="1:14">
      <c r="A538" s="6">
        <v>2023</v>
      </c>
      <c r="B538" s="6">
        <v>3</v>
      </c>
      <c r="C538" s="6" t="s">
        <v>62</v>
      </c>
      <c r="D538" s="6" t="s">
        <v>660</v>
      </c>
      <c r="E538" s="6" t="s">
        <v>661</v>
      </c>
      <c r="F538" s="6" t="str">
        <f>IF($M538="PADD I","PADD 1",IF($M538="PADD II","PADD 2",IF($M538="PADD III","PADD 3",IF($M538="PADD IV","PADD 4",IF($M538="PADD V","PADD 5","")))))</f>
        <v>PADD 2</v>
      </c>
      <c r="G538" s="6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6" t="s">
        <v>39</v>
      </c>
      <c r="I538" s="6" t="s">
        <v>381</v>
      </c>
      <c r="J538" s="6" t="s">
        <v>394</v>
      </c>
      <c r="K538" s="10">
        <v>60</v>
      </c>
      <c r="L538" s="10">
        <v>60</v>
      </c>
      <c r="M538" s="6" t="s">
        <v>425</v>
      </c>
      <c r="N538" s="6">
        <f>IF(OR($G538="FCC",$G538="Hydrocracker",$G538="Reformer"),IF(COUNTIFS($D:$D,$D538,$A:$A,$A538,$B:$B,$B538,$G:$G,"CDU",$J:$J,"PLANNED")&gt;0,"tied","standalone"),"")</f>
        <v/>
      </c>
    </row>
    <row r="539" spans="1:14">
      <c r="A539" s="6">
        <v>2023</v>
      </c>
      <c r="B539" s="6">
        <v>3</v>
      </c>
      <c r="C539" s="6" t="s">
        <v>62</v>
      </c>
      <c r="D539" s="6" t="s">
        <v>418</v>
      </c>
      <c r="E539" s="6" t="s">
        <v>419</v>
      </c>
      <c r="F539" s="6" t="str">
        <f>IF($M539="PADD I","PADD 1",IF($M539="PADD II","PADD 2",IF($M539="PADD III","PADD 3",IF($M539="PADD IV","PADD 4",IF($M539="PADD V","PADD 5","")))))</f>
        <v>PADD 3</v>
      </c>
      <c r="G539" s="6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6" t="s">
        <v>44</v>
      </c>
      <c r="I539" s="6" t="s">
        <v>451</v>
      </c>
      <c r="J539" s="6" t="s">
        <v>398</v>
      </c>
      <c r="K539" s="10">
        <v>58.5</v>
      </c>
      <c r="L539" s="10">
        <v>58.5</v>
      </c>
      <c r="M539" s="6" t="s">
        <v>421</v>
      </c>
      <c r="N539" s="6">
        <f>IF(OR($G539="FCC",$G539="Hydrocracker",$G539="Reformer"),IF(COUNTIFS($D:$D,$D539,$A:$A,$A539,$B:$B,$B539,$G:$G,"CDU",$J:$J,"PLANNED")&gt;0,"tied","standalone"),"")</f>
        <v/>
      </c>
    </row>
    <row r="540" spans="1:14">
      <c r="A540" s="6">
        <v>2023</v>
      </c>
      <c r="B540" s="6">
        <v>3</v>
      </c>
      <c r="C540" s="6" t="s">
        <v>62</v>
      </c>
      <c r="D540" s="6" t="s">
        <v>373</v>
      </c>
      <c r="E540" s="6" t="s">
        <v>438</v>
      </c>
      <c r="F540" s="6" t="str">
        <f>IF($M540="PADD I","PADD 1",IF($M540="PADD II","PADD 2",IF($M540="PADD III","PADD 3",IF($M540="PADD IV","PADD 4",IF($M540="PADD V","PADD 5","")))))</f>
        <v>PADD 3</v>
      </c>
      <c r="G540" s="6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6" t="s">
        <v>44</v>
      </c>
      <c r="I540" s="6" t="s">
        <v>732</v>
      </c>
      <c r="J540" s="6" t="s">
        <v>394</v>
      </c>
      <c r="K540" s="10">
        <v>58.3</v>
      </c>
      <c r="L540" s="10">
        <v>106</v>
      </c>
      <c r="M540" s="6" t="s">
        <v>421</v>
      </c>
      <c r="N540" s="6">
        <f>IF(OR($G540="FCC",$G540="Hydrocracker",$G540="Reformer"),IF(COUNTIFS($D:$D,$D540,$A:$A,$A540,$B:$B,$B540,$G:$G,"CDU",$J:$J,"PLANNED")&gt;0,"tied","standalone"),"")</f>
        <v/>
      </c>
    </row>
    <row r="541" spans="1:14">
      <c r="A541" s="6">
        <v>2023</v>
      </c>
      <c r="B541" s="6">
        <v>3</v>
      </c>
      <c r="C541" s="6" t="s">
        <v>62</v>
      </c>
      <c r="D541" s="6" t="s">
        <v>422</v>
      </c>
      <c r="E541" s="6" t="s">
        <v>423</v>
      </c>
      <c r="F541" s="6" t="str">
        <f>IF($M541="PADD I","PADD 1",IF($M541="PADD II","PADD 2",IF($M541="PADD III","PADD 3",IF($M541="PADD IV","PADD 4",IF($M541="PADD V","PADD 5","")))))</f>
        <v>PADD 2</v>
      </c>
      <c r="G541" s="6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6" t="s">
        <v>426</v>
      </c>
      <c r="I541" s="6" t="s">
        <v>457</v>
      </c>
      <c r="J541" s="6" t="s">
        <v>394</v>
      </c>
      <c r="K541" s="10">
        <v>55</v>
      </c>
      <c r="L541" s="10">
        <v>55</v>
      </c>
      <c r="M541" s="6" t="s">
        <v>425</v>
      </c>
      <c r="N541" s="6" t="str">
        <f>IF(OR($G541="FCC",$G541="Hydrocracker",$G541="Reformer"),IF(COUNTIFS($D:$D,$D541,$A:$A,$A541,$B:$B,$B541,$G:$G,"CDU",$J:$J,"PLANNED")&gt;0,"tied","standalone"),"")</f>
        <v>standalone</v>
      </c>
    </row>
    <row r="542" spans="1:14">
      <c r="A542" s="6">
        <v>2023</v>
      </c>
      <c r="B542" s="6">
        <v>3</v>
      </c>
      <c r="C542" s="6" t="s">
        <v>62</v>
      </c>
      <c r="D542" s="6" t="s">
        <v>430</v>
      </c>
      <c r="E542" s="6" t="s">
        <v>431</v>
      </c>
      <c r="F542" s="6" t="str">
        <f>IF($M542="PADD I","PADD 1",IF($M542="PADD II","PADD 2",IF($M542="PADD III","PADD 3",IF($M542="PADD IV","PADD 4",IF($M542="PADD V","PADD 5","")))))</f>
        <v>PADD 3</v>
      </c>
      <c r="G542" s="6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6" t="s">
        <v>39</v>
      </c>
      <c r="I542" s="6" t="s">
        <v>432</v>
      </c>
      <c r="J542" s="6" t="s">
        <v>398</v>
      </c>
      <c r="K542" s="10">
        <v>54.6</v>
      </c>
      <c r="L542" s="10">
        <v>210</v>
      </c>
      <c r="M542" s="6" t="s">
        <v>421</v>
      </c>
      <c r="N542" s="6">
        <f>IF(OR($G542="FCC",$G542="Hydrocracker",$G542="Reformer"),IF(COUNTIFS($D:$D,$D542,$A:$A,$A542,$B:$B,$B542,$G:$G,"CDU",$J:$J,"PLANNED")&gt;0,"tied","standalone"),"")</f>
        <v/>
      </c>
    </row>
    <row r="543" spans="1:14">
      <c r="A543" s="6">
        <v>2023</v>
      </c>
      <c r="B543" s="6">
        <v>3</v>
      </c>
      <c r="C543" s="6" t="s">
        <v>62</v>
      </c>
      <c r="D543" s="6" t="s">
        <v>371</v>
      </c>
      <c r="E543" s="6" t="s">
        <v>419</v>
      </c>
      <c r="F543" s="6" t="str">
        <f>IF($M543="PADD I","PADD 1",IF($M543="PADD II","PADD 2",IF($M543="PADD III","PADD 3",IF($M543="PADD IV","PADD 4",IF($M543="PADD V","PADD 5","")))))</f>
        <v>PADD 2</v>
      </c>
      <c r="G543" s="6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6" t="s">
        <v>44</v>
      </c>
      <c r="I543" s="6" t="s">
        <v>733</v>
      </c>
      <c r="J543" s="6" t="s">
        <v>398</v>
      </c>
      <c r="K543" s="10">
        <v>51.7</v>
      </c>
      <c r="L543" s="10">
        <v>55</v>
      </c>
      <c r="M543" s="6" t="s">
        <v>425</v>
      </c>
      <c r="N543" s="6">
        <f>IF(OR($G543="FCC",$G543="Hydrocracker",$G543="Reformer"),IF(COUNTIFS($D:$D,$D543,$A:$A,$A543,$B:$B,$B543,$G:$G,"CDU",$J:$J,"PLANNED")&gt;0,"tied","standalone"),"")</f>
        <v/>
      </c>
    </row>
    <row r="544" spans="1:14">
      <c r="A544" s="6">
        <v>2023</v>
      </c>
      <c r="B544" s="6">
        <v>3</v>
      </c>
      <c r="C544" s="6" t="s">
        <v>62</v>
      </c>
      <c r="D544" s="6" t="s">
        <v>422</v>
      </c>
      <c r="E544" s="6" t="s">
        <v>423</v>
      </c>
      <c r="F544" s="6" t="str">
        <f>IF($M544="PADD I","PADD 1",IF($M544="PADD II","PADD 2",IF($M544="PADD III","PADD 3",IF($M544="PADD IV","PADD 4",IF($M544="PADD V","PADD 5","")))))</f>
        <v>PADD 2</v>
      </c>
      <c r="G544" s="6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6" t="s">
        <v>426</v>
      </c>
      <c r="I544" s="6" t="s">
        <v>457</v>
      </c>
      <c r="J544" s="6" t="s">
        <v>394</v>
      </c>
      <c r="K544" s="10">
        <v>51.7</v>
      </c>
      <c r="L544" s="10">
        <v>55</v>
      </c>
      <c r="M544" s="6" t="s">
        <v>425</v>
      </c>
      <c r="N544" s="6" t="str">
        <f>IF(OR($G544="FCC",$G544="Hydrocracker",$G544="Reformer"),IF(COUNTIFS($D:$D,$D544,$A:$A,$A544,$B:$B,$B544,$G:$G,"CDU",$J:$J,"PLANNED")&gt;0,"tied","standalone"),"")</f>
        <v>standalone</v>
      </c>
    </row>
    <row r="545" spans="1:14">
      <c r="A545" s="6">
        <v>2023</v>
      </c>
      <c r="B545" s="6">
        <v>3</v>
      </c>
      <c r="C545" s="6" t="s">
        <v>62</v>
      </c>
      <c r="D545" s="6" t="s">
        <v>422</v>
      </c>
      <c r="E545" s="6" t="s">
        <v>423</v>
      </c>
      <c r="F545" s="6" t="str">
        <f>IF($M545="PADD I","PADD 1",IF($M545="PADD II","PADD 2",IF($M545="PADD III","PADD 3",IF($M545="PADD IV","PADD 4",IF($M545="PADD V","PADD 5","")))))</f>
        <v>PADD 2</v>
      </c>
      <c r="G545" s="6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6" t="s">
        <v>39</v>
      </c>
      <c r="I545" s="6" t="s">
        <v>464</v>
      </c>
      <c r="J545" s="6" t="s">
        <v>394</v>
      </c>
      <c r="K545" s="10">
        <v>50</v>
      </c>
      <c r="L545" s="10">
        <v>50</v>
      </c>
      <c r="M545" s="6" t="s">
        <v>425</v>
      </c>
      <c r="N545" s="6">
        <f>IF(OR($G545="FCC",$G545="Hydrocracker",$G545="Reformer"),IF(COUNTIFS($D:$D,$D545,$A:$A,$A545,$B:$B,$B545,$G:$G,"CDU",$J:$J,"PLANNED")&gt;0,"tied","standalone"),"")</f>
        <v/>
      </c>
    </row>
    <row r="546" spans="1:14">
      <c r="A546" s="6">
        <v>2023</v>
      </c>
      <c r="B546" s="6">
        <v>3</v>
      </c>
      <c r="C546" s="6" t="s">
        <v>62</v>
      </c>
      <c r="D546" s="6" t="s">
        <v>568</v>
      </c>
      <c r="E546" s="6" t="s">
        <v>419</v>
      </c>
      <c r="F546" s="6" t="str">
        <f>IF($M546="PADD I","PADD 1",IF($M546="PADD II","PADD 2",IF($M546="PADD III","PADD 3",IF($M546="PADD IV","PADD 4",IF($M546="PADD V","PADD 5","")))))</f>
        <v>PADD 5</v>
      </c>
      <c r="G546" s="6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6" t="s">
        <v>39</v>
      </c>
      <c r="I546" s="6" t="s">
        <v>569</v>
      </c>
      <c r="J546" s="6" t="s">
        <v>394</v>
      </c>
      <c r="K546" s="10">
        <v>50</v>
      </c>
      <c r="L546" s="10">
        <v>50</v>
      </c>
      <c r="M546" s="6" t="s">
        <v>436</v>
      </c>
      <c r="N546" s="6">
        <f>IF(OR($G546="FCC",$G546="Hydrocracker",$G546="Reformer"),IF(COUNTIFS($D:$D,$D546,$A:$A,$A546,$B:$B,$B546,$G:$G,"CDU",$J:$J,"PLANNED")&gt;0,"tied","standalone"),"")</f>
        <v/>
      </c>
    </row>
    <row r="547" spans="1:14">
      <c r="A547" s="6">
        <v>2023</v>
      </c>
      <c r="B547" s="6">
        <v>3</v>
      </c>
      <c r="C547" s="6" t="s">
        <v>62</v>
      </c>
      <c r="D547" s="6" t="s">
        <v>465</v>
      </c>
      <c r="E547" s="6" t="s">
        <v>466</v>
      </c>
      <c r="F547" s="6" t="str">
        <f>IF($M547="PADD I","PADD 1",IF($M547="PADD II","PADD 2",IF($M547="PADD III","PADD 3",IF($M547="PADD IV","PADD 4",IF($M547="PADD V","PADD 5","")))))</f>
        <v>PADD 3</v>
      </c>
      <c r="G547" s="6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6" t="s">
        <v>428</v>
      </c>
      <c r="I547" s="6" t="s">
        <v>467</v>
      </c>
      <c r="J547" s="6" t="s">
        <v>394</v>
      </c>
      <c r="K547" s="10">
        <v>50</v>
      </c>
      <c r="L547" s="10">
        <v>50</v>
      </c>
      <c r="M547" s="6" t="s">
        <v>421</v>
      </c>
      <c r="N547" s="6">
        <f>IF(OR($G547="FCC",$G547="Hydrocracker",$G547="Reformer"),IF(COUNTIFS($D:$D,$D547,$A:$A,$A547,$B:$B,$B547,$G:$G,"CDU",$J:$J,"PLANNED")&gt;0,"tied","standalone"),"")</f>
        <v/>
      </c>
    </row>
    <row r="548" spans="1:14">
      <c r="A548" s="6">
        <v>2023</v>
      </c>
      <c r="B548" s="6">
        <v>3</v>
      </c>
      <c r="C548" s="6" t="s">
        <v>62</v>
      </c>
      <c r="D548" s="6" t="s">
        <v>371</v>
      </c>
      <c r="E548" s="6" t="s">
        <v>419</v>
      </c>
      <c r="F548" s="6" t="str">
        <f>IF($M548="PADD I","PADD 1",IF($M548="PADD II","PADD 2",IF($M548="PADD III","PADD 3",IF($M548="PADD IV","PADD 4",IF($M548="PADD V","PADD 5","")))))</f>
        <v>PADD 2</v>
      </c>
      <c r="G548" s="6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6" t="s">
        <v>44</v>
      </c>
      <c r="I548" s="6" t="s">
        <v>734</v>
      </c>
      <c r="J548" s="6" t="s">
        <v>398</v>
      </c>
      <c r="K548" s="10">
        <v>49.82</v>
      </c>
      <c r="L548" s="10">
        <v>53</v>
      </c>
      <c r="M548" s="6" t="s">
        <v>425</v>
      </c>
      <c r="N548" s="6">
        <f>IF(OR($G548="FCC",$G548="Hydrocracker",$G548="Reformer"),IF(COUNTIFS($D:$D,$D548,$A:$A,$A548,$B:$B,$B548,$G:$G,"CDU",$J:$J,"PLANNED")&gt;0,"tied","standalone"),"")</f>
        <v/>
      </c>
    </row>
    <row r="549" spans="1:14">
      <c r="A549" s="6">
        <v>2023</v>
      </c>
      <c r="B549" s="6">
        <v>3</v>
      </c>
      <c r="C549" s="6" t="s">
        <v>62</v>
      </c>
      <c r="D549" s="6" t="s">
        <v>371</v>
      </c>
      <c r="E549" s="6" t="s">
        <v>419</v>
      </c>
      <c r="F549" s="6" t="str">
        <f>IF($M549="PADD I","PADD 1",IF($M549="PADD II","PADD 2",IF($M549="PADD III","PADD 3",IF($M549="PADD IV","PADD 4",IF($M549="PADD V","PADD 5","")))))</f>
        <v>PADD 2</v>
      </c>
      <c r="G549" s="6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6" t="s">
        <v>471</v>
      </c>
      <c r="I549" s="6" t="s">
        <v>735</v>
      </c>
      <c r="J549" s="6" t="s">
        <v>394</v>
      </c>
      <c r="K549" s="10">
        <v>49.815</v>
      </c>
      <c r="L549" s="10">
        <v>61.5</v>
      </c>
      <c r="M549" s="6" t="s">
        <v>425</v>
      </c>
      <c r="N549" s="6" t="str">
        <f>IF(OR($G549="FCC",$G549="Hydrocracker",$G549="Reformer"),IF(COUNTIFS($D:$D,$D549,$A:$A,$A549,$B:$B,$B549,$G:$G,"CDU",$J:$J,"PLANNED")&gt;0,"tied","standalone"),"")</f>
        <v>standalone</v>
      </c>
    </row>
    <row r="550" spans="1:14">
      <c r="A550" s="6">
        <v>2023</v>
      </c>
      <c r="B550" s="6">
        <v>3</v>
      </c>
      <c r="C550" s="6" t="s">
        <v>62</v>
      </c>
      <c r="D550" s="6" t="s">
        <v>576</v>
      </c>
      <c r="E550" s="6" t="s">
        <v>455</v>
      </c>
      <c r="F550" s="6" t="str">
        <f>IF($M550="PADD I","PADD 1",IF($M550="PADD II","PADD 2",IF($M550="PADD III","PADD 3",IF($M550="PADD IV","PADD 4",IF($M550="PADD V","PADD 5","")))))</f>
        <v>PADD 3</v>
      </c>
      <c r="G550" s="6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6" t="s">
        <v>428</v>
      </c>
      <c r="I550" s="6" t="s">
        <v>699</v>
      </c>
      <c r="J550" s="6" t="s">
        <v>394</v>
      </c>
      <c r="K550" s="10">
        <v>48</v>
      </c>
      <c r="L550" s="10">
        <v>48</v>
      </c>
      <c r="M550" s="6" t="s">
        <v>421</v>
      </c>
      <c r="N550" s="6">
        <f>IF(OR($G550="FCC",$G550="Hydrocracker",$G550="Reformer"),IF(COUNTIFS($D:$D,$D550,$A:$A,$A550,$B:$B,$B550,$G:$G,"CDU",$J:$J,"PLANNED")&gt;0,"tied","standalone"),"")</f>
        <v/>
      </c>
    </row>
    <row r="551" spans="1:14">
      <c r="A551" s="6">
        <v>2023</v>
      </c>
      <c r="B551" s="6">
        <v>3</v>
      </c>
      <c r="C551" s="6" t="s">
        <v>62</v>
      </c>
      <c r="D551" s="6" t="s">
        <v>576</v>
      </c>
      <c r="E551" s="6" t="s">
        <v>455</v>
      </c>
      <c r="F551" s="6" t="str">
        <f>IF($M551="PADD I","PADD 1",IF($M551="PADD II","PADD 2",IF($M551="PADD III","PADD 3",IF($M551="PADD IV","PADD 4",IF($M551="PADD V","PADD 5","")))))</f>
        <v>PADD 3</v>
      </c>
      <c r="G551" s="6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6" t="s">
        <v>485</v>
      </c>
      <c r="I551" s="6" t="s">
        <v>736</v>
      </c>
      <c r="J551" s="6" t="s">
        <v>398</v>
      </c>
      <c r="K551" s="10">
        <v>47.85</v>
      </c>
      <c r="L551" s="10">
        <v>55</v>
      </c>
      <c r="M551" s="6" t="s">
        <v>421</v>
      </c>
      <c r="N551" s="6">
        <f>IF(OR($G551="FCC",$G551="Hydrocracker",$G551="Reformer"),IF(COUNTIFS($D:$D,$D551,$A:$A,$A551,$B:$B,$B551,$G:$G,"CDU",$J:$J,"PLANNED")&gt;0,"tied","standalone"),"")</f>
        <v/>
      </c>
    </row>
    <row r="552" spans="1:14">
      <c r="A552" s="6">
        <v>2023</v>
      </c>
      <c r="B552" s="6">
        <v>3</v>
      </c>
      <c r="C552" s="6" t="s">
        <v>62</v>
      </c>
      <c r="D552" s="6" t="s">
        <v>461</v>
      </c>
      <c r="E552" s="6" t="s">
        <v>419</v>
      </c>
      <c r="F552" s="6" t="str">
        <f>IF($M552="PADD I","PADD 1",IF($M552="PADD II","PADD 2",IF($M552="PADD III","PADD 3",IF($M552="PADD IV","PADD 4",IF($M552="PADD V","PADD 5","")))))</f>
        <v>PADD 1</v>
      </c>
      <c r="G552" s="6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6" t="s">
        <v>44</v>
      </c>
      <c r="I552" s="6" t="s">
        <v>538</v>
      </c>
      <c r="J552" s="6" t="s">
        <v>398</v>
      </c>
      <c r="K552" s="10">
        <v>46.98</v>
      </c>
      <c r="L552" s="10">
        <v>54</v>
      </c>
      <c r="M552" s="6" t="s">
        <v>463</v>
      </c>
      <c r="N552" s="6">
        <f>IF(OR($G552="FCC",$G552="Hydrocracker",$G552="Reformer"),IF(COUNTIFS($D:$D,$D552,$A:$A,$A552,$B:$B,$B552,$G:$G,"CDU",$J:$J,"PLANNED")&gt;0,"tied","standalone"),"")</f>
        <v/>
      </c>
    </row>
    <row r="553" spans="1:14">
      <c r="A553" s="6">
        <v>2023</v>
      </c>
      <c r="B553" s="6">
        <v>3</v>
      </c>
      <c r="C553" s="6" t="s">
        <v>62</v>
      </c>
      <c r="D553" s="6" t="s">
        <v>597</v>
      </c>
      <c r="E553" s="6" t="s">
        <v>441</v>
      </c>
      <c r="F553" s="6" t="str">
        <f>IF($M553="PADD I","PADD 1",IF($M553="PADD II","PADD 2",IF($M553="PADD III","PADD 3",IF($M553="PADD IV","PADD 4",IF($M553="PADD V","PADD 5","")))))</f>
        <v>PADD 5</v>
      </c>
      <c r="G553" s="6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6" t="s">
        <v>426</v>
      </c>
      <c r="I553" s="6" t="s">
        <v>106</v>
      </c>
      <c r="J553" s="6" t="s">
        <v>394</v>
      </c>
      <c r="K553" s="10">
        <v>46.4</v>
      </c>
      <c r="L553" s="10">
        <v>80</v>
      </c>
      <c r="M553" s="6" t="s">
        <v>436</v>
      </c>
      <c r="N553" s="6" t="str">
        <f>IF(OR($G553="FCC",$G553="Hydrocracker",$G553="Reformer"),IF(COUNTIFS($D:$D,$D553,$A:$A,$A553,$B:$B,$B553,$G:$G,"CDU",$J:$J,"PLANNED")&gt;0,"tied","standalone"),"")</f>
        <v>standalone</v>
      </c>
    </row>
    <row r="554" spans="1:14">
      <c r="A554" s="6">
        <v>2023</v>
      </c>
      <c r="B554" s="6">
        <v>3</v>
      </c>
      <c r="C554" s="6" t="s">
        <v>62</v>
      </c>
      <c r="D554" s="6" t="s">
        <v>540</v>
      </c>
      <c r="E554" s="6" t="s">
        <v>541</v>
      </c>
      <c r="F554" s="6" t="str">
        <f>IF($M554="PADD I","PADD 1",IF($M554="PADD II","PADD 2",IF($M554="PADD III","PADD 3",IF($M554="PADD IV","PADD 4",IF($M554="PADD V","PADD 5","")))))</f>
        <v>PADD 3</v>
      </c>
      <c r="G554" s="6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6" t="s">
        <v>485</v>
      </c>
      <c r="I554" s="6" t="s">
        <v>737</v>
      </c>
      <c r="J554" s="6" t="s">
        <v>398</v>
      </c>
      <c r="K554" s="10">
        <v>45.36</v>
      </c>
      <c r="L554" s="10">
        <v>54</v>
      </c>
      <c r="M554" s="6" t="s">
        <v>421</v>
      </c>
      <c r="N554" s="6">
        <f>IF(OR($G554="FCC",$G554="Hydrocracker",$G554="Reformer"),IF(COUNTIFS($D:$D,$D554,$A:$A,$A554,$B:$B,$B554,$G:$G,"CDU",$J:$J,"PLANNED")&gt;0,"tied","standalone"),"")</f>
        <v/>
      </c>
    </row>
    <row r="555" spans="1:14">
      <c r="A555" s="6">
        <v>2023</v>
      </c>
      <c r="B555" s="6">
        <v>3</v>
      </c>
      <c r="C555" s="6" t="s">
        <v>62</v>
      </c>
      <c r="D555" s="6" t="s">
        <v>725</v>
      </c>
      <c r="E555" s="6" t="s">
        <v>502</v>
      </c>
      <c r="F555" s="6" t="str">
        <f>IF($M555="PADD I","PADD 1",IF($M555="PADD II","PADD 2",IF($M555="PADD III","PADD 3",IF($M555="PADD IV","PADD 4",IF($M555="PADD V","PADD 5","")))))</f>
        <v>PADD 2</v>
      </c>
      <c r="G555" s="6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6" t="s">
        <v>428</v>
      </c>
      <c r="I555" s="6" t="s">
        <v>481</v>
      </c>
      <c r="J555" s="6" t="s">
        <v>398</v>
      </c>
      <c r="K555" s="10">
        <v>45.36</v>
      </c>
      <c r="L555" s="10">
        <v>56</v>
      </c>
      <c r="M555" s="6" t="s">
        <v>425</v>
      </c>
      <c r="N555" s="6">
        <f>IF(OR($G555="FCC",$G555="Hydrocracker",$G555="Reformer"),IF(COUNTIFS($D:$D,$D555,$A:$A,$A555,$B:$B,$B555,$G:$G,"CDU",$J:$J,"PLANNED")&gt;0,"tied","standalone"),"")</f>
        <v/>
      </c>
    </row>
    <row r="556" spans="1:14">
      <c r="A556" s="6">
        <v>2023</v>
      </c>
      <c r="B556" s="6">
        <v>3</v>
      </c>
      <c r="C556" s="6" t="s">
        <v>62</v>
      </c>
      <c r="D556" s="6" t="s">
        <v>576</v>
      </c>
      <c r="E556" s="6" t="s">
        <v>455</v>
      </c>
      <c r="F556" s="6" t="str">
        <f>IF($M556="PADD I","PADD 1",IF($M556="PADD II","PADD 2",IF($M556="PADD III","PADD 3",IF($M556="PADD IV","PADD 4",IF($M556="PADD V","PADD 5","")))))</f>
        <v>PADD 3</v>
      </c>
      <c r="G556" s="6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6" t="s">
        <v>494</v>
      </c>
      <c r="I556" s="6" t="s">
        <v>400</v>
      </c>
      <c r="J556" s="6" t="s">
        <v>398</v>
      </c>
      <c r="K556" s="10">
        <v>45</v>
      </c>
      <c r="L556" s="10">
        <v>45</v>
      </c>
      <c r="M556" s="6" t="s">
        <v>421</v>
      </c>
      <c r="N556" s="6" t="str">
        <f>IF(OR($G556="FCC",$G556="Hydrocracker",$G556="Reformer"),IF(COUNTIFS($D:$D,$D556,$A:$A,$A556,$B:$B,$B556,$G:$G,"CDU",$J:$J,"PLANNED")&gt;0,"tied","standalone"),"")</f>
        <v>tied</v>
      </c>
    </row>
    <row r="557" spans="1:14">
      <c r="A557" s="6">
        <v>2023</v>
      </c>
      <c r="B557" s="6">
        <v>3</v>
      </c>
      <c r="C557" s="6" t="s">
        <v>62</v>
      </c>
      <c r="D557" s="6" t="s">
        <v>576</v>
      </c>
      <c r="E557" s="6" t="s">
        <v>455</v>
      </c>
      <c r="F557" s="6" t="str">
        <f>IF($M557="PADD I","PADD 1",IF($M557="PADD II","PADD 2",IF($M557="PADD III","PADD 3",IF($M557="PADD IV","PADD 4",IF($M557="PADD V","PADD 5","")))))</f>
        <v>PADD 3</v>
      </c>
      <c r="G557" s="6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6" t="s">
        <v>494</v>
      </c>
      <c r="I557" s="6" t="s">
        <v>577</v>
      </c>
      <c r="J557" s="6" t="s">
        <v>394</v>
      </c>
      <c r="K557" s="10">
        <v>45</v>
      </c>
      <c r="L557" s="10">
        <v>45</v>
      </c>
      <c r="M557" s="6" t="s">
        <v>421</v>
      </c>
      <c r="N557" s="6" t="str">
        <f>IF(OR($G557="FCC",$G557="Hydrocracker",$G557="Reformer"),IF(COUNTIFS($D:$D,$D557,$A:$A,$A557,$B:$B,$B557,$G:$G,"CDU",$J:$J,"PLANNED")&gt;0,"tied","standalone"),"")</f>
        <v>tied</v>
      </c>
    </row>
    <row r="558" spans="1:14">
      <c r="A558" s="6">
        <v>2023</v>
      </c>
      <c r="B558" s="6">
        <v>3</v>
      </c>
      <c r="C558" s="6" t="s">
        <v>62</v>
      </c>
      <c r="D558" s="6" t="s">
        <v>418</v>
      </c>
      <c r="E558" s="6" t="s">
        <v>419</v>
      </c>
      <c r="F558" s="6" t="str">
        <f>IF($M558="PADD I","PADD 1",IF($M558="PADD II","PADD 2",IF($M558="PADD III","PADD 3",IF($M558="PADD IV","PADD 4",IF($M558="PADD V","PADD 5","")))))</f>
        <v>PADD 3</v>
      </c>
      <c r="G558" s="6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6" t="s">
        <v>471</v>
      </c>
      <c r="I558" s="6" t="s">
        <v>472</v>
      </c>
      <c r="J558" s="6" t="s">
        <v>398</v>
      </c>
      <c r="K558" s="10">
        <v>44.6</v>
      </c>
      <c r="L558" s="10">
        <v>44.6</v>
      </c>
      <c r="M558" s="6" t="s">
        <v>421</v>
      </c>
      <c r="N558" s="6" t="str">
        <f>IF(OR($G558="FCC",$G558="Hydrocracker",$G558="Reformer"),IF(COUNTIFS($D:$D,$D558,$A:$A,$A558,$B:$B,$B558,$G:$G,"CDU",$J:$J,"PLANNED")&gt;0,"tied","standalone"),"")</f>
        <v>tied</v>
      </c>
    </row>
    <row r="559" spans="1:14">
      <c r="A559" s="6">
        <v>2023</v>
      </c>
      <c r="B559" s="6">
        <v>3</v>
      </c>
      <c r="C559" s="6" t="s">
        <v>62</v>
      </c>
      <c r="D559" s="6" t="s">
        <v>422</v>
      </c>
      <c r="E559" s="6" t="s">
        <v>423</v>
      </c>
      <c r="F559" s="6" t="str">
        <f>IF($M559="PADD I","PADD 1",IF($M559="PADD II","PADD 2",IF($M559="PADD III","PADD 3",IF($M559="PADD IV","PADD 4",IF($M559="PADD V","PADD 5","")))))</f>
        <v>PADD 2</v>
      </c>
      <c r="G559" s="6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6" t="s">
        <v>471</v>
      </c>
      <c r="I559" s="6" t="s">
        <v>473</v>
      </c>
      <c r="J559" s="6" t="s">
        <v>394</v>
      </c>
      <c r="K559" s="10">
        <v>42</v>
      </c>
      <c r="L559" s="10">
        <v>42</v>
      </c>
      <c r="M559" s="6" t="s">
        <v>425</v>
      </c>
      <c r="N559" s="6" t="str">
        <f>IF(OR($G559="FCC",$G559="Hydrocracker",$G559="Reformer"),IF(COUNTIFS($D:$D,$D559,$A:$A,$A559,$B:$B,$B559,$G:$G,"CDU",$J:$J,"PLANNED")&gt;0,"tied","standalone"),"")</f>
        <v>standalone</v>
      </c>
    </row>
    <row r="560" spans="1:14">
      <c r="A560" s="6">
        <v>2023</v>
      </c>
      <c r="B560" s="6">
        <v>3</v>
      </c>
      <c r="C560" s="6" t="s">
        <v>62</v>
      </c>
      <c r="D560" s="6" t="s">
        <v>568</v>
      </c>
      <c r="E560" s="6" t="s">
        <v>419</v>
      </c>
      <c r="F560" s="6" t="str">
        <f>IF($M560="PADD I","PADD 1",IF($M560="PADD II","PADD 2",IF($M560="PADD III","PADD 3",IF($M560="PADD IV","PADD 4",IF($M560="PADD V","PADD 5","")))))</f>
        <v>PADD 5</v>
      </c>
      <c r="G560" s="6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6" t="s">
        <v>494</v>
      </c>
      <c r="I560" s="6" t="s">
        <v>584</v>
      </c>
      <c r="J560" s="6" t="s">
        <v>394</v>
      </c>
      <c r="K560" s="10">
        <v>42</v>
      </c>
      <c r="L560" s="10">
        <v>42</v>
      </c>
      <c r="M560" s="6" t="s">
        <v>436</v>
      </c>
      <c r="N560" s="6" t="str">
        <f>IF(OR($G560="FCC",$G560="Hydrocracker",$G560="Reformer"),IF(COUNTIFS($D:$D,$D560,$A:$A,$A560,$B:$B,$B560,$G:$G,"CDU",$J:$J,"PLANNED")&gt;0,"tied","standalone"),"")</f>
        <v>standalone</v>
      </c>
    </row>
    <row r="561" spans="1:14">
      <c r="A561" s="6">
        <v>2023</v>
      </c>
      <c r="B561" s="6">
        <v>3</v>
      </c>
      <c r="C561" s="6" t="s">
        <v>62</v>
      </c>
      <c r="D561" s="6" t="s">
        <v>465</v>
      </c>
      <c r="E561" s="6" t="s">
        <v>466</v>
      </c>
      <c r="F561" s="6" t="str">
        <f>IF($M561="PADD I","PADD 1",IF($M561="PADD II","PADD 2",IF($M561="PADD III","PADD 3",IF($M561="PADD IV","PADD 4",IF($M561="PADD V","PADD 5","")))))</f>
        <v>PADD 3</v>
      </c>
      <c r="G561" s="6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6" t="s">
        <v>426</v>
      </c>
      <c r="I561" s="6" t="s">
        <v>475</v>
      </c>
      <c r="J561" s="6" t="s">
        <v>394</v>
      </c>
      <c r="K561" s="10">
        <v>42</v>
      </c>
      <c r="L561" s="10">
        <v>42</v>
      </c>
      <c r="M561" s="6" t="s">
        <v>421</v>
      </c>
      <c r="N561" s="6" t="str">
        <f>IF(OR($G561="FCC",$G561="Hydrocracker",$G561="Reformer"),IF(COUNTIFS($D:$D,$D561,$A:$A,$A561,$B:$B,$B561,$G:$G,"CDU",$J:$J,"PLANNED")&gt;0,"tied","standalone"),"")</f>
        <v>standalone</v>
      </c>
    </row>
    <row r="562" spans="1:14">
      <c r="A562" s="6">
        <v>2023</v>
      </c>
      <c r="B562" s="6">
        <v>3</v>
      </c>
      <c r="C562" s="6" t="s">
        <v>62</v>
      </c>
      <c r="D562" s="6" t="s">
        <v>422</v>
      </c>
      <c r="E562" s="6" t="s">
        <v>423</v>
      </c>
      <c r="F562" s="6" t="str">
        <f>IF($M562="PADD I","PADD 1",IF($M562="PADD II","PADD 2",IF($M562="PADD III","PADD 3",IF($M562="PADD IV","PADD 4",IF($M562="PADD V","PADD 5","")))))</f>
        <v>PADD 2</v>
      </c>
      <c r="G562" s="6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6" t="s">
        <v>44</v>
      </c>
      <c r="I562" s="6" t="s">
        <v>482</v>
      </c>
      <c r="J562" s="6" t="s">
        <v>394</v>
      </c>
      <c r="K562" s="10">
        <v>40</v>
      </c>
      <c r="L562" s="10">
        <v>40</v>
      </c>
      <c r="M562" s="6" t="s">
        <v>425</v>
      </c>
      <c r="N562" s="6">
        <f>IF(OR($G562="FCC",$G562="Hydrocracker",$G562="Reformer"),IF(COUNTIFS($D:$D,$D562,$A:$A,$A562,$B:$B,$B562,$G:$G,"CDU",$J:$J,"PLANNED")&gt;0,"tied","standalone"),"")</f>
        <v/>
      </c>
    </row>
    <row r="563" spans="1:14">
      <c r="A563" s="6">
        <v>2023</v>
      </c>
      <c r="B563" s="6">
        <v>3</v>
      </c>
      <c r="C563" s="6" t="s">
        <v>62</v>
      </c>
      <c r="D563" s="6" t="s">
        <v>422</v>
      </c>
      <c r="E563" s="6" t="s">
        <v>423</v>
      </c>
      <c r="F563" s="6" t="str">
        <f>IF($M563="PADD I","PADD 1",IF($M563="PADD II","PADD 2",IF($M563="PADD III","PADD 3",IF($M563="PADD IV","PADD 4",IF($M563="PADD V","PADD 5","")))))</f>
        <v>PADD 2</v>
      </c>
      <c r="G563" s="6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6" t="s">
        <v>44</v>
      </c>
      <c r="I563" s="6" t="s">
        <v>483</v>
      </c>
      <c r="J563" s="6" t="s">
        <v>394</v>
      </c>
      <c r="K563" s="10">
        <v>40</v>
      </c>
      <c r="L563" s="10">
        <v>40</v>
      </c>
      <c r="M563" s="6" t="s">
        <v>425</v>
      </c>
      <c r="N563" s="6">
        <f>IF(OR($G563="FCC",$G563="Hydrocracker",$G563="Reformer"),IF(COUNTIFS($D:$D,$D563,$A:$A,$A563,$B:$B,$B563,$G:$G,"CDU",$J:$J,"PLANNED")&gt;0,"tied","standalone"),"")</f>
        <v/>
      </c>
    </row>
    <row r="564" spans="1:14">
      <c r="A564" s="6">
        <v>2023</v>
      </c>
      <c r="B564" s="6">
        <v>3</v>
      </c>
      <c r="C564" s="6" t="s">
        <v>62</v>
      </c>
      <c r="D564" s="6" t="s">
        <v>422</v>
      </c>
      <c r="E564" s="6" t="s">
        <v>423</v>
      </c>
      <c r="F564" s="6" t="str">
        <f>IF($M564="PADD I","PADD 1",IF($M564="PADD II","PADD 2",IF($M564="PADD III","PADD 3",IF($M564="PADD IV","PADD 4",IF($M564="PADD V","PADD 5","")))))</f>
        <v>PADD 2</v>
      </c>
      <c r="G564" s="6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6" t="s">
        <v>471</v>
      </c>
      <c r="I564" s="6" t="s">
        <v>473</v>
      </c>
      <c r="J564" s="6" t="s">
        <v>394</v>
      </c>
      <c r="K564" s="10">
        <v>39.48</v>
      </c>
      <c r="L564" s="10">
        <v>42</v>
      </c>
      <c r="M564" s="6" t="s">
        <v>425</v>
      </c>
      <c r="N564" s="6" t="str">
        <f>IF(OR($G564="FCC",$G564="Hydrocracker",$G564="Reformer"),IF(COUNTIFS($D:$D,$D564,$A:$A,$A564,$B:$B,$B564,$G:$G,"CDU",$J:$J,"PLANNED")&gt;0,"tied","standalone"),"")</f>
        <v>standalone</v>
      </c>
    </row>
    <row r="565" spans="1:14">
      <c r="A565" s="6">
        <v>2023</v>
      </c>
      <c r="B565" s="6">
        <v>3</v>
      </c>
      <c r="C565" s="6" t="s">
        <v>62</v>
      </c>
      <c r="D565" s="6" t="s">
        <v>561</v>
      </c>
      <c r="E565" s="6" t="s">
        <v>455</v>
      </c>
      <c r="F565" s="6" t="str">
        <f>IF($M565="PADD I","PADD 1",IF($M565="PADD II","PADD 2",IF($M565="PADD III","PADD 3",IF($M565="PADD IV","PADD 4",IF($M565="PADD V","PADD 5","")))))</f>
        <v>PADD 3</v>
      </c>
      <c r="G565" s="6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6" t="s">
        <v>39</v>
      </c>
      <c r="I565" s="6" t="s">
        <v>113</v>
      </c>
      <c r="J565" s="6" t="s">
        <v>398</v>
      </c>
      <c r="K565" s="10">
        <v>38.5</v>
      </c>
      <c r="L565" s="10">
        <v>110</v>
      </c>
      <c r="M565" s="6" t="s">
        <v>421</v>
      </c>
      <c r="N565" s="6">
        <f>IF(OR($G565="FCC",$G565="Hydrocracker",$G565="Reformer"),IF(COUNTIFS($D:$D,$D565,$A:$A,$A565,$B:$B,$B565,$G:$G,"CDU",$J:$J,"PLANNED")&gt;0,"tied","standalone"),"")</f>
        <v/>
      </c>
    </row>
    <row r="566" spans="1:14">
      <c r="A566" s="6">
        <v>2023</v>
      </c>
      <c r="B566" s="6">
        <v>3</v>
      </c>
      <c r="C566" s="6" t="s">
        <v>62</v>
      </c>
      <c r="D566" s="6" t="s">
        <v>487</v>
      </c>
      <c r="E566" s="6" t="s">
        <v>488</v>
      </c>
      <c r="F566" s="6" t="str">
        <f>IF($M566="PADD I","PADD 1",IF($M566="PADD II","PADD 2",IF($M566="PADD III","PADD 3",IF($M566="PADD IV","PADD 4",IF($M566="PADD V","PADD 5","")))))</f>
        <v>PADD 4</v>
      </c>
      <c r="G566" s="6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6" t="s">
        <v>39</v>
      </c>
      <c r="I566" s="6" t="s">
        <v>489</v>
      </c>
      <c r="J566" s="6" t="s">
        <v>394</v>
      </c>
      <c r="K566" s="10">
        <v>38</v>
      </c>
      <c r="L566" s="10">
        <v>38</v>
      </c>
      <c r="M566" s="6" t="s">
        <v>480</v>
      </c>
      <c r="N566" s="6">
        <f>IF(OR($G566="FCC",$G566="Hydrocracker",$G566="Reformer"),IF(COUNTIFS($D:$D,$D566,$A:$A,$A566,$B:$B,$B566,$G:$G,"CDU",$J:$J,"PLANNED")&gt;0,"tied","standalone"),"")</f>
        <v/>
      </c>
    </row>
    <row r="567" spans="1:14">
      <c r="A567" s="6">
        <v>2023</v>
      </c>
      <c r="B567" s="6">
        <v>3</v>
      </c>
      <c r="C567" s="6" t="s">
        <v>62</v>
      </c>
      <c r="D567" s="6" t="s">
        <v>51</v>
      </c>
      <c r="E567" s="6" t="s">
        <v>431</v>
      </c>
      <c r="F567" s="6" t="str">
        <f>IF($M567="PADD I","PADD 1",IF($M567="PADD II","PADD 2",IF($M567="PADD III","PADD 3",IF($M567="PADD IV","PADD 4",IF($M567="PADD V","PADD 5","")))))</f>
        <v>PADD 3</v>
      </c>
      <c r="G567" s="6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6" t="s">
        <v>426</v>
      </c>
      <c r="I567" s="6" t="s">
        <v>639</v>
      </c>
      <c r="J567" s="6" t="s">
        <v>398</v>
      </c>
      <c r="K567" s="10">
        <v>37.8</v>
      </c>
      <c r="L567" s="10">
        <v>90</v>
      </c>
      <c r="M567" s="6" t="s">
        <v>421</v>
      </c>
      <c r="N567" s="6" t="str">
        <f>IF(OR($G567="FCC",$G567="Hydrocracker",$G567="Reformer"),IF(COUNTIFS($D:$D,$D567,$A:$A,$A567,$B:$B,$B567,$G:$G,"CDU",$J:$J,"PLANNED")&gt;0,"tied","standalone"),"")</f>
        <v>standalone</v>
      </c>
    </row>
    <row r="568" spans="1:14">
      <c r="A568" s="6">
        <v>2023</v>
      </c>
      <c r="B568" s="6">
        <v>3</v>
      </c>
      <c r="C568" s="6" t="s">
        <v>62</v>
      </c>
      <c r="D568" s="6" t="s">
        <v>52</v>
      </c>
      <c r="E568" s="6" t="s">
        <v>441</v>
      </c>
      <c r="F568" s="6" t="str">
        <f>IF($M568="PADD I","PADD 1",IF($M568="PADD II","PADD 2",IF($M568="PADD III","PADD 3",IF($M568="PADD IV","PADD 4",IF($M568="PADD V","PADD 5","")))))</f>
        <v>PADD 5</v>
      </c>
      <c r="G568" s="6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6" t="s">
        <v>426</v>
      </c>
      <c r="I568" s="6" t="s">
        <v>106</v>
      </c>
      <c r="J568" s="6" t="s">
        <v>398</v>
      </c>
      <c r="K568" s="10">
        <v>37.7</v>
      </c>
      <c r="L568" s="10">
        <v>72.5</v>
      </c>
      <c r="M568" s="6" t="s">
        <v>436</v>
      </c>
      <c r="N568" s="6" t="str">
        <f>IF(OR($G568="FCC",$G568="Hydrocracker",$G568="Reformer"),IF(COUNTIFS($D:$D,$D568,$A:$A,$A568,$B:$B,$B568,$G:$G,"CDU",$J:$J,"PLANNED")&gt;0,"tied","standalone"),"")</f>
        <v>standalone</v>
      </c>
    </row>
    <row r="569" spans="1:14">
      <c r="A569" s="6">
        <v>2023</v>
      </c>
      <c r="B569" s="6">
        <v>3</v>
      </c>
      <c r="C569" s="6" t="s">
        <v>62</v>
      </c>
      <c r="D569" s="6" t="s">
        <v>422</v>
      </c>
      <c r="E569" s="6" t="s">
        <v>423</v>
      </c>
      <c r="F569" s="6" t="str">
        <f>IF($M569="PADD I","PADD 1",IF($M569="PADD II","PADD 2",IF($M569="PADD III","PADD 3",IF($M569="PADD IV","PADD 4",IF($M569="PADD V","PADD 5","")))))</f>
        <v>PADD 2</v>
      </c>
      <c r="G569" s="6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6" t="s">
        <v>39</v>
      </c>
      <c r="I569" s="6" t="s">
        <v>464</v>
      </c>
      <c r="J569" s="6" t="s">
        <v>394</v>
      </c>
      <c r="K569" s="10">
        <v>37.6</v>
      </c>
      <c r="L569" s="10">
        <v>40</v>
      </c>
      <c r="M569" s="6" t="s">
        <v>425</v>
      </c>
      <c r="N569" s="6">
        <f>IF(OR($G569="FCC",$G569="Hydrocracker",$G569="Reformer"),IF(COUNTIFS($D:$D,$D569,$A:$A,$A569,$B:$B,$B569,$G:$G,"CDU",$J:$J,"PLANNED")&gt;0,"tied","standalone"),"")</f>
        <v/>
      </c>
    </row>
    <row r="570" spans="1:14">
      <c r="A570" s="6">
        <v>2023</v>
      </c>
      <c r="B570" s="6">
        <v>3</v>
      </c>
      <c r="C570" s="6" t="s">
        <v>62</v>
      </c>
      <c r="D570" s="6" t="s">
        <v>395</v>
      </c>
      <c r="E570" s="6" t="s">
        <v>433</v>
      </c>
      <c r="F570" s="6" t="str">
        <f>IF($M570="PADD I","PADD 1",IF($M570="PADD II","PADD 2",IF($M570="PADD III","PADD 3",IF($M570="PADD IV","PADD 4",IF($M570="PADD V","PADD 5","")))))</f>
        <v>PADD 2</v>
      </c>
      <c r="G570" s="6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6" t="s">
        <v>39</v>
      </c>
      <c r="I570" s="6" t="s">
        <v>434</v>
      </c>
      <c r="J570" s="6" t="s">
        <v>398</v>
      </c>
      <c r="K570" s="10">
        <v>36.96</v>
      </c>
      <c r="L570" s="10">
        <v>88</v>
      </c>
      <c r="M570" s="6" t="s">
        <v>425</v>
      </c>
      <c r="N570" s="6">
        <f>IF(OR($G570="FCC",$G570="Hydrocracker",$G570="Reformer"),IF(COUNTIFS($D:$D,$D570,$A:$A,$A570,$B:$B,$B570,$G:$G,"CDU",$J:$J,"PLANNED")&gt;0,"tied","standalone"),"")</f>
        <v/>
      </c>
    </row>
    <row r="571" spans="1:14">
      <c r="A571" s="6">
        <v>2023</v>
      </c>
      <c r="B571" s="6">
        <v>3</v>
      </c>
      <c r="C571" s="6" t="s">
        <v>62</v>
      </c>
      <c r="D571" s="6" t="s">
        <v>689</v>
      </c>
      <c r="E571" s="6" t="s">
        <v>502</v>
      </c>
      <c r="F571" s="6" t="str">
        <f>IF($M571="PADD I","PADD 1",IF($M571="PADD II","PADD 2",IF($M571="PADD III","PADD 3",IF($M571="PADD IV","PADD 4",IF($M571="PADD V","PADD 5","")))))</f>
        <v>PADD 5</v>
      </c>
      <c r="G571" s="6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6" t="s">
        <v>428</v>
      </c>
      <c r="I571" s="6" t="s">
        <v>429</v>
      </c>
      <c r="J571" s="6" t="s">
        <v>398</v>
      </c>
      <c r="K571" s="10">
        <v>36.19</v>
      </c>
      <c r="L571" s="10">
        <v>65.8</v>
      </c>
      <c r="M571" s="6" t="s">
        <v>436</v>
      </c>
      <c r="N571" s="6">
        <f>IF(OR($G571="FCC",$G571="Hydrocracker",$G571="Reformer"),IF(COUNTIFS($D:$D,$D571,$A:$A,$A571,$B:$B,$B571,$G:$G,"CDU",$J:$J,"PLANNED")&gt;0,"tied","standalone"),"")</f>
        <v/>
      </c>
    </row>
    <row r="572" spans="1:14">
      <c r="A572" s="6">
        <v>2023</v>
      </c>
      <c r="B572" s="6">
        <v>3</v>
      </c>
      <c r="C572" s="6" t="s">
        <v>62</v>
      </c>
      <c r="D572" s="6" t="s">
        <v>422</v>
      </c>
      <c r="E572" s="6" t="s">
        <v>423</v>
      </c>
      <c r="F572" s="6" t="str">
        <f>IF($M572="PADD I","PADD 1",IF($M572="PADD II","PADD 2",IF($M572="PADD III","PADD 3",IF($M572="PADD IV","PADD 4",IF($M572="PADD V","PADD 5","")))))</f>
        <v>PADD 2</v>
      </c>
      <c r="G572" s="6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6" t="s">
        <v>494</v>
      </c>
      <c r="I572" s="6" t="s">
        <v>495</v>
      </c>
      <c r="J572" s="6" t="s">
        <v>394</v>
      </c>
      <c r="K572" s="10">
        <v>35</v>
      </c>
      <c r="L572" s="10">
        <v>35</v>
      </c>
      <c r="M572" s="6" t="s">
        <v>425</v>
      </c>
      <c r="N572" s="6" t="str">
        <f>IF(OR($G572="FCC",$G572="Hydrocracker",$G572="Reformer"),IF(COUNTIFS($D:$D,$D572,$A:$A,$A572,$B:$B,$B572,$G:$G,"CDU",$J:$J,"PLANNED")&gt;0,"tied","standalone"),"")</f>
        <v>standalone</v>
      </c>
    </row>
    <row r="573" spans="1:14">
      <c r="A573" s="6">
        <v>2023</v>
      </c>
      <c r="B573" s="6">
        <v>3</v>
      </c>
      <c r="C573" s="6" t="s">
        <v>62</v>
      </c>
      <c r="D573" s="6" t="s">
        <v>496</v>
      </c>
      <c r="E573" s="6" t="s">
        <v>441</v>
      </c>
      <c r="F573" s="6" t="str">
        <f>IF($M573="PADD I","PADD 1",IF($M573="PADD II","PADD 2",IF($M573="PADD III","PADD 3",IF($M573="PADD IV","PADD 4",IF($M573="PADD V","PADD 5","")))))</f>
        <v>PADD 3</v>
      </c>
      <c r="G573" s="6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6" t="s">
        <v>44</v>
      </c>
      <c r="I573" s="6" t="s">
        <v>497</v>
      </c>
      <c r="J573" s="6" t="s">
        <v>398</v>
      </c>
      <c r="K573" s="10">
        <v>35</v>
      </c>
      <c r="L573" s="10">
        <v>35</v>
      </c>
      <c r="M573" s="6" t="s">
        <v>421</v>
      </c>
      <c r="N573" s="6">
        <f>IF(OR($G573="FCC",$G573="Hydrocracker",$G573="Reformer"),IF(COUNTIFS($D:$D,$D573,$A:$A,$A573,$B:$B,$B573,$G:$G,"CDU",$J:$J,"PLANNED")&gt;0,"tied","standalone"),"")</f>
        <v/>
      </c>
    </row>
    <row r="574" spans="1:14">
      <c r="A574" s="6">
        <v>2023</v>
      </c>
      <c r="B574" s="6">
        <v>3</v>
      </c>
      <c r="C574" s="6" t="s">
        <v>62</v>
      </c>
      <c r="D574" s="6" t="s">
        <v>498</v>
      </c>
      <c r="E574" s="6" t="s">
        <v>441</v>
      </c>
      <c r="F574" s="6" t="str">
        <f>IF($M574="PADD I","PADD 1",IF($M574="PADD II","PADD 2",IF($M574="PADD III","PADD 3",IF($M574="PADD IV","PADD 4",IF($M574="PADD V","PADD 5","")))))</f>
        <v>PADD 3</v>
      </c>
      <c r="G574" s="6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6" t="s">
        <v>44</v>
      </c>
      <c r="I574" s="6" t="s">
        <v>499</v>
      </c>
      <c r="J574" s="6" t="s">
        <v>394</v>
      </c>
      <c r="K574" s="10">
        <v>35</v>
      </c>
      <c r="L574" s="10">
        <v>35</v>
      </c>
      <c r="M574" s="6" t="s">
        <v>421</v>
      </c>
      <c r="N574" s="6">
        <f>IF(OR($G574="FCC",$G574="Hydrocracker",$G574="Reformer"),IF(COUNTIFS($D:$D,$D574,$A:$A,$A574,$B:$B,$B574,$G:$G,"CDU",$J:$J,"PLANNED")&gt;0,"tied","standalone"),"")</f>
        <v/>
      </c>
    </row>
    <row r="575" spans="1:14">
      <c r="A575" s="6">
        <v>2023</v>
      </c>
      <c r="B575" s="6">
        <v>3</v>
      </c>
      <c r="C575" s="6" t="s">
        <v>62</v>
      </c>
      <c r="D575" s="6" t="s">
        <v>500</v>
      </c>
      <c r="E575" s="6" t="s">
        <v>419</v>
      </c>
      <c r="F575" s="6" t="str">
        <f>IF($M575="PADD I","PADD 1",IF($M575="PADD II","PADD 2",IF($M575="PADD III","PADD 3",IF($M575="PADD IV","PADD 4",IF($M575="PADD V","PADD 5","")))))</f>
        <v>PADD 3</v>
      </c>
      <c r="G575" s="6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6" t="s">
        <v>44</v>
      </c>
      <c r="I575" s="6" t="s">
        <v>499</v>
      </c>
      <c r="J575" s="6" t="s">
        <v>398</v>
      </c>
      <c r="K575" s="10">
        <v>35</v>
      </c>
      <c r="L575" s="10">
        <v>35</v>
      </c>
      <c r="M575" s="6" t="s">
        <v>421</v>
      </c>
      <c r="N575" s="6">
        <f>IF(OR($G575="FCC",$G575="Hydrocracker",$G575="Reformer"),IF(COUNTIFS($D:$D,$D575,$A:$A,$A575,$B:$B,$B575,$G:$G,"CDU",$J:$J,"PLANNED")&gt;0,"tied","standalone"),"")</f>
        <v/>
      </c>
    </row>
    <row r="576" spans="1:14">
      <c r="A576" s="6">
        <v>2023</v>
      </c>
      <c r="B576" s="6">
        <v>3</v>
      </c>
      <c r="C576" s="6" t="s">
        <v>62</v>
      </c>
      <c r="D576" s="6" t="s">
        <v>465</v>
      </c>
      <c r="E576" s="6" t="s">
        <v>466</v>
      </c>
      <c r="F576" s="6" t="str">
        <f>IF($M576="PADD I","PADD 1",IF($M576="PADD II","PADD 2",IF($M576="PADD III","PADD 3",IF($M576="PADD IV","PADD 4",IF($M576="PADD V","PADD 5","")))))</f>
        <v>PADD 3</v>
      </c>
      <c r="G576" s="6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6" t="s">
        <v>485</v>
      </c>
      <c r="I576" s="6" t="s">
        <v>503</v>
      </c>
      <c r="J576" s="6" t="s">
        <v>394</v>
      </c>
      <c r="K576" s="10">
        <v>34</v>
      </c>
      <c r="L576" s="10">
        <v>34</v>
      </c>
      <c r="M576" s="6" t="s">
        <v>421</v>
      </c>
      <c r="N576" s="6">
        <f>IF(OR($G576="FCC",$G576="Hydrocracker",$G576="Reformer"),IF(COUNTIFS($D:$D,$D576,$A:$A,$A576,$B:$B,$B576,$G:$G,"CDU",$J:$J,"PLANNED")&gt;0,"tied","standalone"),"")</f>
        <v/>
      </c>
    </row>
    <row r="577" spans="1:14">
      <c r="A577" s="6">
        <v>2023</v>
      </c>
      <c r="B577" s="6">
        <v>3</v>
      </c>
      <c r="C577" s="6" t="s">
        <v>62</v>
      </c>
      <c r="D577" s="6" t="s">
        <v>465</v>
      </c>
      <c r="E577" s="6" t="s">
        <v>466</v>
      </c>
      <c r="F577" s="6" t="str">
        <f>IF($M577="PADD I","PADD 1",IF($M577="PADD II","PADD 2",IF($M577="PADD III","PADD 3",IF($M577="PADD IV","PADD 4",IF($M577="PADD V","PADD 5","")))))</f>
        <v>PADD 3</v>
      </c>
      <c r="G577" s="6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6" t="s">
        <v>485</v>
      </c>
      <c r="I577" s="6" t="s">
        <v>503</v>
      </c>
      <c r="J577" s="6" t="s">
        <v>394</v>
      </c>
      <c r="K577" s="10">
        <v>34</v>
      </c>
      <c r="L577" s="10">
        <v>34</v>
      </c>
      <c r="M577" s="6" t="s">
        <v>421</v>
      </c>
      <c r="N577" s="6">
        <f>IF(OR($G577="FCC",$G577="Hydrocracker",$G577="Reformer"),IF(COUNTIFS($D:$D,$D577,$A:$A,$A577,$B:$B,$B577,$G:$G,"CDU",$J:$J,"PLANNED")&gt;0,"tied","standalone"),"")</f>
        <v/>
      </c>
    </row>
    <row r="578" spans="1:14">
      <c r="A578" s="6">
        <v>2023</v>
      </c>
      <c r="B578" s="6">
        <v>3</v>
      </c>
      <c r="C578" s="6" t="s">
        <v>62</v>
      </c>
      <c r="D578" s="6" t="s">
        <v>452</v>
      </c>
      <c r="E578" s="6" t="s">
        <v>453</v>
      </c>
      <c r="F578" s="6" t="str">
        <f>IF($M578="PADD I","PADD 1",IF($M578="PADD II","PADD 2",IF($M578="PADD III","PADD 3",IF($M578="PADD IV","PADD 4",IF($M578="PADD V","PADD 5","")))))</f>
        <v>PADD 3</v>
      </c>
      <c r="G578" s="6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6" t="s">
        <v>39</v>
      </c>
      <c r="I578" s="6" t="s">
        <v>454</v>
      </c>
      <c r="J578" s="6" t="s">
        <v>398</v>
      </c>
      <c r="K578" s="10">
        <v>33.75</v>
      </c>
      <c r="L578" s="10">
        <v>75</v>
      </c>
      <c r="M578" s="6" t="s">
        <v>421</v>
      </c>
      <c r="N578" s="6">
        <f>IF(OR($G578="FCC",$G578="Hydrocracker",$G578="Reformer"),IF(COUNTIFS($D:$D,$D578,$A:$A,$A578,$B:$B,$B578,$G:$G,"CDU",$J:$J,"PLANNED")&gt;0,"tied","standalone"),"")</f>
        <v/>
      </c>
    </row>
    <row r="579" spans="1:14">
      <c r="A579" s="6">
        <v>2023</v>
      </c>
      <c r="B579" s="6">
        <v>3</v>
      </c>
      <c r="C579" s="6" t="s">
        <v>62</v>
      </c>
      <c r="D579" s="6" t="s">
        <v>395</v>
      </c>
      <c r="E579" s="6" t="s">
        <v>433</v>
      </c>
      <c r="F579" s="6" t="str">
        <f>IF($M579="PADD I","PADD 1",IF($M579="PADD II","PADD 2",IF($M579="PADD III","PADD 3",IF($M579="PADD IV","PADD 4",IF($M579="PADD V","PADD 5","")))))</f>
        <v>PADD 2</v>
      </c>
      <c r="G579" s="6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6" t="s">
        <v>426</v>
      </c>
      <c r="I579" s="6" t="s">
        <v>106</v>
      </c>
      <c r="J579" s="6" t="s">
        <v>398</v>
      </c>
      <c r="K579" s="10">
        <v>33.18</v>
      </c>
      <c r="L579" s="10">
        <v>79</v>
      </c>
      <c r="M579" s="6" t="s">
        <v>425</v>
      </c>
      <c r="N579" s="6" t="str">
        <f>IF(OR($G579="FCC",$G579="Hydrocracker",$G579="Reformer"),IF(COUNTIFS($D:$D,$D579,$A:$A,$A579,$B:$B,$B579,$G:$G,"CDU",$J:$J,"PLANNED")&gt;0,"tied","standalone"),"")</f>
        <v>tied</v>
      </c>
    </row>
    <row r="580" spans="1:14">
      <c r="A580" s="6">
        <v>2023</v>
      </c>
      <c r="B580" s="6">
        <v>3</v>
      </c>
      <c r="C580" s="6" t="s">
        <v>62</v>
      </c>
      <c r="D580" s="6" t="s">
        <v>437</v>
      </c>
      <c r="E580" s="6" t="s">
        <v>438</v>
      </c>
      <c r="F580" s="6" t="str">
        <f>IF($M580="PADD I","PADD 1",IF($M580="PADD II","PADD 2",IF($M580="PADD III","PADD 3",IF($M580="PADD IV","PADD 4",IF($M580="PADD V","PADD 5","")))))</f>
        <v>PADD 3</v>
      </c>
      <c r="G580" s="6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6" t="s">
        <v>485</v>
      </c>
      <c r="I580" s="6" t="s">
        <v>640</v>
      </c>
      <c r="J580" s="6" t="s">
        <v>394</v>
      </c>
      <c r="K580" s="10">
        <v>33</v>
      </c>
      <c r="L580" s="10">
        <v>33</v>
      </c>
      <c r="M580" s="6" t="s">
        <v>421</v>
      </c>
      <c r="N580" s="6">
        <f>IF(OR($G580="FCC",$G580="Hydrocracker",$G580="Reformer"),IF(COUNTIFS($D:$D,$D580,$A:$A,$A580,$B:$B,$B580,$G:$G,"CDU",$J:$J,"PLANNED")&gt;0,"tied","standalone"),"")</f>
        <v/>
      </c>
    </row>
    <row r="581" spans="1:14">
      <c r="A581" s="6">
        <v>2023</v>
      </c>
      <c r="B581" s="6">
        <v>3</v>
      </c>
      <c r="C581" s="6" t="s">
        <v>62</v>
      </c>
      <c r="D581" s="6" t="s">
        <v>371</v>
      </c>
      <c r="E581" s="6" t="s">
        <v>419</v>
      </c>
      <c r="F581" s="6" t="str">
        <f>IF($M581="PADD I","PADD 1",IF($M581="PADD II","PADD 2",IF($M581="PADD III","PADD 3",IF($M581="PADD IV","PADD 4",IF($M581="PADD V","PADD 5","")))))</f>
        <v>PADD 2</v>
      </c>
      <c r="G581" s="6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6" t="s">
        <v>44</v>
      </c>
      <c r="I581" s="6" t="s">
        <v>738</v>
      </c>
      <c r="J581" s="6" t="s">
        <v>398</v>
      </c>
      <c r="K581" s="10">
        <v>32.9</v>
      </c>
      <c r="L581" s="10">
        <v>35</v>
      </c>
      <c r="M581" s="6" t="s">
        <v>425</v>
      </c>
      <c r="N581" s="6">
        <f>IF(OR($G581="FCC",$G581="Hydrocracker",$G581="Reformer"),IF(COUNTIFS($D:$D,$D581,$A:$A,$A581,$B:$B,$B581,$G:$G,"CDU",$J:$J,"PLANNED")&gt;0,"tied","standalone"),"")</f>
        <v/>
      </c>
    </row>
    <row r="582" spans="1:14">
      <c r="A582" s="6">
        <v>2023</v>
      </c>
      <c r="B582" s="6">
        <v>3</v>
      </c>
      <c r="C582" s="6" t="s">
        <v>62</v>
      </c>
      <c r="D582" s="6" t="s">
        <v>568</v>
      </c>
      <c r="E582" s="6" t="s">
        <v>419</v>
      </c>
      <c r="F582" s="6" t="str">
        <f>IF($M582="PADD I","PADD 1",IF($M582="PADD II","PADD 2",IF($M582="PADD III","PADD 3",IF($M582="PADD IV","PADD 4",IF($M582="PADD V","PADD 5","")))))</f>
        <v>PADD 5</v>
      </c>
      <c r="G582" s="6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6" t="s">
        <v>39</v>
      </c>
      <c r="I582" s="6" t="s">
        <v>603</v>
      </c>
      <c r="J582" s="6" t="s">
        <v>394</v>
      </c>
      <c r="K582" s="10">
        <v>32</v>
      </c>
      <c r="L582" s="10">
        <v>32</v>
      </c>
      <c r="M582" s="6" t="s">
        <v>436</v>
      </c>
      <c r="N582" s="6">
        <f>IF(OR($G582="FCC",$G582="Hydrocracker",$G582="Reformer"),IF(COUNTIFS($D:$D,$D582,$A:$A,$A582,$B:$B,$B582,$G:$G,"CDU",$J:$J,"PLANNED")&gt;0,"tied","standalone"),"")</f>
        <v/>
      </c>
    </row>
    <row r="583" spans="1:14">
      <c r="A583" s="6">
        <v>2023</v>
      </c>
      <c r="B583" s="6">
        <v>3</v>
      </c>
      <c r="C583" s="6" t="s">
        <v>62</v>
      </c>
      <c r="D583" s="6" t="s">
        <v>430</v>
      </c>
      <c r="E583" s="6" t="s">
        <v>431</v>
      </c>
      <c r="F583" s="6" t="str">
        <f>IF($M583="PADD I","PADD 1",IF($M583="PADD II","PADD 2",IF($M583="PADD III","PADD 3",IF($M583="PADD IV","PADD 4",IF($M583="PADD V","PADD 5","")))))</f>
        <v>PADD 3</v>
      </c>
      <c r="G583" s="6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6" t="s">
        <v>485</v>
      </c>
      <c r="I583" s="6" t="s">
        <v>565</v>
      </c>
      <c r="J583" s="6" t="s">
        <v>394</v>
      </c>
      <c r="K583" s="10">
        <v>32</v>
      </c>
      <c r="L583" s="10">
        <v>32</v>
      </c>
      <c r="M583" s="6" t="s">
        <v>421</v>
      </c>
      <c r="N583" s="6">
        <f>IF(OR($G583="FCC",$G583="Hydrocracker",$G583="Reformer"),IF(COUNTIFS($D:$D,$D583,$A:$A,$A583,$B:$B,$B583,$G:$G,"CDU",$J:$J,"PLANNED")&gt;0,"tied","standalone"),"")</f>
        <v/>
      </c>
    </row>
    <row r="584" spans="1:14">
      <c r="A584" s="6">
        <v>2023</v>
      </c>
      <c r="B584" s="6">
        <v>3</v>
      </c>
      <c r="C584" s="6" t="s">
        <v>62</v>
      </c>
      <c r="D584" s="6" t="s">
        <v>373</v>
      </c>
      <c r="E584" s="6" t="s">
        <v>438</v>
      </c>
      <c r="F584" s="6" t="str">
        <f>IF($M584="PADD I","PADD 1",IF($M584="PADD II","PADD 2",IF($M584="PADD III","PADD 3",IF($M584="PADD IV","PADD 4",IF($M584="PADD V","PADD 5","")))))</f>
        <v>PADD 3</v>
      </c>
      <c r="G584" s="6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6" t="s">
        <v>39</v>
      </c>
      <c r="I584" s="6" t="s">
        <v>100</v>
      </c>
      <c r="J584" s="6" t="s">
        <v>398</v>
      </c>
      <c r="K584" s="10">
        <v>31.9</v>
      </c>
      <c r="L584" s="10">
        <v>110</v>
      </c>
      <c r="M584" s="6" t="s">
        <v>421</v>
      </c>
      <c r="N584" s="6">
        <f>IF(OR($G584="FCC",$G584="Hydrocracker",$G584="Reformer"),IF(COUNTIFS($D:$D,$D584,$A:$A,$A584,$B:$B,$B584,$G:$G,"CDU",$J:$J,"PLANNED")&gt;0,"tied","standalone"),"")</f>
        <v/>
      </c>
    </row>
    <row r="585" spans="1:14">
      <c r="A585" s="6">
        <v>2023</v>
      </c>
      <c r="B585" s="6">
        <v>3</v>
      </c>
      <c r="C585" s="6" t="s">
        <v>62</v>
      </c>
      <c r="D585" s="6" t="s">
        <v>430</v>
      </c>
      <c r="E585" s="6" t="s">
        <v>431</v>
      </c>
      <c r="F585" s="6" t="str">
        <f>IF($M585="PADD I","PADD 1",IF($M585="PADD II","PADD 2",IF($M585="PADD III","PADD 3",IF($M585="PADD IV","PADD 4",IF($M585="PADD V","PADD 5","")))))</f>
        <v>PADD 3</v>
      </c>
      <c r="G585" s="6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6" t="s">
        <v>485</v>
      </c>
      <c r="I585" s="6" t="s">
        <v>527</v>
      </c>
      <c r="J585" s="6" t="s">
        <v>398</v>
      </c>
      <c r="K585" s="10">
        <v>30.5</v>
      </c>
      <c r="L585" s="10">
        <v>50</v>
      </c>
      <c r="M585" s="6" t="s">
        <v>421</v>
      </c>
      <c r="N585" s="6">
        <f>IF(OR($G585="FCC",$G585="Hydrocracker",$G585="Reformer"),IF(COUNTIFS($D:$D,$D585,$A:$A,$A585,$B:$B,$B585,$G:$G,"CDU",$J:$J,"PLANNED")&gt;0,"tied","standalone"),"")</f>
        <v/>
      </c>
    </row>
    <row r="586" spans="1:14">
      <c r="A586" s="6">
        <v>2023</v>
      </c>
      <c r="B586" s="6">
        <v>3</v>
      </c>
      <c r="C586" s="6" t="s">
        <v>62</v>
      </c>
      <c r="D586" s="6" t="s">
        <v>52</v>
      </c>
      <c r="E586" s="6" t="s">
        <v>441</v>
      </c>
      <c r="F586" s="6" t="str">
        <f>IF($M586="PADD I","PADD 1",IF($M586="PADD II","PADD 2",IF($M586="PADD III","PADD 3",IF($M586="PADD IV","PADD 4",IF($M586="PADD V","PADD 5","")))))</f>
        <v>PADD 5</v>
      </c>
      <c r="G586" s="6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6" t="s">
        <v>426</v>
      </c>
      <c r="I586" s="6" t="s">
        <v>106</v>
      </c>
      <c r="J586" s="6" t="s">
        <v>394</v>
      </c>
      <c r="K586" s="10">
        <v>30.45</v>
      </c>
      <c r="L586" s="10">
        <v>72.5</v>
      </c>
      <c r="M586" s="6" t="s">
        <v>436</v>
      </c>
      <c r="N586" s="6" t="str">
        <f>IF(OR($G586="FCC",$G586="Hydrocracker",$G586="Reformer"),IF(COUNTIFS($D:$D,$D586,$A:$A,$A586,$B:$B,$B586,$G:$G,"CDU",$J:$J,"PLANNED")&gt;0,"tied","standalone"),"")</f>
        <v>standalone</v>
      </c>
    </row>
    <row r="587" spans="1:14">
      <c r="A587" s="6">
        <v>2023</v>
      </c>
      <c r="B587" s="6">
        <v>3</v>
      </c>
      <c r="C587" s="6" t="s">
        <v>62</v>
      </c>
      <c r="D587" s="6" t="s">
        <v>730</v>
      </c>
      <c r="E587" s="6" t="s">
        <v>731</v>
      </c>
      <c r="F587" s="6" t="str">
        <f>IF($M587="PADD I","PADD 1",IF($M587="PADD II","PADD 2",IF($M587="PADD III","PADD 3",IF($M587="PADD IV","PADD 4",IF($M587="PADD V","PADD 5","")))))</f>
        <v>PADD 3</v>
      </c>
      <c r="G587" s="6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6" t="s">
        <v>44</v>
      </c>
      <c r="I587" s="6" t="s">
        <v>739</v>
      </c>
      <c r="J587" s="6" t="s">
        <v>398</v>
      </c>
      <c r="K587" s="10">
        <v>30.08</v>
      </c>
      <c r="L587" s="10">
        <v>32</v>
      </c>
      <c r="M587" s="6" t="s">
        <v>421</v>
      </c>
      <c r="N587" s="6">
        <f>IF(OR($G587="FCC",$G587="Hydrocracker",$G587="Reformer"),IF(COUNTIFS($D:$D,$D587,$A:$A,$A587,$B:$B,$B587,$G:$G,"CDU",$J:$J,"PLANNED")&gt;0,"tied","standalone"),"")</f>
        <v/>
      </c>
    </row>
    <row r="588" spans="1:14">
      <c r="A588" s="6">
        <v>2023</v>
      </c>
      <c r="B588" s="6">
        <v>3</v>
      </c>
      <c r="C588" s="6" t="s">
        <v>62</v>
      </c>
      <c r="D588" s="6" t="s">
        <v>430</v>
      </c>
      <c r="E588" s="6" t="s">
        <v>431</v>
      </c>
      <c r="F588" s="6" t="str">
        <f>IF($M588="PADD I","PADD 1",IF($M588="PADD II","PADD 2",IF($M588="PADD III","PADD 3",IF($M588="PADD IV","PADD 4",IF($M588="PADD V","PADD 5","")))))</f>
        <v>PADD 3</v>
      </c>
      <c r="G588" s="6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6" t="s">
        <v>426</v>
      </c>
      <c r="I588" s="6" t="s">
        <v>702</v>
      </c>
      <c r="J588" s="6" t="s">
        <v>394</v>
      </c>
      <c r="K588" s="10">
        <v>30.03</v>
      </c>
      <c r="L588" s="10">
        <v>115.5</v>
      </c>
      <c r="M588" s="6" t="s">
        <v>421</v>
      </c>
      <c r="N588" s="6" t="str">
        <f>IF(OR($G588="FCC",$G588="Hydrocracker",$G588="Reformer"),IF(COUNTIFS($D:$D,$D588,$A:$A,$A588,$B:$B,$B588,$G:$G,"CDU",$J:$J,"PLANNED")&gt;0,"tied","standalone"),"")</f>
        <v>tied</v>
      </c>
    </row>
    <row r="589" spans="1:14">
      <c r="A589" s="6">
        <v>2023</v>
      </c>
      <c r="B589" s="6">
        <v>3</v>
      </c>
      <c r="C589" s="6" t="s">
        <v>62</v>
      </c>
      <c r="D589" s="6" t="s">
        <v>422</v>
      </c>
      <c r="E589" s="6" t="s">
        <v>423</v>
      </c>
      <c r="F589" s="6" t="str">
        <f>IF($M589="PADD I","PADD 1",IF($M589="PADD II","PADD 2",IF($M589="PADD III","PADD 3",IF($M589="PADD IV","PADD 4",IF($M589="PADD V","PADD 5","")))))</f>
        <v>PADD 2</v>
      </c>
      <c r="G589" s="6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6" t="s">
        <v>485</v>
      </c>
      <c r="I589" s="6" t="s">
        <v>517</v>
      </c>
      <c r="J589" s="6" t="s">
        <v>394</v>
      </c>
      <c r="K589" s="10">
        <v>30</v>
      </c>
      <c r="L589" s="10">
        <v>30</v>
      </c>
      <c r="M589" s="6" t="s">
        <v>425</v>
      </c>
      <c r="N589" s="6">
        <f>IF(OR($G589="FCC",$G589="Hydrocracker",$G589="Reformer"),IF(COUNTIFS($D:$D,$D589,$A:$A,$A589,$B:$B,$B589,$G:$G,"CDU",$J:$J,"PLANNED")&gt;0,"tied","standalone"),"")</f>
        <v/>
      </c>
    </row>
    <row r="590" spans="1:14">
      <c r="A590" s="6">
        <v>2023</v>
      </c>
      <c r="B590" s="6">
        <v>3</v>
      </c>
      <c r="C590" s="6" t="s">
        <v>62</v>
      </c>
      <c r="D590" s="6" t="s">
        <v>512</v>
      </c>
      <c r="E590" s="6" t="s">
        <v>488</v>
      </c>
      <c r="F590" s="6" t="str">
        <f>IF($M590="PADD I","PADD 1",IF($M590="PADD II","PADD 2",IF($M590="PADD III","PADD 3",IF($M590="PADD IV","PADD 4",IF($M590="PADD V","PADD 5","")))))</f>
        <v>PADD 4</v>
      </c>
      <c r="G590" s="6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6" t="s">
        <v>44</v>
      </c>
      <c r="I590" s="6" t="s">
        <v>520</v>
      </c>
      <c r="J590" s="6" t="s">
        <v>394</v>
      </c>
      <c r="K590" s="10">
        <v>30</v>
      </c>
      <c r="L590" s="10">
        <v>30</v>
      </c>
      <c r="M590" s="6" t="s">
        <v>480</v>
      </c>
      <c r="N590" s="6">
        <f>IF(OR($G590="FCC",$G590="Hydrocracker",$G590="Reformer"),IF(COUNTIFS($D:$D,$D590,$A:$A,$A590,$B:$B,$B590,$G:$G,"CDU",$J:$J,"PLANNED")&gt;0,"tied","standalone"),"")</f>
        <v/>
      </c>
    </row>
    <row r="591" spans="1:14">
      <c r="A591" s="6">
        <v>2023</v>
      </c>
      <c r="B591" s="6">
        <v>3</v>
      </c>
      <c r="C591" s="6" t="s">
        <v>62</v>
      </c>
      <c r="D591" s="6" t="s">
        <v>568</v>
      </c>
      <c r="E591" s="6" t="s">
        <v>419</v>
      </c>
      <c r="F591" s="6" t="str">
        <f>IF($M591="PADD I","PADD 1",IF($M591="PADD II","PADD 2",IF($M591="PADD III","PADD 3",IF($M591="PADD IV","PADD 4",IF($M591="PADD V","PADD 5","")))))</f>
        <v>PADD 5</v>
      </c>
      <c r="G591" s="6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6" t="s">
        <v>428</v>
      </c>
      <c r="I591" s="6" t="s">
        <v>481</v>
      </c>
      <c r="J591" s="6" t="s">
        <v>394</v>
      </c>
      <c r="K591" s="10">
        <v>30</v>
      </c>
      <c r="L591" s="10">
        <v>30</v>
      </c>
      <c r="M591" s="6" t="s">
        <v>436</v>
      </c>
      <c r="N591" s="6">
        <f>IF(OR($G591="FCC",$G591="Hydrocracker",$G591="Reformer"),IF(COUNTIFS($D:$D,$D591,$A:$A,$A591,$B:$B,$B591,$G:$G,"CDU",$J:$J,"PLANNED")&gt;0,"tied","standalone"),"")</f>
        <v/>
      </c>
    </row>
    <row r="592" spans="1:14">
      <c r="A592" s="6">
        <v>2023</v>
      </c>
      <c r="B592" s="6">
        <v>3</v>
      </c>
      <c r="C592" s="6" t="s">
        <v>62</v>
      </c>
      <c r="D592" s="6" t="s">
        <v>384</v>
      </c>
      <c r="E592" s="6" t="s">
        <v>419</v>
      </c>
      <c r="F592" s="6" t="str">
        <f>IF($M592="PADD I","PADD 1",IF($M592="PADD II","PADD 2",IF($M592="PADD III","PADD 3",IF($M592="PADD IV","PADD 4",IF($M592="PADD V","PADD 5","")))))</f>
        <v>PADD 3</v>
      </c>
      <c r="G592" s="6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6" t="s">
        <v>426</v>
      </c>
      <c r="I592" s="6" t="s">
        <v>522</v>
      </c>
      <c r="J592" s="6" t="s">
        <v>398</v>
      </c>
      <c r="K592" s="10">
        <v>30</v>
      </c>
      <c r="L592" s="10">
        <v>30</v>
      </c>
      <c r="M592" s="6" t="s">
        <v>421</v>
      </c>
      <c r="N592" s="6" t="str">
        <f>IF(OR($G592="FCC",$G592="Hydrocracker",$G592="Reformer"),IF(COUNTIFS($D:$D,$D592,$A:$A,$A592,$B:$B,$B592,$G:$G,"CDU",$J:$J,"PLANNED")&gt;0,"tied","standalone"),"")</f>
        <v>standalone</v>
      </c>
    </row>
    <row r="593" spans="1:14">
      <c r="A593" s="6">
        <v>2023</v>
      </c>
      <c r="B593" s="6">
        <v>3</v>
      </c>
      <c r="C593" s="6" t="s">
        <v>62</v>
      </c>
      <c r="D593" s="6" t="s">
        <v>384</v>
      </c>
      <c r="E593" s="6" t="s">
        <v>419</v>
      </c>
      <c r="F593" s="6" t="str">
        <f>IF($M593="PADD I","PADD 1",IF($M593="PADD II","PADD 2",IF($M593="PADD III","PADD 3",IF($M593="PADD IV","PADD 4",IF($M593="PADD V","PADD 5","")))))</f>
        <v>PADD 3</v>
      </c>
      <c r="G593" s="6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6" t="s">
        <v>426</v>
      </c>
      <c r="I593" s="6" t="s">
        <v>522</v>
      </c>
      <c r="J593" s="6" t="s">
        <v>394</v>
      </c>
      <c r="K593" s="10">
        <v>30</v>
      </c>
      <c r="L593" s="10">
        <v>30</v>
      </c>
      <c r="M593" s="6" t="s">
        <v>421</v>
      </c>
      <c r="N593" s="6" t="str">
        <f>IF(OR($G593="FCC",$G593="Hydrocracker",$G593="Reformer"),IF(COUNTIFS($D:$D,$D593,$A:$A,$A593,$B:$B,$B593,$G:$G,"CDU",$J:$J,"PLANNED")&gt;0,"tied","standalone"),"")</f>
        <v>standalone</v>
      </c>
    </row>
    <row r="594" spans="1:14">
      <c r="A594" s="6">
        <v>2023</v>
      </c>
      <c r="B594" s="6">
        <v>3</v>
      </c>
      <c r="C594" s="6" t="s">
        <v>62</v>
      </c>
      <c r="D594" s="6" t="s">
        <v>518</v>
      </c>
      <c r="E594" s="6" t="s">
        <v>419</v>
      </c>
      <c r="F594" s="6" t="str">
        <f>IF($M594="PADD I","PADD 1",IF($M594="PADD II","PADD 2",IF($M594="PADD III","PADD 3",IF($M594="PADD IV","PADD 4",IF($M594="PADD V","PADD 5","")))))</f>
        <v>PADD 3</v>
      </c>
      <c r="G594" s="6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6" t="s">
        <v>426</v>
      </c>
      <c r="I594" s="6" t="s">
        <v>523</v>
      </c>
      <c r="J594" s="6" t="s">
        <v>394</v>
      </c>
      <c r="K594" s="10">
        <v>30</v>
      </c>
      <c r="L594" s="10">
        <v>30</v>
      </c>
      <c r="M594" s="6" t="s">
        <v>421</v>
      </c>
      <c r="N594" s="6" t="str">
        <f>IF(OR($G594="FCC",$G594="Hydrocracker",$G594="Reformer"),IF(COUNTIFS($D:$D,$D594,$A:$A,$A594,$B:$B,$B594,$G:$G,"CDU",$J:$J,"PLANNED")&gt;0,"tied","standalone"),"")</f>
        <v>tied</v>
      </c>
    </row>
    <row r="595" spans="1:14">
      <c r="A595" s="6">
        <v>2023</v>
      </c>
      <c r="B595" s="6">
        <v>3</v>
      </c>
      <c r="C595" s="6" t="s">
        <v>62</v>
      </c>
      <c r="D595" s="6" t="s">
        <v>52</v>
      </c>
      <c r="E595" s="6" t="s">
        <v>441</v>
      </c>
      <c r="F595" s="6" t="str">
        <f>IF($M595="PADD I","PADD 1",IF($M595="PADD II","PADD 2",IF($M595="PADD III","PADD 3",IF($M595="PADD IV","PADD 4",IF($M595="PADD V","PADD 5","")))))</f>
        <v>PADD 5</v>
      </c>
      <c r="G595" s="6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6" t="s">
        <v>510</v>
      </c>
      <c r="I595" s="6" t="s">
        <v>511</v>
      </c>
      <c r="J595" s="6" t="s">
        <v>394</v>
      </c>
      <c r="K595" s="10">
        <v>29.7</v>
      </c>
      <c r="L595" s="10">
        <v>33</v>
      </c>
      <c r="M595" s="6" t="s">
        <v>436</v>
      </c>
      <c r="N595" s="6">
        <f>IF(OR($G595="FCC",$G595="Hydrocracker",$G595="Reformer"),IF(COUNTIFS($D:$D,$D595,$A:$A,$A595,$B:$B,$B595,$G:$G,"CDU",$J:$J,"PLANNED")&gt;0,"tied","standalone"),"")</f>
        <v/>
      </c>
    </row>
    <row r="596" spans="1:14">
      <c r="A596" s="6">
        <v>2023</v>
      </c>
      <c r="B596" s="6">
        <v>3</v>
      </c>
      <c r="C596" s="6" t="s">
        <v>62</v>
      </c>
      <c r="D596" s="6" t="s">
        <v>592</v>
      </c>
      <c r="E596" s="6" t="s">
        <v>593</v>
      </c>
      <c r="F596" s="6" t="str">
        <f>IF($M596="PADD I","PADD 1",IF($M596="PADD II","PADD 2",IF($M596="PADD III","PADD 3",IF($M596="PADD IV","PADD 4",IF($M596="PADD V","PADD 5","")))))</f>
        <v>PADD 2</v>
      </c>
      <c r="G596" s="6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6" t="s">
        <v>39</v>
      </c>
      <c r="I596" s="6" t="s">
        <v>740</v>
      </c>
      <c r="J596" s="6" t="s">
        <v>394</v>
      </c>
      <c r="K596" s="10">
        <v>29.25</v>
      </c>
      <c r="L596" s="10">
        <v>75</v>
      </c>
      <c r="M596" s="6" t="s">
        <v>425</v>
      </c>
      <c r="N596" s="6">
        <f>IF(OR($G596="FCC",$G596="Hydrocracker",$G596="Reformer"),IF(COUNTIFS($D:$D,$D596,$A:$A,$A596,$B:$B,$B596,$G:$G,"CDU",$J:$J,"PLANNED")&gt;0,"tied","standalone"),"")</f>
        <v/>
      </c>
    </row>
    <row r="597" spans="1:14">
      <c r="A597" s="6">
        <v>2023</v>
      </c>
      <c r="B597" s="6">
        <v>3</v>
      </c>
      <c r="C597" s="6" t="s">
        <v>62</v>
      </c>
      <c r="D597" s="6" t="s">
        <v>422</v>
      </c>
      <c r="E597" s="6" t="s">
        <v>423</v>
      </c>
      <c r="F597" s="6" t="str">
        <f>IF($M597="PADD I","PADD 1",IF($M597="PADD II","PADD 2",IF($M597="PADD III","PADD 3",IF($M597="PADD IV","PADD 4",IF($M597="PADD V","PADD 5","")))))</f>
        <v>PADD 2</v>
      </c>
      <c r="G597" s="6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6" t="s">
        <v>494</v>
      </c>
      <c r="I597" s="6" t="s">
        <v>495</v>
      </c>
      <c r="J597" s="6" t="s">
        <v>394</v>
      </c>
      <c r="K597" s="10">
        <v>29.14</v>
      </c>
      <c r="L597" s="10">
        <v>31</v>
      </c>
      <c r="M597" s="6" t="s">
        <v>425</v>
      </c>
      <c r="N597" s="6" t="str">
        <f>IF(OR($G597="FCC",$G597="Hydrocracker",$G597="Reformer"),IF(COUNTIFS($D:$D,$D597,$A:$A,$A597,$B:$B,$B597,$G:$G,"CDU",$J:$J,"PLANNED")&gt;0,"tied","standalone"),"")</f>
        <v>standalone</v>
      </c>
    </row>
    <row r="598" spans="1:14">
      <c r="A598" s="6">
        <v>2023</v>
      </c>
      <c r="B598" s="6">
        <v>3</v>
      </c>
      <c r="C598" s="6" t="s">
        <v>62</v>
      </c>
      <c r="D598" s="6" t="s">
        <v>512</v>
      </c>
      <c r="E598" s="6" t="s">
        <v>488</v>
      </c>
      <c r="F598" s="6" t="str">
        <f>IF($M598="PADD I","PADD 1",IF($M598="PADD II","PADD 2",IF($M598="PADD III","PADD 3",IF($M598="PADD IV","PADD 4",IF($M598="PADD V","PADD 5","")))))</f>
        <v>PADD 4</v>
      </c>
      <c r="G598" s="6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6" t="s">
        <v>426</v>
      </c>
      <c r="I598" s="6" t="s">
        <v>106</v>
      </c>
      <c r="J598" s="6" t="s">
        <v>394</v>
      </c>
      <c r="K598" s="10">
        <v>28.3</v>
      </c>
      <c r="L598" s="10">
        <v>28.3</v>
      </c>
      <c r="M598" s="6" t="s">
        <v>480</v>
      </c>
      <c r="N598" s="6" t="str">
        <f>IF(OR($G598="FCC",$G598="Hydrocracker",$G598="Reformer"),IF(COUNTIFS($D:$D,$D598,$A:$A,$A598,$B:$B,$B598,$G:$G,"CDU",$J:$J,"PLANNED")&gt;0,"tied","standalone"),"")</f>
        <v>standalone</v>
      </c>
    </row>
    <row r="599" spans="1:14">
      <c r="A599" s="6">
        <v>2023</v>
      </c>
      <c r="B599" s="6">
        <v>3</v>
      </c>
      <c r="C599" s="6" t="s">
        <v>62</v>
      </c>
      <c r="D599" s="6" t="s">
        <v>371</v>
      </c>
      <c r="E599" s="6" t="s">
        <v>419</v>
      </c>
      <c r="F599" s="6" t="str">
        <f>IF($M599="PADD I","PADD 1",IF($M599="PADD II","PADD 2",IF($M599="PADD III","PADD 3",IF($M599="PADD IV","PADD 4",IF($M599="PADD V","PADD 5","")))))</f>
        <v>PADD 2</v>
      </c>
      <c r="G599" s="6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6" t="s">
        <v>44</v>
      </c>
      <c r="I599" s="6" t="s">
        <v>741</v>
      </c>
      <c r="J599" s="6" t="s">
        <v>398</v>
      </c>
      <c r="K599" s="10">
        <v>28.2</v>
      </c>
      <c r="L599" s="10">
        <v>30</v>
      </c>
      <c r="M599" s="6" t="s">
        <v>425</v>
      </c>
      <c r="N599" s="6">
        <f>IF(OR($G599="FCC",$G599="Hydrocracker",$G599="Reformer"),IF(COUNTIFS($D:$D,$D599,$A:$A,$A599,$B:$B,$B599,$G:$G,"CDU",$J:$J,"PLANNED")&gt;0,"tied","standalone"),"")</f>
        <v/>
      </c>
    </row>
    <row r="600" spans="1:14">
      <c r="A600" s="6">
        <v>2023</v>
      </c>
      <c r="B600" s="6">
        <v>3</v>
      </c>
      <c r="C600" s="6" t="s">
        <v>62</v>
      </c>
      <c r="D600" s="6" t="s">
        <v>487</v>
      </c>
      <c r="E600" s="6" t="s">
        <v>488</v>
      </c>
      <c r="F600" s="6" t="str">
        <f>IF($M600="PADD I","PADD 1",IF($M600="PADD II","PADD 2",IF($M600="PADD III","PADD 3",IF($M600="PADD IV","PADD 4",IF($M600="PADD V","PADD 5","")))))</f>
        <v>PADD 4</v>
      </c>
      <c r="G600" s="6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6" t="s">
        <v>39</v>
      </c>
      <c r="I600" s="6" t="s">
        <v>379</v>
      </c>
      <c r="J600" s="6" t="s">
        <v>394</v>
      </c>
      <c r="K600" s="10">
        <v>28</v>
      </c>
      <c r="L600" s="10">
        <v>28</v>
      </c>
      <c r="M600" s="6" t="s">
        <v>480</v>
      </c>
      <c r="N600" s="6">
        <f>IF(OR($G600="FCC",$G600="Hydrocracker",$G600="Reformer"),IF(COUNTIFS($D:$D,$D600,$A:$A,$A600,$B:$B,$B600,$G:$G,"CDU",$J:$J,"PLANNED")&gt;0,"tied","standalone"),"")</f>
        <v/>
      </c>
    </row>
    <row r="601" spans="1:14">
      <c r="A601" s="6">
        <v>2023</v>
      </c>
      <c r="B601" s="6">
        <v>3</v>
      </c>
      <c r="C601" s="6" t="s">
        <v>62</v>
      </c>
      <c r="D601" s="6" t="s">
        <v>568</v>
      </c>
      <c r="E601" s="6" t="s">
        <v>419</v>
      </c>
      <c r="F601" s="6" t="str">
        <f>IF($M601="PADD I","PADD 1",IF($M601="PADD II","PADD 2",IF($M601="PADD III","PADD 3",IF($M601="PADD IV","PADD 4",IF($M601="PADD V","PADD 5","")))))</f>
        <v>PADD 5</v>
      </c>
      <c r="G601" s="6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6" t="s">
        <v>44</v>
      </c>
      <c r="I601" s="6" t="s">
        <v>620</v>
      </c>
      <c r="J601" s="6" t="s">
        <v>394</v>
      </c>
      <c r="K601" s="10">
        <v>28</v>
      </c>
      <c r="L601" s="10">
        <v>28</v>
      </c>
      <c r="M601" s="6" t="s">
        <v>436</v>
      </c>
      <c r="N601" s="6">
        <f>IF(OR($G601="FCC",$G601="Hydrocracker",$G601="Reformer"),IF(COUNTIFS($D:$D,$D601,$A:$A,$A601,$B:$B,$B601,$G:$G,"CDU",$J:$J,"PLANNED")&gt;0,"tied","standalone"),"")</f>
        <v/>
      </c>
    </row>
    <row r="602" spans="1:14">
      <c r="A602" s="6">
        <v>2023</v>
      </c>
      <c r="B602" s="6">
        <v>3</v>
      </c>
      <c r="C602" s="6" t="s">
        <v>62</v>
      </c>
      <c r="D602" s="6" t="s">
        <v>395</v>
      </c>
      <c r="E602" s="6" t="s">
        <v>433</v>
      </c>
      <c r="F602" s="6" t="str">
        <f>IF($M602="PADD I","PADD 1",IF($M602="PADD II","PADD 2",IF($M602="PADD III","PADD 3",IF($M602="PADD IV","PADD 4",IF($M602="PADD V","PADD 5","")))))</f>
        <v>PADD 2</v>
      </c>
      <c r="G602" s="6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6" t="s">
        <v>44</v>
      </c>
      <c r="I602" s="6" t="s">
        <v>444</v>
      </c>
      <c r="J602" s="6" t="s">
        <v>398</v>
      </c>
      <c r="K602" s="10">
        <v>27.3</v>
      </c>
      <c r="L602" s="10">
        <v>65</v>
      </c>
      <c r="M602" s="6" t="s">
        <v>425</v>
      </c>
      <c r="N602" s="6">
        <f>IF(OR($G602="FCC",$G602="Hydrocracker",$G602="Reformer"),IF(COUNTIFS($D:$D,$D602,$A:$A,$A602,$B:$B,$B602,$G:$G,"CDU",$J:$J,"PLANNED")&gt;0,"tied","standalone"),"")</f>
        <v/>
      </c>
    </row>
    <row r="603" spans="1:14">
      <c r="A603" s="6">
        <v>2023</v>
      </c>
      <c r="B603" s="6">
        <v>3</v>
      </c>
      <c r="C603" s="6" t="s">
        <v>62</v>
      </c>
      <c r="D603" s="6" t="s">
        <v>568</v>
      </c>
      <c r="E603" s="6" t="s">
        <v>419</v>
      </c>
      <c r="F603" s="6" t="str">
        <f>IF($M603="PADD I","PADD 1",IF($M603="PADD II","PADD 2",IF($M603="PADD III","PADD 3",IF($M603="PADD IV","PADD 4",IF($M603="PADD V","PADD 5","")))))</f>
        <v>PADD 5</v>
      </c>
      <c r="G603" s="6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6" t="s">
        <v>485</v>
      </c>
      <c r="I603" s="6" t="s">
        <v>628</v>
      </c>
      <c r="J603" s="6" t="s">
        <v>394</v>
      </c>
      <c r="K603" s="10">
        <v>26</v>
      </c>
      <c r="L603" s="10">
        <v>26</v>
      </c>
      <c r="M603" s="6" t="s">
        <v>436</v>
      </c>
      <c r="N603" s="6">
        <f>IF(OR($G603="FCC",$G603="Hydrocracker",$G603="Reformer"),IF(COUNTIFS($D:$D,$D603,$A:$A,$A603,$B:$B,$B603,$G:$G,"CDU",$J:$J,"PLANNED")&gt;0,"tied","standalone"),"")</f>
        <v/>
      </c>
    </row>
    <row r="604" spans="1:14">
      <c r="A604" s="6">
        <v>2023</v>
      </c>
      <c r="B604" s="6">
        <v>3</v>
      </c>
      <c r="C604" s="6" t="s">
        <v>62</v>
      </c>
      <c r="D604" s="6" t="s">
        <v>422</v>
      </c>
      <c r="E604" s="6" t="s">
        <v>423</v>
      </c>
      <c r="F604" s="6" t="str">
        <f>IF($M604="PADD I","PADD 1",IF($M604="PADD II","PADD 2",IF($M604="PADD III","PADD 3",IF($M604="PADD IV","PADD 4",IF($M604="PADD V","PADD 5","")))))</f>
        <v>PADD 2</v>
      </c>
      <c r="G604" s="6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6" t="s">
        <v>485</v>
      </c>
      <c r="I604" s="6" t="s">
        <v>517</v>
      </c>
      <c r="J604" s="6" t="s">
        <v>394</v>
      </c>
      <c r="K604" s="10">
        <v>25.85</v>
      </c>
      <c r="L604" s="10">
        <v>27.5</v>
      </c>
      <c r="M604" s="6" t="s">
        <v>425</v>
      </c>
      <c r="N604" s="6">
        <f>IF(OR($G604="FCC",$G604="Hydrocracker",$G604="Reformer"),IF(COUNTIFS($D:$D,$D604,$A:$A,$A604,$B:$B,$B604,$G:$G,"CDU",$J:$J,"PLANNED")&gt;0,"tied","standalone"),"")</f>
        <v/>
      </c>
    </row>
    <row r="605" spans="1:14">
      <c r="A605" s="6">
        <v>2023</v>
      </c>
      <c r="B605" s="6">
        <v>3</v>
      </c>
      <c r="C605" s="6" t="s">
        <v>62</v>
      </c>
      <c r="D605" s="6" t="s">
        <v>430</v>
      </c>
      <c r="E605" s="6" t="s">
        <v>431</v>
      </c>
      <c r="F605" s="6" t="str">
        <f>IF($M605="PADD I","PADD 1",IF($M605="PADD II","PADD 2",IF($M605="PADD III","PADD 3",IF($M605="PADD IV","PADD 4",IF($M605="PADD V","PADD 5","")))))</f>
        <v>PADD 3</v>
      </c>
      <c r="G605" s="6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6" t="s">
        <v>426</v>
      </c>
      <c r="I605" s="6" t="s">
        <v>702</v>
      </c>
      <c r="J605" s="6" t="s">
        <v>394</v>
      </c>
      <c r="K605" s="10">
        <v>25.3</v>
      </c>
      <c r="L605" s="10">
        <v>110</v>
      </c>
      <c r="M605" s="6" t="s">
        <v>421</v>
      </c>
      <c r="N605" s="6" t="str">
        <f>IF(OR($G605="FCC",$G605="Hydrocracker",$G605="Reformer"),IF(COUNTIFS($D:$D,$D605,$A:$A,$A605,$B:$B,$B605,$G:$G,"CDU",$J:$J,"PLANNED")&gt;0,"tied","standalone"),"")</f>
        <v>tied</v>
      </c>
    </row>
    <row r="606" spans="1:14">
      <c r="A606" s="6">
        <v>2023</v>
      </c>
      <c r="B606" s="6">
        <v>3</v>
      </c>
      <c r="C606" s="6" t="s">
        <v>62</v>
      </c>
      <c r="D606" s="6" t="s">
        <v>422</v>
      </c>
      <c r="E606" s="6" t="s">
        <v>423</v>
      </c>
      <c r="F606" s="6" t="str">
        <f>IF($M606="PADD I","PADD 1",IF($M606="PADD II","PADD 2",IF($M606="PADD III","PADD 3",IF($M606="PADD IV","PADD 4",IF($M606="PADD V","PADD 5","")))))</f>
        <v>PADD 2</v>
      </c>
      <c r="G606" s="6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6" t="s">
        <v>44</v>
      </c>
      <c r="I606" s="6" t="s">
        <v>529</v>
      </c>
      <c r="J606" s="6" t="s">
        <v>394</v>
      </c>
      <c r="K606" s="10">
        <v>25</v>
      </c>
      <c r="L606" s="10">
        <v>25</v>
      </c>
      <c r="M606" s="6" t="s">
        <v>425</v>
      </c>
      <c r="N606" s="6">
        <f>IF(OR($G606="FCC",$G606="Hydrocracker",$G606="Reformer"),IF(COUNTIFS($D:$D,$D606,$A:$A,$A606,$B:$B,$B606,$G:$G,"CDU",$J:$J,"PLANNED")&gt;0,"tied","standalone"),"")</f>
        <v/>
      </c>
    </row>
    <row r="607" spans="1:14">
      <c r="A607" s="6">
        <v>2023</v>
      </c>
      <c r="B607" s="6">
        <v>3</v>
      </c>
      <c r="C607" s="6" t="s">
        <v>62</v>
      </c>
      <c r="D607" s="6" t="s">
        <v>422</v>
      </c>
      <c r="E607" s="6" t="s">
        <v>423</v>
      </c>
      <c r="F607" s="6" t="str">
        <f>IF($M607="PADD I","PADD 1",IF($M607="PADD II","PADD 2",IF($M607="PADD III","PADD 3",IF($M607="PADD IV","PADD 4",IF($M607="PADD V","PADD 5","")))))</f>
        <v>PADD 2</v>
      </c>
      <c r="G607" s="6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6" t="s">
        <v>44</v>
      </c>
      <c r="I607" s="6" t="s">
        <v>530</v>
      </c>
      <c r="J607" s="6" t="s">
        <v>394</v>
      </c>
      <c r="K607" s="10">
        <v>25</v>
      </c>
      <c r="L607" s="10">
        <v>25</v>
      </c>
      <c r="M607" s="6" t="s">
        <v>425</v>
      </c>
      <c r="N607" s="6">
        <f>IF(OR($G607="FCC",$G607="Hydrocracker",$G607="Reformer"),IF(COUNTIFS($D:$D,$D607,$A:$A,$A607,$B:$B,$B607,$G:$G,"CDU",$J:$J,"PLANNED")&gt;0,"tied","standalone"),"")</f>
        <v/>
      </c>
    </row>
    <row r="608" spans="1:14">
      <c r="A608" s="6">
        <v>2023</v>
      </c>
      <c r="B608" s="6">
        <v>3</v>
      </c>
      <c r="C608" s="6" t="s">
        <v>62</v>
      </c>
      <c r="D608" s="6" t="s">
        <v>568</v>
      </c>
      <c r="E608" s="6" t="s">
        <v>419</v>
      </c>
      <c r="F608" s="6" t="str">
        <f>IF($M608="PADD I","PADD 1",IF($M608="PADD II","PADD 2",IF($M608="PADD III","PADD 3",IF($M608="PADD IV","PADD 4",IF($M608="PADD V","PADD 5","")))))</f>
        <v>PADD 5</v>
      </c>
      <c r="G608" s="6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6" t="s">
        <v>44</v>
      </c>
      <c r="I608" s="6" t="s">
        <v>629</v>
      </c>
      <c r="J608" s="6" t="s">
        <v>394</v>
      </c>
      <c r="K608" s="10">
        <v>25</v>
      </c>
      <c r="L608" s="10">
        <v>25</v>
      </c>
      <c r="M608" s="6" t="s">
        <v>436</v>
      </c>
      <c r="N608" s="6">
        <f>IF(OR($G608="FCC",$G608="Hydrocracker",$G608="Reformer"),IF(COUNTIFS($D:$D,$D608,$A:$A,$A608,$B:$B,$B608,$G:$G,"CDU",$J:$J,"PLANNED")&gt;0,"tied","standalone"),"")</f>
        <v/>
      </c>
    </row>
    <row r="609" spans="1:14">
      <c r="A609" s="6">
        <v>2023</v>
      </c>
      <c r="B609" s="6">
        <v>3</v>
      </c>
      <c r="C609" s="6" t="s">
        <v>62</v>
      </c>
      <c r="D609" s="6" t="s">
        <v>540</v>
      </c>
      <c r="E609" s="6" t="s">
        <v>541</v>
      </c>
      <c r="F609" s="6" t="str">
        <f>IF($M609="PADD I","PADD 1",IF($M609="PADD II","PADD 2",IF($M609="PADD III","PADD 3",IF($M609="PADD IV","PADD 4",IF($M609="PADD V","PADD 5","")))))</f>
        <v>PADD 3</v>
      </c>
      <c r="G609" s="6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6" t="s">
        <v>485</v>
      </c>
      <c r="I609" s="6" t="s">
        <v>693</v>
      </c>
      <c r="J609" s="6" t="s">
        <v>394</v>
      </c>
      <c r="K609" s="10">
        <v>24.7</v>
      </c>
      <c r="L609" s="10">
        <v>95</v>
      </c>
      <c r="M609" s="6" t="s">
        <v>421</v>
      </c>
      <c r="N609" s="6">
        <f>IF(OR($G609="FCC",$G609="Hydrocracker",$G609="Reformer"),IF(COUNTIFS($D:$D,$D609,$A:$A,$A609,$B:$B,$B609,$G:$G,"CDU",$J:$J,"PLANNED")&gt;0,"tied","standalone"),"")</f>
        <v/>
      </c>
    </row>
    <row r="610" spans="1:14">
      <c r="A610" s="6">
        <v>2023</v>
      </c>
      <c r="B610" s="6">
        <v>3</v>
      </c>
      <c r="C610" s="6" t="s">
        <v>62</v>
      </c>
      <c r="D610" s="6" t="s">
        <v>445</v>
      </c>
      <c r="E610" s="6" t="s">
        <v>446</v>
      </c>
      <c r="F610" s="6" t="str">
        <f>IF($M610="PADD I","PADD 1",IF($M610="PADD II","PADD 2",IF($M610="PADD III","PADD 3",IF($M610="PADD IV","PADD 4",IF($M610="PADD V","PADD 5","")))))</f>
        <v>PADD 3</v>
      </c>
      <c r="G610" s="6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6" t="s">
        <v>39</v>
      </c>
      <c r="I610" s="6" t="s">
        <v>560</v>
      </c>
      <c r="J610" s="6" t="s">
        <v>394</v>
      </c>
      <c r="K610" s="10">
        <v>24.5</v>
      </c>
      <c r="L610" s="10">
        <v>70</v>
      </c>
      <c r="M610" s="6" t="s">
        <v>421</v>
      </c>
      <c r="N610" s="6">
        <f>IF(OR($G610="FCC",$G610="Hydrocracker",$G610="Reformer"),IF(COUNTIFS($D:$D,$D610,$A:$A,$A610,$B:$B,$B610,$G:$G,"CDU",$J:$J,"PLANNED")&gt;0,"tied","standalone"),"")</f>
        <v/>
      </c>
    </row>
    <row r="611" spans="1:14">
      <c r="A611" s="6">
        <v>2023</v>
      </c>
      <c r="B611" s="6">
        <v>3</v>
      </c>
      <c r="C611" s="6" t="s">
        <v>62</v>
      </c>
      <c r="D611" s="6" t="s">
        <v>470</v>
      </c>
      <c r="E611" s="6" t="s">
        <v>423</v>
      </c>
      <c r="F611" s="6" t="str">
        <f>IF($M611="PADD I","PADD 1",IF($M611="PADD II","PADD 2",IF($M611="PADD III","PADD 3",IF($M611="PADD IV","PADD 4",IF($M611="PADD V","PADD 5","")))))</f>
        <v>PADD 2</v>
      </c>
      <c r="G611" s="6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6" t="s">
        <v>39</v>
      </c>
      <c r="I611" s="6" t="s">
        <v>82</v>
      </c>
      <c r="J611" s="6" t="s">
        <v>394</v>
      </c>
      <c r="K611" s="10">
        <v>24.5</v>
      </c>
      <c r="L611" s="10">
        <v>24.5</v>
      </c>
      <c r="M611" s="6" t="s">
        <v>425</v>
      </c>
      <c r="N611" s="6">
        <f>IF(OR($G611="FCC",$G611="Hydrocracker",$G611="Reformer"),IF(COUNTIFS($D:$D,$D611,$A:$A,$A611,$B:$B,$B611,$G:$G,"CDU",$J:$J,"PLANNED")&gt;0,"tied","standalone"),"")</f>
        <v/>
      </c>
    </row>
    <row r="612" spans="1:14">
      <c r="A612" s="6">
        <v>2023</v>
      </c>
      <c r="B612" s="6">
        <v>3</v>
      </c>
      <c r="C612" s="6" t="s">
        <v>62</v>
      </c>
      <c r="D612" s="6" t="s">
        <v>430</v>
      </c>
      <c r="E612" s="6" t="s">
        <v>431</v>
      </c>
      <c r="F612" s="6" t="str">
        <f>IF($M612="PADD I","PADD 1",IF($M612="PADD II","PADD 2",IF($M612="PADD III","PADD 3",IF($M612="PADD IV","PADD 4",IF($M612="PADD V","PADD 5","")))))</f>
        <v>PADD 3</v>
      </c>
      <c r="G612" s="6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6" t="s">
        <v>428</v>
      </c>
      <c r="I612" s="6" t="s">
        <v>468</v>
      </c>
      <c r="J612" s="6" t="s">
        <v>394</v>
      </c>
      <c r="K612" s="10">
        <v>23.69</v>
      </c>
      <c r="L612" s="10">
        <v>103</v>
      </c>
      <c r="M612" s="6" t="s">
        <v>421</v>
      </c>
      <c r="N612" s="6">
        <f>IF(OR($G612="FCC",$G612="Hydrocracker",$G612="Reformer"),IF(COUNTIFS($D:$D,$D612,$A:$A,$A612,$B:$B,$B612,$G:$G,"CDU",$J:$J,"PLANNED")&gt;0,"tied","standalone"),"")</f>
        <v/>
      </c>
    </row>
    <row r="613" spans="1:14">
      <c r="A613" s="6">
        <v>2023</v>
      </c>
      <c r="B613" s="6">
        <v>3</v>
      </c>
      <c r="C613" s="6" t="s">
        <v>62</v>
      </c>
      <c r="D613" s="6" t="s">
        <v>730</v>
      </c>
      <c r="E613" s="6" t="s">
        <v>731</v>
      </c>
      <c r="F613" s="6" t="str">
        <f>IF($M613="PADD I","PADD 1",IF($M613="PADD II","PADD 2",IF($M613="PADD III","PADD 3",IF($M613="PADD IV","PADD 4",IF($M613="PADD V","PADD 5","")))))</f>
        <v>PADD 3</v>
      </c>
      <c r="G613" s="6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6" t="s">
        <v>426</v>
      </c>
      <c r="I613" s="6" t="s">
        <v>106</v>
      </c>
      <c r="J613" s="6" t="s">
        <v>398</v>
      </c>
      <c r="K613" s="10">
        <v>23.5</v>
      </c>
      <c r="L613" s="10">
        <v>25</v>
      </c>
      <c r="M613" s="6" t="s">
        <v>421</v>
      </c>
      <c r="N613" s="6" t="str">
        <f>IF(OR($G613="FCC",$G613="Hydrocracker",$G613="Reformer"),IF(COUNTIFS($D:$D,$D613,$A:$A,$A613,$B:$B,$B613,$G:$G,"CDU",$J:$J,"PLANNED")&gt;0,"tied","standalone"),"")</f>
        <v>tied</v>
      </c>
    </row>
    <row r="614" spans="1:14">
      <c r="A614" s="6">
        <v>2023</v>
      </c>
      <c r="B614" s="6">
        <v>3</v>
      </c>
      <c r="C614" s="6" t="s">
        <v>62</v>
      </c>
      <c r="D614" s="6" t="s">
        <v>730</v>
      </c>
      <c r="E614" s="6" t="s">
        <v>731</v>
      </c>
      <c r="F614" s="6" t="str">
        <f>IF($M614="PADD I","PADD 1",IF($M614="PADD II","PADD 2",IF($M614="PADD III","PADD 3",IF($M614="PADD IV","PADD 4",IF($M614="PADD V","PADD 5","")))))</f>
        <v>PADD 3</v>
      </c>
      <c r="G614" s="6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6" t="s">
        <v>428</v>
      </c>
      <c r="I614" s="6" t="s">
        <v>481</v>
      </c>
      <c r="J614" s="6" t="s">
        <v>398</v>
      </c>
      <c r="K614" s="10">
        <v>23.5</v>
      </c>
      <c r="L614" s="10">
        <v>25</v>
      </c>
      <c r="M614" s="6" t="s">
        <v>421</v>
      </c>
      <c r="N614" s="6">
        <f>IF(OR($G614="FCC",$G614="Hydrocracker",$G614="Reformer"),IF(COUNTIFS($D:$D,$D614,$A:$A,$A614,$B:$B,$B614,$G:$G,"CDU",$J:$J,"PLANNED")&gt;0,"tied","standalone"),"")</f>
        <v/>
      </c>
    </row>
    <row r="615" spans="1:14">
      <c r="A615" s="6">
        <v>2023</v>
      </c>
      <c r="B615" s="6">
        <v>3</v>
      </c>
      <c r="C615" s="6" t="s">
        <v>62</v>
      </c>
      <c r="D615" s="6" t="s">
        <v>568</v>
      </c>
      <c r="E615" s="6" t="s">
        <v>419</v>
      </c>
      <c r="F615" s="6" t="str">
        <f>IF($M615="PADD I","PADD 1",IF($M615="PADD II","PADD 2",IF($M615="PADD III","PADD 3",IF($M615="PADD IV","PADD 4",IF($M615="PADD V","PADD 5","")))))</f>
        <v>PADD 5</v>
      </c>
      <c r="G615" s="6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6" t="s">
        <v>631</v>
      </c>
      <c r="I615" s="6" t="s">
        <v>632</v>
      </c>
      <c r="J615" s="6" t="s">
        <v>394</v>
      </c>
      <c r="K615" s="10">
        <v>23</v>
      </c>
      <c r="L615" s="10">
        <v>23</v>
      </c>
      <c r="M615" s="6" t="s">
        <v>436</v>
      </c>
      <c r="N615" s="6" t="str">
        <f>IF(OR($G615="FCC",$G615="Hydrocracker",$G615="Reformer"),IF(COUNTIFS($D:$D,$D615,$A:$A,$A615,$B:$B,$B615,$G:$G,"CDU",$J:$J,"PLANNED")&gt;0,"tied","standalone"),"")</f>
        <v>standalone</v>
      </c>
    </row>
    <row r="616" spans="1:14">
      <c r="A616" s="6">
        <v>2023</v>
      </c>
      <c r="B616" s="6">
        <v>3</v>
      </c>
      <c r="C616" s="6" t="s">
        <v>62</v>
      </c>
      <c r="D616" s="6" t="s">
        <v>496</v>
      </c>
      <c r="E616" s="6" t="s">
        <v>441</v>
      </c>
      <c r="F616" s="6" t="str">
        <f>IF($M616="PADD I","PADD 1",IF($M616="PADD II","PADD 2",IF($M616="PADD III","PADD 3",IF($M616="PADD IV","PADD 4",IF($M616="PADD V","PADD 5","")))))</f>
        <v>PADD 3</v>
      </c>
      <c r="G616" s="6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6" t="s">
        <v>471</v>
      </c>
      <c r="I616" s="6" t="s">
        <v>533</v>
      </c>
      <c r="J616" s="6" t="s">
        <v>394</v>
      </c>
      <c r="K616" s="10">
        <v>23</v>
      </c>
      <c r="L616" s="10">
        <v>23</v>
      </c>
      <c r="M616" s="6" t="s">
        <v>421</v>
      </c>
      <c r="N616" s="6" t="str">
        <f>IF(OR($G616="FCC",$G616="Hydrocracker",$G616="Reformer"),IF(COUNTIFS($D:$D,$D616,$A:$A,$A616,$B:$B,$B616,$G:$G,"CDU",$J:$J,"PLANNED")&gt;0,"tied","standalone"),"")</f>
        <v>standalone</v>
      </c>
    </row>
    <row r="617" spans="1:14">
      <c r="A617" s="6">
        <v>2023</v>
      </c>
      <c r="B617" s="6">
        <v>3</v>
      </c>
      <c r="C617" s="6" t="s">
        <v>62</v>
      </c>
      <c r="D617" s="6" t="s">
        <v>652</v>
      </c>
      <c r="E617" s="6" t="s">
        <v>419</v>
      </c>
      <c r="F617" s="6" t="str">
        <f>IF($M617="PADD I","PADD 1",IF($M617="PADD II","PADD 2",IF($M617="PADD III","PADD 3",IF($M617="PADD IV","PADD 4",IF($M617="PADD V","PADD 5","")))))</f>
        <v>PADD 2</v>
      </c>
      <c r="G617" s="6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6" t="s">
        <v>485</v>
      </c>
      <c r="I617" s="6" t="s">
        <v>491</v>
      </c>
      <c r="J617" s="6" t="s">
        <v>398</v>
      </c>
      <c r="K617" s="10">
        <v>22.94</v>
      </c>
      <c r="L617" s="10">
        <v>31</v>
      </c>
      <c r="M617" s="6" t="s">
        <v>425</v>
      </c>
      <c r="N617" s="6">
        <f>IF(OR($G617="FCC",$G617="Hydrocracker",$G617="Reformer"),IF(COUNTIFS($D:$D,$D617,$A:$A,$A617,$B:$B,$B617,$G:$G,"CDU",$J:$J,"PLANNED")&gt;0,"tied","standalone"),"")</f>
        <v/>
      </c>
    </row>
    <row r="618" spans="1:14">
      <c r="A618" s="6">
        <v>2023</v>
      </c>
      <c r="B618" s="6">
        <v>3</v>
      </c>
      <c r="C618" s="6" t="s">
        <v>62</v>
      </c>
      <c r="D618" s="6" t="s">
        <v>730</v>
      </c>
      <c r="E618" s="6" t="s">
        <v>731</v>
      </c>
      <c r="F618" s="6" t="str">
        <f>IF($M618="PADD I","PADD 1",IF($M618="PADD II","PADD 2",IF($M618="PADD III","PADD 3",IF($M618="PADD IV","PADD 4",IF($M618="PADD V","PADD 5","")))))</f>
        <v>PADD 3</v>
      </c>
      <c r="G618" s="6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6" t="s">
        <v>44</v>
      </c>
      <c r="I618" s="6" t="s">
        <v>742</v>
      </c>
      <c r="J618" s="6" t="s">
        <v>398</v>
      </c>
      <c r="K618" s="10">
        <v>22.56</v>
      </c>
      <c r="L618" s="10">
        <v>24</v>
      </c>
      <c r="M618" s="6" t="s">
        <v>421</v>
      </c>
      <c r="N618" s="6">
        <f>IF(OR($G618="FCC",$G618="Hydrocracker",$G618="Reformer"),IF(COUNTIFS($D:$D,$D618,$A:$A,$A618,$B:$B,$B618,$G:$G,"CDU",$J:$J,"PLANNED")&gt;0,"tied","standalone"),"")</f>
        <v/>
      </c>
    </row>
    <row r="619" spans="1:14">
      <c r="A619" s="6">
        <v>2023</v>
      </c>
      <c r="B619" s="6">
        <v>3</v>
      </c>
      <c r="C619" s="6" t="s">
        <v>62</v>
      </c>
      <c r="D619" s="6" t="s">
        <v>515</v>
      </c>
      <c r="E619" s="6" t="s">
        <v>419</v>
      </c>
      <c r="F619" s="6" t="str">
        <f>IF($M619="PADD I","PADD 1",IF($M619="PADD II","PADD 2",IF($M619="PADD III","PADD 3",IF($M619="PADD IV","PADD 4",IF($M619="PADD V","PADD 5","")))))</f>
        <v>PADD 5</v>
      </c>
      <c r="G619" s="6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6" t="s">
        <v>44</v>
      </c>
      <c r="I619" s="6" t="s">
        <v>516</v>
      </c>
      <c r="J619" s="6" t="s">
        <v>394</v>
      </c>
      <c r="K619" s="10">
        <v>21.2544</v>
      </c>
      <c r="L619" s="10">
        <v>66.42</v>
      </c>
      <c r="M619" s="6" t="s">
        <v>436</v>
      </c>
      <c r="N619" s="6">
        <f>IF(OR($G619="FCC",$G619="Hydrocracker",$G619="Reformer"),IF(COUNTIFS($D:$D,$D619,$A:$A,$A619,$B:$B,$B619,$G:$G,"CDU",$J:$J,"PLANNED")&gt;0,"tied","standalone"),"")</f>
        <v/>
      </c>
    </row>
    <row r="620" spans="1:14">
      <c r="A620" s="6">
        <v>2023</v>
      </c>
      <c r="B620" s="6">
        <v>3</v>
      </c>
      <c r="C620" s="6" t="s">
        <v>62</v>
      </c>
      <c r="D620" s="6" t="s">
        <v>373</v>
      </c>
      <c r="E620" s="6" t="s">
        <v>438</v>
      </c>
      <c r="F620" s="6" t="str">
        <f>IF($M620="PADD I","PADD 1",IF($M620="PADD II","PADD 2",IF($M620="PADD III","PADD 3",IF($M620="PADD IV","PADD 4",IF($M620="PADD V","PADD 5","")))))</f>
        <v>PADD 3</v>
      </c>
      <c r="G620" s="6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6" t="s">
        <v>44</v>
      </c>
      <c r="I620" s="6" t="s">
        <v>743</v>
      </c>
      <c r="J620" s="6" t="s">
        <v>394</v>
      </c>
      <c r="K620" s="10">
        <v>21.06</v>
      </c>
      <c r="L620" s="10">
        <v>40.5</v>
      </c>
      <c r="M620" s="6" t="s">
        <v>421</v>
      </c>
      <c r="N620" s="6">
        <f>IF(OR($G620="FCC",$G620="Hydrocracker",$G620="Reformer"),IF(COUNTIFS($D:$D,$D620,$A:$A,$A620,$B:$B,$B620,$G:$G,"CDU",$J:$J,"PLANNED")&gt;0,"tied","standalone"),"")</f>
        <v/>
      </c>
    </row>
    <row r="621" spans="1:14">
      <c r="A621" s="6">
        <v>2023</v>
      </c>
      <c r="B621" s="6">
        <v>3</v>
      </c>
      <c r="C621" s="6" t="s">
        <v>62</v>
      </c>
      <c r="D621" s="6" t="s">
        <v>487</v>
      </c>
      <c r="E621" s="6" t="s">
        <v>488</v>
      </c>
      <c r="F621" s="6" t="str">
        <f>IF($M621="PADD I","PADD 1",IF($M621="PADD II","PADD 2",IF($M621="PADD III","PADD 3",IF($M621="PADD IV","PADD 4",IF($M621="PADD V","PADD 5","")))))</f>
        <v>PADD 4</v>
      </c>
      <c r="G621" s="6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6" t="s">
        <v>44</v>
      </c>
      <c r="I621" s="6" t="s">
        <v>543</v>
      </c>
      <c r="J621" s="6" t="s">
        <v>394</v>
      </c>
      <c r="K621" s="10">
        <v>21</v>
      </c>
      <c r="L621" s="10">
        <v>21</v>
      </c>
      <c r="M621" s="6" t="s">
        <v>480</v>
      </c>
      <c r="N621" s="6">
        <f>IF(OR($G621="FCC",$G621="Hydrocracker",$G621="Reformer"),IF(COUNTIFS($D:$D,$D621,$A:$A,$A621,$B:$B,$B621,$G:$G,"CDU",$J:$J,"PLANNED")&gt;0,"tied","standalone"),"")</f>
        <v/>
      </c>
    </row>
    <row r="622" spans="1:14">
      <c r="A622" s="6">
        <v>2023</v>
      </c>
      <c r="B622" s="6">
        <v>3</v>
      </c>
      <c r="C622" s="6" t="s">
        <v>62</v>
      </c>
      <c r="D622" s="6" t="s">
        <v>660</v>
      </c>
      <c r="E622" s="6" t="s">
        <v>661</v>
      </c>
      <c r="F622" s="6" t="str">
        <f>IF($M622="PADD I","PADD 1",IF($M622="PADD II","PADD 2",IF($M622="PADD III","PADD 3",IF($M622="PADD IV","PADD 4",IF($M622="PADD V","PADD 5","")))))</f>
        <v>PADD 2</v>
      </c>
      <c r="G622" s="6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6" t="s">
        <v>428</v>
      </c>
      <c r="I622" s="6" t="s">
        <v>544</v>
      </c>
      <c r="J622" s="6" t="s">
        <v>394</v>
      </c>
      <c r="K622" s="10">
        <v>21</v>
      </c>
      <c r="L622" s="10">
        <v>21</v>
      </c>
      <c r="M622" s="6" t="s">
        <v>425</v>
      </c>
      <c r="N622" s="6">
        <f>IF(OR($G622="FCC",$G622="Hydrocracker",$G622="Reformer"),IF(COUNTIFS($D:$D,$D622,$A:$A,$A622,$B:$B,$B622,$G:$G,"CDU",$J:$J,"PLANNED")&gt;0,"tied","standalone"),"")</f>
        <v/>
      </c>
    </row>
    <row r="623" spans="1:14">
      <c r="A623" s="6">
        <v>2023</v>
      </c>
      <c r="B623" s="6">
        <v>3</v>
      </c>
      <c r="C623" s="6" t="s">
        <v>62</v>
      </c>
      <c r="D623" s="6" t="s">
        <v>512</v>
      </c>
      <c r="E623" s="6" t="s">
        <v>488</v>
      </c>
      <c r="F623" s="6" t="str">
        <f>IF($M623="PADD I","PADD 1",IF($M623="PADD II","PADD 2",IF($M623="PADD III","PADD 3",IF($M623="PADD IV","PADD 4",IF($M623="PADD V","PADD 5","")))))</f>
        <v>PADD 4</v>
      </c>
      <c r="G623" s="6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6" t="s">
        <v>39</v>
      </c>
      <c r="I623" s="6" t="s">
        <v>124</v>
      </c>
      <c r="J623" s="6" t="s">
        <v>394</v>
      </c>
      <c r="K623" s="10">
        <v>20.8</v>
      </c>
      <c r="L623" s="10">
        <v>32</v>
      </c>
      <c r="M623" s="6" t="s">
        <v>480</v>
      </c>
      <c r="N623" s="6">
        <f>IF(OR($G623="FCC",$G623="Hydrocracker",$G623="Reformer"),IF(COUNTIFS($D:$D,$D623,$A:$A,$A623,$B:$B,$B623,$G:$G,"CDU",$J:$J,"PLANNED")&gt;0,"tied","standalone"),"")</f>
        <v/>
      </c>
    </row>
    <row r="624" spans="1:14">
      <c r="A624" s="6">
        <v>2023</v>
      </c>
      <c r="B624" s="6">
        <v>3</v>
      </c>
      <c r="C624" s="6" t="s">
        <v>62</v>
      </c>
      <c r="D624" s="6" t="s">
        <v>730</v>
      </c>
      <c r="E624" s="6" t="s">
        <v>731</v>
      </c>
      <c r="F624" s="6" t="str">
        <f>IF($M624="PADD I","PADD 1",IF($M624="PADD II","PADD 2",IF($M624="PADD III","PADD 3",IF($M624="PADD IV","PADD 4",IF($M624="PADD V","PADD 5","")))))</f>
        <v>PADD 3</v>
      </c>
      <c r="G624" s="6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6" t="s">
        <v>44</v>
      </c>
      <c r="I624" s="6" t="s">
        <v>744</v>
      </c>
      <c r="J624" s="6" t="s">
        <v>398</v>
      </c>
      <c r="K624" s="10">
        <v>20.68</v>
      </c>
      <c r="L624" s="10">
        <v>22</v>
      </c>
      <c r="M624" s="6" t="s">
        <v>421</v>
      </c>
      <c r="N624" s="6">
        <f>IF(OR($G624="FCC",$G624="Hydrocracker",$G624="Reformer"),IF(COUNTIFS($D:$D,$D624,$A:$A,$A624,$B:$B,$B624,$G:$G,"CDU",$J:$J,"PLANNED")&gt;0,"tied","standalone"),"")</f>
        <v/>
      </c>
    </row>
    <row r="625" spans="1:14">
      <c r="A625" s="6">
        <v>2023</v>
      </c>
      <c r="B625" s="6">
        <v>3</v>
      </c>
      <c r="C625" s="6" t="s">
        <v>62</v>
      </c>
      <c r="D625" s="6" t="s">
        <v>470</v>
      </c>
      <c r="E625" s="6" t="s">
        <v>423</v>
      </c>
      <c r="F625" s="6" t="str">
        <f>IF($M625="PADD I","PADD 1",IF($M625="PADD II","PADD 2",IF($M625="PADD III","PADD 3",IF($M625="PADD IV","PADD 4",IF($M625="PADD V","PADD 5","")))))</f>
        <v>PADD 2</v>
      </c>
      <c r="G625" s="6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6" t="s">
        <v>428</v>
      </c>
      <c r="I625" s="6" t="s">
        <v>481</v>
      </c>
      <c r="J625" s="6" t="s">
        <v>394</v>
      </c>
      <c r="K625" s="10">
        <v>20.5</v>
      </c>
      <c r="L625" s="10">
        <v>20.5</v>
      </c>
      <c r="M625" s="6" t="s">
        <v>425</v>
      </c>
      <c r="N625" s="6">
        <f>IF(OR($G625="FCC",$G625="Hydrocracker",$G625="Reformer"),IF(COUNTIFS($D:$D,$D625,$A:$A,$A625,$B:$B,$B625,$G:$G,"CDU",$J:$J,"PLANNED")&gt;0,"tied","standalone"),"")</f>
        <v/>
      </c>
    </row>
    <row r="626" spans="1:14">
      <c r="A626" s="6">
        <v>2023</v>
      </c>
      <c r="B626" s="6">
        <v>3</v>
      </c>
      <c r="C626" s="6" t="s">
        <v>62</v>
      </c>
      <c r="D626" s="6" t="s">
        <v>445</v>
      </c>
      <c r="E626" s="6" t="s">
        <v>446</v>
      </c>
      <c r="F626" s="6" t="str">
        <f>IF($M626="PADD I","PADD 1",IF($M626="PADD II","PADD 2",IF($M626="PADD III","PADD 3",IF($M626="PADD IV","PADD 4",IF($M626="PADD V","PADD 5","")))))</f>
        <v>PADD 3</v>
      </c>
      <c r="G626" s="6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6" t="s">
        <v>39</v>
      </c>
      <c r="I626" s="6" t="s">
        <v>560</v>
      </c>
      <c r="J626" s="6" t="s">
        <v>394</v>
      </c>
      <c r="K626" s="10">
        <v>20.3</v>
      </c>
      <c r="L626" s="10">
        <v>70</v>
      </c>
      <c r="M626" s="6" t="s">
        <v>421</v>
      </c>
      <c r="N626" s="6">
        <f>IF(OR($G626="FCC",$G626="Hydrocracker",$G626="Reformer"),IF(COUNTIFS($D:$D,$D626,$A:$A,$A626,$B:$B,$B626,$G:$G,"CDU",$J:$J,"PLANNED")&gt;0,"tied","standalone"),"")</f>
        <v/>
      </c>
    </row>
    <row r="627" spans="1:14">
      <c r="A627" s="6">
        <v>2023</v>
      </c>
      <c r="B627" s="6">
        <v>3</v>
      </c>
      <c r="C627" s="6" t="s">
        <v>62</v>
      </c>
      <c r="D627" s="6" t="s">
        <v>487</v>
      </c>
      <c r="E627" s="6" t="s">
        <v>488</v>
      </c>
      <c r="F627" s="6" t="str">
        <f>IF($M627="PADD I","PADD 1",IF($M627="PADD II","PADD 2",IF($M627="PADD III","PADD 3",IF($M627="PADD IV","PADD 4",IF($M627="PADD V","PADD 5","")))))</f>
        <v>PADD 4</v>
      </c>
      <c r="G627" s="6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6" t="s">
        <v>428</v>
      </c>
      <c r="I627" s="6" t="s">
        <v>544</v>
      </c>
      <c r="J627" s="6" t="s">
        <v>394</v>
      </c>
      <c r="K627" s="10">
        <v>20</v>
      </c>
      <c r="L627" s="10">
        <v>20</v>
      </c>
      <c r="M627" s="6" t="s">
        <v>480</v>
      </c>
      <c r="N627" s="6">
        <f>IF(OR($G627="FCC",$G627="Hydrocracker",$G627="Reformer"),IF(COUNTIFS($D:$D,$D627,$A:$A,$A627,$B:$B,$B627,$G:$G,"CDU",$J:$J,"PLANNED")&gt;0,"tied","standalone"),"")</f>
        <v/>
      </c>
    </row>
    <row r="628" spans="1:14">
      <c r="A628" s="6">
        <v>2023</v>
      </c>
      <c r="B628" s="6">
        <v>3</v>
      </c>
      <c r="C628" s="6" t="s">
        <v>62</v>
      </c>
      <c r="D628" s="6" t="s">
        <v>512</v>
      </c>
      <c r="E628" s="6" t="s">
        <v>488</v>
      </c>
      <c r="F628" s="6" t="str">
        <f>IF($M628="PADD I","PADD 1",IF($M628="PADD II","PADD 2",IF($M628="PADD III","PADD 3",IF($M628="PADD IV","PADD 4",IF($M628="PADD V","PADD 5","")))))</f>
        <v>PADD 4</v>
      </c>
      <c r="G628" s="6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6" t="s">
        <v>44</v>
      </c>
      <c r="I628" s="6" t="s">
        <v>545</v>
      </c>
      <c r="J628" s="6" t="s">
        <v>394</v>
      </c>
      <c r="K628" s="10">
        <v>20</v>
      </c>
      <c r="L628" s="10">
        <v>20</v>
      </c>
      <c r="M628" s="6" t="s">
        <v>480</v>
      </c>
      <c r="N628" s="6">
        <f>IF(OR($G628="FCC",$G628="Hydrocracker",$G628="Reformer"),IF(COUNTIFS($D:$D,$D628,$A:$A,$A628,$B:$B,$B628,$G:$G,"CDU",$J:$J,"PLANNED")&gt;0,"tied","standalone"),"")</f>
        <v/>
      </c>
    </row>
    <row r="629" spans="1:14">
      <c r="A629" s="6">
        <v>2023</v>
      </c>
      <c r="B629" s="6">
        <v>3</v>
      </c>
      <c r="C629" s="6" t="s">
        <v>62</v>
      </c>
      <c r="D629" s="6" t="s">
        <v>568</v>
      </c>
      <c r="E629" s="6" t="s">
        <v>419</v>
      </c>
      <c r="F629" s="6" t="str">
        <f>IF($M629="PADD I","PADD 1",IF($M629="PADD II","PADD 2",IF($M629="PADD III","PADD 3",IF($M629="PADD IV","PADD 4",IF($M629="PADD V","PADD 5","")))))</f>
        <v>PADD 5</v>
      </c>
      <c r="G629" s="6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6" t="s">
        <v>44</v>
      </c>
      <c r="I629" s="6" t="s">
        <v>637</v>
      </c>
      <c r="J629" s="6" t="s">
        <v>394</v>
      </c>
      <c r="K629" s="10">
        <v>20</v>
      </c>
      <c r="L629" s="10">
        <v>20</v>
      </c>
      <c r="M629" s="6" t="s">
        <v>436</v>
      </c>
      <c r="N629" s="6">
        <f>IF(OR($G629="FCC",$G629="Hydrocracker",$G629="Reformer"),IF(COUNTIFS($D:$D,$D629,$A:$A,$A629,$B:$B,$B629,$G:$G,"CDU",$J:$J,"PLANNED")&gt;0,"tied","standalone"),"")</f>
        <v/>
      </c>
    </row>
    <row r="630" spans="1:14">
      <c r="A630" s="6">
        <v>2023</v>
      </c>
      <c r="B630" s="6">
        <v>3</v>
      </c>
      <c r="C630" s="6" t="s">
        <v>62</v>
      </c>
      <c r="D630" s="6" t="s">
        <v>546</v>
      </c>
      <c r="E630" s="6" t="s">
        <v>438</v>
      </c>
      <c r="F630" s="6" t="str">
        <f>IF($M630="PADD I","PADD 1",IF($M630="PADD II","PADD 2",IF($M630="PADD III","PADD 3",IF($M630="PADD IV","PADD 4",IF($M630="PADD V","PADD 5","")))))</f>
        <v>PADD 2</v>
      </c>
      <c r="G630" s="6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6" t="s">
        <v>39</v>
      </c>
      <c r="I630" s="6" t="s">
        <v>82</v>
      </c>
      <c r="J630" s="6" t="s">
        <v>398</v>
      </c>
      <c r="K630" s="10">
        <v>20</v>
      </c>
      <c r="L630" s="10">
        <v>20</v>
      </c>
      <c r="M630" s="6" t="s">
        <v>425</v>
      </c>
      <c r="N630" s="6">
        <f>IF(OR($G630="FCC",$G630="Hydrocracker",$G630="Reformer"),IF(COUNTIFS($D:$D,$D630,$A:$A,$A630,$B:$B,$B630,$G:$G,"CDU",$J:$J,"PLANNED")&gt;0,"tied","standalone"),"")</f>
        <v/>
      </c>
    </row>
    <row r="631" spans="1:14">
      <c r="A631" s="6">
        <v>2023</v>
      </c>
      <c r="B631" s="6">
        <v>3</v>
      </c>
      <c r="C631" s="6" t="s">
        <v>62</v>
      </c>
      <c r="D631" s="6" t="s">
        <v>660</v>
      </c>
      <c r="E631" s="6" t="s">
        <v>661</v>
      </c>
      <c r="F631" s="6" t="str">
        <f>IF($M631="PADD I","PADD 1",IF($M631="PADD II","PADD 2",IF($M631="PADD III","PADD 3",IF($M631="PADD IV","PADD 4",IF($M631="PADD V","PADD 5","")))))</f>
        <v>PADD 2</v>
      </c>
      <c r="G631" s="6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6" t="s">
        <v>485</v>
      </c>
      <c r="I631" s="6" t="s">
        <v>491</v>
      </c>
      <c r="J631" s="6" t="s">
        <v>398</v>
      </c>
      <c r="K631" s="10">
        <v>19.5</v>
      </c>
      <c r="L631" s="10">
        <v>19.5</v>
      </c>
      <c r="M631" s="6" t="s">
        <v>425</v>
      </c>
      <c r="N631" s="6">
        <f>IF(OR($G631="FCC",$G631="Hydrocracker",$G631="Reformer"),IF(COUNTIFS($D:$D,$D631,$A:$A,$A631,$B:$B,$B631,$G:$G,"CDU",$J:$J,"PLANNED")&gt;0,"tied","standalone"),"")</f>
        <v/>
      </c>
    </row>
    <row r="632" spans="1:14">
      <c r="A632" s="6">
        <v>2023</v>
      </c>
      <c r="B632" s="6">
        <v>3</v>
      </c>
      <c r="C632" s="6" t="s">
        <v>62</v>
      </c>
      <c r="D632" s="6" t="s">
        <v>725</v>
      </c>
      <c r="E632" s="6" t="s">
        <v>502</v>
      </c>
      <c r="F632" s="6" t="str">
        <f>IF($M632="PADD I","PADD 1",IF($M632="PADD II","PADD 2",IF($M632="PADD III","PADD 3",IF($M632="PADD IV","PADD 4",IF($M632="PADD V","PADD 5","")))))</f>
        <v>PADD 2</v>
      </c>
      <c r="G632" s="6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6" t="s">
        <v>44</v>
      </c>
      <c r="I632" s="6" t="s">
        <v>745</v>
      </c>
      <c r="J632" s="6" t="s">
        <v>398</v>
      </c>
      <c r="K632" s="10">
        <v>19.44</v>
      </c>
      <c r="L632" s="10">
        <v>24</v>
      </c>
      <c r="M632" s="6" t="s">
        <v>425</v>
      </c>
      <c r="N632" s="6">
        <f>IF(OR($G632="FCC",$G632="Hydrocracker",$G632="Reformer"),IF(COUNTIFS($D:$D,$D632,$A:$A,$A632,$B:$B,$B632,$G:$G,"CDU",$J:$J,"PLANNED")&gt;0,"tied","standalone"),"")</f>
        <v/>
      </c>
    </row>
    <row r="633" spans="1:14">
      <c r="A633" s="6">
        <v>2023</v>
      </c>
      <c r="B633" s="6">
        <v>3</v>
      </c>
      <c r="C633" s="6" t="s">
        <v>62</v>
      </c>
      <c r="D633" s="6" t="s">
        <v>445</v>
      </c>
      <c r="E633" s="6" t="s">
        <v>446</v>
      </c>
      <c r="F633" s="6" t="str">
        <f>IF($M633="PADD I","PADD 1",IF($M633="PADD II","PADD 2",IF($M633="PADD III","PADD 3",IF($M633="PADD IV","PADD 4",IF($M633="PADD V","PADD 5","")))))</f>
        <v>PADD 3</v>
      </c>
      <c r="G633" s="6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6" t="s">
        <v>428</v>
      </c>
      <c r="I633" s="6" t="s">
        <v>625</v>
      </c>
      <c r="J633" s="6" t="s">
        <v>394</v>
      </c>
      <c r="K633" s="10">
        <v>19.25</v>
      </c>
      <c r="L633" s="10">
        <v>35</v>
      </c>
      <c r="M633" s="6" t="s">
        <v>421</v>
      </c>
      <c r="N633" s="6">
        <f>IF(OR($G633="FCC",$G633="Hydrocracker",$G633="Reformer"),IF(COUNTIFS($D:$D,$D633,$A:$A,$A633,$B:$B,$B633,$G:$G,"CDU",$J:$J,"PLANNED")&gt;0,"tied","standalone"),"")</f>
        <v/>
      </c>
    </row>
    <row r="634" spans="1:14">
      <c r="A634" s="6">
        <v>2023</v>
      </c>
      <c r="B634" s="6">
        <v>3</v>
      </c>
      <c r="C634" s="6" t="s">
        <v>62</v>
      </c>
      <c r="D634" s="6" t="s">
        <v>49</v>
      </c>
      <c r="E634" s="6" t="s">
        <v>438</v>
      </c>
      <c r="F634" s="6" t="str">
        <f>IF($M634="PADD I","PADD 1",IF($M634="PADD II","PADD 2",IF($M634="PADD III","PADD 3",IF($M634="PADD IV","PADD 4",IF($M634="PADD V","PADD 5","")))))</f>
        <v>PADD 2</v>
      </c>
      <c r="G634" s="6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6" t="s">
        <v>44</v>
      </c>
      <c r="I634" s="6" t="s">
        <v>746</v>
      </c>
      <c r="J634" s="6" t="s">
        <v>394</v>
      </c>
      <c r="K634" s="10">
        <v>19.205</v>
      </c>
      <c r="L634" s="10">
        <v>83.5</v>
      </c>
      <c r="M634" s="6" t="s">
        <v>425</v>
      </c>
      <c r="N634" s="6">
        <f>IF(OR($G634="FCC",$G634="Hydrocracker",$G634="Reformer"),IF(COUNTIFS($D:$D,$D634,$A:$A,$A634,$B:$B,$B634,$G:$G,"CDU",$J:$J,"PLANNED")&gt;0,"tied","standalone"),"")</f>
        <v/>
      </c>
    </row>
    <row r="635" spans="1:14">
      <c r="A635" s="6">
        <v>2023</v>
      </c>
      <c r="B635" s="6">
        <v>3</v>
      </c>
      <c r="C635" s="6" t="s">
        <v>62</v>
      </c>
      <c r="D635" s="6" t="s">
        <v>461</v>
      </c>
      <c r="E635" s="6" t="s">
        <v>419</v>
      </c>
      <c r="F635" s="6" t="str">
        <f>IF($M635="PADD I","PADD 1",IF($M635="PADD II","PADD 2",IF($M635="PADD III","PADD 3",IF($M635="PADD IV","PADD 4",IF($M635="PADD V","PADD 5","")))))</f>
        <v>PADD 1</v>
      </c>
      <c r="G635" s="6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6" t="s">
        <v>510</v>
      </c>
      <c r="I635" s="6" t="s">
        <v>616</v>
      </c>
      <c r="J635" s="6" t="s">
        <v>398</v>
      </c>
      <c r="K635" s="10">
        <v>19.14</v>
      </c>
      <c r="L635" s="10">
        <v>22</v>
      </c>
      <c r="M635" s="6" t="s">
        <v>463</v>
      </c>
      <c r="N635" s="6">
        <f>IF(OR($G635="FCC",$G635="Hydrocracker",$G635="Reformer"),IF(COUNTIFS($D:$D,$D635,$A:$A,$A635,$B:$B,$B635,$G:$G,"CDU",$J:$J,"PLANNED")&gt;0,"tied","standalone"),"")</f>
        <v/>
      </c>
    </row>
    <row r="636" spans="1:14">
      <c r="A636" s="6">
        <v>2023</v>
      </c>
      <c r="B636" s="6">
        <v>3</v>
      </c>
      <c r="C636" s="6" t="s">
        <v>62</v>
      </c>
      <c r="D636" s="6" t="s">
        <v>371</v>
      </c>
      <c r="E636" s="6" t="s">
        <v>419</v>
      </c>
      <c r="F636" s="6" t="str">
        <f>IF($M636="PADD I","PADD 1",IF($M636="PADD II","PADD 2",IF($M636="PADD III","PADD 3",IF($M636="PADD IV","PADD 4",IF($M636="PADD V","PADD 5","")))))</f>
        <v>PADD 2</v>
      </c>
      <c r="G636" s="6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6" t="s">
        <v>426</v>
      </c>
      <c r="I636" s="6" t="s">
        <v>707</v>
      </c>
      <c r="J636" s="6" t="s">
        <v>394</v>
      </c>
      <c r="K636" s="10">
        <v>18.9</v>
      </c>
      <c r="L636" s="10">
        <v>42</v>
      </c>
      <c r="M636" s="6" t="s">
        <v>425</v>
      </c>
      <c r="N636" s="6" t="str">
        <f>IF(OR($G636="FCC",$G636="Hydrocracker",$G636="Reformer"),IF(COUNTIFS($D:$D,$D636,$A:$A,$A636,$B:$B,$B636,$G:$G,"CDU",$J:$J,"PLANNED")&gt;0,"tied","standalone"),"")</f>
        <v>standalone</v>
      </c>
    </row>
    <row r="637" spans="1:14">
      <c r="A637" s="6">
        <v>2023</v>
      </c>
      <c r="B637" s="6">
        <v>3</v>
      </c>
      <c r="C637" s="6" t="s">
        <v>62</v>
      </c>
      <c r="D637" s="6" t="s">
        <v>422</v>
      </c>
      <c r="E637" s="6" t="s">
        <v>423</v>
      </c>
      <c r="F637" s="6" t="str">
        <f>IF($M637="PADD I","PADD 1",IF($M637="PADD II","PADD 2",IF($M637="PADD III","PADD 3",IF($M637="PADD IV","PADD 4",IF($M637="PADD V","PADD 5","")))))</f>
        <v>PADD 2</v>
      </c>
      <c r="G637" s="6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6" t="s">
        <v>510</v>
      </c>
      <c r="I637" s="6" t="s">
        <v>555</v>
      </c>
      <c r="J637" s="6" t="s">
        <v>394</v>
      </c>
      <c r="K637" s="10">
        <v>18</v>
      </c>
      <c r="L637" s="10">
        <v>18</v>
      </c>
      <c r="M637" s="6" t="s">
        <v>425</v>
      </c>
      <c r="N637" s="6">
        <f>IF(OR($G637="FCC",$G637="Hydrocracker",$G637="Reformer"),IF(COUNTIFS($D:$D,$D637,$A:$A,$A637,$B:$B,$B637,$G:$G,"CDU",$J:$J,"PLANNED")&gt;0,"tied","standalone"),"")</f>
        <v/>
      </c>
    </row>
    <row r="638" spans="1:14">
      <c r="A638" s="6">
        <v>2023</v>
      </c>
      <c r="B638" s="6">
        <v>3</v>
      </c>
      <c r="C638" s="6" t="s">
        <v>62</v>
      </c>
      <c r="D638" s="6" t="s">
        <v>568</v>
      </c>
      <c r="E638" s="6" t="s">
        <v>419</v>
      </c>
      <c r="F638" s="6" t="str">
        <f>IF($M638="PADD I","PADD 1",IF($M638="PADD II","PADD 2",IF($M638="PADD III","PADD 3",IF($M638="PADD IV","PADD 4",IF($M638="PADD V","PADD 5","")))))</f>
        <v>PADD 5</v>
      </c>
      <c r="G638" s="6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6" t="s">
        <v>471</v>
      </c>
      <c r="I638" s="6" t="s">
        <v>641</v>
      </c>
      <c r="J638" s="6" t="s">
        <v>394</v>
      </c>
      <c r="K638" s="10">
        <v>18</v>
      </c>
      <c r="L638" s="10">
        <v>18</v>
      </c>
      <c r="M638" s="6" t="s">
        <v>436</v>
      </c>
      <c r="N638" s="6" t="str">
        <f>IF(OR($G638="FCC",$G638="Hydrocracker",$G638="Reformer"),IF(COUNTIFS($D:$D,$D638,$A:$A,$A638,$B:$B,$B638,$G:$G,"CDU",$J:$J,"PLANNED")&gt;0,"tied","standalone"),"")</f>
        <v>standalone</v>
      </c>
    </row>
    <row r="639" spans="1:14">
      <c r="A639" s="6">
        <v>2023</v>
      </c>
      <c r="B639" s="6">
        <v>3</v>
      </c>
      <c r="C639" s="6" t="s">
        <v>62</v>
      </c>
      <c r="D639" s="6" t="s">
        <v>652</v>
      </c>
      <c r="E639" s="6" t="s">
        <v>419</v>
      </c>
      <c r="F639" s="6" t="str">
        <f>IF($M639="PADD I","PADD 1",IF($M639="PADD II","PADD 2",IF($M639="PADD III","PADD 3",IF($M639="PADD IV","PADD 4",IF($M639="PADD V","PADD 5","")))))</f>
        <v>PADD 2</v>
      </c>
      <c r="G639" s="6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6" t="s">
        <v>471</v>
      </c>
      <c r="I639" s="6" t="s">
        <v>747</v>
      </c>
      <c r="J639" s="6" t="s">
        <v>398</v>
      </c>
      <c r="K639" s="10">
        <v>18</v>
      </c>
      <c r="L639" s="10">
        <v>20</v>
      </c>
      <c r="M639" s="6" t="s">
        <v>425</v>
      </c>
      <c r="N639" s="6" t="str">
        <f>IF(OR($G639="FCC",$G639="Hydrocracker",$G639="Reformer"),IF(COUNTIFS($D:$D,$D639,$A:$A,$A639,$B:$B,$B639,$G:$G,"CDU",$J:$J,"PLANNED")&gt;0,"tied","standalone"),"")</f>
        <v>standalone</v>
      </c>
    </row>
    <row r="640" spans="1:14">
      <c r="A640" s="6">
        <v>2023</v>
      </c>
      <c r="B640" s="6">
        <v>3</v>
      </c>
      <c r="C640" s="6" t="s">
        <v>62</v>
      </c>
      <c r="D640" s="6" t="s">
        <v>725</v>
      </c>
      <c r="E640" s="6" t="s">
        <v>502</v>
      </c>
      <c r="F640" s="6" t="str">
        <f>IF($M640="PADD I","PADD 1",IF($M640="PADD II","PADD 2",IF($M640="PADD III","PADD 3",IF($M640="PADD IV","PADD 4",IF($M640="PADD V","PADD 5","")))))</f>
        <v>PADD 2</v>
      </c>
      <c r="G640" s="6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6" t="s">
        <v>471</v>
      </c>
      <c r="I640" s="6" t="s">
        <v>748</v>
      </c>
      <c r="J640" s="6" t="s">
        <v>398</v>
      </c>
      <c r="K640" s="10">
        <v>17.82</v>
      </c>
      <c r="L640" s="10">
        <v>22</v>
      </c>
      <c r="M640" s="6" t="s">
        <v>425</v>
      </c>
      <c r="N640" s="6" t="str">
        <f>IF(OR($G640="FCC",$G640="Hydrocracker",$G640="Reformer"),IF(COUNTIFS($D:$D,$D640,$A:$A,$A640,$B:$B,$B640,$G:$G,"CDU",$J:$J,"PLANNED")&gt;0,"tied","standalone"),"")</f>
        <v>tied</v>
      </c>
    </row>
    <row r="641" spans="1:14">
      <c r="A641" s="6">
        <v>2023</v>
      </c>
      <c r="B641" s="6">
        <v>3</v>
      </c>
      <c r="C641" s="6" t="s">
        <v>62</v>
      </c>
      <c r="D641" s="6" t="s">
        <v>395</v>
      </c>
      <c r="E641" s="6" t="s">
        <v>433</v>
      </c>
      <c r="F641" s="6" t="str">
        <f>IF($M641="PADD I","PADD 1",IF($M641="PADD II","PADD 2",IF($M641="PADD III","PADD 3",IF($M641="PADD IV","PADD 4",IF($M641="PADD V","PADD 5","")))))</f>
        <v>PADD 2</v>
      </c>
      <c r="G641" s="6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6" t="s">
        <v>44</v>
      </c>
      <c r="I641" s="6" t="s">
        <v>474</v>
      </c>
      <c r="J641" s="6" t="s">
        <v>398</v>
      </c>
      <c r="K641" s="10">
        <v>17.64</v>
      </c>
      <c r="L641" s="10">
        <v>42</v>
      </c>
      <c r="M641" s="6" t="s">
        <v>425</v>
      </c>
      <c r="N641" s="6">
        <f>IF(OR($G641="FCC",$G641="Hydrocracker",$G641="Reformer"),IF(COUNTIFS($D:$D,$D641,$A:$A,$A641,$B:$B,$B641,$G:$G,"CDU",$J:$J,"PLANNED")&gt;0,"tied","standalone"),"")</f>
        <v/>
      </c>
    </row>
    <row r="642" spans="1:14">
      <c r="A642" s="6">
        <v>2023</v>
      </c>
      <c r="B642" s="6">
        <v>3</v>
      </c>
      <c r="C642" s="6" t="s">
        <v>62</v>
      </c>
      <c r="D642" s="6" t="s">
        <v>749</v>
      </c>
      <c r="E642" s="6" t="s">
        <v>750</v>
      </c>
      <c r="F642" s="6" t="str">
        <f>IF($M642="PADD I","PADD 1",IF($M642="PADD II","PADD 2",IF($M642="PADD III","PADD 3",IF($M642="PADD IV","PADD 4",IF($M642="PADD V","PADD 5","")))))</f>
        <v>PADD 5</v>
      </c>
      <c r="G642" s="6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6" t="s">
        <v>39</v>
      </c>
      <c r="I642" s="6" t="s">
        <v>82</v>
      </c>
      <c r="J642" s="6" t="s">
        <v>398</v>
      </c>
      <c r="K642" s="10">
        <v>17.55</v>
      </c>
      <c r="L642" s="10">
        <v>27</v>
      </c>
      <c r="M642" s="6" t="s">
        <v>436</v>
      </c>
      <c r="N642" s="6">
        <f>IF(OR($G642="FCC",$G642="Hydrocracker",$G642="Reformer"),IF(COUNTIFS($D:$D,$D642,$A:$A,$A642,$B:$B,$B642,$G:$G,"CDU",$J:$J,"PLANNED")&gt;0,"tied","standalone"),"")</f>
        <v/>
      </c>
    </row>
    <row r="643" spans="1:14">
      <c r="A643" s="6">
        <v>2023</v>
      </c>
      <c r="B643" s="6">
        <v>3</v>
      </c>
      <c r="C643" s="6" t="s">
        <v>62</v>
      </c>
      <c r="D643" s="6" t="s">
        <v>422</v>
      </c>
      <c r="E643" s="6" t="s">
        <v>423</v>
      </c>
      <c r="F643" s="6" t="str">
        <f>IF($M643="PADD I","PADD 1",IF($M643="PADD II","PADD 2",IF($M643="PADD III","PADD 3",IF($M643="PADD IV","PADD 4",IF($M643="PADD V","PADD 5","")))))</f>
        <v>PADD 2</v>
      </c>
      <c r="G643" s="6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6" t="s">
        <v>428</v>
      </c>
      <c r="I643" s="6" t="s">
        <v>751</v>
      </c>
      <c r="J643" s="6" t="s">
        <v>394</v>
      </c>
      <c r="K643" s="10">
        <v>16.92</v>
      </c>
      <c r="L643" s="10">
        <v>18</v>
      </c>
      <c r="M643" s="6" t="s">
        <v>425</v>
      </c>
      <c r="N643" s="6">
        <f>IF(OR($G643="FCC",$G643="Hydrocracker",$G643="Reformer"),IF(COUNTIFS($D:$D,$D643,$A:$A,$A643,$B:$B,$B643,$G:$G,"CDU",$J:$J,"PLANNED")&gt;0,"tied","standalone"),"")</f>
        <v/>
      </c>
    </row>
    <row r="644" spans="1:14">
      <c r="A644" s="6">
        <v>2023</v>
      </c>
      <c r="B644" s="6">
        <v>3</v>
      </c>
      <c r="C644" s="6" t="s">
        <v>62</v>
      </c>
      <c r="D644" s="6" t="s">
        <v>487</v>
      </c>
      <c r="E644" s="6" t="s">
        <v>488</v>
      </c>
      <c r="F644" s="6" t="str">
        <f>IF($M644="PADD I","PADD 1",IF($M644="PADD II","PADD 2",IF($M644="PADD III","PADD 3",IF($M644="PADD IV","PADD 4",IF($M644="PADD V","PADD 5","")))))</f>
        <v>PADD 4</v>
      </c>
      <c r="G644" s="6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6" t="s">
        <v>39</v>
      </c>
      <c r="I644" s="6" t="s">
        <v>489</v>
      </c>
      <c r="J644" s="6" t="s">
        <v>394</v>
      </c>
      <c r="K644" s="10">
        <v>16.38</v>
      </c>
      <c r="L644" s="10">
        <v>39</v>
      </c>
      <c r="M644" s="6" t="s">
        <v>480</v>
      </c>
      <c r="N644" s="6">
        <f>IF(OR($G644="FCC",$G644="Hydrocracker",$G644="Reformer"),IF(COUNTIFS($D:$D,$D644,$A:$A,$A644,$B:$B,$B644,$G:$G,"CDU",$J:$J,"PLANNED")&gt;0,"tied","standalone"),"")</f>
        <v/>
      </c>
    </row>
    <row r="645" spans="1:14">
      <c r="A645" s="6">
        <v>2023</v>
      </c>
      <c r="B645" s="6">
        <v>3</v>
      </c>
      <c r="C645" s="6" t="s">
        <v>62</v>
      </c>
      <c r="D645" s="6" t="s">
        <v>730</v>
      </c>
      <c r="E645" s="6" t="s">
        <v>731</v>
      </c>
      <c r="F645" s="6" t="str">
        <f>IF($M645="PADD I","PADD 1",IF($M645="PADD II","PADD 2",IF($M645="PADD III","PADD 3",IF($M645="PADD IV","PADD 4",IF($M645="PADD V","PADD 5","")))))</f>
        <v>PADD 3</v>
      </c>
      <c r="G645" s="6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6" t="s">
        <v>471</v>
      </c>
      <c r="I645" s="6" t="s">
        <v>589</v>
      </c>
      <c r="J645" s="6" t="s">
        <v>398</v>
      </c>
      <c r="K645" s="10">
        <v>15.98</v>
      </c>
      <c r="L645" s="10">
        <v>17</v>
      </c>
      <c r="M645" s="6" t="s">
        <v>421</v>
      </c>
      <c r="N645" s="6" t="str">
        <f>IF(OR($G645="FCC",$G645="Hydrocracker",$G645="Reformer"),IF(COUNTIFS($D:$D,$D645,$A:$A,$A645,$B:$B,$B645,$G:$G,"CDU",$J:$J,"PLANNED")&gt;0,"tied","standalone"),"")</f>
        <v>tied</v>
      </c>
    </row>
    <row r="646" spans="1:14">
      <c r="A646" s="6">
        <v>2023</v>
      </c>
      <c r="B646" s="6">
        <v>3</v>
      </c>
      <c r="C646" s="6" t="s">
        <v>62</v>
      </c>
      <c r="D646" s="6" t="s">
        <v>730</v>
      </c>
      <c r="E646" s="6" t="s">
        <v>731</v>
      </c>
      <c r="F646" s="6" t="str">
        <f>IF($M646="PADD I","PADD 1",IF($M646="PADD II","PADD 2",IF($M646="PADD III","PADD 3",IF($M646="PADD IV","PADD 4",IF($M646="PADD V","PADD 5","")))))</f>
        <v>PADD 3</v>
      </c>
      <c r="G646" s="6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6" t="s">
        <v>44</v>
      </c>
      <c r="I646" s="6" t="s">
        <v>752</v>
      </c>
      <c r="J646" s="6" t="s">
        <v>398</v>
      </c>
      <c r="K646" s="10">
        <v>15.98</v>
      </c>
      <c r="L646" s="10">
        <v>17</v>
      </c>
      <c r="M646" s="6" t="s">
        <v>421</v>
      </c>
      <c r="N646" s="6">
        <f>IF(OR($G646="FCC",$G646="Hydrocracker",$G646="Reformer"),IF(COUNTIFS($D:$D,$D646,$A:$A,$A646,$B:$B,$B646,$G:$G,"CDU",$J:$J,"PLANNED")&gt;0,"tied","standalone"),"")</f>
        <v/>
      </c>
    </row>
    <row r="647" spans="1:14">
      <c r="A647" s="6">
        <v>2023</v>
      </c>
      <c r="B647" s="6">
        <v>3</v>
      </c>
      <c r="C647" s="6" t="s">
        <v>62</v>
      </c>
      <c r="D647" s="6" t="s">
        <v>626</v>
      </c>
      <c r="E647" s="6" t="s">
        <v>419</v>
      </c>
      <c r="F647" s="6" t="str">
        <f>IF($M647="PADD I","PADD 1",IF($M647="PADD II","PADD 2",IF($M647="PADD III","PADD 3",IF($M647="PADD IV","PADD 4",IF($M647="PADD V","PADD 5","")))))</f>
        <v>PADD 3</v>
      </c>
      <c r="G647" s="6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6" t="s">
        <v>485</v>
      </c>
      <c r="I647" s="6" t="s">
        <v>753</v>
      </c>
      <c r="J647" s="6" t="s">
        <v>398</v>
      </c>
      <c r="K647" s="10">
        <v>15</v>
      </c>
      <c r="L647" s="10">
        <v>15</v>
      </c>
      <c r="M647" s="6" t="s">
        <v>421</v>
      </c>
      <c r="N647" s="6">
        <f>IF(OR($G647="FCC",$G647="Hydrocracker",$G647="Reformer"),IF(COUNTIFS($D:$D,$D647,$A:$A,$A647,$B:$B,$B647,$G:$G,"CDU",$J:$J,"PLANNED")&gt;0,"tied","standalone"),"")</f>
        <v/>
      </c>
    </row>
    <row r="648" spans="1:14">
      <c r="A648" s="6">
        <v>2023</v>
      </c>
      <c r="B648" s="6">
        <v>3</v>
      </c>
      <c r="C648" s="6" t="s">
        <v>62</v>
      </c>
      <c r="D648" s="6" t="s">
        <v>373</v>
      </c>
      <c r="E648" s="6" t="s">
        <v>438</v>
      </c>
      <c r="F648" s="6" t="str">
        <f>IF($M648="PADD I","PADD 1",IF($M648="PADD II","PADD 2",IF($M648="PADD III","PADD 3",IF($M648="PADD IV","PADD 4",IF($M648="PADD V","PADD 5","")))))</f>
        <v>PADD 3</v>
      </c>
      <c r="G648" s="6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6" t="s">
        <v>471</v>
      </c>
      <c r="I648" s="6" t="s">
        <v>692</v>
      </c>
      <c r="J648" s="6" t="s">
        <v>398</v>
      </c>
      <c r="K648" s="10">
        <v>14.95</v>
      </c>
      <c r="L648" s="10">
        <v>65</v>
      </c>
      <c r="M648" s="6" t="s">
        <v>421</v>
      </c>
      <c r="N648" s="6" t="str">
        <f>IF(OR($G648="FCC",$G648="Hydrocracker",$G648="Reformer"),IF(COUNTIFS($D:$D,$D648,$A:$A,$A648,$B:$B,$B648,$G:$G,"CDU",$J:$J,"PLANNED")&gt;0,"tied","standalone"),"")</f>
        <v>tied</v>
      </c>
    </row>
    <row r="649" spans="1:14">
      <c r="A649" s="6">
        <v>2023</v>
      </c>
      <c r="B649" s="6">
        <v>3</v>
      </c>
      <c r="C649" s="6" t="s">
        <v>62</v>
      </c>
      <c r="D649" s="6" t="s">
        <v>378</v>
      </c>
      <c r="E649" s="6" t="s">
        <v>477</v>
      </c>
      <c r="F649" s="6" t="str">
        <f>IF($M649="PADD I","PADD 1",IF($M649="PADD II","PADD 2",IF($M649="PADD III","PADD 3",IF($M649="PADD IV","PADD 4",IF($M649="PADD V","PADD 5","")))))</f>
        <v>PADD 3</v>
      </c>
      <c r="G649" s="6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6" t="s">
        <v>44</v>
      </c>
      <c r="I649" s="6" t="s">
        <v>612</v>
      </c>
      <c r="J649" s="6" t="s">
        <v>394</v>
      </c>
      <c r="K649" s="10">
        <v>14.85</v>
      </c>
      <c r="L649" s="10">
        <v>27</v>
      </c>
      <c r="M649" s="6" t="s">
        <v>421</v>
      </c>
      <c r="N649" s="6">
        <f>IF(OR($G649="FCC",$G649="Hydrocracker",$G649="Reformer"),IF(COUNTIFS($D:$D,$D649,$A:$A,$A649,$B:$B,$B649,$G:$G,"CDU",$J:$J,"PLANNED")&gt;0,"tied","standalone"),"")</f>
        <v/>
      </c>
    </row>
    <row r="650" spans="1:14">
      <c r="A650" s="6">
        <v>2023</v>
      </c>
      <c r="B650" s="6">
        <v>3</v>
      </c>
      <c r="C650" s="6" t="s">
        <v>62</v>
      </c>
      <c r="D650" s="6" t="s">
        <v>445</v>
      </c>
      <c r="E650" s="6" t="s">
        <v>446</v>
      </c>
      <c r="F650" s="6" t="str">
        <f>IF($M650="PADD I","PADD 1",IF($M650="PADD II","PADD 2",IF($M650="PADD III","PADD 3",IF($M650="PADD IV","PADD 4",IF($M650="PADD V","PADD 5","")))))</f>
        <v>PADD 3</v>
      </c>
      <c r="G650" s="6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6" t="s">
        <v>428</v>
      </c>
      <c r="I650" s="6" t="s">
        <v>625</v>
      </c>
      <c r="J650" s="6" t="s">
        <v>394</v>
      </c>
      <c r="K650" s="10">
        <v>14.7</v>
      </c>
      <c r="L650" s="10">
        <v>35</v>
      </c>
      <c r="M650" s="6" t="s">
        <v>421</v>
      </c>
      <c r="N650" s="6">
        <f>IF(OR($G650="FCC",$G650="Hydrocracker",$G650="Reformer"),IF(COUNTIFS($D:$D,$D650,$A:$A,$A650,$B:$B,$B650,$G:$G,"CDU",$J:$J,"PLANNED")&gt;0,"tied","standalone"),"")</f>
        <v/>
      </c>
    </row>
    <row r="651" spans="1:14">
      <c r="A651" s="6">
        <v>2023</v>
      </c>
      <c r="B651" s="6">
        <v>3</v>
      </c>
      <c r="C651" s="6" t="s">
        <v>62</v>
      </c>
      <c r="D651" s="6" t="s">
        <v>725</v>
      </c>
      <c r="E651" s="6" t="s">
        <v>502</v>
      </c>
      <c r="F651" s="6" t="str">
        <f>IF($M651="PADD I","PADD 1",IF($M651="PADD II","PADD 2",IF($M651="PADD III","PADD 3",IF($M651="PADD IV","PADD 4",IF($M651="PADD V","PADD 5","")))))</f>
        <v>PADD 2</v>
      </c>
      <c r="G651" s="6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6" t="s">
        <v>44</v>
      </c>
      <c r="I651" s="6" t="s">
        <v>754</v>
      </c>
      <c r="J651" s="6" t="s">
        <v>398</v>
      </c>
      <c r="K651" s="10">
        <v>14.58</v>
      </c>
      <c r="L651" s="10">
        <v>18</v>
      </c>
      <c r="M651" s="6" t="s">
        <v>425</v>
      </c>
      <c r="N651" s="6">
        <f>IF(OR($G651="FCC",$G651="Hydrocracker",$G651="Reformer"),IF(COUNTIFS($D:$D,$D651,$A:$A,$A651,$B:$B,$B651,$G:$G,"CDU",$J:$J,"PLANNED")&gt;0,"tied","standalone"),"")</f>
        <v/>
      </c>
    </row>
    <row r="652" spans="1:14">
      <c r="A652" s="6">
        <v>2023</v>
      </c>
      <c r="B652" s="6">
        <v>3</v>
      </c>
      <c r="C652" s="6" t="s">
        <v>62</v>
      </c>
      <c r="D652" s="6" t="s">
        <v>725</v>
      </c>
      <c r="E652" s="6" t="s">
        <v>502</v>
      </c>
      <c r="F652" s="6" t="str">
        <f>IF($M652="PADD I","PADD 1",IF($M652="PADD II","PADD 2",IF($M652="PADD III","PADD 3",IF($M652="PADD IV","PADD 4",IF($M652="PADD V","PADD 5","")))))</f>
        <v>PADD 2</v>
      </c>
      <c r="G652" s="6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6" t="s">
        <v>44</v>
      </c>
      <c r="I652" s="6" t="s">
        <v>755</v>
      </c>
      <c r="J652" s="6" t="s">
        <v>398</v>
      </c>
      <c r="K652" s="10">
        <v>14.58</v>
      </c>
      <c r="L652" s="10">
        <v>18</v>
      </c>
      <c r="M652" s="6" t="s">
        <v>425</v>
      </c>
      <c r="N652" s="6">
        <f>IF(OR($G652="FCC",$G652="Hydrocracker",$G652="Reformer"),IF(COUNTIFS($D:$D,$D652,$A:$A,$A652,$B:$B,$B652,$G:$G,"CDU",$J:$J,"PLANNED")&gt;0,"tied","standalone"),"")</f>
        <v/>
      </c>
    </row>
    <row r="653" spans="1:14">
      <c r="A653" s="6">
        <v>2023</v>
      </c>
      <c r="B653" s="6">
        <v>3</v>
      </c>
      <c r="C653" s="6" t="s">
        <v>62</v>
      </c>
      <c r="D653" s="6" t="s">
        <v>518</v>
      </c>
      <c r="E653" s="6" t="s">
        <v>419</v>
      </c>
      <c r="F653" s="6" t="str">
        <f>IF($M653="PADD I","PADD 1",IF($M653="PADD II","PADD 2",IF($M653="PADD III","PADD 3",IF($M653="PADD IV","PADD 4",IF($M653="PADD V","PADD 5","")))))</f>
        <v>PADD 3</v>
      </c>
      <c r="G653" s="6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6" t="s">
        <v>426</v>
      </c>
      <c r="I653" s="6" t="s">
        <v>519</v>
      </c>
      <c r="J653" s="6" t="s">
        <v>394</v>
      </c>
      <c r="K653" s="10">
        <v>14.4</v>
      </c>
      <c r="L653" s="10">
        <v>30</v>
      </c>
      <c r="M653" s="6" t="s">
        <v>421</v>
      </c>
      <c r="N653" s="6" t="str">
        <f>IF(OR($G653="FCC",$G653="Hydrocracker",$G653="Reformer"),IF(COUNTIFS($D:$D,$D653,$A:$A,$A653,$B:$B,$B653,$G:$G,"CDU",$J:$J,"PLANNED")&gt;0,"tied","standalone"),"")</f>
        <v>tied</v>
      </c>
    </row>
    <row r="654" spans="1:14">
      <c r="A654" s="6">
        <v>2023</v>
      </c>
      <c r="B654" s="6">
        <v>3</v>
      </c>
      <c r="C654" s="6" t="s">
        <v>62</v>
      </c>
      <c r="D654" s="6" t="s">
        <v>371</v>
      </c>
      <c r="E654" s="6" t="s">
        <v>419</v>
      </c>
      <c r="F654" s="6" t="str">
        <f>IF($M654="PADD I","PADD 1",IF($M654="PADD II","PADD 2",IF($M654="PADD III","PADD 3",IF($M654="PADD IV","PADD 4",IF($M654="PADD V","PADD 5","")))))</f>
        <v>PADD 2</v>
      </c>
      <c r="G654" s="6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6" t="s">
        <v>471</v>
      </c>
      <c r="I654" s="6" t="s">
        <v>756</v>
      </c>
      <c r="J654" s="6" t="s">
        <v>398</v>
      </c>
      <c r="K654" s="10">
        <v>14.1</v>
      </c>
      <c r="L654" s="10">
        <v>15</v>
      </c>
      <c r="M654" s="6" t="s">
        <v>425</v>
      </c>
      <c r="N654" s="6" t="str">
        <f>IF(OR($G654="FCC",$G654="Hydrocracker",$G654="Reformer"),IF(COUNTIFS($D:$D,$D654,$A:$A,$A654,$B:$B,$B654,$G:$G,"CDU",$J:$J,"PLANNED")&gt;0,"tied","standalone"),"")</f>
        <v>standalone</v>
      </c>
    </row>
    <row r="655" spans="1:14">
      <c r="A655" s="6">
        <v>2023</v>
      </c>
      <c r="B655" s="6">
        <v>3</v>
      </c>
      <c r="C655" s="6" t="s">
        <v>62</v>
      </c>
      <c r="D655" s="6" t="s">
        <v>730</v>
      </c>
      <c r="E655" s="6" t="s">
        <v>731</v>
      </c>
      <c r="F655" s="6" t="str">
        <f>IF($M655="PADD I","PADD 1",IF($M655="PADD II","PADD 2",IF($M655="PADD III","PADD 3",IF($M655="PADD IV","PADD 4",IF($M655="PADD V","PADD 5","")))))</f>
        <v>PADD 3</v>
      </c>
      <c r="G655" s="6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6" t="s">
        <v>494</v>
      </c>
      <c r="I655" s="6" t="s">
        <v>757</v>
      </c>
      <c r="J655" s="6" t="s">
        <v>398</v>
      </c>
      <c r="K655" s="10">
        <v>14.1</v>
      </c>
      <c r="L655" s="10">
        <v>15</v>
      </c>
      <c r="M655" s="6" t="s">
        <v>421</v>
      </c>
      <c r="N655" s="6" t="str">
        <f>IF(OR($G655="FCC",$G655="Hydrocracker",$G655="Reformer"),IF(COUNTIFS($D:$D,$D655,$A:$A,$A655,$B:$B,$B655,$G:$G,"CDU",$J:$J,"PLANNED")&gt;0,"tied","standalone"),"")</f>
        <v>tied</v>
      </c>
    </row>
    <row r="656" spans="1:14">
      <c r="A656" s="6">
        <v>2023</v>
      </c>
      <c r="B656" s="6">
        <v>3</v>
      </c>
      <c r="C656" s="6" t="s">
        <v>62</v>
      </c>
      <c r="D656" s="6" t="s">
        <v>52</v>
      </c>
      <c r="E656" s="6" t="s">
        <v>441</v>
      </c>
      <c r="F656" s="6" t="str">
        <f>IF($M656="PADD I","PADD 1",IF($M656="PADD II","PADD 2",IF($M656="PADD III","PADD 3",IF($M656="PADD IV","PADD 4",IF($M656="PADD V","PADD 5","")))))</f>
        <v>PADD 5</v>
      </c>
      <c r="G656" s="6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6" t="s">
        <v>510</v>
      </c>
      <c r="I656" s="6" t="s">
        <v>511</v>
      </c>
      <c r="J656" s="6" t="s">
        <v>394</v>
      </c>
      <c r="K656" s="10">
        <v>13.86</v>
      </c>
      <c r="L656" s="10">
        <v>33</v>
      </c>
      <c r="M656" s="6" t="s">
        <v>436</v>
      </c>
      <c r="N656" s="6">
        <f>IF(OR($G656="FCC",$G656="Hydrocracker",$G656="Reformer"),IF(COUNTIFS($D:$D,$D656,$A:$A,$A656,$B:$B,$B656,$G:$G,"CDU",$J:$J,"PLANNED")&gt;0,"tied","standalone"),"")</f>
        <v/>
      </c>
    </row>
    <row r="657" spans="1:14">
      <c r="A657" s="6">
        <v>2023</v>
      </c>
      <c r="B657" s="6">
        <v>3</v>
      </c>
      <c r="C657" s="6" t="s">
        <v>62</v>
      </c>
      <c r="D657" s="6" t="s">
        <v>373</v>
      </c>
      <c r="E657" s="6" t="s">
        <v>438</v>
      </c>
      <c r="F657" s="6" t="str">
        <f>IF($M657="PADD I","PADD 1",IF($M657="PADD II","PADD 2",IF($M657="PADD III","PADD 3",IF($M657="PADD IV","PADD 4",IF($M657="PADD V","PADD 5","")))))</f>
        <v>PADD 3</v>
      </c>
      <c r="G657" s="6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6" t="s">
        <v>44</v>
      </c>
      <c r="I657" s="6" t="s">
        <v>694</v>
      </c>
      <c r="J657" s="6" t="s">
        <v>398</v>
      </c>
      <c r="K657" s="10">
        <v>13.8</v>
      </c>
      <c r="L657" s="10">
        <v>60</v>
      </c>
      <c r="M657" s="6" t="s">
        <v>421</v>
      </c>
      <c r="N657" s="6">
        <f>IF(OR($G657="FCC",$G657="Hydrocracker",$G657="Reformer"),IF(COUNTIFS($D:$D,$D657,$A:$A,$A657,$B:$B,$B657,$G:$G,"CDU",$J:$J,"PLANNED")&gt;0,"tied","standalone"),"")</f>
        <v/>
      </c>
    </row>
    <row r="658" spans="1:14">
      <c r="A658" s="6">
        <v>2023</v>
      </c>
      <c r="B658" s="6">
        <v>3</v>
      </c>
      <c r="C658" s="6" t="s">
        <v>62</v>
      </c>
      <c r="D658" s="6" t="s">
        <v>561</v>
      </c>
      <c r="E658" s="6" t="s">
        <v>455</v>
      </c>
      <c r="F658" s="6" t="str">
        <f>IF($M658="PADD I","PADD 1",IF($M658="PADD II","PADD 2",IF($M658="PADD III","PADD 3",IF($M658="PADD IV","PADD 4",IF($M658="PADD V","PADD 5","")))))</f>
        <v>PADD 3</v>
      </c>
      <c r="G658" s="6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6" t="s">
        <v>428</v>
      </c>
      <c r="I658" s="6" t="s">
        <v>643</v>
      </c>
      <c r="J658" s="6" t="s">
        <v>398</v>
      </c>
      <c r="K658" s="10">
        <v>13.65</v>
      </c>
      <c r="L658" s="10">
        <v>39</v>
      </c>
      <c r="M658" s="6" t="s">
        <v>421</v>
      </c>
      <c r="N658" s="6">
        <f>IF(OR($G658="FCC",$G658="Hydrocracker",$G658="Reformer"),IF(COUNTIFS($D:$D,$D658,$A:$A,$A658,$B:$B,$B658,$G:$G,"CDU",$J:$J,"PLANNED")&gt;0,"tied","standalone"),"")</f>
        <v/>
      </c>
    </row>
    <row r="659" spans="1:14">
      <c r="A659" s="6">
        <v>2023</v>
      </c>
      <c r="B659" s="6">
        <v>3</v>
      </c>
      <c r="C659" s="6" t="s">
        <v>62</v>
      </c>
      <c r="D659" s="6" t="s">
        <v>437</v>
      </c>
      <c r="E659" s="6" t="s">
        <v>438</v>
      </c>
      <c r="F659" s="6" t="str">
        <f>IF($M659="PADD I","PADD 1",IF($M659="PADD II","PADD 2",IF($M659="PADD III","PADD 3",IF($M659="PADD IV","PADD 4",IF($M659="PADD V","PADD 5","")))))</f>
        <v>PADD 3</v>
      </c>
      <c r="G659" s="6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6" t="s">
        <v>485</v>
      </c>
      <c r="I659" s="6" t="s">
        <v>645</v>
      </c>
      <c r="J659" s="6" t="s">
        <v>398</v>
      </c>
      <c r="K659" s="10">
        <v>13.5</v>
      </c>
      <c r="L659" s="10">
        <v>13.5</v>
      </c>
      <c r="M659" s="6" t="s">
        <v>421</v>
      </c>
      <c r="N659" s="6">
        <f>IF(OR($G659="FCC",$G659="Hydrocracker",$G659="Reformer"),IF(COUNTIFS($D:$D,$D659,$A:$A,$A659,$B:$B,$B659,$G:$G,"CDU",$J:$J,"PLANNED")&gt;0,"tied","standalone"),"")</f>
        <v/>
      </c>
    </row>
    <row r="660" spans="1:14">
      <c r="A660" s="6">
        <v>2023</v>
      </c>
      <c r="B660" s="6">
        <v>3</v>
      </c>
      <c r="C660" s="6" t="s">
        <v>62</v>
      </c>
      <c r="D660" s="6" t="s">
        <v>395</v>
      </c>
      <c r="E660" s="6" t="s">
        <v>433</v>
      </c>
      <c r="F660" s="6" t="str">
        <f>IF($M660="PADD I","PADD 1",IF($M660="PADD II","PADD 2",IF($M660="PADD III","PADD 3",IF($M660="PADD IV","PADD 4",IF($M660="PADD V","PADD 5","")))))</f>
        <v>PADD 2</v>
      </c>
      <c r="G660" s="6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6" t="s">
        <v>494</v>
      </c>
      <c r="I660" s="6" t="s">
        <v>513</v>
      </c>
      <c r="J660" s="6" t="s">
        <v>398</v>
      </c>
      <c r="K660" s="10">
        <v>13.44</v>
      </c>
      <c r="L660" s="10">
        <v>32</v>
      </c>
      <c r="M660" s="6" t="s">
        <v>425</v>
      </c>
      <c r="N660" s="6" t="str">
        <f>IF(OR($G660="FCC",$G660="Hydrocracker",$G660="Reformer"),IF(COUNTIFS($D:$D,$D660,$A:$A,$A660,$B:$B,$B660,$G:$G,"CDU",$J:$J,"PLANNED")&gt;0,"tied","standalone"),"")</f>
        <v>tied</v>
      </c>
    </row>
    <row r="661" spans="1:14">
      <c r="A661" s="6">
        <v>2023</v>
      </c>
      <c r="B661" s="6">
        <v>3</v>
      </c>
      <c r="C661" s="6" t="s">
        <v>62</v>
      </c>
      <c r="D661" s="6" t="s">
        <v>626</v>
      </c>
      <c r="E661" s="6" t="s">
        <v>419</v>
      </c>
      <c r="F661" s="6" t="str">
        <f>IF($M661="PADD I","PADD 1",IF($M661="PADD II","PADD 2",IF($M661="PADD III","PADD 3",IF($M661="PADD IV","PADD 4",IF($M661="PADD V","PADD 5","")))))</f>
        <v>PADD 3</v>
      </c>
      <c r="G661" s="6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6" t="s">
        <v>44</v>
      </c>
      <c r="I661" s="6" t="s">
        <v>706</v>
      </c>
      <c r="J661" s="6" t="s">
        <v>398</v>
      </c>
      <c r="K661" s="10">
        <v>13</v>
      </c>
      <c r="L661" s="10">
        <v>13</v>
      </c>
      <c r="M661" s="6" t="s">
        <v>421</v>
      </c>
      <c r="N661" s="6">
        <f>IF(OR($G661="FCC",$G661="Hydrocracker",$G661="Reformer"),IF(COUNTIFS($D:$D,$D661,$A:$A,$A661,$B:$B,$B661,$G:$G,"CDU",$J:$J,"PLANNED")&gt;0,"tied","standalone"),"")</f>
        <v/>
      </c>
    </row>
    <row r="662" spans="1:14">
      <c r="A662" s="6">
        <v>2023</v>
      </c>
      <c r="B662" s="6">
        <v>3</v>
      </c>
      <c r="C662" s="6" t="s">
        <v>62</v>
      </c>
      <c r="D662" s="6" t="s">
        <v>470</v>
      </c>
      <c r="E662" s="6" t="s">
        <v>423</v>
      </c>
      <c r="F662" s="6" t="str">
        <f>IF($M662="PADD I","PADD 1",IF($M662="PADD II","PADD 2",IF($M662="PADD III","PADD 3",IF($M662="PADD IV","PADD 4",IF($M662="PADD V","PADD 5","")))))</f>
        <v>PADD 2</v>
      </c>
      <c r="G662" s="6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6" t="s">
        <v>426</v>
      </c>
      <c r="I662" s="6" t="s">
        <v>106</v>
      </c>
      <c r="J662" s="6" t="s">
        <v>394</v>
      </c>
      <c r="K662" s="10">
        <v>13</v>
      </c>
      <c r="L662" s="10">
        <v>13</v>
      </c>
      <c r="M662" s="6" t="s">
        <v>425</v>
      </c>
      <c r="N662" s="6" t="str">
        <f>IF(OR($G662="FCC",$G662="Hydrocracker",$G662="Reformer"),IF(COUNTIFS($D:$D,$D662,$A:$A,$A662,$B:$B,$B662,$G:$G,"CDU",$J:$J,"PLANNED")&gt;0,"tied","standalone"),"")</f>
        <v>standalone</v>
      </c>
    </row>
    <row r="663" spans="1:14">
      <c r="A663" s="6">
        <v>2023</v>
      </c>
      <c r="B663" s="6">
        <v>3</v>
      </c>
      <c r="C663" s="6" t="s">
        <v>62</v>
      </c>
      <c r="D663" s="6" t="s">
        <v>515</v>
      </c>
      <c r="E663" s="6" t="s">
        <v>419</v>
      </c>
      <c r="F663" s="6" t="str">
        <f>IF($M663="PADD I","PADD 1",IF($M663="PADD II","PADD 2",IF($M663="PADD III","PADD 3",IF($M663="PADD IV","PADD 4",IF($M663="PADD V","PADD 5","")))))</f>
        <v>PADD 5</v>
      </c>
      <c r="G663" s="6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6" t="s">
        <v>44</v>
      </c>
      <c r="I663" s="6" t="s">
        <v>516</v>
      </c>
      <c r="J663" s="6" t="s">
        <v>398</v>
      </c>
      <c r="K663" s="10">
        <v>13</v>
      </c>
      <c r="L663" s="10">
        <v>50</v>
      </c>
      <c r="M663" s="6" t="s">
        <v>436</v>
      </c>
      <c r="N663" s="6">
        <f>IF(OR($G663="FCC",$G663="Hydrocracker",$G663="Reformer"),IF(COUNTIFS($D:$D,$D663,$A:$A,$A663,$B:$B,$B663,$G:$G,"CDU",$J:$J,"PLANNED")&gt;0,"tied","standalone"),"")</f>
        <v/>
      </c>
    </row>
    <row r="664" spans="1:14">
      <c r="A664" s="6">
        <v>2023</v>
      </c>
      <c r="B664" s="6">
        <v>3</v>
      </c>
      <c r="C664" s="6" t="s">
        <v>62</v>
      </c>
      <c r="D664" s="6" t="s">
        <v>626</v>
      </c>
      <c r="E664" s="6" t="s">
        <v>419</v>
      </c>
      <c r="F664" s="6" t="str">
        <f>IF($M664="PADD I","PADD 1",IF($M664="PADD II","PADD 2",IF($M664="PADD III","PADD 3",IF($M664="PADD IV","PADD 4",IF($M664="PADD V","PADD 5","")))))</f>
        <v>PADD 3</v>
      </c>
      <c r="G664" s="6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6" t="s">
        <v>618</v>
      </c>
      <c r="I664" s="6" t="s">
        <v>654</v>
      </c>
      <c r="J664" s="6" t="s">
        <v>394</v>
      </c>
      <c r="K664" s="10">
        <v>13</v>
      </c>
      <c r="L664" s="10">
        <v>25</v>
      </c>
      <c r="M664" s="6" t="s">
        <v>421</v>
      </c>
      <c r="N664" s="6">
        <f>IF(OR($G664="FCC",$G664="Hydrocracker",$G664="Reformer"),IF(COUNTIFS($D:$D,$D664,$A:$A,$A664,$B:$B,$B664,$G:$G,"CDU",$J:$J,"PLANNED")&gt;0,"tied","standalone"),"")</f>
        <v/>
      </c>
    </row>
    <row r="665" spans="1:14">
      <c r="A665" s="6">
        <v>2023</v>
      </c>
      <c r="B665" s="6">
        <v>3</v>
      </c>
      <c r="C665" s="6" t="s">
        <v>62</v>
      </c>
      <c r="D665" s="6" t="s">
        <v>518</v>
      </c>
      <c r="E665" s="6" t="s">
        <v>419</v>
      </c>
      <c r="F665" s="6" t="str">
        <f>IF($M665="PADD I","PADD 1",IF($M665="PADD II","PADD 2",IF($M665="PADD III","PADD 3",IF($M665="PADD IV","PADD 4",IF($M665="PADD V","PADD 5","")))))</f>
        <v>PADD 3</v>
      </c>
      <c r="G665" s="6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6" t="s">
        <v>426</v>
      </c>
      <c r="I665" s="6" t="s">
        <v>519</v>
      </c>
      <c r="J665" s="6" t="s">
        <v>398</v>
      </c>
      <c r="K665" s="10">
        <v>12.6</v>
      </c>
      <c r="L665" s="10">
        <v>30</v>
      </c>
      <c r="M665" s="6" t="s">
        <v>421</v>
      </c>
      <c r="N665" s="6" t="str">
        <f>IF(OR($G665="FCC",$G665="Hydrocracker",$G665="Reformer"),IF(COUNTIFS($D:$D,$D665,$A:$A,$A665,$B:$B,$B665,$G:$G,"CDU",$J:$J,"PLANNED")&gt;0,"tied","standalone"),"")</f>
        <v>tied</v>
      </c>
    </row>
    <row r="666" spans="1:14">
      <c r="A666" s="6">
        <v>2023</v>
      </c>
      <c r="B666" s="6">
        <v>3</v>
      </c>
      <c r="C666" s="6" t="s">
        <v>62</v>
      </c>
      <c r="D666" s="6" t="s">
        <v>395</v>
      </c>
      <c r="E666" s="6" t="s">
        <v>433</v>
      </c>
      <c r="F666" s="6" t="str">
        <f>IF($M666="PADD I","PADD 1",IF($M666="PADD II","PADD 2",IF($M666="PADD III","PADD 3",IF($M666="PADD IV","PADD 4",IF($M666="PADD V","PADD 5","")))))</f>
        <v>PADD 2</v>
      </c>
      <c r="G666" s="6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6" t="s">
        <v>471</v>
      </c>
      <c r="I666" s="6" t="s">
        <v>521</v>
      </c>
      <c r="J666" s="6" t="s">
        <v>398</v>
      </c>
      <c r="K666" s="10">
        <v>12.6</v>
      </c>
      <c r="L666" s="10">
        <v>30</v>
      </c>
      <c r="M666" s="6" t="s">
        <v>425</v>
      </c>
      <c r="N666" s="6" t="str">
        <f>IF(OR($G666="FCC",$G666="Hydrocracker",$G666="Reformer"),IF(COUNTIFS($D:$D,$D666,$A:$A,$A666,$B:$B,$B666,$G:$G,"CDU",$J:$J,"PLANNED")&gt;0,"tied","standalone"),"")</f>
        <v>tied</v>
      </c>
    </row>
    <row r="667" spans="1:14">
      <c r="A667" s="6">
        <v>2023</v>
      </c>
      <c r="B667" s="6">
        <v>3</v>
      </c>
      <c r="C667" s="6" t="s">
        <v>62</v>
      </c>
      <c r="D667" s="6" t="s">
        <v>665</v>
      </c>
      <c r="E667" s="6" t="s">
        <v>455</v>
      </c>
      <c r="F667" s="6" t="str">
        <f>IF($M667="PADD I","PADD 1",IF($M667="PADD II","PADD 2",IF($M667="PADD III","PADD 3",IF($M667="PADD IV","PADD 4",IF($M667="PADD V","PADD 5","")))))</f>
        <v>PADD 5</v>
      </c>
      <c r="G667" s="6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6" t="s">
        <v>494</v>
      </c>
      <c r="I667" s="6" t="s">
        <v>14</v>
      </c>
      <c r="J667" s="6" t="s">
        <v>398</v>
      </c>
      <c r="K667" s="10">
        <v>12.6</v>
      </c>
      <c r="L667" s="10">
        <v>36</v>
      </c>
      <c r="M667" s="6" t="s">
        <v>436</v>
      </c>
      <c r="N667" s="6" t="str">
        <f>IF(OR($G667="FCC",$G667="Hydrocracker",$G667="Reformer"),IF(COUNTIFS($D:$D,$D667,$A:$A,$A667,$B:$B,$B667,$G:$G,"CDU",$J:$J,"PLANNED")&gt;0,"tied","standalone"),"")</f>
        <v>standalone</v>
      </c>
    </row>
    <row r="668" spans="1:14">
      <c r="A668" s="6">
        <v>2023</v>
      </c>
      <c r="B668" s="6">
        <v>3</v>
      </c>
      <c r="C668" s="6" t="s">
        <v>62</v>
      </c>
      <c r="D668" s="6" t="s">
        <v>534</v>
      </c>
      <c r="E668" s="6" t="s">
        <v>459</v>
      </c>
      <c r="F668" s="6" t="str">
        <f>IF($M668="PADD I","PADD 1",IF($M668="PADD II","PADD 2",IF($M668="PADD III","PADD 3",IF($M668="PADD IV","PADD 4",IF($M668="PADD V","PADD 5","")))))</f>
        <v>PADD 3</v>
      </c>
      <c r="G668" s="6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6" t="s">
        <v>44</v>
      </c>
      <c r="I668" s="6" t="s">
        <v>535</v>
      </c>
      <c r="J668" s="6" t="s">
        <v>394</v>
      </c>
      <c r="K668" s="10">
        <v>12.54</v>
      </c>
      <c r="L668" s="10">
        <v>66</v>
      </c>
      <c r="M668" s="6" t="s">
        <v>421</v>
      </c>
      <c r="N668" s="6">
        <f>IF(OR($G668="FCC",$G668="Hydrocracker",$G668="Reformer"),IF(COUNTIFS($D:$D,$D668,$A:$A,$A668,$B:$B,$B668,$G:$G,"CDU",$J:$J,"PLANNED")&gt;0,"tied","standalone"),"")</f>
        <v/>
      </c>
    </row>
    <row r="669" spans="1:14">
      <c r="A669" s="6">
        <v>2023</v>
      </c>
      <c r="B669" s="6">
        <v>3</v>
      </c>
      <c r="C669" s="6" t="s">
        <v>62</v>
      </c>
      <c r="D669" s="6" t="s">
        <v>725</v>
      </c>
      <c r="E669" s="6" t="s">
        <v>502</v>
      </c>
      <c r="F669" s="6" t="str">
        <f>IF($M669="PADD I","PADD 1",IF($M669="PADD II","PADD 2",IF($M669="PADD III","PADD 3",IF($M669="PADD IV","PADD 4",IF($M669="PADD V","PADD 5","")))))</f>
        <v>PADD 2</v>
      </c>
      <c r="G669" s="6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6" t="s">
        <v>618</v>
      </c>
      <c r="I669" s="6" t="s">
        <v>654</v>
      </c>
      <c r="J669" s="6" t="s">
        <v>398</v>
      </c>
      <c r="K669" s="10">
        <v>12.15</v>
      </c>
      <c r="L669" s="10">
        <v>15</v>
      </c>
      <c r="M669" s="6" t="s">
        <v>425</v>
      </c>
      <c r="N669" s="6">
        <f>IF(OR($G669="FCC",$G669="Hydrocracker",$G669="Reformer"),IF(COUNTIFS($D:$D,$D669,$A:$A,$A669,$B:$B,$B669,$G:$G,"CDU",$J:$J,"PLANNED")&gt;0,"tied","standalone"),"")</f>
        <v/>
      </c>
    </row>
    <row r="670" spans="1:14">
      <c r="A670" s="6">
        <v>2023</v>
      </c>
      <c r="B670" s="6">
        <v>3</v>
      </c>
      <c r="C670" s="6" t="s">
        <v>62</v>
      </c>
      <c r="D670" s="6" t="s">
        <v>626</v>
      </c>
      <c r="E670" s="6" t="s">
        <v>419</v>
      </c>
      <c r="F670" s="6" t="str">
        <f>IF($M670="PADD I","PADD 1",IF($M670="PADD II","PADD 2",IF($M670="PADD III","PADD 3",IF($M670="PADD IV","PADD 4",IF($M670="PADD V","PADD 5","")))))</f>
        <v>PADD 3</v>
      </c>
      <c r="G670" s="6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6" t="s">
        <v>471</v>
      </c>
      <c r="I670" s="6" t="s">
        <v>533</v>
      </c>
      <c r="J670" s="6" t="s">
        <v>398</v>
      </c>
      <c r="K670" s="10">
        <v>12</v>
      </c>
      <c r="L670" s="10">
        <v>12</v>
      </c>
      <c r="M670" s="6" t="s">
        <v>421</v>
      </c>
      <c r="N670" s="6" t="str">
        <f>IF(OR($G670="FCC",$G670="Hydrocracker",$G670="Reformer"),IF(COUNTIFS($D:$D,$D670,$A:$A,$A670,$B:$B,$B670,$G:$G,"CDU",$J:$J,"PLANNED")&gt;0,"tied","standalone"),"")</f>
        <v>standalone</v>
      </c>
    </row>
    <row r="671" spans="1:14">
      <c r="A671" s="6">
        <v>2023</v>
      </c>
      <c r="B671" s="6">
        <v>3</v>
      </c>
      <c r="C671" s="6" t="s">
        <v>62</v>
      </c>
      <c r="D671" s="6" t="s">
        <v>512</v>
      </c>
      <c r="E671" s="6" t="s">
        <v>488</v>
      </c>
      <c r="F671" s="6" t="str">
        <f>IF($M671="PADD I","PADD 1",IF($M671="PADD II","PADD 2",IF($M671="PADD III","PADD 3",IF($M671="PADD IV","PADD 4",IF($M671="PADD V","PADD 5","")))))</f>
        <v>PADD 4</v>
      </c>
      <c r="G671" s="6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6" t="s">
        <v>44</v>
      </c>
      <c r="I671" s="6" t="s">
        <v>585</v>
      </c>
      <c r="J671" s="6" t="s">
        <v>394</v>
      </c>
      <c r="K671" s="10">
        <v>12</v>
      </c>
      <c r="L671" s="10">
        <v>12</v>
      </c>
      <c r="M671" s="6" t="s">
        <v>480</v>
      </c>
      <c r="N671" s="6">
        <f>IF(OR($G671="FCC",$G671="Hydrocracker",$G671="Reformer"),IF(COUNTIFS($D:$D,$D671,$A:$A,$A671,$B:$B,$B671,$G:$G,"CDU",$J:$J,"PLANNED")&gt;0,"tied","standalone"),"")</f>
        <v/>
      </c>
    </row>
    <row r="672" spans="1:14">
      <c r="A672" s="6">
        <v>2023</v>
      </c>
      <c r="B672" s="6">
        <v>3</v>
      </c>
      <c r="C672" s="6" t="s">
        <v>62</v>
      </c>
      <c r="D672" s="6" t="s">
        <v>546</v>
      </c>
      <c r="E672" s="6" t="s">
        <v>438</v>
      </c>
      <c r="F672" s="6" t="str">
        <f>IF($M672="PADD I","PADD 1",IF($M672="PADD II","PADD 2",IF($M672="PADD III","PADD 3",IF($M672="PADD IV","PADD 4",IF($M672="PADD V","PADD 5","")))))</f>
        <v>PADD 2</v>
      </c>
      <c r="G672" s="6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6" t="s">
        <v>428</v>
      </c>
      <c r="I672" s="6" t="s">
        <v>586</v>
      </c>
      <c r="J672" s="6" t="s">
        <v>398</v>
      </c>
      <c r="K672" s="10">
        <v>12</v>
      </c>
      <c r="L672" s="10">
        <v>12</v>
      </c>
      <c r="M672" s="6" t="s">
        <v>425</v>
      </c>
      <c r="N672" s="6">
        <f>IF(OR($G672="FCC",$G672="Hydrocracker",$G672="Reformer"),IF(COUNTIFS($D:$D,$D672,$A:$A,$A672,$B:$B,$B672,$G:$G,"CDU",$J:$J,"PLANNED")&gt;0,"tied","standalone"),"")</f>
        <v/>
      </c>
    </row>
    <row r="673" spans="1:14">
      <c r="A673" s="6">
        <v>2023</v>
      </c>
      <c r="B673" s="6">
        <v>3</v>
      </c>
      <c r="C673" s="6" t="s">
        <v>62</v>
      </c>
      <c r="D673" s="6" t="s">
        <v>652</v>
      </c>
      <c r="E673" s="6" t="s">
        <v>419</v>
      </c>
      <c r="F673" s="6" t="str">
        <f>IF($M673="PADD I","PADD 1",IF($M673="PADD II","PADD 2",IF($M673="PADD III","PADD 3",IF($M673="PADD IV","PADD 4",IF($M673="PADD V","PADD 5","")))))</f>
        <v>PADD 2</v>
      </c>
      <c r="G673" s="6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6" t="s">
        <v>44</v>
      </c>
      <c r="I673" s="6" t="s">
        <v>758</v>
      </c>
      <c r="J673" s="6" t="s">
        <v>398</v>
      </c>
      <c r="K673" s="10">
        <v>11.84</v>
      </c>
      <c r="L673" s="10">
        <v>16</v>
      </c>
      <c r="M673" s="6" t="s">
        <v>425</v>
      </c>
      <c r="N673" s="6">
        <f>IF(OR($G673="FCC",$G673="Hydrocracker",$G673="Reformer"),IF(COUNTIFS($D:$D,$D673,$A:$A,$A673,$B:$B,$B673,$G:$G,"CDU",$J:$J,"PLANNED")&gt;0,"tied","standalone"),"")</f>
        <v/>
      </c>
    </row>
    <row r="674" spans="1:14">
      <c r="A674" s="6">
        <v>2023</v>
      </c>
      <c r="B674" s="6">
        <v>3</v>
      </c>
      <c r="C674" s="6" t="s">
        <v>62</v>
      </c>
      <c r="D674" s="6" t="s">
        <v>561</v>
      </c>
      <c r="E674" s="6" t="s">
        <v>455</v>
      </c>
      <c r="F674" s="6" t="str">
        <f>IF($M674="PADD I","PADD 1",IF($M674="PADD II","PADD 2",IF($M674="PADD III","PADD 3",IF($M674="PADD IV","PADD 4",IF($M674="PADD V","PADD 5","")))))</f>
        <v>PADD 3</v>
      </c>
      <c r="G674" s="6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6" t="s">
        <v>494</v>
      </c>
      <c r="I674" s="6" t="s">
        <v>14</v>
      </c>
      <c r="J674" s="6" t="s">
        <v>394</v>
      </c>
      <c r="K674" s="10">
        <v>11.5</v>
      </c>
      <c r="L674" s="10">
        <v>50</v>
      </c>
      <c r="M674" s="6" t="s">
        <v>421</v>
      </c>
      <c r="N674" s="6" t="str">
        <f>IF(OR($G674="FCC",$G674="Hydrocracker",$G674="Reformer"),IF(COUNTIFS($D:$D,$D674,$A:$A,$A674,$B:$B,$B674,$G:$G,"CDU",$J:$J,"PLANNED")&gt;0,"tied","standalone"),"")</f>
        <v>tied</v>
      </c>
    </row>
    <row r="675" spans="1:14">
      <c r="A675" s="6">
        <v>2023</v>
      </c>
      <c r="B675" s="6">
        <v>3</v>
      </c>
      <c r="C675" s="6" t="s">
        <v>62</v>
      </c>
      <c r="D675" s="6" t="s">
        <v>368</v>
      </c>
      <c r="E675" s="6" t="s">
        <v>715</v>
      </c>
      <c r="F675" s="6" t="str">
        <f>IF($M675="PADD I","PADD 1",IF($M675="PADD II","PADD 2",IF($M675="PADD III","PADD 3",IF($M675="PADD IV","PADD 4",IF($M675="PADD V","PADD 5","")))))</f>
        <v>PADD 3</v>
      </c>
      <c r="G675" s="6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6" t="s">
        <v>494</v>
      </c>
      <c r="I675" s="6" t="s">
        <v>14</v>
      </c>
      <c r="J675" s="6" t="s">
        <v>394</v>
      </c>
      <c r="K675" s="10">
        <v>11.44</v>
      </c>
      <c r="L675" s="10">
        <v>44</v>
      </c>
      <c r="M675" s="6" t="s">
        <v>421</v>
      </c>
      <c r="N675" s="6" t="str">
        <f>IF(OR($G675="FCC",$G675="Hydrocracker",$G675="Reformer"),IF(COUNTIFS($D:$D,$D675,$A:$A,$A675,$B:$B,$B675,$G:$G,"CDU",$J:$J,"PLANNED")&gt;0,"tied","standalone"),"")</f>
        <v>standalone</v>
      </c>
    </row>
    <row r="676" spans="1:14">
      <c r="A676" s="6">
        <v>2023</v>
      </c>
      <c r="B676" s="6">
        <v>3</v>
      </c>
      <c r="C676" s="6" t="s">
        <v>62</v>
      </c>
      <c r="D676" s="6" t="s">
        <v>730</v>
      </c>
      <c r="E676" s="6" t="s">
        <v>731</v>
      </c>
      <c r="F676" s="6" t="str">
        <f>IF($M676="PADD I","PADD 1",IF($M676="PADD II","PADD 2",IF($M676="PADD III","PADD 3",IF($M676="PADD IV","PADD 4",IF($M676="PADD V","PADD 5","")))))</f>
        <v>PADD 3</v>
      </c>
      <c r="G676" s="6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6" t="s">
        <v>44</v>
      </c>
      <c r="I676" s="6" t="s">
        <v>759</v>
      </c>
      <c r="J676" s="6" t="s">
        <v>398</v>
      </c>
      <c r="K676" s="10">
        <v>11.28</v>
      </c>
      <c r="L676" s="10">
        <v>12</v>
      </c>
      <c r="M676" s="6" t="s">
        <v>421</v>
      </c>
      <c r="N676" s="6">
        <f>IF(OR($G676="FCC",$G676="Hydrocracker",$G676="Reformer"),IF(COUNTIFS($D:$D,$D676,$A:$A,$A676,$B:$B,$B676,$G:$G,"CDU",$J:$J,"PLANNED")&gt;0,"tied","standalone"),"")</f>
        <v/>
      </c>
    </row>
    <row r="677" spans="1:14">
      <c r="A677" s="6">
        <v>2023</v>
      </c>
      <c r="B677" s="6">
        <v>3</v>
      </c>
      <c r="C677" s="6" t="s">
        <v>62</v>
      </c>
      <c r="D677" s="6" t="s">
        <v>760</v>
      </c>
      <c r="E677" s="6" t="s">
        <v>761</v>
      </c>
      <c r="F677" s="6" t="str">
        <f>IF($M677="PADD I","PADD 1",IF($M677="PADD II","PADD 2",IF($M677="PADD III","PADD 3",IF($M677="PADD IV","PADD 4",IF($M677="PADD V","PADD 5","")))))</f>
        <v>PADD 3</v>
      </c>
      <c r="G677" s="6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6" t="s">
        <v>39</v>
      </c>
      <c r="I677" s="6" t="s">
        <v>762</v>
      </c>
      <c r="J677" s="6" t="s">
        <v>398</v>
      </c>
      <c r="K677" s="10">
        <v>11.25</v>
      </c>
      <c r="L677" s="10">
        <v>25</v>
      </c>
      <c r="M677" s="6" t="s">
        <v>421</v>
      </c>
      <c r="N677" s="6">
        <f>IF(OR($G677="FCC",$G677="Hydrocracker",$G677="Reformer"),IF(COUNTIFS($D:$D,$D677,$A:$A,$A677,$B:$B,$B677,$G:$G,"CDU",$J:$J,"PLANNED")&gt;0,"tied","standalone"),"")</f>
        <v/>
      </c>
    </row>
    <row r="678" spans="1:14">
      <c r="A678" s="6">
        <v>2023</v>
      </c>
      <c r="B678" s="6">
        <v>3</v>
      </c>
      <c r="C678" s="6" t="s">
        <v>62</v>
      </c>
      <c r="D678" s="6" t="s">
        <v>470</v>
      </c>
      <c r="E678" s="6" t="s">
        <v>423</v>
      </c>
      <c r="F678" s="6" t="str">
        <f>IF($M678="PADD I","PADD 1",IF($M678="PADD II","PADD 2",IF($M678="PADD III","PADD 3",IF($M678="PADD IV","PADD 4",IF($M678="PADD V","PADD 5","")))))</f>
        <v>PADD 2</v>
      </c>
      <c r="G678" s="6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6" t="s">
        <v>44</v>
      </c>
      <c r="I678" s="6" t="s">
        <v>596</v>
      </c>
      <c r="J678" s="6" t="s">
        <v>394</v>
      </c>
      <c r="K678" s="10">
        <v>11</v>
      </c>
      <c r="L678" s="10">
        <v>11</v>
      </c>
      <c r="M678" s="6" t="s">
        <v>425</v>
      </c>
      <c r="N678" s="6">
        <f>IF(OR($G678="FCC",$G678="Hydrocracker",$G678="Reformer"),IF(COUNTIFS($D:$D,$D678,$A:$A,$A678,$B:$B,$B678,$G:$G,"CDU",$J:$J,"PLANNED")&gt;0,"tied","standalone"),"")</f>
        <v/>
      </c>
    </row>
    <row r="679" spans="1:14">
      <c r="A679" s="6">
        <v>2023</v>
      </c>
      <c r="B679" s="6">
        <v>3</v>
      </c>
      <c r="C679" s="6" t="s">
        <v>62</v>
      </c>
      <c r="D679" s="6" t="s">
        <v>484</v>
      </c>
      <c r="E679" s="6" t="s">
        <v>438</v>
      </c>
      <c r="F679" s="6" t="str">
        <f>IF($M679="PADD I","PADD 1",IF($M679="PADD II","PADD 2",IF($M679="PADD III","PADD 3",IF($M679="PADD IV","PADD 4",IF($M679="PADD V","PADD 5","")))))</f>
        <v>PADD 5</v>
      </c>
      <c r="G679" s="6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6" t="s">
        <v>39</v>
      </c>
      <c r="I679" s="6" t="s">
        <v>713</v>
      </c>
      <c r="J679" s="6" t="s">
        <v>394</v>
      </c>
      <c r="K679" s="10">
        <v>10.5</v>
      </c>
      <c r="L679" s="10">
        <v>105</v>
      </c>
      <c r="M679" s="6" t="s">
        <v>436</v>
      </c>
      <c r="N679" s="6">
        <f>IF(OR($G679="FCC",$G679="Hydrocracker",$G679="Reformer"),IF(COUNTIFS($D:$D,$D679,$A:$A,$A679,$B:$B,$B679,$G:$G,"CDU",$J:$J,"PLANNED")&gt;0,"tied","standalone"),"")</f>
        <v/>
      </c>
    </row>
    <row r="680" spans="1:14">
      <c r="A680" s="6">
        <v>2023</v>
      </c>
      <c r="B680" s="6">
        <v>3</v>
      </c>
      <c r="C680" s="6" t="s">
        <v>62</v>
      </c>
      <c r="D680" s="6" t="s">
        <v>730</v>
      </c>
      <c r="E680" s="6" t="s">
        <v>731</v>
      </c>
      <c r="F680" s="6" t="str">
        <f>IF($M680="PADD I","PADD 1",IF($M680="PADD II","PADD 2",IF($M680="PADD III","PADD 3",IF($M680="PADD IV","PADD 4",IF($M680="PADD V","PADD 5","")))))</f>
        <v>PADD 3</v>
      </c>
      <c r="G680" s="6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6" t="s">
        <v>618</v>
      </c>
      <c r="I680" s="6" t="s">
        <v>763</v>
      </c>
      <c r="J680" s="6" t="s">
        <v>398</v>
      </c>
      <c r="K680" s="10">
        <v>10.34</v>
      </c>
      <c r="L680" s="10">
        <v>11</v>
      </c>
      <c r="M680" s="6" t="s">
        <v>421</v>
      </c>
      <c r="N680" s="6">
        <f>IF(OR($G680="FCC",$G680="Hydrocracker",$G680="Reformer"),IF(COUNTIFS($D:$D,$D680,$A:$A,$A680,$B:$B,$B680,$G:$G,"CDU",$J:$J,"PLANNED")&gt;0,"tied","standalone"),"")</f>
        <v/>
      </c>
    </row>
    <row r="681" spans="1:14">
      <c r="A681" s="6">
        <v>2023</v>
      </c>
      <c r="B681" s="6">
        <v>3</v>
      </c>
      <c r="C681" s="6" t="s">
        <v>62</v>
      </c>
      <c r="D681" s="6" t="s">
        <v>764</v>
      </c>
      <c r="E681" s="6" t="s">
        <v>455</v>
      </c>
      <c r="F681" s="6" t="str">
        <f>IF($M681="PADD I","PADD 1",IF($M681="PADD II","PADD 2",IF($M681="PADD III","PADD 3",IF($M681="PADD IV","PADD 4",IF($M681="PADD V","PADD 5","")))))</f>
        <v>PADD 3</v>
      </c>
      <c r="G681" s="6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6" t="s">
        <v>494</v>
      </c>
      <c r="I681" s="6" t="s">
        <v>14</v>
      </c>
      <c r="J681" s="6" t="s">
        <v>394</v>
      </c>
      <c r="K681" s="10">
        <v>10.325</v>
      </c>
      <c r="L681" s="10">
        <v>29.5</v>
      </c>
      <c r="M681" s="6" t="s">
        <v>421</v>
      </c>
      <c r="N681" s="6" t="str">
        <f>IF(OR($G681="FCC",$G681="Hydrocracker",$G681="Reformer"),IF(COUNTIFS($D:$D,$D681,$A:$A,$A681,$B:$B,$B681,$G:$G,"CDU",$J:$J,"PLANNED")&gt;0,"tied","standalone"),"")</f>
        <v>standalone</v>
      </c>
    </row>
    <row r="682" spans="1:14">
      <c r="A682" s="6">
        <v>2023</v>
      </c>
      <c r="B682" s="6">
        <v>3</v>
      </c>
      <c r="C682" s="6" t="s">
        <v>62</v>
      </c>
      <c r="D682" s="6" t="s">
        <v>515</v>
      </c>
      <c r="E682" s="6" t="s">
        <v>419</v>
      </c>
      <c r="F682" s="6" t="str">
        <f>IF($M682="PADD I","PADD 1",IF($M682="PADD II","PADD 2",IF($M682="PADD III","PADD 3",IF($M682="PADD IV","PADD 4",IF($M682="PADD V","PADD 5","")))))</f>
        <v>PADD 5</v>
      </c>
      <c r="G682" s="6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6" t="s">
        <v>44</v>
      </c>
      <c r="I682" s="6" t="s">
        <v>714</v>
      </c>
      <c r="J682" s="6" t="s">
        <v>398</v>
      </c>
      <c r="K682" s="10">
        <v>10.15</v>
      </c>
      <c r="L682" s="10">
        <v>35</v>
      </c>
      <c r="M682" s="6" t="s">
        <v>436</v>
      </c>
      <c r="N682" s="6">
        <f>IF(OR($G682="FCC",$G682="Hydrocracker",$G682="Reformer"),IF(COUNTIFS($D:$D,$D682,$A:$A,$A682,$B:$B,$B682,$G:$G,"CDU",$J:$J,"PLANNED")&gt;0,"tied","standalone"),"")</f>
        <v/>
      </c>
    </row>
    <row r="683" spans="1:14">
      <c r="A683" s="6">
        <v>2023</v>
      </c>
      <c r="B683" s="6">
        <v>3</v>
      </c>
      <c r="C683" s="6" t="s">
        <v>62</v>
      </c>
      <c r="D683" s="6" t="s">
        <v>487</v>
      </c>
      <c r="E683" s="6" t="s">
        <v>488</v>
      </c>
      <c r="F683" s="6" t="str">
        <f>IF($M683="PADD I","PADD 1",IF($M683="PADD II","PADD 2",IF($M683="PADD III","PADD 3",IF($M683="PADD IV","PADD 4",IF($M683="PADD V","PADD 5","")))))</f>
        <v>PADD 4</v>
      </c>
      <c r="G683" s="6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6" t="s">
        <v>428</v>
      </c>
      <c r="I683" s="6" t="s">
        <v>606</v>
      </c>
      <c r="J683" s="6" t="s">
        <v>394</v>
      </c>
      <c r="K683" s="10">
        <v>10</v>
      </c>
      <c r="L683" s="10">
        <v>10</v>
      </c>
      <c r="M683" s="6" t="s">
        <v>480</v>
      </c>
      <c r="N683" s="6">
        <f>IF(OR($G683="FCC",$G683="Hydrocracker",$G683="Reformer"),IF(COUNTIFS($D:$D,$D683,$A:$A,$A683,$B:$B,$B683,$G:$G,"CDU",$J:$J,"PLANNED")&gt;0,"tied","standalone"),"")</f>
        <v/>
      </c>
    </row>
    <row r="684" spans="1:14">
      <c r="A684" s="6">
        <v>2023</v>
      </c>
      <c r="B684" s="6">
        <v>3</v>
      </c>
      <c r="C684" s="6" t="s">
        <v>62</v>
      </c>
      <c r="D684" s="6" t="s">
        <v>487</v>
      </c>
      <c r="E684" s="6" t="s">
        <v>488</v>
      </c>
      <c r="F684" s="6" t="str">
        <f>IF($M684="PADD I","PADD 1",IF($M684="PADD II","PADD 2",IF($M684="PADD III","PADD 3",IF($M684="PADD IV","PADD 4",IF($M684="PADD V","PADD 5","")))))</f>
        <v>PADD 4</v>
      </c>
      <c r="G684" s="6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6" t="s">
        <v>471</v>
      </c>
      <c r="I684" s="6" t="s">
        <v>607</v>
      </c>
      <c r="J684" s="6" t="s">
        <v>394</v>
      </c>
      <c r="K684" s="10">
        <v>10</v>
      </c>
      <c r="L684" s="10">
        <v>10</v>
      </c>
      <c r="M684" s="6" t="s">
        <v>480</v>
      </c>
      <c r="N684" s="6" t="str">
        <f>IF(OR($G684="FCC",$G684="Hydrocracker",$G684="Reformer"),IF(COUNTIFS($D:$D,$D684,$A:$A,$A684,$B:$B,$B684,$G:$G,"CDU",$J:$J,"PLANNED")&gt;0,"tied","standalone"),"")</f>
        <v>standalone</v>
      </c>
    </row>
    <row r="685" spans="1:14">
      <c r="A685" s="6">
        <v>2023</v>
      </c>
      <c r="B685" s="6">
        <v>3</v>
      </c>
      <c r="C685" s="6" t="s">
        <v>62</v>
      </c>
      <c r="D685" s="6" t="s">
        <v>512</v>
      </c>
      <c r="E685" s="6" t="s">
        <v>488</v>
      </c>
      <c r="F685" s="6" t="str">
        <f>IF($M685="PADD I","PADD 1",IF($M685="PADD II","PADD 2",IF($M685="PADD III","PADD 3",IF($M685="PADD IV","PADD 4",IF($M685="PADD V","PADD 5","")))))</f>
        <v>PADD 4</v>
      </c>
      <c r="G685" s="6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6" t="s">
        <v>44</v>
      </c>
      <c r="I685" s="6" t="s">
        <v>543</v>
      </c>
      <c r="J685" s="6" t="s">
        <v>394</v>
      </c>
      <c r="K685" s="10">
        <v>10</v>
      </c>
      <c r="L685" s="10">
        <v>10</v>
      </c>
      <c r="M685" s="6" t="s">
        <v>480</v>
      </c>
      <c r="N685" s="6">
        <f>IF(OR($G685="FCC",$G685="Hydrocracker",$G685="Reformer"),IF(COUNTIFS($D:$D,$D685,$A:$A,$A685,$B:$B,$B685,$G:$G,"CDU",$J:$J,"PLANNED")&gt;0,"tied","standalone"),"")</f>
        <v/>
      </c>
    </row>
    <row r="686" spans="1:14">
      <c r="A686" s="6">
        <v>2023</v>
      </c>
      <c r="B686" s="6">
        <v>3</v>
      </c>
      <c r="C686" s="6" t="s">
        <v>62</v>
      </c>
      <c r="D686" s="6" t="s">
        <v>512</v>
      </c>
      <c r="E686" s="6" t="s">
        <v>488</v>
      </c>
      <c r="F686" s="6" t="str">
        <f>IF($M686="PADD I","PADD 1",IF($M686="PADD II","PADD 2",IF($M686="PADD III","PADD 3",IF($M686="PADD IV","PADD 4",IF($M686="PADD V","PADD 5","")))))</f>
        <v>PADD 4</v>
      </c>
      <c r="G686" s="6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6" t="s">
        <v>44</v>
      </c>
      <c r="I686" s="6" t="s">
        <v>608</v>
      </c>
      <c r="J686" s="6" t="s">
        <v>394</v>
      </c>
      <c r="K686" s="10">
        <v>10</v>
      </c>
      <c r="L686" s="10">
        <v>10</v>
      </c>
      <c r="M686" s="6" t="s">
        <v>480</v>
      </c>
      <c r="N686" s="6">
        <f>IF(OR($G686="FCC",$G686="Hydrocracker",$G686="Reformer"),IF(COUNTIFS($D:$D,$D686,$A:$A,$A686,$B:$B,$B686,$G:$G,"CDU",$J:$J,"PLANNED")&gt;0,"tied","standalone"),"")</f>
        <v/>
      </c>
    </row>
    <row r="687" spans="1:14">
      <c r="A687" s="6">
        <v>2023</v>
      </c>
      <c r="B687" s="6">
        <v>3</v>
      </c>
      <c r="C687" s="6" t="s">
        <v>62</v>
      </c>
      <c r="D687" s="6" t="s">
        <v>512</v>
      </c>
      <c r="E687" s="6" t="s">
        <v>488</v>
      </c>
      <c r="F687" s="6" t="str">
        <f>IF($M687="PADD I","PADD 1",IF($M687="PADD II","PADD 2",IF($M687="PADD III","PADD 3",IF($M687="PADD IV","PADD 4",IF($M687="PADD V","PADD 5","")))))</f>
        <v>PADD 4</v>
      </c>
      <c r="G687" s="6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6" t="s">
        <v>471</v>
      </c>
      <c r="I687" s="6" t="s">
        <v>609</v>
      </c>
      <c r="J687" s="6" t="s">
        <v>394</v>
      </c>
      <c r="K687" s="10">
        <v>10</v>
      </c>
      <c r="L687" s="10">
        <v>10</v>
      </c>
      <c r="M687" s="6" t="s">
        <v>480</v>
      </c>
      <c r="N687" s="6" t="str">
        <f>IF(OR($G687="FCC",$G687="Hydrocracker",$G687="Reformer"),IF(COUNTIFS($D:$D,$D687,$A:$A,$A687,$B:$B,$B687,$G:$G,"CDU",$J:$J,"PLANNED")&gt;0,"tied","standalone"),"")</f>
        <v>standalone</v>
      </c>
    </row>
    <row r="688" spans="1:14">
      <c r="A688" s="6">
        <v>2023</v>
      </c>
      <c r="B688" s="6">
        <v>3</v>
      </c>
      <c r="C688" s="6" t="s">
        <v>62</v>
      </c>
      <c r="D688" s="6" t="s">
        <v>452</v>
      </c>
      <c r="E688" s="6" t="s">
        <v>453</v>
      </c>
      <c r="F688" s="6" t="str">
        <f>IF($M688="PADD I","PADD 1",IF($M688="PADD II","PADD 2",IF($M688="PADD III","PADD 3",IF($M688="PADD IV","PADD 4",IF($M688="PADD V","PADD 5","")))))</f>
        <v>PADD 3</v>
      </c>
      <c r="G688" s="6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6" t="s">
        <v>44</v>
      </c>
      <c r="I688" s="6" t="s">
        <v>557</v>
      </c>
      <c r="J688" s="6" t="s">
        <v>398</v>
      </c>
      <c r="K688" s="10">
        <v>9.9</v>
      </c>
      <c r="L688" s="10">
        <v>22</v>
      </c>
      <c r="M688" s="6" t="s">
        <v>421</v>
      </c>
      <c r="N688" s="6">
        <f>IF(OR($G688="FCC",$G688="Hydrocracker",$G688="Reformer"),IF(COUNTIFS($D:$D,$D688,$A:$A,$A688,$B:$B,$B688,$G:$G,"CDU",$J:$J,"PLANNED")&gt;0,"tied","standalone"),"")</f>
        <v/>
      </c>
    </row>
    <row r="689" spans="1:14">
      <c r="A689" s="6">
        <v>2023</v>
      </c>
      <c r="B689" s="6">
        <v>3</v>
      </c>
      <c r="C689" s="6" t="s">
        <v>62</v>
      </c>
      <c r="D689" s="6" t="s">
        <v>452</v>
      </c>
      <c r="E689" s="6" t="s">
        <v>453</v>
      </c>
      <c r="F689" s="6" t="str">
        <f>IF($M689="PADD I","PADD 1",IF($M689="PADD II","PADD 2",IF($M689="PADD III","PADD 3",IF($M689="PADD IV","PADD 4",IF($M689="PADD V","PADD 5","")))))</f>
        <v>PADD 3</v>
      </c>
      <c r="G689" s="6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6" t="s">
        <v>44</v>
      </c>
      <c r="I689" s="6" t="s">
        <v>558</v>
      </c>
      <c r="J689" s="6" t="s">
        <v>398</v>
      </c>
      <c r="K689" s="10">
        <v>9.9</v>
      </c>
      <c r="L689" s="10">
        <v>22</v>
      </c>
      <c r="M689" s="6" t="s">
        <v>421</v>
      </c>
      <c r="N689" s="6">
        <f>IF(OR($G689="FCC",$G689="Hydrocracker",$G689="Reformer"),IF(COUNTIFS($D:$D,$D689,$A:$A,$A689,$B:$B,$B689,$G:$G,"CDU",$J:$J,"PLANNED")&gt;0,"tied","standalone"),"")</f>
        <v/>
      </c>
    </row>
    <row r="690" spans="1:14">
      <c r="A690" s="6">
        <v>2023</v>
      </c>
      <c r="B690" s="6">
        <v>3</v>
      </c>
      <c r="C690" s="6" t="s">
        <v>62</v>
      </c>
      <c r="D690" s="6" t="s">
        <v>652</v>
      </c>
      <c r="E690" s="6" t="s">
        <v>419</v>
      </c>
      <c r="F690" s="6" t="str">
        <f>IF($M690="PADD I","PADD 1",IF($M690="PADD II","PADD 2",IF($M690="PADD III","PADD 3",IF($M690="PADD IV","PADD 4",IF($M690="PADD V","PADD 5","")))))</f>
        <v>PADD 2</v>
      </c>
      <c r="G690" s="6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6" t="s">
        <v>39</v>
      </c>
      <c r="I690" s="6" t="s">
        <v>711</v>
      </c>
      <c r="J690" s="6" t="s">
        <v>394</v>
      </c>
      <c r="K690" s="10">
        <v>9.880000000000001</v>
      </c>
      <c r="L690" s="10">
        <v>38</v>
      </c>
      <c r="M690" s="6" t="s">
        <v>425</v>
      </c>
      <c r="N690" s="6">
        <f>IF(OR($G690="FCC",$G690="Hydrocracker",$G690="Reformer"),IF(COUNTIFS($D:$D,$D690,$A:$A,$A690,$B:$B,$B690,$G:$G,"CDU",$J:$J,"PLANNED")&gt;0,"tied","standalone"),"")</f>
        <v/>
      </c>
    </row>
    <row r="691" spans="1:14">
      <c r="A691" s="6">
        <v>2023</v>
      </c>
      <c r="B691" s="6">
        <v>3</v>
      </c>
      <c r="C691" s="6" t="s">
        <v>62</v>
      </c>
      <c r="D691" s="6" t="s">
        <v>445</v>
      </c>
      <c r="E691" s="6" t="s">
        <v>446</v>
      </c>
      <c r="F691" s="6" t="str">
        <f>IF($M691="PADD I","PADD 1",IF($M691="PADD II","PADD 2",IF($M691="PADD III","PADD 3",IF($M691="PADD IV","PADD 4",IF($M691="PADD V","PADD 5","")))))</f>
        <v>PADD 3</v>
      </c>
      <c r="G691" s="6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6" t="s">
        <v>471</v>
      </c>
      <c r="I691" s="6" t="s">
        <v>590</v>
      </c>
      <c r="J691" s="6" t="s">
        <v>394</v>
      </c>
      <c r="K691" s="10">
        <v>9.6</v>
      </c>
      <c r="L691" s="10">
        <v>30</v>
      </c>
      <c r="M691" s="6" t="s">
        <v>421</v>
      </c>
      <c r="N691" s="6" t="str">
        <f>IF(OR($G691="FCC",$G691="Hydrocracker",$G691="Reformer"),IF(COUNTIFS($D:$D,$D691,$A:$A,$A691,$B:$B,$B691,$G:$G,"CDU",$J:$J,"PLANNED")&gt;0,"tied","standalone"),"")</f>
        <v>standalone</v>
      </c>
    </row>
    <row r="692" spans="1:14">
      <c r="A692" s="6">
        <v>2023</v>
      </c>
      <c r="B692" s="6">
        <v>3</v>
      </c>
      <c r="C692" s="6" t="s">
        <v>62</v>
      </c>
      <c r="D692" s="6" t="s">
        <v>452</v>
      </c>
      <c r="E692" s="6" t="s">
        <v>453</v>
      </c>
      <c r="F692" s="6" t="str">
        <f>IF($M692="PADD I","PADD 1",IF($M692="PADD II","PADD 2",IF($M692="PADD III","PADD 3",IF($M692="PADD IV","PADD 4",IF($M692="PADD V","PADD 5","")))))</f>
        <v>PADD 3</v>
      </c>
      <c r="G692" s="6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6" t="s">
        <v>44</v>
      </c>
      <c r="I692" s="6" t="s">
        <v>543</v>
      </c>
      <c r="J692" s="6" t="s">
        <v>398</v>
      </c>
      <c r="K692" s="10">
        <v>9.449999999999999</v>
      </c>
      <c r="L692" s="10">
        <v>21</v>
      </c>
      <c r="M692" s="6" t="s">
        <v>421</v>
      </c>
      <c r="N692" s="6">
        <f>IF(OR($G692="FCC",$G692="Hydrocracker",$G692="Reformer"),IF(COUNTIFS($D:$D,$D692,$A:$A,$A692,$B:$B,$B692,$G:$G,"CDU",$J:$J,"PLANNED")&gt;0,"tied","standalone"),"")</f>
        <v/>
      </c>
    </row>
    <row r="693" spans="1:14">
      <c r="A693" s="6">
        <v>2023</v>
      </c>
      <c r="B693" s="6">
        <v>3</v>
      </c>
      <c r="C693" s="6" t="s">
        <v>62</v>
      </c>
      <c r="D693" s="6" t="s">
        <v>375</v>
      </c>
      <c r="E693" s="6" t="s">
        <v>435</v>
      </c>
      <c r="F693" s="6" t="str">
        <f>IF($M693="PADD I","PADD 1",IF($M693="PADD II","PADD 2",IF($M693="PADD III","PADD 3",IF($M693="PADD IV","PADD 4",IF($M693="PADD V","PADD 5","")))))</f>
        <v>PADD 5</v>
      </c>
      <c r="G693" s="6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6" t="s">
        <v>39</v>
      </c>
      <c r="I693" s="6" t="s">
        <v>94</v>
      </c>
      <c r="J693" s="6" t="s">
        <v>398</v>
      </c>
      <c r="K693" s="10">
        <v>9.300000000000001</v>
      </c>
      <c r="L693" s="10">
        <v>155</v>
      </c>
      <c r="M693" s="6" t="s">
        <v>436</v>
      </c>
      <c r="N693" s="6">
        <f>IF(OR($G693="FCC",$G693="Hydrocracker",$G693="Reformer"),IF(COUNTIFS($D:$D,$D693,$A:$A,$A693,$B:$B,$B693,$G:$G,"CDU",$J:$J,"PLANNED")&gt;0,"tied","standalone"),"")</f>
        <v/>
      </c>
    </row>
    <row r="694" spans="1:14">
      <c r="A694" s="6">
        <v>2023</v>
      </c>
      <c r="B694" s="6">
        <v>3</v>
      </c>
      <c r="C694" s="6" t="s">
        <v>62</v>
      </c>
      <c r="D694" s="6" t="s">
        <v>470</v>
      </c>
      <c r="E694" s="6" t="s">
        <v>423</v>
      </c>
      <c r="F694" s="6" t="str">
        <f>IF($M694="PADD I","PADD 1",IF($M694="PADD II","PADD 2",IF($M694="PADD III","PADD 3",IF($M694="PADD IV","PADD 4",IF($M694="PADD V","PADD 5","")))))</f>
        <v>PADD 2</v>
      </c>
      <c r="G694" s="6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6" t="s">
        <v>573</v>
      </c>
      <c r="I694" s="6" t="s">
        <v>574</v>
      </c>
      <c r="J694" s="6" t="s">
        <v>394</v>
      </c>
      <c r="K694" s="10">
        <v>9.18</v>
      </c>
      <c r="L694" s="10">
        <v>13.5</v>
      </c>
      <c r="M694" s="6" t="s">
        <v>425</v>
      </c>
      <c r="N694" s="6">
        <f>IF(OR($G694="FCC",$G694="Hydrocracker",$G694="Reformer"),IF(COUNTIFS($D:$D,$D694,$A:$A,$A694,$B:$B,$B694,$G:$G,"CDU",$J:$J,"PLANNED")&gt;0,"tied","standalone"),"")</f>
        <v/>
      </c>
    </row>
    <row r="695" spans="1:14">
      <c r="A695" s="6">
        <v>2023</v>
      </c>
      <c r="B695" s="6">
        <v>3</v>
      </c>
      <c r="C695" s="6" t="s">
        <v>62</v>
      </c>
      <c r="D695" s="6" t="s">
        <v>452</v>
      </c>
      <c r="E695" s="6" t="s">
        <v>453</v>
      </c>
      <c r="F695" s="6" t="str">
        <f>IF($M695="PADD I","PADD 1",IF($M695="PADD II","PADD 2",IF($M695="PADD III","PADD 3",IF($M695="PADD IV","PADD 4",IF($M695="PADD V","PADD 5","")))))</f>
        <v>PADD 3</v>
      </c>
      <c r="G695" s="6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6" t="s">
        <v>426</v>
      </c>
      <c r="I695" s="6" t="s">
        <v>106</v>
      </c>
      <c r="J695" s="6" t="s">
        <v>398</v>
      </c>
      <c r="K695" s="10">
        <v>9.09</v>
      </c>
      <c r="L695" s="10">
        <v>20.2</v>
      </c>
      <c r="M695" s="6" t="s">
        <v>421</v>
      </c>
      <c r="N695" s="6" t="str">
        <f>IF(OR($G695="FCC",$G695="Hydrocracker",$G695="Reformer"),IF(COUNTIFS($D:$D,$D695,$A:$A,$A695,$B:$B,$B695,$G:$G,"CDU",$J:$J,"PLANNED")&gt;0,"tied","standalone"),"")</f>
        <v>tied</v>
      </c>
    </row>
    <row r="696" spans="1:14">
      <c r="A696" s="6">
        <v>2023</v>
      </c>
      <c r="B696" s="6">
        <v>3</v>
      </c>
      <c r="C696" s="6" t="s">
        <v>62</v>
      </c>
      <c r="D696" s="6" t="s">
        <v>452</v>
      </c>
      <c r="E696" s="6" t="s">
        <v>453</v>
      </c>
      <c r="F696" s="6" t="str">
        <f>IF($M696="PADD I","PADD 1",IF($M696="PADD II","PADD 2",IF($M696="PADD III","PADD 3",IF($M696="PADD IV","PADD 4",IF($M696="PADD V","PADD 5","")))))</f>
        <v>PADD 3</v>
      </c>
      <c r="G696" s="6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6" t="s">
        <v>428</v>
      </c>
      <c r="I696" s="6" t="s">
        <v>563</v>
      </c>
      <c r="J696" s="6" t="s">
        <v>398</v>
      </c>
      <c r="K696" s="10">
        <v>9</v>
      </c>
      <c r="L696" s="10">
        <v>20</v>
      </c>
      <c r="M696" s="6" t="s">
        <v>421</v>
      </c>
      <c r="N696" s="6">
        <f>IF(OR($G696="FCC",$G696="Hydrocracker",$G696="Reformer"),IF(COUNTIFS($D:$D,$D696,$A:$A,$A696,$B:$B,$B696,$G:$G,"CDU",$J:$J,"PLANNED")&gt;0,"tied","standalone"),"")</f>
        <v/>
      </c>
    </row>
    <row r="697" spans="1:14">
      <c r="A697" s="6">
        <v>2023</v>
      </c>
      <c r="B697" s="6">
        <v>3</v>
      </c>
      <c r="C697" s="6" t="s">
        <v>62</v>
      </c>
      <c r="D697" s="6" t="s">
        <v>51</v>
      </c>
      <c r="E697" s="6" t="s">
        <v>431</v>
      </c>
      <c r="F697" s="6" t="str">
        <f>IF($M697="PADD I","PADD 1",IF($M697="PADD II","PADD 2",IF($M697="PADD III","PADD 3",IF($M697="PADD IV","PADD 4",IF($M697="PADD V","PADD 5","")))))</f>
        <v>PADD 3</v>
      </c>
      <c r="G697" s="6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6" t="s">
        <v>510</v>
      </c>
      <c r="I697" s="6" t="s">
        <v>670</v>
      </c>
      <c r="J697" s="6" t="s">
        <v>398</v>
      </c>
      <c r="K697" s="10">
        <v>8.82</v>
      </c>
      <c r="L697" s="10">
        <v>21</v>
      </c>
      <c r="M697" s="6" t="s">
        <v>421</v>
      </c>
      <c r="N697" s="6">
        <f>IF(OR($G697="FCC",$G697="Hydrocracker",$G697="Reformer"),IF(COUNTIFS($D:$D,$D697,$A:$A,$A697,$B:$B,$B697,$G:$G,"CDU",$J:$J,"PLANNED")&gt;0,"tied","standalone"),"")</f>
        <v/>
      </c>
    </row>
    <row r="698" spans="1:14">
      <c r="A698" s="6">
        <v>2023</v>
      </c>
      <c r="B698" s="6">
        <v>3</v>
      </c>
      <c r="C698" s="6" t="s">
        <v>62</v>
      </c>
      <c r="D698" s="6" t="s">
        <v>561</v>
      </c>
      <c r="E698" s="6" t="s">
        <v>455</v>
      </c>
      <c r="F698" s="6" t="str">
        <f>IF($M698="PADD I","PADD 1",IF($M698="PADD II","PADD 2",IF($M698="PADD III","PADD 3",IF($M698="PADD IV","PADD 4",IF($M698="PADD V","PADD 5","")))))</f>
        <v>PADD 3</v>
      </c>
      <c r="G698" s="6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6" t="s">
        <v>44</v>
      </c>
      <c r="I698" s="6" t="s">
        <v>655</v>
      </c>
      <c r="J698" s="6" t="s">
        <v>398</v>
      </c>
      <c r="K698" s="10">
        <v>8.75</v>
      </c>
      <c r="L698" s="10">
        <v>25</v>
      </c>
      <c r="M698" s="6" t="s">
        <v>421</v>
      </c>
      <c r="N698" s="6">
        <f>IF(OR($G698="FCC",$G698="Hydrocracker",$G698="Reformer"),IF(COUNTIFS($D:$D,$D698,$A:$A,$A698,$B:$B,$B698,$G:$G,"CDU",$J:$J,"PLANNED")&gt;0,"tied","standalone"),"")</f>
        <v/>
      </c>
    </row>
    <row r="699" spans="1:14">
      <c r="A699" s="6">
        <v>2023</v>
      </c>
      <c r="B699" s="6">
        <v>3</v>
      </c>
      <c r="C699" s="6" t="s">
        <v>62</v>
      </c>
      <c r="D699" s="6" t="s">
        <v>487</v>
      </c>
      <c r="E699" s="6" t="s">
        <v>488</v>
      </c>
      <c r="F699" s="6" t="str">
        <f>IF($M699="PADD I","PADD 1",IF($M699="PADD II","PADD 2",IF($M699="PADD III","PADD 3",IF($M699="PADD IV","PADD 4",IF($M699="PADD V","PADD 5","")))))</f>
        <v>PADD 4</v>
      </c>
      <c r="G699" s="6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6" t="s">
        <v>426</v>
      </c>
      <c r="I699" s="6" t="s">
        <v>478</v>
      </c>
      <c r="J699" s="6" t="s">
        <v>394</v>
      </c>
      <c r="K699" s="10">
        <v>8.5</v>
      </c>
      <c r="L699" s="10">
        <v>8.5</v>
      </c>
      <c r="M699" s="6" t="s">
        <v>480</v>
      </c>
      <c r="N699" s="6" t="str">
        <f>IF(OR($G699="FCC",$G699="Hydrocracker",$G699="Reformer"),IF(COUNTIFS($D:$D,$D699,$A:$A,$A699,$B:$B,$B699,$G:$G,"CDU",$J:$J,"PLANNED")&gt;0,"tied","standalone"),"")</f>
        <v>standalone</v>
      </c>
    </row>
    <row r="700" spans="1:14">
      <c r="A700" s="6">
        <v>2023</v>
      </c>
      <c r="B700" s="6">
        <v>3</v>
      </c>
      <c r="C700" s="6" t="s">
        <v>62</v>
      </c>
      <c r="D700" s="6" t="s">
        <v>765</v>
      </c>
      <c r="E700" s="6" t="s">
        <v>766</v>
      </c>
      <c r="F700" s="6" t="str">
        <f>IF($M700="PADD I","PADD 1",IF($M700="PADD II","PADD 2",IF($M700="PADD III","PADD 3",IF($M700="PADD IV","PADD 4",IF($M700="PADD V","PADD 5","")))))</f>
        <v>PADD 2</v>
      </c>
      <c r="G700" s="6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6" t="s">
        <v>44</v>
      </c>
      <c r="I700" s="6" t="s">
        <v>767</v>
      </c>
      <c r="J700" s="6" t="s">
        <v>398</v>
      </c>
      <c r="K700" s="10">
        <v>8.25</v>
      </c>
      <c r="L700" s="10">
        <v>15</v>
      </c>
      <c r="M700" s="6" t="s">
        <v>425</v>
      </c>
      <c r="N700" s="6">
        <f>IF(OR($G700="FCC",$G700="Hydrocracker",$G700="Reformer"),IF(COUNTIFS($D:$D,$D700,$A:$A,$A700,$B:$B,$B700,$G:$G,"CDU",$J:$J,"PLANNED")&gt;0,"tied","standalone"),"")</f>
        <v/>
      </c>
    </row>
    <row r="701" spans="1:14">
      <c r="A701" s="6">
        <v>2023</v>
      </c>
      <c r="B701" s="6">
        <v>3</v>
      </c>
      <c r="C701" s="6" t="s">
        <v>62</v>
      </c>
      <c r="D701" s="6" t="s">
        <v>768</v>
      </c>
      <c r="E701" s="6" t="s">
        <v>455</v>
      </c>
      <c r="F701" s="6" t="str">
        <f>IF($M701="PADD I","PADD 1",IF($M701="PADD II","PADD 2",IF($M701="PADD III","PADD 3",IF($M701="PADD IV","PADD 4",IF($M701="PADD V","PADD 5","")))))</f>
        <v>PADD 5</v>
      </c>
      <c r="G701" s="6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6" t="s">
        <v>428</v>
      </c>
      <c r="I701" s="6" t="s">
        <v>481</v>
      </c>
      <c r="J701" s="6" t="s">
        <v>394</v>
      </c>
      <c r="K701" s="10">
        <v>8.199999999999999</v>
      </c>
      <c r="L701" s="10">
        <v>82</v>
      </c>
      <c r="M701" s="6" t="s">
        <v>436</v>
      </c>
      <c r="N701" s="6">
        <f>IF(OR($G701="FCC",$G701="Hydrocracker",$G701="Reformer"),IF(COUNTIFS($D:$D,$D701,$A:$A,$A701,$B:$B,$B701,$G:$G,"CDU",$J:$J,"PLANNED")&gt;0,"tied","standalone"),"")</f>
        <v/>
      </c>
    </row>
    <row r="702" spans="1:14">
      <c r="A702" s="6">
        <v>2023</v>
      </c>
      <c r="B702" s="6">
        <v>3</v>
      </c>
      <c r="C702" s="6" t="s">
        <v>62</v>
      </c>
      <c r="D702" s="6" t="s">
        <v>725</v>
      </c>
      <c r="E702" s="6" t="s">
        <v>502</v>
      </c>
      <c r="F702" s="6" t="str">
        <f>IF($M702="PADD I","PADD 1",IF($M702="PADD II","PADD 2",IF($M702="PADD III","PADD 3",IF($M702="PADD IV","PADD 4",IF($M702="PADD V","PADD 5","")))))</f>
        <v>PADD 2</v>
      </c>
      <c r="G702" s="6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6" t="s">
        <v>44</v>
      </c>
      <c r="I702" s="6" t="s">
        <v>769</v>
      </c>
      <c r="J702" s="6" t="s">
        <v>398</v>
      </c>
      <c r="K702" s="10">
        <v>8.1</v>
      </c>
      <c r="L702" s="10">
        <v>10</v>
      </c>
      <c r="M702" s="6" t="s">
        <v>425</v>
      </c>
      <c r="N702" s="6">
        <f>IF(OR($G702="FCC",$G702="Hydrocracker",$G702="Reformer"),IF(COUNTIFS($D:$D,$D702,$A:$A,$A702,$B:$B,$B702,$G:$G,"CDU",$J:$J,"PLANNED")&gt;0,"tied","standalone"),"")</f>
        <v/>
      </c>
    </row>
    <row r="703" spans="1:14">
      <c r="A703" s="6">
        <v>2023</v>
      </c>
      <c r="B703" s="6">
        <v>3</v>
      </c>
      <c r="C703" s="6" t="s">
        <v>62</v>
      </c>
      <c r="D703" s="6" t="s">
        <v>470</v>
      </c>
      <c r="E703" s="6" t="s">
        <v>423</v>
      </c>
      <c r="F703" s="6" t="str">
        <f>IF($M703="PADD I","PADD 1",IF($M703="PADD II","PADD 2",IF($M703="PADD III","PADD 3",IF($M703="PADD IV","PADD 4",IF($M703="PADD V","PADD 5","")))))</f>
        <v>PADD 2</v>
      </c>
      <c r="G703" s="6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6" t="s">
        <v>471</v>
      </c>
      <c r="I703" s="6" t="s">
        <v>621</v>
      </c>
      <c r="J703" s="6" t="s">
        <v>394</v>
      </c>
      <c r="K703" s="10">
        <v>8</v>
      </c>
      <c r="L703" s="10">
        <v>8</v>
      </c>
      <c r="M703" s="6" t="s">
        <v>425</v>
      </c>
      <c r="N703" s="6" t="str">
        <f>IF(OR($G703="FCC",$G703="Hydrocracker",$G703="Reformer"),IF(COUNTIFS($D:$D,$D703,$A:$A,$A703,$B:$B,$B703,$G:$G,"CDU",$J:$J,"PLANNED")&gt;0,"tied","standalone"),"")</f>
        <v>standalone</v>
      </c>
    </row>
    <row r="704" spans="1:14">
      <c r="A704" s="6">
        <v>2023</v>
      </c>
      <c r="B704" s="6">
        <v>3</v>
      </c>
      <c r="C704" s="6" t="s">
        <v>62</v>
      </c>
      <c r="D704" s="6" t="s">
        <v>452</v>
      </c>
      <c r="E704" s="6" t="s">
        <v>453</v>
      </c>
      <c r="F704" s="6" t="str">
        <f>IF($M704="PADD I","PADD 1",IF($M704="PADD II","PADD 2",IF($M704="PADD III","PADD 3",IF($M704="PADD IV","PADD 4",IF($M704="PADD V","PADD 5","")))))</f>
        <v>PADD 3</v>
      </c>
      <c r="G704" s="6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6" t="s">
        <v>471</v>
      </c>
      <c r="I704" s="6" t="s">
        <v>575</v>
      </c>
      <c r="J704" s="6" t="s">
        <v>398</v>
      </c>
      <c r="K704" s="10">
        <v>7.875</v>
      </c>
      <c r="L704" s="10">
        <v>17.5</v>
      </c>
      <c r="M704" s="6" t="s">
        <v>421</v>
      </c>
      <c r="N704" s="6" t="str">
        <f>IF(OR($G704="FCC",$G704="Hydrocracker",$G704="Reformer"),IF(COUNTIFS($D:$D,$D704,$A:$A,$A704,$B:$B,$B704,$G:$G,"CDU",$J:$J,"PLANNED")&gt;0,"tied","standalone"),"")</f>
        <v>tied</v>
      </c>
    </row>
    <row r="705" spans="1:14">
      <c r="A705" s="6">
        <v>2023</v>
      </c>
      <c r="B705" s="6">
        <v>3</v>
      </c>
      <c r="C705" s="6" t="s">
        <v>62</v>
      </c>
      <c r="D705" s="6" t="s">
        <v>470</v>
      </c>
      <c r="E705" s="6" t="s">
        <v>423</v>
      </c>
      <c r="F705" s="6" t="str">
        <f>IF($M705="PADD I","PADD 1",IF($M705="PADD II","PADD 2",IF($M705="PADD III","PADD 3",IF($M705="PADD IV","PADD 4",IF($M705="PADD V","PADD 5","")))))</f>
        <v>PADD 2</v>
      </c>
      <c r="G705" s="6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6" t="s">
        <v>44</v>
      </c>
      <c r="I705" s="6" t="s">
        <v>627</v>
      </c>
      <c r="J705" s="6" t="s">
        <v>394</v>
      </c>
      <c r="K705" s="10">
        <v>7.7</v>
      </c>
      <c r="L705" s="10">
        <v>7.7</v>
      </c>
      <c r="M705" s="6" t="s">
        <v>425</v>
      </c>
      <c r="N705" s="6">
        <f>IF(OR($G705="FCC",$G705="Hydrocracker",$G705="Reformer"),IF(COUNTIFS($D:$D,$D705,$A:$A,$A705,$B:$B,$B705,$G:$G,"CDU",$J:$J,"PLANNED")&gt;0,"tied","standalone"),"")</f>
        <v/>
      </c>
    </row>
    <row r="706" spans="1:14">
      <c r="A706" s="6">
        <v>2023</v>
      </c>
      <c r="B706" s="6">
        <v>3</v>
      </c>
      <c r="C706" s="6" t="s">
        <v>62</v>
      </c>
      <c r="D706" s="6" t="s">
        <v>49</v>
      </c>
      <c r="E706" s="6" t="s">
        <v>438</v>
      </c>
      <c r="F706" s="6" t="str">
        <f>IF($M706="PADD I","PADD 1",IF($M706="PADD II","PADD 2",IF($M706="PADD III","PADD 3",IF($M706="PADD IV","PADD 4",IF($M706="PADD V","PADD 5","")))))</f>
        <v>PADD 2</v>
      </c>
      <c r="G706" s="6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6" t="s">
        <v>39</v>
      </c>
      <c r="I706" s="6" t="s">
        <v>770</v>
      </c>
      <c r="J706" s="6" t="s">
        <v>394</v>
      </c>
      <c r="K706" s="10">
        <v>7.65</v>
      </c>
      <c r="L706" s="10">
        <v>255</v>
      </c>
      <c r="M706" s="6" t="s">
        <v>425</v>
      </c>
      <c r="N706" s="6">
        <f>IF(OR($G706="FCC",$G706="Hydrocracker",$G706="Reformer"),IF(COUNTIFS($D:$D,$D706,$A:$A,$A706,$B:$B,$B706,$G:$G,"CDU",$J:$J,"PLANNED")&gt;0,"tied","standalone"),"")</f>
        <v/>
      </c>
    </row>
    <row r="707" spans="1:14">
      <c r="A707" s="6">
        <v>2023</v>
      </c>
      <c r="B707" s="6">
        <v>3</v>
      </c>
      <c r="C707" s="6" t="s">
        <v>62</v>
      </c>
      <c r="D707" s="6" t="s">
        <v>470</v>
      </c>
      <c r="E707" s="6" t="s">
        <v>423</v>
      </c>
      <c r="F707" s="6" t="str">
        <f>IF($M707="PADD I","PADD 1",IF($M707="PADD II","PADD 2",IF($M707="PADD III","PADD 3",IF($M707="PADD IV","PADD 4",IF($M707="PADD V","PADD 5","")))))</f>
        <v>PADD 2</v>
      </c>
      <c r="G707" s="6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6" t="s">
        <v>44</v>
      </c>
      <c r="I707" s="6" t="s">
        <v>508</v>
      </c>
      <c r="J707" s="6" t="s">
        <v>394</v>
      </c>
      <c r="K707" s="10">
        <v>7.5</v>
      </c>
      <c r="L707" s="10">
        <v>7.5</v>
      </c>
      <c r="M707" s="6" t="s">
        <v>425</v>
      </c>
      <c r="N707" s="6">
        <f>IF(OR($G707="FCC",$G707="Hydrocracker",$G707="Reformer"),IF(COUNTIFS($D:$D,$D707,$A:$A,$A707,$B:$B,$B707,$G:$G,"CDU",$J:$J,"PLANNED")&gt;0,"tied","standalone"),"")</f>
        <v/>
      </c>
    </row>
    <row r="708" spans="1:14">
      <c r="A708" s="6">
        <v>2023</v>
      </c>
      <c r="B708" s="6">
        <v>3</v>
      </c>
      <c r="C708" s="6" t="s">
        <v>62</v>
      </c>
      <c r="D708" s="6" t="s">
        <v>487</v>
      </c>
      <c r="E708" s="6" t="s">
        <v>488</v>
      </c>
      <c r="F708" s="6" t="str">
        <f>IF($M708="PADD I","PADD 1",IF($M708="PADD II","PADD 2",IF($M708="PADD III","PADD 3",IF($M708="PADD IV","PADD 4",IF($M708="PADD V","PADD 5","")))))</f>
        <v>PADD 4</v>
      </c>
      <c r="G708" s="6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6" t="s">
        <v>39</v>
      </c>
      <c r="I708" s="6" t="s">
        <v>489</v>
      </c>
      <c r="J708" s="6" t="s">
        <v>394</v>
      </c>
      <c r="K708" s="10">
        <v>7.41</v>
      </c>
      <c r="L708" s="10">
        <v>39</v>
      </c>
      <c r="M708" s="6" t="s">
        <v>480</v>
      </c>
      <c r="N708" s="6">
        <f>IF(OR($G708="FCC",$G708="Hydrocracker",$G708="Reformer"),IF(COUNTIFS($D:$D,$D708,$A:$A,$A708,$B:$B,$B708,$G:$G,"CDU",$J:$J,"PLANNED")&gt;0,"tied","standalone"),"")</f>
        <v/>
      </c>
    </row>
    <row r="709" spans="1:14">
      <c r="A709" s="6">
        <v>2023</v>
      </c>
      <c r="B709" s="6">
        <v>3</v>
      </c>
      <c r="C709" s="6" t="s">
        <v>62</v>
      </c>
      <c r="D709" s="6" t="s">
        <v>49</v>
      </c>
      <c r="E709" s="6" t="s">
        <v>438</v>
      </c>
      <c r="F709" s="6" t="str">
        <f>IF($M709="PADD I","PADD 1",IF($M709="PADD II","PADD 2",IF($M709="PADD III","PADD 3",IF($M709="PADD IV","PADD 4",IF($M709="PADD V","PADD 5","")))))</f>
        <v>PADD 2</v>
      </c>
      <c r="G709" s="6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6" t="s">
        <v>471</v>
      </c>
      <c r="I709" s="6" t="s">
        <v>771</v>
      </c>
      <c r="J709" s="6" t="s">
        <v>398</v>
      </c>
      <c r="K709" s="10">
        <v>7.315</v>
      </c>
      <c r="L709" s="10">
        <v>38.5</v>
      </c>
      <c r="M709" s="6" t="s">
        <v>425</v>
      </c>
      <c r="N709" s="6" t="str">
        <f>IF(OR($G709="FCC",$G709="Hydrocracker",$G709="Reformer"),IF(COUNTIFS($D:$D,$D709,$A:$A,$A709,$B:$B,$B709,$G:$G,"CDU",$J:$J,"PLANNED")&gt;0,"tied","standalone"),"")</f>
        <v>tied</v>
      </c>
    </row>
    <row r="710" spans="1:14">
      <c r="A710" s="6">
        <v>2023</v>
      </c>
      <c r="B710" s="6">
        <v>3</v>
      </c>
      <c r="C710" s="6" t="s">
        <v>62</v>
      </c>
      <c r="D710" s="6" t="s">
        <v>772</v>
      </c>
      <c r="E710" s="6" t="s">
        <v>502</v>
      </c>
      <c r="F710" s="6" t="str">
        <f>IF($M710="PADD I","PADD 1",IF($M710="PADD II","PADD 2",IF($M710="PADD III","PADD 3",IF($M710="PADD IV","PADD 4",IF($M710="PADD V","PADD 5","")))))</f>
        <v>PADD 4</v>
      </c>
      <c r="G710" s="6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6" t="s">
        <v>39</v>
      </c>
      <c r="I710" s="6" t="s">
        <v>82</v>
      </c>
      <c r="J710" s="6" t="s">
        <v>398</v>
      </c>
      <c r="K710" s="10">
        <v>7.2</v>
      </c>
      <c r="L710" s="10">
        <v>15</v>
      </c>
      <c r="M710" s="6" t="s">
        <v>480</v>
      </c>
      <c r="N710" s="6">
        <f>IF(OR($G710="FCC",$G710="Hydrocracker",$G710="Reformer"),IF(COUNTIFS($D:$D,$D710,$A:$A,$A710,$B:$B,$B710,$G:$G,"CDU",$J:$J,"PLANNED")&gt;0,"tied","standalone"),"")</f>
        <v/>
      </c>
    </row>
    <row r="711" spans="1:14">
      <c r="A711" s="6">
        <v>2023</v>
      </c>
      <c r="B711" s="6">
        <v>3</v>
      </c>
      <c r="C711" s="6" t="s">
        <v>62</v>
      </c>
      <c r="D711" s="6" t="s">
        <v>496</v>
      </c>
      <c r="E711" s="6" t="s">
        <v>441</v>
      </c>
      <c r="F711" s="6" t="str">
        <f>IF($M711="PADD I","PADD 1",IF($M711="PADD II","PADD 2",IF($M711="PADD III","PADD 3",IF($M711="PADD IV","PADD 4",IF($M711="PADD V","PADD 5","")))))</f>
        <v>PADD 3</v>
      </c>
      <c r="G711" s="6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6" t="s">
        <v>510</v>
      </c>
      <c r="I711" s="6" t="s">
        <v>630</v>
      </c>
      <c r="J711" s="6" t="s">
        <v>394</v>
      </c>
      <c r="K711" s="10">
        <v>7.2</v>
      </c>
      <c r="L711" s="10">
        <v>7.2</v>
      </c>
      <c r="M711" s="6" t="s">
        <v>421</v>
      </c>
      <c r="N711" s="6">
        <f>IF(OR($G711="FCC",$G711="Hydrocracker",$G711="Reformer"),IF(COUNTIFS($D:$D,$D711,$A:$A,$A711,$B:$B,$B711,$G:$G,"CDU",$J:$J,"PLANNED")&gt;0,"tied","standalone"),"")</f>
        <v/>
      </c>
    </row>
    <row r="712" spans="1:14">
      <c r="A712" s="6">
        <v>2023</v>
      </c>
      <c r="B712" s="6">
        <v>3</v>
      </c>
      <c r="C712" s="6" t="s">
        <v>62</v>
      </c>
      <c r="D712" s="6" t="s">
        <v>773</v>
      </c>
      <c r="E712" s="6" t="s">
        <v>774</v>
      </c>
      <c r="F712" s="6" t="str">
        <f>IF($M712="PADD I","PADD 1",IF($M712="PADD II","PADD 2",IF($M712="PADD III","PADD 3",IF($M712="PADD IV","PADD 4",IF($M712="PADD V","PADD 5","")))))</f>
        <v>PADD 4</v>
      </c>
      <c r="G712" s="6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6" t="s">
        <v>471</v>
      </c>
      <c r="I712" s="6" t="s">
        <v>775</v>
      </c>
      <c r="J712" s="6" t="s">
        <v>398</v>
      </c>
      <c r="K712" s="10">
        <v>7.1</v>
      </c>
      <c r="L712" s="10">
        <v>10</v>
      </c>
      <c r="M712" s="6" t="s">
        <v>480</v>
      </c>
      <c r="N712" s="6" t="str">
        <f>IF(OR($G712="FCC",$G712="Hydrocracker",$G712="Reformer"),IF(COUNTIFS($D:$D,$D712,$A:$A,$A712,$B:$B,$B712,$G:$G,"CDU",$J:$J,"PLANNED")&gt;0,"tied","standalone"),"")</f>
        <v>standalone</v>
      </c>
    </row>
    <row r="713" spans="1:14">
      <c r="A713" s="6">
        <v>2023</v>
      </c>
      <c r="B713" s="6">
        <v>3</v>
      </c>
      <c r="C713" s="6" t="s">
        <v>62</v>
      </c>
      <c r="D713" s="6" t="s">
        <v>422</v>
      </c>
      <c r="E713" s="6" t="s">
        <v>423</v>
      </c>
      <c r="F713" s="6" t="str">
        <f>IF($M713="PADD I","PADD 1",IF($M713="PADD II","PADD 2",IF($M713="PADD III","PADD 3",IF($M713="PADD IV","PADD 4",IF($M713="PADD V","PADD 5","")))))</f>
        <v>PADD 2</v>
      </c>
      <c r="G713" s="6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6" t="s">
        <v>485</v>
      </c>
      <c r="I713" s="6" t="s">
        <v>634</v>
      </c>
      <c r="J713" s="6" t="s">
        <v>394</v>
      </c>
      <c r="K713" s="10">
        <v>7.05</v>
      </c>
      <c r="L713" s="10">
        <v>7.5</v>
      </c>
      <c r="M713" s="6" t="s">
        <v>425</v>
      </c>
      <c r="N713" s="6">
        <f>IF(OR($G713="FCC",$G713="Hydrocracker",$G713="Reformer"),IF(COUNTIFS($D:$D,$D713,$A:$A,$A713,$B:$B,$B713,$G:$G,"CDU",$J:$J,"PLANNED")&gt;0,"tied","standalone"),"")</f>
        <v/>
      </c>
    </row>
    <row r="714" spans="1:14">
      <c r="A714" s="6">
        <v>2023</v>
      </c>
      <c r="B714" s="6">
        <v>3</v>
      </c>
      <c r="C714" s="6" t="s">
        <v>62</v>
      </c>
      <c r="D714" s="6" t="s">
        <v>764</v>
      </c>
      <c r="E714" s="6" t="s">
        <v>455</v>
      </c>
      <c r="F714" s="6" t="str">
        <f>IF($M714="PADD I","PADD 1",IF($M714="PADD II","PADD 2",IF($M714="PADD III","PADD 3",IF($M714="PADD IV","PADD 4",IF($M714="PADD V","PADD 5","")))))</f>
        <v>PADD 3</v>
      </c>
      <c r="G714" s="6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6" t="s">
        <v>39</v>
      </c>
      <c r="I714" s="6" t="s">
        <v>136</v>
      </c>
      <c r="J714" s="6" t="s">
        <v>394</v>
      </c>
      <c r="K714" s="10">
        <v>6.9</v>
      </c>
      <c r="L714" s="10">
        <v>115</v>
      </c>
      <c r="M714" s="6" t="s">
        <v>421</v>
      </c>
      <c r="N714" s="6">
        <f>IF(OR($G714="FCC",$G714="Hydrocracker",$G714="Reformer"),IF(COUNTIFS($D:$D,$D714,$A:$A,$A714,$B:$B,$B714,$G:$G,"CDU",$J:$J,"PLANNED")&gt;0,"tied","standalone"),"")</f>
        <v/>
      </c>
    </row>
    <row r="715" spans="1:14">
      <c r="A715" s="6">
        <v>2023</v>
      </c>
      <c r="B715" s="6">
        <v>3</v>
      </c>
      <c r="C715" s="6" t="s">
        <v>62</v>
      </c>
      <c r="D715" s="6" t="s">
        <v>484</v>
      </c>
      <c r="E715" s="6" t="s">
        <v>438</v>
      </c>
      <c r="F715" s="6" t="str">
        <f>IF($M715="PADD I","PADD 1",IF($M715="PADD II","PADD 2",IF($M715="PADD III","PADD 3",IF($M715="PADD IV","PADD 4",IF($M715="PADD V","PADD 5","")))))</f>
        <v>PADD 5</v>
      </c>
      <c r="G715" s="6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6" t="s">
        <v>485</v>
      </c>
      <c r="I715" s="6" t="s">
        <v>486</v>
      </c>
      <c r="J715" s="6" t="s">
        <v>394</v>
      </c>
      <c r="K715" s="10">
        <v>6.72</v>
      </c>
      <c r="L715" s="10">
        <v>42</v>
      </c>
      <c r="M715" s="6" t="s">
        <v>436</v>
      </c>
      <c r="N715" s="6">
        <f>IF(OR($G715="FCC",$G715="Hydrocracker",$G715="Reformer"),IF(COUNTIFS($D:$D,$D715,$A:$A,$A715,$B:$B,$B715,$G:$G,"CDU",$J:$J,"PLANNED")&gt;0,"tied","standalone"),"")</f>
        <v/>
      </c>
    </row>
    <row r="716" spans="1:14">
      <c r="A716" s="6">
        <v>2023</v>
      </c>
      <c r="B716" s="6">
        <v>3</v>
      </c>
      <c r="C716" s="6" t="s">
        <v>62</v>
      </c>
      <c r="D716" s="6" t="s">
        <v>422</v>
      </c>
      <c r="E716" s="6" t="s">
        <v>423</v>
      </c>
      <c r="F716" s="6" t="str">
        <f>IF($M716="PADD I","PADD 1",IF($M716="PADD II","PADD 2",IF($M716="PADD III","PADD 3",IF($M716="PADD IV","PADD 4",IF($M716="PADD V","PADD 5","")))))</f>
        <v>PADD 2</v>
      </c>
      <c r="G716" s="6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6" t="s">
        <v>485</v>
      </c>
      <c r="I716" s="6" t="s">
        <v>634</v>
      </c>
      <c r="J716" s="6" t="s">
        <v>394</v>
      </c>
      <c r="K716" s="10">
        <v>6.5</v>
      </c>
      <c r="L716" s="10">
        <v>6.5</v>
      </c>
      <c r="M716" s="6" t="s">
        <v>425</v>
      </c>
      <c r="N716" s="6">
        <f>IF(OR($G716="FCC",$G716="Hydrocracker",$G716="Reformer"),IF(COUNTIFS($D:$D,$D716,$A:$A,$A716,$B:$B,$B716,$G:$G,"CDU",$J:$J,"PLANNED")&gt;0,"tied","standalone"),"")</f>
        <v/>
      </c>
    </row>
    <row r="717" spans="1:14">
      <c r="A717" s="6">
        <v>2023</v>
      </c>
      <c r="B717" s="6">
        <v>3</v>
      </c>
      <c r="C717" s="6" t="s">
        <v>62</v>
      </c>
      <c r="D717" s="6" t="s">
        <v>512</v>
      </c>
      <c r="E717" s="6" t="s">
        <v>488</v>
      </c>
      <c r="F717" s="6" t="str">
        <f>IF($M717="PADD I","PADD 1",IF($M717="PADD II","PADD 2",IF($M717="PADD III","PADD 3",IF($M717="PADD IV","PADD 4",IF($M717="PADD V","PADD 5","")))))</f>
        <v>PADD 4</v>
      </c>
      <c r="G717" s="6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6" t="s">
        <v>428</v>
      </c>
      <c r="I717" s="6" t="s">
        <v>605</v>
      </c>
      <c r="J717" s="6" t="s">
        <v>394</v>
      </c>
      <c r="K717" s="10">
        <v>6.5</v>
      </c>
      <c r="L717" s="10">
        <v>10</v>
      </c>
      <c r="M717" s="6" t="s">
        <v>480</v>
      </c>
      <c r="N717" s="6">
        <f>IF(OR($G717="FCC",$G717="Hydrocracker",$G717="Reformer"),IF(COUNTIFS($D:$D,$D717,$A:$A,$A717,$B:$B,$B717,$G:$G,"CDU",$J:$J,"PLANNED")&gt;0,"tied","standalone"),"")</f>
        <v/>
      </c>
    </row>
    <row r="718" spans="1:14">
      <c r="A718" s="6">
        <v>2023</v>
      </c>
      <c r="B718" s="6">
        <v>3</v>
      </c>
      <c r="C718" s="6" t="s">
        <v>62</v>
      </c>
      <c r="D718" s="6" t="s">
        <v>568</v>
      </c>
      <c r="E718" s="6" t="s">
        <v>419</v>
      </c>
      <c r="F718" s="6" t="str">
        <f>IF($M718="PADD I","PADD 1",IF($M718="PADD II","PADD 2",IF($M718="PADD III","PADD 3",IF($M718="PADD IV","PADD 4",IF($M718="PADD V","PADD 5","")))))</f>
        <v>PADD 5</v>
      </c>
      <c r="G718" s="6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6" t="s">
        <v>618</v>
      </c>
      <c r="I718" s="6" t="s">
        <v>667</v>
      </c>
      <c r="J718" s="6" t="s">
        <v>394</v>
      </c>
      <c r="K718" s="10">
        <v>6.5</v>
      </c>
      <c r="L718" s="10">
        <v>6.5</v>
      </c>
      <c r="M718" s="6" t="s">
        <v>436</v>
      </c>
      <c r="N718" s="6">
        <f>IF(OR($G718="FCC",$G718="Hydrocracker",$G718="Reformer"),IF(COUNTIFS($D:$D,$D718,$A:$A,$A718,$B:$B,$B718,$G:$G,"CDU",$J:$J,"PLANNED")&gt;0,"tied","standalone"),"")</f>
        <v/>
      </c>
    </row>
    <row r="719" spans="1:14">
      <c r="A719" s="6">
        <v>2023</v>
      </c>
      <c r="B719" s="6">
        <v>3</v>
      </c>
      <c r="C719" s="6" t="s">
        <v>62</v>
      </c>
      <c r="D719" s="6" t="s">
        <v>382</v>
      </c>
      <c r="E719" s="6" t="s">
        <v>431</v>
      </c>
      <c r="F719" s="6" t="str">
        <f>IF($M719="PADD I","PADD 1",IF($M719="PADD II","PADD 2",IF($M719="PADD III","PADD 3",IF($M719="PADD IV","PADD 4",IF($M719="PADD V","PADD 5","")))))</f>
        <v>PADD 3</v>
      </c>
      <c r="G719" s="6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6" t="s">
        <v>494</v>
      </c>
      <c r="I719" s="6" t="s">
        <v>14</v>
      </c>
      <c r="J719" s="6" t="s">
        <v>394</v>
      </c>
      <c r="K719" s="10">
        <v>6.5</v>
      </c>
      <c r="L719" s="10">
        <v>65</v>
      </c>
      <c r="M719" s="6" t="s">
        <v>421</v>
      </c>
      <c r="N719" s="6" t="str">
        <f>IF(OR($G719="FCC",$G719="Hydrocracker",$G719="Reformer"),IF(COUNTIFS($D:$D,$D719,$A:$A,$A719,$B:$B,$B719,$G:$G,"CDU",$J:$J,"PLANNED")&gt;0,"tied","standalone"),"")</f>
        <v>tied</v>
      </c>
    </row>
    <row r="720" spans="1:14">
      <c r="A720" s="6">
        <v>2023</v>
      </c>
      <c r="B720" s="6">
        <v>3</v>
      </c>
      <c r="C720" s="6" t="s">
        <v>62</v>
      </c>
      <c r="D720" s="6" t="s">
        <v>515</v>
      </c>
      <c r="E720" s="6" t="s">
        <v>419</v>
      </c>
      <c r="F720" s="6" t="str">
        <f>IF($M720="PADD I","PADD 1",IF($M720="PADD II","PADD 2",IF($M720="PADD III","PADD 3",IF($M720="PADD IV","PADD 4",IF($M720="PADD V","PADD 5","")))))</f>
        <v>PADD 5</v>
      </c>
      <c r="G720" s="6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6" t="s">
        <v>426</v>
      </c>
      <c r="I720" s="6" t="s">
        <v>106</v>
      </c>
      <c r="J720" s="6" t="s">
        <v>394</v>
      </c>
      <c r="K720" s="10">
        <v>6.5</v>
      </c>
      <c r="L720" s="10">
        <v>50</v>
      </c>
      <c r="M720" s="6" t="s">
        <v>436</v>
      </c>
      <c r="N720" s="6" t="str">
        <f>IF(OR($G720="FCC",$G720="Hydrocracker",$G720="Reformer"),IF(COUNTIFS($D:$D,$D720,$A:$A,$A720,$B:$B,$B720,$G:$G,"CDU",$J:$J,"PLANNED")&gt;0,"tied","standalone"),"")</f>
        <v>standalone</v>
      </c>
    </row>
    <row r="721" spans="1:14">
      <c r="A721" s="6">
        <v>2023</v>
      </c>
      <c r="B721" s="6">
        <v>3</v>
      </c>
      <c r="C721" s="6" t="s">
        <v>62</v>
      </c>
      <c r="D721" s="6" t="s">
        <v>465</v>
      </c>
      <c r="E721" s="6" t="s">
        <v>466</v>
      </c>
      <c r="F721" s="6" t="str">
        <f>IF($M721="PADD I","PADD 1",IF($M721="PADD II","PADD 2",IF($M721="PADD III","PADD 3",IF($M721="PADD IV","PADD 4",IF($M721="PADD V","PADD 5","")))))</f>
        <v>PADD 3</v>
      </c>
      <c r="G721" s="6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6" t="s">
        <v>426</v>
      </c>
      <c r="I721" s="6" t="s">
        <v>475</v>
      </c>
      <c r="J721" s="6" t="s">
        <v>394</v>
      </c>
      <c r="K721" s="10">
        <v>6.5</v>
      </c>
      <c r="L721" s="10">
        <v>50</v>
      </c>
      <c r="M721" s="6" t="s">
        <v>421</v>
      </c>
      <c r="N721" s="6" t="str">
        <f>IF(OR($G721="FCC",$G721="Hydrocracker",$G721="Reformer"),IF(COUNTIFS($D:$D,$D721,$A:$A,$A721,$B:$B,$B721,$G:$G,"CDU",$J:$J,"PLANNED")&gt;0,"tied","standalone"),"")</f>
        <v>standalone</v>
      </c>
    </row>
    <row r="722" spans="1:14">
      <c r="A722" s="6">
        <v>2023</v>
      </c>
      <c r="B722" s="6">
        <v>3</v>
      </c>
      <c r="C722" s="6" t="s">
        <v>62</v>
      </c>
      <c r="D722" s="6" t="s">
        <v>395</v>
      </c>
      <c r="E722" s="6" t="s">
        <v>433</v>
      </c>
      <c r="F722" s="6" t="str">
        <f>IF($M722="PADD I","PADD 1",IF($M722="PADD II","PADD 2",IF($M722="PADD III","PADD 3",IF($M722="PADD IV","PADD 4",IF($M722="PADD V","PADD 5","")))))</f>
        <v>PADD 2</v>
      </c>
      <c r="G722" s="6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6" t="s">
        <v>471</v>
      </c>
      <c r="I722" s="6" t="s">
        <v>566</v>
      </c>
      <c r="J722" s="6" t="s">
        <v>398</v>
      </c>
      <c r="K722" s="10">
        <v>6.3</v>
      </c>
      <c r="L722" s="10">
        <v>15</v>
      </c>
      <c r="M722" s="6" t="s">
        <v>425</v>
      </c>
      <c r="N722" s="6" t="str">
        <f>IF(OR($G722="FCC",$G722="Hydrocracker",$G722="Reformer"),IF(COUNTIFS($D:$D,$D722,$A:$A,$A722,$B:$B,$B722,$G:$G,"CDU",$J:$J,"PLANNED")&gt;0,"tied","standalone"),"")</f>
        <v>tied</v>
      </c>
    </row>
    <row r="723" spans="1:14">
      <c r="A723" s="6">
        <v>2023</v>
      </c>
      <c r="B723" s="6">
        <v>3</v>
      </c>
      <c r="C723" s="6" t="s">
        <v>62</v>
      </c>
      <c r="D723" s="6" t="s">
        <v>49</v>
      </c>
      <c r="E723" s="6" t="s">
        <v>438</v>
      </c>
      <c r="F723" s="6" t="str">
        <f>IF($M723="PADD I","PADD 1",IF($M723="PADD II","PADD 2",IF($M723="PADD III","PADD 3",IF($M723="PADD IV","PADD 4",IF($M723="PADD V","PADD 5","")))))</f>
        <v>PADD 2</v>
      </c>
      <c r="G723" s="6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6" t="s">
        <v>44</v>
      </c>
      <c r="I723" s="6" t="s">
        <v>776</v>
      </c>
      <c r="J723" s="6" t="s">
        <v>398</v>
      </c>
      <c r="K723" s="10">
        <v>6.08</v>
      </c>
      <c r="L723" s="10">
        <v>38</v>
      </c>
      <c r="M723" s="6" t="s">
        <v>425</v>
      </c>
      <c r="N723" s="6">
        <f>IF(OR($G723="FCC",$G723="Hydrocracker",$G723="Reformer"),IF(COUNTIFS($D:$D,$D723,$A:$A,$A723,$B:$B,$B723,$G:$G,"CDU",$J:$J,"PLANNED")&gt;0,"tied","standalone"),"")</f>
        <v/>
      </c>
    </row>
    <row r="724" spans="1:14">
      <c r="A724" s="6">
        <v>2023</v>
      </c>
      <c r="B724" s="6">
        <v>3</v>
      </c>
      <c r="C724" s="6" t="s">
        <v>62</v>
      </c>
      <c r="D724" s="6" t="s">
        <v>725</v>
      </c>
      <c r="E724" s="6" t="s">
        <v>502</v>
      </c>
      <c r="F724" s="6" t="str">
        <f>IF($M724="PADD I","PADD 1",IF($M724="PADD II","PADD 2",IF($M724="PADD III","PADD 3",IF($M724="PADD IV","PADD 4",IF($M724="PADD V","PADD 5","")))))</f>
        <v>PADD 2</v>
      </c>
      <c r="G724" s="6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6" t="s">
        <v>471</v>
      </c>
      <c r="I724" s="6" t="s">
        <v>397</v>
      </c>
      <c r="J724" s="6" t="s">
        <v>398</v>
      </c>
      <c r="K724" s="10">
        <v>6.075</v>
      </c>
      <c r="L724" s="10">
        <v>7.5</v>
      </c>
      <c r="M724" s="6" t="s">
        <v>425</v>
      </c>
      <c r="N724" s="6" t="str">
        <f>IF(OR($G724="FCC",$G724="Hydrocracker",$G724="Reformer"),IF(COUNTIFS($D:$D,$D724,$A:$A,$A724,$B:$B,$B724,$G:$G,"CDU",$J:$J,"PLANNED")&gt;0,"tied","standalone"),"")</f>
        <v>tied</v>
      </c>
    </row>
    <row r="725" spans="1:14">
      <c r="A725" s="6">
        <v>2023</v>
      </c>
      <c r="B725" s="6">
        <v>3</v>
      </c>
      <c r="C725" s="6" t="s">
        <v>62</v>
      </c>
      <c r="D725" s="6" t="s">
        <v>505</v>
      </c>
      <c r="E725" s="6" t="s">
        <v>455</v>
      </c>
      <c r="F725" s="6" t="str">
        <f>IF($M725="PADD I","PADD 1",IF($M725="PADD II","PADD 2",IF($M725="PADD III","PADD 3",IF($M725="PADD IV","PADD 4",IF($M725="PADD V","PADD 5","")))))</f>
        <v>PADD 3</v>
      </c>
      <c r="G725" s="6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6" t="s">
        <v>494</v>
      </c>
      <c r="I725" s="6" t="s">
        <v>506</v>
      </c>
      <c r="J725" s="6" t="s">
        <v>394</v>
      </c>
      <c r="K725" s="10">
        <v>6</v>
      </c>
      <c r="L725" s="10">
        <v>60</v>
      </c>
      <c r="M725" s="6" t="s">
        <v>421</v>
      </c>
      <c r="N725" s="6" t="str">
        <f>IF(OR($G725="FCC",$G725="Hydrocracker",$G725="Reformer"),IF(COUNTIFS($D:$D,$D725,$A:$A,$A725,$B:$B,$B725,$G:$G,"CDU",$J:$J,"PLANNED")&gt;0,"tied","standalone"),"")</f>
        <v>standalone</v>
      </c>
    </row>
    <row r="726" spans="1:14">
      <c r="A726" s="6">
        <v>2023</v>
      </c>
      <c r="B726" s="6">
        <v>3</v>
      </c>
      <c r="C726" s="6" t="s">
        <v>62</v>
      </c>
      <c r="D726" s="6" t="s">
        <v>458</v>
      </c>
      <c r="E726" s="6" t="s">
        <v>459</v>
      </c>
      <c r="F726" s="6" t="str">
        <f>IF($M726="PADD I","PADD 1",IF($M726="PADD II","PADD 2",IF($M726="PADD III","PADD 3",IF($M726="PADD IV","PADD 4",IF($M726="PADD V","PADD 5","")))))</f>
        <v>PADD 3</v>
      </c>
      <c r="G726" s="6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6" t="s">
        <v>485</v>
      </c>
      <c r="I726" s="6" t="s">
        <v>509</v>
      </c>
      <c r="J726" s="6" t="s">
        <v>394</v>
      </c>
      <c r="K726" s="10">
        <v>6</v>
      </c>
      <c r="L726" s="10">
        <v>60</v>
      </c>
      <c r="M726" s="6" t="s">
        <v>421</v>
      </c>
      <c r="N726" s="6">
        <f>IF(OR($G726="FCC",$G726="Hydrocracker",$G726="Reformer"),IF(COUNTIFS($D:$D,$D726,$A:$A,$A726,$B:$B,$B726,$G:$G,"CDU",$J:$J,"PLANNED")&gt;0,"tied","standalone"),"")</f>
        <v/>
      </c>
    </row>
    <row r="727" spans="1:14">
      <c r="A727" s="6">
        <v>2023</v>
      </c>
      <c r="B727" s="6">
        <v>3</v>
      </c>
      <c r="C727" s="6" t="s">
        <v>62</v>
      </c>
      <c r="D727" s="6" t="s">
        <v>777</v>
      </c>
      <c r="E727" s="6" t="s">
        <v>778</v>
      </c>
      <c r="F727" s="6" t="str">
        <f>IF($M727="PADD I","PADD 1",IF($M727="PADD II","PADD 2",IF($M727="PADD III","PADD 3",IF($M727="PADD IV","PADD 4",IF($M727="PADD V","PADD 5","")))))</f>
        <v>PADD 1</v>
      </c>
      <c r="G727" s="6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6" t="s">
        <v>39</v>
      </c>
      <c r="I727" s="6" t="s">
        <v>82</v>
      </c>
      <c r="J727" s="6" t="s">
        <v>398</v>
      </c>
      <c r="K727" s="10">
        <v>5.98</v>
      </c>
      <c r="L727" s="10">
        <v>23</v>
      </c>
      <c r="M727" s="6" t="s">
        <v>463</v>
      </c>
      <c r="N727" s="6">
        <f>IF(OR($G727="FCC",$G727="Hydrocracker",$G727="Reformer"),IF(COUNTIFS($D:$D,$D727,$A:$A,$A727,$B:$B,$B727,$G:$G,"CDU",$J:$J,"PLANNED")&gt;0,"tied","standalone"),"")</f>
        <v/>
      </c>
    </row>
    <row r="728" spans="1:14">
      <c r="A728" s="6">
        <v>2023</v>
      </c>
      <c r="B728" s="6">
        <v>3</v>
      </c>
      <c r="C728" s="6" t="s">
        <v>62</v>
      </c>
      <c r="D728" s="6" t="s">
        <v>384</v>
      </c>
      <c r="E728" s="6" t="s">
        <v>419</v>
      </c>
      <c r="F728" s="6" t="str">
        <f>IF($M728="PADD I","PADD 1",IF($M728="PADD II","PADD 2",IF($M728="PADD III","PADD 3",IF($M728="PADD IV","PADD 4",IF($M728="PADD V","PADD 5","")))))</f>
        <v>PADD 3</v>
      </c>
      <c r="G728" s="6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6" t="s">
        <v>39</v>
      </c>
      <c r="I728" s="6" t="s">
        <v>779</v>
      </c>
      <c r="J728" s="6" t="s">
        <v>394</v>
      </c>
      <c r="K728" s="10">
        <v>5.55</v>
      </c>
      <c r="L728" s="10">
        <v>185</v>
      </c>
      <c r="M728" s="6" t="s">
        <v>421</v>
      </c>
      <c r="N728" s="6">
        <f>IF(OR($G728="FCC",$G728="Hydrocracker",$G728="Reformer"),IF(COUNTIFS($D:$D,$D728,$A:$A,$A728,$B:$B,$B728,$G:$G,"CDU",$J:$J,"PLANNED")&gt;0,"tied","standalone"),"")</f>
        <v/>
      </c>
    </row>
    <row r="729" spans="1:14">
      <c r="A729" s="6">
        <v>2023</v>
      </c>
      <c r="B729" s="6">
        <v>3</v>
      </c>
      <c r="C729" s="6" t="s">
        <v>62</v>
      </c>
      <c r="D729" s="6" t="s">
        <v>470</v>
      </c>
      <c r="E729" s="6" t="s">
        <v>423</v>
      </c>
      <c r="F729" s="6" t="str">
        <f>IF($M729="PADD I","PADD 1",IF($M729="PADD II","PADD 2",IF($M729="PADD III","PADD 3",IF($M729="PADD IV","PADD 4",IF($M729="PADD V","PADD 5","")))))</f>
        <v>PADD 2</v>
      </c>
      <c r="G729" s="6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6" t="s">
        <v>44</v>
      </c>
      <c r="I729" s="6" t="s">
        <v>638</v>
      </c>
      <c r="J729" s="6" t="s">
        <v>394</v>
      </c>
      <c r="K729" s="10">
        <v>5.5</v>
      </c>
      <c r="L729" s="10">
        <v>5.5</v>
      </c>
      <c r="M729" s="6" t="s">
        <v>425</v>
      </c>
      <c r="N729" s="6">
        <f>IF(OR($G729="FCC",$G729="Hydrocracker",$G729="Reformer"),IF(COUNTIFS($D:$D,$D729,$A:$A,$A729,$B:$B,$B729,$G:$G,"CDU",$J:$J,"PLANNED")&gt;0,"tied","standalone"),"")</f>
        <v/>
      </c>
    </row>
    <row r="730" spans="1:14">
      <c r="A730" s="6">
        <v>2023</v>
      </c>
      <c r="B730" s="6">
        <v>3</v>
      </c>
      <c r="C730" s="6" t="s">
        <v>62</v>
      </c>
      <c r="D730" s="6" t="s">
        <v>375</v>
      </c>
      <c r="E730" s="6" t="s">
        <v>435</v>
      </c>
      <c r="F730" s="6" t="str">
        <f>IF($M730="PADD I","PADD 1",IF($M730="PADD II","PADD 2",IF($M730="PADD III","PADD 3",IF($M730="PADD IV","PADD 4",IF($M730="PADD V","PADD 5","")))))</f>
        <v>PADD 5</v>
      </c>
      <c r="G730" s="6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6" t="s">
        <v>428</v>
      </c>
      <c r="I730" s="6" t="s">
        <v>481</v>
      </c>
      <c r="J730" s="6" t="s">
        <v>398</v>
      </c>
      <c r="K730" s="10">
        <v>5.4</v>
      </c>
      <c r="L730" s="10">
        <v>90</v>
      </c>
      <c r="M730" s="6" t="s">
        <v>436</v>
      </c>
      <c r="N730" s="6">
        <f>IF(OR($G730="FCC",$G730="Hydrocracker",$G730="Reformer"),IF(COUNTIFS($D:$D,$D730,$A:$A,$A730,$B:$B,$B730,$G:$G,"CDU",$J:$J,"PLANNED")&gt;0,"tied","standalone"),"")</f>
        <v/>
      </c>
    </row>
    <row r="731" spans="1:14">
      <c r="A731" s="6">
        <v>2023</v>
      </c>
      <c r="B731" s="6">
        <v>3</v>
      </c>
      <c r="C731" s="6" t="s">
        <v>62</v>
      </c>
      <c r="D731" s="6" t="s">
        <v>730</v>
      </c>
      <c r="E731" s="6" t="s">
        <v>731</v>
      </c>
      <c r="F731" s="6" t="str">
        <f>IF($M731="PADD I","PADD 1",IF($M731="PADD II","PADD 2",IF($M731="PADD III","PADD 3",IF($M731="PADD IV","PADD 4",IF($M731="PADD V","PADD 5","")))))</f>
        <v>PADD 3</v>
      </c>
      <c r="G731" s="6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6" t="s">
        <v>510</v>
      </c>
      <c r="I731" s="6" t="s">
        <v>666</v>
      </c>
      <c r="J731" s="6" t="s">
        <v>398</v>
      </c>
      <c r="K731" s="10">
        <v>5.358</v>
      </c>
      <c r="L731" s="10">
        <v>5.7</v>
      </c>
      <c r="M731" s="6" t="s">
        <v>421</v>
      </c>
      <c r="N731" s="6">
        <f>IF(OR($G731="FCC",$G731="Hydrocracker",$G731="Reformer"),IF(COUNTIFS($D:$D,$D731,$A:$A,$A731,$B:$B,$B731,$G:$G,"CDU",$J:$J,"PLANNED")&gt;0,"tied","standalone"),"")</f>
        <v/>
      </c>
    </row>
    <row r="732" spans="1:14">
      <c r="A732" s="6">
        <v>2023</v>
      </c>
      <c r="B732" s="6">
        <v>3</v>
      </c>
      <c r="C732" s="6" t="s">
        <v>62</v>
      </c>
      <c r="D732" s="6" t="s">
        <v>515</v>
      </c>
      <c r="E732" s="6" t="s">
        <v>419</v>
      </c>
      <c r="F732" s="6" t="str">
        <f>IF($M732="PADD I","PADD 1",IF($M732="PADD II","PADD 2",IF($M732="PADD III","PADD 3",IF($M732="PADD IV","PADD 4",IF($M732="PADD V","PADD 5","")))))</f>
        <v>PADD 5</v>
      </c>
      <c r="G732" s="6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6" t="s">
        <v>426</v>
      </c>
      <c r="I732" s="6" t="s">
        <v>106</v>
      </c>
      <c r="J732" s="6" t="s">
        <v>398</v>
      </c>
      <c r="K732" s="10">
        <v>5</v>
      </c>
      <c r="L732" s="10">
        <v>50</v>
      </c>
      <c r="M732" s="6" t="s">
        <v>436</v>
      </c>
      <c r="N732" s="6" t="str">
        <f>IF(OR($G732="FCC",$G732="Hydrocracker",$G732="Reformer"),IF(COUNTIFS($D:$D,$D732,$A:$A,$A732,$B:$B,$B732,$G:$G,"CDU",$J:$J,"PLANNED")&gt;0,"tied","standalone"),"")</f>
        <v>standalone</v>
      </c>
    </row>
    <row r="733" spans="1:14">
      <c r="A733" s="6">
        <v>2023</v>
      </c>
      <c r="B733" s="6">
        <v>3</v>
      </c>
      <c r="C733" s="6" t="s">
        <v>62</v>
      </c>
      <c r="D733" s="6" t="s">
        <v>780</v>
      </c>
      <c r="E733" s="6" t="s">
        <v>781</v>
      </c>
      <c r="F733" s="6" t="str">
        <f>IF($M733="PADD I","PADD 1",IF($M733="PADD II","PADD 2",IF($M733="PADD III","PADD 3",IF($M733="PADD IV","PADD 4",IF($M733="PADD V","PADD 5","")))))</f>
        <v>PADD 3</v>
      </c>
      <c r="G733" s="6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6" t="s">
        <v>471</v>
      </c>
      <c r="I733" s="6" t="s">
        <v>15</v>
      </c>
      <c r="J733" s="6" t="s">
        <v>394</v>
      </c>
      <c r="K733" s="10">
        <v>4.95</v>
      </c>
      <c r="L733" s="10">
        <v>11</v>
      </c>
      <c r="M733" s="6" t="s">
        <v>421</v>
      </c>
      <c r="N733" s="6" t="str">
        <f>IF(OR($G733="FCC",$G733="Hydrocracker",$G733="Reformer"),IF(COUNTIFS($D:$D,$D733,$A:$A,$A733,$B:$B,$B733,$G:$G,"CDU",$J:$J,"PLANNED")&gt;0,"tied","standalone"),"")</f>
        <v>standalone</v>
      </c>
    </row>
    <row r="734" spans="1:14">
      <c r="A734" s="6">
        <v>2023</v>
      </c>
      <c r="B734" s="6">
        <v>3</v>
      </c>
      <c r="C734" s="6" t="s">
        <v>62</v>
      </c>
      <c r="D734" s="6" t="s">
        <v>452</v>
      </c>
      <c r="E734" s="6" t="s">
        <v>453</v>
      </c>
      <c r="F734" s="6" t="str">
        <f>IF($M734="PADD I","PADD 1",IF($M734="PADD II","PADD 2",IF($M734="PADD III","PADD 3",IF($M734="PADD IV","PADD 4",IF($M734="PADD V","PADD 5","")))))</f>
        <v>PADD 3</v>
      </c>
      <c r="G734" s="6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6" t="s">
        <v>485</v>
      </c>
      <c r="I734" s="6" t="s">
        <v>491</v>
      </c>
      <c r="J734" s="6" t="s">
        <v>398</v>
      </c>
      <c r="K734" s="10">
        <v>4.5</v>
      </c>
      <c r="L734" s="10">
        <v>10</v>
      </c>
      <c r="M734" s="6" t="s">
        <v>421</v>
      </c>
      <c r="N734" s="6">
        <f>IF(OR($G734="FCC",$G734="Hydrocracker",$G734="Reformer"),IF(COUNTIFS($D:$D,$D734,$A:$A,$A734,$B:$B,$B734,$G:$G,"CDU",$J:$J,"PLANNED")&gt;0,"tied","standalone"),"")</f>
        <v/>
      </c>
    </row>
    <row r="735" spans="1:14">
      <c r="A735" s="6">
        <v>2023</v>
      </c>
      <c r="B735" s="6">
        <v>3</v>
      </c>
      <c r="C735" s="6" t="s">
        <v>62</v>
      </c>
      <c r="D735" s="6" t="s">
        <v>576</v>
      </c>
      <c r="E735" s="6" t="s">
        <v>455</v>
      </c>
      <c r="F735" s="6" t="str">
        <f>IF($M735="PADD I","PADD 1",IF($M735="PADD II","PADD 2",IF($M735="PADD III","PADD 3",IF($M735="PADD IV","PADD 4",IF($M735="PADD V","PADD 5","")))))</f>
        <v>PADD 3</v>
      </c>
      <c r="G735" s="6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6" t="s">
        <v>426</v>
      </c>
      <c r="I735" s="6" t="s">
        <v>393</v>
      </c>
      <c r="J735" s="6" t="s">
        <v>394</v>
      </c>
      <c r="K735" s="10">
        <v>4.5</v>
      </c>
      <c r="L735" s="10">
        <v>75</v>
      </c>
      <c r="M735" s="6" t="s">
        <v>421</v>
      </c>
      <c r="N735" s="6" t="str">
        <f>IF(OR($G735="FCC",$G735="Hydrocracker",$G735="Reformer"),IF(COUNTIFS($D:$D,$D735,$A:$A,$A735,$B:$B,$B735,$G:$G,"CDU",$J:$J,"PLANNED")&gt;0,"tied","standalone"),"")</f>
        <v>tied</v>
      </c>
    </row>
    <row r="736" spans="1:14">
      <c r="A736" s="6">
        <v>2023</v>
      </c>
      <c r="B736" s="6">
        <v>3</v>
      </c>
      <c r="C736" s="6" t="s">
        <v>62</v>
      </c>
      <c r="D736" s="6" t="s">
        <v>696</v>
      </c>
      <c r="E736" s="6" t="s">
        <v>455</v>
      </c>
      <c r="F736" s="6" t="str">
        <f>IF($M736="PADD I","PADD 1",IF($M736="PADD II","PADD 2",IF($M736="PADD III","PADD 3",IF($M736="PADD IV","PADD 4",IF($M736="PADD V","PADD 5","")))))</f>
        <v>PADD 3</v>
      </c>
      <c r="G736" s="6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6" t="s">
        <v>44</v>
      </c>
      <c r="I736" s="6" t="s">
        <v>697</v>
      </c>
      <c r="J736" s="6" t="s">
        <v>394</v>
      </c>
      <c r="K736" s="10">
        <v>4.5</v>
      </c>
      <c r="L736" s="10">
        <v>45</v>
      </c>
      <c r="M736" s="6" t="s">
        <v>421</v>
      </c>
      <c r="N736" s="6">
        <f>IF(OR($G736="FCC",$G736="Hydrocracker",$G736="Reformer"),IF(COUNTIFS($D:$D,$D736,$A:$A,$A736,$B:$B,$B736,$G:$G,"CDU",$J:$J,"PLANNED")&gt;0,"tied","standalone"),"")</f>
        <v/>
      </c>
    </row>
    <row r="737" spans="1:14">
      <c r="A737" s="6">
        <v>2023</v>
      </c>
      <c r="B737" s="6">
        <v>3</v>
      </c>
      <c r="C737" s="6" t="s">
        <v>62</v>
      </c>
      <c r="D737" s="6" t="s">
        <v>782</v>
      </c>
      <c r="E737" s="6" t="s">
        <v>783</v>
      </c>
      <c r="F737" s="6" t="str">
        <f>IF($M737="PADD I","PADD 1",IF($M737="PADD II","PADD 2",IF($M737="PADD III","PADD 3",IF($M737="PADD IV","PADD 4",IF($M737="PADD V","PADD 5","")))))</f>
        <v>PADD 4</v>
      </c>
      <c r="G737" s="6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6" t="s">
        <v>39</v>
      </c>
      <c r="I737" s="6" t="s">
        <v>132</v>
      </c>
      <c r="J737" s="6" t="s">
        <v>398</v>
      </c>
      <c r="K737" s="10">
        <v>4.42</v>
      </c>
      <c r="L737" s="10">
        <v>34</v>
      </c>
      <c r="M737" s="6" t="s">
        <v>480</v>
      </c>
      <c r="N737" s="6">
        <f>IF(OR($G737="FCC",$G737="Hydrocracker",$G737="Reformer"),IF(COUNTIFS($D:$D,$D737,$A:$A,$A737,$B:$B,$B737,$G:$G,"CDU",$J:$J,"PLANNED")&gt;0,"tied","standalone"),"")</f>
        <v/>
      </c>
    </row>
    <row r="738" spans="1:14">
      <c r="A738" s="6">
        <v>2023</v>
      </c>
      <c r="B738" s="6">
        <v>3</v>
      </c>
      <c r="C738" s="6" t="s">
        <v>62</v>
      </c>
      <c r="D738" s="6" t="s">
        <v>597</v>
      </c>
      <c r="E738" s="6" t="s">
        <v>441</v>
      </c>
      <c r="F738" s="6" t="str">
        <f>IF($M738="PADD I","PADD 1",IF($M738="PADD II","PADD 2",IF($M738="PADD III","PADD 3",IF($M738="PADD IV","PADD 4",IF($M738="PADD V","PADD 5","")))))</f>
        <v>PADD 5</v>
      </c>
      <c r="G738" s="6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6" t="s">
        <v>494</v>
      </c>
      <c r="I738" s="6" t="s">
        <v>784</v>
      </c>
      <c r="J738" s="6" t="s">
        <v>394</v>
      </c>
      <c r="K738" s="10">
        <v>4.4</v>
      </c>
      <c r="L738" s="10">
        <v>44</v>
      </c>
      <c r="M738" s="6" t="s">
        <v>436</v>
      </c>
      <c r="N738" s="6" t="str">
        <f>IF(OR($G738="FCC",$G738="Hydrocracker",$G738="Reformer"),IF(COUNTIFS($D:$D,$D738,$A:$A,$A738,$B:$B,$B738,$G:$G,"CDU",$J:$J,"PLANNED")&gt;0,"tied","standalone"),"")</f>
        <v>standalone</v>
      </c>
    </row>
    <row r="739" spans="1:14">
      <c r="A739" s="6">
        <v>2023</v>
      </c>
      <c r="B739" s="6">
        <v>3</v>
      </c>
      <c r="C739" s="6" t="s">
        <v>62</v>
      </c>
      <c r="D739" s="6" t="s">
        <v>712</v>
      </c>
      <c r="E739" s="6" t="s">
        <v>602</v>
      </c>
      <c r="F739" s="6" t="str">
        <f>IF($M739="PADD I","PADD 1",IF($M739="PADD II","PADD 2",IF($M739="PADD III","PADD 3",IF($M739="PADD IV","PADD 4",IF($M739="PADD V","PADD 5","")))))</f>
        <v>PADD 3</v>
      </c>
      <c r="G739" s="6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6" t="s">
        <v>44</v>
      </c>
      <c r="I739" s="6" t="s">
        <v>785</v>
      </c>
      <c r="J739" s="6" t="s">
        <v>398</v>
      </c>
      <c r="K739" s="10">
        <v>4.37</v>
      </c>
      <c r="L739" s="10">
        <v>23</v>
      </c>
      <c r="M739" s="6" t="s">
        <v>421</v>
      </c>
      <c r="N739" s="6">
        <f>IF(OR($G739="FCC",$G739="Hydrocracker",$G739="Reformer"),IF(COUNTIFS($D:$D,$D739,$A:$A,$A739,$B:$B,$B739,$G:$G,"CDU",$J:$J,"PLANNED")&gt;0,"tied","standalone"),"")</f>
        <v/>
      </c>
    </row>
    <row r="740" spans="1:14">
      <c r="A740" s="6">
        <v>2023</v>
      </c>
      <c r="B740" s="6">
        <v>3</v>
      </c>
      <c r="C740" s="6" t="s">
        <v>62</v>
      </c>
      <c r="D740" s="6" t="s">
        <v>41</v>
      </c>
      <c r="E740" s="6" t="s">
        <v>786</v>
      </c>
      <c r="F740" s="6" t="str">
        <f>IF($M740="PADD I","PADD 1",IF($M740="PADD II","PADD 2",IF($M740="PADD III","PADD 3",IF($M740="PADD IV","PADD 4",IF($M740="PADD V","PADD 5","")))))</f>
        <v>PADD 1</v>
      </c>
      <c r="G740" s="6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6" t="s">
        <v>426</v>
      </c>
      <c r="I740" s="6" t="s">
        <v>787</v>
      </c>
      <c r="J740" s="6" t="s">
        <v>394</v>
      </c>
      <c r="K740" s="10">
        <v>4.08</v>
      </c>
      <c r="L740" s="10">
        <v>68</v>
      </c>
      <c r="M740" s="6" t="s">
        <v>463</v>
      </c>
      <c r="N740" s="6" t="str">
        <f>IF(OR($G740="FCC",$G740="Hydrocracker",$G740="Reformer"),IF(COUNTIFS($D:$D,$D740,$A:$A,$A740,$B:$B,$B740,$G:$G,"CDU",$J:$J,"PLANNED")&gt;0,"tied","standalone"),"")</f>
        <v>standalone</v>
      </c>
    </row>
    <row r="741" spans="1:14">
      <c r="A741" s="6">
        <v>2023</v>
      </c>
      <c r="B741" s="6">
        <v>3</v>
      </c>
      <c r="C741" s="6" t="s">
        <v>62</v>
      </c>
      <c r="D741" s="6" t="s">
        <v>788</v>
      </c>
      <c r="E741" s="6" t="s">
        <v>602</v>
      </c>
      <c r="F741" s="6" t="str">
        <f>IF($M741="PADD I","PADD 1",IF($M741="PADD II","PADD 2",IF($M741="PADD III","PADD 3",IF($M741="PADD IV","PADD 4",IF($M741="PADD V","PADD 5","")))))</f>
        <v>PADD 3</v>
      </c>
      <c r="G741" s="6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6" t="s">
        <v>510</v>
      </c>
      <c r="I741" s="6" t="s">
        <v>511</v>
      </c>
      <c r="J741" s="6" t="s">
        <v>398</v>
      </c>
      <c r="K741" s="10">
        <v>3.9</v>
      </c>
      <c r="L741" s="10">
        <v>6</v>
      </c>
      <c r="M741" s="6" t="s">
        <v>421</v>
      </c>
      <c r="N741" s="6">
        <f>IF(OR($G741="FCC",$G741="Hydrocracker",$G741="Reformer"),IF(COUNTIFS($D:$D,$D741,$A:$A,$A741,$B:$B,$B741,$G:$G,"CDU",$J:$J,"PLANNED")&gt;0,"tied","standalone"),"")</f>
        <v/>
      </c>
    </row>
    <row r="742" spans="1:14">
      <c r="A742" s="6">
        <v>2023</v>
      </c>
      <c r="B742" s="6">
        <v>3</v>
      </c>
      <c r="C742" s="6" t="s">
        <v>62</v>
      </c>
      <c r="D742" s="6" t="s">
        <v>652</v>
      </c>
      <c r="E742" s="6" t="s">
        <v>419</v>
      </c>
      <c r="F742" s="6" t="str">
        <f>IF($M742="PADD I","PADD 1",IF($M742="PADD II","PADD 2",IF($M742="PADD III","PADD 3",IF($M742="PADD IV","PADD 4",IF($M742="PADD V","PADD 5","")))))</f>
        <v>PADD 2</v>
      </c>
      <c r="G742" s="6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6" t="s">
        <v>428</v>
      </c>
      <c r="I742" s="6" t="s">
        <v>586</v>
      </c>
      <c r="J742" s="6" t="s">
        <v>394</v>
      </c>
      <c r="K742" s="10">
        <v>3.9</v>
      </c>
      <c r="L742" s="10">
        <v>15</v>
      </c>
      <c r="M742" s="6" t="s">
        <v>425</v>
      </c>
      <c r="N742" s="6">
        <f>IF(OR($G742="FCC",$G742="Hydrocracker",$G742="Reformer"),IF(COUNTIFS($D:$D,$D742,$A:$A,$A742,$B:$B,$B742,$G:$G,"CDU",$J:$J,"PLANNED")&gt;0,"tied","standalone"),"")</f>
        <v/>
      </c>
    </row>
    <row r="743" spans="1:14">
      <c r="A743" s="6">
        <v>2023</v>
      </c>
      <c r="B743" s="6">
        <v>3</v>
      </c>
      <c r="C743" s="6" t="s">
        <v>62</v>
      </c>
      <c r="D743" s="6" t="s">
        <v>49</v>
      </c>
      <c r="E743" s="6" t="s">
        <v>438</v>
      </c>
      <c r="F743" s="6" t="str">
        <f>IF($M743="PADD I","PADD 1",IF($M743="PADD II","PADD 2",IF($M743="PADD III","PADD 3",IF($M743="PADD IV","PADD 4",IF($M743="PADD V","PADD 5","")))))</f>
        <v>PADD 2</v>
      </c>
      <c r="G743" s="6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6" t="s">
        <v>39</v>
      </c>
      <c r="I743" s="6" t="s">
        <v>770</v>
      </c>
      <c r="J743" s="6" t="s">
        <v>398</v>
      </c>
      <c r="K743" s="10">
        <v>3.825</v>
      </c>
      <c r="L743" s="10">
        <v>127.5</v>
      </c>
      <c r="M743" s="6" t="s">
        <v>425</v>
      </c>
      <c r="N743" s="6">
        <f>IF(OR($G743="FCC",$G743="Hydrocracker",$G743="Reformer"),IF(COUNTIFS($D:$D,$D743,$A:$A,$A743,$B:$B,$B743,$G:$G,"CDU",$J:$J,"PLANNED")&gt;0,"tied","standalone"),"")</f>
        <v/>
      </c>
    </row>
    <row r="744" spans="1:14">
      <c r="A744" s="6">
        <v>2023</v>
      </c>
      <c r="B744" s="6">
        <v>3</v>
      </c>
      <c r="C744" s="6" t="s">
        <v>62</v>
      </c>
      <c r="D744" s="6" t="s">
        <v>487</v>
      </c>
      <c r="E744" s="6" t="s">
        <v>488</v>
      </c>
      <c r="F744" s="6" t="str">
        <f>IF($M744="PADD I","PADD 1",IF($M744="PADD II","PADD 2",IF($M744="PADD III","PADD 3",IF($M744="PADD IV","PADD 4",IF($M744="PADD V","PADD 5","")))))</f>
        <v>PADD 4</v>
      </c>
      <c r="G744" s="6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6" t="s">
        <v>428</v>
      </c>
      <c r="I744" s="6" t="s">
        <v>606</v>
      </c>
      <c r="J744" s="6" t="s">
        <v>394</v>
      </c>
      <c r="K744" s="10">
        <v>3.5196</v>
      </c>
      <c r="L744" s="10">
        <v>8.380000000000001</v>
      </c>
      <c r="M744" s="6" t="s">
        <v>480</v>
      </c>
      <c r="N744" s="6">
        <f>IF(OR($G744="FCC",$G744="Hydrocracker",$G744="Reformer"),IF(COUNTIFS($D:$D,$D744,$A:$A,$A744,$B:$B,$B744,$G:$G,"CDU",$J:$J,"PLANNED")&gt;0,"tied","standalone"),"")</f>
        <v/>
      </c>
    </row>
    <row r="745" spans="1:14">
      <c r="A745" s="6">
        <v>2023</v>
      </c>
      <c r="B745" s="6">
        <v>3</v>
      </c>
      <c r="C745" s="6" t="s">
        <v>62</v>
      </c>
      <c r="D745" s="6" t="s">
        <v>682</v>
      </c>
      <c r="E745" s="6" t="s">
        <v>683</v>
      </c>
      <c r="F745" s="6" t="str">
        <f>IF($M745="PADD I","PADD 1",IF($M745="PADD II","PADD 2",IF($M745="PADD III","PADD 3",IF($M745="PADD IV","PADD 4",IF($M745="PADD V","PADD 5","")))))</f>
        <v>PADD 4</v>
      </c>
      <c r="G745" s="6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6" t="s">
        <v>39</v>
      </c>
      <c r="I745" s="6" t="s">
        <v>82</v>
      </c>
      <c r="J745" s="6" t="s">
        <v>394</v>
      </c>
      <c r="K745" s="10">
        <v>3.3</v>
      </c>
      <c r="L745" s="10">
        <v>33</v>
      </c>
      <c r="M745" s="6" t="s">
        <v>480</v>
      </c>
      <c r="N745" s="6">
        <f>IF(OR($G745="FCC",$G745="Hydrocracker",$G745="Reformer"),IF(COUNTIFS($D:$D,$D745,$A:$A,$A745,$B:$B,$B745,$G:$G,"CDU",$J:$J,"PLANNED")&gt;0,"tied","standalone"),"")</f>
        <v/>
      </c>
    </row>
    <row r="746" spans="1:14">
      <c r="A746" s="6">
        <v>2023</v>
      </c>
      <c r="B746" s="6">
        <v>3</v>
      </c>
      <c r="C746" s="6" t="s">
        <v>62</v>
      </c>
      <c r="D746" s="6" t="s">
        <v>561</v>
      </c>
      <c r="E746" s="6" t="s">
        <v>455</v>
      </c>
      <c r="F746" s="6" t="str">
        <f>IF($M746="PADD I","PADD 1",IF($M746="PADD II","PADD 2",IF($M746="PADD III","PADD 3",IF($M746="PADD IV","PADD 4",IF($M746="PADD V","PADD 5","")))))</f>
        <v>PADD 3</v>
      </c>
      <c r="G746" s="6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6" t="s">
        <v>44</v>
      </c>
      <c r="I746" s="6" t="s">
        <v>705</v>
      </c>
      <c r="J746" s="6" t="s">
        <v>394</v>
      </c>
      <c r="K746" s="10">
        <v>3.22</v>
      </c>
      <c r="L746" s="10">
        <v>14</v>
      </c>
      <c r="M746" s="6" t="s">
        <v>421</v>
      </c>
      <c r="N746" s="6">
        <f>IF(OR($G746="FCC",$G746="Hydrocracker",$G746="Reformer"),IF(COUNTIFS($D:$D,$D746,$A:$A,$A746,$B:$B,$B746,$G:$G,"CDU",$J:$J,"PLANNED")&gt;0,"tied","standalone"),"")</f>
        <v/>
      </c>
    </row>
    <row r="747" spans="1:14">
      <c r="A747" s="6">
        <v>2023</v>
      </c>
      <c r="B747" s="6">
        <v>3</v>
      </c>
      <c r="C747" s="6" t="s">
        <v>62</v>
      </c>
      <c r="D747" s="6" t="s">
        <v>789</v>
      </c>
      <c r="E747" s="6" t="s">
        <v>455</v>
      </c>
      <c r="F747" s="6" t="str">
        <f>IF($M747="PADD I","PADD 1",IF($M747="PADD II","PADD 2",IF($M747="PADD III","PADD 3",IF($M747="PADD IV","PADD 4",IF($M747="PADD V","PADD 5","")))))</f>
        <v>PADD 2</v>
      </c>
      <c r="G747" s="6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6" t="s">
        <v>44</v>
      </c>
      <c r="I747" s="6" t="s">
        <v>790</v>
      </c>
      <c r="J747" s="6" t="s">
        <v>394</v>
      </c>
      <c r="K747" s="10">
        <v>3.2</v>
      </c>
      <c r="L747" s="10">
        <v>32</v>
      </c>
      <c r="M747" s="6" t="s">
        <v>425</v>
      </c>
      <c r="N747" s="6">
        <f>IF(OR($G747="FCC",$G747="Hydrocracker",$G747="Reformer"),IF(COUNTIFS($D:$D,$D747,$A:$A,$A747,$B:$B,$B747,$G:$G,"CDU",$J:$J,"PLANNED")&gt;0,"tied","standalone"),"")</f>
        <v/>
      </c>
    </row>
    <row r="748" spans="1:14">
      <c r="A748" s="6">
        <v>2023</v>
      </c>
      <c r="B748" s="6">
        <v>3</v>
      </c>
      <c r="C748" s="6" t="s">
        <v>62</v>
      </c>
      <c r="D748" s="6" t="s">
        <v>49</v>
      </c>
      <c r="E748" s="6" t="s">
        <v>438</v>
      </c>
      <c r="F748" s="6" t="str">
        <f>IF($M748="PADD I","PADD 1",IF($M748="PADD II","PADD 2",IF($M748="PADD III","PADD 3",IF($M748="PADD IV","PADD 4",IF($M748="PADD V","PADD 5","")))))</f>
        <v>PADD 2</v>
      </c>
      <c r="G748" s="6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6" t="s">
        <v>44</v>
      </c>
      <c r="I748" s="6" t="s">
        <v>791</v>
      </c>
      <c r="J748" s="6" t="s">
        <v>398</v>
      </c>
      <c r="K748" s="10">
        <v>3.18</v>
      </c>
      <c r="L748" s="10">
        <v>53</v>
      </c>
      <c r="M748" s="6" t="s">
        <v>425</v>
      </c>
      <c r="N748" s="6">
        <f>IF(OR($G748="FCC",$G748="Hydrocracker",$G748="Reformer"),IF(COUNTIFS($D:$D,$D748,$A:$A,$A748,$B:$B,$B748,$G:$G,"CDU",$J:$J,"PLANNED")&gt;0,"tied","standalone"),"")</f>
        <v/>
      </c>
    </row>
    <row r="749" spans="1:14">
      <c r="A749" s="6">
        <v>2023</v>
      </c>
      <c r="B749" s="6">
        <v>3</v>
      </c>
      <c r="C749" s="6" t="s">
        <v>62</v>
      </c>
      <c r="D749" s="6" t="s">
        <v>422</v>
      </c>
      <c r="E749" s="6" t="s">
        <v>423</v>
      </c>
      <c r="F749" s="6" t="str">
        <f>IF($M749="PADD I","PADD 1",IF($M749="PADD II","PADD 2",IF($M749="PADD III","PADD 3",IF($M749="PADD IV","PADD 4",IF($M749="PADD V","PADD 5","")))))</f>
        <v>PADD 2</v>
      </c>
      <c r="G749" s="6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6" t="s">
        <v>510</v>
      </c>
      <c r="I749" s="6" t="s">
        <v>591</v>
      </c>
      <c r="J749" s="6" t="s">
        <v>394</v>
      </c>
      <c r="K749" s="10">
        <v>3</v>
      </c>
      <c r="L749" s="10">
        <v>3</v>
      </c>
      <c r="M749" s="6" t="s">
        <v>425</v>
      </c>
      <c r="N749" s="6">
        <f>IF(OR($G749="FCC",$G749="Hydrocracker",$G749="Reformer"),IF(COUNTIFS($D:$D,$D749,$A:$A,$A749,$B:$B,$B749,$G:$G,"CDU",$J:$J,"PLANNED")&gt;0,"tied","standalone"),"")</f>
        <v/>
      </c>
    </row>
    <row r="750" spans="1:14">
      <c r="A750" s="6">
        <v>2023</v>
      </c>
      <c r="B750" s="6">
        <v>3</v>
      </c>
      <c r="C750" s="6" t="s">
        <v>62</v>
      </c>
      <c r="D750" s="6" t="s">
        <v>422</v>
      </c>
      <c r="E750" s="6" t="s">
        <v>423</v>
      </c>
      <c r="F750" s="6" t="str">
        <f>IF($M750="PADD I","PADD 1",IF($M750="PADD II","PADD 2",IF($M750="PADD III","PADD 3",IF($M750="PADD IV","PADD 4",IF($M750="PADD V","PADD 5","")))))</f>
        <v>PADD 2</v>
      </c>
      <c r="G750" s="6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6" t="s">
        <v>510</v>
      </c>
      <c r="I750" s="6" t="s">
        <v>658</v>
      </c>
      <c r="J750" s="6" t="s">
        <v>394</v>
      </c>
      <c r="K750" s="10">
        <v>3</v>
      </c>
      <c r="L750" s="10">
        <v>3</v>
      </c>
      <c r="M750" s="6" t="s">
        <v>425</v>
      </c>
      <c r="N750" s="6">
        <f>IF(OR($G750="FCC",$G750="Hydrocracker",$G750="Reformer"),IF(COUNTIFS($D:$D,$D750,$A:$A,$A750,$B:$B,$B750,$G:$G,"CDU",$J:$J,"PLANNED")&gt;0,"tied","standalone"),"")</f>
        <v/>
      </c>
    </row>
    <row r="751" spans="1:14">
      <c r="A751" s="6">
        <v>2023</v>
      </c>
      <c r="B751" s="6">
        <v>3</v>
      </c>
      <c r="C751" s="6" t="s">
        <v>62</v>
      </c>
      <c r="D751" s="6" t="s">
        <v>792</v>
      </c>
      <c r="E751" s="6" t="s">
        <v>438</v>
      </c>
      <c r="F751" s="6" t="str">
        <f>IF($M751="PADD I","PADD 1",IF($M751="PADD II","PADD 2",IF($M751="PADD III","PADD 3",IF($M751="PADD IV","PADD 4",IF($M751="PADD V","PADD 5","")))))</f>
        <v>PADD 5</v>
      </c>
      <c r="G751" s="6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6" t="s">
        <v>44</v>
      </c>
      <c r="I751" s="6" t="s">
        <v>793</v>
      </c>
      <c r="J751" s="6" t="s">
        <v>398</v>
      </c>
      <c r="K751" s="10">
        <v>3</v>
      </c>
      <c r="L751" s="10">
        <v>30</v>
      </c>
      <c r="M751" s="6" t="s">
        <v>436</v>
      </c>
      <c r="N751" s="6">
        <f>IF(OR($G751="FCC",$G751="Hydrocracker",$G751="Reformer"),IF(COUNTIFS($D:$D,$D751,$A:$A,$A751,$B:$B,$B751,$G:$G,"CDU",$J:$J,"PLANNED")&gt;0,"tied","standalone"),"")</f>
        <v/>
      </c>
    </row>
    <row r="752" spans="1:14">
      <c r="A752" s="6">
        <v>2023</v>
      </c>
      <c r="B752" s="6">
        <v>3</v>
      </c>
      <c r="C752" s="6" t="s">
        <v>62</v>
      </c>
      <c r="D752" s="6" t="s">
        <v>380</v>
      </c>
      <c r="E752" s="6" t="s">
        <v>423</v>
      </c>
      <c r="F752" s="6" t="str">
        <f>IF($M752="PADD I","PADD 1",IF($M752="PADD II","PADD 2",IF($M752="PADD III","PADD 3",IF($M752="PADD IV","PADD 4",IF($M752="PADD V","PADD 5","")))))</f>
        <v>PADD 2</v>
      </c>
      <c r="G752" s="6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6" t="s">
        <v>485</v>
      </c>
      <c r="I752" s="6" t="s">
        <v>491</v>
      </c>
      <c r="J752" s="6" t="s">
        <v>394</v>
      </c>
      <c r="K752" s="10">
        <v>2.99</v>
      </c>
      <c r="L752" s="10">
        <v>23</v>
      </c>
      <c r="M752" s="6" t="s">
        <v>425</v>
      </c>
      <c r="N752" s="6">
        <f>IF(OR($G752="FCC",$G752="Hydrocracker",$G752="Reformer"),IF(COUNTIFS($D:$D,$D752,$A:$A,$A752,$B:$B,$B752,$G:$G,"CDU",$J:$J,"PLANNED")&gt;0,"tied","standalone"),"")</f>
        <v/>
      </c>
    </row>
    <row r="753" spans="1:14">
      <c r="A753" s="6">
        <v>2023</v>
      </c>
      <c r="B753" s="6">
        <v>3</v>
      </c>
      <c r="C753" s="6" t="s">
        <v>62</v>
      </c>
      <c r="D753" s="6" t="s">
        <v>375</v>
      </c>
      <c r="E753" s="6" t="s">
        <v>435</v>
      </c>
      <c r="F753" s="6" t="str">
        <f>IF($M753="PADD I","PADD 1",IF($M753="PADD II","PADD 2",IF($M753="PADD III","PADD 3",IF($M753="PADD IV","PADD 4",IF($M753="PADD V","PADD 5","")))))</f>
        <v>PADD 5</v>
      </c>
      <c r="G753" s="6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6" t="s">
        <v>485</v>
      </c>
      <c r="I753" s="6" t="s">
        <v>491</v>
      </c>
      <c r="J753" s="6" t="s">
        <v>394</v>
      </c>
      <c r="K753" s="10">
        <v>2.925</v>
      </c>
      <c r="L753" s="10">
        <v>22.5</v>
      </c>
      <c r="M753" s="6" t="s">
        <v>436</v>
      </c>
      <c r="N753" s="6">
        <f>IF(OR($G753="FCC",$G753="Hydrocracker",$G753="Reformer"),IF(COUNTIFS($D:$D,$D753,$A:$A,$A753,$B:$B,$B753,$G:$G,"CDU",$J:$J,"PLANNED")&gt;0,"tied","standalone"),"")</f>
        <v/>
      </c>
    </row>
    <row r="754" spans="1:14">
      <c r="A754" s="6">
        <v>2023</v>
      </c>
      <c r="B754" s="6">
        <v>3</v>
      </c>
      <c r="C754" s="6" t="s">
        <v>62</v>
      </c>
      <c r="D754" s="6" t="s">
        <v>696</v>
      </c>
      <c r="E754" s="6" t="s">
        <v>455</v>
      </c>
      <c r="F754" s="6" t="str">
        <f>IF($M754="PADD I","PADD 1",IF($M754="PADD II","PADD 2",IF($M754="PADD III","PADD 3",IF($M754="PADD IV","PADD 4",IF($M754="PADD V","PADD 5","")))))</f>
        <v>PADD 3</v>
      </c>
      <c r="G754" s="6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6" t="s">
        <v>44</v>
      </c>
      <c r="I754" s="6" t="s">
        <v>697</v>
      </c>
      <c r="J754" s="6" t="s">
        <v>394</v>
      </c>
      <c r="K754" s="10">
        <v>2.7</v>
      </c>
      <c r="L754" s="10">
        <v>45</v>
      </c>
      <c r="M754" s="6" t="s">
        <v>421</v>
      </c>
      <c r="N754" s="6">
        <f>IF(OR($G754="FCC",$G754="Hydrocracker",$G754="Reformer"),IF(COUNTIFS($D:$D,$D754,$A:$A,$A754,$B:$B,$B754,$G:$G,"CDU",$J:$J,"PLANNED")&gt;0,"tied","standalone"),"")</f>
        <v/>
      </c>
    </row>
    <row r="755" spans="1:14">
      <c r="A755" s="6">
        <v>2023</v>
      </c>
      <c r="B755" s="6">
        <v>3</v>
      </c>
      <c r="C755" s="6" t="s">
        <v>62</v>
      </c>
      <c r="D755" s="6" t="s">
        <v>518</v>
      </c>
      <c r="E755" s="6" t="s">
        <v>419</v>
      </c>
      <c r="F755" s="6" t="str">
        <f>IF($M755="PADD I","PADD 1",IF($M755="PADD II","PADD 2",IF($M755="PADD III","PADD 3",IF($M755="PADD IV","PADD 4",IF($M755="PADD V","PADD 5","")))))</f>
        <v>PADD 3</v>
      </c>
      <c r="G755" s="6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6" t="s">
        <v>39</v>
      </c>
      <c r="I755" s="6" t="s">
        <v>611</v>
      </c>
      <c r="J755" s="6" t="s">
        <v>398</v>
      </c>
      <c r="K755" s="10">
        <v>2.665</v>
      </c>
      <c r="L755" s="10">
        <v>20.5</v>
      </c>
      <c r="M755" s="6" t="s">
        <v>421</v>
      </c>
      <c r="N755" s="6">
        <f>IF(OR($G755="FCC",$G755="Hydrocracker",$G755="Reformer"),IF(COUNTIFS($D:$D,$D755,$A:$A,$A755,$B:$B,$B755,$G:$G,"CDU",$J:$J,"PLANNED")&gt;0,"tied","standalone"),"")</f>
        <v/>
      </c>
    </row>
    <row r="756" spans="1:14">
      <c r="A756" s="6">
        <v>2023</v>
      </c>
      <c r="B756" s="6">
        <v>3</v>
      </c>
      <c r="C756" s="6" t="s">
        <v>62</v>
      </c>
      <c r="D756" s="6" t="s">
        <v>375</v>
      </c>
      <c r="E756" s="6" t="s">
        <v>435</v>
      </c>
      <c r="F756" s="6" t="str">
        <f>IF($M756="PADD I","PADD 1",IF($M756="PADD II","PADD 2",IF($M756="PADD III","PADD 3",IF($M756="PADD IV","PADD 4",IF($M756="PADD V","PADD 5","")))))</f>
        <v>PADD 5</v>
      </c>
      <c r="G756" s="6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6" t="s">
        <v>494</v>
      </c>
      <c r="I756" s="6" t="s">
        <v>548</v>
      </c>
      <c r="J756" s="6" t="s">
        <v>398</v>
      </c>
      <c r="K756" s="10">
        <v>2.52</v>
      </c>
      <c r="L756" s="10">
        <v>42</v>
      </c>
      <c r="M756" s="6" t="s">
        <v>436</v>
      </c>
      <c r="N756" s="6" t="str">
        <f>IF(OR($G756="FCC",$G756="Hydrocracker",$G756="Reformer"),IF(COUNTIFS($D:$D,$D756,$A:$A,$A756,$B:$B,$B756,$G:$G,"CDU",$J:$J,"PLANNED")&gt;0,"tied","standalone"),"")</f>
        <v>tied</v>
      </c>
    </row>
    <row r="757" spans="1:14">
      <c r="A757" s="6">
        <v>2023</v>
      </c>
      <c r="B757" s="6">
        <v>3</v>
      </c>
      <c r="C757" s="6" t="s">
        <v>62</v>
      </c>
      <c r="D757" s="6" t="s">
        <v>792</v>
      </c>
      <c r="E757" s="6" t="s">
        <v>438</v>
      </c>
      <c r="F757" s="6" t="str">
        <f>IF($M757="PADD I","PADD 1",IF($M757="PADD II","PADD 2",IF($M757="PADD III","PADD 3",IF($M757="PADD IV","PADD 4",IF($M757="PADD V","PADD 5","")))))</f>
        <v>PADD 5</v>
      </c>
      <c r="G757" s="6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6" t="s">
        <v>426</v>
      </c>
      <c r="I757" s="6" t="s">
        <v>106</v>
      </c>
      <c r="J757" s="6" t="s">
        <v>398</v>
      </c>
      <c r="K757" s="10">
        <v>2.52</v>
      </c>
      <c r="L757" s="10">
        <v>42</v>
      </c>
      <c r="M757" s="6" t="s">
        <v>436</v>
      </c>
      <c r="N757" s="6" t="str">
        <f>IF(OR($G757="FCC",$G757="Hydrocracker",$G757="Reformer"),IF(COUNTIFS($D:$D,$D757,$A:$A,$A757,$B:$B,$B757,$G:$G,"CDU",$J:$J,"PLANNED")&gt;0,"tied","standalone"),"")</f>
        <v>tied</v>
      </c>
    </row>
    <row r="758" spans="1:14">
      <c r="A758" s="6">
        <v>2023</v>
      </c>
      <c r="B758" s="6">
        <v>3</v>
      </c>
      <c r="C758" s="6" t="s">
        <v>62</v>
      </c>
      <c r="D758" s="6" t="s">
        <v>792</v>
      </c>
      <c r="E758" s="6" t="s">
        <v>438</v>
      </c>
      <c r="F758" s="6" t="str">
        <f>IF($M758="PADD I","PADD 1",IF($M758="PADD II","PADD 2",IF($M758="PADD III","PADD 3",IF($M758="PADD IV","PADD 4",IF($M758="PADD V","PADD 5","")))))</f>
        <v>PADD 5</v>
      </c>
      <c r="G758" s="6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6" t="s">
        <v>44</v>
      </c>
      <c r="I758" s="6" t="s">
        <v>794</v>
      </c>
      <c r="J758" s="6" t="s">
        <v>398</v>
      </c>
      <c r="K758" s="10">
        <v>2.5</v>
      </c>
      <c r="L758" s="10">
        <v>25</v>
      </c>
      <c r="M758" s="6" t="s">
        <v>436</v>
      </c>
      <c r="N758" s="6">
        <f>IF(OR($G758="FCC",$G758="Hydrocracker",$G758="Reformer"),IF(COUNTIFS($D:$D,$D758,$A:$A,$A758,$B:$B,$B758,$G:$G,"CDU",$J:$J,"PLANNED")&gt;0,"tied","standalone"),"")</f>
        <v/>
      </c>
    </row>
    <row r="759" spans="1:14">
      <c r="A759" s="6">
        <v>2023</v>
      </c>
      <c r="B759" s="6">
        <v>3</v>
      </c>
      <c r="C759" s="6" t="s">
        <v>62</v>
      </c>
      <c r="D759" s="6" t="s">
        <v>782</v>
      </c>
      <c r="E759" s="6" t="s">
        <v>783</v>
      </c>
      <c r="F759" s="6" t="str">
        <f>IF($M759="PADD I","PADD 1",IF($M759="PADD II","PADD 2",IF($M759="PADD III","PADD 3",IF($M759="PADD IV","PADD 4",IF($M759="PADD V","PADD 5","")))))</f>
        <v>PADD 4</v>
      </c>
      <c r="G759" s="6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6" t="s">
        <v>44</v>
      </c>
      <c r="I759" s="6" t="s">
        <v>795</v>
      </c>
      <c r="J759" s="6" t="s">
        <v>398</v>
      </c>
      <c r="K759" s="10">
        <v>2.405</v>
      </c>
      <c r="L759" s="10">
        <v>18.5</v>
      </c>
      <c r="M759" s="6" t="s">
        <v>480</v>
      </c>
      <c r="N759" s="6">
        <f>IF(OR($G759="FCC",$G759="Hydrocracker",$G759="Reformer"),IF(COUNTIFS($D:$D,$D759,$A:$A,$A759,$B:$B,$B759,$G:$G,"CDU",$J:$J,"PLANNED")&gt;0,"tied","standalone"),"")</f>
        <v/>
      </c>
    </row>
    <row r="760" spans="1:14">
      <c r="A760" s="6">
        <v>2023</v>
      </c>
      <c r="B760" s="6">
        <v>3</v>
      </c>
      <c r="C760" s="6" t="s">
        <v>62</v>
      </c>
      <c r="D760" s="6" t="s">
        <v>452</v>
      </c>
      <c r="E760" s="6" t="s">
        <v>453</v>
      </c>
      <c r="F760" s="6" t="str">
        <f>IF($M760="PADD I","PADD 1",IF($M760="PADD II","PADD 2",IF($M760="PADD III","PADD 3",IF($M760="PADD IV","PADD 4",IF($M760="PADD V","PADD 5","")))))</f>
        <v>PADD 3</v>
      </c>
      <c r="G760" s="6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6" t="s">
        <v>618</v>
      </c>
      <c r="I760" s="6" t="s">
        <v>650</v>
      </c>
      <c r="J760" s="6" t="s">
        <v>398</v>
      </c>
      <c r="K760" s="10">
        <v>2.25</v>
      </c>
      <c r="L760" s="10">
        <v>5</v>
      </c>
      <c r="M760" s="6" t="s">
        <v>421</v>
      </c>
      <c r="N760" s="6">
        <f>IF(OR($G760="FCC",$G760="Hydrocracker",$G760="Reformer"),IF(COUNTIFS($D:$D,$D760,$A:$A,$A760,$B:$B,$B760,$G:$G,"CDU",$J:$J,"PLANNED")&gt;0,"tied","standalone"),"")</f>
        <v/>
      </c>
    </row>
    <row r="761" spans="1:14">
      <c r="A761" s="6">
        <v>2023</v>
      </c>
      <c r="B761" s="6">
        <v>3</v>
      </c>
      <c r="C761" s="6" t="s">
        <v>62</v>
      </c>
      <c r="D761" s="6" t="s">
        <v>777</v>
      </c>
      <c r="E761" s="6" t="s">
        <v>778</v>
      </c>
      <c r="F761" s="6" t="str">
        <f>IF($M761="PADD I","PADD 1",IF($M761="PADD II","PADD 2",IF($M761="PADD III","PADD 3",IF($M761="PADD IV","PADD 4",IF($M761="PADD V","PADD 5","")))))</f>
        <v>PADD 1</v>
      </c>
      <c r="G761" s="6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6" t="s">
        <v>428</v>
      </c>
      <c r="I761" s="6" t="s">
        <v>481</v>
      </c>
      <c r="J761" s="6" t="s">
        <v>398</v>
      </c>
      <c r="K761" s="10">
        <v>2.21</v>
      </c>
      <c r="L761" s="10">
        <v>8.5</v>
      </c>
      <c r="M761" s="6" t="s">
        <v>463</v>
      </c>
      <c r="N761" s="6">
        <f>IF(OR($G761="FCC",$G761="Hydrocracker",$G761="Reformer"),IF(COUNTIFS($D:$D,$D761,$A:$A,$A761,$B:$B,$B761,$G:$G,"CDU",$J:$J,"PLANNED")&gt;0,"tied","standalone"),"")</f>
        <v/>
      </c>
    </row>
    <row r="762" spans="1:14">
      <c r="A762" s="6">
        <v>2023</v>
      </c>
      <c r="B762" s="6">
        <v>3</v>
      </c>
      <c r="C762" s="6" t="s">
        <v>62</v>
      </c>
      <c r="D762" s="6" t="s">
        <v>452</v>
      </c>
      <c r="E762" s="6" t="s">
        <v>453</v>
      </c>
      <c r="F762" s="6" t="str">
        <f>IF($M762="PADD I","PADD 1",IF($M762="PADD II","PADD 2",IF($M762="PADD III","PADD 3",IF($M762="PADD IV","PADD 4",IF($M762="PADD V","PADD 5","")))))</f>
        <v>PADD 3</v>
      </c>
      <c r="G762" s="6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6" t="s">
        <v>510</v>
      </c>
      <c r="I762" s="6" t="s">
        <v>653</v>
      </c>
      <c r="J762" s="6" t="s">
        <v>398</v>
      </c>
      <c r="K762" s="10">
        <v>2.16</v>
      </c>
      <c r="L762" s="10">
        <v>4.8</v>
      </c>
      <c r="M762" s="6" t="s">
        <v>421</v>
      </c>
      <c r="N762" s="6">
        <f>IF(OR($G762="FCC",$G762="Hydrocracker",$G762="Reformer"),IF(COUNTIFS($D:$D,$D762,$A:$A,$A762,$B:$B,$B762,$G:$G,"CDU",$J:$J,"PLANNED")&gt;0,"tied","standalone"),"")</f>
        <v/>
      </c>
    </row>
    <row r="763" spans="1:14">
      <c r="A763" s="6">
        <v>2023</v>
      </c>
      <c r="B763" s="6">
        <v>3</v>
      </c>
      <c r="C763" s="6" t="s">
        <v>62</v>
      </c>
      <c r="D763" s="6" t="s">
        <v>375</v>
      </c>
      <c r="E763" s="6" t="s">
        <v>435</v>
      </c>
      <c r="F763" s="6" t="str">
        <f>IF($M763="PADD I","PADD 1",IF($M763="PADD II","PADD 2",IF($M763="PADD III","PADD 3",IF($M763="PADD IV","PADD 4",IF($M763="PADD V","PADD 5","")))))</f>
        <v>PADD 5</v>
      </c>
      <c r="G763" s="6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6" t="s">
        <v>426</v>
      </c>
      <c r="I763" s="6" t="s">
        <v>554</v>
      </c>
      <c r="J763" s="6" t="s">
        <v>398</v>
      </c>
      <c r="K763" s="10">
        <v>2.1</v>
      </c>
      <c r="L763" s="10">
        <v>35</v>
      </c>
      <c r="M763" s="6" t="s">
        <v>436</v>
      </c>
      <c r="N763" s="6" t="str">
        <f>IF(OR($G763="FCC",$G763="Hydrocracker",$G763="Reformer"),IF(COUNTIFS($D:$D,$D763,$A:$A,$A763,$B:$B,$B763,$G:$G,"CDU",$J:$J,"PLANNED")&gt;0,"tied","standalone"),"")</f>
        <v>tied</v>
      </c>
    </row>
    <row r="764" spans="1:14">
      <c r="A764" s="6">
        <v>2023</v>
      </c>
      <c r="B764" s="6">
        <v>3</v>
      </c>
      <c r="C764" s="6" t="s">
        <v>62</v>
      </c>
      <c r="D764" s="6" t="s">
        <v>782</v>
      </c>
      <c r="E764" s="6" t="s">
        <v>783</v>
      </c>
      <c r="F764" s="6" t="str">
        <f>IF($M764="PADD I","PADD 1",IF($M764="PADD II","PADD 2",IF($M764="PADD III","PADD 3",IF($M764="PADD IV","PADD 4",IF($M764="PADD V","PADD 5","")))))</f>
        <v>PADD 4</v>
      </c>
      <c r="G764" s="6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6" t="s">
        <v>426</v>
      </c>
      <c r="I764" s="6" t="s">
        <v>106</v>
      </c>
      <c r="J764" s="6" t="s">
        <v>398</v>
      </c>
      <c r="K764" s="10">
        <v>2.08</v>
      </c>
      <c r="L764" s="10">
        <v>16</v>
      </c>
      <c r="M764" s="6" t="s">
        <v>480</v>
      </c>
      <c r="N764" s="6" t="str">
        <f>IF(OR($G764="FCC",$G764="Hydrocracker",$G764="Reformer"),IF(COUNTIFS($D:$D,$D764,$A:$A,$A764,$B:$B,$B764,$G:$G,"CDU",$J:$J,"PLANNED")&gt;0,"tied","standalone"),"")</f>
        <v>tied</v>
      </c>
    </row>
    <row r="765" spans="1:14">
      <c r="A765" s="6">
        <v>2023</v>
      </c>
      <c r="B765" s="6">
        <v>3</v>
      </c>
      <c r="C765" s="6" t="s">
        <v>62</v>
      </c>
      <c r="D765" s="6" t="s">
        <v>777</v>
      </c>
      <c r="E765" s="6" t="s">
        <v>778</v>
      </c>
      <c r="F765" s="6" t="str">
        <f>IF($M765="PADD I","PADD 1",IF($M765="PADD II","PADD 2",IF($M765="PADD III","PADD 3",IF($M765="PADD IV","PADD 4",IF($M765="PADD V","PADD 5","")))))</f>
        <v>PADD 1</v>
      </c>
      <c r="G765" s="6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6" t="s">
        <v>44</v>
      </c>
      <c r="I765" s="6" t="s">
        <v>570</v>
      </c>
      <c r="J765" s="6" t="s">
        <v>398</v>
      </c>
      <c r="K765" s="10">
        <v>2.08</v>
      </c>
      <c r="L765" s="10">
        <v>8</v>
      </c>
      <c r="M765" s="6" t="s">
        <v>463</v>
      </c>
      <c r="N765" s="6">
        <f>IF(OR($G765="FCC",$G765="Hydrocracker",$G765="Reformer"),IF(COUNTIFS($D:$D,$D765,$A:$A,$A765,$B:$B,$B765,$G:$G,"CDU",$J:$J,"PLANNED")&gt;0,"tied","standalone"),"")</f>
        <v/>
      </c>
    </row>
    <row r="766" spans="1:14">
      <c r="A766" s="6">
        <v>2023</v>
      </c>
      <c r="B766" s="6">
        <v>3</v>
      </c>
      <c r="C766" s="6" t="s">
        <v>62</v>
      </c>
      <c r="D766" s="6" t="s">
        <v>662</v>
      </c>
      <c r="E766" s="6" t="s">
        <v>466</v>
      </c>
      <c r="F766" s="6" t="str">
        <f>IF($M766="PADD I","PADD 1",IF($M766="PADD II","PADD 2",IF($M766="PADD III","PADD 3",IF($M766="PADD IV","PADD 4",IF($M766="PADD V","PADD 5","")))))</f>
        <v>PADD 3</v>
      </c>
      <c r="G766" s="6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6" t="s">
        <v>426</v>
      </c>
      <c r="I766" s="6" t="s">
        <v>478</v>
      </c>
      <c r="J766" s="6" t="s">
        <v>394</v>
      </c>
      <c r="K766" s="10">
        <v>2.07</v>
      </c>
      <c r="L766" s="10">
        <v>69</v>
      </c>
      <c r="M766" s="6" t="s">
        <v>421</v>
      </c>
      <c r="N766" s="6" t="str">
        <f>IF(OR($G766="FCC",$G766="Hydrocracker",$G766="Reformer"),IF(COUNTIFS($D:$D,$D766,$A:$A,$A766,$B:$B,$B766,$G:$G,"CDU",$J:$J,"PLANNED")&gt;0,"tied","standalone"),"")</f>
        <v>standalone</v>
      </c>
    </row>
    <row r="767" spans="1:14">
      <c r="A767" s="6">
        <v>2023</v>
      </c>
      <c r="B767" s="6">
        <v>3</v>
      </c>
      <c r="C767" s="6" t="s">
        <v>62</v>
      </c>
      <c r="D767" s="6" t="s">
        <v>518</v>
      </c>
      <c r="E767" s="6" t="s">
        <v>419</v>
      </c>
      <c r="F767" s="6" t="str">
        <f>IF($M767="PADD I","PADD 1",IF($M767="PADD II","PADD 2",IF($M767="PADD III","PADD 3",IF($M767="PADD IV","PADD 4",IF($M767="PADD V","PADD 5","")))))</f>
        <v>PADD 3</v>
      </c>
      <c r="G767" s="6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6" t="s">
        <v>39</v>
      </c>
      <c r="I767" s="6" t="s">
        <v>559</v>
      </c>
      <c r="J767" s="6" t="s">
        <v>398</v>
      </c>
      <c r="K767" s="10">
        <v>2.04</v>
      </c>
      <c r="L767" s="10">
        <v>68</v>
      </c>
      <c r="M767" s="6" t="s">
        <v>421</v>
      </c>
      <c r="N767" s="6">
        <f>IF(OR($G767="FCC",$G767="Hydrocracker",$G767="Reformer"),IF(COUNTIFS($D:$D,$D767,$A:$A,$A767,$B:$B,$B767,$G:$G,"CDU",$J:$J,"PLANNED")&gt;0,"tied","standalone"),"")</f>
        <v/>
      </c>
    </row>
    <row r="768" spans="1:14">
      <c r="A768" s="6">
        <v>2023</v>
      </c>
      <c r="B768" s="6">
        <v>3</v>
      </c>
      <c r="C768" s="6" t="s">
        <v>62</v>
      </c>
      <c r="D768" s="6" t="s">
        <v>512</v>
      </c>
      <c r="E768" s="6" t="s">
        <v>488</v>
      </c>
      <c r="F768" s="6" t="str">
        <f>IF($M768="PADD I","PADD 1",IF($M768="PADD II","PADD 2",IF($M768="PADD III","PADD 3",IF($M768="PADD IV","PADD 4",IF($M768="PADD V","PADD 5","")))))</f>
        <v>PADD 4</v>
      </c>
      <c r="G768" s="6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6" t="s">
        <v>39</v>
      </c>
      <c r="I768" s="6" t="s">
        <v>124</v>
      </c>
      <c r="J768" s="6" t="s">
        <v>394</v>
      </c>
      <c r="K768" s="10">
        <v>2.022</v>
      </c>
      <c r="L768" s="10">
        <v>33.7</v>
      </c>
      <c r="M768" s="6" t="s">
        <v>480</v>
      </c>
      <c r="N768" s="6">
        <f>IF(OR($G768="FCC",$G768="Hydrocracker",$G768="Reformer"),IF(COUNTIFS($D:$D,$D768,$A:$A,$A768,$B:$B,$B768,$G:$G,"CDU",$J:$J,"PLANNED")&gt;0,"tied","standalone"),"")</f>
        <v/>
      </c>
    </row>
    <row r="769" spans="1:14">
      <c r="A769" s="6">
        <v>2023</v>
      </c>
      <c r="B769" s="6">
        <v>3</v>
      </c>
      <c r="C769" s="6" t="s">
        <v>62</v>
      </c>
      <c r="D769" s="6" t="s">
        <v>470</v>
      </c>
      <c r="E769" s="6" t="s">
        <v>423</v>
      </c>
      <c r="F769" s="6" t="str">
        <f>IF($M769="PADD I","PADD 1",IF($M769="PADD II","PADD 2",IF($M769="PADD III","PADD 3",IF($M769="PADD IV","PADD 4",IF($M769="PADD V","PADD 5","")))))</f>
        <v>PADD 2</v>
      </c>
      <c r="G769" s="6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6" t="s">
        <v>618</v>
      </c>
      <c r="I769" s="6" t="s">
        <v>654</v>
      </c>
      <c r="J769" s="6" t="s">
        <v>394</v>
      </c>
      <c r="K769" s="10">
        <v>2</v>
      </c>
      <c r="L769" s="10">
        <v>2</v>
      </c>
      <c r="M769" s="6" t="s">
        <v>425</v>
      </c>
      <c r="N769" s="6">
        <f>IF(OR($G769="FCC",$G769="Hydrocracker",$G769="Reformer"),IF(COUNTIFS($D:$D,$D769,$A:$A,$A769,$B:$B,$B769,$G:$G,"CDU",$J:$J,"PLANNED")&gt;0,"tied","standalone"),"")</f>
        <v/>
      </c>
    </row>
    <row r="770" spans="1:14">
      <c r="A770" s="6">
        <v>2023</v>
      </c>
      <c r="B770" s="6">
        <v>3</v>
      </c>
      <c r="C770" s="6" t="s">
        <v>62</v>
      </c>
      <c r="D770" s="6" t="s">
        <v>782</v>
      </c>
      <c r="E770" s="6" t="s">
        <v>783</v>
      </c>
      <c r="F770" s="6" t="str">
        <f>IF($M770="PADD I","PADD 1",IF($M770="PADD II","PADD 2",IF($M770="PADD III","PADD 3",IF($M770="PADD IV","PADD 4",IF($M770="PADD V","PADD 5","")))))</f>
        <v>PADD 4</v>
      </c>
      <c r="G770" s="6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6" t="s">
        <v>485</v>
      </c>
      <c r="I770" s="6" t="s">
        <v>491</v>
      </c>
      <c r="J770" s="6" t="s">
        <v>398</v>
      </c>
      <c r="K770" s="10">
        <v>1.95</v>
      </c>
      <c r="L770" s="10">
        <v>15</v>
      </c>
      <c r="M770" s="6" t="s">
        <v>480</v>
      </c>
      <c r="N770" s="6">
        <f>IF(OR($G770="FCC",$G770="Hydrocracker",$G770="Reformer"),IF(COUNTIFS($D:$D,$D770,$A:$A,$A770,$B:$B,$B770,$G:$G,"CDU",$J:$J,"PLANNED")&gt;0,"tied","standalone"),"")</f>
        <v/>
      </c>
    </row>
    <row r="771" spans="1:14">
      <c r="A771" s="6">
        <v>2023</v>
      </c>
      <c r="B771" s="6">
        <v>3</v>
      </c>
      <c r="C771" s="6" t="s">
        <v>62</v>
      </c>
      <c r="D771" s="6" t="s">
        <v>782</v>
      </c>
      <c r="E771" s="6" t="s">
        <v>783</v>
      </c>
      <c r="F771" s="6" t="str">
        <f>IF($M771="PADD I","PADD 1",IF($M771="PADD II","PADD 2",IF($M771="PADD III","PADD 3",IF($M771="PADD IV","PADD 4",IF($M771="PADD V","PADD 5","")))))</f>
        <v>PADD 4</v>
      </c>
      <c r="G771" s="6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6" t="s">
        <v>44</v>
      </c>
      <c r="I771" s="6" t="s">
        <v>796</v>
      </c>
      <c r="J771" s="6" t="s">
        <v>398</v>
      </c>
      <c r="K771" s="10">
        <v>1.95</v>
      </c>
      <c r="L771" s="10">
        <v>15</v>
      </c>
      <c r="M771" s="6" t="s">
        <v>480</v>
      </c>
      <c r="N771" s="6">
        <f>IF(OR($G771="FCC",$G771="Hydrocracker",$G771="Reformer"),IF(COUNTIFS($D:$D,$D771,$A:$A,$A771,$B:$B,$B771,$G:$G,"CDU",$J:$J,"PLANNED")&gt;0,"tied","standalone"),"")</f>
        <v/>
      </c>
    </row>
    <row r="772" spans="1:14">
      <c r="A772" s="6">
        <v>2023</v>
      </c>
      <c r="B772" s="6">
        <v>3</v>
      </c>
      <c r="C772" s="6" t="s">
        <v>62</v>
      </c>
      <c r="D772" s="6" t="s">
        <v>782</v>
      </c>
      <c r="E772" s="6" t="s">
        <v>783</v>
      </c>
      <c r="F772" s="6" t="str">
        <f>IF($M772="PADD I","PADD 1",IF($M772="PADD II","PADD 2",IF($M772="PADD III","PADD 3",IF($M772="PADD IV","PADD 4",IF($M772="PADD V","PADD 5","")))))</f>
        <v>PADD 4</v>
      </c>
      <c r="G772" s="6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6" t="s">
        <v>494</v>
      </c>
      <c r="I772" s="6" t="s">
        <v>757</v>
      </c>
      <c r="J772" s="6" t="s">
        <v>398</v>
      </c>
      <c r="K772" s="10">
        <v>1.95</v>
      </c>
      <c r="L772" s="10">
        <v>15</v>
      </c>
      <c r="M772" s="6" t="s">
        <v>480</v>
      </c>
      <c r="N772" s="6" t="str">
        <f>IF(OR($G772="FCC",$G772="Hydrocracker",$G772="Reformer"),IF(COUNTIFS($D:$D,$D772,$A:$A,$A772,$B:$B,$B772,$G:$G,"CDU",$J:$J,"PLANNED")&gt;0,"tied","standalone"),"")</f>
        <v>tied</v>
      </c>
    </row>
    <row r="773" spans="1:14">
      <c r="A773" s="6">
        <v>2023</v>
      </c>
      <c r="B773" s="6">
        <v>3</v>
      </c>
      <c r="C773" s="6" t="s">
        <v>62</v>
      </c>
      <c r="D773" s="6" t="s">
        <v>49</v>
      </c>
      <c r="E773" s="6" t="s">
        <v>438</v>
      </c>
      <c r="F773" s="6" t="str">
        <f>IF($M773="PADD I","PADD 1",IF($M773="PADD II","PADD 2",IF($M773="PADD III","PADD 3",IF($M773="PADD IV","PADD 4",IF($M773="PADD V","PADD 5","")))))</f>
        <v>PADD 2</v>
      </c>
      <c r="G773" s="6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6" t="s">
        <v>428</v>
      </c>
      <c r="I773" s="6" t="s">
        <v>481</v>
      </c>
      <c r="J773" s="6" t="s">
        <v>394</v>
      </c>
      <c r="K773" s="10">
        <v>1.95</v>
      </c>
      <c r="L773" s="10">
        <v>65</v>
      </c>
      <c r="M773" s="6" t="s">
        <v>425</v>
      </c>
      <c r="N773" s="6">
        <f>IF(OR($G773="FCC",$G773="Hydrocracker",$G773="Reformer"),IF(COUNTIFS($D:$D,$D773,$A:$A,$A773,$B:$B,$B773,$G:$G,"CDU",$J:$J,"PLANNED")&gt;0,"tied","standalone"),"")</f>
        <v/>
      </c>
    </row>
    <row r="774" spans="1:14">
      <c r="A774" s="6">
        <v>2023</v>
      </c>
      <c r="B774" s="6">
        <v>3</v>
      </c>
      <c r="C774" s="6" t="s">
        <v>62</v>
      </c>
      <c r="D774" s="6" t="s">
        <v>534</v>
      </c>
      <c r="E774" s="6" t="s">
        <v>459</v>
      </c>
      <c r="F774" s="6" t="str">
        <f>IF($M774="PADD I","PADD 1",IF($M774="PADD II","PADD 2",IF($M774="PADD III","PADD 3",IF($M774="PADD IV","PADD 4",IF($M774="PADD V","PADD 5","")))))</f>
        <v>PADD 3</v>
      </c>
      <c r="G774" s="6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6" t="s">
        <v>44</v>
      </c>
      <c r="I774" s="6" t="s">
        <v>543</v>
      </c>
      <c r="J774" s="6" t="s">
        <v>394</v>
      </c>
      <c r="K774" s="10">
        <v>1.9</v>
      </c>
      <c r="L774" s="10">
        <v>10</v>
      </c>
      <c r="M774" s="6" t="s">
        <v>421</v>
      </c>
      <c r="N774" s="6">
        <f>IF(OR($G774="FCC",$G774="Hydrocracker",$G774="Reformer"),IF(COUNTIFS($D:$D,$D774,$A:$A,$A774,$B:$B,$B774,$G:$G,"CDU",$J:$J,"PLANNED")&gt;0,"tied","standalone"),"")</f>
        <v/>
      </c>
    </row>
    <row r="775" spans="1:14">
      <c r="A775" s="6">
        <v>2023</v>
      </c>
      <c r="B775" s="6">
        <v>3</v>
      </c>
      <c r="C775" s="6" t="s">
        <v>62</v>
      </c>
      <c r="D775" s="6" t="s">
        <v>782</v>
      </c>
      <c r="E775" s="6" t="s">
        <v>783</v>
      </c>
      <c r="F775" s="6" t="str">
        <f>IF($M775="PADD I","PADD 1",IF($M775="PADD II","PADD 2",IF($M775="PADD III","PADD 3",IF($M775="PADD IV","PADD 4",IF($M775="PADD V","PADD 5","")))))</f>
        <v>PADD 4</v>
      </c>
      <c r="G775" s="6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6" t="s">
        <v>44</v>
      </c>
      <c r="I775" s="6" t="s">
        <v>797</v>
      </c>
      <c r="J775" s="6" t="s">
        <v>398</v>
      </c>
      <c r="K775" s="10">
        <v>1.82</v>
      </c>
      <c r="L775" s="10">
        <v>14</v>
      </c>
      <c r="M775" s="6" t="s">
        <v>480</v>
      </c>
      <c r="N775" s="6">
        <f>IF(OR($G775="FCC",$G775="Hydrocracker",$G775="Reformer"),IF(COUNTIFS($D:$D,$D775,$A:$A,$A775,$B:$B,$B775,$G:$G,"CDU",$J:$J,"PLANNED")&gt;0,"tied","standalone"),"")</f>
        <v/>
      </c>
    </row>
    <row r="776" spans="1:14">
      <c r="A776" s="6">
        <v>2023</v>
      </c>
      <c r="B776" s="6">
        <v>3</v>
      </c>
      <c r="C776" s="6" t="s">
        <v>62</v>
      </c>
      <c r="D776" s="6" t="s">
        <v>764</v>
      </c>
      <c r="E776" s="6" t="s">
        <v>455</v>
      </c>
      <c r="F776" s="6" t="str">
        <f>IF($M776="PADD I","PADD 1",IF($M776="PADD II","PADD 2",IF($M776="PADD III","PADD 3",IF($M776="PADD IV","PADD 4",IF($M776="PADD V","PADD 5","")))))</f>
        <v>PADD 3</v>
      </c>
      <c r="G776" s="6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6" t="s">
        <v>494</v>
      </c>
      <c r="I776" s="6" t="s">
        <v>14</v>
      </c>
      <c r="J776" s="6" t="s">
        <v>394</v>
      </c>
      <c r="K776" s="10">
        <v>1.77</v>
      </c>
      <c r="L776" s="10">
        <v>29.5</v>
      </c>
      <c r="M776" s="6" t="s">
        <v>421</v>
      </c>
      <c r="N776" s="6" t="str">
        <f>IF(OR($G776="FCC",$G776="Hydrocracker",$G776="Reformer"),IF(COUNTIFS($D:$D,$D776,$A:$A,$A776,$B:$B,$B776,$G:$G,"CDU",$J:$J,"PLANNED")&gt;0,"tied","standalone"),"")</f>
        <v>standalone</v>
      </c>
    </row>
    <row r="777" spans="1:14">
      <c r="A777" s="6">
        <v>2023</v>
      </c>
      <c r="B777" s="6">
        <v>3</v>
      </c>
      <c r="C777" s="6" t="s">
        <v>62</v>
      </c>
      <c r="D777" s="6" t="s">
        <v>782</v>
      </c>
      <c r="E777" s="6" t="s">
        <v>783</v>
      </c>
      <c r="F777" s="6" t="str">
        <f>IF($M777="PADD I","PADD 1",IF($M777="PADD II","PADD 2",IF($M777="PADD III","PADD 3",IF($M777="PADD IV","PADD 4",IF($M777="PADD V","PADD 5","")))))</f>
        <v>PADD 4</v>
      </c>
      <c r="G777" s="6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6" t="s">
        <v>39</v>
      </c>
      <c r="I777" s="6" t="s">
        <v>136</v>
      </c>
      <c r="J777" s="6" t="s">
        <v>398</v>
      </c>
      <c r="K777" s="10">
        <v>1.69</v>
      </c>
      <c r="L777" s="10">
        <v>13</v>
      </c>
      <c r="M777" s="6" t="s">
        <v>480</v>
      </c>
      <c r="N777" s="6">
        <f>IF(OR($G777="FCC",$G777="Hydrocracker",$G777="Reformer"),IF(COUNTIFS($D:$D,$D777,$A:$A,$A777,$B:$B,$B777,$G:$G,"CDU",$J:$J,"PLANNED")&gt;0,"tied","standalone"),"")</f>
        <v/>
      </c>
    </row>
    <row r="778" spans="1:14">
      <c r="A778" s="6">
        <v>2023</v>
      </c>
      <c r="B778" s="6">
        <v>3</v>
      </c>
      <c r="C778" s="6" t="s">
        <v>62</v>
      </c>
      <c r="D778" s="6" t="s">
        <v>798</v>
      </c>
      <c r="E778" s="6" t="s">
        <v>438</v>
      </c>
      <c r="F778" s="6" t="str">
        <f>IF($M778="PADD I","PADD 1",IF($M778="PADD II","PADD 2",IF($M778="PADD III","PADD 3",IF($M778="PADD IV","PADD 4",IF($M778="PADD V","PADD 5","")))))</f>
        <v>PADD 3</v>
      </c>
      <c r="G778" s="6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6" t="s">
        <v>39</v>
      </c>
      <c r="I778" s="6" t="s">
        <v>799</v>
      </c>
      <c r="J778" s="6" t="s">
        <v>398</v>
      </c>
      <c r="K778" s="10">
        <v>1.68</v>
      </c>
      <c r="L778" s="10">
        <v>56</v>
      </c>
      <c r="M778" s="6" t="s">
        <v>421</v>
      </c>
      <c r="N778" s="6">
        <f>IF(OR($G778="FCC",$G778="Hydrocracker",$G778="Reformer"),IF(COUNTIFS($D:$D,$D778,$A:$A,$A778,$B:$B,$B778,$G:$G,"CDU",$J:$J,"PLANNED")&gt;0,"tied","standalone"),"")</f>
        <v/>
      </c>
    </row>
    <row r="779" spans="1:14">
      <c r="A779" s="6">
        <v>2023</v>
      </c>
      <c r="B779" s="6">
        <v>3</v>
      </c>
      <c r="C779" s="6" t="s">
        <v>62</v>
      </c>
      <c r="D779" s="6" t="s">
        <v>487</v>
      </c>
      <c r="E779" s="6" t="s">
        <v>488</v>
      </c>
      <c r="F779" s="6" t="str">
        <f>IF($M779="PADD I","PADD 1",IF($M779="PADD II","PADD 2",IF($M779="PADD III","PADD 3",IF($M779="PADD IV","PADD 4",IF($M779="PADD V","PADD 5","")))))</f>
        <v>PADD 4</v>
      </c>
      <c r="G779" s="6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6" t="s">
        <v>471</v>
      </c>
      <c r="I779" s="6" t="s">
        <v>607</v>
      </c>
      <c r="J779" s="6" t="s">
        <v>394</v>
      </c>
      <c r="K779" s="10">
        <v>1.595</v>
      </c>
      <c r="L779" s="10">
        <v>5.5</v>
      </c>
      <c r="M779" s="6" t="s">
        <v>480</v>
      </c>
      <c r="N779" s="6" t="str">
        <f>IF(OR($G779="FCC",$G779="Hydrocracker",$G779="Reformer"),IF(COUNTIFS($D:$D,$D779,$A:$A,$A779,$B:$B,$B779,$G:$G,"CDU",$J:$J,"PLANNED")&gt;0,"tied","standalone"),"")</f>
        <v>standalone</v>
      </c>
    </row>
    <row r="780" spans="1:14">
      <c r="A780" s="6">
        <v>2023</v>
      </c>
      <c r="B780" s="6">
        <v>3</v>
      </c>
      <c r="C780" s="6" t="s">
        <v>62</v>
      </c>
      <c r="D780" s="6" t="s">
        <v>487</v>
      </c>
      <c r="E780" s="6" t="s">
        <v>488</v>
      </c>
      <c r="F780" s="6" t="str">
        <f>IF($M780="PADD I","PADD 1",IF($M780="PADD II","PADD 2",IF($M780="PADD III","PADD 3",IF($M780="PADD IV","PADD 4",IF($M780="PADD V","PADD 5","")))))</f>
        <v>PADD 4</v>
      </c>
      <c r="G780" s="6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6" t="s">
        <v>428</v>
      </c>
      <c r="I780" s="6" t="s">
        <v>606</v>
      </c>
      <c r="J780" s="6" t="s">
        <v>394</v>
      </c>
      <c r="K780" s="10">
        <v>1.5922</v>
      </c>
      <c r="L780" s="10">
        <v>8.380000000000001</v>
      </c>
      <c r="M780" s="6" t="s">
        <v>480</v>
      </c>
      <c r="N780" s="6">
        <f>IF(OR($G780="FCC",$G780="Hydrocracker",$G780="Reformer"),IF(COUNTIFS($D:$D,$D780,$A:$A,$A780,$B:$B,$B780,$G:$G,"CDU",$J:$J,"PLANNED")&gt;0,"tied","standalone"),"")</f>
        <v/>
      </c>
    </row>
    <row r="781" spans="1:14">
      <c r="A781" s="6">
        <v>2023</v>
      </c>
      <c r="B781" s="6">
        <v>3</v>
      </c>
      <c r="C781" s="6" t="s">
        <v>62</v>
      </c>
      <c r="D781" s="6" t="s">
        <v>49</v>
      </c>
      <c r="E781" s="6" t="s">
        <v>438</v>
      </c>
      <c r="F781" s="6" t="str">
        <f>IF($M781="PADD I","PADD 1",IF($M781="PADD II","PADD 2",IF($M781="PADD III","PADD 3",IF($M781="PADD IV","PADD 4",IF($M781="PADD V","PADD 5","")))))</f>
        <v>PADD 2</v>
      </c>
      <c r="G781" s="6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6" t="s">
        <v>426</v>
      </c>
      <c r="I781" s="6" t="s">
        <v>106</v>
      </c>
      <c r="J781" s="6" t="s">
        <v>394</v>
      </c>
      <c r="K781" s="10">
        <v>1.575</v>
      </c>
      <c r="L781" s="10">
        <v>52.5</v>
      </c>
      <c r="M781" s="6" t="s">
        <v>425</v>
      </c>
      <c r="N781" s="6" t="str">
        <f>IF(OR($G781="FCC",$G781="Hydrocracker",$G781="Reformer"),IF(COUNTIFS($D:$D,$D781,$A:$A,$A781,$B:$B,$B781,$G:$G,"CDU",$J:$J,"PLANNED")&gt;0,"tied","standalone"),"")</f>
        <v>tied</v>
      </c>
    </row>
    <row r="782" spans="1:14">
      <c r="A782" s="6">
        <v>2023</v>
      </c>
      <c r="B782" s="6">
        <v>3</v>
      </c>
      <c r="C782" s="6" t="s">
        <v>62</v>
      </c>
      <c r="D782" s="6" t="s">
        <v>782</v>
      </c>
      <c r="E782" s="6" t="s">
        <v>783</v>
      </c>
      <c r="F782" s="6" t="str">
        <f>IF($M782="PADD I","PADD 1",IF($M782="PADD II","PADD 2",IF($M782="PADD III","PADD 3",IF($M782="PADD IV","PADD 4",IF($M782="PADD V","PADD 5","")))))</f>
        <v>PADD 4</v>
      </c>
      <c r="G782" s="6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6" t="s">
        <v>471</v>
      </c>
      <c r="I782" s="6" t="s">
        <v>15</v>
      </c>
      <c r="J782" s="6" t="s">
        <v>398</v>
      </c>
      <c r="K782" s="10">
        <v>1.56</v>
      </c>
      <c r="L782" s="10">
        <v>12</v>
      </c>
      <c r="M782" s="6" t="s">
        <v>480</v>
      </c>
      <c r="N782" s="6" t="str">
        <f>IF(OR($G782="FCC",$G782="Hydrocracker",$G782="Reformer"),IF(COUNTIFS($D:$D,$D782,$A:$A,$A782,$B:$B,$B782,$G:$G,"CDU",$J:$J,"PLANNED")&gt;0,"tied","standalone"),"")</f>
        <v>tied</v>
      </c>
    </row>
    <row r="783" spans="1:14">
      <c r="A783" s="6">
        <v>2023</v>
      </c>
      <c r="B783" s="6">
        <v>3</v>
      </c>
      <c r="C783" s="6" t="s">
        <v>62</v>
      </c>
      <c r="D783" s="6" t="s">
        <v>49</v>
      </c>
      <c r="E783" s="6" t="s">
        <v>438</v>
      </c>
      <c r="F783" s="6" t="str">
        <f>IF($M783="PADD I","PADD 1",IF($M783="PADD II","PADD 2",IF($M783="PADD III","PADD 3",IF($M783="PADD IV","PADD 4",IF($M783="PADD V","PADD 5","")))))</f>
        <v>PADD 2</v>
      </c>
      <c r="G783" s="6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6" t="s">
        <v>485</v>
      </c>
      <c r="I783" s="6" t="s">
        <v>681</v>
      </c>
      <c r="J783" s="6" t="s">
        <v>394</v>
      </c>
      <c r="K783" s="10">
        <v>1.56</v>
      </c>
      <c r="L783" s="10">
        <v>12</v>
      </c>
      <c r="M783" s="6" t="s">
        <v>425</v>
      </c>
      <c r="N783" s="6">
        <f>IF(OR($G783="FCC",$G783="Hydrocracker",$G783="Reformer"),IF(COUNTIFS($D:$D,$D783,$A:$A,$A783,$B:$B,$B783,$G:$G,"CDU",$J:$J,"PLANNED")&gt;0,"tied","standalone"),"")</f>
        <v/>
      </c>
    </row>
    <row r="784" spans="1:14">
      <c r="A784" s="6">
        <v>2023</v>
      </c>
      <c r="B784" s="6">
        <v>3</v>
      </c>
      <c r="C784" s="6" t="s">
        <v>62</v>
      </c>
      <c r="D784" s="6" t="s">
        <v>792</v>
      </c>
      <c r="E784" s="6" t="s">
        <v>438</v>
      </c>
      <c r="F784" s="6" t="str">
        <f>IF($M784="PADD I","PADD 1",IF($M784="PADD II","PADD 2",IF($M784="PADD III","PADD 3",IF($M784="PADD IV","PADD 4",IF($M784="PADD V","PADD 5","")))))</f>
        <v>PADD 5</v>
      </c>
      <c r="G784" s="6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6" t="s">
        <v>471</v>
      </c>
      <c r="I784" s="6" t="s">
        <v>15</v>
      </c>
      <c r="J784" s="6" t="s">
        <v>394</v>
      </c>
      <c r="K784" s="10">
        <v>1.56</v>
      </c>
      <c r="L784" s="10">
        <v>26</v>
      </c>
      <c r="M784" s="6" t="s">
        <v>436</v>
      </c>
      <c r="N784" s="6" t="str">
        <f>IF(OR($G784="FCC",$G784="Hydrocracker",$G784="Reformer"),IF(COUNTIFS($D:$D,$D784,$A:$A,$A784,$B:$B,$B784,$G:$G,"CDU",$J:$J,"PLANNED")&gt;0,"tied","standalone"),"")</f>
        <v>tied</v>
      </c>
    </row>
    <row r="785" spans="1:14">
      <c r="A785" s="6">
        <v>2023</v>
      </c>
      <c r="B785" s="6">
        <v>3</v>
      </c>
      <c r="C785" s="6" t="s">
        <v>62</v>
      </c>
      <c r="D785" s="6" t="s">
        <v>515</v>
      </c>
      <c r="E785" s="6" t="s">
        <v>419</v>
      </c>
      <c r="F785" s="6" t="str">
        <f>IF($M785="PADD I","PADD 1",IF($M785="PADD II","PADD 2",IF($M785="PADD III","PADD 3",IF($M785="PADD IV","PADD 4",IF($M785="PADD V","PADD 5","")))))</f>
        <v>PADD 5</v>
      </c>
      <c r="G785" s="6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6" t="s">
        <v>510</v>
      </c>
      <c r="I785" s="6" t="s">
        <v>722</v>
      </c>
      <c r="J785" s="6" t="s">
        <v>398</v>
      </c>
      <c r="K785" s="10">
        <v>1.5</v>
      </c>
      <c r="L785" s="10">
        <v>15</v>
      </c>
      <c r="M785" s="6" t="s">
        <v>436</v>
      </c>
      <c r="N785" s="6">
        <f>IF(OR($G785="FCC",$G785="Hydrocracker",$G785="Reformer"),IF(COUNTIFS($D:$D,$D785,$A:$A,$A785,$B:$B,$B785,$G:$G,"CDU",$J:$J,"PLANNED")&gt;0,"tied","standalone"),"")</f>
        <v/>
      </c>
    </row>
    <row r="786" spans="1:14">
      <c r="A786" s="6">
        <v>2023</v>
      </c>
      <c r="B786" s="6">
        <v>3</v>
      </c>
      <c r="C786" s="6" t="s">
        <v>62</v>
      </c>
      <c r="D786" s="6" t="s">
        <v>792</v>
      </c>
      <c r="E786" s="6" t="s">
        <v>438</v>
      </c>
      <c r="F786" s="6" t="str">
        <f>IF($M786="PADD I","PADD 1",IF($M786="PADD II","PADD 2",IF($M786="PADD III","PADD 3",IF($M786="PADD IV","PADD 4",IF($M786="PADD V","PADD 5","")))))</f>
        <v>PADD 5</v>
      </c>
      <c r="G786" s="6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6" t="s">
        <v>39</v>
      </c>
      <c r="I786" s="6" t="s">
        <v>82</v>
      </c>
      <c r="J786" s="6" t="s">
        <v>398</v>
      </c>
      <c r="K786" s="10">
        <v>1.44</v>
      </c>
      <c r="L786" s="10">
        <v>24</v>
      </c>
      <c r="M786" s="6" t="s">
        <v>436</v>
      </c>
      <c r="N786" s="6">
        <f>IF(OR($G786="FCC",$G786="Hydrocracker",$G786="Reformer"),IF(COUNTIFS($D:$D,$D786,$A:$A,$A786,$B:$B,$B786,$G:$G,"CDU",$J:$J,"PLANNED")&gt;0,"tied","standalone"),"")</f>
        <v/>
      </c>
    </row>
    <row r="787" spans="1:14">
      <c r="A787" s="6">
        <v>2023</v>
      </c>
      <c r="B787" s="6">
        <v>3</v>
      </c>
      <c r="C787" s="6" t="s">
        <v>62</v>
      </c>
      <c r="D787" s="6" t="s">
        <v>782</v>
      </c>
      <c r="E787" s="6" t="s">
        <v>783</v>
      </c>
      <c r="F787" s="6" t="str">
        <f>IF($M787="PADD I","PADD 1",IF($M787="PADD II","PADD 2",IF($M787="PADD III","PADD 3",IF($M787="PADD IV","PADD 4",IF($M787="PADD V","PADD 5","")))))</f>
        <v>PADD 4</v>
      </c>
      <c r="G787" s="6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6" t="s">
        <v>428</v>
      </c>
      <c r="I787" s="6" t="s">
        <v>481</v>
      </c>
      <c r="J787" s="6" t="s">
        <v>398</v>
      </c>
      <c r="K787" s="10">
        <v>1.43</v>
      </c>
      <c r="L787" s="10">
        <v>11</v>
      </c>
      <c r="M787" s="6" t="s">
        <v>480</v>
      </c>
      <c r="N787" s="6">
        <f>IF(OR($G787="FCC",$G787="Hydrocracker",$G787="Reformer"),IF(COUNTIFS($D:$D,$D787,$A:$A,$A787,$B:$B,$B787,$G:$G,"CDU",$J:$J,"PLANNED")&gt;0,"tied","standalone"),"")</f>
        <v/>
      </c>
    </row>
    <row r="788" spans="1:14">
      <c r="A788" s="6">
        <v>2023</v>
      </c>
      <c r="B788" s="6">
        <v>3</v>
      </c>
      <c r="C788" s="6" t="s">
        <v>62</v>
      </c>
      <c r="D788" s="6" t="s">
        <v>49</v>
      </c>
      <c r="E788" s="6" t="s">
        <v>438</v>
      </c>
      <c r="F788" s="6" t="str">
        <f>IF($M788="PADD I","PADD 1",IF($M788="PADD II","PADD 2",IF($M788="PADD III","PADD 3",IF($M788="PADD IV","PADD 4",IF($M788="PADD V","PADD 5","")))))</f>
        <v>PADD 2</v>
      </c>
      <c r="G788" s="6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6" t="s">
        <v>44</v>
      </c>
      <c r="I788" s="6" t="s">
        <v>791</v>
      </c>
      <c r="J788" s="6" t="s">
        <v>394</v>
      </c>
      <c r="K788" s="10">
        <v>1.395</v>
      </c>
      <c r="L788" s="10">
        <v>46.5</v>
      </c>
      <c r="M788" s="6" t="s">
        <v>425</v>
      </c>
      <c r="N788" s="6">
        <f>IF(OR($G788="FCC",$G788="Hydrocracker",$G788="Reformer"),IF(COUNTIFS($D:$D,$D788,$A:$A,$A788,$B:$B,$B788,$G:$G,"CDU",$J:$J,"PLANNED")&gt;0,"tied","standalone"),"")</f>
        <v/>
      </c>
    </row>
    <row r="789" spans="1:14">
      <c r="A789" s="6">
        <v>2023</v>
      </c>
      <c r="B789" s="6">
        <v>3</v>
      </c>
      <c r="C789" s="6" t="s">
        <v>62</v>
      </c>
      <c r="D789" s="6" t="s">
        <v>518</v>
      </c>
      <c r="E789" s="6" t="s">
        <v>419</v>
      </c>
      <c r="F789" s="6" t="str">
        <f>IF($M789="PADD I","PADD 1",IF($M789="PADD II","PADD 2",IF($M789="PADD III","PADD 3",IF($M789="PADD IV","PADD 4",IF($M789="PADD V","PADD 5","")))))</f>
        <v>PADD 3</v>
      </c>
      <c r="G789" s="6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6" t="s">
        <v>471</v>
      </c>
      <c r="I789" s="6" t="s">
        <v>685</v>
      </c>
      <c r="J789" s="6" t="s">
        <v>394</v>
      </c>
      <c r="K789" s="10">
        <v>1.33</v>
      </c>
      <c r="L789" s="10">
        <v>7</v>
      </c>
      <c r="M789" s="6" t="s">
        <v>421</v>
      </c>
      <c r="N789" s="6" t="str">
        <f>IF(OR($G789="FCC",$G789="Hydrocracker",$G789="Reformer"),IF(COUNTIFS($D:$D,$D789,$A:$A,$A789,$B:$B,$B789,$G:$G,"CDU",$J:$J,"PLANNED")&gt;0,"tied","standalone"),"")</f>
        <v>tied</v>
      </c>
    </row>
    <row r="790" spans="1:14">
      <c r="A790" s="6">
        <v>2023</v>
      </c>
      <c r="B790" s="6">
        <v>3</v>
      </c>
      <c r="C790" s="6" t="s">
        <v>62</v>
      </c>
      <c r="D790" s="6" t="s">
        <v>798</v>
      </c>
      <c r="E790" s="6" t="s">
        <v>438</v>
      </c>
      <c r="F790" s="6" t="str">
        <f>IF($M790="PADD I","PADD 1",IF($M790="PADD II","PADD 2",IF($M790="PADD III","PADD 3",IF($M790="PADD IV","PADD 4",IF($M790="PADD V","PADD 5","")))))</f>
        <v>PADD 3</v>
      </c>
      <c r="G790" s="6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6" t="s">
        <v>44</v>
      </c>
      <c r="I790" s="6" t="s">
        <v>800</v>
      </c>
      <c r="J790" s="6" t="s">
        <v>398</v>
      </c>
      <c r="K790" s="10">
        <v>1.32</v>
      </c>
      <c r="L790" s="10">
        <v>44</v>
      </c>
      <c r="M790" s="6" t="s">
        <v>421</v>
      </c>
      <c r="N790" s="6">
        <f>IF(OR($G790="FCC",$G790="Hydrocracker",$G790="Reformer"),IF(COUNTIFS($D:$D,$D790,$A:$A,$A790,$B:$B,$B790,$G:$G,"CDU",$J:$J,"PLANNED")&gt;0,"tied","standalone"),"")</f>
        <v/>
      </c>
    </row>
    <row r="791" spans="1:14">
      <c r="A791" s="6">
        <v>2023</v>
      </c>
      <c r="B791" s="6">
        <v>3</v>
      </c>
      <c r="C791" s="6" t="s">
        <v>62</v>
      </c>
      <c r="D791" s="6" t="s">
        <v>782</v>
      </c>
      <c r="E791" s="6" t="s">
        <v>783</v>
      </c>
      <c r="F791" s="6" t="str">
        <f>IF($M791="PADD I","PADD 1",IF($M791="PADD II","PADD 2",IF($M791="PADD III","PADD 3",IF($M791="PADD IV","PADD 4",IF($M791="PADD V","PADD 5","")))))</f>
        <v>PADD 4</v>
      </c>
      <c r="G791" s="6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6" t="s">
        <v>44</v>
      </c>
      <c r="I791" s="6" t="s">
        <v>801</v>
      </c>
      <c r="J791" s="6" t="s">
        <v>398</v>
      </c>
      <c r="K791" s="10">
        <v>1.3</v>
      </c>
      <c r="L791" s="10">
        <v>10</v>
      </c>
      <c r="M791" s="6" t="s">
        <v>480</v>
      </c>
      <c r="N791" s="6">
        <f>IF(OR($G791="FCC",$G791="Hydrocracker",$G791="Reformer"),IF(COUNTIFS($D:$D,$D791,$A:$A,$A791,$B:$B,$B791,$G:$G,"CDU",$J:$J,"PLANNED")&gt;0,"tied","standalone"),"")</f>
        <v/>
      </c>
    </row>
    <row r="792" spans="1:14">
      <c r="A792" s="6">
        <v>2023</v>
      </c>
      <c r="B792" s="6">
        <v>3</v>
      </c>
      <c r="C792" s="6" t="s">
        <v>62</v>
      </c>
      <c r="D792" s="6" t="s">
        <v>777</v>
      </c>
      <c r="E792" s="6" t="s">
        <v>778</v>
      </c>
      <c r="F792" s="6" t="str">
        <f>IF($M792="PADD I","PADD 1",IF($M792="PADD II","PADD 2",IF($M792="PADD III","PADD 3",IF($M792="PADD IV","PADD 4",IF($M792="PADD V","PADD 5","")))))</f>
        <v>PADD 1</v>
      </c>
      <c r="G792" s="6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6" t="s">
        <v>618</v>
      </c>
      <c r="I792" s="6" t="s">
        <v>763</v>
      </c>
      <c r="J792" s="6" t="s">
        <v>398</v>
      </c>
      <c r="K792" s="10">
        <v>1.3</v>
      </c>
      <c r="L792" s="10">
        <v>5</v>
      </c>
      <c r="M792" s="6" t="s">
        <v>463</v>
      </c>
      <c r="N792" s="6">
        <f>IF(OR($G792="FCC",$G792="Hydrocracker",$G792="Reformer"),IF(COUNTIFS($D:$D,$D792,$A:$A,$A792,$B:$B,$B792,$G:$G,"CDU",$J:$J,"PLANNED")&gt;0,"tied","standalone"),"")</f>
        <v/>
      </c>
    </row>
    <row r="793" spans="1:14">
      <c r="A793" s="6">
        <v>2023</v>
      </c>
      <c r="B793" s="6">
        <v>3</v>
      </c>
      <c r="C793" s="6" t="s">
        <v>62</v>
      </c>
      <c r="D793" s="6" t="s">
        <v>49</v>
      </c>
      <c r="E793" s="6" t="s">
        <v>438</v>
      </c>
      <c r="F793" s="6" t="str">
        <f>IF($M793="PADD I","PADD 1",IF($M793="PADD II","PADD 2",IF($M793="PADD III","PADD 3",IF($M793="PADD IV","PADD 4",IF($M793="PADD V","PADD 5","")))))</f>
        <v>PADD 2</v>
      </c>
      <c r="G793" s="6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6" t="s">
        <v>471</v>
      </c>
      <c r="I793" s="6" t="s">
        <v>771</v>
      </c>
      <c r="J793" s="6" t="s">
        <v>394</v>
      </c>
      <c r="K793" s="10">
        <v>1.29</v>
      </c>
      <c r="L793" s="10">
        <v>43</v>
      </c>
      <c r="M793" s="6" t="s">
        <v>425</v>
      </c>
      <c r="N793" s="6" t="str">
        <f>IF(OR($G793="FCC",$G793="Hydrocracker",$G793="Reformer"),IF(COUNTIFS($D:$D,$D793,$A:$A,$A793,$B:$B,$B793,$G:$G,"CDU",$J:$J,"PLANNED")&gt;0,"tied","standalone"),"")</f>
        <v>tied</v>
      </c>
    </row>
    <row r="794" spans="1:14">
      <c r="A794" s="6">
        <v>2023</v>
      </c>
      <c r="B794" s="6">
        <v>3</v>
      </c>
      <c r="C794" s="6" t="s">
        <v>62</v>
      </c>
      <c r="D794" s="6" t="s">
        <v>613</v>
      </c>
      <c r="E794" s="6" t="s">
        <v>446</v>
      </c>
      <c r="F794" s="6" t="str">
        <f>IF($M794="PADD I","PADD 1",IF($M794="PADD II","PADD 2",IF($M794="PADD III","PADD 3",IF($M794="PADD IV","PADD 4",IF($M794="PADD V","PADD 5","")))))</f>
        <v>PADD 3</v>
      </c>
      <c r="G794" s="6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6" t="s">
        <v>44</v>
      </c>
      <c r="I794" s="6" t="s">
        <v>614</v>
      </c>
      <c r="J794" s="6" t="s">
        <v>394</v>
      </c>
      <c r="K794" s="10">
        <v>1.227</v>
      </c>
      <c r="L794" s="10">
        <v>40.9</v>
      </c>
      <c r="M794" s="6" t="s">
        <v>421</v>
      </c>
      <c r="N794" s="6">
        <f>IF(OR($G794="FCC",$G794="Hydrocracker",$G794="Reformer"),IF(COUNTIFS($D:$D,$D794,$A:$A,$A794,$B:$B,$B794,$G:$G,"CDU",$J:$J,"PLANNED")&gt;0,"tied","standalone"),"")</f>
        <v/>
      </c>
    </row>
    <row r="795" spans="1:14">
      <c r="A795" s="6">
        <v>2023</v>
      </c>
      <c r="B795" s="6">
        <v>3</v>
      </c>
      <c r="C795" s="6" t="s">
        <v>62</v>
      </c>
      <c r="D795" s="6" t="s">
        <v>798</v>
      </c>
      <c r="E795" s="6" t="s">
        <v>438</v>
      </c>
      <c r="F795" s="6" t="str">
        <f>IF($M795="PADD I","PADD 1",IF($M795="PADD II","PADD 2",IF($M795="PADD III","PADD 3",IF($M795="PADD IV","PADD 4",IF($M795="PADD V","PADD 5","")))))</f>
        <v>PADD 3</v>
      </c>
      <c r="G795" s="6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6" t="s">
        <v>428</v>
      </c>
      <c r="I795" s="6" t="s">
        <v>481</v>
      </c>
      <c r="J795" s="6" t="s">
        <v>398</v>
      </c>
      <c r="K795" s="10">
        <v>1.2</v>
      </c>
      <c r="L795" s="10">
        <v>40</v>
      </c>
      <c r="M795" s="6" t="s">
        <v>421</v>
      </c>
      <c r="N795" s="6">
        <f>IF(OR($G795="FCC",$G795="Hydrocracker",$G795="Reformer"),IF(COUNTIFS($D:$D,$D795,$A:$A,$A795,$B:$B,$B795,$G:$G,"CDU",$J:$J,"PLANNED")&gt;0,"tied","standalone"),"")</f>
        <v/>
      </c>
    </row>
    <row r="796" spans="1:14">
      <c r="A796" s="6">
        <v>2023</v>
      </c>
      <c r="B796" s="6">
        <v>3</v>
      </c>
      <c r="C796" s="6" t="s">
        <v>62</v>
      </c>
      <c r="D796" s="6" t="s">
        <v>777</v>
      </c>
      <c r="E796" s="6" t="s">
        <v>778</v>
      </c>
      <c r="F796" s="6" t="str">
        <f>IF($M796="PADD I","PADD 1",IF($M796="PADD II","PADD 2",IF($M796="PADD III","PADD 3",IF($M796="PADD IV","PADD 4",IF($M796="PADD V","PADD 5","")))))</f>
        <v>PADD 1</v>
      </c>
      <c r="G796" s="6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6" t="s">
        <v>44</v>
      </c>
      <c r="I796" s="6" t="s">
        <v>802</v>
      </c>
      <c r="J796" s="6" t="s">
        <v>398</v>
      </c>
      <c r="K796" s="10">
        <v>1.196</v>
      </c>
      <c r="L796" s="10">
        <v>4.6</v>
      </c>
      <c r="M796" s="6" t="s">
        <v>463</v>
      </c>
      <c r="N796" s="6">
        <f>IF(OR($G796="FCC",$G796="Hydrocracker",$G796="Reformer"),IF(COUNTIFS($D:$D,$D796,$A:$A,$A796,$B:$B,$B796,$G:$G,"CDU",$J:$J,"PLANNED")&gt;0,"tied","standalone"),"")</f>
        <v/>
      </c>
    </row>
    <row r="797" spans="1:14">
      <c r="A797" s="6">
        <v>2023</v>
      </c>
      <c r="B797" s="6">
        <v>3</v>
      </c>
      <c r="C797" s="6" t="s">
        <v>62</v>
      </c>
      <c r="D797" s="6" t="s">
        <v>652</v>
      </c>
      <c r="E797" s="6" t="s">
        <v>419</v>
      </c>
      <c r="F797" s="6" t="str">
        <f>IF($M797="PADD I","PADD 1",IF($M797="PADD II","PADD 2",IF($M797="PADD III","PADD 3",IF($M797="PADD IV","PADD 4",IF($M797="PADD V","PADD 5","")))))</f>
        <v>PADD 2</v>
      </c>
      <c r="G797" s="6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6" t="s">
        <v>39</v>
      </c>
      <c r="I797" s="6" t="s">
        <v>711</v>
      </c>
      <c r="J797" s="6" t="s">
        <v>394</v>
      </c>
      <c r="K797" s="10">
        <v>1.14</v>
      </c>
      <c r="L797" s="10">
        <v>38</v>
      </c>
      <c r="M797" s="6" t="s">
        <v>425</v>
      </c>
      <c r="N797" s="6">
        <f>IF(OR($G797="FCC",$G797="Hydrocracker",$G797="Reformer"),IF(COUNTIFS($D:$D,$D797,$A:$A,$A797,$B:$B,$B797,$G:$G,"CDU",$J:$J,"PLANNED")&gt;0,"tied","standalone"),"")</f>
        <v/>
      </c>
    </row>
    <row r="798" spans="1:14">
      <c r="A798" s="6">
        <v>2023</v>
      </c>
      <c r="B798" s="6">
        <v>3</v>
      </c>
      <c r="C798" s="6" t="s">
        <v>62</v>
      </c>
      <c r="D798" s="6" t="s">
        <v>777</v>
      </c>
      <c r="E798" s="6" t="s">
        <v>778</v>
      </c>
      <c r="F798" s="6" t="str">
        <f>IF($M798="PADD I","PADD 1",IF($M798="PADD II","PADD 2",IF($M798="PADD III","PADD 3",IF($M798="PADD IV","PADD 4",IF($M798="PADD V","PADD 5","")))))</f>
        <v>PADD 1</v>
      </c>
      <c r="G798" s="6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6" t="s">
        <v>494</v>
      </c>
      <c r="I798" s="6" t="s">
        <v>803</v>
      </c>
      <c r="J798" s="6" t="s">
        <v>398</v>
      </c>
      <c r="K798" s="10">
        <v>1.118</v>
      </c>
      <c r="L798" s="10">
        <v>4.3</v>
      </c>
      <c r="M798" s="6" t="s">
        <v>463</v>
      </c>
      <c r="N798" s="6" t="str">
        <f>IF(OR($G798="FCC",$G798="Hydrocracker",$G798="Reformer"),IF(COUNTIFS($D:$D,$D798,$A:$A,$A798,$B:$B,$B798,$G:$G,"CDU",$J:$J,"PLANNED")&gt;0,"tied","standalone"),"")</f>
        <v>tied</v>
      </c>
    </row>
    <row r="799" spans="1:14">
      <c r="A799" s="6">
        <v>2023</v>
      </c>
      <c r="B799" s="6">
        <v>3</v>
      </c>
      <c r="C799" s="6" t="s">
        <v>62</v>
      </c>
      <c r="D799" s="6" t="s">
        <v>792</v>
      </c>
      <c r="E799" s="6" t="s">
        <v>438</v>
      </c>
      <c r="F799" s="6" t="str">
        <f>IF($M799="PADD I","PADD 1",IF($M799="PADD II","PADD 2",IF($M799="PADD III","PADD 3",IF($M799="PADD IV","PADD 4",IF($M799="PADD V","PADD 5","")))))</f>
        <v>PADD 5</v>
      </c>
      <c r="G799" s="6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6" t="s">
        <v>510</v>
      </c>
      <c r="I799" s="6" t="s">
        <v>511</v>
      </c>
      <c r="J799" s="6" t="s">
        <v>398</v>
      </c>
      <c r="K799" s="10">
        <v>1.1</v>
      </c>
      <c r="L799" s="10">
        <v>11</v>
      </c>
      <c r="M799" s="6" t="s">
        <v>436</v>
      </c>
      <c r="N799" s="6">
        <f>IF(OR($G799="FCC",$G799="Hydrocracker",$G799="Reformer"),IF(COUNTIFS($D:$D,$D799,$A:$A,$A799,$B:$B,$B799,$G:$G,"CDU",$J:$J,"PLANNED")&gt;0,"tied","standalone"),"")</f>
        <v/>
      </c>
    </row>
    <row r="800" spans="1:14">
      <c r="A800" s="6">
        <v>2023</v>
      </c>
      <c r="B800" s="6">
        <v>3</v>
      </c>
      <c r="C800" s="6" t="s">
        <v>62</v>
      </c>
      <c r="D800" s="6" t="s">
        <v>49</v>
      </c>
      <c r="E800" s="6" t="s">
        <v>438</v>
      </c>
      <c r="F800" s="6" t="str">
        <f>IF($M800="PADD I","PADD 1",IF($M800="PADD II","PADD 2",IF($M800="PADD III","PADD 3",IF($M800="PADD IV","PADD 4",IF($M800="PADD V","PADD 5","")))))</f>
        <v>PADD 2</v>
      </c>
      <c r="G800" s="6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6" t="s">
        <v>687</v>
      </c>
      <c r="I800" s="6" t="s">
        <v>654</v>
      </c>
      <c r="J800" s="6" t="s">
        <v>394</v>
      </c>
      <c r="K800" s="10">
        <v>0.96</v>
      </c>
      <c r="L800" s="10">
        <v>16</v>
      </c>
      <c r="M800" s="6" t="s">
        <v>425</v>
      </c>
      <c r="N800" s="6">
        <f>IF(OR($G800="FCC",$G800="Hydrocracker",$G800="Reformer"),IF(COUNTIFS($D:$D,$D800,$A:$A,$A800,$B:$B,$B800,$G:$G,"CDU",$J:$J,"PLANNED")&gt;0,"tied","standalone"),"")</f>
        <v/>
      </c>
    </row>
    <row r="801" spans="1:14">
      <c r="A801" s="6">
        <v>2023</v>
      </c>
      <c r="B801" s="6">
        <v>3</v>
      </c>
      <c r="C801" s="6" t="s">
        <v>62</v>
      </c>
      <c r="D801" s="6" t="s">
        <v>777</v>
      </c>
      <c r="E801" s="6" t="s">
        <v>778</v>
      </c>
      <c r="F801" s="6" t="str">
        <f>IF($M801="PADD I","PADD 1",IF($M801="PADD II","PADD 2",IF($M801="PADD III","PADD 3",IF($M801="PADD IV","PADD 4",IF($M801="PADD V","PADD 5","")))))</f>
        <v>PADD 1</v>
      </c>
      <c r="G801" s="6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6" t="s">
        <v>471</v>
      </c>
      <c r="I801" s="6" t="s">
        <v>621</v>
      </c>
      <c r="J801" s="6" t="s">
        <v>398</v>
      </c>
      <c r="K801" s="10">
        <v>0.9360000000000001</v>
      </c>
      <c r="L801" s="10">
        <v>3.6</v>
      </c>
      <c r="M801" s="6" t="s">
        <v>463</v>
      </c>
      <c r="N801" s="6" t="str">
        <f>IF(OR($G801="FCC",$G801="Hydrocracker",$G801="Reformer"),IF(COUNTIFS($D:$D,$D801,$A:$A,$A801,$B:$B,$B801,$G:$G,"CDU",$J:$J,"PLANNED")&gt;0,"tied","standalone"),"")</f>
        <v>tied</v>
      </c>
    </row>
    <row r="802" spans="1:14">
      <c r="A802" s="6">
        <v>2023</v>
      </c>
      <c r="B802" s="6">
        <v>3</v>
      </c>
      <c r="C802" s="6" t="s">
        <v>62</v>
      </c>
      <c r="D802" s="6" t="s">
        <v>49</v>
      </c>
      <c r="E802" s="6" t="s">
        <v>438</v>
      </c>
      <c r="F802" s="6" t="str">
        <f>IF($M802="PADD I","PADD 1",IF($M802="PADD II","PADD 2",IF($M802="PADD III","PADD 3",IF($M802="PADD IV","PADD 4",IF($M802="PADD V","PADD 5","")))))</f>
        <v>PADD 2</v>
      </c>
      <c r="G802" s="6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6" t="s">
        <v>485</v>
      </c>
      <c r="I802" s="6" t="s">
        <v>804</v>
      </c>
      <c r="J802" s="6" t="s">
        <v>398</v>
      </c>
      <c r="K802" s="10">
        <v>0.9</v>
      </c>
      <c r="L802" s="10">
        <v>15</v>
      </c>
      <c r="M802" s="6" t="s">
        <v>425</v>
      </c>
      <c r="N802" s="6">
        <f>IF(OR($G802="FCC",$G802="Hydrocracker",$G802="Reformer"),IF(COUNTIFS($D:$D,$D802,$A:$A,$A802,$B:$B,$B802,$G:$G,"CDU",$J:$J,"PLANNED")&gt;0,"tied","standalone"),"")</f>
        <v/>
      </c>
    </row>
    <row r="803" spans="1:14">
      <c r="A803" s="6">
        <v>2023</v>
      </c>
      <c r="B803" s="6">
        <v>3</v>
      </c>
      <c r="C803" s="6" t="s">
        <v>62</v>
      </c>
      <c r="D803" s="6" t="s">
        <v>465</v>
      </c>
      <c r="E803" s="6" t="s">
        <v>466</v>
      </c>
      <c r="F803" s="6" t="str">
        <f>IF($M803="PADD I","PADD 1",IF($M803="PADD II","PADD 2",IF($M803="PADD III","PADD 3",IF($M803="PADD IV","PADD 4",IF($M803="PADD V","PADD 5","")))))</f>
        <v>PADD 3</v>
      </c>
      <c r="G803" s="6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6" t="s">
        <v>471</v>
      </c>
      <c r="I803" s="6" t="s">
        <v>698</v>
      </c>
      <c r="J803" s="6" t="s">
        <v>398</v>
      </c>
      <c r="K803" s="10">
        <v>0.9</v>
      </c>
      <c r="L803" s="10">
        <v>30</v>
      </c>
      <c r="M803" s="6" t="s">
        <v>421</v>
      </c>
      <c r="N803" s="6" t="str">
        <f>IF(OR($G803="FCC",$G803="Hydrocracker",$G803="Reformer"),IF(COUNTIFS($D:$D,$D803,$A:$A,$A803,$B:$B,$B803,$G:$G,"CDU",$J:$J,"PLANNED")&gt;0,"tied","standalone"),"")</f>
        <v>standalone</v>
      </c>
    </row>
    <row r="804" spans="1:14">
      <c r="A804" s="6">
        <v>2023</v>
      </c>
      <c r="B804" s="6">
        <v>3</v>
      </c>
      <c r="C804" s="6" t="s">
        <v>62</v>
      </c>
      <c r="D804" s="6" t="s">
        <v>662</v>
      </c>
      <c r="E804" s="6" t="s">
        <v>466</v>
      </c>
      <c r="F804" s="6" t="str">
        <f>IF($M804="PADD I","PADD 1",IF($M804="PADD II","PADD 2",IF($M804="PADD III","PADD 3",IF($M804="PADD IV","PADD 4",IF($M804="PADD V","PADD 5","")))))</f>
        <v>PADD 3</v>
      </c>
      <c r="G804" s="6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6" t="s">
        <v>471</v>
      </c>
      <c r="I804" s="6" t="s">
        <v>805</v>
      </c>
      <c r="J804" s="6" t="s">
        <v>394</v>
      </c>
      <c r="K804" s="10">
        <v>0.9</v>
      </c>
      <c r="L804" s="10">
        <v>30</v>
      </c>
      <c r="M804" s="6" t="s">
        <v>421</v>
      </c>
      <c r="N804" s="6" t="str">
        <f>IF(OR($G804="FCC",$G804="Hydrocracker",$G804="Reformer"),IF(COUNTIFS($D:$D,$D804,$A:$A,$A804,$B:$B,$B804,$G:$G,"CDU",$J:$J,"PLANNED")&gt;0,"tied","standalone"),"")</f>
        <v>standalone</v>
      </c>
    </row>
    <row r="805" spans="1:14">
      <c r="A805" s="6">
        <v>2023</v>
      </c>
      <c r="B805" s="6">
        <v>3</v>
      </c>
      <c r="C805" s="6" t="s">
        <v>62</v>
      </c>
      <c r="D805" s="6" t="s">
        <v>806</v>
      </c>
      <c r="E805" s="6" t="s">
        <v>807</v>
      </c>
      <c r="F805" s="6" t="str">
        <f>IF($M805="PADD I","PADD 1",IF($M805="PADD II","PADD 2",IF($M805="PADD III","PADD 3",IF($M805="PADD IV","PADD 4",IF($M805="PADD V","PADD 5","")))))</f>
        <v>PADD 3</v>
      </c>
      <c r="G805" s="6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6" t="s">
        <v>39</v>
      </c>
      <c r="I805" s="6" t="s">
        <v>82</v>
      </c>
      <c r="J805" s="6" t="s">
        <v>394</v>
      </c>
      <c r="K805" s="10">
        <v>0.9</v>
      </c>
      <c r="L805" s="10">
        <v>15</v>
      </c>
      <c r="M805" s="6" t="s">
        <v>421</v>
      </c>
      <c r="N805" s="6">
        <f>IF(OR($G805="FCC",$G805="Hydrocracker",$G805="Reformer"),IF(COUNTIFS($D:$D,$D805,$A:$A,$A805,$B:$B,$B805,$G:$G,"CDU",$J:$J,"PLANNED")&gt;0,"tied","standalone"),"")</f>
        <v/>
      </c>
    </row>
    <row r="806" spans="1:14">
      <c r="A806" s="6">
        <v>2023</v>
      </c>
      <c r="B806" s="6">
        <v>3</v>
      </c>
      <c r="C806" s="6" t="s">
        <v>62</v>
      </c>
      <c r="D806" s="6" t="s">
        <v>375</v>
      </c>
      <c r="E806" s="6" t="s">
        <v>435</v>
      </c>
      <c r="F806" s="6" t="str">
        <f>IF($M806="PADD I","PADD 1",IF($M806="PADD II","PADD 2",IF($M806="PADD III","PADD 3",IF($M806="PADD IV","PADD 4",IF($M806="PADD V","PADD 5","")))))</f>
        <v>PADD 5</v>
      </c>
      <c r="G806" s="6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6" t="s">
        <v>471</v>
      </c>
      <c r="I806" s="6" t="s">
        <v>15</v>
      </c>
      <c r="J806" s="6" t="s">
        <v>398</v>
      </c>
      <c r="K806" s="10">
        <v>0.885</v>
      </c>
      <c r="L806" s="10">
        <v>14.75</v>
      </c>
      <c r="M806" s="6" t="s">
        <v>436</v>
      </c>
      <c r="N806" s="6" t="str">
        <f>IF(OR($G806="FCC",$G806="Hydrocracker",$G806="Reformer"),IF(COUNTIFS($D:$D,$D806,$A:$A,$A806,$B:$B,$B806,$G:$G,"CDU",$J:$J,"PLANNED")&gt;0,"tied","standalone"),"")</f>
        <v>tied</v>
      </c>
    </row>
    <row r="807" spans="1:14">
      <c r="A807" s="6">
        <v>2023</v>
      </c>
      <c r="B807" s="6">
        <v>3</v>
      </c>
      <c r="C807" s="6" t="s">
        <v>62</v>
      </c>
      <c r="D807" s="6" t="s">
        <v>49</v>
      </c>
      <c r="E807" s="6" t="s">
        <v>438</v>
      </c>
      <c r="F807" s="6" t="str">
        <f>IF($M807="PADD I","PADD 1",IF($M807="PADD II","PADD 2",IF($M807="PADD III","PADD 3",IF($M807="PADD IV","PADD 4",IF($M807="PADD V","PADD 5","")))))</f>
        <v>PADD 2</v>
      </c>
      <c r="G807" s="6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6" t="s">
        <v>494</v>
      </c>
      <c r="I807" s="6" t="s">
        <v>808</v>
      </c>
      <c r="J807" s="6" t="s">
        <v>394</v>
      </c>
      <c r="K807" s="10">
        <v>0.84</v>
      </c>
      <c r="L807" s="10">
        <v>28</v>
      </c>
      <c r="M807" s="6" t="s">
        <v>425</v>
      </c>
      <c r="N807" s="6" t="str">
        <f>IF(OR($G807="FCC",$G807="Hydrocracker",$G807="Reformer"),IF(COUNTIFS($D:$D,$D807,$A:$A,$A807,$B:$B,$B807,$G:$G,"CDU",$J:$J,"PLANNED")&gt;0,"tied","standalone"),"")</f>
        <v>tied</v>
      </c>
    </row>
    <row r="808" spans="1:14">
      <c r="A808" s="6">
        <v>2023</v>
      </c>
      <c r="B808" s="6">
        <v>3</v>
      </c>
      <c r="C808" s="6" t="s">
        <v>62</v>
      </c>
      <c r="D808" s="6" t="s">
        <v>798</v>
      </c>
      <c r="E808" s="6" t="s">
        <v>438</v>
      </c>
      <c r="F808" s="6" t="str">
        <f>IF($M808="PADD I","PADD 1",IF($M808="PADD II","PADD 2",IF($M808="PADD III","PADD 3",IF($M808="PADD IV","PADD 4",IF($M808="PADD V","PADD 5","")))))</f>
        <v>PADD 3</v>
      </c>
      <c r="G808" s="6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6" t="s">
        <v>44</v>
      </c>
      <c r="I808" s="6" t="s">
        <v>809</v>
      </c>
      <c r="J808" s="6" t="s">
        <v>398</v>
      </c>
      <c r="K808" s="10">
        <v>0.765</v>
      </c>
      <c r="L808" s="10">
        <v>25.5</v>
      </c>
      <c r="M808" s="6" t="s">
        <v>421</v>
      </c>
      <c r="N808" s="6">
        <f>IF(OR($G808="FCC",$G808="Hydrocracker",$G808="Reformer"),IF(COUNTIFS($D:$D,$D808,$A:$A,$A808,$B:$B,$B808,$G:$G,"CDU",$J:$J,"PLANNED")&gt;0,"tied","standalone"),"")</f>
        <v/>
      </c>
    </row>
    <row r="809" spans="1:14">
      <c r="A809" s="6">
        <v>2023</v>
      </c>
      <c r="B809" s="6">
        <v>3</v>
      </c>
      <c r="C809" s="6" t="s">
        <v>62</v>
      </c>
      <c r="D809" s="6" t="s">
        <v>41</v>
      </c>
      <c r="E809" s="6" t="s">
        <v>786</v>
      </c>
      <c r="F809" s="6" t="str">
        <f>IF($M809="PADD I","PADD 1",IF($M809="PADD II","PADD 2",IF($M809="PADD III","PADD 3",IF($M809="PADD IV","PADD 4",IF($M809="PADD V","PADD 5","")))))</f>
        <v>PADD 1</v>
      </c>
      <c r="G809" s="6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6" t="s">
        <v>510</v>
      </c>
      <c r="I809" s="6" t="s">
        <v>810</v>
      </c>
      <c r="J809" s="6" t="s">
        <v>394</v>
      </c>
      <c r="K809" s="10">
        <v>0.72</v>
      </c>
      <c r="L809" s="10">
        <v>12</v>
      </c>
      <c r="M809" s="6" t="s">
        <v>463</v>
      </c>
      <c r="N809" s="6">
        <f>IF(OR($G809="FCC",$G809="Hydrocracker",$G809="Reformer"),IF(COUNTIFS($D:$D,$D809,$A:$A,$A809,$B:$B,$B809,$G:$G,"CDU",$J:$J,"PLANNED")&gt;0,"tied","standalone"),"")</f>
        <v/>
      </c>
    </row>
    <row r="810" spans="1:14">
      <c r="A810" s="6">
        <v>2023</v>
      </c>
      <c r="B810" s="6">
        <v>3</v>
      </c>
      <c r="C810" s="6" t="s">
        <v>62</v>
      </c>
      <c r="D810" s="6" t="s">
        <v>49</v>
      </c>
      <c r="E810" s="6" t="s">
        <v>438</v>
      </c>
      <c r="F810" s="6" t="str">
        <f>IF($M810="PADD I","PADD 1",IF($M810="PADD II","PADD 2",IF($M810="PADD III","PADD 3",IF($M810="PADD IV","PADD 4",IF($M810="PADD V","PADD 5","")))))</f>
        <v>PADD 2</v>
      </c>
      <c r="G810" s="6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6" t="s">
        <v>44</v>
      </c>
      <c r="I810" s="6" t="s">
        <v>811</v>
      </c>
      <c r="J810" s="6" t="s">
        <v>394</v>
      </c>
      <c r="K810" s="10">
        <v>0.72</v>
      </c>
      <c r="L810" s="10">
        <v>24</v>
      </c>
      <c r="M810" s="6" t="s">
        <v>425</v>
      </c>
      <c r="N810" s="6">
        <f>IF(OR($G810="FCC",$G810="Hydrocracker",$G810="Reformer"),IF(COUNTIFS($D:$D,$D810,$A:$A,$A810,$B:$B,$B810,$G:$G,"CDU",$J:$J,"PLANNED")&gt;0,"tied","standalone"),"")</f>
        <v/>
      </c>
    </row>
    <row r="811" spans="1:14">
      <c r="A811" s="6">
        <v>2023</v>
      </c>
      <c r="B811" s="6">
        <v>3</v>
      </c>
      <c r="C811" s="6" t="s">
        <v>62</v>
      </c>
      <c r="D811" s="6" t="s">
        <v>812</v>
      </c>
      <c r="E811" s="6" t="s">
        <v>813</v>
      </c>
      <c r="F811" s="6" t="str">
        <f>IF($M811="PADD I","PADD 1",IF($M811="PADD II","PADD 2",IF($M811="PADD III","PADD 3",IF($M811="PADD IV","PADD 4",IF($M811="PADD V","PADD 5","")))))</f>
        <v>PADD 2</v>
      </c>
      <c r="G811" s="6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6" t="s">
        <v>426</v>
      </c>
      <c r="I811" s="6" t="s">
        <v>106</v>
      </c>
      <c r="J811" s="6" t="s">
        <v>394</v>
      </c>
      <c r="K811" s="10">
        <v>0.615</v>
      </c>
      <c r="L811" s="10">
        <v>20.5</v>
      </c>
      <c r="M811" s="6" t="s">
        <v>425</v>
      </c>
      <c r="N811" s="6" t="str">
        <f>IF(OR($G811="FCC",$G811="Hydrocracker",$G811="Reformer"),IF(COUNTIFS($D:$D,$D811,$A:$A,$A811,$B:$B,$B811,$G:$G,"CDU",$J:$J,"PLANNED")&gt;0,"tied","standalone"),"")</f>
        <v>standalone</v>
      </c>
    </row>
    <row r="812" spans="1:14">
      <c r="A812" s="6">
        <v>2023</v>
      </c>
      <c r="B812" s="6">
        <v>3</v>
      </c>
      <c r="C812" s="6" t="s">
        <v>62</v>
      </c>
      <c r="D812" s="6" t="s">
        <v>782</v>
      </c>
      <c r="E812" s="6" t="s">
        <v>783</v>
      </c>
      <c r="F812" s="6" t="str">
        <f>IF($M812="PADD I","PADD 1",IF($M812="PADD II","PADD 2",IF($M812="PADD III","PADD 3",IF($M812="PADD IV","PADD 4",IF($M812="PADD V","PADD 5","")))))</f>
        <v>PADD 4</v>
      </c>
      <c r="G812" s="6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6" t="s">
        <v>510</v>
      </c>
      <c r="I812" s="6" t="s">
        <v>666</v>
      </c>
      <c r="J812" s="6" t="s">
        <v>398</v>
      </c>
      <c r="K812" s="10">
        <v>0.5590000000000001</v>
      </c>
      <c r="L812" s="10">
        <v>4.3</v>
      </c>
      <c r="M812" s="6" t="s">
        <v>480</v>
      </c>
      <c r="N812" s="6">
        <f>IF(OR($G812="FCC",$G812="Hydrocracker",$G812="Reformer"),IF(COUNTIFS($D:$D,$D812,$A:$A,$A812,$B:$B,$B812,$G:$G,"CDU",$J:$J,"PLANNED")&gt;0,"tied","standalone"),"")</f>
        <v/>
      </c>
    </row>
    <row r="813" spans="1:14">
      <c r="A813" s="6">
        <v>2023</v>
      </c>
      <c r="B813" s="6">
        <v>3</v>
      </c>
      <c r="C813" s="6" t="s">
        <v>62</v>
      </c>
      <c r="D813" s="6" t="s">
        <v>512</v>
      </c>
      <c r="E813" s="6" t="s">
        <v>488</v>
      </c>
      <c r="F813" s="6" t="str">
        <f>IF($M813="PADD I","PADD 1",IF($M813="PADD II","PADD 2",IF($M813="PADD III","PADD 3",IF($M813="PADD IV","PADD 4",IF($M813="PADD V","PADD 5","")))))</f>
        <v>PADD 4</v>
      </c>
      <c r="G813" s="6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6" t="s">
        <v>428</v>
      </c>
      <c r="I813" s="6" t="s">
        <v>605</v>
      </c>
      <c r="J813" s="6" t="s">
        <v>394</v>
      </c>
      <c r="K813" s="10">
        <v>0.5028</v>
      </c>
      <c r="L813" s="10">
        <v>8.380000000000001</v>
      </c>
      <c r="M813" s="6" t="s">
        <v>480</v>
      </c>
      <c r="N813" s="6">
        <f>IF(OR($G813="FCC",$G813="Hydrocracker",$G813="Reformer"),IF(COUNTIFS($D:$D,$D813,$A:$A,$A813,$B:$B,$B813,$G:$G,"CDU",$J:$J,"PLANNED")&gt;0,"tied","standalone"),"")</f>
        <v/>
      </c>
    </row>
    <row r="814" spans="1:14">
      <c r="A814" s="6">
        <v>2023</v>
      </c>
      <c r="B814" s="6">
        <v>3</v>
      </c>
      <c r="C814" s="6" t="s">
        <v>62</v>
      </c>
      <c r="D814" s="6" t="s">
        <v>798</v>
      </c>
      <c r="E814" s="6" t="s">
        <v>438</v>
      </c>
      <c r="F814" s="6" t="str">
        <f>IF($M814="PADD I","PADD 1",IF($M814="PADD II","PADD 2",IF($M814="PADD III","PADD 3",IF($M814="PADD IV","PADD 4",IF($M814="PADD V","PADD 5","")))))</f>
        <v>PADD 3</v>
      </c>
      <c r="G814" s="6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6" t="s">
        <v>471</v>
      </c>
      <c r="I814" s="6" t="s">
        <v>814</v>
      </c>
      <c r="J814" s="6" t="s">
        <v>398</v>
      </c>
      <c r="K814" s="10">
        <v>0.45</v>
      </c>
      <c r="L814" s="10">
        <v>15</v>
      </c>
      <c r="M814" s="6" t="s">
        <v>421</v>
      </c>
      <c r="N814" s="6" t="str">
        <f>IF(OR($G814="FCC",$G814="Hydrocracker",$G814="Reformer"),IF(COUNTIFS($D:$D,$D814,$A:$A,$A814,$B:$B,$B814,$G:$G,"CDU",$J:$J,"PLANNED")&gt;0,"tied","standalone"),"")</f>
        <v>tied</v>
      </c>
    </row>
    <row r="815" spans="1:14">
      <c r="A815" s="6">
        <v>2023</v>
      </c>
      <c r="B815" s="6">
        <v>3</v>
      </c>
      <c r="C815" s="6" t="s">
        <v>62</v>
      </c>
      <c r="D815" s="6" t="s">
        <v>652</v>
      </c>
      <c r="E815" s="6" t="s">
        <v>419</v>
      </c>
      <c r="F815" s="6" t="str">
        <f>IF($M815="PADD I","PADD 1",IF($M815="PADD II","PADD 2",IF($M815="PADD III","PADD 3",IF($M815="PADD IV","PADD 4",IF($M815="PADD V","PADD 5","")))))</f>
        <v>PADD 2</v>
      </c>
      <c r="G815" s="6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6" t="s">
        <v>428</v>
      </c>
      <c r="I815" s="6" t="s">
        <v>586</v>
      </c>
      <c r="J815" s="6" t="s">
        <v>394</v>
      </c>
      <c r="K815" s="10">
        <v>0.45</v>
      </c>
      <c r="L815" s="10">
        <v>15</v>
      </c>
      <c r="M815" s="6" t="s">
        <v>425</v>
      </c>
      <c r="N815" s="6">
        <f>IF(OR($G815="FCC",$G815="Hydrocracker",$G815="Reformer"),IF(COUNTIFS($D:$D,$D815,$A:$A,$A815,$B:$B,$B815,$G:$G,"CDU",$J:$J,"PLANNED")&gt;0,"tied","standalone"),"")</f>
        <v/>
      </c>
    </row>
    <row r="816" spans="1:14">
      <c r="A816" s="6">
        <v>2023</v>
      </c>
      <c r="B816" s="6">
        <v>3</v>
      </c>
      <c r="C816" s="6" t="s">
        <v>62</v>
      </c>
      <c r="D816" s="6" t="s">
        <v>484</v>
      </c>
      <c r="E816" s="6" t="s">
        <v>438</v>
      </c>
      <c r="F816" s="6" t="str">
        <f>IF($M816="PADD I","PADD 1",IF($M816="PADD II","PADD 2",IF($M816="PADD III","PADD 3",IF($M816="PADD IV","PADD 4",IF($M816="PADD V","PADD 5","")))))</f>
        <v>PADD 5</v>
      </c>
      <c r="G816" s="6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6" t="s">
        <v>471</v>
      </c>
      <c r="I816" s="6" t="s">
        <v>721</v>
      </c>
      <c r="J816" s="6" t="s">
        <v>394</v>
      </c>
      <c r="K816" s="10">
        <v>0.45</v>
      </c>
      <c r="L816" s="10">
        <v>15</v>
      </c>
      <c r="M816" s="6" t="s">
        <v>436</v>
      </c>
      <c r="N816" s="6" t="str">
        <f>IF(OR($G816="FCC",$G816="Hydrocracker",$G816="Reformer"),IF(COUNTIFS($D:$D,$D816,$A:$A,$A816,$B:$B,$B816,$G:$G,"CDU",$J:$J,"PLANNED")&gt;0,"tied","standalone"),"")</f>
        <v>standalone</v>
      </c>
    </row>
    <row r="817" spans="1:14">
      <c r="A817" s="6">
        <v>2023</v>
      </c>
      <c r="B817" s="6">
        <v>3</v>
      </c>
      <c r="C817" s="6" t="s">
        <v>62</v>
      </c>
      <c r="D817" s="6" t="s">
        <v>49</v>
      </c>
      <c r="E817" s="6" t="s">
        <v>438</v>
      </c>
      <c r="F817" s="6" t="str">
        <f>IF($M817="PADD I","PADD 1",IF($M817="PADD II","PADD 2",IF($M817="PADD III","PADD 3",IF($M817="PADD IV","PADD 4",IF($M817="PADD V","PADD 5","")))))</f>
        <v>PADD 2</v>
      </c>
      <c r="G817" s="6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6" t="s">
        <v>618</v>
      </c>
      <c r="I817" s="6" t="s">
        <v>815</v>
      </c>
      <c r="J817" s="6" t="s">
        <v>394</v>
      </c>
      <c r="K817" s="10">
        <v>0.42</v>
      </c>
      <c r="L817" s="10">
        <v>14</v>
      </c>
      <c r="M817" s="6" t="s">
        <v>425</v>
      </c>
      <c r="N817" s="6">
        <f>IF(OR($G817="FCC",$G817="Hydrocracker",$G817="Reformer"),IF(COUNTIFS($D:$D,$D817,$A:$A,$A817,$B:$B,$B817,$G:$G,"CDU",$J:$J,"PLANNED")&gt;0,"tied","standalone"),"")</f>
        <v/>
      </c>
    </row>
    <row r="818" spans="1:14">
      <c r="A818" s="6">
        <v>2023</v>
      </c>
      <c r="B818" s="6">
        <v>3</v>
      </c>
      <c r="C818" s="6" t="s">
        <v>62</v>
      </c>
      <c r="D818" s="6" t="s">
        <v>465</v>
      </c>
      <c r="E818" s="6" t="s">
        <v>466</v>
      </c>
      <c r="F818" s="6" t="str">
        <f>IF($M818="PADD I","PADD 1",IF($M818="PADD II","PADD 2",IF($M818="PADD III","PADD 3",IF($M818="PADD IV","PADD 4",IF($M818="PADD V","PADD 5","")))))</f>
        <v>PADD 3</v>
      </c>
      <c r="G818" s="6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6" t="s">
        <v>44</v>
      </c>
      <c r="I818" s="6" t="s">
        <v>703</v>
      </c>
      <c r="J818" s="6" t="s">
        <v>398</v>
      </c>
      <c r="K818" s="10">
        <v>0.39</v>
      </c>
      <c r="L818" s="10">
        <v>13</v>
      </c>
      <c r="M818" s="6" t="s">
        <v>421</v>
      </c>
      <c r="N818" s="6">
        <f>IF(OR($G818="FCC",$G818="Hydrocracker",$G818="Reformer"),IF(COUNTIFS($D:$D,$D818,$A:$A,$A818,$B:$B,$B818,$G:$G,"CDU",$J:$J,"PLANNED")&gt;0,"tied","standalone"),"")</f>
        <v/>
      </c>
    </row>
    <row r="819" spans="1:14">
      <c r="A819" s="6">
        <v>2023</v>
      </c>
      <c r="B819" s="6">
        <v>3</v>
      </c>
      <c r="C819" s="6" t="s">
        <v>62</v>
      </c>
      <c r="D819" s="6" t="s">
        <v>812</v>
      </c>
      <c r="E819" s="6" t="s">
        <v>813</v>
      </c>
      <c r="F819" s="6" t="str">
        <f>IF($M819="PADD I","PADD 1",IF($M819="PADD II","PADD 2",IF($M819="PADD III","PADD 3",IF($M819="PADD IV","PADD 4",IF($M819="PADD V","PADD 5","")))))</f>
        <v>PADD 2</v>
      </c>
      <c r="G819" s="6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6" t="s">
        <v>44</v>
      </c>
      <c r="I819" s="6" t="s">
        <v>508</v>
      </c>
      <c r="J819" s="6" t="s">
        <v>394</v>
      </c>
      <c r="K819" s="10">
        <v>0.39</v>
      </c>
      <c r="L819" s="10">
        <v>13</v>
      </c>
      <c r="M819" s="6" t="s">
        <v>425</v>
      </c>
      <c r="N819" s="6">
        <f>IF(OR($G819="FCC",$G819="Hydrocracker",$G819="Reformer"),IF(COUNTIFS($D:$D,$D819,$A:$A,$A819,$B:$B,$B819,$G:$G,"CDU",$J:$J,"PLANNED")&gt;0,"tied","standalone"),"")</f>
        <v/>
      </c>
    </row>
    <row r="820" spans="1:14">
      <c r="A820" s="6">
        <v>2023</v>
      </c>
      <c r="B820" s="6">
        <v>3</v>
      </c>
      <c r="C820" s="6" t="s">
        <v>62</v>
      </c>
      <c r="D820" s="6" t="s">
        <v>682</v>
      </c>
      <c r="E820" s="6" t="s">
        <v>683</v>
      </c>
      <c r="F820" s="6" t="str">
        <f>IF($M820="PADD I","PADD 1",IF($M820="PADD II","PADD 2",IF($M820="PADD III","PADD 3",IF($M820="PADD IV","PADD 4",IF($M820="PADD V","PADD 5","")))))</f>
        <v>PADD 4</v>
      </c>
      <c r="G820" s="6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6" t="s">
        <v>426</v>
      </c>
      <c r="I820" s="6" t="s">
        <v>684</v>
      </c>
      <c r="J820" s="6" t="s">
        <v>394</v>
      </c>
      <c r="K820" s="10">
        <v>0.375</v>
      </c>
      <c r="L820" s="10">
        <v>12.5</v>
      </c>
      <c r="M820" s="6" t="s">
        <v>480</v>
      </c>
      <c r="N820" s="6" t="str">
        <f>IF(OR($G820="FCC",$G820="Hydrocracker",$G820="Reformer"),IF(COUNTIFS($D:$D,$D820,$A:$A,$A820,$B:$B,$B820,$G:$G,"CDU",$J:$J,"PLANNED")&gt;0,"tied","standalone"),"")</f>
        <v>standalone</v>
      </c>
    </row>
    <row r="821" spans="1:14">
      <c r="A821" s="6">
        <v>2023</v>
      </c>
      <c r="B821" s="6">
        <v>3</v>
      </c>
      <c r="C821" s="6" t="s">
        <v>62</v>
      </c>
      <c r="D821" s="6" t="s">
        <v>49</v>
      </c>
      <c r="E821" s="6" t="s">
        <v>438</v>
      </c>
      <c r="F821" s="6" t="str">
        <f>IF($M821="PADD I","PADD 1",IF($M821="PADD II","PADD 2",IF($M821="PADD III","PADD 3",IF($M821="PADD IV","PADD 4",IF($M821="PADD V","PADD 5","")))))</f>
        <v>PADD 2</v>
      </c>
      <c r="G821" s="6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6" t="s">
        <v>510</v>
      </c>
      <c r="I821" s="6" t="s">
        <v>666</v>
      </c>
      <c r="J821" s="6" t="s">
        <v>394</v>
      </c>
      <c r="K821" s="10">
        <v>0.375</v>
      </c>
      <c r="L821" s="10">
        <v>12.5</v>
      </c>
      <c r="M821" s="6" t="s">
        <v>425</v>
      </c>
      <c r="N821" s="6">
        <f>IF(OR($G821="FCC",$G821="Hydrocracker",$G821="Reformer"),IF(COUNTIFS($D:$D,$D821,$A:$A,$A821,$B:$B,$B821,$G:$G,"CDU",$J:$J,"PLANNED")&gt;0,"tied","standalone"),"")</f>
        <v/>
      </c>
    </row>
    <row r="822" spans="1:14">
      <c r="A822" s="6">
        <v>2023</v>
      </c>
      <c r="B822" s="6">
        <v>3</v>
      </c>
      <c r="C822" s="6" t="s">
        <v>62</v>
      </c>
      <c r="D822" s="6" t="s">
        <v>798</v>
      </c>
      <c r="E822" s="6" t="s">
        <v>438</v>
      </c>
      <c r="F822" s="6" t="str">
        <f>IF($M822="PADD I","PADD 1",IF($M822="PADD II","PADD 2",IF($M822="PADD III","PADD 3",IF($M822="PADD IV","PADD 4",IF($M822="PADD V","PADD 5","")))))</f>
        <v>PADD 3</v>
      </c>
      <c r="G822" s="6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6" t="s">
        <v>44</v>
      </c>
      <c r="I822" s="6" t="s">
        <v>816</v>
      </c>
      <c r="J822" s="6" t="s">
        <v>398</v>
      </c>
      <c r="K822" s="10">
        <v>0.36</v>
      </c>
      <c r="L822" s="10">
        <v>12</v>
      </c>
      <c r="M822" s="6" t="s">
        <v>421</v>
      </c>
      <c r="N822" s="6">
        <f>IF(OR($G822="FCC",$G822="Hydrocracker",$G822="Reformer"),IF(COUNTIFS($D:$D,$D822,$A:$A,$A822,$B:$B,$B822,$G:$G,"CDU",$J:$J,"PLANNED")&gt;0,"tied","standalone"),"")</f>
        <v/>
      </c>
    </row>
    <row r="823" spans="1:14">
      <c r="A823" s="6">
        <v>2023</v>
      </c>
      <c r="B823" s="6">
        <v>3</v>
      </c>
      <c r="C823" s="6" t="s">
        <v>62</v>
      </c>
      <c r="D823" s="6" t="s">
        <v>812</v>
      </c>
      <c r="E823" s="6" t="s">
        <v>813</v>
      </c>
      <c r="F823" s="6" t="str">
        <f>IF($M823="PADD I","PADD 1",IF($M823="PADD II","PADD 2",IF($M823="PADD III","PADD 3",IF($M823="PADD IV","PADD 4",IF($M823="PADD V","PADD 5","")))))</f>
        <v>PADD 2</v>
      </c>
      <c r="G823" s="6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6" t="s">
        <v>510</v>
      </c>
      <c r="I823" s="6" t="s">
        <v>666</v>
      </c>
      <c r="J823" s="6" t="s">
        <v>394</v>
      </c>
      <c r="K823" s="10">
        <v>0.33</v>
      </c>
      <c r="L823" s="10">
        <v>5.5</v>
      </c>
      <c r="M823" s="6" t="s">
        <v>425</v>
      </c>
      <c r="N823" s="6">
        <f>IF(OR($G823="FCC",$G823="Hydrocracker",$G823="Reformer"),IF(COUNTIFS($D:$D,$D823,$A:$A,$A823,$B:$B,$B823,$G:$G,"CDU",$J:$J,"PLANNED")&gt;0,"tied","standalone"),"")</f>
        <v/>
      </c>
    </row>
    <row r="824" spans="1:14">
      <c r="A824" s="6">
        <v>2023</v>
      </c>
      <c r="B824" s="6">
        <v>3</v>
      </c>
      <c r="C824" s="6" t="s">
        <v>62</v>
      </c>
      <c r="D824" s="6" t="s">
        <v>798</v>
      </c>
      <c r="E824" s="6" t="s">
        <v>438</v>
      </c>
      <c r="F824" s="6" t="str">
        <f>IF($M824="PADD I","PADD 1",IF($M824="PADD II","PADD 2",IF($M824="PADD III","PADD 3",IF($M824="PADD IV","PADD 4",IF($M824="PADD V","PADD 5","")))))</f>
        <v>PADD 3</v>
      </c>
      <c r="G824" s="6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6" t="s">
        <v>44</v>
      </c>
      <c r="I824" s="6" t="s">
        <v>817</v>
      </c>
      <c r="J824" s="6" t="s">
        <v>398</v>
      </c>
      <c r="K824" s="10">
        <v>0.315</v>
      </c>
      <c r="L824" s="10">
        <v>10.5</v>
      </c>
      <c r="M824" s="6" t="s">
        <v>421</v>
      </c>
      <c r="N824" s="6">
        <f>IF(OR($G824="FCC",$G824="Hydrocracker",$G824="Reformer"),IF(COUNTIFS($D:$D,$D824,$A:$A,$A824,$B:$B,$B824,$G:$G,"CDU",$J:$J,"PLANNED")&gt;0,"tied","standalone"),"")</f>
        <v/>
      </c>
    </row>
    <row r="825" spans="1:14">
      <c r="A825" s="6">
        <v>2023</v>
      </c>
      <c r="B825" s="6">
        <v>3</v>
      </c>
      <c r="C825" s="6" t="s">
        <v>62</v>
      </c>
      <c r="D825" s="6" t="s">
        <v>686</v>
      </c>
      <c r="E825" s="6" t="s">
        <v>419</v>
      </c>
      <c r="F825" s="6" t="str">
        <f>IF($M825="PADD I","PADD 1",IF($M825="PADD II","PADD 2",IF($M825="PADD III","PADD 3",IF($M825="PADD IV","PADD 4",IF($M825="PADD V","PADD 5","")))))</f>
        <v>PADD 5</v>
      </c>
      <c r="G825" s="6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6" t="s">
        <v>687</v>
      </c>
      <c r="I825" s="6" t="s">
        <v>688</v>
      </c>
      <c r="J825" s="6" t="s">
        <v>394</v>
      </c>
      <c r="K825" s="10">
        <v>0.2</v>
      </c>
      <c r="L825" s="10">
        <v>0.2</v>
      </c>
      <c r="M825" s="6" t="s">
        <v>436</v>
      </c>
      <c r="N825" s="6">
        <f>IF(OR($G825="FCC",$G825="Hydrocracker",$G825="Reformer"),IF(COUNTIFS($D:$D,$D825,$A:$A,$A825,$B:$B,$B825,$G:$G,"CDU",$J:$J,"PLANNED")&gt;0,"tied","standalone"),"")</f>
        <v/>
      </c>
    </row>
    <row r="826" spans="1:14">
      <c r="A826" s="6">
        <v>2023</v>
      </c>
      <c r="B826" s="6">
        <v>3</v>
      </c>
      <c r="C826" s="6" t="s">
        <v>62</v>
      </c>
      <c r="D826" s="6" t="s">
        <v>782</v>
      </c>
      <c r="E826" s="6" t="s">
        <v>783</v>
      </c>
      <c r="F826" s="6" t="str">
        <f>IF($M826="PADD I","PADD 1",IF($M826="PADD II","PADD 2",IF($M826="PADD III","PADD 3",IF($M826="PADD IV","PADD 4",IF($M826="PADD V","PADD 5","")))))</f>
        <v>PADD 4</v>
      </c>
      <c r="G826" s="6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6" t="s">
        <v>618</v>
      </c>
      <c r="I826" s="6" t="s">
        <v>818</v>
      </c>
      <c r="J826" s="6" t="s">
        <v>398</v>
      </c>
      <c r="K826" s="10">
        <v>0.1625</v>
      </c>
      <c r="L826" s="10">
        <v>1.25</v>
      </c>
      <c r="M826" s="6" t="s">
        <v>480</v>
      </c>
      <c r="N826" s="6">
        <f>IF(OR($G826="FCC",$G826="Hydrocracker",$G826="Reformer"),IF(COUNTIFS($D:$D,$D826,$A:$A,$A826,$B:$B,$B826,$G:$G,"CDU",$J:$J,"PLANNED")&gt;0,"tied","standalone"),"")</f>
        <v/>
      </c>
    </row>
    <row r="827" spans="1:14">
      <c r="A827" s="6">
        <v>2023</v>
      </c>
      <c r="B827" s="6">
        <v>4</v>
      </c>
      <c r="C827" s="6" t="s">
        <v>63</v>
      </c>
      <c r="D827" s="6" t="s">
        <v>418</v>
      </c>
      <c r="E827" s="6" t="s">
        <v>419</v>
      </c>
      <c r="F827" s="6" t="str">
        <f>IF($M827="PADD I","PADD 1",IF($M827="PADD II","PADD 2",IF($M827="PADD III","PADD 3",IF($M827="PADD IV","PADD 4",IF($M827="PADD V","PADD 5","")))))</f>
        <v>PADD 3</v>
      </c>
      <c r="G827" s="6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6" t="s">
        <v>39</v>
      </c>
      <c r="I827" s="6" t="s">
        <v>420</v>
      </c>
      <c r="J827" s="6" t="s">
        <v>398</v>
      </c>
      <c r="K827" s="10">
        <v>269.14</v>
      </c>
      <c r="L827" s="10">
        <v>269.14</v>
      </c>
      <c r="M827" s="6" t="s">
        <v>421</v>
      </c>
      <c r="N827" s="6">
        <f>IF(OR($G827="FCC",$G827="Hydrocracker",$G827="Reformer"),IF(COUNTIFS($D:$D,$D827,$A:$A,$A827,$B:$B,$B827,$G:$G,"CDU",$J:$J,"PLANNED")&gt;0,"tied","standalone"),"")</f>
        <v/>
      </c>
    </row>
    <row r="828" spans="1:14">
      <c r="A828" s="6">
        <v>2023</v>
      </c>
      <c r="B828" s="6">
        <v>4</v>
      </c>
      <c r="C828" s="6" t="s">
        <v>63</v>
      </c>
      <c r="D828" s="6" t="s">
        <v>49</v>
      </c>
      <c r="E828" s="6" t="s">
        <v>438</v>
      </c>
      <c r="F828" s="6" t="str">
        <f>IF($M828="PADD I","PADD 1",IF($M828="PADD II","PADD 2",IF($M828="PADD III","PADD 3",IF($M828="PADD IV","PADD 4",IF($M828="PADD V","PADD 5","")))))</f>
        <v>PADD 2</v>
      </c>
      <c r="G828" s="6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6" t="s">
        <v>39</v>
      </c>
      <c r="I828" s="6" t="s">
        <v>770</v>
      </c>
      <c r="J828" s="6" t="s">
        <v>398</v>
      </c>
      <c r="K828" s="10">
        <v>127.5</v>
      </c>
      <c r="L828" s="10">
        <v>127.5</v>
      </c>
      <c r="M828" s="6" t="s">
        <v>425</v>
      </c>
      <c r="N828" s="6">
        <f>IF(OR($G828="FCC",$G828="Hydrocracker",$G828="Reformer"),IF(COUNTIFS($D:$D,$D828,$A:$A,$A828,$B:$B,$B828,$G:$G,"CDU",$J:$J,"PLANNED")&gt;0,"tied","standalone"),"")</f>
        <v/>
      </c>
    </row>
    <row r="829" spans="1:14">
      <c r="A829" s="6">
        <v>2023</v>
      </c>
      <c r="B829" s="6">
        <v>4</v>
      </c>
      <c r="C829" s="6" t="s">
        <v>63</v>
      </c>
      <c r="D829" s="6" t="s">
        <v>54</v>
      </c>
      <c r="E829" s="6" t="s">
        <v>593</v>
      </c>
      <c r="F829" s="6" t="str">
        <f>IF($M829="PADD I","PADD 1",IF($M829="PADD II","PADD 2",IF($M829="PADD III","PADD 3",IF($M829="PADD IV","PADD 4",IF($M829="PADD V","PADD 5","")))))</f>
        <v>PADD 5</v>
      </c>
      <c r="G829" s="6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6" t="s">
        <v>39</v>
      </c>
      <c r="I829" s="6" t="s">
        <v>82</v>
      </c>
      <c r="J829" s="6" t="s">
        <v>398</v>
      </c>
      <c r="K829" s="10">
        <v>125</v>
      </c>
      <c r="L829" s="10">
        <v>250</v>
      </c>
      <c r="M829" s="6" t="s">
        <v>436</v>
      </c>
      <c r="N829" s="6">
        <f>IF(OR($G829="FCC",$G829="Hydrocracker",$G829="Reformer"),IF(COUNTIFS($D:$D,$D829,$A:$A,$A829,$B:$B,$B829,$G:$G,"CDU",$J:$J,"PLANNED")&gt;0,"tied","standalone"),"")</f>
        <v/>
      </c>
    </row>
    <row r="830" spans="1:14">
      <c r="A830" s="6">
        <v>2023</v>
      </c>
      <c r="B830" s="6">
        <v>4</v>
      </c>
      <c r="C830" s="6" t="s">
        <v>63</v>
      </c>
      <c r="D830" s="6" t="s">
        <v>422</v>
      </c>
      <c r="E830" s="6" t="s">
        <v>423</v>
      </c>
      <c r="F830" s="6" t="str">
        <f>IF($M830="PADD I","PADD 1",IF($M830="PADD II","PADD 2",IF($M830="PADD III","PADD 3",IF($M830="PADD IV","PADD 4",IF($M830="PADD V","PADD 5","")))))</f>
        <v>PADD 2</v>
      </c>
      <c r="G830" s="6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6" t="s">
        <v>39</v>
      </c>
      <c r="I830" s="6" t="s">
        <v>424</v>
      </c>
      <c r="J830" s="6" t="s">
        <v>394</v>
      </c>
      <c r="K830" s="10">
        <v>120</v>
      </c>
      <c r="L830" s="10">
        <v>120</v>
      </c>
      <c r="M830" s="6" t="s">
        <v>425</v>
      </c>
      <c r="N830" s="6">
        <f>IF(OR($G830="FCC",$G830="Hydrocracker",$G830="Reformer"),IF(COUNTIFS($D:$D,$D830,$A:$A,$A830,$B:$B,$B830,$G:$G,"CDU",$J:$J,"PLANNED")&gt;0,"tied","standalone"),"")</f>
        <v/>
      </c>
    </row>
    <row r="831" spans="1:14">
      <c r="A831" s="6">
        <v>2023</v>
      </c>
      <c r="B831" s="6">
        <v>4</v>
      </c>
      <c r="C831" s="6" t="s">
        <v>63</v>
      </c>
      <c r="D831" s="6" t="s">
        <v>422</v>
      </c>
      <c r="E831" s="6" t="s">
        <v>423</v>
      </c>
      <c r="F831" s="6" t="str">
        <f>IF($M831="PADD I","PADD 1",IF($M831="PADD II","PADD 2",IF($M831="PADD III","PADD 3",IF($M831="PADD IV","PADD 4",IF($M831="PADD V","PADD 5","")))))</f>
        <v>PADD 2</v>
      </c>
      <c r="G831" s="6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6" t="s">
        <v>39</v>
      </c>
      <c r="I831" s="6" t="s">
        <v>424</v>
      </c>
      <c r="J831" s="6" t="s">
        <v>394</v>
      </c>
      <c r="K831" s="10">
        <v>110</v>
      </c>
      <c r="L831" s="10">
        <v>110</v>
      </c>
      <c r="M831" s="6" t="s">
        <v>425</v>
      </c>
      <c r="N831" s="6">
        <f>IF(OR($G831="FCC",$G831="Hydrocracker",$G831="Reformer"),IF(COUNTIFS($D:$D,$D831,$A:$A,$A831,$B:$B,$B831,$G:$G,"CDU",$J:$J,"PLANNED")&gt;0,"tied","standalone"),"")</f>
        <v/>
      </c>
    </row>
    <row r="832" spans="1:14">
      <c r="A832" s="6">
        <v>2023</v>
      </c>
      <c r="B832" s="6">
        <v>4</v>
      </c>
      <c r="C832" s="6" t="s">
        <v>63</v>
      </c>
      <c r="D832" s="6" t="s">
        <v>725</v>
      </c>
      <c r="E832" s="6" t="s">
        <v>502</v>
      </c>
      <c r="F832" s="6" t="str">
        <f>IF($M832="PADD I","PADD 1",IF($M832="PADD II","PADD 2",IF($M832="PADD III","PADD 3",IF($M832="PADD IV","PADD 4",IF($M832="PADD V","PADD 5","")))))</f>
        <v>PADD 2</v>
      </c>
      <c r="G832" s="6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6" t="s">
        <v>39</v>
      </c>
      <c r="I832" s="6" t="s">
        <v>82</v>
      </c>
      <c r="J832" s="6" t="s">
        <v>398</v>
      </c>
      <c r="K832" s="10">
        <v>107.2</v>
      </c>
      <c r="L832" s="10">
        <v>160</v>
      </c>
      <c r="M832" s="6" t="s">
        <v>425</v>
      </c>
      <c r="N832" s="6">
        <f>IF(OR($G832="FCC",$G832="Hydrocracker",$G832="Reformer"),IF(COUNTIFS($D:$D,$D832,$A:$A,$A832,$B:$B,$B832,$G:$G,"CDU",$J:$J,"PLANNED")&gt;0,"tied","standalone"),"")</f>
        <v/>
      </c>
    </row>
    <row r="833" spans="1:14">
      <c r="A833" s="6">
        <v>2023</v>
      </c>
      <c r="B833" s="6">
        <v>4</v>
      </c>
      <c r="C833" s="6" t="s">
        <v>63</v>
      </c>
      <c r="D833" s="6" t="s">
        <v>418</v>
      </c>
      <c r="E833" s="6" t="s">
        <v>419</v>
      </c>
      <c r="F833" s="6" t="str">
        <f>IF($M833="PADD I","PADD 1",IF($M833="PADD II","PADD 2",IF($M833="PADD III","PADD 3",IF($M833="PADD IV","PADD 4",IF($M833="PADD V","PADD 5","")))))</f>
        <v>PADD 3</v>
      </c>
      <c r="G833" s="6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6" t="s">
        <v>426</v>
      </c>
      <c r="I833" s="6" t="s">
        <v>427</v>
      </c>
      <c r="J833" s="6" t="s">
        <v>398</v>
      </c>
      <c r="K833" s="10">
        <v>104</v>
      </c>
      <c r="L833" s="10">
        <v>104</v>
      </c>
      <c r="M833" s="6" t="s">
        <v>421</v>
      </c>
      <c r="N833" s="6" t="str">
        <f>IF(OR($G833="FCC",$G833="Hydrocracker",$G833="Reformer"),IF(COUNTIFS($D:$D,$D833,$A:$A,$A833,$B:$B,$B833,$G:$G,"CDU",$J:$J,"PLANNED")&gt;0,"tied","standalone"),"")</f>
        <v>tied</v>
      </c>
    </row>
    <row r="834" spans="1:14">
      <c r="A834" s="6">
        <v>2023</v>
      </c>
      <c r="B834" s="6">
        <v>4</v>
      </c>
      <c r="C834" s="6" t="s">
        <v>63</v>
      </c>
      <c r="D834" s="6" t="s">
        <v>418</v>
      </c>
      <c r="E834" s="6" t="s">
        <v>419</v>
      </c>
      <c r="F834" s="6" t="str">
        <f>IF($M834="PADD I","PADD 1",IF($M834="PADD II","PADD 2",IF($M834="PADD III","PADD 3",IF($M834="PADD IV","PADD 4",IF($M834="PADD V","PADD 5","")))))</f>
        <v>PADD 3</v>
      </c>
      <c r="G834" s="6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6" t="s">
        <v>428</v>
      </c>
      <c r="I834" s="6" t="s">
        <v>429</v>
      </c>
      <c r="J834" s="6" t="s">
        <v>398</v>
      </c>
      <c r="K834" s="10">
        <v>103</v>
      </c>
      <c r="L834" s="10">
        <v>103</v>
      </c>
      <c r="M834" s="6" t="s">
        <v>421</v>
      </c>
      <c r="N834" s="6">
        <f>IF(OR($G834="FCC",$G834="Hydrocracker",$G834="Reformer"),IF(COUNTIFS($D:$D,$D834,$A:$A,$A834,$B:$B,$B834,$G:$G,"CDU",$J:$J,"PLANNED")&gt;0,"tied","standalone"),"")</f>
        <v/>
      </c>
    </row>
    <row r="835" spans="1:14">
      <c r="A835" s="6">
        <v>2023</v>
      </c>
      <c r="B835" s="6">
        <v>4</v>
      </c>
      <c r="C835" s="6" t="s">
        <v>63</v>
      </c>
      <c r="D835" s="6" t="s">
        <v>49</v>
      </c>
      <c r="E835" s="6" t="s">
        <v>438</v>
      </c>
      <c r="F835" s="6" t="str">
        <f>IF($M835="PADD I","PADD 1",IF($M835="PADD II","PADD 2",IF($M835="PADD III","PADD 3",IF($M835="PADD IV","PADD 4",IF($M835="PADD V","PADD 5","")))))</f>
        <v>PADD 2</v>
      </c>
      <c r="G835" s="6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6" t="s">
        <v>44</v>
      </c>
      <c r="I835" s="6" t="s">
        <v>746</v>
      </c>
      <c r="J835" s="6" t="s">
        <v>394</v>
      </c>
      <c r="K835" s="10">
        <v>83.5</v>
      </c>
      <c r="L835" s="10">
        <v>83.5</v>
      </c>
      <c r="M835" s="6" t="s">
        <v>425</v>
      </c>
      <c r="N835" s="6">
        <f>IF(OR($G835="FCC",$G835="Hydrocracker",$G835="Reformer"),IF(COUNTIFS($D:$D,$D835,$A:$A,$A835,$B:$B,$B835,$G:$G,"CDU",$J:$J,"PLANNED")&gt;0,"tied","standalone"),"")</f>
        <v/>
      </c>
    </row>
    <row r="836" spans="1:14">
      <c r="A836" s="6">
        <v>2023</v>
      </c>
      <c r="B836" s="6">
        <v>4</v>
      </c>
      <c r="C836" s="6" t="s">
        <v>63</v>
      </c>
      <c r="D836" s="6" t="s">
        <v>592</v>
      </c>
      <c r="E836" s="6" t="s">
        <v>593</v>
      </c>
      <c r="F836" s="6" t="str">
        <f>IF($M836="PADD I","PADD 1",IF($M836="PADD II","PADD 2",IF($M836="PADD III","PADD 3",IF($M836="PADD IV","PADD 4",IF($M836="PADD V","PADD 5","")))))</f>
        <v>PADD 2</v>
      </c>
      <c r="G836" s="6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6" t="s">
        <v>39</v>
      </c>
      <c r="I836" s="6" t="s">
        <v>740</v>
      </c>
      <c r="J836" s="6" t="s">
        <v>394</v>
      </c>
      <c r="K836" s="10">
        <v>75</v>
      </c>
      <c r="L836" s="10">
        <v>75</v>
      </c>
      <c r="M836" s="6" t="s">
        <v>425</v>
      </c>
      <c r="N836" s="6">
        <f>IF(OR($G836="FCC",$G836="Hydrocracker",$G836="Reformer"),IF(COUNTIFS($D:$D,$D836,$A:$A,$A836,$B:$B,$B836,$G:$G,"CDU",$J:$J,"PLANNED")&gt;0,"tied","standalone"),"")</f>
        <v/>
      </c>
    </row>
    <row r="837" spans="1:14">
      <c r="A837" s="6">
        <v>2023</v>
      </c>
      <c r="B837" s="6">
        <v>4</v>
      </c>
      <c r="C837" s="6" t="s">
        <v>63</v>
      </c>
      <c r="D837" s="6" t="s">
        <v>51</v>
      </c>
      <c r="E837" s="6" t="s">
        <v>431</v>
      </c>
      <c r="F837" s="6" t="str">
        <f>IF($M837="PADD I","PADD 1",IF($M837="PADD II","PADD 2",IF($M837="PADD III","PADD 3",IF($M837="PADD IV","PADD 4",IF($M837="PADD V","PADD 5","")))))</f>
        <v>PADD 3</v>
      </c>
      <c r="G837" s="6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6" t="s">
        <v>39</v>
      </c>
      <c r="I837" s="6" t="s">
        <v>819</v>
      </c>
      <c r="J837" s="6" t="s">
        <v>394</v>
      </c>
      <c r="K837" s="10">
        <v>73.79000000000001</v>
      </c>
      <c r="L837" s="10">
        <v>157</v>
      </c>
      <c r="M837" s="6" t="s">
        <v>421</v>
      </c>
      <c r="N837" s="6">
        <f>IF(OR($G837="FCC",$G837="Hydrocracker",$G837="Reformer"),IF(COUNTIFS($D:$D,$D837,$A:$A,$A837,$B:$B,$B837,$G:$G,"CDU",$J:$J,"PLANNED")&gt;0,"tied","standalone"),"")</f>
        <v/>
      </c>
    </row>
    <row r="838" spans="1:14">
      <c r="A838" s="6">
        <v>2023</v>
      </c>
      <c r="B838" s="6">
        <v>4</v>
      </c>
      <c r="C838" s="6" t="s">
        <v>63</v>
      </c>
      <c r="D838" s="6" t="s">
        <v>373</v>
      </c>
      <c r="E838" s="6" t="s">
        <v>438</v>
      </c>
      <c r="F838" s="6" t="str">
        <f>IF($M838="PADD I","PADD 1",IF($M838="PADD II","PADD 2",IF($M838="PADD III","PADD 3",IF($M838="PADD IV","PADD 4",IF($M838="PADD V","PADD 5","")))))</f>
        <v>PADD 3</v>
      </c>
      <c r="G838" s="6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6" t="s">
        <v>44</v>
      </c>
      <c r="I838" s="6" t="s">
        <v>732</v>
      </c>
      <c r="J838" s="6" t="s">
        <v>394</v>
      </c>
      <c r="K838" s="10">
        <v>66.78</v>
      </c>
      <c r="L838" s="10">
        <v>106</v>
      </c>
      <c r="M838" s="6" t="s">
        <v>421</v>
      </c>
      <c r="N838" s="6">
        <f>IF(OR($G838="FCC",$G838="Hydrocracker",$G838="Reformer"),IF(COUNTIFS($D:$D,$D838,$A:$A,$A838,$B:$B,$B838,$G:$G,"CDU",$J:$J,"PLANNED")&gt;0,"tied","standalone"),"")</f>
        <v/>
      </c>
    </row>
    <row r="839" spans="1:14">
      <c r="A839" s="6">
        <v>2023</v>
      </c>
      <c r="B839" s="6">
        <v>4</v>
      </c>
      <c r="C839" s="6" t="s">
        <v>63</v>
      </c>
      <c r="D839" s="6" t="s">
        <v>418</v>
      </c>
      <c r="E839" s="6" t="s">
        <v>419</v>
      </c>
      <c r="F839" s="6" t="str">
        <f>IF($M839="PADD I","PADD 1",IF($M839="PADD II","PADD 2",IF($M839="PADD III","PADD 3",IF($M839="PADD IV","PADD 4",IF($M839="PADD V","PADD 5","")))))</f>
        <v>PADD 3</v>
      </c>
      <c r="G839" s="6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6" t="s">
        <v>44</v>
      </c>
      <c r="I839" s="6" t="s">
        <v>443</v>
      </c>
      <c r="J839" s="6" t="s">
        <v>398</v>
      </c>
      <c r="K839" s="10">
        <v>65.40000000000001</v>
      </c>
      <c r="L839" s="10">
        <v>65.40000000000001</v>
      </c>
      <c r="M839" s="6" t="s">
        <v>421</v>
      </c>
      <c r="N839" s="6">
        <f>IF(OR($G839="FCC",$G839="Hydrocracker",$G839="Reformer"),IF(COUNTIFS($D:$D,$D839,$A:$A,$A839,$B:$B,$B839,$G:$G,"CDU",$J:$J,"PLANNED")&gt;0,"tied","standalone"),"")</f>
        <v/>
      </c>
    </row>
    <row r="840" spans="1:14">
      <c r="A840" s="6">
        <v>2023</v>
      </c>
      <c r="B840" s="6">
        <v>4</v>
      </c>
      <c r="C840" s="6" t="s">
        <v>63</v>
      </c>
      <c r="D840" s="6" t="s">
        <v>820</v>
      </c>
      <c r="E840" s="6" t="s">
        <v>710</v>
      </c>
      <c r="F840" s="6" t="str">
        <f>IF($M840="PADD I","PADD 1",IF($M840="PADD II","PADD 2",IF($M840="PADD III","PADD 3",IF($M840="PADD IV","PADD 4",IF($M840="PADD V","PADD 5","")))))</f>
        <v>PADD 3</v>
      </c>
      <c r="G840" s="6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6" t="s">
        <v>39</v>
      </c>
      <c r="I840" s="6" t="s">
        <v>821</v>
      </c>
      <c r="J840" s="6" t="s">
        <v>398</v>
      </c>
      <c r="K840" s="10">
        <v>63</v>
      </c>
      <c r="L840" s="10">
        <v>63</v>
      </c>
      <c r="M840" s="6" t="s">
        <v>421</v>
      </c>
      <c r="N840" s="6">
        <f>IF(OR($G840="FCC",$G840="Hydrocracker",$G840="Reformer"),IF(COUNTIFS($D:$D,$D840,$A:$A,$A840,$B:$B,$B840,$G:$G,"CDU",$J:$J,"PLANNED")&gt;0,"tied","standalone"),"")</f>
        <v/>
      </c>
    </row>
    <row r="841" spans="1:14">
      <c r="A841" s="6">
        <v>2023</v>
      </c>
      <c r="B841" s="6">
        <v>4</v>
      </c>
      <c r="C841" s="6" t="s">
        <v>63</v>
      </c>
      <c r="D841" s="6" t="s">
        <v>730</v>
      </c>
      <c r="E841" s="6" t="s">
        <v>731</v>
      </c>
      <c r="F841" s="6" t="str">
        <f>IF($M841="PADD I","PADD 1",IF($M841="PADD II","PADD 2",IF($M841="PADD III","PADD 3",IF($M841="PADD IV","PADD 4",IF($M841="PADD V","PADD 5","")))))</f>
        <v>PADD 3</v>
      </c>
      <c r="G841" s="6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6" t="s">
        <v>39</v>
      </c>
      <c r="I841" s="6" t="s">
        <v>82</v>
      </c>
      <c r="J841" s="6" t="s">
        <v>398</v>
      </c>
      <c r="K841" s="10">
        <v>60.45</v>
      </c>
      <c r="L841" s="10">
        <v>65</v>
      </c>
      <c r="M841" s="6" t="s">
        <v>421</v>
      </c>
      <c r="N841" s="6">
        <f>IF(OR($G841="FCC",$G841="Hydrocracker",$G841="Reformer"),IF(COUNTIFS($D:$D,$D841,$A:$A,$A841,$B:$B,$B841,$G:$G,"CDU",$J:$J,"PLANNED")&gt;0,"tied","standalone"),"")</f>
        <v/>
      </c>
    </row>
    <row r="842" spans="1:14">
      <c r="A842" s="6">
        <v>2023</v>
      </c>
      <c r="B842" s="6">
        <v>4</v>
      </c>
      <c r="C842" s="6" t="s">
        <v>63</v>
      </c>
      <c r="D842" s="6" t="s">
        <v>418</v>
      </c>
      <c r="E842" s="6" t="s">
        <v>419</v>
      </c>
      <c r="F842" s="6" t="str">
        <f>IF($M842="PADD I","PADD 1",IF($M842="PADD II","PADD 2",IF($M842="PADD III","PADD 3",IF($M842="PADD IV","PADD 4",IF($M842="PADD V","PADD 5","")))))</f>
        <v>PADD 3</v>
      </c>
      <c r="G842" s="6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6" t="s">
        <v>44</v>
      </c>
      <c r="I842" s="6" t="s">
        <v>451</v>
      </c>
      <c r="J842" s="6" t="s">
        <v>398</v>
      </c>
      <c r="K842" s="10">
        <v>58.5</v>
      </c>
      <c r="L842" s="10">
        <v>58.5</v>
      </c>
      <c r="M842" s="6" t="s">
        <v>421</v>
      </c>
      <c r="N842" s="6">
        <f>IF(OR($G842="FCC",$G842="Hydrocracker",$G842="Reformer"),IF(COUNTIFS($D:$D,$D842,$A:$A,$A842,$B:$B,$B842,$G:$G,"CDU",$J:$J,"PLANNED")&gt;0,"tied","standalone"),"")</f>
        <v/>
      </c>
    </row>
    <row r="843" spans="1:14">
      <c r="A843" s="6">
        <v>2023</v>
      </c>
      <c r="B843" s="6">
        <v>4</v>
      </c>
      <c r="C843" s="6" t="s">
        <v>63</v>
      </c>
      <c r="D843" s="6" t="s">
        <v>789</v>
      </c>
      <c r="E843" s="6" t="s">
        <v>455</v>
      </c>
      <c r="F843" s="6" t="str">
        <f>IF($M843="PADD I","PADD 1",IF($M843="PADD II","PADD 2",IF($M843="PADD III","PADD 3",IF($M843="PADD IV","PADD 4",IF($M843="PADD V","PADD 5","")))))</f>
        <v>PADD 2</v>
      </c>
      <c r="G843" s="6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6" t="s">
        <v>39</v>
      </c>
      <c r="I843" s="6" t="s">
        <v>134</v>
      </c>
      <c r="J843" s="6" t="s">
        <v>398</v>
      </c>
      <c r="K843" s="10">
        <v>57.645</v>
      </c>
      <c r="L843" s="10">
        <v>91.5</v>
      </c>
      <c r="M843" s="6" t="s">
        <v>425</v>
      </c>
      <c r="N843" s="6">
        <f>IF(OR($G843="FCC",$G843="Hydrocracker",$G843="Reformer"),IF(COUNTIFS($D:$D,$D843,$A:$A,$A843,$B:$B,$B843,$G:$G,"CDU",$J:$J,"PLANNED")&gt;0,"tied","standalone"),"")</f>
        <v/>
      </c>
    </row>
    <row r="844" spans="1:14">
      <c r="A844" s="6">
        <v>2023</v>
      </c>
      <c r="B844" s="6">
        <v>4</v>
      </c>
      <c r="C844" s="6" t="s">
        <v>63</v>
      </c>
      <c r="D844" s="6" t="s">
        <v>437</v>
      </c>
      <c r="E844" s="6" t="s">
        <v>438</v>
      </c>
      <c r="F844" s="6" t="str">
        <f>IF($M844="PADD I","PADD 1",IF($M844="PADD II","PADD 2",IF($M844="PADD III","PADD 3",IF($M844="PADD IV","PADD 4",IF($M844="PADD V","PADD 5","")))))</f>
        <v>PADD 3</v>
      </c>
      <c r="G844" s="6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6" t="s">
        <v>39</v>
      </c>
      <c r="I844" s="6" t="s">
        <v>439</v>
      </c>
      <c r="J844" s="6" t="s">
        <v>398</v>
      </c>
      <c r="K844" s="10">
        <v>56.35</v>
      </c>
      <c r="L844" s="10">
        <v>245</v>
      </c>
      <c r="M844" s="6" t="s">
        <v>421</v>
      </c>
      <c r="N844" s="6">
        <f>IF(OR($G844="FCC",$G844="Hydrocracker",$G844="Reformer"),IF(COUNTIFS($D:$D,$D844,$A:$A,$A844,$B:$B,$B844,$G:$G,"CDU",$J:$J,"PLANNED")&gt;0,"tied","standalone"),"")</f>
        <v/>
      </c>
    </row>
    <row r="845" spans="1:14">
      <c r="A845" s="6">
        <v>2023</v>
      </c>
      <c r="B845" s="6">
        <v>4</v>
      </c>
      <c r="C845" s="6" t="s">
        <v>63</v>
      </c>
      <c r="D845" s="6" t="s">
        <v>798</v>
      </c>
      <c r="E845" s="6" t="s">
        <v>438</v>
      </c>
      <c r="F845" s="6" t="str">
        <f>IF($M845="PADD I","PADD 1",IF($M845="PADD II","PADD 2",IF($M845="PADD III","PADD 3",IF($M845="PADD IV","PADD 4",IF($M845="PADD V","PADD 5","")))))</f>
        <v>PADD 3</v>
      </c>
      <c r="G845" s="6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6" t="s">
        <v>39</v>
      </c>
      <c r="I845" s="6" t="s">
        <v>799</v>
      </c>
      <c r="J845" s="6" t="s">
        <v>398</v>
      </c>
      <c r="K845" s="10">
        <v>56</v>
      </c>
      <c r="L845" s="10">
        <v>56</v>
      </c>
      <c r="M845" s="6" t="s">
        <v>421</v>
      </c>
      <c r="N845" s="6">
        <f>IF(OR($G845="FCC",$G845="Hydrocracker",$G845="Reformer"),IF(COUNTIFS($D:$D,$D845,$A:$A,$A845,$B:$B,$B845,$G:$G,"CDU",$J:$J,"PLANNED")&gt;0,"tied","standalone"),"")</f>
        <v/>
      </c>
    </row>
    <row r="846" spans="1:14">
      <c r="A846" s="6">
        <v>2023</v>
      </c>
      <c r="B846" s="6">
        <v>4</v>
      </c>
      <c r="C846" s="6" t="s">
        <v>63</v>
      </c>
      <c r="D846" s="6" t="s">
        <v>437</v>
      </c>
      <c r="E846" s="6" t="s">
        <v>438</v>
      </c>
      <c r="F846" s="6" t="str">
        <f>IF($M846="PADD I","PADD 1",IF($M846="PADD II","PADD 2",IF($M846="PADD III","PADD 3",IF($M846="PADD IV","PADD 4",IF($M846="PADD V","PADD 5","")))))</f>
        <v>PADD 3</v>
      </c>
      <c r="G846" s="6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6" t="s">
        <v>494</v>
      </c>
      <c r="I846" s="6" t="s">
        <v>526</v>
      </c>
      <c r="J846" s="6" t="s">
        <v>394</v>
      </c>
      <c r="K846" s="10">
        <v>56</v>
      </c>
      <c r="L846" s="10">
        <v>70</v>
      </c>
      <c r="M846" s="6" t="s">
        <v>421</v>
      </c>
      <c r="N846" s="6" t="str">
        <f>IF(OR($G846="FCC",$G846="Hydrocracker",$G846="Reformer"),IF(COUNTIFS($D:$D,$D846,$A:$A,$A846,$B:$B,$B846,$G:$G,"CDU",$J:$J,"PLANNED")&gt;0,"tied","standalone"),"")</f>
        <v>tied</v>
      </c>
    </row>
    <row r="847" spans="1:14">
      <c r="A847" s="6">
        <v>2023</v>
      </c>
      <c r="B847" s="6">
        <v>4</v>
      </c>
      <c r="C847" s="6" t="s">
        <v>63</v>
      </c>
      <c r="D847" s="6" t="s">
        <v>422</v>
      </c>
      <c r="E847" s="6" t="s">
        <v>423</v>
      </c>
      <c r="F847" s="6" t="str">
        <f>IF($M847="PADD I","PADD 1",IF($M847="PADD II","PADD 2",IF($M847="PADD III","PADD 3",IF($M847="PADD IV","PADD 4",IF($M847="PADD V","PADD 5","")))))</f>
        <v>PADD 2</v>
      </c>
      <c r="G847" s="6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6" t="s">
        <v>426</v>
      </c>
      <c r="I847" s="6" t="s">
        <v>457</v>
      </c>
      <c r="J847" s="6" t="s">
        <v>394</v>
      </c>
      <c r="K847" s="10">
        <v>55</v>
      </c>
      <c r="L847" s="10">
        <v>55</v>
      </c>
      <c r="M847" s="6" t="s">
        <v>425</v>
      </c>
      <c r="N847" s="6" t="str">
        <f>IF(OR($G847="FCC",$G847="Hydrocracker",$G847="Reformer"),IF(COUNTIFS($D:$D,$D847,$A:$A,$A847,$B:$B,$B847,$G:$G,"CDU",$J:$J,"PLANNED")&gt;0,"tied","standalone"),"")</f>
        <v>standalone</v>
      </c>
    </row>
    <row r="848" spans="1:14">
      <c r="A848" s="6">
        <v>2023</v>
      </c>
      <c r="B848" s="6">
        <v>4</v>
      </c>
      <c r="C848" s="6" t="s">
        <v>63</v>
      </c>
      <c r="D848" s="6" t="s">
        <v>576</v>
      </c>
      <c r="E848" s="6" t="s">
        <v>455</v>
      </c>
      <c r="F848" s="6" t="str">
        <f>IF($M848="PADD I","PADD 1",IF($M848="PADD II","PADD 2",IF($M848="PADD III","PADD 3",IF($M848="PADD IV","PADD 4",IF($M848="PADD V","PADD 5","")))))</f>
        <v>PADD 3</v>
      </c>
      <c r="G848" s="6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6" t="s">
        <v>485</v>
      </c>
      <c r="I848" s="6" t="s">
        <v>736</v>
      </c>
      <c r="J848" s="6" t="s">
        <v>398</v>
      </c>
      <c r="K848" s="10">
        <v>55</v>
      </c>
      <c r="L848" s="10">
        <v>55</v>
      </c>
      <c r="M848" s="6" t="s">
        <v>421</v>
      </c>
      <c r="N848" s="6">
        <f>IF(OR($G848="FCC",$G848="Hydrocracker",$G848="Reformer"),IF(COUNTIFS($D:$D,$D848,$A:$A,$A848,$B:$B,$B848,$G:$G,"CDU",$J:$J,"PLANNED")&gt;0,"tied","standalone"),"")</f>
        <v/>
      </c>
    </row>
    <row r="849" spans="1:14">
      <c r="A849" s="6">
        <v>2023</v>
      </c>
      <c r="B849" s="6">
        <v>4</v>
      </c>
      <c r="C849" s="6" t="s">
        <v>63</v>
      </c>
      <c r="D849" s="6" t="s">
        <v>422</v>
      </c>
      <c r="E849" s="6" t="s">
        <v>423</v>
      </c>
      <c r="F849" s="6" t="str">
        <f>IF($M849="PADD I","PADD 1",IF($M849="PADD II","PADD 2",IF($M849="PADD III","PADD 3",IF($M849="PADD IV","PADD 4",IF($M849="PADD V","PADD 5","")))))</f>
        <v>PADD 2</v>
      </c>
      <c r="G849" s="6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6" t="s">
        <v>426</v>
      </c>
      <c r="I849" s="6" t="s">
        <v>457</v>
      </c>
      <c r="J849" s="6" t="s">
        <v>394</v>
      </c>
      <c r="K849" s="10">
        <v>55</v>
      </c>
      <c r="L849" s="10">
        <v>55</v>
      </c>
      <c r="M849" s="6" t="s">
        <v>425</v>
      </c>
      <c r="N849" s="6" t="str">
        <f>IF(OR($G849="FCC",$G849="Hydrocracker",$G849="Reformer"),IF(COUNTIFS($D:$D,$D849,$A:$A,$A849,$B:$B,$B849,$G:$G,"CDU",$J:$J,"PLANNED")&gt;0,"tied","standalone"),"")</f>
        <v>standalone</v>
      </c>
    </row>
    <row r="850" spans="1:14">
      <c r="A850" s="6">
        <v>2023</v>
      </c>
      <c r="B850" s="6">
        <v>4</v>
      </c>
      <c r="C850" s="6" t="s">
        <v>63</v>
      </c>
      <c r="D850" s="6" t="s">
        <v>822</v>
      </c>
      <c r="E850" s="6" t="s">
        <v>455</v>
      </c>
      <c r="F850" s="6" t="str">
        <f>IF($M850="PADD I","PADD 1",IF($M850="PADD II","PADD 2",IF($M850="PADD III","PADD 3",IF($M850="PADD IV","PADD 4",IF($M850="PADD V","PADD 5","")))))</f>
        <v>PADD 3</v>
      </c>
      <c r="G850" s="6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6" t="s">
        <v>426</v>
      </c>
      <c r="I850" s="6" t="s">
        <v>823</v>
      </c>
      <c r="J850" s="6" t="s">
        <v>398</v>
      </c>
      <c r="K850" s="10">
        <v>54.72</v>
      </c>
      <c r="L850" s="10">
        <v>96</v>
      </c>
      <c r="M850" s="6" t="s">
        <v>421</v>
      </c>
      <c r="N850" s="6" t="str">
        <f>IF(OR($G850="FCC",$G850="Hydrocracker",$G850="Reformer"),IF(COUNTIFS($D:$D,$D850,$A:$A,$A850,$B:$B,$B850,$G:$G,"CDU",$J:$J,"PLANNED")&gt;0,"tied","standalone"),"")</f>
        <v>standalone</v>
      </c>
    </row>
    <row r="851" spans="1:14">
      <c r="A851" s="6">
        <v>2023</v>
      </c>
      <c r="B851" s="6">
        <v>4</v>
      </c>
      <c r="C851" s="6" t="s">
        <v>63</v>
      </c>
      <c r="D851" s="6" t="s">
        <v>540</v>
      </c>
      <c r="E851" s="6" t="s">
        <v>541</v>
      </c>
      <c r="F851" s="6" t="str">
        <f>IF($M851="PADD I","PADD 1",IF($M851="PADD II","PADD 2",IF($M851="PADD III","PADD 3",IF($M851="PADD IV","PADD 4",IF($M851="PADD V","PADD 5","")))))</f>
        <v>PADD 3</v>
      </c>
      <c r="G851" s="6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6" t="s">
        <v>485</v>
      </c>
      <c r="I851" s="6" t="s">
        <v>737</v>
      </c>
      <c r="J851" s="6" t="s">
        <v>398</v>
      </c>
      <c r="K851" s="10">
        <v>54</v>
      </c>
      <c r="L851" s="10">
        <v>54</v>
      </c>
      <c r="M851" s="6" t="s">
        <v>421</v>
      </c>
      <c r="N851" s="6">
        <f>IF(OR($G851="FCC",$G851="Hydrocracker",$G851="Reformer"),IF(COUNTIFS($D:$D,$D851,$A:$A,$A851,$B:$B,$B851,$G:$G,"CDU",$J:$J,"PLANNED")&gt;0,"tied","standalone"),"")</f>
        <v/>
      </c>
    </row>
    <row r="852" spans="1:14">
      <c r="A852" s="6">
        <v>2023</v>
      </c>
      <c r="B852" s="6">
        <v>4</v>
      </c>
      <c r="C852" s="6" t="s">
        <v>63</v>
      </c>
      <c r="D852" s="6" t="s">
        <v>49</v>
      </c>
      <c r="E852" s="6" t="s">
        <v>438</v>
      </c>
      <c r="F852" s="6" t="str">
        <f>IF($M852="PADD I","PADD 1",IF($M852="PADD II","PADD 2",IF($M852="PADD III","PADD 3",IF($M852="PADD IV","PADD 4",IF($M852="PADD V","PADD 5","")))))</f>
        <v>PADD 2</v>
      </c>
      <c r="G852" s="6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6" t="s">
        <v>44</v>
      </c>
      <c r="I852" s="6" t="s">
        <v>791</v>
      </c>
      <c r="J852" s="6" t="s">
        <v>398</v>
      </c>
      <c r="K852" s="10">
        <v>53</v>
      </c>
      <c r="L852" s="10">
        <v>53</v>
      </c>
      <c r="M852" s="6" t="s">
        <v>425</v>
      </c>
      <c r="N852" s="6">
        <f>IF(OR($G852="FCC",$G852="Hydrocracker",$G852="Reformer"),IF(COUNTIFS($D:$D,$D852,$A:$A,$A852,$B:$B,$B852,$G:$G,"CDU",$J:$J,"PLANNED")&gt;0,"tied","standalone"),"")</f>
        <v/>
      </c>
    </row>
    <row r="853" spans="1:14">
      <c r="A853" s="6">
        <v>2023</v>
      </c>
      <c r="B853" s="6">
        <v>4</v>
      </c>
      <c r="C853" s="6" t="s">
        <v>63</v>
      </c>
      <c r="D853" s="6" t="s">
        <v>465</v>
      </c>
      <c r="E853" s="6" t="s">
        <v>466</v>
      </c>
      <c r="F853" s="6" t="str">
        <f>IF($M853="PADD I","PADD 1",IF($M853="PADD II","PADD 2",IF($M853="PADD III","PADD 3",IF($M853="PADD IV","PADD 4",IF($M853="PADD V","PADD 5","")))))</f>
        <v>PADD 3</v>
      </c>
      <c r="G853" s="6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6" t="s">
        <v>428</v>
      </c>
      <c r="I853" s="6" t="s">
        <v>467</v>
      </c>
      <c r="J853" s="6" t="s">
        <v>394</v>
      </c>
      <c r="K853" s="10">
        <v>50</v>
      </c>
      <c r="L853" s="10">
        <v>50</v>
      </c>
      <c r="M853" s="6" t="s">
        <v>421</v>
      </c>
      <c r="N853" s="6">
        <f>IF(OR($G853="FCC",$G853="Hydrocracker",$G853="Reformer"),IF(COUNTIFS($D:$D,$D853,$A:$A,$A853,$B:$B,$B853,$G:$G,"CDU",$J:$J,"PLANNED")&gt;0,"tied","standalone"),"")</f>
        <v/>
      </c>
    </row>
    <row r="854" spans="1:14">
      <c r="A854" s="6">
        <v>2023</v>
      </c>
      <c r="B854" s="6">
        <v>4</v>
      </c>
      <c r="C854" s="6" t="s">
        <v>63</v>
      </c>
      <c r="D854" s="6" t="s">
        <v>54</v>
      </c>
      <c r="E854" s="6" t="s">
        <v>593</v>
      </c>
      <c r="F854" s="6" t="str">
        <f>IF($M854="PADD I","PADD 1",IF($M854="PADD II","PADD 2",IF($M854="PADD III","PADD 3",IF($M854="PADD IV","PADD 4",IF($M854="PADD V","PADD 5","")))))</f>
        <v>PADD 5</v>
      </c>
      <c r="G854" s="6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6" t="s">
        <v>494</v>
      </c>
      <c r="I854" s="6" t="s">
        <v>14</v>
      </c>
      <c r="J854" s="6" t="s">
        <v>398</v>
      </c>
      <c r="K854" s="10">
        <v>47.85</v>
      </c>
      <c r="L854" s="10">
        <v>55</v>
      </c>
      <c r="M854" s="6" t="s">
        <v>436</v>
      </c>
      <c r="N854" s="6" t="str">
        <f>IF(OR($G854="FCC",$G854="Hydrocracker",$G854="Reformer"),IF(COUNTIFS($D:$D,$D854,$A:$A,$A854,$B:$B,$B854,$G:$G,"CDU",$J:$J,"PLANNED")&gt;0,"tied","standalone"),"")</f>
        <v>tied</v>
      </c>
    </row>
    <row r="855" spans="1:14">
      <c r="A855" s="6">
        <v>2023</v>
      </c>
      <c r="B855" s="6">
        <v>4</v>
      </c>
      <c r="C855" s="6" t="s">
        <v>63</v>
      </c>
      <c r="D855" s="6" t="s">
        <v>576</v>
      </c>
      <c r="E855" s="6" t="s">
        <v>455</v>
      </c>
      <c r="F855" s="6" t="str">
        <f>IF($M855="PADD I","PADD 1",IF($M855="PADD II","PADD 2",IF($M855="PADD III","PADD 3",IF($M855="PADD IV","PADD 4",IF($M855="PADD V","PADD 5","")))))</f>
        <v>PADD 3</v>
      </c>
      <c r="G855" s="6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6" t="s">
        <v>494</v>
      </c>
      <c r="I855" s="6" t="s">
        <v>577</v>
      </c>
      <c r="J855" s="6" t="s">
        <v>394</v>
      </c>
      <c r="K855" s="10">
        <v>45</v>
      </c>
      <c r="L855" s="10">
        <v>45</v>
      </c>
      <c r="M855" s="6" t="s">
        <v>421</v>
      </c>
      <c r="N855" s="6" t="str">
        <f>IF(OR($G855="FCC",$G855="Hydrocracker",$G855="Reformer"),IF(COUNTIFS($D:$D,$D855,$A:$A,$A855,$B:$B,$B855,$G:$G,"CDU",$J:$J,"PLANNED")&gt;0,"tied","standalone"),"")</f>
        <v>tied</v>
      </c>
    </row>
    <row r="856" spans="1:14">
      <c r="A856" s="6">
        <v>2023</v>
      </c>
      <c r="B856" s="6">
        <v>4</v>
      </c>
      <c r="C856" s="6" t="s">
        <v>63</v>
      </c>
      <c r="D856" s="6" t="s">
        <v>418</v>
      </c>
      <c r="E856" s="6" t="s">
        <v>419</v>
      </c>
      <c r="F856" s="6" t="str">
        <f>IF($M856="PADD I","PADD 1",IF($M856="PADD II","PADD 2",IF($M856="PADD III","PADD 3",IF($M856="PADD IV","PADD 4",IF($M856="PADD V","PADD 5","")))))</f>
        <v>PADD 3</v>
      </c>
      <c r="G856" s="6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6" t="s">
        <v>471</v>
      </c>
      <c r="I856" s="6" t="s">
        <v>472</v>
      </c>
      <c r="J856" s="6" t="s">
        <v>398</v>
      </c>
      <c r="K856" s="10">
        <v>44.6</v>
      </c>
      <c r="L856" s="10">
        <v>44.6</v>
      </c>
      <c r="M856" s="6" t="s">
        <v>421</v>
      </c>
      <c r="N856" s="6" t="str">
        <f>IF(OR($G856="FCC",$G856="Hydrocracker",$G856="Reformer"),IF(COUNTIFS($D:$D,$D856,$A:$A,$A856,$B:$B,$B856,$G:$G,"CDU",$J:$J,"PLANNED")&gt;0,"tied","standalone"),"")</f>
        <v>tied</v>
      </c>
    </row>
    <row r="857" spans="1:14">
      <c r="A857" s="6">
        <v>2023</v>
      </c>
      <c r="B857" s="6">
        <v>4</v>
      </c>
      <c r="C857" s="6" t="s">
        <v>63</v>
      </c>
      <c r="D857" s="6" t="s">
        <v>798</v>
      </c>
      <c r="E857" s="6" t="s">
        <v>438</v>
      </c>
      <c r="F857" s="6" t="str">
        <f>IF($M857="PADD I","PADD 1",IF($M857="PADD II","PADD 2",IF($M857="PADD III","PADD 3",IF($M857="PADD IV","PADD 4",IF($M857="PADD V","PADD 5","")))))</f>
        <v>PADD 3</v>
      </c>
      <c r="G857" s="6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6" t="s">
        <v>44</v>
      </c>
      <c r="I857" s="6" t="s">
        <v>800</v>
      </c>
      <c r="J857" s="6" t="s">
        <v>398</v>
      </c>
      <c r="K857" s="10">
        <v>44</v>
      </c>
      <c r="L857" s="10">
        <v>44</v>
      </c>
      <c r="M857" s="6" t="s">
        <v>421</v>
      </c>
      <c r="N857" s="6">
        <f>IF(OR($G857="FCC",$G857="Hydrocracker",$G857="Reformer"),IF(COUNTIFS($D:$D,$D857,$A:$A,$A857,$B:$B,$B857,$G:$G,"CDU",$J:$J,"PLANNED")&gt;0,"tied","standalone"),"")</f>
        <v/>
      </c>
    </row>
    <row r="858" spans="1:14">
      <c r="A858" s="6">
        <v>2023</v>
      </c>
      <c r="B858" s="6">
        <v>4</v>
      </c>
      <c r="C858" s="6" t="s">
        <v>63</v>
      </c>
      <c r="D858" s="6" t="s">
        <v>54</v>
      </c>
      <c r="E858" s="6" t="s">
        <v>593</v>
      </c>
      <c r="F858" s="6" t="str">
        <f>IF($M858="PADD I","PADD 1",IF($M858="PADD II","PADD 2",IF($M858="PADD III","PADD 3",IF($M858="PADD IV","PADD 4",IF($M858="PADD V","PADD 5","")))))</f>
        <v>PADD 5</v>
      </c>
      <c r="G858" s="6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6" t="s">
        <v>471</v>
      </c>
      <c r="I858" s="6" t="s">
        <v>609</v>
      </c>
      <c r="J858" s="6" t="s">
        <v>398</v>
      </c>
      <c r="K858" s="10">
        <v>43.5</v>
      </c>
      <c r="L858" s="10">
        <v>50</v>
      </c>
      <c r="M858" s="6" t="s">
        <v>436</v>
      </c>
      <c r="N858" s="6" t="str">
        <f>IF(OR($G858="FCC",$G858="Hydrocracker",$G858="Reformer"),IF(COUNTIFS($D:$D,$D858,$A:$A,$A858,$B:$B,$B858,$G:$G,"CDU",$J:$J,"PLANNED")&gt;0,"tied","standalone"),"")</f>
        <v>tied</v>
      </c>
    </row>
    <row r="859" spans="1:14">
      <c r="A859" s="6">
        <v>2023</v>
      </c>
      <c r="B859" s="6">
        <v>4</v>
      </c>
      <c r="C859" s="6" t="s">
        <v>63</v>
      </c>
      <c r="D859" s="6" t="s">
        <v>422</v>
      </c>
      <c r="E859" s="6" t="s">
        <v>423</v>
      </c>
      <c r="F859" s="6" t="str">
        <f>IF($M859="PADD I","PADD 1",IF($M859="PADD II","PADD 2",IF($M859="PADD III","PADD 3",IF($M859="PADD IV","PADD 4",IF($M859="PADD V","PADD 5","")))))</f>
        <v>PADD 2</v>
      </c>
      <c r="G859" s="6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6" t="s">
        <v>471</v>
      </c>
      <c r="I859" s="6" t="s">
        <v>473</v>
      </c>
      <c r="J859" s="6" t="s">
        <v>394</v>
      </c>
      <c r="K859" s="10">
        <v>42</v>
      </c>
      <c r="L859" s="10">
        <v>42</v>
      </c>
      <c r="M859" s="6" t="s">
        <v>425</v>
      </c>
      <c r="N859" s="6" t="str">
        <f>IF(OR($G859="FCC",$G859="Hydrocracker",$G859="Reformer"),IF(COUNTIFS($D:$D,$D859,$A:$A,$A859,$B:$B,$B859,$G:$G,"CDU",$J:$J,"PLANNED")&gt;0,"tied","standalone"),"")</f>
        <v>standalone</v>
      </c>
    </row>
    <row r="860" spans="1:14">
      <c r="A860" s="6">
        <v>2023</v>
      </c>
      <c r="B860" s="6">
        <v>4</v>
      </c>
      <c r="C860" s="6" t="s">
        <v>63</v>
      </c>
      <c r="D860" s="6" t="s">
        <v>792</v>
      </c>
      <c r="E860" s="6" t="s">
        <v>438</v>
      </c>
      <c r="F860" s="6" t="str">
        <f>IF($M860="PADD I","PADD 1",IF($M860="PADD II","PADD 2",IF($M860="PADD III","PADD 3",IF($M860="PADD IV","PADD 4",IF($M860="PADD V","PADD 5","")))))</f>
        <v>PADD 5</v>
      </c>
      <c r="G860" s="6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6" t="s">
        <v>426</v>
      </c>
      <c r="I860" s="6" t="s">
        <v>106</v>
      </c>
      <c r="J860" s="6" t="s">
        <v>398</v>
      </c>
      <c r="K860" s="10">
        <v>42</v>
      </c>
      <c r="L860" s="10">
        <v>42</v>
      </c>
      <c r="M860" s="6" t="s">
        <v>436</v>
      </c>
      <c r="N860" s="6" t="str">
        <f>IF(OR($G860="FCC",$G860="Hydrocracker",$G860="Reformer"),IF(COUNTIFS($D:$D,$D860,$A:$A,$A860,$B:$B,$B860,$G:$G,"CDU",$J:$J,"PLANNED")&gt;0,"tied","standalone"),"")</f>
        <v>tied</v>
      </c>
    </row>
    <row r="861" spans="1:14">
      <c r="A861" s="6">
        <v>2023</v>
      </c>
      <c r="B861" s="6">
        <v>4</v>
      </c>
      <c r="C861" s="6" t="s">
        <v>63</v>
      </c>
      <c r="D861" s="6" t="s">
        <v>53</v>
      </c>
      <c r="E861" s="6" t="s">
        <v>438</v>
      </c>
      <c r="F861" s="6" t="str">
        <f>IF($M861="PADD I","PADD 1",IF($M861="PADD II","PADD 2",IF($M861="PADD III","PADD 3",IF($M861="PADD IV","PADD 4",IF($M861="PADD V","PADD 5","")))))</f>
        <v>PADD 5</v>
      </c>
      <c r="G861" s="6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6" t="s">
        <v>39</v>
      </c>
      <c r="I861" s="6" t="s">
        <v>82</v>
      </c>
      <c r="J861" s="6" t="s">
        <v>398</v>
      </c>
      <c r="K861" s="10">
        <v>41.04</v>
      </c>
      <c r="L861" s="10">
        <v>72</v>
      </c>
      <c r="M861" s="6" t="s">
        <v>436</v>
      </c>
      <c r="N861" s="6">
        <f>IF(OR($G861="FCC",$G861="Hydrocracker",$G861="Reformer"),IF(COUNTIFS($D:$D,$D861,$A:$A,$A861,$B:$B,$B861,$G:$G,"CDU",$J:$J,"PLANNED")&gt;0,"tied","standalone"),"")</f>
        <v/>
      </c>
    </row>
    <row r="862" spans="1:14">
      <c r="A862" s="6">
        <v>2023</v>
      </c>
      <c r="B862" s="6">
        <v>4</v>
      </c>
      <c r="C862" s="6" t="s">
        <v>63</v>
      </c>
      <c r="D862" s="6" t="s">
        <v>445</v>
      </c>
      <c r="E862" s="6" t="s">
        <v>446</v>
      </c>
      <c r="F862" s="6" t="str">
        <f>IF($M862="PADD I","PADD 1",IF($M862="PADD II","PADD 2",IF($M862="PADD III","PADD 3",IF($M862="PADD IV","PADD 4",IF($M862="PADD V","PADD 5","")))))</f>
        <v>PADD 3</v>
      </c>
      <c r="G862" s="6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6" t="s">
        <v>44</v>
      </c>
      <c r="I862" s="6" t="s">
        <v>601</v>
      </c>
      <c r="J862" s="6" t="s">
        <v>398</v>
      </c>
      <c r="K862" s="10">
        <v>40.9</v>
      </c>
      <c r="L862" s="10">
        <v>40.9</v>
      </c>
      <c r="M862" s="6" t="s">
        <v>421</v>
      </c>
      <c r="N862" s="6">
        <f>IF(OR($G862="FCC",$G862="Hydrocracker",$G862="Reformer"),IF(COUNTIFS($D:$D,$D862,$A:$A,$A862,$B:$B,$B862,$G:$G,"CDU",$J:$J,"PLANNED")&gt;0,"tied","standalone"),"")</f>
        <v/>
      </c>
    </row>
    <row r="863" spans="1:14">
      <c r="A863" s="6">
        <v>2023</v>
      </c>
      <c r="B863" s="6">
        <v>4</v>
      </c>
      <c r="C863" s="6" t="s">
        <v>63</v>
      </c>
      <c r="D863" s="6" t="s">
        <v>613</v>
      </c>
      <c r="E863" s="6" t="s">
        <v>446</v>
      </c>
      <c r="F863" s="6" t="str">
        <f>IF($M863="PADD I","PADD 1",IF($M863="PADD II","PADD 2",IF($M863="PADD III","PADD 3",IF($M863="PADD IV","PADD 4",IF($M863="PADD V","PADD 5","")))))</f>
        <v>PADD 3</v>
      </c>
      <c r="G863" s="6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6" t="s">
        <v>44</v>
      </c>
      <c r="I863" s="6" t="s">
        <v>614</v>
      </c>
      <c r="J863" s="6" t="s">
        <v>394</v>
      </c>
      <c r="K863" s="10">
        <v>40.9</v>
      </c>
      <c r="L863" s="10">
        <v>40.9</v>
      </c>
      <c r="M863" s="6" t="s">
        <v>421</v>
      </c>
      <c r="N863" s="6">
        <f>IF(OR($G863="FCC",$G863="Hydrocracker",$G863="Reformer"),IF(COUNTIFS($D:$D,$D863,$A:$A,$A863,$B:$B,$B863,$G:$G,"CDU",$J:$J,"PLANNED")&gt;0,"tied","standalone"),"")</f>
        <v/>
      </c>
    </row>
    <row r="864" spans="1:14">
      <c r="A864" s="6">
        <v>2023</v>
      </c>
      <c r="B864" s="6">
        <v>4</v>
      </c>
      <c r="C864" s="6" t="s">
        <v>63</v>
      </c>
      <c r="D864" s="6" t="s">
        <v>422</v>
      </c>
      <c r="E864" s="6" t="s">
        <v>423</v>
      </c>
      <c r="F864" s="6" t="str">
        <f>IF($M864="PADD I","PADD 1",IF($M864="PADD II","PADD 2",IF($M864="PADD III","PADD 3",IF($M864="PADD IV","PADD 4",IF($M864="PADD V","PADD 5","")))))</f>
        <v>PADD 2</v>
      </c>
      <c r="G864" s="6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6" t="s">
        <v>39</v>
      </c>
      <c r="I864" s="6" t="s">
        <v>464</v>
      </c>
      <c r="J864" s="6" t="s">
        <v>394</v>
      </c>
      <c r="K864" s="10">
        <v>40</v>
      </c>
      <c r="L864" s="10">
        <v>50</v>
      </c>
      <c r="M864" s="6" t="s">
        <v>425</v>
      </c>
      <c r="N864" s="6">
        <f>IF(OR($G864="FCC",$G864="Hydrocracker",$G864="Reformer"),IF(COUNTIFS($D:$D,$D864,$A:$A,$A864,$B:$B,$B864,$G:$G,"CDU",$J:$J,"PLANNED")&gt;0,"tied","standalone"),"")</f>
        <v/>
      </c>
    </row>
    <row r="865" spans="1:14">
      <c r="A865" s="6">
        <v>2023</v>
      </c>
      <c r="B865" s="6">
        <v>4</v>
      </c>
      <c r="C865" s="6" t="s">
        <v>63</v>
      </c>
      <c r="D865" s="6" t="s">
        <v>422</v>
      </c>
      <c r="E865" s="6" t="s">
        <v>423</v>
      </c>
      <c r="F865" s="6" t="str">
        <f>IF($M865="PADD I","PADD 1",IF($M865="PADD II","PADD 2",IF($M865="PADD III","PADD 3",IF($M865="PADD IV","PADD 4",IF($M865="PADD V","PADD 5","")))))</f>
        <v>PADD 2</v>
      </c>
      <c r="G865" s="6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6" t="s">
        <v>44</v>
      </c>
      <c r="I865" s="6" t="s">
        <v>483</v>
      </c>
      <c r="J865" s="6" t="s">
        <v>394</v>
      </c>
      <c r="K865" s="10">
        <v>40</v>
      </c>
      <c r="L865" s="10">
        <v>40</v>
      </c>
      <c r="M865" s="6" t="s">
        <v>425</v>
      </c>
      <c r="N865" s="6">
        <f>IF(OR($G865="FCC",$G865="Hydrocracker",$G865="Reformer"),IF(COUNTIFS($D:$D,$D865,$A:$A,$A865,$B:$B,$B865,$G:$G,"CDU",$J:$J,"PLANNED")&gt;0,"tied","standalone"),"")</f>
        <v/>
      </c>
    </row>
    <row r="866" spans="1:14">
      <c r="A866" s="6">
        <v>2023</v>
      </c>
      <c r="B866" s="6">
        <v>4</v>
      </c>
      <c r="C866" s="6" t="s">
        <v>63</v>
      </c>
      <c r="D866" s="6" t="s">
        <v>798</v>
      </c>
      <c r="E866" s="6" t="s">
        <v>438</v>
      </c>
      <c r="F866" s="6" t="str">
        <f>IF($M866="PADD I","PADD 1",IF($M866="PADD II","PADD 2",IF($M866="PADD III","PADD 3",IF($M866="PADD IV","PADD 4",IF($M866="PADD V","PADD 5","")))))</f>
        <v>PADD 3</v>
      </c>
      <c r="G866" s="6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6" t="s">
        <v>428</v>
      </c>
      <c r="I866" s="6" t="s">
        <v>481</v>
      </c>
      <c r="J866" s="6" t="s">
        <v>398</v>
      </c>
      <c r="K866" s="10">
        <v>40</v>
      </c>
      <c r="L866" s="10">
        <v>40</v>
      </c>
      <c r="M866" s="6" t="s">
        <v>421</v>
      </c>
      <c r="N866" s="6">
        <f>IF(OR($G866="FCC",$G866="Hydrocracker",$G866="Reformer"),IF(COUNTIFS($D:$D,$D866,$A:$A,$A866,$B:$B,$B866,$G:$G,"CDU",$J:$J,"PLANNED")&gt;0,"tied","standalone"),"")</f>
        <v/>
      </c>
    </row>
    <row r="867" spans="1:14">
      <c r="A867" s="6">
        <v>2023</v>
      </c>
      <c r="B867" s="6">
        <v>4</v>
      </c>
      <c r="C867" s="6" t="s">
        <v>63</v>
      </c>
      <c r="D867" s="6" t="s">
        <v>824</v>
      </c>
      <c r="E867" s="6" t="s">
        <v>825</v>
      </c>
      <c r="F867" s="6" t="str">
        <f>IF($M867="PADD I","PADD 1",IF($M867="PADD II","PADD 2",IF($M867="PADD III","PADD 3",IF($M867="PADD IV","PADD 4",IF($M867="PADD V","PADD 5","")))))</f>
        <v>PADD 1</v>
      </c>
      <c r="G867" s="6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6" t="s">
        <v>485</v>
      </c>
      <c r="I867" s="6" t="s">
        <v>826</v>
      </c>
      <c r="J867" s="6" t="s">
        <v>398</v>
      </c>
      <c r="K867" s="10">
        <v>39.2</v>
      </c>
      <c r="L867" s="10">
        <v>49</v>
      </c>
      <c r="M867" s="6" t="s">
        <v>463</v>
      </c>
      <c r="N867" s="6">
        <f>IF(OR($G867="FCC",$G867="Hydrocracker",$G867="Reformer"),IF(COUNTIFS($D:$D,$D867,$A:$A,$A867,$B:$B,$B867,$G:$G,"CDU",$J:$J,"PLANNED")&gt;0,"tied","standalone"),"")</f>
        <v/>
      </c>
    </row>
    <row r="868" spans="1:14">
      <c r="A868" s="6">
        <v>2023</v>
      </c>
      <c r="B868" s="6">
        <v>4</v>
      </c>
      <c r="C868" s="6" t="s">
        <v>63</v>
      </c>
      <c r="D868" s="6" t="s">
        <v>540</v>
      </c>
      <c r="E868" s="6" t="s">
        <v>541</v>
      </c>
      <c r="F868" s="6" t="str">
        <f>IF($M868="PADD I","PADD 1",IF($M868="PADD II","PADD 2",IF($M868="PADD III","PADD 3",IF($M868="PADD IV","PADD 4",IF($M868="PADD V","PADD 5","")))))</f>
        <v>PADD 3</v>
      </c>
      <c r="G868" s="6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6" t="s">
        <v>494</v>
      </c>
      <c r="I868" s="6" t="s">
        <v>708</v>
      </c>
      <c r="J868" s="6" t="s">
        <v>394</v>
      </c>
      <c r="K868" s="10">
        <v>38.85</v>
      </c>
      <c r="L868" s="10">
        <v>105</v>
      </c>
      <c r="M868" s="6" t="s">
        <v>421</v>
      </c>
      <c r="N868" s="6" t="str">
        <f>IF(OR($G868="FCC",$G868="Hydrocracker",$G868="Reformer"),IF(COUNTIFS($D:$D,$D868,$A:$A,$A868,$B:$B,$B868,$G:$G,"CDU",$J:$J,"PLANNED")&gt;0,"tied","standalone"),"")</f>
        <v>standalone</v>
      </c>
    </row>
    <row r="869" spans="1:14">
      <c r="A869" s="6">
        <v>2023</v>
      </c>
      <c r="B869" s="6">
        <v>4</v>
      </c>
      <c r="C869" s="6" t="s">
        <v>63</v>
      </c>
      <c r="D869" s="6" t="s">
        <v>49</v>
      </c>
      <c r="E869" s="6" t="s">
        <v>438</v>
      </c>
      <c r="F869" s="6" t="str">
        <f>IF($M869="PADD I","PADD 1",IF($M869="PADD II","PADD 2",IF($M869="PADD III","PADD 3",IF($M869="PADD IV","PADD 4",IF($M869="PADD V","PADD 5","")))))</f>
        <v>PADD 2</v>
      </c>
      <c r="G869" s="6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6" t="s">
        <v>471</v>
      </c>
      <c r="I869" s="6" t="s">
        <v>771</v>
      </c>
      <c r="J869" s="6" t="s">
        <v>398</v>
      </c>
      <c r="K869" s="10">
        <v>38.5</v>
      </c>
      <c r="L869" s="10">
        <v>38.5</v>
      </c>
      <c r="M869" s="6" t="s">
        <v>425</v>
      </c>
      <c r="N869" s="6" t="str">
        <f>IF(OR($G869="FCC",$G869="Hydrocracker",$G869="Reformer"),IF(COUNTIFS($D:$D,$D869,$A:$A,$A869,$B:$B,$B869,$G:$G,"CDU",$J:$J,"PLANNED")&gt;0,"tied","standalone"),"")</f>
        <v>tied</v>
      </c>
    </row>
    <row r="870" spans="1:14">
      <c r="A870" s="6">
        <v>2023</v>
      </c>
      <c r="B870" s="6">
        <v>4</v>
      </c>
      <c r="C870" s="6" t="s">
        <v>63</v>
      </c>
      <c r="D870" s="6" t="s">
        <v>49</v>
      </c>
      <c r="E870" s="6" t="s">
        <v>438</v>
      </c>
      <c r="F870" s="6" t="str">
        <f>IF($M870="PADD I","PADD 1",IF($M870="PADD II","PADD 2",IF($M870="PADD III","PADD 3",IF($M870="PADD IV","PADD 4",IF($M870="PADD V","PADD 5","")))))</f>
        <v>PADD 2</v>
      </c>
      <c r="G870" s="6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6" t="s">
        <v>44</v>
      </c>
      <c r="I870" s="6" t="s">
        <v>776</v>
      </c>
      <c r="J870" s="6" t="s">
        <v>398</v>
      </c>
      <c r="K870" s="10">
        <v>38</v>
      </c>
      <c r="L870" s="10">
        <v>38</v>
      </c>
      <c r="M870" s="6" t="s">
        <v>425</v>
      </c>
      <c r="N870" s="6">
        <f>IF(OR($G870="FCC",$G870="Hydrocracker",$G870="Reformer"),IF(COUNTIFS($D:$D,$D870,$A:$A,$A870,$B:$B,$B870,$G:$G,"CDU",$J:$J,"PLANNED")&gt;0,"tied","standalone"),"")</f>
        <v/>
      </c>
    </row>
    <row r="871" spans="1:14">
      <c r="A871" s="6">
        <v>2023</v>
      </c>
      <c r="B871" s="6">
        <v>4</v>
      </c>
      <c r="C871" s="6" t="s">
        <v>63</v>
      </c>
      <c r="D871" s="6" t="s">
        <v>725</v>
      </c>
      <c r="E871" s="6" t="s">
        <v>502</v>
      </c>
      <c r="F871" s="6" t="str">
        <f>IF($M871="PADD I","PADD 1",IF($M871="PADD II","PADD 2",IF($M871="PADD III","PADD 3",IF($M871="PADD IV","PADD 4",IF($M871="PADD V","PADD 5","")))))</f>
        <v>PADD 2</v>
      </c>
      <c r="G871" s="6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6" t="s">
        <v>428</v>
      </c>
      <c r="I871" s="6" t="s">
        <v>481</v>
      </c>
      <c r="J871" s="6" t="s">
        <v>398</v>
      </c>
      <c r="K871" s="10">
        <v>37.52</v>
      </c>
      <c r="L871" s="10">
        <v>56</v>
      </c>
      <c r="M871" s="6" t="s">
        <v>425</v>
      </c>
      <c r="N871" s="6">
        <f>IF(OR($G871="FCC",$G871="Hydrocracker",$G871="Reformer"),IF(COUNTIFS($D:$D,$D871,$A:$A,$A871,$B:$B,$B871,$G:$G,"CDU",$J:$J,"PLANNED")&gt;0,"tied","standalone"),"")</f>
        <v/>
      </c>
    </row>
    <row r="872" spans="1:14">
      <c r="A872" s="6">
        <v>2023</v>
      </c>
      <c r="B872" s="6">
        <v>4</v>
      </c>
      <c r="C872" s="6" t="s">
        <v>63</v>
      </c>
      <c r="D872" s="6" t="s">
        <v>490</v>
      </c>
      <c r="E872" s="6" t="s">
        <v>419</v>
      </c>
      <c r="F872" s="6" t="str">
        <f>IF($M872="PADD I","PADD 1",IF($M872="PADD II","PADD 2",IF($M872="PADD III","PADD 3",IF($M872="PADD IV","PADD 4",IF($M872="PADD V","PADD 5","")))))</f>
        <v>PADD 5</v>
      </c>
      <c r="G872" s="6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6" t="s">
        <v>44</v>
      </c>
      <c r="I872" s="6" t="s">
        <v>717</v>
      </c>
      <c r="J872" s="6" t="s">
        <v>394</v>
      </c>
      <c r="K872" s="10">
        <v>36</v>
      </c>
      <c r="L872" s="10">
        <v>40</v>
      </c>
      <c r="M872" s="6" t="s">
        <v>436</v>
      </c>
      <c r="N872" s="6">
        <f>IF(OR($G872="FCC",$G872="Hydrocracker",$G872="Reformer"),IF(COUNTIFS($D:$D,$D872,$A:$A,$A872,$B:$B,$B872,$G:$G,"CDU",$J:$J,"PLANNED")&gt;0,"tied","standalone"),"")</f>
        <v/>
      </c>
    </row>
    <row r="873" spans="1:14">
      <c r="A873" s="6">
        <v>2023</v>
      </c>
      <c r="B873" s="6">
        <v>4</v>
      </c>
      <c r="C873" s="6" t="s">
        <v>63</v>
      </c>
      <c r="D873" s="6" t="s">
        <v>496</v>
      </c>
      <c r="E873" s="6" t="s">
        <v>441</v>
      </c>
      <c r="F873" s="6" t="str">
        <f>IF($M873="PADD I","PADD 1",IF($M873="PADD II","PADD 2",IF($M873="PADD III","PADD 3",IF($M873="PADD IV","PADD 4",IF($M873="PADD V","PADD 5","")))))</f>
        <v>PADD 3</v>
      </c>
      <c r="G873" s="6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6" t="s">
        <v>44</v>
      </c>
      <c r="I873" s="6" t="s">
        <v>497</v>
      </c>
      <c r="J873" s="6" t="s">
        <v>398</v>
      </c>
      <c r="K873" s="10">
        <v>35</v>
      </c>
      <c r="L873" s="10">
        <v>35</v>
      </c>
      <c r="M873" s="6" t="s">
        <v>421</v>
      </c>
      <c r="N873" s="6">
        <f>IF(OR($G873="FCC",$G873="Hydrocracker",$G873="Reformer"),IF(COUNTIFS($D:$D,$D873,$A:$A,$A873,$B:$B,$B873,$G:$G,"CDU",$J:$J,"PLANNED")&gt;0,"tied","standalone"),"")</f>
        <v/>
      </c>
    </row>
    <row r="874" spans="1:14">
      <c r="A874" s="6">
        <v>2023</v>
      </c>
      <c r="B874" s="6">
        <v>4</v>
      </c>
      <c r="C874" s="6" t="s">
        <v>63</v>
      </c>
      <c r="D874" s="6" t="s">
        <v>498</v>
      </c>
      <c r="E874" s="6" t="s">
        <v>441</v>
      </c>
      <c r="F874" s="6" t="str">
        <f>IF($M874="PADD I","PADD 1",IF($M874="PADD II","PADD 2",IF($M874="PADD III","PADD 3",IF($M874="PADD IV","PADD 4",IF($M874="PADD V","PADD 5","")))))</f>
        <v>PADD 3</v>
      </c>
      <c r="G874" s="6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6" t="s">
        <v>44</v>
      </c>
      <c r="I874" s="6" t="s">
        <v>499</v>
      </c>
      <c r="J874" s="6" t="s">
        <v>394</v>
      </c>
      <c r="K874" s="10">
        <v>35</v>
      </c>
      <c r="L874" s="10">
        <v>35</v>
      </c>
      <c r="M874" s="6" t="s">
        <v>421</v>
      </c>
      <c r="N874" s="6">
        <f>IF(OR($G874="FCC",$G874="Hydrocracker",$G874="Reformer"),IF(COUNTIFS($D:$D,$D874,$A:$A,$A874,$B:$B,$B874,$G:$G,"CDU",$J:$J,"PLANNED")&gt;0,"tied","standalone"),"")</f>
        <v/>
      </c>
    </row>
    <row r="875" spans="1:14">
      <c r="A875" s="6">
        <v>2023</v>
      </c>
      <c r="B875" s="6">
        <v>4</v>
      </c>
      <c r="C875" s="6" t="s">
        <v>63</v>
      </c>
      <c r="D875" s="6" t="s">
        <v>500</v>
      </c>
      <c r="E875" s="6" t="s">
        <v>419</v>
      </c>
      <c r="F875" s="6" t="str">
        <f>IF($M875="PADD I","PADD 1",IF($M875="PADD II","PADD 2",IF($M875="PADD III","PADD 3",IF($M875="PADD IV","PADD 4",IF($M875="PADD V","PADD 5","")))))</f>
        <v>PADD 3</v>
      </c>
      <c r="G875" s="6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6" t="s">
        <v>44</v>
      </c>
      <c r="I875" s="6" t="s">
        <v>499</v>
      </c>
      <c r="J875" s="6" t="s">
        <v>398</v>
      </c>
      <c r="K875" s="10">
        <v>35</v>
      </c>
      <c r="L875" s="10">
        <v>35</v>
      </c>
      <c r="M875" s="6" t="s">
        <v>421</v>
      </c>
      <c r="N875" s="6">
        <f>IF(OR($G875="FCC",$G875="Hydrocracker",$G875="Reformer"),IF(COUNTIFS($D:$D,$D875,$A:$A,$A875,$B:$B,$B875,$G:$G,"CDU",$J:$J,"PLANNED")&gt;0,"tied","standalone"),"")</f>
        <v/>
      </c>
    </row>
    <row r="876" spans="1:14">
      <c r="A876" s="6">
        <v>2023</v>
      </c>
      <c r="B876" s="6">
        <v>4</v>
      </c>
      <c r="C876" s="6" t="s">
        <v>63</v>
      </c>
      <c r="D876" s="6" t="s">
        <v>445</v>
      </c>
      <c r="E876" s="6" t="s">
        <v>446</v>
      </c>
      <c r="F876" s="6" t="str">
        <f>IF($M876="PADD I","PADD 1",IF($M876="PADD II","PADD 2",IF($M876="PADD III","PADD 3",IF($M876="PADD IV","PADD 4",IF($M876="PADD V","PADD 5","")))))</f>
        <v>PADD 3</v>
      </c>
      <c r="G876" s="6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6" t="s">
        <v>428</v>
      </c>
      <c r="I876" s="6" t="s">
        <v>625</v>
      </c>
      <c r="J876" s="6" t="s">
        <v>394</v>
      </c>
      <c r="K876" s="10">
        <v>35</v>
      </c>
      <c r="L876" s="10">
        <v>35</v>
      </c>
      <c r="M876" s="6" t="s">
        <v>421</v>
      </c>
      <c r="N876" s="6">
        <f>IF(OR($G876="FCC",$G876="Hydrocracker",$G876="Reformer"),IF(COUNTIFS($D:$D,$D876,$A:$A,$A876,$B:$B,$B876,$G:$G,"CDU",$J:$J,"PLANNED")&gt;0,"tied","standalone"),"")</f>
        <v/>
      </c>
    </row>
    <row r="877" spans="1:14">
      <c r="A877" s="6">
        <v>2023</v>
      </c>
      <c r="B877" s="6">
        <v>4</v>
      </c>
      <c r="C877" s="6" t="s">
        <v>63</v>
      </c>
      <c r="D877" s="6" t="s">
        <v>445</v>
      </c>
      <c r="E877" s="6" t="s">
        <v>446</v>
      </c>
      <c r="F877" s="6" t="str">
        <f>IF($M877="PADD I","PADD 1",IF($M877="PADD II","PADD 2",IF($M877="PADD III","PADD 3",IF($M877="PADD IV","PADD 4",IF($M877="PADD V","PADD 5","")))))</f>
        <v>PADD 3</v>
      </c>
      <c r="G877" s="6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6" t="s">
        <v>44</v>
      </c>
      <c r="I877" s="6" t="s">
        <v>604</v>
      </c>
      <c r="J877" s="6" t="s">
        <v>398</v>
      </c>
      <c r="K877" s="10">
        <v>34.65</v>
      </c>
      <c r="L877" s="10">
        <v>38.5</v>
      </c>
      <c r="M877" s="6" t="s">
        <v>421</v>
      </c>
      <c r="N877" s="6">
        <f>IF(OR($G877="FCC",$G877="Hydrocracker",$G877="Reformer"),IF(COUNTIFS($D:$D,$D877,$A:$A,$A877,$B:$B,$B877,$G:$G,"CDU",$J:$J,"PLANNED")&gt;0,"tied","standalone"),"")</f>
        <v/>
      </c>
    </row>
    <row r="878" spans="1:14">
      <c r="A878" s="6">
        <v>2023</v>
      </c>
      <c r="B878" s="6">
        <v>4</v>
      </c>
      <c r="C878" s="6" t="s">
        <v>63</v>
      </c>
      <c r="D878" s="6" t="s">
        <v>465</v>
      </c>
      <c r="E878" s="6" t="s">
        <v>466</v>
      </c>
      <c r="F878" s="6" t="str">
        <f>IF($M878="PADD I","PADD 1",IF($M878="PADD II","PADD 2",IF($M878="PADD III","PADD 3",IF($M878="PADD IV","PADD 4",IF($M878="PADD V","PADD 5","")))))</f>
        <v>PADD 3</v>
      </c>
      <c r="G878" s="6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6" t="s">
        <v>485</v>
      </c>
      <c r="I878" s="6" t="s">
        <v>503</v>
      </c>
      <c r="J878" s="6" t="s">
        <v>394</v>
      </c>
      <c r="K878" s="10">
        <v>34</v>
      </c>
      <c r="L878" s="10">
        <v>34</v>
      </c>
      <c r="M878" s="6" t="s">
        <v>421</v>
      </c>
      <c r="N878" s="6">
        <f>IF(OR($G878="FCC",$G878="Hydrocracker",$G878="Reformer"),IF(COUNTIFS($D:$D,$D878,$A:$A,$A878,$B:$B,$B878,$G:$G,"CDU",$J:$J,"PLANNED")&gt;0,"tied","standalone"),"")</f>
        <v/>
      </c>
    </row>
    <row r="879" spans="1:14">
      <c r="A879" s="6">
        <v>2023</v>
      </c>
      <c r="B879" s="6">
        <v>4</v>
      </c>
      <c r="C879" s="6" t="s">
        <v>63</v>
      </c>
      <c r="D879" s="6" t="s">
        <v>782</v>
      </c>
      <c r="E879" s="6" t="s">
        <v>783</v>
      </c>
      <c r="F879" s="6" t="str">
        <f>IF($M879="PADD I","PADD 1",IF($M879="PADD II","PADD 2",IF($M879="PADD III","PADD 3",IF($M879="PADD IV","PADD 4",IF($M879="PADD V","PADD 5","")))))</f>
        <v>PADD 4</v>
      </c>
      <c r="G879" s="6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6" t="s">
        <v>39</v>
      </c>
      <c r="I879" s="6" t="s">
        <v>132</v>
      </c>
      <c r="J879" s="6" t="s">
        <v>398</v>
      </c>
      <c r="K879" s="10">
        <v>34</v>
      </c>
      <c r="L879" s="10">
        <v>34</v>
      </c>
      <c r="M879" s="6" t="s">
        <v>480</v>
      </c>
      <c r="N879" s="6">
        <f>IF(OR($G879="FCC",$G879="Hydrocracker",$G879="Reformer"),IF(COUNTIFS($D:$D,$D879,$A:$A,$A879,$B:$B,$B879,$G:$G,"CDU",$J:$J,"PLANNED")&gt;0,"tied","standalone"),"")</f>
        <v/>
      </c>
    </row>
    <row r="880" spans="1:14">
      <c r="A880" s="6">
        <v>2023</v>
      </c>
      <c r="B880" s="6">
        <v>4</v>
      </c>
      <c r="C880" s="6" t="s">
        <v>63</v>
      </c>
      <c r="D880" s="6" t="s">
        <v>465</v>
      </c>
      <c r="E880" s="6" t="s">
        <v>466</v>
      </c>
      <c r="F880" s="6" t="str">
        <f>IF($M880="PADD I","PADD 1",IF($M880="PADD II","PADD 2",IF($M880="PADD III","PADD 3",IF($M880="PADD IV","PADD 4",IF($M880="PADD V","PADD 5","")))))</f>
        <v>PADD 3</v>
      </c>
      <c r="G880" s="6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6" t="s">
        <v>485</v>
      </c>
      <c r="I880" s="6" t="s">
        <v>503</v>
      </c>
      <c r="J880" s="6" t="s">
        <v>394</v>
      </c>
      <c r="K880" s="10">
        <v>34</v>
      </c>
      <c r="L880" s="10">
        <v>34</v>
      </c>
      <c r="M880" s="6" t="s">
        <v>421</v>
      </c>
      <c r="N880" s="6">
        <f>IF(OR($G880="FCC",$G880="Hydrocracker",$G880="Reformer"),IF(COUNTIFS($D:$D,$D880,$A:$A,$A880,$B:$B,$B880,$G:$G,"CDU",$J:$J,"PLANNED")&gt;0,"tied","standalone"),"")</f>
        <v/>
      </c>
    </row>
    <row r="881" spans="1:14">
      <c r="A881" s="6">
        <v>2023</v>
      </c>
      <c r="B881" s="6">
        <v>4</v>
      </c>
      <c r="C881" s="6" t="s">
        <v>63</v>
      </c>
      <c r="D881" s="6" t="s">
        <v>422</v>
      </c>
      <c r="E881" s="6" t="s">
        <v>423</v>
      </c>
      <c r="F881" s="6" t="str">
        <f>IF($M881="PADD I","PADD 1",IF($M881="PADD II","PADD 2",IF($M881="PADD III","PADD 3",IF($M881="PADD IV","PADD 4",IF($M881="PADD V","PADD 5","")))))</f>
        <v>PADD 2</v>
      </c>
      <c r="G881" s="6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6" t="s">
        <v>471</v>
      </c>
      <c r="I881" s="6" t="s">
        <v>473</v>
      </c>
      <c r="J881" s="6" t="s">
        <v>394</v>
      </c>
      <c r="K881" s="10">
        <v>33.6</v>
      </c>
      <c r="L881" s="10">
        <v>42</v>
      </c>
      <c r="M881" s="6" t="s">
        <v>425</v>
      </c>
      <c r="N881" s="6" t="str">
        <f>IF(OR($G881="FCC",$G881="Hydrocracker",$G881="Reformer"),IF(COUNTIFS($D:$D,$D881,$A:$A,$A881,$B:$B,$B881,$G:$G,"CDU",$J:$J,"PLANNED")&gt;0,"tied","standalone"),"")</f>
        <v>standalone</v>
      </c>
    </row>
    <row r="882" spans="1:14">
      <c r="A882" s="6">
        <v>2023</v>
      </c>
      <c r="B882" s="6">
        <v>4</v>
      </c>
      <c r="C882" s="6" t="s">
        <v>63</v>
      </c>
      <c r="D882" s="6" t="s">
        <v>613</v>
      </c>
      <c r="E882" s="6" t="s">
        <v>446</v>
      </c>
      <c r="F882" s="6" t="str">
        <f>IF($M882="PADD I","PADD 1",IF($M882="PADD II","PADD 2",IF($M882="PADD III","PADD 3",IF($M882="PADD IV","PADD 4",IF($M882="PADD V","PADD 5","")))))</f>
        <v>PADD 3</v>
      </c>
      <c r="G882" s="6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6" t="s">
        <v>44</v>
      </c>
      <c r="I882" s="6" t="s">
        <v>499</v>
      </c>
      <c r="J882" s="6" t="s">
        <v>394</v>
      </c>
      <c r="K882" s="10">
        <v>33.495</v>
      </c>
      <c r="L882" s="10">
        <v>38.5</v>
      </c>
      <c r="M882" s="6" t="s">
        <v>421</v>
      </c>
      <c r="N882" s="6">
        <f>IF(OR($G882="FCC",$G882="Hydrocracker",$G882="Reformer"),IF(COUNTIFS($D:$D,$D882,$A:$A,$A882,$B:$B,$B882,$G:$G,"CDU",$J:$J,"PLANNED")&gt;0,"tied","standalone"),"")</f>
        <v/>
      </c>
    </row>
    <row r="883" spans="1:14">
      <c r="A883" s="6">
        <v>2023</v>
      </c>
      <c r="B883" s="6">
        <v>4</v>
      </c>
      <c r="C883" s="6" t="s">
        <v>63</v>
      </c>
      <c r="D883" s="6" t="s">
        <v>822</v>
      </c>
      <c r="E883" s="6" t="s">
        <v>455</v>
      </c>
      <c r="F883" s="6" t="str">
        <f>IF($M883="PADD I","PADD 1",IF($M883="PADD II","PADD 2",IF($M883="PADD III","PADD 3",IF($M883="PADD IV","PADD 4",IF($M883="PADD V","PADD 5","")))))</f>
        <v>PADD 3</v>
      </c>
      <c r="G883" s="6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6" t="s">
        <v>44</v>
      </c>
      <c r="I883" s="6" t="s">
        <v>827</v>
      </c>
      <c r="J883" s="6" t="s">
        <v>398</v>
      </c>
      <c r="K883" s="10">
        <v>33.06</v>
      </c>
      <c r="L883" s="10">
        <v>58</v>
      </c>
      <c r="M883" s="6" t="s">
        <v>421</v>
      </c>
      <c r="N883" s="6">
        <f>IF(OR($G883="FCC",$G883="Hydrocracker",$G883="Reformer"),IF(COUNTIFS($D:$D,$D883,$A:$A,$A883,$B:$B,$B883,$G:$G,"CDU",$J:$J,"PLANNED")&gt;0,"tied","standalone"),"")</f>
        <v/>
      </c>
    </row>
    <row r="884" spans="1:14">
      <c r="A884" s="6">
        <v>2023</v>
      </c>
      <c r="B884" s="6">
        <v>4</v>
      </c>
      <c r="C884" s="6" t="s">
        <v>63</v>
      </c>
      <c r="D884" s="6" t="s">
        <v>422</v>
      </c>
      <c r="E884" s="6" t="s">
        <v>423</v>
      </c>
      <c r="F884" s="6" t="str">
        <f>IF($M884="PADD I","PADD 1",IF($M884="PADD II","PADD 2",IF($M884="PADD III","PADD 3",IF($M884="PADD IV","PADD 4",IF($M884="PADD V","PADD 5","")))))</f>
        <v>PADD 2</v>
      </c>
      <c r="G884" s="6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6" t="s">
        <v>44</v>
      </c>
      <c r="I884" s="6" t="s">
        <v>482</v>
      </c>
      <c r="J884" s="6" t="s">
        <v>394</v>
      </c>
      <c r="K884" s="10">
        <v>32</v>
      </c>
      <c r="L884" s="10">
        <v>40</v>
      </c>
      <c r="M884" s="6" t="s">
        <v>425</v>
      </c>
      <c r="N884" s="6">
        <f>IF(OR($G884="FCC",$G884="Hydrocracker",$G884="Reformer"),IF(COUNTIFS($D:$D,$D884,$A:$A,$A884,$B:$B,$B884,$G:$G,"CDU",$J:$J,"PLANNED")&gt;0,"tied","standalone"),"")</f>
        <v/>
      </c>
    </row>
    <row r="885" spans="1:14">
      <c r="A885" s="6">
        <v>2023</v>
      </c>
      <c r="B885" s="6">
        <v>4</v>
      </c>
      <c r="C885" s="6" t="s">
        <v>63</v>
      </c>
      <c r="D885" s="6" t="s">
        <v>820</v>
      </c>
      <c r="E885" s="6" t="s">
        <v>710</v>
      </c>
      <c r="F885" s="6" t="str">
        <f>IF($M885="PADD I","PADD 1",IF($M885="PADD II","PADD 2",IF($M885="PADD III","PADD 3",IF($M885="PADD IV","PADD 4",IF($M885="PADD V","PADD 5","")))))</f>
        <v>PADD 3</v>
      </c>
      <c r="G885" s="6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6" t="s">
        <v>485</v>
      </c>
      <c r="I885" s="6" t="s">
        <v>491</v>
      </c>
      <c r="J885" s="6" t="s">
        <v>398</v>
      </c>
      <c r="K885" s="10">
        <v>32</v>
      </c>
      <c r="L885" s="10">
        <v>32</v>
      </c>
      <c r="M885" s="6" t="s">
        <v>421</v>
      </c>
      <c r="N885" s="6">
        <f>IF(OR($G885="FCC",$G885="Hydrocracker",$G885="Reformer"),IF(COUNTIFS($D:$D,$D885,$A:$A,$A885,$B:$B,$B885,$G:$G,"CDU",$J:$J,"PLANNED")&gt;0,"tied","standalone"),"")</f>
        <v/>
      </c>
    </row>
    <row r="886" spans="1:14">
      <c r="A886" s="6">
        <v>2023</v>
      </c>
      <c r="B886" s="6">
        <v>4</v>
      </c>
      <c r="C886" s="6" t="s">
        <v>63</v>
      </c>
      <c r="D886" s="6" t="s">
        <v>789</v>
      </c>
      <c r="E886" s="6" t="s">
        <v>455</v>
      </c>
      <c r="F886" s="6" t="str">
        <f>IF($M886="PADD I","PADD 1",IF($M886="PADD II","PADD 2",IF($M886="PADD III","PADD 3",IF($M886="PADD IV","PADD 4",IF($M886="PADD V","PADD 5","")))))</f>
        <v>PADD 2</v>
      </c>
      <c r="G886" s="6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6" t="s">
        <v>44</v>
      </c>
      <c r="I886" s="6" t="s">
        <v>790</v>
      </c>
      <c r="J886" s="6" t="s">
        <v>394</v>
      </c>
      <c r="K886" s="10">
        <v>32</v>
      </c>
      <c r="L886" s="10">
        <v>32</v>
      </c>
      <c r="M886" s="6" t="s">
        <v>425</v>
      </c>
      <c r="N886" s="6">
        <f>IF(OR($G886="FCC",$G886="Hydrocracker",$G886="Reformer"),IF(COUNTIFS($D:$D,$D886,$A:$A,$A886,$B:$B,$B886,$G:$G,"CDU",$J:$J,"PLANNED")&gt;0,"tied","standalone"),"")</f>
        <v/>
      </c>
    </row>
    <row r="887" spans="1:14">
      <c r="A887" s="6">
        <v>2023</v>
      </c>
      <c r="B887" s="6">
        <v>4</v>
      </c>
      <c r="C887" s="6" t="s">
        <v>63</v>
      </c>
      <c r="D887" s="6" t="s">
        <v>422</v>
      </c>
      <c r="E887" s="6" t="s">
        <v>423</v>
      </c>
      <c r="F887" s="6" t="str">
        <f>IF($M887="PADD I","PADD 1",IF($M887="PADD II","PADD 2",IF($M887="PADD III","PADD 3",IF($M887="PADD IV","PADD 4",IF($M887="PADD V","PADD 5","")))))</f>
        <v>PADD 2</v>
      </c>
      <c r="G887" s="6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6" t="s">
        <v>485</v>
      </c>
      <c r="I887" s="6" t="s">
        <v>517</v>
      </c>
      <c r="J887" s="6" t="s">
        <v>394</v>
      </c>
      <c r="K887" s="10">
        <v>30</v>
      </c>
      <c r="L887" s="10">
        <v>30</v>
      </c>
      <c r="M887" s="6" t="s">
        <v>425</v>
      </c>
      <c r="N887" s="6">
        <f>IF(OR($G887="FCC",$G887="Hydrocracker",$G887="Reformer"),IF(COUNTIFS($D:$D,$D887,$A:$A,$A887,$B:$B,$B887,$G:$G,"CDU",$J:$J,"PLANNED")&gt;0,"tied","standalone"),"")</f>
        <v/>
      </c>
    </row>
    <row r="888" spans="1:14">
      <c r="A888" s="6">
        <v>2023</v>
      </c>
      <c r="B888" s="6">
        <v>4</v>
      </c>
      <c r="C888" s="6" t="s">
        <v>63</v>
      </c>
      <c r="D888" s="6" t="s">
        <v>792</v>
      </c>
      <c r="E888" s="6" t="s">
        <v>438</v>
      </c>
      <c r="F888" s="6" t="str">
        <f>IF($M888="PADD I","PADD 1",IF($M888="PADD II","PADD 2",IF($M888="PADD III","PADD 3",IF($M888="PADD IV","PADD 4",IF($M888="PADD V","PADD 5","")))))</f>
        <v>PADD 5</v>
      </c>
      <c r="G888" s="6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6" t="s">
        <v>44</v>
      </c>
      <c r="I888" s="6" t="s">
        <v>793</v>
      </c>
      <c r="J888" s="6" t="s">
        <v>398</v>
      </c>
      <c r="K888" s="10">
        <v>30</v>
      </c>
      <c r="L888" s="10">
        <v>30</v>
      </c>
      <c r="M888" s="6" t="s">
        <v>436</v>
      </c>
      <c r="N888" s="6">
        <f>IF(OR($G888="FCC",$G888="Hydrocracker",$G888="Reformer"),IF(COUNTIFS($D:$D,$D888,$A:$A,$A888,$B:$B,$B888,$G:$G,"CDU",$J:$J,"PLANNED")&gt;0,"tied","standalone"),"")</f>
        <v/>
      </c>
    </row>
    <row r="889" spans="1:14">
      <c r="A889" s="6">
        <v>2023</v>
      </c>
      <c r="B889" s="6">
        <v>4</v>
      </c>
      <c r="C889" s="6" t="s">
        <v>63</v>
      </c>
      <c r="D889" s="6" t="s">
        <v>384</v>
      </c>
      <c r="E889" s="6" t="s">
        <v>419</v>
      </c>
      <c r="F889" s="6" t="str">
        <f>IF($M889="PADD I","PADD 1",IF($M889="PADD II","PADD 2",IF($M889="PADD III","PADD 3",IF($M889="PADD IV","PADD 4",IF($M889="PADD V","PADD 5","")))))</f>
        <v>PADD 3</v>
      </c>
      <c r="G889" s="6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6" t="s">
        <v>426</v>
      </c>
      <c r="I889" s="6" t="s">
        <v>522</v>
      </c>
      <c r="J889" s="6" t="s">
        <v>398</v>
      </c>
      <c r="K889" s="10">
        <v>30</v>
      </c>
      <c r="L889" s="10">
        <v>30</v>
      </c>
      <c r="M889" s="6" t="s">
        <v>421</v>
      </c>
      <c r="N889" s="6" t="str">
        <f>IF(OR($G889="FCC",$G889="Hydrocracker",$G889="Reformer"),IF(COUNTIFS($D:$D,$D889,$A:$A,$A889,$B:$B,$B889,$G:$G,"CDU",$J:$J,"PLANNED")&gt;0,"tied","standalone"),"")</f>
        <v>standalone</v>
      </c>
    </row>
    <row r="890" spans="1:14">
      <c r="A890" s="6">
        <v>2023</v>
      </c>
      <c r="B890" s="6">
        <v>4</v>
      </c>
      <c r="C890" s="6" t="s">
        <v>63</v>
      </c>
      <c r="D890" s="6" t="s">
        <v>518</v>
      </c>
      <c r="E890" s="6" t="s">
        <v>419</v>
      </c>
      <c r="F890" s="6" t="str">
        <f>IF($M890="PADD I","PADD 1",IF($M890="PADD II","PADD 2",IF($M890="PADD III","PADD 3",IF($M890="PADD IV","PADD 4",IF($M890="PADD V","PADD 5","")))))</f>
        <v>PADD 3</v>
      </c>
      <c r="G890" s="6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6" t="s">
        <v>426</v>
      </c>
      <c r="I890" s="6" t="s">
        <v>519</v>
      </c>
      <c r="J890" s="6" t="s">
        <v>394</v>
      </c>
      <c r="K890" s="10">
        <v>30</v>
      </c>
      <c r="L890" s="10">
        <v>30</v>
      </c>
      <c r="M890" s="6" t="s">
        <v>421</v>
      </c>
      <c r="N890" s="6" t="str">
        <f>IF(OR($G890="FCC",$G890="Hydrocracker",$G890="Reformer"),IF(COUNTIFS($D:$D,$D890,$A:$A,$A890,$B:$B,$B890,$G:$G,"CDU",$J:$J,"PLANNED")&gt;0,"tied","standalone"),"")</f>
        <v>tied</v>
      </c>
    </row>
    <row r="891" spans="1:14">
      <c r="A891" s="6">
        <v>2023</v>
      </c>
      <c r="B891" s="6">
        <v>4</v>
      </c>
      <c r="C891" s="6" t="s">
        <v>63</v>
      </c>
      <c r="D891" s="6" t="s">
        <v>384</v>
      </c>
      <c r="E891" s="6" t="s">
        <v>419</v>
      </c>
      <c r="F891" s="6" t="str">
        <f>IF($M891="PADD I","PADD 1",IF($M891="PADD II","PADD 2",IF($M891="PADD III","PADD 3",IF($M891="PADD IV","PADD 4",IF($M891="PADD V","PADD 5","")))))</f>
        <v>PADD 3</v>
      </c>
      <c r="G891" s="6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6" t="s">
        <v>426</v>
      </c>
      <c r="I891" s="6" t="s">
        <v>522</v>
      </c>
      <c r="J891" s="6" t="s">
        <v>394</v>
      </c>
      <c r="K891" s="10">
        <v>30</v>
      </c>
      <c r="L891" s="10">
        <v>30</v>
      </c>
      <c r="M891" s="6" t="s">
        <v>421</v>
      </c>
      <c r="N891" s="6" t="str">
        <f>IF(OR($G891="FCC",$G891="Hydrocracker",$G891="Reformer"),IF(COUNTIFS($D:$D,$D891,$A:$A,$A891,$B:$B,$B891,$G:$G,"CDU",$J:$J,"PLANNED")&gt;0,"tied","standalone"),"")</f>
        <v>standalone</v>
      </c>
    </row>
    <row r="892" spans="1:14">
      <c r="A892" s="6">
        <v>2023</v>
      </c>
      <c r="B892" s="6">
        <v>4</v>
      </c>
      <c r="C892" s="6" t="s">
        <v>63</v>
      </c>
      <c r="D892" s="6" t="s">
        <v>518</v>
      </c>
      <c r="E892" s="6" t="s">
        <v>419</v>
      </c>
      <c r="F892" s="6" t="str">
        <f>IF($M892="PADD I","PADD 1",IF($M892="PADD II","PADD 2",IF($M892="PADD III","PADD 3",IF($M892="PADD IV","PADD 4",IF($M892="PADD V","PADD 5","")))))</f>
        <v>PADD 3</v>
      </c>
      <c r="G892" s="6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6" t="s">
        <v>426</v>
      </c>
      <c r="I892" s="6" t="s">
        <v>523</v>
      </c>
      <c r="J892" s="6" t="s">
        <v>394</v>
      </c>
      <c r="K892" s="10">
        <v>30</v>
      </c>
      <c r="L892" s="10">
        <v>30</v>
      </c>
      <c r="M892" s="6" t="s">
        <v>421</v>
      </c>
      <c r="N892" s="6" t="str">
        <f>IF(OR($G892="FCC",$G892="Hydrocracker",$G892="Reformer"),IF(COUNTIFS($D:$D,$D892,$A:$A,$A892,$B:$B,$B892,$G:$G,"CDU",$J:$J,"PLANNED")&gt;0,"tied","standalone"),"")</f>
        <v>tied</v>
      </c>
    </row>
    <row r="893" spans="1:14">
      <c r="A893" s="6">
        <v>2023</v>
      </c>
      <c r="B893" s="6">
        <v>4</v>
      </c>
      <c r="C893" s="6" t="s">
        <v>63</v>
      </c>
      <c r="D893" s="6" t="s">
        <v>730</v>
      </c>
      <c r="E893" s="6" t="s">
        <v>731</v>
      </c>
      <c r="F893" s="6" t="str">
        <f>IF($M893="PADD I","PADD 1",IF($M893="PADD II","PADD 2",IF($M893="PADD III","PADD 3",IF($M893="PADD IV","PADD 4",IF($M893="PADD V","PADD 5","")))))</f>
        <v>PADD 3</v>
      </c>
      <c r="G893" s="6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6" t="s">
        <v>44</v>
      </c>
      <c r="I893" s="6" t="s">
        <v>739</v>
      </c>
      <c r="J893" s="6" t="s">
        <v>398</v>
      </c>
      <c r="K893" s="10">
        <v>29.76</v>
      </c>
      <c r="L893" s="10">
        <v>32</v>
      </c>
      <c r="M893" s="6" t="s">
        <v>421</v>
      </c>
      <c r="N893" s="6">
        <f>IF(OR($G893="FCC",$G893="Hydrocracker",$G893="Reformer"),IF(COUNTIFS($D:$D,$D893,$A:$A,$A893,$B:$B,$B893,$G:$G,"CDU",$J:$J,"PLANNED")&gt;0,"tied","standalone"),"")</f>
        <v/>
      </c>
    </row>
    <row r="894" spans="1:14">
      <c r="A894" s="6">
        <v>2023</v>
      </c>
      <c r="B894" s="6">
        <v>4</v>
      </c>
      <c r="C894" s="6" t="s">
        <v>63</v>
      </c>
      <c r="D894" s="6" t="s">
        <v>484</v>
      </c>
      <c r="E894" s="6" t="s">
        <v>438</v>
      </c>
      <c r="F894" s="6" t="str">
        <f>IF($M894="PADD I","PADD 1",IF($M894="PADD II","PADD 2",IF($M894="PADD III","PADD 3",IF($M894="PADD IV","PADD 4",IF($M894="PADD V","PADD 5","")))))</f>
        <v>PADD 5</v>
      </c>
      <c r="G894" s="6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6" t="s">
        <v>494</v>
      </c>
      <c r="I894" s="6" t="s">
        <v>14</v>
      </c>
      <c r="J894" s="6" t="s">
        <v>398</v>
      </c>
      <c r="K894" s="10">
        <v>29.44</v>
      </c>
      <c r="L894" s="10">
        <v>36.8</v>
      </c>
      <c r="M894" s="6" t="s">
        <v>436</v>
      </c>
      <c r="N894" s="6" t="str">
        <f>IF(OR($G894="FCC",$G894="Hydrocracker",$G894="Reformer"),IF(COUNTIFS($D:$D,$D894,$A:$A,$A894,$B:$B,$B894,$G:$G,"CDU",$J:$J,"PLANNED")&gt;0,"tied","standalone"),"")</f>
        <v>standalone</v>
      </c>
    </row>
    <row r="895" spans="1:14">
      <c r="A895" s="6">
        <v>2023</v>
      </c>
      <c r="B895" s="6">
        <v>4</v>
      </c>
      <c r="C895" s="6" t="s">
        <v>63</v>
      </c>
      <c r="D895" s="6" t="s">
        <v>371</v>
      </c>
      <c r="E895" s="6" t="s">
        <v>419</v>
      </c>
      <c r="F895" s="6" t="str">
        <f>IF($M895="PADD I","PADD 1",IF($M895="PADD II","PADD 2",IF($M895="PADD III","PADD 3",IF($M895="PADD IV","PADD 4",IF($M895="PADD V","PADD 5","")))))</f>
        <v>PADD 2</v>
      </c>
      <c r="G895" s="6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6" t="s">
        <v>44</v>
      </c>
      <c r="I895" s="6" t="s">
        <v>733</v>
      </c>
      <c r="J895" s="6" t="s">
        <v>398</v>
      </c>
      <c r="K895" s="10">
        <v>29.15</v>
      </c>
      <c r="L895" s="10">
        <v>55</v>
      </c>
      <c r="M895" s="6" t="s">
        <v>425</v>
      </c>
      <c r="N895" s="6">
        <f>IF(OR($G895="FCC",$G895="Hydrocracker",$G895="Reformer"),IF(COUNTIFS($D:$D,$D895,$A:$A,$A895,$B:$B,$B895,$G:$G,"CDU",$J:$J,"PLANNED")&gt;0,"tied","standalone"),"")</f>
        <v/>
      </c>
    </row>
    <row r="896" spans="1:14">
      <c r="A896" s="6">
        <v>2023</v>
      </c>
      <c r="B896" s="6">
        <v>4</v>
      </c>
      <c r="C896" s="6" t="s">
        <v>63</v>
      </c>
      <c r="D896" s="6" t="s">
        <v>371</v>
      </c>
      <c r="E896" s="6" t="s">
        <v>419</v>
      </c>
      <c r="F896" s="6" t="str">
        <f>IF($M896="PADD I","PADD 1",IF($M896="PADD II","PADD 2",IF($M896="PADD III","PADD 3",IF($M896="PADD IV","PADD 4",IF($M896="PADD V","PADD 5","")))))</f>
        <v>PADD 2</v>
      </c>
      <c r="G896" s="6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6" t="s">
        <v>44</v>
      </c>
      <c r="I896" s="6" t="s">
        <v>734</v>
      </c>
      <c r="J896" s="6" t="s">
        <v>398</v>
      </c>
      <c r="K896" s="10">
        <v>28.09</v>
      </c>
      <c r="L896" s="10">
        <v>53</v>
      </c>
      <c r="M896" s="6" t="s">
        <v>425</v>
      </c>
      <c r="N896" s="6">
        <f>IF(OR($G896="FCC",$G896="Hydrocracker",$G896="Reformer"),IF(COUNTIFS($D:$D,$D896,$A:$A,$A896,$B:$B,$B896,$G:$G,"CDU",$J:$J,"PLANNED")&gt;0,"tied","standalone"),"")</f>
        <v/>
      </c>
    </row>
    <row r="897" spans="1:14">
      <c r="A897" s="6">
        <v>2023</v>
      </c>
      <c r="B897" s="6">
        <v>4</v>
      </c>
      <c r="C897" s="6" t="s">
        <v>63</v>
      </c>
      <c r="D897" s="6" t="s">
        <v>422</v>
      </c>
      <c r="E897" s="6" t="s">
        <v>423</v>
      </c>
      <c r="F897" s="6" t="str">
        <f>IF($M897="PADD I","PADD 1",IF($M897="PADD II","PADD 2",IF($M897="PADD III","PADD 3",IF($M897="PADD IV","PADD 4",IF($M897="PADD V","PADD 5","")))))</f>
        <v>PADD 2</v>
      </c>
      <c r="G897" s="6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6" t="s">
        <v>494</v>
      </c>
      <c r="I897" s="6" t="s">
        <v>495</v>
      </c>
      <c r="J897" s="6" t="s">
        <v>394</v>
      </c>
      <c r="K897" s="10">
        <v>28</v>
      </c>
      <c r="L897" s="10">
        <v>35</v>
      </c>
      <c r="M897" s="6" t="s">
        <v>425</v>
      </c>
      <c r="N897" s="6" t="str">
        <f>IF(OR($G897="FCC",$G897="Hydrocracker",$G897="Reformer"),IF(COUNTIFS($D:$D,$D897,$A:$A,$A897,$B:$B,$B897,$G:$G,"CDU",$J:$J,"PLANNED")&gt;0,"tied","standalone"),"")</f>
        <v>standalone</v>
      </c>
    </row>
    <row r="898" spans="1:14">
      <c r="A898" s="6">
        <v>2023</v>
      </c>
      <c r="B898" s="6">
        <v>4</v>
      </c>
      <c r="C898" s="6" t="s">
        <v>63</v>
      </c>
      <c r="D898" s="6" t="s">
        <v>422</v>
      </c>
      <c r="E898" s="6" t="s">
        <v>423</v>
      </c>
      <c r="F898" s="6" t="str">
        <f>IF($M898="PADD I","PADD 1",IF($M898="PADD II","PADD 2",IF($M898="PADD III","PADD 3",IF($M898="PADD IV","PADD 4",IF($M898="PADD V","PADD 5","")))))</f>
        <v>PADD 2</v>
      </c>
      <c r="G898" s="6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6" t="s">
        <v>485</v>
      </c>
      <c r="I898" s="6" t="s">
        <v>517</v>
      </c>
      <c r="J898" s="6" t="s">
        <v>394</v>
      </c>
      <c r="K898" s="10">
        <v>27.5</v>
      </c>
      <c r="L898" s="10">
        <v>27.5</v>
      </c>
      <c r="M898" s="6" t="s">
        <v>425</v>
      </c>
      <c r="N898" s="6">
        <f>IF(OR($G898="FCC",$G898="Hydrocracker",$G898="Reformer"),IF(COUNTIFS($D:$D,$D898,$A:$A,$A898,$B:$B,$B898,$G:$G,"CDU",$J:$J,"PLANNED")&gt;0,"tied","standalone"),"")</f>
        <v/>
      </c>
    </row>
    <row r="899" spans="1:14">
      <c r="A899" s="6">
        <v>2023</v>
      </c>
      <c r="B899" s="6">
        <v>4</v>
      </c>
      <c r="C899" s="6" t="s">
        <v>63</v>
      </c>
      <c r="D899" s="6" t="s">
        <v>792</v>
      </c>
      <c r="E899" s="6" t="s">
        <v>438</v>
      </c>
      <c r="F899" s="6" t="str">
        <f>IF($M899="PADD I","PADD 1",IF($M899="PADD II","PADD 2",IF($M899="PADD III","PADD 3",IF($M899="PADD IV","PADD 4",IF($M899="PADD V","PADD 5","")))))</f>
        <v>PADD 5</v>
      </c>
      <c r="G899" s="6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6" t="s">
        <v>471</v>
      </c>
      <c r="I899" s="6" t="s">
        <v>15</v>
      </c>
      <c r="J899" s="6" t="s">
        <v>394</v>
      </c>
      <c r="K899" s="10">
        <v>26</v>
      </c>
      <c r="L899" s="10">
        <v>26</v>
      </c>
      <c r="M899" s="6" t="s">
        <v>436</v>
      </c>
      <c r="N899" s="6" t="str">
        <f>IF(OR($G899="FCC",$G899="Hydrocracker",$G899="Reformer"),IF(COUNTIFS($D:$D,$D899,$A:$A,$A899,$B:$B,$B899,$G:$G,"CDU",$J:$J,"PLANNED")&gt;0,"tied","standalone"),"")</f>
        <v>tied</v>
      </c>
    </row>
    <row r="900" spans="1:14">
      <c r="A900" s="6">
        <v>2023</v>
      </c>
      <c r="B900" s="6">
        <v>4</v>
      </c>
      <c r="C900" s="6" t="s">
        <v>63</v>
      </c>
      <c r="D900" s="6" t="s">
        <v>437</v>
      </c>
      <c r="E900" s="6" t="s">
        <v>438</v>
      </c>
      <c r="F900" s="6" t="str">
        <f>IF($M900="PADD I","PADD 1",IF($M900="PADD II","PADD 2",IF($M900="PADD III","PADD 3",IF($M900="PADD IV","PADD 4",IF($M900="PADD V","PADD 5","")))))</f>
        <v>PADD 3</v>
      </c>
      <c r="G900" s="6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6" t="s">
        <v>428</v>
      </c>
      <c r="I900" s="6" t="s">
        <v>492</v>
      </c>
      <c r="J900" s="6" t="s">
        <v>398</v>
      </c>
      <c r="K900" s="10">
        <v>25.875</v>
      </c>
      <c r="L900" s="10">
        <v>112.5</v>
      </c>
      <c r="M900" s="6" t="s">
        <v>421</v>
      </c>
      <c r="N900" s="6">
        <f>IF(OR($G900="FCC",$G900="Hydrocracker",$G900="Reformer"),IF(COUNTIFS($D:$D,$D900,$A:$A,$A900,$B:$B,$B900,$G:$G,"CDU",$J:$J,"PLANNED")&gt;0,"tied","standalone"),"")</f>
        <v/>
      </c>
    </row>
    <row r="901" spans="1:14">
      <c r="A901" s="6">
        <v>2023</v>
      </c>
      <c r="B901" s="6">
        <v>4</v>
      </c>
      <c r="C901" s="6" t="s">
        <v>63</v>
      </c>
      <c r="D901" s="6" t="s">
        <v>828</v>
      </c>
      <c r="E901" s="6" t="s">
        <v>829</v>
      </c>
      <c r="F901" s="6" t="str">
        <f>IF($M901="PADD I","PADD 1",IF($M901="PADD II","PADD 2",IF($M901="PADD III","PADD 3",IF($M901="PADD IV","PADD 4",IF($M901="PADD V","PADD 5","")))))</f>
        <v>PADD 3</v>
      </c>
      <c r="G901" s="6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6" t="s">
        <v>39</v>
      </c>
      <c r="I901" s="6" t="s">
        <v>830</v>
      </c>
      <c r="J901" s="6" t="s">
        <v>394</v>
      </c>
      <c r="K901" s="10">
        <v>25.61</v>
      </c>
      <c r="L901" s="10">
        <v>197</v>
      </c>
      <c r="M901" s="6" t="s">
        <v>421</v>
      </c>
      <c r="N901" s="6">
        <f>IF(OR($G901="FCC",$G901="Hydrocracker",$G901="Reformer"),IF(COUNTIFS($D:$D,$D901,$A:$A,$A901,$B:$B,$B901,$G:$G,"CDU",$J:$J,"PLANNED")&gt;0,"tied","standalone"),"")</f>
        <v/>
      </c>
    </row>
    <row r="902" spans="1:14">
      <c r="A902" s="6">
        <v>2023</v>
      </c>
      <c r="B902" s="6">
        <v>4</v>
      </c>
      <c r="C902" s="6" t="s">
        <v>63</v>
      </c>
      <c r="D902" s="6" t="s">
        <v>798</v>
      </c>
      <c r="E902" s="6" t="s">
        <v>438</v>
      </c>
      <c r="F902" s="6" t="str">
        <f>IF($M902="PADD I","PADD 1",IF($M902="PADD II","PADD 2",IF($M902="PADD III","PADD 3",IF($M902="PADD IV","PADD 4",IF($M902="PADD V","PADD 5","")))))</f>
        <v>PADD 3</v>
      </c>
      <c r="G902" s="6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6" t="s">
        <v>44</v>
      </c>
      <c r="I902" s="6" t="s">
        <v>809</v>
      </c>
      <c r="J902" s="6" t="s">
        <v>398</v>
      </c>
      <c r="K902" s="10">
        <v>25.5</v>
      </c>
      <c r="L902" s="10">
        <v>25.5</v>
      </c>
      <c r="M902" s="6" t="s">
        <v>421</v>
      </c>
      <c r="N902" s="6">
        <f>IF(OR($G902="FCC",$G902="Hydrocracker",$G902="Reformer"),IF(COUNTIFS($D:$D,$D902,$A:$A,$A902,$B:$B,$B902,$G:$G,"CDU",$J:$J,"PLANNED")&gt;0,"tied","standalone"),"")</f>
        <v/>
      </c>
    </row>
    <row r="903" spans="1:14">
      <c r="A903" s="6">
        <v>2023</v>
      </c>
      <c r="B903" s="6">
        <v>4</v>
      </c>
      <c r="C903" s="6" t="s">
        <v>63</v>
      </c>
      <c r="D903" s="6" t="s">
        <v>422</v>
      </c>
      <c r="E903" s="6" t="s">
        <v>423</v>
      </c>
      <c r="F903" s="6" t="str">
        <f>IF($M903="PADD I","PADD 1",IF($M903="PADD II","PADD 2",IF($M903="PADD III","PADD 3",IF($M903="PADD IV","PADD 4",IF($M903="PADD V","PADD 5","")))))</f>
        <v>PADD 2</v>
      </c>
      <c r="G903" s="6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6" t="s">
        <v>39</v>
      </c>
      <c r="I903" s="6" t="s">
        <v>464</v>
      </c>
      <c r="J903" s="6" t="s">
        <v>394</v>
      </c>
      <c r="K903" s="10">
        <v>25.2</v>
      </c>
      <c r="L903" s="10">
        <v>40</v>
      </c>
      <c r="M903" s="6" t="s">
        <v>425</v>
      </c>
      <c r="N903" s="6">
        <f>IF(OR($G903="FCC",$G903="Hydrocracker",$G903="Reformer"),IF(COUNTIFS($D:$D,$D903,$A:$A,$A903,$B:$B,$B903,$G:$G,"CDU",$J:$J,"PLANNED")&gt;0,"tied","standalone"),"")</f>
        <v/>
      </c>
    </row>
    <row r="904" spans="1:14">
      <c r="A904" s="6">
        <v>2023</v>
      </c>
      <c r="B904" s="6">
        <v>4</v>
      </c>
      <c r="C904" s="6" t="s">
        <v>63</v>
      </c>
      <c r="D904" s="6" t="s">
        <v>422</v>
      </c>
      <c r="E904" s="6" t="s">
        <v>423</v>
      </c>
      <c r="F904" s="6" t="str">
        <f>IF($M904="PADD I","PADD 1",IF($M904="PADD II","PADD 2",IF($M904="PADD III","PADD 3",IF($M904="PADD IV","PADD 4",IF($M904="PADD V","PADD 5","")))))</f>
        <v>PADD 2</v>
      </c>
      <c r="G904" s="6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6" t="s">
        <v>44</v>
      </c>
      <c r="I904" s="6" t="s">
        <v>529</v>
      </c>
      <c r="J904" s="6" t="s">
        <v>394</v>
      </c>
      <c r="K904" s="10">
        <v>25</v>
      </c>
      <c r="L904" s="10">
        <v>25</v>
      </c>
      <c r="M904" s="6" t="s">
        <v>425</v>
      </c>
      <c r="N904" s="6">
        <f>IF(OR($G904="FCC",$G904="Hydrocracker",$G904="Reformer"),IF(COUNTIFS($D:$D,$D904,$A:$A,$A904,$B:$B,$B904,$G:$G,"CDU",$J:$J,"PLANNED")&gt;0,"tied","standalone"),"")</f>
        <v/>
      </c>
    </row>
    <row r="905" spans="1:14">
      <c r="A905" s="6">
        <v>2023</v>
      </c>
      <c r="B905" s="6">
        <v>4</v>
      </c>
      <c r="C905" s="6" t="s">
        <v>63</v>
      </c>
      <c r="D905" s="6" t="s">
        <v>422</v>
      </c>
      <c r="E905" s="6" t="s">
        <v>423</v>
      </c>
      <c r="F905" s="6" t="str">
        <f>IF($M905="PADD I","PADD 1",IF($M905="PADD II","PADD 2",IF($M905="PADD III","PADD 3",IF($M905="PADD IV","PADD 4",IF($M905="PADD V","PADD 5","")))))</f>
        <v>PADD 2</v>
      </c>
      <c r="G905" s="6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6" t="s">
        <v>44</v>
      </c>
      <c r="I905" s="6" t="s">
        <v>530</v>
      </c>
      <c r="J905" s="6" t="s">
        <v>394</v>
      </c>
      <c r="K905" s="10">
        <v>25</v>
      </c>
      <c r="L905" s="10">
        <v>25</v>
      </c>
      <c r="M905" s="6" t="s">
        <v>425</v>
      </c>
      <c r="N905" s="6">
        <f>IF(OR($G905="FCC",$G905="Hydrocracker",$G905="Reformer"),IF(COUNTIFS($D:$D,$D905,$A:$A,$A905,$B:$B,$B905,$G:$G,"CDU",$J:$J,"PLANNED")&gt;0,"tied","standalone"),"")</f>
        <v/>
      </c>
    </row>
    <row r="906" spans="1:14">
      <c r="A906" s="6">
        <v>2023</v>
      </c>
      <c r="B906" s="6">
        <v>4</v>
      </c>
      <c r="C906" s="6" t="s">
        <v>63</v>
      </c>
      <c r="D906" s="6" t="s">
        <v>792</v>
      </c>
      <c r="E906" s="6" t="s">
        <v>438</v>
      </c>
      <c r="F906" s="6" t="str">
        <f>IF($M906="PADD I","PADD 1",IF($M906="PADD II","PADD 2",IF($M906="PADD III","PADD 3",IF($M906="PADD IV","PADD 4",IF($M906="PADD V","PADD 5","")))))</f>
        <v>PADD 5</v>
      </c>
      <c r="G906" s="6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6" t="s">
        <v>44</v>
      </c>
      <c r="I906" s="6" t="s">
        <v>794</v>
      </c>
      <c r="J906" s="6" t="s">
        <v>398</v>
      </c>
      <c r="K906" s="10">
        <v>25</v>
      </c>
      <c r="L906" s="10">
        <v>25</v>
      </c>
      <c r="M906" s="6" t="s">
        <v>436</v>
      </c>
      <c r="N906" s="6">
        <f>IF(OR($G906="FCC",$G906="Hydrocracker",$G906="Reformer"),IF(COUNTIFS($D:$D,$D906,$A:$A,$A906,$B:$B,$B906,$G:$G,"CDU",$J:$J,"PLANNED")&gt;0,"tied","standalone"),"")</f>
        <v/>
      </c>
    </row>
    <row r="907" spans="1:14">
      <c r="A907" s="6">
        <v>2023</v>
      </c>
      <c r="B907" s="6">
        <v>4</v>
      </c>
      <c r="C907" s="6" t="s">
        <v>63</v>
      </c>
      <c r="D907" s="6" t="s">
        <v>458</v>
      </c>
      <c r="E907" s="6" t="s">
        <v>459</v>
      </c>
      <c r="F907" s="6" t="str">
        <f>IF($M907="PADD I","PADD 1",IF($M907="PADD II","PADD 2",IF($M907="PADD III","PADD 3",IF($M907="PADD IV","PADD 4",IF($M907="PADD V","PADD 5","")))))</f>
        <v>PADD 3</v>
      </c>
      <c r="G907" s="6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6" t="s">
        <v>44</v>
      </c>
      <c r="I907" s="6" t="s">
        <v>547</v>
      </c>
      <c r="J907" s="6" t="s">
        <v>398</v>
      </c>
      <c r="K907" s="10">
        <v>24.8</v>
      </c>
      <c r="L907" s="10">
        <v>31</v>
      </c>
      <c r="M907" s="6" t="s">
        <v>421</v>
      </c>
      <c r="N907" s="6">
        <f>IF(OR($G907="FCC",$G907="Hydrocracker",$G907="Reformer"),IF(COUNTIFS($D:$D,$D907,$A:$A,$A907,$B:$B,$B907,$G:$G,"CDU",$J:$J,"PLANNED")&gt;0,"tied","standalone"),"")</f>
        <v/>
      </c>
    </row>
    <row r="908" spans="1:14">
      <c r="A908" s="6">
        <v>2023</v>
      </c>
      <c r="B908" s="6">
        <v>4</v>
      </c>
      <c r="C908" s="6" t="s">
        <v>63</v>
      </c>
      <c r="D908" s="6" t="s">
        <v>470</v>
      </c>
      <c r="E908" s="6" t="s">
        <v>423</v>
      </c>
      <c r="F908" s="6" t="str">
        <f>IF($M908="PADD I","PADD 1",IF($M908="PADD II","PADD 2",IF($M908="PADD III","PADD 3",IF($M908="PADD IV","PADD 4",IF($M908="PADD V","PADD 5","")))))</f>
        <v>PADD 2</v>
      </c>
      <c r="G908" s="6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6" t="s">
        <v>39</v>
      </c>
      <c r="I908" s="6" t="s">
        <v>82</v>
      </c>
      <c r="J908" s="6" t="s">
        <v>394</v>
      </c>
      <c r="K908" s="10">
        <v>24.5</v>
      </c>
      <c r="L908" s="10">
        <v>24.5</v>
      </c>
      <c r="M908" s="6" t="s">
        <v>425</v>
      </c>
      <c r="N908" s="6">
        <f>IF(OR($G908="FCC",$G908="Hydrocracker",$G908="Reformer"),IF(COUNTIFS($D:$D,$D908,$A:$A,$A908,$B:$B,$B908,$G:$G,"CDU",$J:$J,"PLANNED")&gt;0,"tied","standalone"),"")</f>
        <v/>
      </c>
    </row>
    <row r="909" spans="1:14">
      <c r="A909" s="6">
        <v>2023</v>
      </c>
      <c r="B909" s="6">
        <v>4</v>
      </c>
      <c r="C909" s="6" t="s">
        <v>63</v>
      </c>
      <c r="D909" s="6" t="s">
        <v>792</v>
      </c>
      <c r="E909" s="6" t="s">
        <v>438</v>
      </c>
      <c r="F909" s="6" t="str">
        <f>IF($M909="PADD I","PADD 1",IF($M909="PADD II","PADD 2",IF($M909="PADD III","PADD 3",IF($M909="PADD IV","PADD 4",IF($M909="PADD V","PADD 5","")))))</f>
        <v>PADD 5</v>
      </c>
      <c r="G909" s="6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6" t="s">
        <v>39</v>
      </c>
      <c r="I909" s="6" t="s">
        <v>82</v>
      </c>
      <c r="J909" s="6" t="s">
        <v>398</v>
      </c>
      <c r="K909" s="10">
        <v>24</v>
      </c>
      <c r="L909" s="10">
        <v>24</v>
      </c>
      <c r="M909" s="6" t="s">
        <v>436</v>
      </c>
      <c r="N909" s="6">
        <f>IF(OR($G909="FCC",$G909="Hydrocracker",$G909="Reformer"),IF(COUNTIFS($D:$D,$D909,$A:$A,$A909,$B:$B,$B909,$G:$G,"CDU",$J:$J,"PLANNED")&gt;0,"tied","standalone"),"")</f>
        <v/>
      </c>
    </row>
    <row r="910" spans="1:14">
      <c r="A910" s="6">
        <v>2023</v>
      </c>
      <c r="B910" s="6">
        <v>4</v>
      </c>
      <c r="C910" s="6" t="s">
        <v>63</v>
      </c>
      <c r="D910" s="6" t="s">
        <v>660</v>
      </c>
      <c r="E910" s="6" t="s">
        <v>661</v>
      </c>
      <c r="F910" s="6" t="str">
        <f>IF($M910="PADD I","PADD 1",IF($M910="PADD II","PADD 2",IF($M910="PADD III","PADD 3",IF($M910="PADD IV","PADD 4",IF($M910="PADD V","PADD 5","")))))</f>
        <v>PADD 2</v>
      </c>
      <c r="G910" s="6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6" t="s">
        <v>39</v>
      </c>
      <c r="I910" s="6" t="s">
        <v>381</v>
      </c>
      <c r="J910" s="6" t="s">
        <v>394</v>
      </c>
      <c r="K910" s="10">
        <v>24</v>
      </c>
      <c r="L910" s="10">
        <v>60</v>
      </c>
      <c r="M910" s="6" t="s">
        <v>425</v>
      </c>
      <c r="N910" s="6">
        <f>IF(OR($G910="FCC",$G910="Hydrocracker",$G910="Reformer"),IF(COUNTIFS($D:$D,$D910,$A:$A,$A910,$B:$B,$B910,$G:$G,"CDU",$J:$J,"PLANNED")&gt;0,"tied","standalone"),"")</f>
        <v/>
      </c>
    </row>
    <row r="911" spans="1:14">
      <c r="A911" s="6">
        <v>2023</v>
      </c>
      <c r="B911" s="6">
        <v>4</v>
      </c>
      <c r="C911" s="6" t="s">
        <v>63</v>
      </c>
      <c r="D911" s="6" t="s">
        <v>652</v>
      </c>
      <c r="E911" s="6" t="s">
        <v>419</v>
      </c>
      <c r="F911" s="6" t="str">
        <f>IF($M911="PADD I","PADD 1",IF($M911="PADD II","PADD 2",IF($M911="PADD III","PADD 3",IF($M911="PADD IV","PADD 4",IF($M911="PADD V","PADD 5","")))))</f>
        <v>PADD 2</v>
      </c>
      <c r="G911" s="6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6" t="s">
        <v>485</v>
      </c>
      <c r="I911" s="6" t="s">
        <v>491</v>
      </c>
      <c r="J911" s="6" t="s">
        <v>398</v>
      </c>
      <c r="K911" s="10">
        <v>23.87</v>
      </c>
      <c r="L911" s="10">
        <v>31</v>
      </c>
      <c r="M911" s="6" t="s">
        <v>425</v>
      </c>
      <c r="N911" s="6">
        <f>IF(OR($G911="FCC",$G911="Hydrocracker",$G911="Reformer"),IF(COUNTIFS($D:$D,$D911,$A:$A,$A911,$B:$B,$B911,$G:$G,"CDU",$J:$J,"PLANNED")&gt;0,"tied","standalone"),"")</f>
        <v/>
      </c>
    </row>
    <row r="912" spans="1:14">
      <c r="A912" s="6">
        <v>2023</v>
      </c>
      <c r="B912" s="6">
        <v>4</v>
      </c>
      <c r="C912" s="6" t="s">
        <v>63</v>
      </c>
      <c r="D912" s="6" t="s">
        <v>730</v>
      </c>
      <c r="E912" s="6" t="s">
        <v>731</v>
      </c>
      <c r="F912" s="6" t="str">
        <f>IF($M912="PADD I","PADD 1",IF($M912="PADD II","PADD 2",IF($M912="PADD III","PADD 3",IF($M912="PADD IV","PADD 4",IF($M912="PADD V","PADD 5","")))))</f>
        <v>PADD 3</v>
      </c>
      <c r="G912" s="6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6" t="s">
        <v>426</v>
      </c>
      <c r="I912" s="6" t="s">
        <v>106</v>
      </c>
      <c r="J912" s="6" t="s">
        <v>398</v>
      </c>
      <c r="K912" s="10">
        <v>23.25</v>
      </c>
      <c r="L912" s="10">
        <v>25</v>
      </c>
      <c r="M912" s="6" t="s">
        <v>421</v>
      </c>
      <c r="N912" s="6" t="str">
        <f>IF(OR($G912="FCC",$G912="Hydrocracker",$G912="Reformer"),IF(COUNTIFS($D:$D,$D912,$A:$A,$A912,$B:$B,$B912,$G:$G,"CDU",$J:$J,"PLANNED")&gt;0,"tied","standalone"),"")</f>
        <v>tied</v>
      </c>
    </row>
    <row r="913" spans="1:14">
      <c r="A913" s="6">
        <v>2023</v>
      </c>
      <c r="B913" s="6">
        <v>4</v>
      </c>
      <c r="C913" s="6" t="s">
        <v>63</v>
      </c>
      <c r="D913" s="6" t="s">
        <v>730</v>
      </c>
      <c r="E913" s="6" t="s">
        <v>731</v>
      </c>
      <c r="F913" s="6" t="str">
        <f>IF($M913="PADD I","PADD 1",IF($M913="PADD II","PADD 2",IF($M913="PADD III","PADD 3",IF($M913="PADD IV","PADD 4",IF($M913="PADD V","PADD 5","")))))</f>
        <v>PADD 3</v>
      </c>
      <c r="G913" s="6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6" t="s">
        <v>428</v>
      </c>
      <c r="I913" s="6" t="s">
        <v>481</v>
      </c>
      <c r="J913" s="6" t="s">
        <v>398</v>
      </c>
      <c r="K913" s="10">
        <v>23.25</v>
      </c>
      <c r="L913" s="10">
        <v>25</v>
      </c>
      <c r="M913" s="6" t="s">
        <v>421</v>
      </c>
      <c r="N913" s="6">
        <f>IF(OR($G913="FCC",$G913="Hydrocracker",$G913="Reformer"),IF(COUNTIFS($D:$D,$D913,$A:$A,$A913,$B:$B,$B913,$G:$G,"CDU",$J:$J,"PLANNED")&gt;0,"tied","standalone"),"")</f>
        <v/>
      </c>
    </row>
    <row r="914" spans="1:14">
      <c r="A914" s="6">
        <v>2023</v>
      </c>
      <c r="B914" s="6">
        <v>4</v>
      </c>
      <c r="C914" s="6" t="s">
        <v>63</v>
      </c>
      <c r="D914" s="6" t="s">
        <v>54</v>
      </c>
      <c r="E914" s="6" t="s">
        <v>593</v>
      </c>
      <c r="F914" s="6" t="str">
        <f>IF($M914="PADD I","PADD 1",IF($M914="PADD II","PADD 2",IF($M914="PADD III","PADD 3",IF($M914="PADD IV","PADD 4",IF($M914="PADD V","PADD 5","")))))</f>
        <v>PADD 5</v>
      </c>
      <c r="G914" s="6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6" t="s">
        <v>39</v>
      </c>
      <c r="I914" s="6" t="s">
        <v>82</v>
      </c>
      <c r="J914" s="6" t="s">
        <v>398</v>
      </c>
      <c r="K914" s="10">
        <v>23.125</v>
      </c>
      <c r="L914" s="10">
        <v>62.5</v>
      </c>
      <c r="M914" s="6" t="s">
        <v>436</v>
      </c>
      <c r="N914" s="6">
        <f>IF(OR($G914="FCC",$G914="Hydrocracker",$G914="Reformer"),IF(COUNTIFS($D:$D,$D914,$A:$A,$A914,$B:$B,$B914,$G:$G,"CDU",$J:$J,"PLANNED")&gt;0,"tied","standalone"),"")</f>
        <v/>
      </c>
    </row>
    <row r="915" spans="1:14">
      <c r="A915" s="6">
        <v>2023</v>
      </c>
      <c r="B915" s="6">
        <v>4</v>
      </c>
      <c r="C915" s="6" t="s">
        <v>63</v>
      </c>
      <c r="D915" s="6" t="s">
        <v>496</v>
      </c>
      <c r="E915" s="6" t="s">
        <v>441</v>
      </c>
      <c r="F915" s="6" t="str">
        <f>IF($M915="PADD I","PADD 1",IF($M915="PADD II","PADD 2",IF($M915="PADD III","PADD 3",IF($M915="PADD IV","PADD 4",IF($M915="PADD V","PADD 5","")))))</f>
        <v>PADD 3</v>
      </c>
      <c r="G915" s="6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6" t="s">
        <v>471</v>
      </c>
      <c r="I915" s="6" t="s">
        <v>533</v>
      </c>
      <c r="J915" s="6" t="s">
        <v>394</v>
      </c>
      <c r="K915" s="10">
        <v>23</v>
      </c>
      <c r="L915" s="10">
        <v>23</v>
      </c>
      <c r="M915" s="6" t="s">
        <v>421</v>
      </c>
      <c r="N915" s="6" t="str">
        <f>IF(OR($G915="FCC",$G915="Hydrocracker",$G915="Reformer"),IF(COUNTIFS($D:$D,$D915,$A:$A,$A915,$B:$B,$B915,$G:$G,"CDU",$J:$J,"PLANNED")&gt;0,"tied","standalone"),"")</f>
        <v>standalone</v>
      </c>
    </row>
    <row r="916" spans="1:14">
      <c r="A916" s="6">
        <v>2023</v>
      </c>
      <c r="B916" s="6">
        <v>4</v>
      </c>
      <c r="C916" s="6" t="s">
        <v>63</v>
      </c>
      <c r="D916" s="6" t="s">
        <v>730</v>
      </c>
      <c r="E916" s="6" t="s">
        <v>731</v>
      </c>
      <c r="F916" s="6" t="str">
        <f>IF($M916="PADD I","PADD 1",IF($M916="PADD II","PADD 2",IF($M916="PADD III","PADD 3",IF($M916="PADD IV","PADD 4",IF($M916="PADD V","PADD 5","")))))</f>
        <v>PADD 3</v>
      </c>
      <c r="G916" s="6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6" t="s">
        <v>44</v>
      </c>
      <c r="I916" s="6" t="s">
        <v>742</v>
      </c>
      <c r="J916" s="6" t="s">
        <v>398</v>
      </c>
      <c r="K916" s="10">
        <v>22.32</v>
      </c>
      <c r="L916" s="10">
        <v>24</v>
      </c>
      <c r="M916" s="6" t="s">
        <v>421</v>
      </c>
      <c r="N916" s="6">
        <f>IF(OR($G916="FCC",$G916="Hydrocracker",$G916="Reformer"),IF(COUNTIFS($D:$D,$D916,$A:$A,$A916,$B:$B,$B916,$G:$G,"CDU",$J:$J,"PLANNED")&gt;0,"tied","standalone"),"")</f>
        <v/>
      </c>
    </row>
    <row r="917" spans="1:14">
      <c r="A917" s="6">
        <v>2023</v>
      </c>
      <c r="B917" s="6">
        <v>4</v>
      </c>
      <c r="C917" s="6" t="s">
        <v>63</v>
      </c>
      <c r="D917" s="6" t="s">
        <v>777</v>
      </c>
      <c r="E917" s="6" t="s">
        <v>778</v>
      </c>
      <c r="F917" s="6" t="str">
        <f>IF($M917="PADD I","PADD 1",IF($M917="PADD II","PADD 2",IF($M917="PADD III","PADD 3",IF($M917="PADD IV","PADD 4",IF($M917="PADD V","PADD 5","")))))</f>
        <v>PADD 1</v>
      </c>
      <c r="G917" s="6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6" t="s">
        <v>39</v>
      </c>
      <c r="I917" s="6" t="s">
        <v>82</v>
      </c>
      <c r="J917" s="6" t="s">
        <v>398</v>
      </c>
      <c r="K917" s="10">
        <v>22.31</v>
      </c>
      <c r="L917" s="10">
        <v>23</v>
      </c>
      <c r="M917" s="6" t="s">
        <v>463</v>
      </c>
      <c r="N917" s="6">
        <f>IF(OR($G917="FCC",$G917="Hydrocracker",$G917="Reformer"),IF(COUNTIFS($D:$D,$D917,$A:$A,$A917,$B:$B,$B917,$G:$G,"CDU",$J:$J,"PLANNED")&gt;0,"tied","standalone"),"")</f>
        <v/>
      </c>
    </row>
    <row r="918" spans="1:14">
      <c r="A918" s="6">
        <v>2023</v>
      </c>
      <c r="B918" s="6">
        <v>4</v>
      </c>
      <c r="C918" s="6" t="s">
        <v>63</v>
      </c>
      <c r="D918" s="6" t="s">
        <v>820</v>
      </c>
      <c r="E918" s="6" t="s">
        <v>710</v>
      </c>
      <c r="F918" s="6" t="str">
        <f>IF($M918="PADD I","PADD 1",IF($M918="PADD II","PADD 2",IF($M918="PADD III","PADD 3",IF($M918="PADD IV","PADD 4",IF($M918="PADD V","PADD 5","")))))</f>
        <v>PADD 3</v>
      </c>
      <c r="G918" s="6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6" t="s">
        <v>44</v>
      </c>
      <c r="I918" s="6" t="s">
        <v>676</v>
      </c>
      <c r="J918" s="6" t="s">
        <v>398</v>
      </c>
      <c r="K918" s="10">
        <v>22</v>
      </c>
      <c r="L918" s="10">
        <v>22</v>
      </c>
      <c r="M918" s="6" t="s">
        <v>421</v>
      </c>
      <c r="N918" s="6">
        <f>IF(OR($G918="FCC",$G918="Hydrocracker",$G918="Reformer"),IF(COUNTIFS($D:$D,$D918,$A:$A,$A918,$B:$B,$B918,$G:$G,"CDU",$J:$J,"PLANNED")&gt;0,"tied","standalone"),"")</f>
        <v/>
      </c>
    </row>
    <row r="919" spans="1:14">
      <c r="A919" s="6">
        <v>2023</v>
      </c>
      <c r="B919" s="6">
        <v>4</v>
      </c>
      <c r="C919" s="6" t="s">
        <v>63</v>
      </c>
      <c r="D919" s="6" t="s">
        <v>820</v>
      </c>
      <c r="E919" s="6" t="s">
        <v>710</v>
      </c>
      <c r="F919" s="6" t="str">
        <f>IF($M919="PADD I","PADD 1",IF($M919="PADD II","PADD 2",IF($M919="PADD III","PADD 3",IF($M919="PADD IV","PADD 4",IF($M919="PADD V","PADD 5","")))))</f>
        <v>PADD 3</v>
      </c>
      <c r="G919" s="6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6" t="s">
        <v>44</v>
      </c>
      <c r="I919" s="6" t="s">
        <v>831</v>
      </c>
      <c r="J919" s="6" t="s">
        <v>398</v>
      </c>
      <c r="K919" s="10">
        <v>22</v>
      </c>
      <c r="L919" s="10">
        <v>22</v>
      </c>
      <c r="M919" s="6" t="s">
        <v>421</v>
      </c>
      <c r="N919" s="6">
        <f>IF(OR($G919="FCC",$G919="Hydrocracker",$G919="Reformer"),IF(COUNTIFS($D:$D,$D919,$A:$A,$A919,$B:$B,$B919,$G:$G,"CDU",$J:$J,"PLANNED")&gt;0,"tied","standalone"),"")</f>
        <v/>
      </c>
    </row>
    <row r="920" spans="1:14">
      <c r="A920" s="6">
        <v>2023</v>
      </c>
      <c r="B920" s="6">
        <v>4</v>
      </c>
      <c r="C920" s="6" t="s">
        <v>63</v>
      </c>
      <c r="D920" s="6" t="s">
        <v>789</v>
      </c>
      <c r="E920" s="6" t="s">
        <v>455</v>
      </c>
      <c r="F920" s="6" t="str">
        <f>IF($M920="PADD I","PADD 1",IF($M920="PADD II","PADD 2",IF($M920="PADD III","PADD 3",IF($M920="PADD IV","PADD 4",IF($M920="PADD V","PADD 5","")))))</f>
        <v>PADD 2</v>
      </c>
      <c r="G920" s="6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6" t="s">
        <v>426</v>
      </c>
      <c r="I920" s="6" t="s">
        <v>106</v>
      </c>
      <c r="J920" s="6" t="s">
        <v>394</v>
      </c>
      <c r="K920" s="10">
        <v>21</v>
      </c>
      <c r="L920" s="10">
        <v>30</v>
      </c>
      <c r="M920" s="6" t="s">
        <v>425</v>
      </c>
      <c r="N920" s="6" t="str">
        <f>IF(OR($G920="FCC",$G920="Hydrocracker",$G920="Reformer"),IF(COUNTIFS($D:$D,$D920,$A:$A,$A920,$B:$B,$B920,$G:$G,"CDU",$J:$J,"PLANNED")&gt;0,"tied","standalone"),"")</f>
        <v>tied</v>
      </c>
    </row>
    <row r="921" spans="1:14">
      <c r="A921" s="6">
        <v>2023</v>
      </c>
      <c r="B921" s="6">
        <v>4</v>
      </c>
      <c r="C921" s="6" t="s">
        <v>63</v>
      </c>
      <c r="D921" s="6" t="s">
        <v>470</v>
      </c>
      <c r="E921" s="6" t="s">
        <v>423</v>
      </c>
      <c r="F921" s="6" t="str">
        <f>IF($M921="PADD I","PADD 1",IF($M921="PADD II","PADD 2",IF($M921="PADD III","PADD 3",IF($M921="PADD IV","PADD 4",IF($M921="PADD V","PADD 5","")))))</f>
        <v>PADD 2</v>
      </c>
      <c r="G921" s="6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6" t="s">
        <v>428</v>
      </c>
      <c r="I921" s="6" t="s">
        <v>481</v>
      </c>
      <c r="J921" s="6" t="s">
        <v>394</v>
      </c>
      <c r="K921" s="10">
        <v>20.5</v>
      </c>
      <c r="L921" s="10">
        <v>20.5</v>
      </c>
      <c r="M921" s="6" t="s">
        <v>425</v>
      </c>
      <c r="N921" s="6">
        <f>IF(OR($G921="FCC",$G921="Hydrocracker",$G921="Reformer"),IF(COUNTIFS($D:$D,$D921,$A:$A,$A921,$B:$B,$B921,$G:$G,"CDU",$J:$J,"PLANNED")&gt;0,"tied","standalone"),"")</f>
        <v/>
      </c>
    </row>
    <row r="922" spans="1:14">
      <c r="A922" s="6">
        <v>2023</v>
      </c>
      <c r="B922" s="6">
        <v>4</v>
      </c>
      <c r="C922" s="6" t="s">
        <v>63</v>
      </c>
      <c r="D922" s="6" t="s">
        <v>730</v>
      </c>
      <c r="E922" s="6" t="s">
        <v>731</v>
      </c>
      <c r="F922" s="6" t="str">
        <f>IF($M922="PADD I","PADD 1",IF($M922="PADD II","PADD 2",IF($M922="PADD III","PADD 3",IF($M922="PADD IV","PADD 4",IF($M922="PADD V","PADD 5","")))))</f>
        <v>PADD 3</v>
      </c>
      <c r="G922" s="6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6" t="s">
        <v>44</v>
      </c>
      <c r="I922" s="6" t="s">
        <v>744</v>
      </c>
      <c r="J922" s="6" t="s">
        <v>398</v>
      </c>
      <c r="K922" s="10">
        <v>20.46</v>
      </c>
      <c r="L922" s="10">
        <v>22</v>
      </c>
      <c r="M922" s="6" t="s">
        <v>421</v>
      </c>
      <c r="N922" s="6">
        <f>IF(OR($G922="FCC",$G922="Hydrocracker",$G922="Reformer"),IF(COUNTIFS($D:$D,$D922,$A:$A,$A922,$B:$B,$B922,$G:$G,"CDU",$J:$J,"PLANNED")&gt;0,"tied","standalone"),"")</f>
        <v/>
      </c>
    </row>
    <row r="923" spans="1:14">
      <c r="A923" s="6">
        <v>2023</v>
      </c>
      <c r="B923" s="6">
        <v>4</v>
      </c>
      <c r="C923" s="6" t="s">
        <v>63</v>
      </c>
      <c r="D923" s="6" t="s">
        <v>789</v>
      </c>
      <c r="E923" s="6" t="s">
        <v>455</v>
      </c>
      <c r="F923" s="6" t="str">
        <f>IF($M923="PADD I","PADD 1",IF($M923="PADD II","PADD 2",IF($M923="PADD III","PADD 3",IF($M923="PADD IV","PADD 4",IF($M923="PADD V","PADD 5","")))))</f>
        <v>PADD 2</v>
      </c>
      <c r="G923" s="6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6" t="s">
        <v>428</v>
      </c>
      <c r="I923" s="6" t="s">
        <v>481</v>
      </c>
      <c r="J923" s="6" t="s">
        <v>398</v>
      </c>
      <c r="K923" s="10">
        <v>20.16</v>
      </c>
      <c r="L923" s="10">
        <v>32</v>
      </c>
      <c r="M923" s="6" t="s">
        <v>425</v>
      </c>
      <c r="N923" s="6">
        <f>IF(OR($G923="FCC",$G923="Hydrocracker",$G923="Reformer"),IF(COUNTIFS($D:$D,$D923,$A:$A,$A923,$B:$B,$B923,$G:$G,"CDU",$J:$J,"PLANNED")&gt;0,"tied","standalone"),"")</f>
        <v/>
      </c>
    </row>
    <row r="924" spans="1:14">
      <c r="A924" s="6">
        <v>2023</v>
      </c>
      <c r="B924" s="6">
        <v>4</v>
      </c>
      <c r="C924" s="6" t="s">
        <v>63</v>
      </c>
      <c r="D924" s="6" t="s">
        <v>546</v>
      </c>
      <c r="E924" s="6" t="s">
        <v>438</v>
      </c>
      <c r="F924" s="6" t="str">
        <f>IF($M924="PADD I","PADD 1",IF($M924="PADD II","PADD 2",IF($M924="PADD III","PADD 3",IF($M924="PADD IV","PADD 4",IF($M924="PADD V","PADD 5","")))))</f>
        <v>PADD 2</v>
      </c>
      <c r="G924" s="6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6" t="s">
        <v>39</v>
      </c>
      <c r="I924" s="6" t="s">
        <v>82</v>
      </c>
      <c r="J924" s="6" t="s">
        <v>398</v>
      </c>
      <c r="K924" s="10">
        <v>20</v>
      </c>
      <c r="L924" s="10">
        <v>20</v>
      </c>
      <c r="M924" s="6" t="s">
        <v>425</v>
      </c>
      <c r="N924" s="6">
        <f>IF(OR($G924="FCC",$G924="Hydrocracker",$G924="Reformer"),IF(COUNTIFS($D:$D,$D924,$A:$A,$A924,$B:$B,$B924,$G:$G,"CDU",$J:$J,"PLANNED")&gt;0,"tied","standalone"),"")</f>
        <v/>
      </c>
    </row>
    <row r="925" spans="1:14">
      <c r="A925" s="6">
        <v>2023</v>
      </c>
      <c r="B925" s="6">
        <v>4</v>
      </c>
      <c r="C925" s="6" t="s">
        <v>63</v>
      </c>
      <c r="D925" s="6" t="s">
        <v>422</v>
      </c>
      <c r="E925" s="6" t="s">
        <v>423</v>
      </c>
      <c r="F925" s="6" t="str">
        <f>IF($M925="PADD I","PADD 1",IF($M925="PADD II","PADD 2",IF($M925="PADD III","PADD 3",IF($M925="PADD IV","PADD 4",IF($M925="PADD V","PADD 5","")))))</f>
        <v>PADD 2</v>
      </c>
      <c r="G925" s="6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6" t="s">
        <v>494</v>
      </c>
      <c r="I925" s="6" t="s">
        <v>495</v>
      </c>
      <c r="J925" s="6" t="s">
        <v>394</v>
      </c>
      <c r="K925" s="10">
        <v>19.53</v>
      </c>
      <c r="L925" s="10">
        <v>31</v>
      </c>
      <c r="M925" s="6" t="s">
        <v>425</v>
      </c>
      <c r="N925" s="6" t="str">
        <f>IF(OR($G925="FCC",$G925="Hydrocracker",$G925="Reformer"),IF(COUNTIFS($D:$D,$D925,$A:$A,$A925,$B:$B,$B925,$G:$G,"CDU",$J:$J,"PLANNED")&gt;0,"tied","standalone"),"")</f>
        <v>standalone</v>
      </c>
    </row>
    <row r="926" spans="1:14">
      <c r="A926" s="6">
        <v>2023</v>
      </c>
      <c r="B926" s="6">
        <v>4</v>
      </c>
      <c r="C926" s="6" t="s">
        <v>63</v>
      </c>
      <c r="D926" s="6" t="s">
        <v>371</v>
      </c>
      <c r="E926" s="6" t="s">
        <v>419</v>
      </c>
      <c r="F926" s="6" t="str">
        <f>IF($M926="PADD I","PADD 1",IF($M926="PADD II","PADD 2",IF($M926="PADD III","PADD 3",IF($M926="PADD IV","PADD 4",IF($M926="PADD V","PADD 5","")))))</f>
        <v>PADD 2</v>
      </c>
      <c r="G926" s="6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6" t="s">
        <v>44</v>
      </c>
      <c r="I926" s="6" t="s">
        <v>738</v>
      </c>
      <c r="J926" s="6" t="s">
        <v>398</v>
      </c>
      <c r="K926" s="10">
        <v>18.55</v>
      </c>
      <c r="L926" s="10">
        <v>35</v>
      </c>
      <c r="M926" s="6" t="s">
        <v>425</v>
      </c>
      <c r="N926" s="6">
        <f>IF(OR($G926="FCC",$G926="Hydrocracker",$G926="Reformer"),IF(COUNTIFS($D:$D,$D926,$A:$A,$A926,$B:$B,$B926,$G:$G,"CDU",$J:$J,"PLANNED")&gt;0,"tied","standalone"),"")</f>
        <v/>
      </c>
    </row>
    <row r="927" spans="1:14">
      <c r="A927" s="6">
        <v>2023</v>
      </c>
      <c r="B927" s="6">
        <v>4</v>
      </c>
      <c r="C927" s="6" t="s">
        <v>63</v>
      </c>
      <c r="D927" s="6" t="s">
        <v>820</v>
      </c>
      <c r="E927" s="6" t="s">
        <v>710</v>
      </c>
      <c r="F927" s="6" t="str">
        <f>IF($M927="PADD I","PADD 1",IF($M927="PADD II","PADD 2",IF($M927="PADD III","PADD 3",IF($M927="PADD IV","PADD 4",IF($M927="PADD V","PADD 5","")))))</f>
        <v>PADD 3</v>
      </c>
      <c r="G927" s="6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6" t="s">
        <v>494</v>
      </c>
      <c r="I927" s="6" t="s">
        <v>14</v>
      </c>
      <c r="J927" s="6" t="s">
        <v>398</v>
      </c>
      <c r="K927" s="10">
        <v>18.5</v>
      </c>
      <c r="L927" s="10">
        <v>18.5</v>
      </c>
      <c r="M927" s="6" t="s">
        <v>421</v>
      </c>
      <c r="N927" s="6" t="str">
        <f>IF(OR($G927="FCC",$G927="Hydrocracker",$G927="Reformer"),IF(COUNTIFS($D:$D,$D927,$A:$A,$A927,$B:$B,$B927,$G:$G,"CDU",$J:$J,"PLANNED")&gt;0,"tied","standalone"),"")</f>
        <v>tied</v>
      </c>
    </row>
    <row r="928" spans="1:14">
      <c r="A928" s="6">
        <v>2023</v>
      </c>
      <c r="B928" s="6">
        <v>4</v>
      </c>
      <c r="C928" s="6" t="s">
        <v>63</v>
      </c>
      <c r="D928" s="6" t="s">
        <v>782</v>
      </c>
      <c r="E928" s="6" t="s">
        <v>783</v>
      </c>
      <c r="F928" s="6" t="str">
        <f>IF($M928="PADD I","PADD 1",IF($M928="PADD II","PADD 2",IF($M928="PADD III","PADD 3",IF($M928="PADD IV","PADD 4",IF($M928="PADD V","PADD 5","")))))</f>
        <v>PADD 4</v>
      </c>
      <c r="G928" s="6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6" t="s">
        <v>44</v>
      </c>
      <c r="I928" s="6" t="s">
        <v>795</v>
      </c>
      <c r="J928" s="6" t="s">
        <v>398</v>
      </c>
      <c r="K928" s="10">
        <v>18.5</v>
      </c>
      <c r="L928" s="10">
        <v>18.5</v>
      </c>
      <c r="M928" s="6" t="s">
        <v>480</v>
      </c>
      <c r="N928" s="6">
        <f>IF(OR($G928="FCC",$G928="Hydrocracker",$G928="Reformer"),IF(COUNTIFS($D:$D,$D928,$A:$A,$A928,$B:$B,$B928,$G:$G,"CDU",$J:$J,"PLANNED")&gt;0,"tied","standalone"),"")</f>
        <v/>
      </c>
    </row>
    <row r="929" spans="1:14">
      <c r="A929" s="6">
        <v>2023</v>
      </c>
      <c r="B929" s="6">
        <v>4</v>
      </c>
      <c r="C929" s="6" t="s">
        <v>63</v>
      </c>
      <c r="D929" s="6" t="s">
        <v>725</v>
      </c>
      <c r="E929" s="6" t="s">
        <v>502</v>
      </c>
      <c r="F929" s="6" t="str">
        <f>IF($M929="PADD I","PADD 1",IF($M929="PADD II","PADD 2",IF($M929="PADD III","PADD 3",IF($M929="PADD IV","PADD 4",IF($M929="PADD V","PADD 5","")))))</f>
        <v>PADD 2</v>
      </c>
      <c r="G929" s="6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6" t="s">
        <v>426</v>
      </c>
      <c r="I929" s="6" t="s">
        <v>106</v>
      </c>
      <c r="J929" s="6" t="s">
        <v>394</v>
      </c>
      <c r="K929" s="10">
        <v>18.33</v>
      </c>
      <c r="L929" s="10">
        <v>39</v>
      </c>
      <c r="M929" s="6" t="s">
        <v>425</v>
      </c>
      <c r="N929" s="6" t="str">
        <f>IF(OR($G929="FCC",$G929="Hydrocracker",$G929="Reformer"),IF(COUNTIFS($D:$D,$D929,$A:$A,$A929,$B:$B,$B929,$G:$G,"CDU",$J:$J,"PLANNED")&gt;0,"tied","standalone"),"")</f>
        <v>tied</v>
      </c>
    </row>
    <row r="930" spans="1:14">
      <c r="A930" s="6">
        <v>2023</v>
      </c>
      <c r="B930" s="6">
        <v>4</v>
      </c>
      <c r="C930" s="6" t="s">
        <v>63</v>
      </c>
      <c r="D930" s="6" t="s">
        <v>422</v>
      </c>
      <c r="E930" s="6" t="s">
        <v>423</v>
      </c>
      <c r="F930" s="6" t="str">
        <f>IF($M930="PADD I","PADD 1",IF($M930="PADD II","PADD 2",IF($M930="PADD III","PADD 3",IF($M930="PADD IV","PADD 4",IF($M930="PADD V","PADD 5","")))))</f>
        <v>PADD 2</v>
      </c>
      <c r="G930" s="6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6" t="s">
        <v>510</v>
      </c>
      <c r="I930" s="6" t="s">
        <v>555</v>
      </c>
      <c r="J930" s="6" t="s">
        <v>394</v>
      </c>
      <c r="K930" s="10">
        <v>18</v>
      </c>
      <c r="L930" s="10">
        <v>18</v>
      </c>
      <c r="M930" s="6" t="s">
        <v>425</v>
      </c>
      <c r="N930" s="6">
        <f>IF(OR($G930="FCC",$G930="Hydrocracker",$G930="Reformer"),IF(COUNTIFS($D:$D,$D930,$A:$A,$A930,$B:$B,$B930,$G:$G,"CDU",$J:$J,"PLANNED")&gt;0,"tied","standalone"),"")</f>
        <v/>
      </c>
    </row>
    <row r="931" spans="1:14">
      <c r="A931" s="6">
        <v>2023</v>
      </c>
      <c r="B931" s="6">
        <v>4</v>
      </c>
      <c r="C931" s="6" t="s">
        <v>63</v>
      </c>
      <c r="D931" s="6" t="s">
        <v>576</v>
      </c>
      <c r="E931" s="6" t="s">
        <v>455</v>
      </c>
      <c r="F931" s="6" t="str">
        <f>IF($M931="PADD I","PADD 1",IF($M931="PADD II","PADD 2",IF($M931="PADD III","PADD 3",IF($M931="PADD IV","PADD 4",IF($M931="PADD V","PADD 5","")))))</f>
        <v>PADD 3</v>
      </c>
      <c r="G931" s="6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6" t="s">
        <v>494</v>
      </c>
      <c r="I931" s="6" t="s">
        <v>400</v>
      </c>
      <c r="J931" s="6" t="s">
        <v>394</v>
      </c>
      <c r="K931" s="10">
        <v>18</v>
      </c>
      <c r="L931" s="10">
        <v>45</v>
      </c>
      <c r="M931" s="6" t="s">
        <v>421</v>
      </c>
      <c r="N931" s="6" t="str">
        <f>IF(OR($G931="FCC",$G931="Hydrocracker",$G931="Reformer"),IF(COUNTIFS($D:$D,$D931,$A:$A,$A931,$B:$B,$B931,$G:$G,"CDU",$J:$J,"PLANNED")&gt;0,"tied","standalone"),"")</f>
        <v>tied</v>
      </c>
    </row>
    <row r="932" spans="1:14">
      <c r="A932" s="6">
        <v>2023</v>
      </c>
      <c r="B932" s="6">
        <v>4</v>
      </c>
      <c r="C932" s="6" t="s">
        <v>63</v>
      </c>
      <c r="D932" s="6" t="s">
        <v>437</v>
      </c>
      <c r="E932" s="6" t="s">
        <v>438</v>
      </c>
      <c r="F932" s="6" t="str">
        <f>IF($M932="PADD I","PADD 1",IF($M932="PADD II","PADD 2",IF($M932="PADD III","PADD 3",IF($M932="PADD IV","PADD 4",IF($M932="PADD V","PADD 5","")))))</f>
        <v>PADD 3</v>
      </c>
      <c r="G932" s="6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6" t="s">
        <v>471</v>
      </c>
      <c r="I932" s="6" t="s">
        <v>493</v>
      </c>
      <c r="J932" s="6" t="s">
        <v>398</v>
      </c>
      <c r="K932" s="10">
        <v>17.25</v>
      </c>
      <c r="L932" s="10">
        <v>75</v>
      </c>
      <c r="M932" s="6" t="s">
        <v>421</v>
      </c>
      <c r="N932" s="6" t="str">
        <f>IF(OR($G932="FCC",$G932="Hydrocracker",$G932="Reformer"),IF(COUNTIFS($D:$D,$D932,$A:$A,$A932,$B:$B,$B932,$G:$G,"CDU",$J:$J,"PLANNED")&gt;0,"tied","standalone"),"")</f>
        <v>tied</v>
      </c>
    </row>
    <row r="933" spans="1:14">
      <c r="A933" s="6">
        <v>2023</v>
      </c>
      <c r="B933" s="6">
        <v>4</v>
      </c>
      <c r="C933" s="6" t="s">
        <v>63</v>
      </c>
      <c r="D933" s="6" t="s">
        <v>789</v>
      </c>
      <c r="E933" s="6" t="s">
        <v>455</v>
      </c>
      <c r="F933" s="6" t="str">
        <f>IF($M933="PADD I","PADD 1",IF($M933="PADD II","PADD 2",IF($M933="PADD III","PADD 3",IF($M933="PADD IV","PADD 4",IF($M933="PADD V","PADD 5","")))))</f>
        <v>PADD 2</v>
      </c>
      <c r="G933" s="6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6" t="s">
        <v>471</v>
      </c>
      <c r="I933" s="6" t="s">
        <v>832</v>
      </c>
      <c r="J933" s="6" t="s">
        <v>398</v>
      </c>
      <c r="K933" s="10">
        <v>17.1</v>
      </c>
      <c r="L933" s="10">
        <v>30</v>
      </c>
      <c r="M933" s="6" t="s">
        <v>425</v>
      </c>
      <c r="N933" s="6" t="str">
        <f>IF(OR($G933="FCC",$G933="Hydrocracker",$G933="Reformer"),IF(COUNTIFS($D:$D,$D933,$A:$A,$A933,$B:$B,$B933,$G:$G,"CDU",$J:$J,"PLANNED")&gt;0,"tied","standalone"),"")</f>
        <v>tied</v>
      </c>
    </row>
    <row r="934" spans="1:14">
      <c r="A934" s="6">
        <v>2023</v>
      </c>
      <c r="B934" s="6">
        <v>4</v>
      </c>
      <c r="C934" s="6" t="s">
        <v>63</v>
      </c>
      <c r="D934" s="6" t="s">
        <v>789</v>
      </c>
      <c r="E934" s="6" t="s">
        <v>455</v>
      </c>
      <c r="F934" s="6" t="str">
        <f>IF($M934="PADD I","PADD 1",IF($M934="PADD II","PADD 2",IF($M934="PADD III","PADD 3",IF($M934="PADD IV","PADD 4",IF($M934="PADD V","PADD 5","")))))</f>
        <v>PADD 2</v>
      </c>
      <c r="G934" s="6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6" t="s">
        <v>44</v>
      </c>
      <c r="I934" s="6" t="s">
        <v>543</v>
      </c>
      <c r="J934" s="6" t="s">
        <v>398</v>
      </c>
      <c r="K934" s="10">
        <v>16.695</v>
      </c>
      <c r="L934" s="10">
        <v>26.5</v>
      </c>
      <c r="M934" s="6" t="s">
        <v>425</v>
      </c>
      <c r="N934" s="6">
        <f>IF(OR($G934="FCC",$G934="Hydrocracker",$G934="Reformer"),IF(COUNTIFS($D:$D,$D934,$A:$A,$A934,$B:$B,$B934,$G:$G,"CDU",$J:$J,"PLANNED")&gt;0,"tied","standalone"),"")</f>
        <v/>
      </c>
    </row>
    <row r="935" spans="1:14">
      <c r="A935" s="6">
        <v>2023</v>
      </c>
      <c r="B935" s="6">
        <v>4</v>
      </c>
      <c r="C935" s="6" t="s">
        <v>63</v>
      </c>
      <c r="D935" s="6" t="s">
        <v>515</v>
      </c>
      <c r="E935" s="6" t="s">
        <v>419</v>
      </c>
      <c r="F935" s="6" t="str">
        <f>IF($M935="PADD I","PADD 1",IF($M935="PADD II","PADD 2",IF($M935="PADD III","PADD 3",IF($M935="PADD IV","PADD 4",IF($M935="PADD V","PADD 5","")))))</f>
        <v>PADD 5</v>
      </c>
      <c r="G935" s="6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6" t="s">
        <v>426</v>
      </c>
      <c r="I935" s="6" t="s">
        <v>106</v>
      </c>
      <c r="J935" s="6" t="s">
        <v>398</v>
      </c>
      <c r="K935" s="10">
        <v>16.5</v>
      </c>
      <c r="L935" s="10">
        <v>50</v>
      </c>
      <c r="M935" s="6" t="s">
        <v>436</v>
      </c>
      <c r="N935" s="6" t="str">
        <f>IF(OR($G935="FCC",$G935="Hydrocracker",$G935="Reformer"),IF(COUNTIFS($D:$D,$D935,$A:$A,$A935,$B:$B,$B935,$G:$G,"CDU",$J:$J,"PLANNED")&gt;0,"tied","standalone"),"")</f>
        <v>standalone</v>
      </c>
    </row>
    <row r="936" spans="1:14">
      <c r="A936" s="6">
        <v>2023</v>
      </c>
      <c r="B936" s="6">
        <v>4</v>
      </c>
      <c r="C936" s="6" t="s">
        <v>63</v>
      </c>
      <c r="D936" s="6" t="s">
        <v>458</v>
      </c>
      <c r="E936" s="6" t="s">
        <v>459</v>
      </c>
      <c r="F936" s="6" t="str">
        <f>IF($M936="PADD I","PADD 1",IF($M936="PADD II","PADD 2",IF($M936="PADD III","PADD 3",IF($M936="PADD IV","PADD 4",IF($M936="PADD V","PADD 5","")))))</f>
        <v>PADD 3</v>
      </c>
      <c r="G936" s="6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6" t="s">
        <v>485</v>
      </c>
      <c r="I936" s="6" t="s">
        <v>509</v>
      </c>
      <c r="J936" s="6" t="s">
        <v>394</v>
      </c>
      <c r="K936" s="10">
        <v>16.2</v>
      </c>
      <c r="L936" s="10">
        <v>60</v>
      </c>
      <c r="M936" s="6" t="s">
        <v>421</v>
      </c>
      <c r="N936" s="6">
        <f>IF(OR($G936="FCC",$G936="Hydrocracker",$G936="Reformer"),IF(COUNTIFS($D:$D,$D936,$A:$A,$A936,$B:$B,$B936,$G:$G,"CDU",$J:$J,"PLANNED")&gt;0,"tied","standalone"),"")</f>
        <v/>
      </c>
    </row>
    <row r="937" spans="1:14">
      <c r="A937" s="6">
        <v>2023</v>
      </c>
      <c r="B937" s="6">
        <v>4</v>
      </c>
      <c r="C937" s="6" t="s">
        <v>63</v>
      </c>
      <c r="D937" s="6" t="s">
        <v>725</v>
      </c>
      <c r="E937" s="6" t="s">
        <v>502</v>
      </c>
      <c r="F937" s="6" t="str">
        <f>IF($M937="PADD I","PADD 1",IF($M937="PADD II","PADD 2",IF($M937="PADD III","PADD 3",IF($M937="PADD IV","PADD 4",IF($M937="PADD V","PADD 5","")))))</f>
        <v>PADD 2</v>
      </c>
      <c r="G937" s="6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6" t="s">
        <v>44</v>
      </c>
      <c r="I937" s="6" t="s">
        <v>745</v>
      </c>
      <c r="J937" s="6" t="s">
        <v>398</v>
      </c>
      <c r="K937" s="10">
        <v>16.08</v>
      </c>
      <c r="L937" s="10">
        <v>24</v>
      </c>
      <c r="M937" s="6" t="s">
        <v>425</v>
      </c>
      <c r="N937" s="6">
        <f>IF(OR($G937="FCC",$G937="Hydrocracker",$G937="Reformer"),IF(COUNTIFS($D:$D,$D937,$A:$A,$A937,$B:$B,$B937,$G:$G,"CDU",$J:$J,"PLANNED")&gt;0,"tied","standalone"),"")</f>
        <v/>
      </c>
    </row>
    <row r="938" spans="1:14">
      <c r="A938" s="6">
        <v>2023</v>
      </c>
      <c r="B938" s="6">
        <v>4</v>
      </c>
      <c r="C938" s="6" t="s">
        <v>63</v>
      </c>
      <c r="D938" s="6" t="s">
        <v>820</v>
      </c>
      <c r="E938" s="6" t="s">
        <v>710</v>
      </c>
      <c r="F938" s="6" t="str">
        <f>IF($M938="PADD I","PADD 1",IF($M938="PADD II","PADD 2",IF($M938="PADD III","PADD 3",IF($M938="PADD IV","PADD 4",IF($M938="PADD V","PADD 5","")))))</f>
        <v>PADD 3</v>
      </c>
      <c r="G938" s="6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6" t="s">
        <v>471</v>
      </c>
      <c r="I938" s="6" t="s">
        <v>833</v>
      </c>
      <c r="J938" s="6" t="s">
        <v>398</v>
      </c>
      <c r="K938" s="10">
        <v>16</v>
      </c>
      <c r="L938" s="10">
        <v>16</v>
      </c>
      <c r="M938" s="6" t="s">
        <v>421</v>
      </c>
      <c r="N938" s="6" t="str">
        <f>IF(OR($G938="FCC",$G938="Hydrocracker",$G938="Reformer"),IF(COUNTIFS($D:$D,$D938,$A:$A,$A938,$B:$B,$B938,$G:$G,"CDU",$J:$J,"PLANNED")&gt;0,"tied","standalone"),"")</f>
        <v>tied</v>
      </c>
    </row>
    <row r="939" spans="1:14">
      <c r="A939" s="6">
        <v>2023</v>
      </c>
      <c r="B939" s="6">
        <v>4</v>
      </c>
      <c r="C939" s="6" t="s">
        <v>63</v>
      </c>
      <c r="D939" s="6" t="s">
        <v>782</v>
      </c>
      <c r="E939" s="6" t="s">
        <v>783</v>
      </c>
      <c r="F939" s="6" t="str">
        <f>IF($M939="PADD I","PADD 1",IF($M939="PADD II","PADD 2",IF($M939="PADD III","PADD 3",IF($M939="PADD IV","PADD 4",IF($M939="PADD V","PADD 5","")))))</f>
        <v>PADD 4</v>
      </c>
      <c r="G939" s="6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6" t="s">
        <v>426</v>
      </c>
      <c r="I939" s="6" t="s">
        <v>106</v>
      </c>
      <c r="J939" s="6" t="s">
        <v>398</v>
      </c>
      <c r="K939" s="10">
        <v>16</v>
      </c>
      <c r="L939" s="10">
        <v>16</v>
      </c>
      <c r="M939" s="6" t="s">
        <v>480</v>
      </c>
      <c r="N939" s="6" t="str">
        <f>IF(OR($G939="FCC",$G939="Hydrocracker",$G939="Reformer"),IF(COUNTIFS($D:$D,$D939,$A:$A,$A939,$B:$B,$B939,$G:$G,"CDU",$J:$J,"PLANNED")&gt;0,"tied","standalone"),"")</f>
        <v>tied</v>
      </c>
    </row>
    <row r="940" spans="1:14">
      <c r="A940" s="6">
        <v>2023</v>
      </c>
      <c r="B940" s="6">
        <v>4</v>
      </c>
      <c r="C940" s="6" t="s">
        <v>63</v>
      </c>
      <c r="D940" s="6" t="s">
        <v>371</v>
      </c>
      <c r="E940" s="6" t="s">
        <v>419</v>
      </c>
      <c r="F940" s="6" t="str">
        <f>IF($M940="PADD I","PADD 1",IF($M940="PADD II","PADD 2",IF($M940="PADD III","PADD 3",IF($M940="PADD IV","PADD 4",IF($M940="PADD V","PADD 5","")))))</f>
        <v>PADD 2</v>
      </c>
      <c r="G940" s="6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6" t="s">
        <v>44</v>
      </c>
      <c r="I940" s="6" t="s">
        <v>741</v>
      </c>
      <c r="J940" s="6" t="s">
        <v>398</v>
      </c>
      <c r="K940" s="10">
        <v>15.9</v>
      </c>
      <c r="L940" s="10">
        <v>30</v>
      </c>
      <c r="M940" s="6" t="s">
        <v>425</v>
      </c>
      <c r="N940" s="6">
        <f>IF(OR($G940="FCC",$G940="Hydrocracker",$G940="Reformer"),IF(COUNTIFS($D:$D,$D940,$A:$A,$A940,$B:$B,$B940,$G:$G,"CDU",$J:$J,"PLANNED")&gt;0,"tied","standalone"),"")</f>
        <v/>
      </c>
    </row>
    <row r="941" spans="1:14">
      <c r="A941" s="6">
        <v>2023</v>
      </c>
      <c r="B941" s="6">
        <v>4</v>
      </c>
      <c r="C941" s="6" t="s">
        <v>63</v>
      </c>
      <c r="D941" s="6" t="s">
        <v>730</v>
      </c>
      <c r="E941" s="6" t="s">
        <v>731</v>
      </c>
      <c r="F941" s="6" t="str">
        <f>IF($M941="PADD I","PADD 1",IF($M941="PADD II","PADD 2",IF($M941="PADD III","PADD 3",IF($M941="PADD IV","PADD 4",IF($M941="PADD V","PADD 5","")))))</f>
        <v>PADD 3</v>
      </c>
      <c r="G941" s="6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6" t="s">
        <v>471</v>
      </c>
      <c r="I941" s="6" t="s">
        <v>589</v>
      </c>
      <c r="J941" s="6" t="s">
        <v>398</v>
      </c>
      <c r="K941" s="10">
        <v>15.81</v>
      </c>
      <c r="L941" s="10">
        <v>17</v>
      </c>
      <c r="M941" s="6" t="s">
        <v>421</v>
      </c>
      <c r="N941" s="6" t="str">
        <f>IF(OR($G941="FCC",$G941="Hydrocracker",$G941="Reformer"),IF(COUNTIFS($D:$D,$D941,$A:$A,$A941,$B:$B,$B941,$G:$G,"CDU",$J:$J,"PLANNED")&gt;0,"tied","standalone"),"")</f>
        <v>tied</v>
      </c>
    </row>
    <row r="942" spans="1:14">
      <c r="A942" s="6">
        <v>2023</v>
      </c>
      <c r="B942" s="6">
        <v>4</v>
      </c>
      <c r="C942" s="6" t="s">
        <v>63</v>
      </c>
      <c r="D942" s="6" t="s">
        <v>730</v>
      </c>
      <c r="E942" s="6" t="s">
        <v>731</v>
      </c>
      <c r="F942" s="6" t="str">
        <f>IF($M942="PADD I","PADD 1",IF($M942="PADD II","PADD 2",IF($M942="PADD III","PADD 3",IF($M942="PADD IV","PADD 4",IF($M942="PADD V","PADD 5","")))))</f>
        <v>PADD 3</v>
      </c>
      <c r="G942" s="6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6" t="s">
        <v>44</v>
      </c>
      <c r="I942" s="6" t="s">
        <v>752</v>
      </c>
      <c r="J942" s="6" t="s">
        <v>398</v>
      </c>
      <c r="K942" s="10">
        <v>15.81</v>
      </c>
      <c r="L942" s="10">
        <v>17</v>
      </c>
      <c r="M942" s="6" t="s">
        <v>421</v>
      </c>
      <c r="N942" s="6">
        <f>IF(OR($G942="FCC",$G942="Hydrocracker",$G942="Reformer"),IF(COUNTIFS($D:$D,$D942,$A:$A,$A942,$B:$B,$B942,$G:$G,"CDU",$J:$J,"PLANNED")&gt;0,"tied","standalone"),"")</f>
        <v/>
      </c>
    </row>
    <row r="943" spans="1:14">
      <c r="A943" s="6">
        <v>2023</v>
      </c>
      <c r="B943" s="6">
        <v>4</v>
      </c>
      <c r="C943" s="6" t="s">
        <v>63</v>
      </c>
      <c r="D943" s="6" t="s">
        <v>652</v>
      </c>
      <c r="E943" s="6" t="s">
        <v>419</v>
      </c>
      <c r="F943" s="6" t="str">
        <f>IF($M943="PADD I","PADD 1",IF($M943="PADD II","PADD 2",IF($M943="PADD III","PADD 3",IF($M943="PADD IV","PADD 4",IF($M943="PADD V","PADD 5","")))))</f>
        <v>PADD 2</v>
      </c>
      <c r="G943" s="6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6" t="s">
        <v>471</v>
      </c>
      <c r="I943" s="6" t="s">
        <v>747</v>
      </c>
      <c r="J943" s="6" t="s">
        <v>398</v>
      </c>
      <c r="K943" s="10">
        <v>15.4</v>
      </c>
      <c r="L943" s="10">
        <v>20</v>
      </c>
      <c r="M943" s="6" t="s">
        <v>425</v>
      </c>
      <c r="N943" s="6" t="str">
        <f>IF(OR($G943="FCC",$G943="Hydrocracker",$G943="Reformer"),IF(COUNTIFS($D:$D,$D943,$A:$A,$A943,$B:$B,$B943,$G:$G,"CDU",$J:$J,"PLANNED")&gt;0,"tied","standalone"),"")</f>
        <v>standalone</v>
      </c>
    </row>
    <row r="944" spans="1:14">
      <c r="A944" s="6">
        <v>2023</v>
      </c>
      <c r="B944" s="6">
        <v>4</v>
      </c>
      <c r="C944" s="6" t="s">
        <v>63</v>
      </c>
      <c r="D944" s="6" t="s">
        <v>49</v>
      </c>
      <c r="E944" s="6" t="s">
        <v>438</v>
      </c>
      <c r="F944" s="6" t="str">
        <f>IF($M944="PADD I","PADD 1",IF($M944="PADD II","PADD 2",IF($M944="PADD III","PADD 3",IF($M944="PADD IV","PADD 4",IF($M944="PADD V","PADD 5","")))))</f>
        <v>PADD 2</v>
      </c>
      <c r="G944" s="6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6" t="s">
        <v>485</v>
      </c>
      <c r="I944" s="6" t="s">
        <v>804</v>
      </c>
      <c r="J944" s="6" t="s">
        <v>398</v>
      </c>
      <c r="K944" s="10">
        <v>15</v>
      </c>
      <c r="L944" s="10">
        <v>15</v>
      </c>
      <c r="M944" s="6" t="s">
        <v>425</v>
      </c>
      <c r="N944" s="6">
        <f>IF(OR($G944="FCC",$G944="Hydrocracker",$G944="Reformer"),IF(COUNTIFS($D:$D,$D944,$A:$A,$A944,$B:$B,$B944,$G:$G,"CDU",$J:$J,"PLANNED")&gt;0,"tied","standalone"),"")</f>
        <v/>
      </c>
    </row>
    <row r="945" spans="1:14">
      <c r="A945" s="6">
        <v>2023</v>
      </c>
      <c r="B945" s="6">
        <v>4</v>
      </c>
      <c r="C945" s="6" t="s">
        <v>63</v>
      </c>
      <c r="D945" s="6" t="s">
        <v>798</v>
      </c>
      <c r="E945" s="6" t="s">
        <v>438</v>
      </c>
      <c r="F945" s="6" t="str">
        <f>IF($M945="PADD I","PADD 1",IF($M945="PADD II","PADD 2",IF($M945="PADD III","PADD 3",IF($M945="PADD IV","PADD 4",IF($M945="PADD V","PADD 5","")))))</f>
        <v>PADD 3</v>
      </c>
      <c r="G945" s="6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6" t="s">
        <v>471</v>
      </c>
      <c r="I945" s="6" t="s">
        <v>814</v>
      </c>
      <c r="J945" s="6" t="s">
        <v>398</v>
      </c>
      <c r="K945" s="10">
        <v>15</v>
      </c>
      <c r="L945" s="10">
        <v>15</v>
      </c>
      <c r="M945" s="6" t="s">
        <v>421</v>
      </c>
      <c r="N945" s="6" t="str">
        <f>IF(OR($G945="FCC",$G945="Hydrocracker",$G945="Reformer"),IF(COUNTIFS($D:$D,$D945,$A:$A,$A945,$B:$B,$B945,$G:$G,"CDU",$J:$J,"PLANNED")&gt;0,"tied","standalone"),"")</f>
        <v>tied</v>
      </c>
    </row>
    <row r="946" spans="1:14">
      <c r="A946" s="6">
        <v>2023</v>
      </c>
      <c r="B946" s="6">
        <v>4</v>
      </c>
      <c r="C946" s="6" t="s">
        <v>63</v>
      </c>
      <c r="D946" s="6" t="s">
        <v>820</v>
      </c>
      <c r="E946" s="6" t="s">
        <v>710</v>
      </c>
      <c r="F946" s="6" t="str">
        <f>IF($M946="PADD I","PADD 1",IF($M946="PADD II","PADD 2",IF($M946="PADD III","PADD 3",IF($M946="PADD IV","PADD 4",IF($M946="PADD V","PADD 5","")))))</f>
        <v>PADD 3</v>
      </c>
      <c r="G946" s="6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6" t="s">
        <v>44</v>
      </c>
      <c r="I946" s="6" t="s">
        <v>834</v>
      </c>
      <c r="J946" s="6" t="s">
        <v>398</v>
      </c>
      <c r="K946" s="10">
        <v>15</v>
      </c>
      <c r="L946" s="10">
        <v>15</v>
      </c>
      <c r="M946" s="6" t="s">
        <v>421</v>
      </c>
      <c r="N946" s="6">
        <f>IF(OR($G946="FCC",$G946="Hydrocracker",$G946="Reformer"),IF(COUNTIFS($D:$D,$D946,$A:$A,$A946,$B:$B,$B946,$G:$G,"CDU",$J:$J,"PLANNED")&gt;0,"tied","standalone"),"")</f>
        <v/>
      </c>
    </row>
    <row r="947" spans="1:14">
      <c r="A947" s="6">
        <v>2023</v>
      </c>
      <c r="B947" s="6">
        <v>4</v>
      </c>
      <c r="C947" s="6" t="s">
        <v>63</v>
      </c>
      <c r="D947" s="6" t="s">
        <v>782</v>
      </c>
      <c r="E947" s="6" t="s">
        <v>783</v>
      </c>
      <c r="F947" s="6" t="str">
        <f>IF($M947="PADD I","PADD 1",IF($M947="PADD II","PADD 2",IF($M947="PADD III","PADD 3",IF($M947="PADD IV","PADD 4",IF($M947="PADD V","PADD 5","")))))</f>
        <v>PADD 4</v>
      </c>
      <c r="G947" s="6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6" t="s">
        <v>485</v>
      </c>
      <c r="I947" s="6" t="s">
        <v>491</v>
      </c>
      <c r="J947" s="6" t="s">
        <v>398</v>
      </c>
      <c r="K947" s="10">
        <v>15</v>
      </c>
      <c r="L947" s="10">
        <v>15</v>
      </c>
      <c r="M947" s="6" t="s">
        <v>480</v>
      </c>
      <c r="N947" s="6">
        <f>IF(OR($G947="FCC",$G947="Hydrocracker",$G947="Reformer"),IF(COUNTIFS($D:$D,$D947,$A:$A,$A947,$B:$B,$B947,$G:$G,"CDU",$J:$J,"PLANNED")&gt;0,"tied","standalone"),"")</f>
        <v/>
      </c>
    </row>
    <row r="948" spans="1:14">
      <c r="A948" s="6">
        <v>2023</v>
      </c>
      <c r="B948" s="6">
        <v>4</v>
      </c>
      <c r="C948" s="6" t="s">
        <v>63</v>
      </c>
      <c r="D948" s="6" t="s">
        <v>782</v>
      </c>
      <c r="E948" s="6" t="s">
        <v>783</v>
      </c>
      <c r="F948" s="6" t="str">
        <f>IF($M948="PADD I","PADD 1",IF($M948="PADD II","PADD 2",IF($M948="PADD III","PADD 3",IF($M948="PADD IV","PADD 4",IF($M948="PADD V","PADD 5","")))))</f>
        <v>PADD 4</v>
      </c>
      <c r="G948" s="6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6" t="s">
        <v>44</v>
      </c>
      <c r="I948" s="6" t="s">
        <v>796</v>
      </c>
      <c r="J948" s="6" t="s">
        <v>398</v>
      </c>
      <c r="K948" s="10">
        <v>15</v>
      </c>
      <c r="L948" s="10">
        <v>15</v>
      </c>
      <c r="M948" s="6" t="s">
        <v>480</v>
      </c>
      <c r="N948" s="6">
        <f>IF(OR($G948="FCC",$G948="Hydrocracker",$G948="Reformer"),IF(COUNTIFS($D:$D,$D948,$A:$A,$A948,$B:$B,$B948,$G:$G,"CDU",$J:$J,"PLANNED")&gt;0,"tied","standalone"),"")</f>
        <v/>
      </c>
    </row>
    <row r="949" spans="1:14">
      <c r="A949" s="6">
        <v>2023</v>
      </c>
      <c r="B949" s="6">
        <v>4</v>
      </c>
      <c r="C949" s="6" t="s">
        <v>63</v>
      </c>
      <c r="D949" s="6" t="s">
        <v>782</v>
      </c>
      <c r="E949" s="6" t="s">
        <v>783</v>
      </c>
      <c r="F949" s="6" t="str">
        <f>IF($M949="PADD I","PADD 1",IF($M949="PADD II","PADD 2",IF($M949="PADD III","PADD 3",IF($M949="PADD IV","PADD 4",IF($M949="PADD V","PADD 5","")))))</f>
        <v>PADD 4</v>
      </c>
      <c r="G949" s="6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6" t="s">
        <v>494</v>
      </c>
      <c r="I949" s="6" t="s">
        <v>757</v>
      </c>
      <c r="J949" s="6" t="s">
        <v>398</v>
      </c>
      <c r="K949" s="10">
        <v>15</v>
      </c>
      <c r="L949" s="10">
        <v>15</v>
      </c>
      <c r="M949" s="6" t="s">
        <v>480</v>
      </c>
      <c r="N949" s="6" t="str">
        <f>IF(OR($G949="FCC",$G949="Hydrocracker",$G949="Reformer"),IF(COUNTIFS($D:$D,$D949,$A:$A,$A949,$B:$B,$B949,$G:$G,"CDU",$J:$J,"PLANNED")&gt;0,"tied","standalone"),"")</f>
        <v>tied</v>
      </c>
    </row>
    <row r="950" spans="1:14">
      <c r="A950" s="6">
        <v>2023</v>
      </c>
      <c r="B950" s="6">
        <v>4</v>
      </c>
      <c r="C950" s="6" t="s">
        <v>63</v>
      </c>
      <c r="D950" s="6" t="s">
        <v>465</v>
      </c>
      <c r="E950" s="6" t="s">
        <v>466</v>
      </c>
      <c r="F950" s="6" t="str">
        <f>IF($M950="PADD I","PADD 1",IF($M950="PADD II","PADD 2",IF($M950="PADD III","PADD 3",IF($M950="PADD IV","PADD 4",IF($M950="PADD V","PADD 5","")))))</f>
        <v>PADD 3</v>
      </c>
      <c r="G950" s="6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6" t="s">
        <v>426</v>
      </c>
      <c r="I950" s="6" t="s">
        <v>475</v>
      </c>
      <c r="J950" s="6" t="s">
        <v>394</v>
      </c>
      <c r="K950" s="10">
        <v>15</v>
      </c>
      <c r="L950" s="10">
        <v>50</v>
      </c>
      <c r="M950" s="6" t="s">
        <v>421</v>
      </c>
      <c r="N950" s="6" t="str">
        <f>IF(OR($G950="FCC",$G950="Hydrocracker",$G950="Reformer"),IF(COUNTIFS($D:$D,$D950,$A:$A,$A950,$B:$B,$B950,$G:$G,"CDU",$J:$J,"PLANNED")&gt;0,"tied","standalone"),"")</f>
        <v>standalone</v>
      </c>
    </row>
    <row r="951" spans="1:14">
      <c r="A951" s="6">
        <v>2023</v>
      </c>
      <c r="B951" s="6">
        <v>4</v>
      </c>
      <c r="C951" s="6" t="s">
        <v>63</v>
      </c>
      <c r="D951" s="6" t="s">
        <v>820</v>
      </c>
      <c r="E951" s="6" t="s">
        <v>710</v>
      </c>
      <c r="F951" s="6" t="str">
        <f>IF($M951="PADD I","PADD 1",IF($M951="PADD II","PADD 2",IF($M951="PADD III","PADD 3",IF($M951="PADD IV","PADD 4",IF($M951="PADD V","PADD 5","")))))</f>
        <v>PADD 3</v>
      </c>
      <c r="G951" s="6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6" t="s">
        <v>428</v>
      </c>
      <c r="I951" s="6" t="s">
        <v>481</v>
      </c>
      <c r="J951" s="6" t="s">
        <v>398</v>
      </c>
      <c r="K951" s="10">
        <v>15</v>
      </c>
      <c r="L951" s="10">
        <v>15</v>
      </c>
      <c r="M951" s="6" t="s">
        <v>421</v>
      </c>
      <c r="N951" s="6">
        <f>IF(OR($G951="FCC",$G951="Hydrocracker",$G951="Reformer"),IF(COUNTIFS($D:$D,$D951,$A:$A,$A951,$B:$B,$B951,$G:$G,"CDU",$J:$J,"PLANNED")&gt;0,"tied","standalone"),"")</f>
        <v/>
      </c>
    </row>
    <row r="952" spans="1:14">
      <c r="A952" s="6">
        <v>2023</v>
      </c>
      <c r="B952" s="6">
        <v>4</v>
      </c>
      <c r="C952" s="6" t="s">
        <v>63</v>
      </c>
      <c r="D952" s="6" t="s">
        <v>725</v>
      </c>
      <c r="E952" s="6" t="s">
        <v>502</v>
      </c>
      <c r="F952" s="6" t="str">
        <f>IF($M952="PADD I","PADD 1",IF($M952="PADD II","PADD 2",IF($M952="PADD III","PADD 3",IF($M952="PADD IV","PADD 4",IF($M952="PADD V","PADD 5","")))))</f>
        <v>PADD 2</v>
      </c>
      <c r="G952" s="6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6" t="s">
        <v>471</v>
      </c>
      <c r="I952" s="6" t="s">
        <v>748</v>
      </c>
      <c r="J952" s="6" t="s">
        <v>398</v>
      </c>
      <c r="K952" s="10">
        <v>14.74</v>
      </c>
      <c r="L952" s="10">
        <v>22</v>
      </c>
      <c r="M952" s="6" t="s">
        <v>425</v>
      </c>
      <c r="N952" s="6" t="str">
        <f>IF(OR($G952="FCC",$G952="Hydrocracker",$G952="Reformer"),IF(COUNTIFS($D:$D,$D952,$A:$A,$A952,$B:$B,$B952,$G:$G,"CDU",$J:$J,"PLANNED")&gt;0,"tied","standalone"),"")</f>
        <v>tied</v>
      </c>
    </row>
    <row r="953" spans="1:14">
      <c r="A953" s="6">
        <v>2023</v>
      </c>
      <c r="B953" s="6">
        <v>4</v>
      </c>
      <c r="C953" s="6" t="s">
        <v>63</v>
      </c>
      <c r="D953" s="6" t="s">
        <v>437</v>
      </c>
      <c r="E953" s="6" t="s">
        <v>438</v>
      </c>
      <c r="F953" s="6" t="str">
        <f>IF($M953="PADD I","PADD 1",IF($M953="PADD II","PADD 2",IF($M953="PADD III","PADD 3",IF($M953="PADD IV","PADD 4",IF($M953="PADD V","PADD 5","")))))</f>
        <v>PADD 3</v>
      </c>
      <c r="G953" s="6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6" t="s">
        <v>44</v>
      </c>
      <c r="I953" s="6" t="s">
        <v>536</v>
      </c>
      <c r="J953" s="6" t="s">
        <v>398</v>
      </c>
      <c r="K953" s="10">
        <v>14.72</v>
      </c>
      <c r="L953" s="10">
        <v>64</v>
      </c>
      <c r="M953" s="6" t="s">
        <v>421</v>
      </c>
      <c r="N953" s="6">
        <f>IF(OR($G953="FCC",$G953="Hydrocracker",$G953="Reformer"),IF(COUNTIFS($D:$D,$D953,$A:$A,$A953,$B:$B,$B953,$G:$G,"CDU",$J:$J,"PLANNED")&gt;0,"tied","standalone"),"")</f>
        <v/>
      </c>
    </row>
    <row r="954" spans="1:14">
      <c r="A954" s="6">
        <v>2023</v>
      </c>
      <c r="B954" s="6">
        <v>4</v>
      </c>
      <c r="C954" s="6" t="s">
        <v>63</v>
      </c>
      <c r="D954" s="6" t="s">
        <v>835</v>
      </c>
      <c r="E954" s="6" t="s">
        <v>829</v>
      </c>
      <c r="F954" s="6" t="str">
        <f>IF($M954="PADD I","PADD 1",IF($M954="PADD II","PADD 2",IF($M954="PADD III","PADD 3",IF($M954="PADD IV","PADD 4",IF($M954="PADD V","PADD 5","")))))</f>
        <v>PADD 2</v>
      </c>
      <c r="G954" s="6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6" t="s">
        <v>428</v>
      </c>
      <c r="I954" s="6" t="s">
        <v>836</v>
      </c>
      <c r="J954" s="6" t="s">
        <v>394</v>
      </c>
      <c r="K954" s="10">
        <v>14.4874</v>
      </c>
      <c r="L954" s="10">
        <v>85.22</v>
      </c>
      <c r="M954" s="6" t="s">
        <v>425</v>
      </c>
      <c r="N954" s="6">
        <f>IF(OR($G954="FCC",$G954="Hydrocracker",$G954="Reformer"),IF(COUNTIFS($D:$D,$D954,$A:$A,$A954,$B:$B,$B954,$G:$G,"CDU",$J:$J,"PLANNED")&gt;0,"tied","standalone"),"")</f>
        <v/>
      </c>
    </row>
    <row r="955" spans="1:14">
      <c r="A955" s="6">
        <v>2023</v>
      </c>
      <c r="B955" s="6">
        <v>4</v>
      </c>
      <c r="C955" s="6" t="s">
        <v>63</v>
      </c>
      <c r="D955" s="6" t="s">
        <v>824</v>
      </c>
      <c r="E955" s="6" t="s">
        <v>825</v>
      </c>
      <c r="F955" s="6" t="str">
        <f>IF($M955="PADD I","PADD 1",IF($M955="PADD II","PADD 2",IF($M955="PADD III","PADD 3",IF($M955="PADD IV","PADD 4",IF($M955="PADD V","PADD 5","")))))</f>
        <v>PADD 1</v>
      </c>
      <c r="G955" s="6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6" t="s">
        <v>494</v>
      </c>
      <c r="I955" s="6" t="s">
        <v>14</v>
      </c>
      <c r="J955" s="6" t="s">
        <v>398</v>
      </c>
      <c r="K955" s="10">
        <v>14.4</v>
      </c>
      <c r="L955" s="10">
        <v>18</v>
      </c>
      <c r="M955" s="6" t="s">
        <v>463</v>
      </c>
      <c r="N955" s="6" t="str">
        <f>IF(OR($G955="FCC",$G955="Hydrocracker",$G955="Reformer"),IF(COUNTIFS($D:$D,$D955,$A:$A,$A955,$B:$B,$B955,$G:$G,"CDU",$J:$J,"PLANNED")&gt;0,"tied","standalone"),"")</f>
        <v>standalone</v>
      </c>
    </row>
    <row r="956" spans="1:14">
      <c r="A956" s="6">
        <v>2023</v>
      </c>
      <c r="B956" s="6">
        <v>4</v>
      </c>
      <c r="C956" s="6" t="s">
        <v>63</v>
      </c>
      <c r="D956" s="6" t="s">
        <v>660</v>
      </c>
      <c r="E956" s="6" t="s">
        <v>661</v>
      </c>
      <c r="F956" s="6" t="str">
        <f>IF($M956="PADD I","PADD 1",IF($M956="PADD II","PADD 2",IF($M956="PADD III","PADD 3",IF($M956="PADD IV","PADD 4",IF($M956="PADD V","PADD 5","")))))</f>
        <v>PADD 2</v>
      </c>
      <c r="G956" s="6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6" t="s">
        <v>485</v>
      </c>
      <c r="I956" s="6" t="s">
        <v>491</v>
      </c>
      <c r="J956" s="6" t="s">
        <v>398</v>
      </c>
      <c r="K956" s="10">
        <v>14.235</v>
      </c>
      <c r="L956" s="10">
        <v>19.5</v>
      </c>
      <c r="M956" s="6" t="s">
        <v>425</v>
      </c>
      <c r="N956" s="6">
        <f>IF(OR($G956="FCC",$G956="Hydrocracker",$G956="Reformer"),IF(COUNTIFS($D:$D,$D956,$A:$A,$A956,$B:$B,$B956,$G:$G,"CDU",$J:$J,"PLANNED")&gt;0,"tied","standalone"),"")</f>
        <v/>
      </c>
    </row>
    <row r="957" spans="1:14">
      <c r="A957" s="6">
        <v>2023</v>
      </c>
      <c r="B957" s="6">
        <v>4</v>
      </c>
      <c r="C957" s="6" t="s">
        <v>63</v>
      </c>
      <c r="D957" s="6" t="s">
        <v>782</v>
      </c>
      <c r="E957" s="6" t="s">
        <v>783</v>
      </c>
      <c r="F957" s="6" t="str">
        <f>IF($M957="PADD I","PADD 1",IF($M957="PADD II","PADD 2",IF($M957="PADD III","PADD 3",IF($M957="PADD IV","PADD 4",IF($M957="PADD V","PADD 5","")))))</f>
        <v>PADD 4</v>
      </c>
      <c r="G957" s="6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6" t="s">
        <v>44</v>
      </c>
      <c r="I957" s="6" t="s">
        <v>797</v>
      </c>
      <c r="J957" s="6" t="s">
        <v>398</v>
      </c>
      <c r="K957" s="10">
        <v>14</v>
      </c>
      <c r="L957" s="10">
        <v>14</v>
      </c>
      <c r="M957" s="6" t="s">
        <v>480</v>
      </c>
      <c r="N957" s="6">
        <f>IF(OR($G957="FCC",$G957="Hydrocracker",$G957="Reformer"),IF(COUNTIFS($D:$D,$D957,$A:$A,$A957,$B:$B,$B957,$G:$G,"CDU",$J:$J,"PLANNED")&gt;0,"tied","standalone"),"")</f>
        <v/>
      </c>
    </row>
    <row r="958" spans="1:14">
      <c r="A958" s="6">
        <v>2023</v>
      </c>
      <c r="B958" s="6">
        <v>4</v>
      </c>
      <c r="C958" s="6" t="s">
        <v>63</v>
      </c>
      <c r="D958" s="6" t="s">
        <v>730</v>
      </c>
      <c r="E958" s="6" t="s">
        <v>731</v>
      </c>
      <c r="F958" s="6" t="str">
        <f>IF($M958="PADD I","PADD 1",IF($M958="PADD II","PADD 2",IF($M958="PADD III","PADD 3",IF($M958="PADD IV","PADD 4",IF($M958="PADD V","PADD 5","")))))</f>
        <v>PADD 3</v>
      </c>
      <c r="G958" s="6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6" t="s">
        <v>494</v>
      </c>
      <c r="I958" s="6" t="s">
        <v>757</v>
      </c>
      <c r="J958" s="6" t="s">
        <v>398</v>
      </c>
      <c r="K958" s="10">
        <v>13.95</v>
      </c>
      <c r="L958" s="10">
        <v>15</v>
      </c>
      <c r="M958" s="6" t="s">
        <v>421</v>
      </c>
      <c r="N958" s="6" t="str">
        <f>IF(OR($G958="FCC",$G958="Hydrocracker",$G958="Reformer"),IF(COUNTIFS($D:$D,$D958,$A:$A,$A958,$B:$B,$B958,$G:$G,"CDU",$J:$J,"PLANNED")&gt;0,"tied","standalone"),"")</f>
        <v>tied</v>
      </c>
    </row>
    <row r="959" spans="1:14">
      <c r="A959" s="6">
        <v>2023</v>
      </c>
      <c r="B959" s="6">
        <v>4</v>
      </c>
      <c r="C959" s="6" t="s">
        <v>63</v>
      </c>
      <c r="D959" s="6" t="s">
        <v>53</v>
      </c>
      <c r="E959" s="6" t="s">
        <v>438</v>
      </c>
      <c r="F959" s="6" t="str">
        <f>IF($M959="PADD I","PADD 1",IF($M959="PADD II","PADD 2",IF($M959="PADD III","PADD 3",IF($M959="PADD IV","PADD 4",IF($M959="PADD V","PADD 5","")))))</f>
        <v>PADD 5</v>
      </c>
      <c r="G959" s="6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6" t="s">
        <v>44</v>
      </c>
      <c r="I959" s="6" t="s">
        <v>837</v>
      </c>
      <c r="J959" s="6" t="s">
        <v>398</v>
      </c>
      <c r="K959" s="10">
        <v>13.68</v>
      </c>
      <c r="L959" s="10">
        <v>24</v>
      </c>
      <c r="M959" s="6" t="s">
        <v>436</v>
      </c>
      <c r="N959" s="6">
        <f>IF(OR($G959="FCC",$G959="Hydrocracker",$G959="Reformer"),IF(COUNTIFS($D:$D,$D959,$A:$A,$A959,$B:$B,$B959,$G:$G,"CDU",$J:$J,"PLANNED")&gt;0,"tied","standalone"),"")</f>
        <v/>
      </c>
    </row>
    <row r="960" spans="1:14">
      <c r="A960" s="6">
        <v>2023</v>
      </c>
      <c r="B960" s="6">
        <v>4</v>
      </c>
      <c r="C960" s="6" t="s">
        <v>63</v>
      </c>
      <c r="D960" s="6" t="s">
        <v>568</v>
      </c>
      <c r="E960" s="6" t="s">
        <v>419</v>
      </c>
      <c r="F960" s="6" t="str">
        <f>IF($M960="PADD I","PADD 1",IF($M960="PADD II","PADD 2",IF($M960="PADD III","PADD 3",IF($M960="PADD IV","PADD 4",IF($M960="PADD V","PADD 5","")))))</f>
        <v>PADD 5</v>
      </c>
      <c r="G960" s="6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6" t="s">
        <v>39</v>
      </c>
      <c r="I960" s="6" t="s">
        <v>569</v>
      </c>
      <c r="J960" s="6" t="s">
        <v>394</v>
      </c>
      <c r="K960" s="10">
        <v>13.5</v>
      </c>
      <c r="L960" s="10">
        <v>50</v>
      </c>
      <c r="M960" s="6" t="s">
        <v>436</v>
      </c>
      <c r="N960" s="6">
        <f>IF(OR($G960="FCC",$G960="Hydrocracker",$G960="Reformer"),IF(COUNTIFS($D:$D,$D960,$A:$A,$A960,$B:$B,$B960,$G:$G,"CDU",$J:$J,"PLANNED")&gt;0,"tied","standalone"),"")</f>
        <v/>
      </c>
    </row>
    <row r="961" spans="1:14">
      <c r="A961" s="6">
        <v>2023</v>
      </c>
      <c r="B961" s="6">
        <v>4</v>
      </c>
      <c r="C961" s="6" t="s">
        <v>63</v>
      </c>
      <c r="D961" s="6" t="s">
        <v>838</v>
      </c>
      <c r="E961" s="6" t="s">
        <v>455</v>
      </c>
      <c r="F961" s="6" t="str">
        <f>IF($M961="PADD I","PADD 1",IF($M961="PADD II","PADD 2",IF($M961="PADD III","PADD 3",IF($M961="PADD IV","PADD 4",IF($M961="PADD V","PADD 5","")))))</f>
        <v>PADD 3</v>
      </c>
      <c r="G961" s="6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6" t="s">
        <v>39</v>
      </c>
      <c r="I961" s="6" t="s">
        <v>136</v>
      </c>
      <c r="J961" s="6" t="s">
        <v>394</v>
      </c>
      <c r="K961" s="10">
        <v>13.5</v>
      </c>
      <c r="L961" s="10">
        <v>135</v>
      </c>
      <c r="M961" s="6" t="s">
        <v>421</v>
      </c>
      <c r="N961" s="6">
        <f>IF(OR($G961="FCC",$G961="Hydrocracker",$G961="Reformer"),IF(COUNTIFS($D:$D,$D961,$A:$A,$A961,$B:$B,$B961,$G:$G,"CDU",$J:$J,"PLANNED")&gt;0,"tied","standalone"),"")</f>
        <v/>
      </c>
    </row>
    <row r="962" spans="1:14">
      <c r="A962" s="6">
        <v>2023</v>
      </c>
      <c r="B962" s="6">
        <v>4</v>
      </c>
      <c r="C962" s="6" t="s">
        <v>63</v>
      </c>
      <c r="D962" s="6" t="s">
        <v>782</v>
      </c>
      <c r="E962" s="6" t="s">
        <v>783</v>
      </c>
      <c r="F962" s="6" t="str">
        <f>IF($M962="PADD I","PADD 1",IF($M962="PADD II","PADD 2",IF($M962="PADD III","PADD 3",IF($M962="PADD IV","PADD 4",IF($M962="PADD V","PADD 5","")))))</f>
        <v>PADD 4</v>
      </c>
      <c r="G962" s="6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6" t="s">
        <v>39</v>
      </c>
      <c r="I962" s="6" t="s">
        <v>136</v>
      </c>
      <c r="J962" s="6" t="s">
        <v>398</v>
      </c>
      <c r="K962" s="10">
        <v>13</v>
      </c>
      <c r="L962" s="10">
        <v>13</v>
      </c>
      <c r="M962" s="6" t="s">
        <v>480</v>
      </c>
      <c r="N962" s="6">
        <f>IF(OR($G962="FCC",$G962="Hydrocracker",$G962="Reformer"),IF(COUNTIFS($D:$D,$D962,$A:$A,$A962,$B:$B,$B962,$G:$G,"CDU",$J:$J,"PLANNED")&gt;0,"tied","standalone"),"")</f>
        <v/>
      </c>
    </row>
    <row r="963" spans="1:14">
      <c r="A963" s="6">
        <v>2023</v>
      </c>
      <c r="B963" s="6">
        <v>4</v>
      </c>
      <c r="C963" s="6" t="s">
        <v>63</v>
      </c>
      <c r="D963" s="6" t="s">
        <v>470</v>
      </c>
      <c r="E963" s="6" t="s">
        <v>423</v>
      </c>
      <c r="F963" s="6" t="str">
        <f>IF($M963="PADD I","PADD 1",IF($M963="PADD II","PADD 2",IF($M963="PADD III","PADD 3",IF($M963="PADD IV","PADD 4",IF($M963="PADD V","PADD 5","")))))</f>
        <v>PADD 2</v>
      </c>
      <c r="G963" s="6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6" t="s">
        <v>426</v>
      </c>
      <c r="I963" s="6" t="s">
        <v>106</v>
      </c>
      <c r="J963" s="6" t="s">
        <v>394</v>
      </c>
      <c r="K963" s="10">
        <v>13</v>
      </c>
      <c r="L963" s="10">
        <v>13</v>
      </c>
      <c r="M963" s="6" t="s">
        <v>425</v>
      </c>
      <c r="N963" s="6" t="str">
        <f>IF(OR($G963="FCC",$G963="Hydrocracker",$G963="Reformer"),IF(COUNTIFS($D:$D,$D963,$A:$A,$A963,$B:$B,$B963,$G:$G,"CDU",$J:$J,"PLANNED")&gt;0,"tied","standalone"),"")</f>
        <v>standalone</v>
      </c>
    </row>
    <row r="964" spans="1:14">
      <c r="A964" s="6">
        <v>2023</v>
      </c>
      <c r="B964" s="6">
        <v>4</v>
      </c>
      <c r="C964" s="6" t="s">
        <v>63</v>
      </c>
      <c r="D964" s="6" t="s">
        <v>839</v>
      </c>
      <c r="E964" s="6" t="s">
        <v>840</v>
      </c>
      <c r="F964" s="6" t="str">
        <f>IF($M964="PADD I","PADD 1",IF($M964="PADD II","PADD 2",IF($M964="PADD III","PADD 3",IF($M964="PADD IV","PADD 4",IF($M964="PADD V","PADD 5","")))))</f>
        <v>PADD 3</v>
      </c>
      <c r="G964" s="6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6" t="s">
        <v>39</v>
      </c>
      <c r="I964" s="6" t="s">
        <v>841</v>
      </c>
      <c r="J964" s="6" t="s">
        <v>398</v>
      </c>
      <c r="K964" s="10">
        <v>12.765</v>
      </c>
      <c r="L964" s="10">
        <v>34.5</v>
      </c>
      <c r="M964" s="6" t="s">
        <v>421</v>
      </c>
      <c r="N964" s="6">
        <f>IF(OR($G964="FCC",$G964="Hydrocracker",$G964="Reformer"),IF(COUNTIFS($D:$D,$D964,$A:$A,$A964,$B:$B,$B964,$G:$G,"CDU",$J:$J,"PLANNED")&gt;0,"tied","standalone"),"")</f>
        <v/>
      </c>
    </row>
    <row r="965" spans="1:14">
      <c r="A965" s="6">
        <v>2023</v>
      </c>
      <c r="B965" s="6">
        <v>4</v>
      </c>
      <c r="C965" s="6" t="s">
        <v>63</v>
      </c>
      <c r="D965" s="6" t="s">
        <v>822</v>
      </c>
      <c r="E965" s="6" t="s">
        <v>455</v>
      </c>
      <c r="F965" s="6" t="str">
        <f>IF($M965="PADD I","PADD 1",IF($M965="PADD II","PADD 2",IF($M965="PADD III","PADD 3",IF($M965="PADD IV","PADD 4",IF($M965="PADD V","PADD 5","")))))</f>
        <v>PADD 3</v>
      </c>
      <c r="G965" s="6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6" t="s">
        <v>510</v>
      </c>
      <c r="I965" s="6" t="s">
        <v>842</v>
      </c>
      <c r="J965" s="6" t="s">
        <v>398</v>
      </c>
      <c r="K965" s="10">
        <v>12.54</v>
      </c>
      <c r="L965" s="10">
        <v>22</v>
      </c>
      <c r="M965" s="6" t="s">
        <v>421</v>
      </c>
      <c r="N965" s="6">
        <f>IF(OR($G965="FCC",$G965="Hydrocracker",$G965="Reformer"),IF(COUNTIFS($D:$D,$D965,$A:$A,$A965,$B:$B,$B965,$G:$G,"CDU",$J:$J,"PLANNED")&gt;0,"tied","standalone"),"")</f>
        <v/>
      </c>
    </row>
    <row r="966" spans="1:14">
      <c r="A966" s="6">
        <v>2023</v>
      </c>
      <c r="B966" s="6">
        <v>4</v>
      </c>
      <c r="C966" s="6" t="s">
        <v>63</v>
      </c>
      <c r="D966" s="6" t="s">
        <v>712</v>
      </c>
      <c r="E966" s="6" t="s">
        <v>602</v>
      </c>
      <c r="F966" s="6" t="str">
        <f>IF($M966="PADD I","PADD 1",IF($M966="PADD II","PADD 2",IF($M966="PADD III","PADD 3",IF($M966="PADD IV","PADD 4",IF($M966="PADD V","PADD 5","")))))</f>
        <v>PADD 3</v>
      </c>
      <c r="G966" s="6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6" t="s">
        <v>39</v>
      </c>
      <c r="I966" s="6" t="s">
        <v>713</v>
      </c>
      <c r="J966" s="6" t="s">
        <v>394</v>
      </c>
      <c r="K966" s="10">
        <v>12.41</v>
      </c>
      <c r="L966" s="10">
        <v>73</v>
      </c>
      <c r="M966" s="6" t="s">
        <v>421</v>
      </c>
      <c r="N966" s="6">
        <f>IF(OR($G966="FCC",$G966="Hydrocracker",$G966="Reformer"),IF(COUNTIFS($D:$D,$D966,$A:$A,$A966,$B:$B,$B966,$G:$G,"CDU",$J:$J,"PLANNED")&gt;0,"tied","standalone"),"")</f>
        <v/>
      </c>
    </row>
    <row r="967" spans="1:14">
      <c r="A967" s="6">
        <v>2023</v>
      </c>
      <c r="B967" s="6">
        <v>4</v>
      </c>
      <c r="C967" s="6" t="s">
        <v>63</v>
      </c>
      <c r="D967" s="6" t="s">
        <v>652</v>
      </c>
      <c r="E967" s="6" t="s">
        <v>419</v>
      </c>
      <c r="F967" s="6" t="str">
        <f>IF($M967="PADD I","PADD 1",IF($M967="PADD II","PADD 2",IF($M967="PADD III","PADD 3",IF($M967="PADD IV","PADD 4",IF($M967="PADD V","PADD 5","")))))</f>
        <v>PADD 2</v>
      </c>
      <c r="G967" s="6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6" t="s">
        <v>44</v>
      </c>
      <c r="I967" s="6" t="s">
        <v>758</v>
      </c>
      <c r="J967" s="6" t="s">
        <v>398</v>
      </c>
      <c r="K967" s="10">
        <v>12.32</v>
      </c>
      <c r="L967" s="10">
        <v>16</v>
      </c>
      <c r="M967" s="6" t="s">
        <v>425</v>
      </c>
      <c r="N967" s="6">
        <f>IF(OR($G967="FCC",$G967="Hydrocracker",$G967="Reformer"),IF(COUNTIFS($D:$D,$D967,$A:$A,$A967,$B:$B,$B967,$G:$G,"CDU",$J:$J,"PLANNED")&gt;0,"tied","standalone"),"")</f>
        <v/>
      </c>
    </row>
    <row r="968" spans="1:14">
      <c r="A968" s="6">
        <v>2023</v>
      </c>
      <c r="B968" s="6">
        <v>4</v>
      </c>
      <c r="C968" s="6" t="s">
        <v>63</v>
      </c>
      <c r="D968" s="6" t="s">
        <v>725</v>
      </c>
      <c r="E968" s="6" t="s">
        <v>502</v>
      </c>
      <c r="F968" s="6" t="str">
        <f>IF($M968="PADD I","PADD 1",IF($M968="PADD II","PADD 2",IF($M968="PADD III","PADD 3",IF($M968="PADD IV","PADD 4",IF($M968="PADD V","PADD 5","")))))</f>
        <v>PADD 2</v>
      </c>
      <c r="G968" s="6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6" t="s">
        <v>44</v>
      </c>
      <c r="I968" s="6" t="s">
        <v>754</v>
      </c>
      <c r="J968" s="6" t="s">
        <v>398</v>
      </c>
      <c r="K968" s="10">
        <v>12.06</v>
      </c>
      <c r="L968" s="10">
        <v>18</v>
      </c>
      <c r="M968" s="6" t="s">
        <v>425</v>
      </c>
      <c r="N968" s="6">
        <f>IF(OR($G968="FCC",$G968="Hydrocracker",$G968="Reformer"),IF(COUNTIFS($D:$D,$D968,$A:$A,$A968,$B:$B,$B968,$G:$G,"CDU",$J:$J,"PLANNED")&gt;0,"tied","standalone"),"")</f>
        <v/>
      </c>
    </row>
    <row r="969" spans="1:14">
      <c r="A969" s="6">
        <v>2023</v>
      </c>
      <c r="B969" s="6">
        <v>4</v>
      </c>
      <c r="C969" s="6" t="s">
        <v>63</v>
      </c>
      <c r="D969" s="6" t="s">
        <v>725</v>
      </c>
      <c r="E969" s="6" t="s">
        <v>502</v>
      </c>
      <c r="F969" s="6" t="str">
        <f>IF($M969="PADD I","PADD 1",IF($M969="PADD II","PADD 2",IF($M969="PADD III","PADD 3",IF($M969="PADD IV","PADD 4",IF($M969="PADD V","PADD 5","")))))</f>
        <v>PADD 2</v>
      </c>
      <c r="G969" s="6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6" t="s">
        <v>44</v>
      </c>
      <c r="I969" s="6" t="s">
        <v>755</v>
      </c>
      <c r="J969" s="6" t="s">
        <v>398</v>
      </c>
      <c r="K969" s="10">
        <v>12.06</v>
      </c>
      <c r="L969" s="10">
        <v>18</v>
      </c>
      <c r="M969" s="6" t="s">
        <v>425</v>
      </c>
      <c r="N969" s="6">
        <f>IF(OR($G969="FCC",$G969="Hydrocracker",$G969="Reformer"),IF(COUNTIFS($D:$D,$D969,$A:$A,$A969,$B:$B,$B969,$G:$G,"CDU",$J:$J,"PLANNED")&gt;0,"tied","standalone"),"")</f>
        <v/>
      </c>
    </row>
    <row r="970" spans="1:14">
      <c r="A970" s="6">
        <v>2023</v>
      </c>
      <c r="B970" s="6">
        <v>4</v>
      </c>
      <c r="C970" s="6" t="s">
        <v>63</v>
      </c>
      <c r="D970" s="6" t="s">
        <v>798</v>
      </c>
      <c r="E970" s="6" t="s">
        <v>438</v>
      </c>
      <c r="F970" s="6" t="str">
        <f>IF($M970="PADD I","PADD 1",IF($M970="PADD II","PADD 2",IF($M970="PADD III","PADD 3",IF($M970="PADD IV","PADD 4",IF($M970="PADD V","PADD 5","")))))</f>
        <v>PADD 3</v>
      </c>
      <c r="G970" s="6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6" t="s">
        <v>44</v>
      </c>
      <c r="I970" s="6" t="s">
        <v>816</v>
      </c>
      <c r="J970" s="6" t="s">
        <v>398</v>
      </c>
      <c r="K970" s="10">
        <v>12</v>
      </c>
      <c r="L970" s="10">
        <v>12</v>
      </c>
      <c r="M970" s="6" t="s">
        <v>421</v>
      </c>
      <c r="N970" s="6">
        <f>IF(OR($G970="FCC",$G970="Hydrocracker",$G970="Reformer"),IF(COUNTIFS($D:$D,$D970,$A:$A,$A970,$B:$B,$B970,$G:$G,"CDU",$J:$J,"PLANNED")&gt;0,"tied","standalone"),"")</f>
        <v/>
      </c>
    </row>
    <row r="971" spans="1:14">
      <c r="A971" s="6">
        <v>2023</v>
      </c>
      <c r="B971" s="6">
        <v>4</v>
      </c>
      <c r="C971" s="6" t="s">
        <v>63</v>
      </c>
      <c r="D971" s="6" t="s">
        <v>782</v>
      </c>
      <c r="E971" s="6" t="s">
        <v>783</v>
      </c>
      <c r="F971" s="6" t="str">
        <f>IF($M971="PADD I","PADD 1",IF($M971="PADD II","PADD 2",IF($M971="PADD III","PADD 3",IF($M971="PADD IV","PADD 4",IF($M971="PADD V","PADD 5","")))))</f>
        <v>PADD 4</v>
      </c>
      <c r="G971" s="6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6" t="s">
        <v>471</v>
      </c>
      <c r="I971" s="6" t="s">
        <v>15</v>
      </c>
      <c r="J971" s="6" t="s">
        <v>398</v>
      </c>
      <c r="K971" s="10">
        <v>12</v>
      </c>
      <c r="L971" s="10">
        <v>12</v>
      </c>
      <c r="M971" s="6" t="s">
        <v>480</v>
      </c>
      <c r="N971" s="6" t="str">
        <f>IF(OR($G971="FCC",$G971="Hydrocracker",$G971="Reformer"),IF(COUNTIFS($D:$D,$D971,$A:$A,$A971,$B:$B,$B971,$G:$G,"CDU",$J:$J,"PLANNED")&gt;0,"tied","standalone"),"")</f>
        <v>tied</v>
      </c>
    </row>
    <row r="972" spans="1:14">
      <c r="A972" s="6">
        <v>2023</v>
      </c>
      <c r="B972" s="6">
        <v>4</v>
      </c>
      <c r="C972" s="6" t="s">
        <v>63</v>
      </c>
      <c r="D972" s="6" t="s">
        <v>820</v>
      </c>
      <c r="E972" s="6" t="s">
        <v>710</v>
      </c>
      <c r="F972" s="6" t="str">
        <f>IF($M972="PADD I","PADD 1",IF($M972="PADD II","PADD 2",IF($M972="PADD III","PADD 3",IF($M972="PADD IV","PADD 4",IF($M972="PADD V","PADD 5","")))))</f>
        <v>PADD 3</v>
      </c>
      <c r="G972" s="6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6" t="s">
        <v>44</v>
      </c>
      <c r="I972" s="6" t="s">
        <v>843</v>
      </c>
      <c r="J972" s="6" t="s">
        <v>398</v>
      </c>
      <c r="K972" s="10">
        <v>12</v>
      </c>
      <c r="L972" s="10">
        <v>12</v>
      </c>
      <c r="M972" s="6" t="s">
        <v>421</v>
      </c>
      <c r="N972" s="6">
        <f>IF(OR($G972="FCC",$G972="Hydrocracker",$G972="Reformer"),IF(COUNTIFS($D:$D,$D972,$A:$A,$A972,$B:$B,$B972,$G:$G,"CDU",$J:$J,"PLANNED")&gt;0,"tied","standalone"),"")</f>
        <v/>
      </c>
    </row>
    <row r="973" spans="1:14">
      <c r="A973" s="6">
        <v>2023</v>
      </c>
      <c r="B973" s="6">
        <v>4</v>
      </c>
      <c r="C973" s="6" t="s">
        <v>63</v>
      </c>
      <c r="D973" s="6" t="s">
        <v>820</v>
      </c>
      <c r="E973" s="6" t="s">
        <v>710</v>
      </c>
      <c r="F973" s="6" t="str">
        <f>IF($M973="PADD I","PADD 1",IF($M973="PADD II","PADD 2",IF($M973="PADD III","PADD 3",IF($M973="PADD IV","PADD 4",IF($M973="PADD V","PADD 5","")))))</f>
        <v>PADD 3</v>
      </c>
      <c r="G973" s="6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6" t="s">
        <v>44</v>
      </c>
      <c r="I973" s="6" t="s">
        <v>844</v>
      </c>
      <c r="J973" s="6" t="s">
        <v>398</v>
      </c>
      <c r="K973" s="10">
        <v>12</v>
      </c>
      <c r="L973" s="10">
        <v>12</v>
      </c>
      <c r="M973" s="6" t="s">
        <v>421</v>
      </c>
      <c r="N973" s="6">
        <f>IF(OR($G973="FCC",$G973="Hydrocracker",$G973="Reformer"),IF(COUNTIFS($D:$D,$D973,$A:$A,$A973,$B:$B,$B973,$G:$G,"CDU",$J:$J,"PLANNED")&gt;0,"tied","standalone"),"")</f>
        <v/>
      </c>
    </row>
    <row r="974" spans="1:14">
      <c r="A974" s="6">
        <v>2023</v>
      </c>
      <c r="B974" s="6">
        <v>4</v>
      </c>
      <c r="C974" s="6" t="s">
        <v>63</v>
      </c>
      <c r="D974" s="6" t="s">
        <v>546</v>
      </c>
      <c r="E974" s="6" t="s">
        <v>438</v>
      </c>
      <c r="F974" s="6" t="str">
        <f>IF($M974="PADD I","PADD 1",IF($M974="PADD II","PADD 2",IF($M974="PADD III","PADD 3",IF($M974="PADD IV","PADD 4",IF($M974="PADD V","PADD 5","")))))</f>
        <v>PADD 2</v>
      </c>
      <c r="G974" s="6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6" t="s">
        <v>428</v>
      </c>
      <c r="I974" s="6" t="s">
        <v>586</v>
      </c>
      <c r="J974" s="6" t="s">
        <v>398</v>
      </c>
      <c r="K974" s="10">
        <v>12</v>
      </c>
      <c r="L974" s="10">
        <v>12</v>
      </c>
      <c r="M974" s="6" t="s">
        <v>425</v>
      </c>
      <c r="N974" s="6">
        <f>IF(OR($G974="FCC",$G974="Hydrocracker",$G974="Reformer"),IF(COUNTIFS($D:$D,$D974,$A:$A,$A974,$B:$B,$B974,$G:$G,"CDU",$J:$J,"PLANNED")&gt;0,"tied","standalone"),"")</f>
        <v/>
      </c>
    </row>
    <row r="975" spans="1:14">
      <c r="A975" s="6">
        <v>2023</v>
      </c>
      <c r="B975" s="6">
        <v>4</v>
      </c>
      <c r="C975" s="6" t="s">
        <v>63</v>
      </c>
      <c r="D975" s="6" t="s">
        <v>789</v>
      </c>
      <c r="E975" s="6" t="s">
        <v>455</v>
      </c>
      <c r="F975" s="6" t="str">
        <f>IF($M975="PADD I","PADD 1",IF($M975="PADD II","PADD 2",IF($M975="PADD III","PADD 3",IF($M975="PADD IV","PADD 4",IF($M975="PADD V","PADD 5","")))))</f>
        <v>PADD 2</v>
      </c>
      <c r="G975" s="6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6" t="s">
        <v>494</v>
      </c>
      <c r="I975" s="6" t="s">
        <v>845</v>
      </c>
      <c r="J975" s="6" t="s">
        <v>394</v>
      </c>
      <c r="K975" s="10">
        <v>11.62</v>
      </c>
      <c r="L975" s="10">
        <v>14</v>
      </c>
      <c r="M975" s="6" t="s">
        <v>425</v>
      </c>
      <c r="N975" s="6" t="str">
        <f>IF(OR($G975="FCC",$G975="Hydrocracker",$G975="Reformer"),IF(COUNTIFS($D:$D,$D975,$A:$A,$A975,$B:$B,$B975,$G:$G,"CDU",$J:$J,"PLANNED")&gt;0,"tied","standalone"),"")</f>
        <v>tied</v>
      </c>
    </row>
    <row r="976" spans="1:14">
      <c r="A976" s="6">
        <v>2023</v>
      </c>
      <c r="B976" s="6">
        <v>4</v>
      </c>
      <c r="C976" s="6" t="s">
        <v>63</v>
      </c>
      <c r="D976" s="6" t="s">
        <v>568</v>
      </c>
      <c r="E976" s="6" t="s">
        <v>419</v>
      </c>
      <c r="F976" s="6" t="str">
        <f>IF($M976="PADD I","PADD 1",IF($M976="PADD II","PADD 2",IF($M976="PADD III","PADD 3",IF($M976="PADD IV","PADD 4",IF($M976="PADD V","PADD 5","")))))</f>
        <v>PADD 5</v>
      </c>
      <c r="G976" s="6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6" t="s">
        <v>39</v>
      </c>
      <c r="I976" s="6" t="s">
        <v>569</v>
      </c>
      <c r="J976" s="6" t="s">
        <v>394</v>
      </c>
      <c r="K976" s="10">
        <v>11.5</v>
      </c>
      <c r="L976" s="10">
        <v>50</v>
      </c>
      <c r="M976" s="6" t="s">
        <v>436</v>
      </c>
      <c r="N976" s="6">
        <f>IF(OR($G976="FCC",$G976="Hydrocracker",$G976="Reformer"),IF(COUNTIFS($D:$D,$D976,$A:$A,$A976,$B:$B,$B976,$G:$G,"CDU",$J:$J,"PLANNED")&gt;0,"tied","standalone"),"")</f>
        <v/>
      </c>
    </row>
    <row r="977" spans="1:14">
      <c r="A977" s="6">
        <v>2023</v>
      </c>
      <c r="B977" s="6">
        <v>4</v>
      </c>
      <c r="C977" s="6" t="s">
        <v>63</v>
      </c>
      <c r="D977" s="6" t="s">
        <v>576</v>
      </c>
      <c r="E977" s="6" t="s">
        <v>455</v>
      </c>
      <c r="F977" s="6" t="str">
        <f>IF($M977="PADD I","PADD 1",IF($M977="PADD II","PADD 2",IF($M977="PADD III","PADD 3",IF($M977="PADD IV","PADD 4",IF($M977="PADD V","PADD 5","")))))</f>
        <v>PADD 3</v>
      </c>
      <c r="G977" s="6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6" t="s">
        <v>39</v>
      </c>
      <c r="I977" s="6" t="s">
        <v>691</v>
      </c>
      <c r="J977" s="6" t="s">
        <v>398</v>
      </c>
      <c r="K977" s="10">
        <v>11.5</v>
      </c>
      <c r="L977" s="10">
        <v>115</v>
      </c>
      <c r="M977" s="6" t="s">
        <v>421</v>
      </c>
      <c r="N977" s="6">
        <f>IF(OR($G977="FCC",$G977="Hydrocracker",$G977="Reformer"),IF(COUNTIFS($D:$D,$D977,$A:$A,$A977,$B:$B,$B977,$G:$G,"CDU",$J:$J,"PLANNED")&gt;0,"tied","standalone"),"")</f>
        <v/>
      </c>
    </row>
    <row r="978" spans="1:14">
      <c r="A978" s="6">
        <v>2023</v>
      </c>
      <c r="B978" s="6">
        <v>4</v>
      </c>
      <c r="C978" s="6" t="s">
        <v>63</v>
      </c>
      <c r="D978" s="6" t="s">
        <v>487</v>
      </c>
      <c r="E978" s="6" t="s">
        <v>488</v>
      </c>
      <c r="F978" s="6" t="str">
        <f>IF($M978="PADD I","PADD 1",IF($M978="PADD II","PADD 2",IF($M978="PADD III","PADD 3",IF($M978="PADD IV","PADD 4",IF($M978="PADD V","PADD 5","")))))</f>
        <v>PADD 4</v>
      </c>
      <c r="G978" s="6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6" t="s">
        <v>39</v>
      </c>
      <c r="I978" s="6" t="s">
        <v>489</v>
      </c>
      <c r="J978" s="6" t="s">
        <v>394</v>
      </c>
      <c r="K978" s="10">
        <v>11.4</v>
      </c>
      <c r="L978" s="10">
        <v>38</v>
      </c>
      <c r="M978" s="6" t="s">
        <v>480</v>
      </c>
      <c r="N978" s="6">
        <f>IF(OR($G978="FCC",$G978="Hydrocracker",$G978="Reformer"),IF(COUNTIFS($D:$D,$D978,$A:$A,$A978,$B:$B,$B978,$G:$G,"CDU",$J:$J,"PLANNED")&gt;0,"tied","standalone"),"")</f>
        <v/>
      </c>
    </row>
    <row r="979" spans="1:14">
      <c r="A979" s="6">
        <v>2023</v>
      </c>
      <c r="B979" s="6">
        <v>4</v>
      </c>
      <c r="C979" s="6" t="s">
        <v>63</v>
      </c>
      <c r="D979" s="6" t="s">
        <v>568</v>
      </c>
      <c r="E979" s="6" t="s">
        <v>419</v>
      </c>
      <c r="F979" s="6" t="str">
        <f>IF($M979="PADD I","PADD 1",IF($M979="PADD II","PADD 2",IF($M979="PADD III","PADD 3",IF($M979="PADD IV","PADD 4",IF($M979="PADD V","PADD 5","")))))</f>
        <v>PADD 5</v>
      </c>
      <c r="G979" s="6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6" t="s">
        <v>494</v>
      </c>
      <c r="I979" s="6" t="s">
        <v>584</v>
      </c>
      <c r="J979" s="6" t="s">
        <v>394</v>
      </c>
      <c r="K979" s="10">
        <v>11.34</v>
      </c>
      <c r="L979" s="10">
        <v>42</v>
      </c>
      <c r="M979" s="6" t="s">
        <v>436</v>
      </c>
      <c r="N979" s="6" t="str">
        <f>IF(OR($G979="FCC",$G979="Hydrocracker",$G979="Reformer"),IF(COUNTIFS($D:$D,$D979,$A:$A,$A979,$B:$B,$B979,$G:$G,"CDU",$J:$J,"PLANNED")&gt;0,"tied","standalone"),"")</f>
        <v>standalone</v>
      </c>
    </row>
    <row r="980" spans="1:14">
      <c r="A980" s="6">
        <v>2023</v>
      </c>
      <c r="B980" s="6">
        <v>4</v>
      </c>
      <c r="C980" s="6" t="s">
        <v>63</v>
      </c>
      <c r="D980" s="6" t="s">
        <v>465</v>
      </c>
      <c r="E980" s="6" t="s">
        <v>466</v>
      </c>
      <c r="F980" s="6" t="str">
        <f>IF($M980="PADD I","PADD 1",IF($M980="PADD II","PADD 2",IF($M980="PADD III","PADD 3",IF($M980="PADD IV","PADD 4",IF($M980="PADD V","PADD 5","")))))</f>
        <v>PADD 3</v>
      </c>
      <c r="G980" s="6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6" t="s">
        <v>426</v>
      </c>
      <c r="I980" s="6" t="s">
        <v>475</v>
      </c>
      <c r="J980" s="6" t="s">
        <v>394</v>
      </c>
      <c r="K980" s="10">
        <v>11.34</v>
      </c>
      <c r="L980" s="10">
        <v>42</v>
      </c>
      <c r="M980" s="6" t="s">
        <v>421</v>
      </c>
      <c r="N980" s="6" t="str">
        <f>IF(OR($G980="FCC",$G980="Hydrocracker",$G980="Reformer"),IF(COUNTIFS($D:$D,$D980,$A:$A,$A980,$B:$B,$B980,$G:$G,"CDU",$J:$J,"PLANNED")&gt;0,"tied","standalone"),"")</f>
        <v>standalone</v>
      </c>
    </row>
    <row r="981" spans="1:14">
      <c r="A981" s="6">
        <v>2023</v>
      </c>
      <c r="B981" s="6">
        <v>4</v>
      </c>
      <c r="C981" s="6" t="s">
        <v>63</v>
      </c>
      <c r="D981" s="6" t="s">
        <v>422</v>
      </c>
      <c r="E981" s="6" t="s">
        <v>423</v>
      </c>
      <c r="F981" s="6" t="str">
        <f>IF($M981="PADD I","PADD 1",IF($M981="PADD II","PADD 2",IF($M981="PADD III","PADD 3",IF($M981="PADD IV","PADD 4",IF($M981="PADD V","PADD 5","")))))</f>
        <v>PADD 2</v>
      </c>
      <c r="G981" s="6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6" t="s">
        <v>428</v>
      </c>
      <c r="I981" s="6" t="s">
        <v>751</v>
      </c>
      <c r="J981" s="6" t="s">
        <v>394</v>
      </c>
      <c r="K981" s="10">
        <v>11.34</v>
      </c>
      <c r="L981" s="10">
        <v>18</v>
      </c>
      <c r="M981" s="6" t="s">
        <v>425</v>
      </c>
      <c r="N981" s="6">
        <f>IF(OR($G981="FCC",$G981="Hydrocracker",$G981="Reformer"),IF(COUNTIFS($D:$D,$D981,$A:$A,$A981,$B:$B,$B981,$G:$G,"CDU",$J:$J,"PLANNED")&gt;0,"tied","standalone"),"")</f>
        <v/>
      </c>
    </row>
    <row r="982" spans="1:14">
      <c r="A982" s="6">
        <v>2023</v>
      </c>
      <c r="B982" s="6">
        <v>4</v>
      </c>
      <c r="C982" s="6" t="s">
        <v>63</v>
      </c>
      <c r="D982" s="6" t="s">
        <v>487</v>
      </c>
      <c r="E982" s="6" t="s">
        <v>488</v>
      </c>
      <c r="F982" s="6" t="str">
        <f>IF($M982="PADD I","PADD 1",IF($M982="PADD II","PADD 2",IF($M982="PADD III","PADD 3",IF($M982="PADD IV","PADD 4",IF($M982="PADD V","PADD 5","")))))</f>
        <v>PADD 4</v>
      </c>
      <c r="G982" s="6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6" t="s">
        <v>39</v>
      </c>
      <c r="I982" s="6" t="s">
        <v>379</v>
      </c>
      <c r="J982" s="6" t="s">
        <v>398</v>
      </c>
      <c r="K982" s="10">
        <v>11.2</v>
      </c>
      <c r="L982" s="10">
        <v>28</v>
      </c>
      <c r="M982" s="6" t="s">
        <v>480</v>
      </c>
      <c r="N982" s="6">
        <f>IF(OR($G982="FCC",$G982="Hydrocracker",$G982="Reformer"),IF(COUNTIFS($D:$D,$D982,$A:$A,$A982,$B:$B,$B982,$G:$G,"CDU",$J:$J,"PLANNED")&gt;0,"tied","standalone"),"")</f>
        <v/>
      </c>
    </row>
    <row r="983" spans="1:14">
      <c r="A983" s="6">
        <v>2023</v>
      </c>
      <c r="B983" s="6">
        <v>4</v>
      </c>
      <c r="C983" s="6" t="s">
        <v>63</v>
      </c>
      <c r="D983" s="6" t="s">
        <v>730</v>
      </c>
      <c r="E983" s="6" t="s">
        <v>731</v>
      </c>
      <c r="F983" s="6" t="str">
        <f>IF($M983="PADD I","PADD 1",IF($M983="PADD II","PADD 2",IF($M983="PADD III","PADD 3",IF($M983="PADD IV","PADD 4",IF($M983="PADD V","PADD 5","")))))</f>
        <v>PADD 3</v>
      </c>
      <c r="G983" s="6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6" t="s">
        <v>44</v>
      </c>
      <c r="I983" s="6" t="s">
        <v>759</v>
      </c>
      <c r="J983" s="6" t="s">
        <v>398</v>
      </c>
      <c r="K983" s="10">
        <v>11.16</v>
      </c>
      <c r="L983" s="10">
        <v>12</v>
      </c>
      <c r="M983" s="6" t="s">
        <v>421</v>
      </c>
      <c r="N983" s="6">
        <f>IF(OR($G983="FCC",$G983="Hydrocracker",$G983="Reformer"),IF(COUNTIFS($D:$D,$D983,$A:$A,$A983,$B:$B,$B983,$G:$G,"CDU",$J:$J,"PLANNED")&gt;0,"tied","standalone"),"")</f>
        <v/>
      </c>
    </row>
    <row r="984" spans="1:14">
      <c r="A984" s="6">
        <v>2023</v>
      </c>
      <c r="B984" s="6">
        <v>4</v>
      </c>
      <c r="C984" s="6" t="s">
        <v>63</v>
      </c>
      <c r="D984" s="6" t="s">
        <v>820</v>
      </c>
      <c r="E984" s="6" t="s">
        <v>710</v>
      </c>
      <c r="F984" s="6" t="str">
        <f>IF($M984="PADD I","PADD 1",IF($M984="PADD II","PADD 2",IF($M984="PADD III","PADD 3",IF($M984="PADD IV","PADD 4",IF($M984="PADD V","PADD 5","")))))</f>
        <v>PADD 3</v>
      </c>
      <c r="G984" s="6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6" t="s">
        <v>44</v>
      </c>
      <c r="I984" s="6" t="s">
        <v>846</v>
      </c>
      <c r="J984" s="6" t="s">
        <v>398</v>
      </c>
      <c r="K984" s="10">
        <v>11</v>
      </c>
      <c r="L984" s="10">
        <v>11</v>
      </c>
      <c r="M984" s="6" t="s">
        <v>421</v>
      </c>
      <c r="N984" s="6">
        <f>IF(OR($G984="FCC",$G984="Hydrocracker",$G984="Reformer"),IF(COUNTIFS($D:$D,$D984,$A:$A,$A984,$B:$B,$B984,$G:$G,"CDU",$J:$J,"PLANNED")&gt;0,"tied","standalone"),"")</f>
        <v/>
      </c>
    </row>
    <row r="985" spans="1:14">
      <c r="A985" s="6">
        <v>2023</v>
      </c>
      <c r="B985" s="6">
        <v>4</v>
      </c>
      <c r="C985" s="6" t="s">
        <v>63</v>
      </c>
      <c r="D985" s="6" t="s">
        <v>782</v>
      </c>
      <c r="E985" s="6" t="s">
        <v>783</v>
      </c>
      <c r="F985" s="6" t="str">
        <f>IF($M985="PADD I","PADD 1",IF($M985="PADD II","PADD 2",IF($M985="PADD III","PADD 3",IF($M985="PADD IV","PADD 4",IF($M985="PADD V","PADD 5","")))))</f>
        <v>PADD 4</v>
      </c>
      <c r="G985" s="6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6" t="s">
        <v>428</v>
      </c>
      <c r="I985" s="6" t="s">
        <v>481</v>
      </c>
      <c r="J985" s="6" t="s">
        <v>398</v>
      </c>
      <c r="K985" s="10">
        <v>11</v>
      </c>
      <c r="L985" s="10">
        <v>11</v>
      </c>
      <c r="M985" s="6" t="s">
        <v>480</v>
      </c>
      <c r="N985" s="6">
        <f>IF(OR($G985="FCC",$G985="Hydrocracker",$G985="Reformer"),IF(COUNTIFS($D:$D,$D985,$A:$A,$A985,$B:$B,$B985,$G:$G,"CDU",$J:$J,"PLANNED")&gt;0,"tied","standalone"),"")</f>
        <v/>
      </c>
    </row>
    <row r="986" spans="1:14">
      <c r="A986" s="6">
        <v>2023</v>
      </c>
      <c r="B986" s="6">
        <v>4</v>
      </c>
      <c r="C986" s="6" t="s">
        <v>63</v>
      </c>
      <c r="D986" s="6" t="s">
        <v>470</v>
      </c>
      <c r="E986" s="6" t="s">
        <v>423</v>
      </c>
      <c r="F986" s="6" t="str">
        <f>IF($M986="PADD I","PADD 1",IF($M986="PADD II","PADD 2",IF($M986="PADD III","PADD 3",IF($M986="PADD IV","PADD 4",IF($M986="PADD V","PADD 5","")))))</f>
        <v>PADD 2</v>
      </c>
      <c r="G986" s="6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6" t="s">
        <v>44</v>
      </c>
      <c r="I986" s="6" t="s">
        <v>596</v>
      </c>
      <c r="J986" s="6" t="s">
        <v>394</v>
      </c>
      <c r="K986" s="10">
        <v>11</v>
      </c>
      <c r="L986" s="10">
        <v>11</v>
      </c>
      <c r="M986" s="6" t="s">
        <v>425</v>
      </c>
      <c r="N986" s="6">
        <f>IF(OR($G986="FCC",$G986="Hydrocracker",$G986="Reformer"),IF(COUNTIFS($D:$D,$D986,$A:$A,$A986,$B:$B,$B986,$G:$G,"CDU",$J:$J,"PLANNED")&gt;0,"tied","standalone"),"")</f>
        <v/>
      </c>
    </row>
    <row r="987" spans="1:14">
      <c r="A987" s="6">
        <v>2023</v>
      </c>
      <c r="B987" s="6">
        <v>4</v>
      </c>
      <c r="C987" s="6" t="s">
        <v>63</v>
      </c>
      <c r="D987" s="6" t="s">
        <v>792</v>
      </c>
      <c r="E987" s="6" t="s">
        <v>438</v>
      </c>
      <c r="F987" s="6" t="str">
        <f>IF($M987="PADD I","PADD 1",IF($M987="PADD II","PADD 2",IF($M987="PADD III","PADD 3",IF($M987="PADD IV","PADD 4",IF($M987="PADD V","PADD 5","")))))</f>
        <v>PADD 5</v>
      </c>
      <c r="G987" s="6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6" t="s">
        <v>510</v>
      </c>
      <c r="I987" s="6" t="s">
        <v>511</v>
      </c>
      <c r="J987" s="6" t="s">
        <v>398</v>
      </c>
      <c r="K987" s="10">
        <v>11</v>
      </c>
      <c r="L987" s="10">
        <v>11</v>
      </c>
      <c r="M987" s="6" t="s">
        <v>436</v>
      </c>
      <c r="N987" s="6">
        <f>IF(OR($G987="FCC",$G987="Hydrocracker",$G987="Reformer"),IF(COUNTIFS($D:$D,$D987,$A:$A,$A987,$B:$B,$B987,$G:$G,"CDU",$J:$J,"PLANNED")&gt;0,"tied","standalone"),"")</f>
        <v/>
      </c>
    </row>
    <row r="988" spans="1:14">
      <c r="A988" s="6">
        <v>2023</v>
      </c>
      <c r="B988" s="6">
        <v>4</v>
      </c>
      <c r="C988" s="6" t="s">
        <v>63</v>
      </c>
      <c r="D988" s="6" t="s">
        <v>828</v>
      </c>
      <c r="E988" s="6" t="s">
        <v>829</v>
      </c>
      <c r="F988" s="6" t="str">
        <f>IF($M988="PADD I","PADD 1",IF($M988="PADD II","PADD 2",IF($M988="PADD III","PADD 3",IF($M988="PADD IV","PADD 4",IF($M988="PADD V","PADD 5","")))))</f>
        <v>PADD 3</v>
      </c>
      <c r="G988" s="6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6" t="s">
        <v>428</v>
      </c>
      <c r="I988" s="6" t="s">
        <v>847</v>
      </c>
      <c r="J988" s="6" t="s">
        <v>394</v>
      </c>
      <c r="K988" s="10">
        <v>10.8069</v>
      </c>
      <c r="L988" s="10">
        <v>83.13</v>
      </c>
      <c r="M988" s="6" t="s">
        <v>421</v>
      </c>
      <c r="N988" s="6">
        <f>IF(OR($G988="FCC",$G988="Hydrocracker",$G988="Reformer"),IF(COUNTIFS($D:$D,$D988,$A:$A,$A988,$B:$B,$B988,$G:$G,"CDU",$J:$J,"PLANNED")&gt;0,"tied","standalone"),"")</f>
        <v/>
      </c>
    </row>
    <row r="989" spans="1:14">
      <c r="A989" s="6">
        <v>2023</v>
      </c>
      <c r="B989" s="6">
        <v>4</v>
      </c>
      <c r="C989" s="6" t="s">
        <v>63</v>
      </c>
      <c r="D989" s="6" t="s">
        <v>820</v>
      </c>
      <c r="E989" s="6" t="s">
        <v>710</v>
      </c>
      <c r="F989" s="6" t="str">
        <f>IF($M989="PADD I","PADD 1",IF($M989="PADD II","PADD 2",IF($M989="PADD III","PADD 3",IF($M989="PADD IV","PADD 4",IF($M989="PADD V","PADD 5","")))))</f>
        <v>PADD 3</v>
      </c>
      <c r="G989" s="6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6" t="s">
        <v>573</v>
      </c>
      <c r="I989" s="6" t="s">
        <v>574</v>
      </c>
      <c r="J989" s="6" t="s">
        <v>398</v>
      </c>
      <c r="K989" s="10">
        <v>10.8</v>
      </c>
      <c r="L989" s="10">
        <v>10.8</v>
      </c>
      <c r="M989" s="6" t="s">
        <v>421</v>
      </c>
      <c r="N989" s="6">
        <f>IF(OR($G989="FCC",$G989="Hydrocracker",$G989="Reformer"),IF(COUNTIFS($D:$D,$D989,$A:$A,$A989,$B:$B,$B989,$G:$G,"CDU",$J:$J,"PLANNED")&gt;0,"tied","standalone"),"")</f>
        <v/>
      </c>
    </row>
    <row r="990" spans="1:14">
      <c r="A990" s="6">
        <v>2023</v>
      </c>
      <c r="B990" s="6">
        <v>4</v>
      </c>
      <c r="C990" s="6" t="s">
        <v>63</v>
      </c>
      <c r="D990" s="6" t="s">
        <v>828</v>
      </c>
      <c r="E990" s="6" t="s">
        <v>829</v>
      </c>
      <c r="F990" s="6" t="str">
        <f>IF($M990="PADD I","PADD 1",IF($M990="PADD II","PADD 2",IF($M990="PADD III","PADD 3",IF($M990="PADD IV","PADD 4",IF($M990="PADD V","PADD 5","")))))</f>
        <v>PADD 3</v>
      </c>
      <c r="G990" s="6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6" t="s">
        <v>428</v>
      </c>
      <c r="I990" s="6" t="s">
        <v>848</v>
      </c>
      <c r="J990" s="6" t="s">
        <v>394</v>
      </c>
      <c r="K990" s="10">
        <v>10.79</v>
      </c>
      <c r="L990" s="10">
        <v>83</v>
      </c>
      <c r="M990" s="6" t="s">
        <v>421</v>
      </c>
      <c r="N990" s="6">
        <f>IF(OR($G990="FCC",$G990="Hydrocracker",$G990="Reformer"),IF(COUNTIFS($D:$D,$D990,$A:$A,$A990,$B:$B,$B990,$G:$G,"CDU",$J:$J,"PLANNED")&gt;0,"tied","standalone"),"")</f>
        <v/>
      </c>
    </row>
    <row r="991" spans="1:14">
      <c r="A991" s="6">
        <v>2023</v>
      </c>
      <c r="B991" s="6">
        <v>4</v>
      </c>
      <c r="C991" s="6" t="s">
        <v>63</v>
      </c>
      <c r="D991" s="6" t="s">
        <v>487</v>
      </c>
      <c r="E991" s="6" t="s">
        <v>488</v>
      </c>
      <c r="F991" s="6" t="str">
        <f>IF($M991="PADD I","PADD 1",IF($M991="PADD II","PADD 2",IF($M991="PADD III","PADD 3",IF($M991="PADD IV","PADD 4",IF($M991="PADD V","PADD 5","")))))</f>
        <v>PADD 4</v>
      </c>
      <c r="G991" s="6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6" t="s">
        <v>39</v>
      </c>
      <c r="I991" s="6" t="s">
        <v>489</v>
      </c>
      <c r="J991" s="6" t="s">
        <v>394</v>
      </c>
      <c r="K991" s="10">
        <v>10.53</v>
      </c>
      <c r="L991" s="10">
        <v>39</v>
      </c>
      <c r="M991" s="6" t="s">
        <v>480</v>
      </c>
      <c r="N991" s="6">
        <f>IF(OR($G991="FCC",$G991="Hydrocracker",$G991="Reformer"),IF(COUNTIFS($D:$D,$D991,$A:$A,$A991,$B:$B,$B991,$G:$G,"CDU",$J:$J,"PLANNED")&gt;0,"tied","standalone"),"")</f>
        <v/>
      </c>
    </row>
    <row r="992" spans="1:14">
      <c r="A992" s="6">
        <v>2023</v>
      </c>
      <c r="B992" s="6">
        <v>4</v>
      </c>
      <c r="C992" s="6" t="s">
        <v>63</v>
      </c>
      <c r="D992" s="6" t="s">
        <v>798</v>
      </c>
      <c r="E992" s="6" t="s">
        <v>438</v>
      </c>
      <c r="F992" s="6" t="str">
        <f>IF($M992="PADD I","PADD 1",IF($M992="PADD II","PADD 2",IF($M992="PADD III","PADD 3",IF($M992="PADD IV","PADD 4",IF($M992="PADD V","PADD 5","")))))</f>
        <v>PADD 3</v>
      </c>
      <c r="G992" s="6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6" t="s">
        <v>44</v>
      </c>
      <c r="I992" s="6" t="s">
        <v>817</v>
      </c>
      <c r="J992" s="6" t="s">
        <v>398</v>
      </c>
      <c r="K992" s="10">
        <v>10.5</v>
      </c>
      <c r="L992" s="10">
        <v>10.5</v>
      </c>
      <c r="M992" s="6" t="s">
        <v>421</v>
      </c>
      <c r="N992" s="6">
        <f>IF(OR($G992="FCC",$G992="Hydrocracker",$G992="Reformer"),IF(COUNTIFS($D:$D,$D992,$A:$A,$A992,$B:$B,$B992,$G:$G,"CDU",$J:$J,"PLANNED")&gt;0,"tied","standalone"),"")</f>
        <v/>
      </c>
    </row>
    <row r="993" spans="1:14">
      <c r="A993" s="6">
        <v>2023</v>
      </c>
      <c r="B993" s="6">
        <v>4</v>
      </c>
      <c r="C993" s="6" t="s">
        <v>63</v>
      </c>
      <c r="D993" s="6" t="s">
        <v>849</v>
      </c>
      <c r="E993" s="6" t="s">
        <v>441</v>
      </c>
      <c r="F993" s="6" t="str">
        <f>IF($M993="PADD I","PADD 1",IF($M993="PADD II","PADD 2",IF($M993="PADD III","PADD 3",IF($M993="PADD IV","PADD 4",IF($M993="PADD V","PADD 5","")))))</f>
        <v>PADD 4</v>
      </c>
      <c r="G993" s="6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6" t="s">
        <v>426</v>
      </c>
      <c r="I993" s="6" t="s">
        <v>850</v>
      </c>
      <c r="J993" s="6" t="s">
        <v>398</v>
      </c>
      <c r="K993" s="10">
        <v>10.4</v>
      </c>
      <c r="L993" s="10">
        <v>13</v>
      </c>
      <c r="M993" s="6" t="s">
        <v>480</v>
      </c>
      <c r="N993" s="6" t="str">
        <f>IF(OR($G993="FCC",$G993="Hydrocracker",$G993="Reformer"),IF(COUNTIFS($D:$D,$D993,$A:$A,$A993,$B:$B,$B993,$G:$G,"CDU",$J:$J,"PLANNED")&gt;0,"tied","standalone"),"")</f>
        <v>standalone</v>
      </c>
    </row>
    <row r="994" spans="1:14">
      <c r="A994" s="6">
        <v>2023</v>
      </c>
      <c r="B994" s="6">
        <v>4</v>
      </c>
      <c r="C994" s="6" t="s">
        <v>63</v>
      </c>
      <c r="D994" s="6" t="s">
        <v>576</v>
      </c>
      <c r="E994" s="6" t="s">
        <v>455</v>
      </c>
      <c r="F994" s="6" t="str">
        <f>IF($M994="PADD I","PADD 1",IF($M994="PADD II","PADD 2",IF($M994="PADD III","PADD 3",IF($M994="PADD IV","PADD 4",IF($M994="PADD V","PADD 5","")))))</f>
        <v>PADD 3</v>
      </c>
      <c r="G994" s="6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6" t="s">
        <v>494</v>
      </c>
      <c r="I994" s="6" t="s">
        <v>400</v>
      </c>
      <c r="J994" s="6" t="s">
        <v>398</v>
      </c>
      <c r="K994" s="10">
        <v>10.35</v>
      </c>
      <c r="L994" s="10">
        <v>45</v>
      </c>
      <c r="M994" s="6" t="s">
        <v>421</v>
      </c>
      <c r="N994" s="6" t="str">
        <f>IF(OR($G994="FCC",$G994="Hydrocracker",$G994="Reformer"),IF(COUNTIFS($D:$D,$D994,$A:$A,$A994,$B:$B,$B994,$G:$G,"CDU",$J:$J,"PLANNED")&gt;0,"tied","standalone"),"")</f>
        <v>tied</v>
      </c>
    </row>
    <row r="995" spans="1:14">
      <c r="A995" s="6">
        <v>2023</v>
      </c>
      <c r="B995" s="6">
        <v>4</v>
      </c>
      <c r="C995" s="6" t="s">
        <v>63</v>
      </c>
      <c r="D995" s="6" t="s">
        <v>730</v>
      </c>
      <c r="E995" s="6" t="s">
        <v>731</v>
      </c>
      <c r="F995" s="6" t="str">
        <f>IF($M995="PADD I","PADD 1",IF($M995="PADD II","PADD 2",IF($M995="PADD III","PADD 3",IF($M995="PADD IV","PADD 4",IF($M995="PADD V","PADD 5","")))))</f>
        <v>PADD 3</v>
      </c>
      <c r="G995" s="6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6" t="s">
        <v>618</v>
      </c>
      <c r="I995" s="6" t="s">
        <v>763</v>
      </c>
      <c r="J995" s="6" t="s">
        <v>398</v>
      </c>
      <c r="K995" s="10">
        <v>10.23</v>
      </c>
      <c r="L995" s="10">
        <v>11</v>
      </c>
      <c r="M995" s="6" t="s">
        <v>421</v>
      </c>
      <c r="N995" s="6">
        <f>IF(OR($G995="FCC",$G995="Hydrocracker",$G995="Reformer"),IF(COUNTIFS($D:$D,$D995,$A:$A,$A995,$B:$B,$B995,$G:$G,"CDU",$J:$J,"PLANNED")&gt;0,"tied","standalone"),"")</f>
        <v/>
      </c>
    </row>
    <row r="996" spans="1:14">
      <c r="A996" s="6">
        <v>2023</v>
      </c>
      <c r="B996" s="6">
        <v>4</v>
      </c>
      <c r="C996" s="6" t="s">
        <v>63</v>
      </c>
      <c r="D996" s="6" t="s">
        <v>725</v>
      </c>
      <c r="E996" s="6" t="s">
        <v>502</v>
      </c>
      <c r="F996" s="6" t="str">
        <f>IF($M996="PADD I","PADD 1",IF($M996="PADD II","PADD 2",IF($M996="PADD III","PADD 3",IF($M996="PADD IV","PADD 4",IF($M996="PADD V","PADD 5","")))))</f>
        <v>PADD 2</v>
      </c>
      <c r="G996" s="6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6" t="s">
        <v>618</v>
      </c>
      <c r="I996" s="6" t="s">
        <v>654</v>
      </c>
      <c r="J996" s="6" t="s">
        <v>398</v>
      </c>
      <c r="K996" s="10">
        <v>10.05</v>
      </c>
      <c r="L996" s="10">
        <v>15</v>
      </c>
      <c r="M996" s="6" t="s">
        <v>425</v>
      </c>
      <c r="N996" s="6">
        <f>IF(OR($G996="FCC",$G996="Hydrocracker",$G996="Reformer"),IF(COUNTIFS($D:$D,$D996,$A:$A,$A996,$B:$B,$B996,$G:$G,"CDU",$J:$J,"PLANNED")&gt;0,"tied","standalone"),"")</f>
        <v/>
      </c>
    </row>
    <row r="997" spans="1:14">
      <c r="A997" s="6">
        <v>2023</v>
      </c>
      <c r="B997" s="6">
        <v>4</v>
      </c>
      <c r="C997" s="6" t="s">
        <v>63</v>
      </c>
      <c r="D997" s="6" t="s">
        <v>782</v>
      </c>
      <c r="E997" s="6" t="s">
        <v>783</v>
      </c>
      <c r="F997" s="6" t="str">
        <f>IF($M997="PADD I","PADD 1",IF($M997="PADD II","PADD 2",IF($M997="PADD III","PADD 3",IF($M997="PADD IV","PADD 4",IF($M997="PADD V","PADD 5","")))))</f>
        <v>PADD 4</v>
      </c>
      <c r="G997" s="6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6" t="s">
        <v>44</v>
      </c>
      <c r="I997" s="6" t="s">
        <v>801</v>
      </c>
      <c r="J997" s="6" t="s">
        <v>398</v>
      </c>
      <c r="K997" s="10">
        <v>10</v>
      </c>
      <c r="L997" s="10">
        <v>10</v>
      </c>
      <c r="M997" s="6" t="s">
        <v>480</v>
      </c>
      <c r="N997" s="6">
        <f>IF(OR($G997="FCC",$G997="Hydrocracker",$G997="Reformer"),IF(COUNTIFS($D:$D,$D997,$A:$A,$A997,$B:$B,$B997,$G:$G,"CDU",$J:$J,"PLANNED")&gt;0,"tied","standalone"),"")</f>
        <v/>
      </c>
    </row>
    <row r="998" spans="1:14">
      <c r="A998" s="6">
        <v>2023</v>
      </c>
      <c r="B998" s="6">
        <v>4</v>
      </c>
      <c r="C998" s="6" t="s">
        <v>63</v>
      </c>
      <c r="D998" s="6" t="s">
        <v>773</v>
      </c>
      <c r="E998" s="6" t="s">
        <v>774</v>
      </c>
      <c r="F998" s="6" t="str">
        <f>IF($M998="PADD I","PADD 1",IF($M998="PADD II","PADD 2",IF($M998="PADD III","PADD 3",IF($M998="PADD IV","PADD 4",IF($M998="PADD V","PADD 5","")))))</f>
        <v>PADD 4</v>
      </c>
      <c r="G998" s="6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6" t="s">
        <v>471</v>
      </c>
      <c r="I998" s="6" t="s">
        <v>775</v>
      </c>
      <c r="J998" s="6" t="s">
        <v>398</v>
      </c>
      <c r="K998" s="10">
        <v>10</v>
      </c>
      <c r="L998" s="10">
        <v>10</v>
      </c>
      <c r="M998" s="6" t="s">
        <v>480</v>
      </c>
      <c r="N998" s="6" t="str">
        <f>IF(OR($G998="FCC",$G998="Hydrocracker",$G998="Reformer"),IF(COUNTIFS($D:$D,$D998,$A:$A,$A998,$B:$B,$B998,$G:$G,"CDU",$J:$J,"PLANNED")&gt;0,"tied","standalone"),"")</f>
        <v>standalone</v>
      </c>
    </row>
    <row r="999" spans="1:14">
      <c r="A999" s="6">
        <v>2023</v>
      </c>
      <c r="B999" s="6">
        <v>4</v>
      </c>
      <c r="C999" s="6" t="s">
        <v>63</v>
      </c>
      <c r="D999" s="6" t="s">
        <v>851</v>
      </c>
      <c r="E999" s="6" t="s">
        <v>829</v>
      </c>
      <c r="F999" s="6" t="str">
        <f>IF($M999="PADD I","PADD 1",IF($M999="PADD II","PADD 2",IF($M999="PADD III","PADD 3",IF($M999="PADD IV","PADD 4",IF($M999="PADD V","PADD 5","")))))</f>
        <v>PADD 2</v>
      </c>
      <c r="G999" s="6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6" t="s">
        <v>485</v>
      </c>
      <c r="I999" s="6" t="s">
        <v>852</v>
      </c>
      <c r="J999" s="6" t="s">
        <v>394</v>
      </c>
      <c r="K999" s="10">
        <v>9.6</v>
      </c>
      <c r="L999" s="10">
        <v>24</v>
      </c>
      <c r="M999" s="6" t="s">
        <v>425</v>
      </c>
      <c r="N999" s="6">
        <f>IF(OR($G999="FCC",$G999="Hydrocracker",$G999="Reformer"),IF(COUNTIFS($D:$D,$D999,$A:$A,$A999,$B:$B,$B999,$G:$G,"CDU",$J:$J,"PLANNED")&gt;0,"tied","standalone"),"")</f>
        <v/>
      </c>
    </row>
    <row r="1000" spans="1:14">
      <c r="A1000" s="6">
        <v>2023</v>
      </c>
      <c r="B1000" s="6">
        <v>4</v>
      </c>
      <c r="C1000" s="6" t="s">
        <v>63</v>
      </c>
      <c r="D1000" s="6" t="s">
        <v>53</v>
      </c>
      <c r="E1000" s="6" t="s">
        <v>438</v>
      </c>
      <c r="F1000" s="6" t="str">
        <f>IF($M1000="PADD I","PADD 1",IF($M1000="PADD II","PADD 2",IF($M1000="PADD III","PADD 3",IF($M1000="PADD IV","PADD 4",IF($M1000="PADD V","PADD 5","")))))</f>
        <v>PADD 5</v>
      </c>
      <c r="G1000" s="6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6" t="s">
        <v>428</v>
      </c>
      <c r="I1000" s="6" t="s">
        <v>481</v>
      </c>
      <c r="J1000" s="6" t="s">
        <v>398</v>
      </c>
      <c r="K1000" s="10">
        <v>9.404999999999999</v>
      </c>
      <c r="L1000" s="10">
        <v>16.5</v>
      </c>
      <c r="M1000" s="6" t="s">
        <v>436</v>
      </c>
      <c r="N1000" s="6">
        <f>IF(OR($G1000="FCC",$G1000="Hydrocracker",$G1000="Reformer"),IF(COUNTIFS($D:$D,$D1000,$A:$A,$A1000,$B:$B,$B1000,$G:$G,"CDU",$J:$J,"PLANNED")&gt;0,"tied","standalone"),"")</f>
        <v/>
      </c>
    </row>
    <row r="1001" spans="1:14">
      <c r="A1001" s="6">
        <v>2023</v>
      </c>
      <c r="B1001" s="6">
        <v>4</v>
      </c>
      <c r="C1001" s="6" t="s">
        <v>63</v>
      </c>
      <c r="D1001" s="6" t="s">
        <v>54</v>
      </c>
      <c r="E1001" s="6" t="s">
        <v>593</v>
      </c>
      <c r="F1001" s="6" t="str">
        <f>IF($M1001="PADD I","PADD 1",IF($M1001="PADD II","PADD 2",IF($M1001="PADD III","PADD 3",IF($M1001="PADD IV","PADD 4",IF($M1001="PADD V","PADD 5","")))))</f>
        <v>PADD 5</v>
      </c>
      <c r="G1001" s="6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6" t="s">
        <v>471</v>
      </c>
      <c r="I1001" s="6" t="s">
        <v>607</v>
      </c>
      <c r="J1001" s="6" t="s">
        <v>398</v>
      </c>
      <c r="K1001" s="10">
        <v>9.135</v>
      </c>
      <c r="L1001" s="10">
        <v>10.5</v>
      </c>
      <c r="M1001" s="6" t="s">
        <v>436</v>
      </c>
      <c r="N1001" s="6" t="str">
        <f>IF(OR($G1001="FCC",$G1001="Hydrocracker",$G1001="Reformer"),IF(COUNTIFS($D:$D,$D1001,$A:$A,$A1001,$B:$B,$B1001,$G:$G,"CDU",$J:$J,"PLANNED")&gt;0,"tied","standalone"),"")</f>
        <v>tied</v>
      </c>
    </row>
    <row r="1002" spans="1:14">
      <c r="A1002" s="6">
        <v>2023</v>
      </c>
      <c r="B1002" s="6">
        <v>4</v>
      </c>
      <c r="C1002" s="6" t="s">
        <v>63</v>
      </c>
      <c r="D1002" s="6" t="s">
        <v>765</v>
      </c>
      <c r="E1002" s="6" t="s">
        <v>766</v>
      </c>
      <c r="F1002" s="6" t="str">
        <f>IF($M1002="PADD I","PADD 1",IF($M1002="PADD II","PADD 2",IF($M1002="PADD III","PADD 3",IF($M1002="PADD IV","PADD 4",IF($M1002="PADD V","PADD 5","")))))</f>
        <v>PADD 2</v>
      </c>
      <c r="G1002" s="6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6" t="s">
        <v>510</v>
      </c>
      <c r="I1002" s="6" t="s">
        <v>666</v>
      </c>
      <c r="J1002" s="6" t="s">
        <v>398</v>
      </c>
      <c r="K1002" s="10">
        <v>9.119999999999999</v>
      </c>
      <c r="L1002" s="10">
        <v>16</v>
      </c>
      <c r="M1002" s="6" t="s">
        <v>425</v>
      </c>
      <c r="N1002" s="6">
        <f>IF(OR($G1002="FCC",$G1002="Hydrocracker",$G1002="Reformer"),IF(COUNTIFS($D:$D,$D1002,$A:$A,$A1002,$B:$B,$B1002,$G:$G,"CDU",$J:$J,"PLANNED")&gt;0,"tied","standalone"),"")</f>
        <v/>
      </c>
    </row>
    <row r="1003" spans="1:14">
      <c r="A1003" s="6">
        <v>2023</v>
      </c>
      <c r="B1003" s="6">
        <v>4</v>
      </c>
      <c r="C1003" s="6" t="s">
        <v>63</v>
      </c>
      <c r="D1003" s="6" t="s">
        <v>512</v>
      </c>
      <c r="E1003" s="6" t="s">
        <v>488</v>
      </c>
      <c r="F1003" s="6" t="str">
        <f>IF($M1003="PADD I","PADD 1",IF($M1003="PADD II","PADD 2",IF($M1003="PADD III","PADD 3",IF($M1003="PADD IV","PADD 4",IF($M1003="PADD V","PADD 5","")))))</f>
        <v>PADD 4</v>
      </c>
      <c r="G1003" s="6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6" t="s">
        <v>44</v>
      </c>
      <c r="I1003" s="6" t="s">
        <v>520</v>
      </c>
      <c r="J1003" s="6" t="s">
        <v>394</v>
      </c>
      <c r="K1003" s="10">
        <v>9</v>
      </c>
      <c r="L1003" s="10">
        <v>30</v>
      </c>
      <c r="M1003" s="6" t="s">
        <v>480</v>
      </c>
      <c r="N1003" s="6">
        <f>IF(OR($G1003="FCC",$G1003="Hydrocracker",$G1003="Reformer"),IF(COUNTIFS($D:$D,$D1003,$A:$A,$A1003,$B:$B,$B1003,$G:$G,"CDU",$J:$J,"PLANNED")&gt;0,"tied","standalone"),"")</f>
        <v/>
      </c>
    </row>
    <row r="1004" spans="1:14">
      <c r="A1004" s="6">
        <v>2023</v>
      </c>
      <c r="B1004" s="6">
        <v>4</v>
      </c>
      <c r="C1004" s="6" t="s">
        <v>63</v>
      </c>
      <c r="D1004" s="6" t="s">
        <v>568</v>
      </c>
      <c r="E1004" s="6" t="s">
        <v>419</v>
      </c>
      <c r="F1004" s="6" t="str">
        <f>IF($M1004="PADD I","PADD 1",IF($M1004="PADD II","PADD 2",IF($M1004="PADD III","PADD 3",IF($M1004="PADD IV","PADD 4",IF($M1004="PADD V","PADD 5","")))))</f>
        <v>PADD 5</v>
      </c>
      <c r="G1004" s="6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6" t="s">
        <v>39</v>
      </c>
      <c r="I1004" s="6" t="s">
        <v>603</v>
      </c>
      <c r="J1004" s="6" t="s">
        <v>394</v>
      </c>
      <c r="K1004" s="10">
        <v>8.640000000000001</v>
      </c>
      <c r="L1004" s="10">
        <v>32</v>
      </c>
      <c r="M1004" s="6" t="s">
        <v>436</v>
      </c>
      <c r="N1004" s="6">
        <f>IF(OR($G1004="FCC",$G1004="Hydrocracker",$G1004="Reformer"),IF(COUNTIFS($D:$D,$D1004,$A:$A,$A1004,$B:$B,$B1004,$G:$G,"CDU",$J:$J,"PLANNED")&gt;0,"tied","standalone"),"")</f>
        <v/>
      </c>
    </row>
    <row r="1005" spans="1:14">
      <c r="A1005" s="6">
        <v>2023</v>
      </c>
      <c r="B1005" s="6">
        <v>4</v>
      </c>
      <c r="C1005" s="6" t="s">
        <v>63</v>
      </c>
      <c r="D1005" s="6" t="s">
        <v>53</v>
      </c>
      <c r="E1005" s="6" t="s">
        <v>438</v>
      </c>
      <c r="F1005" s="6" t="str">
        <f>IF($M1005="PADD I","PADD 1",IF($M1005="PADD II","PADD 2",IF($M1005="PADD III","PADD 3",IF($M1005="PADD IV","PADD 4",IF($M1005="PADD V","PADD 5","")))))</f>
        <v>PADD 5</v>
      </c>
      <c r="G1005" s="6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6" t="s">
        <v>44</v>
      </c>
      <c r="I1005" s="6" t="s">
        <v>551</v>
      </c>
      <c r="J1005" s="6" t="s">
        <v>398</v>
      </c>
      <c r="K1005" s="10">
        <v>8.550000000000001</v>
      </c>
      <c r="L1005" s="10">
        <v>15</v>
      </c>
      <c r="M1005" s="6" t="s">
        <v>436</v>
      </c>
      <c r="N1005" s="6">
        <f>IF(OR($G1005="FCC",$G1005="Hydrocracker",$G1005="Reformer"),IF(COUNTIFS($D:$D,$D1005,$A:$A,$A1005,$B:$B,$B1005,$G:$G,"CDU",$J:$J,"PLANNED")&gt;0,"tied","standalone"),"")</f>
        <v/>
      </c>
    </row>
    <row r="1006" spans="1:14">
      <c r="A1006" s="6">
        <v>2023</v>
      </c>
      <c r="B1006" s="6">
        <v>4</v>
      </c>
      <c r="C1006" s="6" t="s">
        <v>63</v>
      </c>
      <c r="D1006" s="6" t="s">
        <v>772</v>
      </c>
      <c r="E1006" s="6" t="s">
        <v>502</v>
      </c>
      <c r="F1006" s="6" t="str">
        <f>IF($M1006="PADD I","PADD 1",IF($M1006="PADD II","PADD 2",IF($M1006="PADD III","PADD 3",IF($M1006="PADD IV","PADD 4",IF($M1006="PADD V","PADD 5","")))))</f>
        <v>PADD 4</v>
      </c>
      <c r="G1006" s="6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6" t="s">
        <v>39</v>
      </c>
      <c r="I1006" s="6" t="s">
        <v>82</v>
      </c>
      <c r="J1006" s="6" t="s">
        <v>398</v>
      </c>
      <c r="K1006" s="10">
        <v>8.550000000000001</v>
      </c>
      <c r="L1006" s="10">
        <v>15</v>
      </c>
      <c r="M1006" s="6" t="s">
        <v>480</v>
      </c>
      <c r="N1006" s="6">
        <f>IF(OR($G1006="FCC",$G1006="Hydrocracker",$G1006="Reformer"),IF(COUNTIFS($D:$D,$D1006,$A:$A,$A1006,$B:$B,$B1006,$G:$G,"CDU",$J:$J,"PLANNED")&gt;0,"tied","standalone"),"")</f>
        <v/>
      </c>
    </row>
    <row r="1007" spans="1:14">
      <c r="A1007" s="6">
        <v>2023</v>
      </c>
      <c r="B1007" s="6">
        <v>4</v>
      </c>
      <c r="C1007" s="6" t="s">
        <v>63</v>
      </c>
      <c r="D1007" s="6" t="s">
        <v>487</v>
      </c>
      <c r="E1007" s="6" t="s">
        <v>488</v>
      </c>
      <c r="F1007" s="6" t="str">
        <f>IF($M1007="PADD I","PADD 1",IF($M1007="PADD II","PADD 2",IF($M1007="PADD III","PADD 3",IF($M1007="PADD IV","PADD 4",IF($M1007="PADD V","PADD 5","")))))</f>
        <v>PADD 4</v>
      </c>
      <c r="G1007" s="6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6" t="s">
        <v>39</v>
      </c>
      <c r="I1007" s="6" t="s">
        <v>379</v>
      </c>
      <c r="J1007" s="6" t="s">
        <v>394</v>
      </c>
      <c r="K1007" s="10">
        <v>8.4</v>
      </c>
      <c r="L1007" s="10">
        <v>28</v>
      </c>
      <c r="M1007" s="6" t="s">
        <v>480</v>
      </c>
      <c r="N1007" s="6">
        <f>IF(OR($G1007="FCC",$G1007="Hydrocracker",$G1007="Reformer"),IF(COUNTIFS($D:$D,$D1007,$A:$A,$A1007,$B:$B,$B1007,$G:$G,"CDU",$J:$J,"PLANNED")&gt;0,"tied","standalone"),"")</f>
        <v/>
      </c>
    </row>
    <row r="1008" spans="1:14">
      <c r="A1008" s="6">
        <v>2023</v>
      </c>
      <c r="B1008" s="6">
        <v>4</v>
      </c>
      <c r="C1008" s="6" t="s">
        <v>63</v>
      </c>
      <c r="D1008" s="6" t="s">
        <v>660</v>
      </c>
      <c r="E1008" s="6" t="s">
        <v>661</v>
      </c>
      <c r="F1008" s="6" t="str">
        <f>IF($M1008="PADD I","PADD 1",IF($M1008="PADD II","PADD 2",IF($M1008="PADD III","PADD 3",IF($M1008="PADD IV","PADD 4",IF($M1008="PADD V","PADD 5","")))))</f>
        <v>PADD 2</v>
      </c>
      <c r="G1008" s="6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6" t="s">
        <v>428</v>
      </c>
      <c r="I1008" s="6" t="s">
        <v>544</v>
      </c>
      <c r="J1008" s="6" t="s">
        <v>394</v>
      </c>
      <c r="K1008" s="10">
        <v>8.4</v>
      </c>
      <c r="L1008" s="10">
        <v>21</v>
      </c>
      <c r="M1008" s="6" t="s">
        <v>425</v>
      </c>
      <c r="N1008" s="6">
        <f>IF(OR($G1008="FCC",$G1008="Hydrocracker",$G1008="Reformer"),IF(COUNTIFS($D:$D,$D1008,$A:$A,$A1008,$B:$B,$B1008,$G:$G,"CDU",$J:$J,"PLANNED")&gt;0,"tied","standalone"),"")</f>
        <v/>
      </c>
    </row>
    <row r="1009" spans="1:14">
      <c r="A1009" s="6">
        <v>2023</v>
      </c>
      <c r="B1009" s="6">
        <v>4</v>
      </c>
      <c r="C1009" s="6" t="s">
        <v>63</v>
      </c>
      <c r="D1009" s="6" t="s">
        <v>568</v>
      </c>
      <c r="E1009" s="6" t="s">
        <v>419</v>
      </c>
      <c r="F1009" s="6" t="str">
        <f>IF($M1009="PADD I","PADD 1",IF($M1009="PADD II","PADD 2",IF($M1009="PADD III","PADD 3",IF($M1009="PADD IV","PADD 4",IF($M1009="PADD V","PADD 5","")))))</f>
        <v>PADD 5</v>
      </c>
      <c r="G1009" s="6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6" t="s">
        <v>494</v>
      </c>
      <c r="I1009" s="6" t="s">
        <v>584</v>
      </c>
      <c r="J1009" s="6" t="s">
        <v>398</v>
      </c>
      <c r="K1009" s="10">
        <v>8.4</v>
      </c>
      <c r="L1009" s="10">
        <v>42</v>
      </c>
      <c r="M1009" s="6" t="s">
        <v>436</v>
      </c>
      <c r="N1009" s="6" t="str">
        <f>IF(OR($G1009="FCC",$G1009="Hydrocracker",$G1009="Reformer"),IF(COUNTIFS($D:$D,$D1009,$A:$A,$A1009,$B:$B,$B1009,$G:$G,"CDU",$J:$J,"PLANNED")&gt;0,"tied","standalone"),"")</f>
        <v>standalone</v>
      </c>
    </row>
    <row r="1010" spans="1:14">
      <c r="A1010" s="6">
        <v>2023</v>
      </c>
      <c r="B1010" s="6">
        <v>4</v>
      </c>
      <c r="C1010" s="6" t="s">
        <v>63</v>
      </c>
      <c r="D1010" s="6" t="s">
        <v>568</v>
      </c>
      <c r="E1010" s="6" t="s">
        <v>419</v>
      </c>
      <c r="F1010" s="6" t="str">
        <f>IF($M1010="PADD I","PADD 1",IF($M1010="PADD II","PADD 2",IF($M1010="PADD III","PADD 3",IF($M1010="PADD IV","PADD 4",IF($M1010="PADD V","PADD 5","")))))</f>
        <v>PADD 5</v>
      </c>
      <c r="G1010" s="6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6" t="s">
        <v>44</v>
      </c>
      <c r="I1010" s="6" t="s">
        <v>629</v>
      </c>
      <c r="J1010" s="6" t="s">
        <v>394</v>
      </c>
      <c r="K1010" s="10">
        <v>8.25</v>
      </c>
      <c r="L1010" s="10">
        <v>25</v>
      </c>
      <c r="M1010" s="6" t="s">
        <v>436</v>
      </c>
      <c r="N1010" s="6">
        <f>IF(OR($G1010="FCC",$G1010="Hydrocracker",$G1010="Reformer"),IF(COUNTIFS($D:$D,$D1010,$A:$A,$A1010,$B:$B,$B1010,$G:$G,"CDU",$J:$J,"PLANNED")&gt;0,"tied","standalone"),"")</f>
        <v/>
      </c>
    </row>
    <row r="1011" spans="1:14">
      <c r="A1011" s="6">
        <v>2023</v>
      </c>
      <c r="B1011" s="6">
        <v>4</v>
      </c>
      <c r="C1011" s="6" t="s">
        <v>63</v>
      </c>
      <c r="D1011" s="6" t="s">
        <v>777</v>
      </c>
      <c r="E1011" s="6" t="s">
        <v>778</v>
      </c>
      <c r="F1011" s="6" t="str">
        <f>IF($M1011="PADD I","PADD 1",IF($M1011="PADD II","PADD 2",IF($M1011="PADD III","PADD 3",IF($M1011="PADD IV","PADD 4",IF($M1011="PADD V","PADD 5","")))))</f>
        <v>PADD 1</v>
      </c>
      <c r="G1011" s="6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6" t="s">
        <v>428</v>
      </c>
      <c r="I1011" s="6" t="s">
        <v>481</v>
      </c>
      <c r="J1011" s="6" t="s">
        <v>398</v>
      </c>
      <c r="K1011" s="10">
        <v>8.244999999999999</v>
      </c>
      <c r="L1011" s="10">
        <v>8.5</v>
      </c>
      <c r="M1011" s="6" t="s">
        <v>463</v>
      </c>
      <c r="N1011" s="6">
        <f>IF(OR($G1011="FCC",$G1011="Hydrocracker",$G1011="Reformer"),IF(COUNTIFS($D:$D,$D1011,$A:$A,$A1011,$B:$B,$B1011,$G:$G,"CDU",$J:$J,"PLANNED")&gt;0,"tied","standalone"),"")</f>
        <v/>
      </c>
    </row>
    <row r="1012" spans="1:14">
      <c r="A1012" s="6">
        <v>2023</v>
      </c>
      <c r="B1012" s="6">
        <v>4</v>
      </c>
      <c r="C1012" s="6" t="s">
        <v>63</v>
      </c>
      <c r="D1012" s="6" t="s">
        <v>568</v>
      </c>
      <c r="E1012" s="6" t="s">
        <v>419</v>
      </c>
      <c r="F1012" s="6" t="str">
        <f>IF($M1012="PADD I","PADD 1",IF($M1012="PADD II","PADD 2",IF($M1012="PADD III","PADD 3",IF($M1012="PADD IV","PADD 4",IF($M1012="PADD V","PADD 5","")))))</f>
        <v>PADD 5</v>
      </c>
      <c r="G1012" s="6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6" t="s">
        <v>428</v>
      </c>
      <c r="I1012" s="6" t="s">
        <v>481</v>
      </c>
      <c r="J1012" s="6" t="s">
        <v>394</v>
      </c>
      <c r="K1012" s="10">
        <v>8.1</v>
      </c>
      <c r="L1012" s="10">
        <v>30</v>
      </c>
      <c r="M1012" s="6" t="s">
        <v>436</v>
      </c>
      <c r="N1012" s="6">
        <f>IF(OR($G1012="FCC",$G1012="Hydrocracker",$G1012="Reformer"),IF(COUNTIFS($D:$D,$D1012,$A:$A,$A1012,$B:$B,$B1012,$G:$G,"CDU",$J:$J,"PLANNED")&gt;0,"tied","standalone"),"")</f>
        <v/>
      </c>
    </row>
    <row r="1013" spans="1:14">
      <c r="A1013" s="6">
        <v>2023</v>
      </c>
      <c r="B1013" s="6">
        <v>4</v>
      </c>
      <c r="C1013" s="6" t="s">
        <v>63</v>
      </c>
      <c r="D1013" s="6" t="s">
        <v>487</v>
      </c>
      <c r="E1013" s="6" t="s">
        <v>488</v>
      </c>
      <c r="F1013" s="6" t="str">
        <f>IF($M1013="PADD I","PADD 1",IF($M1013="PADD II","PADD 2",IF($M1013="PADD III","PADD 3",IF($M1013="PADD IV","PADD 4",IF($M1013="PADD V","PADD 5","")))))</f>
        <v>PADD 4</v>
      </c>
      <c r="G1013" s="6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6" t="s">
        <v>428</v>
      </c>
      <c r="I1013" s="6" t="s">
        <v>544</v>
      </c>
      <c r="J1013" s="6" t="s">
        <v>398</v>
      </c>
      <c r="K1013" s="10">
        <v>8</v>
      </c>
      <c r="L1013" s="10">
        <v>20</v>
      </c>
      <c r="M1013" s="6" t="s">
        <v>480</v>
      </c>
      <c r="N1013" s="6">
        <f>IF(OR($G1013="FCC",$G1013="Hydrocracker",$G1013="Reformer"),IF(COUNTIFS($D:$D,$D1013,$A:$A,$A1013,$B:$B,$B1013,$G:$G,"CDU",$J:$J,"PLANNED")&gt;0,"tied","standalone"),"")</f>
        <v/>
      </c>
    </row>
    <row r="1014" spans="1:14">
      <c r="A1014" s="6">
        <v>2023</v>
      </c>
      <c r="B1014" s="6">
        <v>4</v>
      </c>
      <c r="C1014" s="6" t="s">
        <v>63</v>
      </c>
      <c r="D1014" s="6" t="s">
        <v>470</v>
      </c>
      <c r="E1014" s="6" t="s">
        <v>423</v>
      </c>
      <c r="F1014" s="6" t="str">
        <f>IF($M1014="PADD I","PADD 1",IF($M1014="PADD II","PADD 2",IF($M1014="PADD III","PADD 3",IF($M1014="PADD IV","PADD 4",IF($M1014="PADD V","PADD 5","")))))</f>
        <v>PADD 2</v>
      </c>
      <c r="G1014" s="6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6" t="s">
        <v>471</v>
      </c>
      <c r="I1014" s="6" t="s">
        <v>621</v>
      </c>
      <c r="J1014" s="6" t="s">
        <v>394</v>
      </c>
      <c r="K1014" s="10">
        <v>8</v>
      </c>
      <c r="L1014" s="10">
        <v>8</v>
      </c>
      <c r="M1014" s="6" t="s">
        <v>425</v>
      </c>
      <c r="N1014" s="6" t="str">
        <f>IF(OR($G1014="FCC",$G1014="Hydrocracker",$G1014="Reformer"),IF(COUNTIFS($D:$D,$D1014,$A:$A,$A1014,$B:$B,$B1014,$G:$G,"CDU",$J:$J,"PLANNED")&gt;0,"tied","standalone"),"")</f>
        <v>standalone</v>
      </c>
    </row>
    <row r="1015" spans="1:14">
      <c r="A1015" s="6">
        <v>2023</v>
      </c>
      <c r="B1015" s="6">
        <v>4</v>
      </c>
      <c r="C1015" s="6" t="s">
        <v>63</v>
      </c>
      <c r="D1015" s="6" t="s">
        <v>371</v>
      </c>
      <c r="E1015" s="6" t="s">
        <v>419</v>
      </c>
      <c r="F1015" s="6" t="str">
        <f>IF($M1015="PADD I","PADD 1",IF($M1015="PADD II","PADD 2",IF($M1015="PADD III","PADD 3",IF($M1015="PADD IV","PADD 4",IF($M1015="PADD V","PADD 5","")))))</f>
        <v>PADD 2</v>
      </c>
      <c r="G1015" s="6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6" t="s">
        <v>471</v>
      </c>
      <c r="I1015" s="6" t="s">
        <v>756</v>
      </c>
      <c r="J1015" s="6" t="s">
        <v>398</v>
      </c>
      <c r="K1015" s="10">
        <v>7.95</v>
      </c>
      <c r="L1015" s="10">
        <v>15</v>
      </c>
      <c r="M1015" s="6" t="s">
        <v>425</v>
      </c>
      <c r="N1015" s="6" t="str">
        <f>IF(OR($G1015="FCC",$G1015="Hydrocracker",$G1015="Reformer"),IF(COUNTIFS($D:$D,$D1015,$A:$A,$A1015,$B:$B,$B1015,$G:$G,"CDU",$J:$J,"PLANNED")&gt;0,"tied","standalone"),"")</f>
        <v>standalone</v>
      </c>
    </row>
    <row r="1016" spans="1:14">
      <c r="A1016" s="6">
        <v>2023</v>
      </c>
      <c r="B1016" s="6">
        <v>4</v>
      </c>
      <c r="C1016" s="6" t="s">
        <v>63</v>
      </c>
      <c r="D1016" s="6" t="s">
        <v>777</v>
      </c>
      <c r="E1016" s="6" t="s">
        <v>778</v>
      </c>
      <c r="F1016" s="6" t="str">
        <f>IF($M1016="PADD I","PADD 1",IF($M1016="PADD II","PADD 2",IF($M1016="PADD III","PADD 3",IF($M1016="PADD IV","PADD 4",IF($M1016="PADD V","PADD 5","")))))</f>
        <v>PADD 1</v>
      </c>
      <c r="G1016" s="6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6" t="s">
        <v>44</v>
      </c>
      <c r="I1016" s="6" t="s">
        <v>570</v>
      </c>
      <c r="J1016" s="6" t="s">
        <v>398</v>
      </c>
      <c r="K1016" s="10">
        <v>7.76</v>
      </c>
      <c r="L1016" s="10">
        <v>8</v>
      </c>
      <c r="M1016" s="6" t="s">
        <v>463</v>
      </c>
      <c r="N1016" s="6">
        <f>IF(OR($G1016="FCC",$G1016="Hydrocracker",$G1016="Reformer"),IF(COUNTIFS($D:$D,$D1016,$A:$A,$A1016,$B:$B,$B1016,$G:$G,"CDU",$J:$J,"PLANNED")&gt;0,"tied","standalone"),"")</f>
        <v/>
      </c>
    </row>
    <row r="1017" spans="1:14">
      <c r="A1017" s="6">
        <v>2023</v>
      </c>
      <c r="B1017" s="6">
        <v>4</v>
      </c>
      <c r="C1017" s="6" t="s">
        <v>63</v>
      </c>
      <c r="D1017" s="6" t="s">
        <v>437</v>
      </c>
      <c r="E1017" s="6" t="s">
        <v>438</v>
      </c>
      <c r="F1017" s="6" t="str">
        <f>IF($M1017="PADD I","PADD 1",IF($M1017="PADD II","PADD 2",IF($M1017="PADD III","PADD 3",IF($M1017="PADD IV","PADD 4",IF($M1017="PADD V","PADD 5","")))))</f>
        <v>PADD 3</v>
      </c>
      <c r="G1017" s="6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6" t="s">
        <v>471</v>
      </c>
      <c r="I1017" s="6" t="s">
        <v>493</v>
      </c>
      <c r="J1017" s="6" t="s">
        <v>394</v>
      </c>
      <c r="K1017" s="10">
        <v>7.75</v>
      </c>
      <c r="L1017" s="10">
        <v>77.5</v>
      </c>
      <c r="M1017" s="6" t="s">
        <v>421</v>
      </c>
      <c r="N1017" s="6" t="str">
        <f>IF(OR($G1017="FCC",$G1017="Hydrocracker",$G1017="Reformer"),IF(COUNTIFS($D:$D,$D1017,$A:$A,$A1017,$B:$B,$B1017,$G:$G,"CDU",$J:$J,"PLANNED")&gt;0,"tied","standalone"),"")</f>
        <v>tied</v>
      </c>
    </row>
    <row r="1018" spans="1:14">
      <c r="A1018" s="6">
        <v>2023</v>
      </c>
      <c r="B1018" s="6">
        <v>4</v>
      </c>
      <c r="C1018" s="6" t="s">
        <v>63</v>
      </c>
      <c r="D1018" s="6" t="s">
        <v>470</v>
      </c>
      <c r="E1018" s="6" t="s">
        <v>423</v>
      </c>
      <c r="F1018" s="6" t="str">
        <f>IF($M1018="PADD I","PADD 1",IF($M1018="PADD II","PADD 2",IF($M1018="PADD III","PADD 3",IF($M1018="PADD IV","PADD 4",IF($M1018="PADD V","PADD 5","")))))</f>
        <v>PADD 2</v>
      </c>
      <c r="G1018" s="6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6" t="s">
        <v>44</v>
      </c>
      <c r="I1018" s="6" t="s">
        <v>627</v>
      </c>
      <c r="J1018" s="6" t="s">
        <v>394</v>
      </c>
      <c r="K1018" s="10">
        <v>7.7</v>
      </c>
      <c r="L1018" s="10">
        <v>7.7</v>
      </c>
      <c r="M1018" s="6" t="s">
        <v>425</v>
      </c>
      <c r="N1018" s="6">
        <f>IF(OR($G1018="FCC",$G1018="Hydrocracker",$G1018="Reformer"),IF(COUNTIFS($D:$D,$D1018,$A:$A,$A1018,$B:$B,$B1018,$G:$G,"CDU",$J:$J,"PLANNED")&gt;0,"tied","standalone"),"")</f>
        <v/>
      </c>
    </row>
    <row r="1019" spans="1:14">
      <c r="A1019" s="6">
        <v>2023</v>
      </c>
      <c r="B1019" s="6">
        <v>4</v>
      </c>
      <c r="C1019" s="6" t="s">
        <v>63</v>
      </c>
      <c r="D1019" s="6" t="s">
        <v>49</v>
      </c>
      <c r="E1019" s="6" t="s">
        <v>438</v>
      </c>
      <c r="F1019" s="6" t="str">
        <f>IF($M1019="PADD I","PADD 1",IF($M1019="PADD II","PADD 2",IF($M1019="PADD III","PADD 3",IF($M1019="PADD IV","PADD 4",IF($M1019="PADD V","PADD 5","")))))</f>
        <v>PADD 2</v>
      </c>
      <c r="G1019" s="6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6" t="s">
        <v>39</v>
      </c>
      <c r="I1019" s="6" t="s">
        <v>770</v>
      </c>
      <c r="J1019" s="6" t="s">
        <v>394</v>
      </c>
      <c r="K1019" s="10">
        <v>7.65</v>
      </c>
      <c r="L1019" s="10">
        <v>255</v>
      </c>
      <c r="M1019" s="6" t="s">
        <v>425</v>
      </c>
      <c r="N1019" s="6">
        <f>IF(OR($G1019="FCC",$G1019="Hydrocracker",$G1019="Reformer"),IF(COUNTIFS($D:$D,$D1019,$A:$A,$A1019,$B:$B,$B1019,$G:$G,"CDU",$J:$J,"PLANNED")&gt;0,"tied","standalone"),"")</f>
        <v/>
      </c>
    </row>
    <row r="1020" spans="1:14">
      <c r="A1020" s="6">
        <v>2023</v>
      </c>
      <c r="B1020" s="6">
        <v>4</v>
      </c>
      <c r="C1020" s="6" t="s">
        <v>63</v>
      </c>
      <c r="D1020" s="6" t="s">
        <v>437</v>
      </c>
      <c r="E1020" s="6" t="s">
        <v>438</v>
      </c>
      <c r="F1020" s="6" t="str">
        <f>IF($M1020="PADD I","PADD 1",IF($M1020="PADD II","PADD 2",IF($M1020="PADD III","PADD 3",IF($M1020="PADD IV","PADD 4",IF($M1020="PADD V","PADD 5","")))))</f>
        <v>PADD 3</v>
      </c>
      <c r="G1020" s="6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6" t="s">
        <v>485</v>
      </c>
      <c r="I1020" s="6" t="s">
        <v>640</v>
      </c>
      <c r="J1020" s="6" t="s">
        <v>394</v>
      </c>
      <c r="K1020" s="10">
        <v>7.59</v>
      </c>
      <c r="L1020" s="10">
        <v>33</v>
      </c>
      <c r="M1020" s="6" t="s">
        <v>421</v>
      </c>
      <c r="N1020" s="6">
        <f>IF(OR($G1020="FCC",$G1020="Hydrocracker",$G1020="Reformer"),IF(COUNTIFS($D:$D,$D1020,$A:$A,$A1020,$B:$B,$B1020,$G:$G,"CDU",$J:$J,"PLANNED")&gt;0,"tied","standalone"),"")</f>
        <v/>
      </c>
    </row>
    <row r="1021" spans="1:14">
      <c r="A1021" s="6">
        <v>2023</v>
      </c>
      <c r="B1021" s="6">
        <v>4</v>
      </c>
      <c r="C1021" s="6" t="s">
        <v>63</v>
      </c>
      <c r="D1021" s="6" t="s">
        <v>568</v>
      </c>
      <c r="E1021" s="6" t="s">
        <v>419</v>
      </c>
      <c r="F1021" s="6" t="str">
        <f>IF($M1021="PADD I","PADD 1",IF($M1021="PADD II","PADD 2",IF($M1021="PADD III","PADD 3",IF($M1021="PADD IV","PADD 4",IF($M1021="PADD V","PADD 5","")))))</f>
        <v>PADD 5</v>
      </c>
      <c r="G1021" s="6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6" t="s">
        <v>44</v>
      </c>
      <c r="I1021" s="6" t="s">
        <v>620</v>
      </c>
      <c r="J1021" s="6" t="s">
        <v>394</v>
      </c>
      <c r="K1021" s="10">
        <v>7.56</v>
      </c>
      <c r="L1021" s="10">
        <v>28</v>
      </c>
      <c r="M1021" s="6" t="s">
        <v>436</v>
      </c>
      <c r="N1021" s="6">
        <f>IF(OR($G1021="FCC",$G1021="Hydrocracker",$G1021="Reformer"),IF(COUNTIFS($D:$D,$D1021,$A:$A,$A1021,$B:$B,$B1021,$G:$G,"CDU",$J:$J,"PLANNED")&gt;0,"tied","standalone"),"")</f>
        <v/>
      </c>
    </row>
    <row r="1022" spans="1:14">
      <c r="A1022" s="6">
        <v>2023</v>
      </c>
      <c r="B1022" s="6">
        <v>4</v>
      </c>
      <c r="C1022" s="6" t="s">
        <v>63</v>
      </c>
      <c r="D1022" s="6" t="s">
        <v>853</v>
      </c>
      <c r="E1022" s="6" t="s">
        <v>438</v>
      </c>
      <c r="F1022" s="6" t="str">
        <f>IF($M1022="PADD I","PADD 1",IF($M1022="PADD II","PADD 2",IF($M1022="PADD III","PADD 3",IF($M1022="PADD IV","PADD 4",IF($M1022="PADD V","PADD 5","")))))</f>
        <v>PADD 2</v>
      </c>
      <c r="G1022" s="6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6" t="s">
        <v>44</v>
      </c>
      <c r="I1022" s="6" t="s">
        <v>570</v>
      </c>
      <c r="J1022" s="6" t="s">
        <v>394</v>
      </c>
      <c r="K1022" s="10">
        <v>7.56</v>
      </c>
      <c r="L1022" s="10">
        <v>28</v>
      </c>
      <c r="M1022" s="6" t="s">
        <v>425</v>
      </c>
      <c r="N1022" s="6">
        <f>IF(OR($G1022="FCC",$G1022="Hydrocracker",$G1022="Reformer"),IF(COUNTIFS($D:$D,$D1022,$A:$A,$A1022,$B:$B,$B1022,$G:$G,"CDU",$J:$J,"PLANNED")&gt;0,"tied","standalone"),"")</f>
        <v/>
      </c>
    </row>
    <row r="1023" spans="1:14">
      <c r="A1023" s="6">
        <v>2023</v>
      </c>
      <c r="B1023" s="6">
        <v>4</v>
      </c>
      <c r="C1023" s="6" t="s">
        <v>63</v>
      </c>
      <c r="D1023" s="6" t="s">
        <v>828</v>
      </c>
      <c r="E1023" s="6" t="s">
        <v>829</v>
      </c>
      <c r="F1023" s="6" t="str">
        <f>IF($M1023="PADD I","PADD 1",IF($M1023="PADD II","PADD 2",IF($M1023="PADD III","PADD 3",IF($M1023="PADD IV","PADD 4",IF($M1023="PADD V","PADD 5","")))))</f>
        <v>PADD 3</v>
      </c>
      <c r="G1023" s="6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6" t="s">
        <v>471</v>
      </c>
      <c r="I1023" s="6" t="s">
        <v>854</v>
      </c>
      <c r="J1023" s="6" t="s">
        <v>394</v>
      </c>
      <c r="K1023" s="10">
        <v>7.54</v>
      </c>
      <c r="L1023" s="10">
        <v>58</v>
      </c>
      <c r="M1023" s="6" t="s">
        <v>421</v>
      </c>
      <c r="N1023" s="6" t="str">
        <f>IF(OR($G1023="FCC",$G1023="Hydrocracker",$G1023="Reformer"),IF(COUNTIFS($D:$D,$D1023,$A:$A,$A1023,$B:$B,$B1023,$G:$G,"CDU",$J:$J,"PLANNED")&gt;0,"tied","standalone"),"")</f>
        <v>standalone</v>
      </c>
    </row>
    <row r="1024" spans="1:14">
      <c r="A1024" s="6">
        <v>2023</v>
      </c>
      <c r="B1024" s="6">
        <v>4</v>
      </c>
      <c r="C1024" s="6" t="s">
        <v>63</v>
      </c>
      <c r="D1024" s="6" t="s">
        <v>828</v>
      </c>
      <c r="E1024" s="6" t="s">
        <v>829</v>
      </c>
      <c r="F1024" s="6" t="str">
        <f>IF($M1024="PADD I","PADD 1",IF($M1024="PADD II","PADD 2",IF($M1024="PADD III","PADD 3",IF($M1024="PADD IV","PADD 4",IF($M1024="PADD V","PADD 5","")))))</f>
        <v>PADD 3</v>
      </c>
      <c r="G1024" s="6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6" t="s">
        <v>39</v>
      </c>
      <c r="I1024" s="6" t="s">
        <v>855</v>
      </c>
      <c r="J1024" s="6" t="s">
        <v>394</v>
      </c>
      <c r="K1024" s="10">
        <v>7.54</v>
      </c>
      <c r="L1024" s="10">
        <v>58</v>
      </c>
      <c r="M1024" s="6" t="s">
        <v>421</v>
      </c>
      <c r="N1024" s="6">
        <f>IF(OR($G1024="FCC",$G1024="Hydrocracker",$G1024="Reformer"),IF(COUNTIFS($D:$D,$D1024,$A:$A,$A1024,$B:$B,$B1024,$G:$G,"CDU",$J:$J,"PLANNED")&gt;0,"tied","standalone"),"")</f>
        <v/>
      </c>
    </row>
    <row r="1025" spans="1:14">
      <c r="A1025" s="6">
        <v>2023</v>
      </c>
      <c r="B1025" s="6">
        <v>4</v>
      </c>
      <c r="C1025" s="6" t="s">
        <v>63</v>
      </c>
      <c r="D1025" s="6" t="s">
        <v>470</v>
      </c>
      <c r="E1025" s="6" t="s">
        <v>423</v>
      </c>
      <c r="F1025" s="6" t="str">
        <f>IF($M1025="PADD I","PADD 1",IF($M1025="PADD II","PADD 2",IF($M1025="PADD III","PADD 3",IF($M1025="PADD IV","PADD 4",IF($M1025="PADD V","PADD 5","")))))</f>
        <v>PADD 2</v>
      </c>
      <c r="G1025" s="6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6" t="s">
        <v>44</v>
      </c>
      <c r="I1025" s="6" t="s">
        <v>508</v>
      </c>
      <c r="J1025" s="6" t="s">
        <v>394</v>
      </c>
      <c r="K1025" s="10">
        <v>7.5</v>
      </c>
      <c r="L1025" s="10">
        <v>7.5</v>
      </c>
      <c r="M1025" s="6" t="s">
        <v>425</v>
      </c>
      <c r="N1025" s="6">
        <f>IF(OR($G1025="FCC",$G1025="Hydrocracker",$G1025="Reformer"),IF(COUNTIFS($D:$D,$D1025,$A:$A,$A1025,$B:$B,$B1025,$G:$G,"CDU",$J:$J,"PLANNED")&gt;0,"tied","standalone"),"")</f>
        <v/>
      </c>
    </row>
    <row r="1026" spans="1:14">
      <c r="A1026" s="6">
        <v>2023</v>
      </c>
      <c r="B1026" s="6">
        <v>4</v>
      </c>
      <c r="C1026" s="6" t="s">
        <v>63</v>
      </c>
      <c r="D1026" s="6" t="s">
        <v>568</v>
      </c>
      <c r="E1026" s="6" t="s">
        <v>419</v>
      </c>
      <c r="F1026" s="6" t="str">
        <f>IF($M1026="PADD I","PADD 1",IF($M1026="PADD II","PADD 2",IF($M1026="PADD III","PADD 3",IF($M1026="PADD IV","PADD 4",IF($M1026="PADD V","PADD 5","")))))</f>
        <v>PADD 5</v>
      </c>
      <c r="G1026" s="6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6" t="s">
        <v>39</v>
      </c>
      <c r="I1026" s="6" t="s">
        <v>603</v>
      </c>
      <c r="J1026" s="6" t="s">
        <v>394</v>
      </c>
      <c r="K1026" s="10">
        <v>7.36</v>
      </c>
      <c r="L1026" s="10">
        <v>32</v>
      </c>
      <c r="M1026" s="6" t="s">
        <v>436</v>
      </c>
      <c r="N1026" s="6">
        <f>IF(OR($G1026="FCC",$G1026="Hydrocracker",$G1026="Reformer"),IF(COUNTIFS($D:$D,$D1026,$A:$A,$A1026,$B:$B,$B1026,$G:$G,"CDU",$J:$J,"PLANNED")&gt;0,"tied","standalone"),"")</f>
        <v/>
      </c>
    </row>
    <row r="1027" spans="1:14">
      <c r="A1027" s="6">
        <v>2023</v>
      </c>
      <c r="B1027" s="6">
        <v>4</v>
      </c>
      <c r="C1027" s="6" t="s">
        <v>63</v>
      </c>
      <c r="D1027" s="6" t="s">
        <v>496</v>
      </c>
      <c r="E1027" s="6" t="s">
        <v>441</v>
      </c>
      <c r="F1027" s="6" t="str">
        <f>IF($M1027="PADD I","PADD 1",IF($M1027="PADD II","PADD 2",IF($M1027="PADD III","PADD 3",IF($M1027="PADD IV","PADD 4",IF($M1027="PADD V","PADD 5","")))))</f>
        <v>PADD 3</v>
      </c>
      <c r="G1027" s="6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6" t="s">
        <v>510</v>
      </c>
      <c r="I1027" s="6" t="s">
        <v>630</v>
      </c>
      <c r="J1027" s="6" t="s">
        <v>394</v>
      </c>
      <c r="K1027" s="10">
        <v>7.2</v>
      </c>
      <c r="L1027" s="10">
        <v>7.2</v>
      </c>
      <c r="M1027" s="6" t="s">
        <v>421</v>
      </c>
      <c r="N1027" s="6">
        <f>IF(OR($G1027="FCC",$G1027="Hydrocracker",$G1027="Reformer"),IF(COUNTIFS($D:$D,$D1027,$A:$A,$A1027,$B:$B,$B1027,$G:$G,"CDU",$J:$J,"PLANNED")&gt;0,"tied","standalone"),"")</f>
        <v/>
      </c>
    </row>
    <row r="1028" spans="1:14">
      <c r="A1028" s="6">
        <v>2023</v>
      </c>
      <c r="B1028" s="6">
        <v>4</v>
      </c>
      <c r="C1028" s="6" t="s">
        <v>63</v>
      </c>
      <c r="D1028" s="6" t="s">
        <v>828</v>
      </c>
      <c r="E1028" s="6" t="s">
        <v>829</v>
      </c>
      <c r="F1028" s="6" t="str">
        <f>IF($M1028="PADD I","PADD 1",IF($M1028="PADD II","PADD 2",IF($M1028="PADD III","PADD 3",IF($M1028="PADD IV","PADD 4",IF($M1028="PADD V","PADD 5","")))))</f>
        <v>PADD 3</v>
      </c>
      <c r="G1028" s="6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6" t="s">
        <v>426</v>
      </c>
      <c r="I1028" s="6" t="s">
        <v>856</v>
      </c>
      <c r="J1028" s="6" t="s">
        <v>394</v>
      </c>
      <c r="K1028" s="10">
        <v>7.15</v>
      </c>
      <c r="L1028" s="10">
        <v>55</v>
      </c>
      <c r="M1028" s="6" t="s">
        <v>421</v>
      </c>
      <c r="N1028" s="6" t="str">
        <f>IF(OR($G1028="FCC",$G1028="Hydrocracker",$G1028="Reformer"),IF(COUNTIFS($D:$D,$D1028,$A:$A,$A1028,$B:$B,$B1028,$G:$G,"CDU",$J:$J,"PLANNED")&gt;0,"tied","standalone"),"")</f>
        <v>standalone</v>
      </c>
    </row>
    <row r="1029" spans="1:14">
      <c r="A1029" s="6">
        <v>2023</v>
      </c>
      <c r="B1029" s="6">
        <v>4</v>
      </c>
      <c r="C1029" s="6" t="s">
        <v>63</v>
      </c>
      <c r="D1029" s="6" t="s">
        <v>857</v>
      </c>
      <c r="E1029" s="6" t="s">
        <v>829</v>
      </c>
      <c r="F1029" s="6" t="str">
        <f>IF($M1029="PADD I","PADD 1",IF($M1029="PADD II","PADD 2",IF($M1029="PADD III","PADD 3",IF($M1029="PADD IV","PADD 4",IF($M1029="PADD V","PADD 5","")))))</f>
        <v>PADD 3</v>
      </c>
      <c r="G1029" s="6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6" t="s">
        <v>426</v>
      </c>
      <c r="I1029" s="6" t="s">
        <v>478</v>
      </c>
      <c r="J1029" s="6" t="s">
        <v>394</v>
      </c>
      <c r="K1029" s="10">
        <v>7.15</v>
      </c>
      <c r="L1029" s="10">
        <v>55</v>
      </c>
      <c r="M1029" s="6" t="s">
        <v>421</v>
      </c>
      <c r="N1029" s="6" t="str">
        <f>IF(OR($G1029="FCC",$G1029="Hydrocracker",$G1029="Reformer"),IF(COUNTIFS($D:$D,$D1029,$A:$A,$A1029,$B:$B,$B1029,$G:$G,"CDU",$J:$J,"PLANNED")&gt;0,"tied","standalone"),"")</f>
        <v>standalone</v>
      </c>
    </row>
    <row r="1030" spans="1:14">
      <c r="A1030" s="6">
        <v>2023</v>
      </c>
      <c r="B1030" s="6">
        <v>4</v>
      </c>
      <c r="C1030" s="6" t="s">
        <v>63</v>
      </c>
      <c r="D1030" s="6" t="s">
        <v>53</v>
      </c>
      <c r="E1030" s="6" t="s">
        <v>438</v>
      </c>
      <c r="F1030" s="6" t="str">
        <f>IF($M1030="PADD I","PADD 1",IF($M1030="PADD II","PADD 2",IF($M1030="PADD III","PADD 3",IF($M1030="PADD IV","PADD 4",IF($M1030="PADD V","PADD 5","")))))</f>
        <v>PADD 5</v>
      </c>
      <c r="G1030" s="6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6" t="s">
        <v>494</v>
      </c>
      <c r="I1030" s="6" t="s">
        <v>14</v>
      </c>
      <c r="J1030" s="6" t="s">
        <v>398</v>
      </c>
      <c r="K1030" s="10">
        <v>7.125</v>
      </c>
      <c r="L1030" s="10">
        <v>12.5</v>
      </c>
      <c r="M1030" s="6" t="s">
        <v>436</v>
      </c>
      <c r="N1030" s="6" t="str">
        <f>IF(OR($G1030="FCC",$G1030="Hydrocracker",$G1030="Reformer"),IF(COUNTIFS($D:$D,$D1030,$A:$A,$A1030,$B:$B,$B1030,$G:$G,"CDU",$J:$J,"PLANNED")&gt;0,"tied","standalone"),"")</f>
        <v>tied</v>
      </c>
    </row>
    <row r="1031" spans="1:14">
      <c r="A1031" s="6">
        <v>2023</v>
      </c>
      <c r="B1031" s="6">
        <v>4</v>
      </c>
      <c r="C1031" s="6" t="s">
        <v>63</v>
      </c>
      <c r="D1031" s="6" t="s">
        <v>568</v>
      </c>
      <c r="E1031" s="6" t="s">
        <v>419</v>
      </c>
      <c r="F1031" s="6" t="str">
        <f>IF($M1031="PADD I","PADD 1",IF($M1031="PADD II","PADD 2",IF($M1031="PADD III","PADD 3",IF($M1031="PADD IV","PADD 4",IF($M1031="PADD V","PADD 5","")))))</f>
        <v>PADD 5</v>
      </c>
      <c r="G1031" s="6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6" t="s">
        <v>485</v>
      </c>
      <c r="I1031" s="6" t="s">
        <v>628</v>
      </c>
      <c r="J1031" s="6" t="s">
        <v>394</v>
      </c>
      <c r="K1031" s="10">
        <v>7.02</v>
      </c>
      <c r="L1031" s="10">
        <v>26</v>
      </c>
      <c r="M1031" s="6" t="s">
        <v>436</v>
      </c>
      <c r="N1031" s="6">
        <f>IF(OR($G1031="FCC",$G1031="Hydrocracker",$G1031="Reformer"),IF(COUNTIFS($D:$D,$D1031,$A:$A,$A1031,$B:$B,$B1031,$G:$G,"CDU",$J:$J,"PLANNED")&gt;0,"tied","standalone"),"")</f>
        <v/>
      </c>
    </row>
    <row r="1032" spans="1:14">
      <c r="A1032" s="6">
        <v>2023</v>
      </c>
      <c r="B1032" s="6">
        <v>4</v>
      </c>
      <c r="C1032" s="6" t="s">
        <v>63</v>
      </c>
      <c r="D1032" s="6" t="s">
        <v>828</v>
      </c>
      <c r="E1032" s="6" t="s">
        <v>829</v>
      </c>
      <c r="F1032" s="6" t="str">
        <f>IF($M1032="PADD I","PADD 1",IF($M1032="PADD II","PADD 2",IF($M1032="PADD III","PADD 3",IF($M1032="PADD IV","PADD 4",IF($M1032="PADD V","PADD 5","")))))</f>
        <v>PADD 3</v>
      </c>
      <c r="G1032" s="6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6" t="s">
        <v>44</v>
      </c>
      <c r="I1032" s="6" t="s">
        <v>858</v>
      </c>
      <c r="J1032" s="6" t="s">
        <v>394</v>
      </c>
      <c r="K1032" s="10">
        <v>6.89</v>
      </c>
      <c r="L1032" s="10">
        <v>53</v>
      </c>
      <c r="M1032" s="6" t="s">
        <v>421</v>
      </c>
      <c r="N1032" s="6">
        <f>IF(OR($G1032="FCC",$G1032="Hydrocracker",$G1032="Reformer"),IF(COUNTIFS($D:$D,$D1032,$A:$A,$A1032,$B:$B,$B1032,$G:$G,"CDU",$J:$J,"PLANNED")&gt;0,"tied","standalone"),"")</f>
        <v/>
      </c>
    </row>
    <row r="1033" spans="1:14">
      <c r="A1033" s="6">
        <v>2023</v>
      </c>
      <c r="B1033" s="6">
        <v>4</v>
      </c>
      <c r="C1033" s="6" t="s">
        <v>63</v>
      </c>
      <c r="D1033" s="6" t="s">
        <v>53</v>
      </c>
      <c r="E1033" s="6" t="s">
        <v>438</v>
      </c>
      <c r="F1033" s="6" t="str">
        <f>IF($M1033="PADD I","PADD 1",IF($M1033="PADD II","PADD 2",IF($M1033="PADD III","PADD 3",IF($M1033="PADD IV","PADD 4",IF($M1033="PADD V","PADD 5","")))))</f>
        <v>PADD 5</v>
      </c>
      <c r="G1033" s="6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6" t="s">
        <v>471</v>
      </c>
      <c r="I1033" s="6" t="s">
        <v>775</v>
      </c>
      <c r="J1033" s="6" t="s">
        <v>398</v>
      </c>
      <c r="K1033" s="10">
        <v>6.84</v>
      </c>
      <c r="L1033" s="10">
        <v>12</v>
      </c>
      <c r="M1033" s="6" t="s">
        <v>436</v>
      </c>
      <c r="N1033" s="6" t="str">
        <f>IF(OR($G1033="FCC",$G1033="Hydrocracker",$G1033="Reformer"),IF(COUNTIFS($D:$D,$D1033,$A:$A,$A1033,$B:$B,$B1033,$G:$G,"CDU",$J:$J,"PLANNED")&gt;0,"tied","standalone"),"")</f>
        <v>tied</v>
      </c>
    </row>
    <row r="1034" spans="1:14">
      <c r="A1034" s="6">
        <v>2023</v>
      </c>
      <c r="B1034" s="6">
        <v>4</v>
      </c>
      <c r="C1034" s="6" t="s">
        <v>63</v>
      </c>
      <c r="D1034" s="6" t="s">
        <v>568</v>
      </c>
      <c r="E1034" s="6" t="s">
        <v>419</v>
      </c>
      <c r="F1034" s="6" t="str">
        <f>IF($M1034="PADD I","PADD 1",IF($M1034="PADD II","PADD 2",IF($M1034="PADD III","PADD 3",IF($M1034="PADD IV","PADD 4",IF($M1034="PADD V","PADD 5","")))))</f>
        <v>PADD 5</v>
      </c>
      <c r="G1034" s="6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6" t="s">
        <v>44</v>
      </c>
      <c r="I1034" s="6" t="s">
        <v>629</v>
      </c>
      <c r="J1034" s="6" t="s">
        <v>394</v>
      </c>
      <c r="K1034" s="10">
        <v>6.75</v>
      </c>
      <c r="L1034" s="10">
        <v>25</v>
      </c>
      <c r="M1034" s="6" t="s">
        <v>436</v>
      </c>
      <c r="N1034" s="6">
        <f>IF(OR($G1034="FCC",$G1034="Hydrocracker",$G1034="Reformer"),IF(COUNTIFS($D:$D,$D1034,$A:$A,$A1034,$B:$B,$B1034,$G:$G,"CDU",$J:$J,"PLANNED")&gt;0,"tied","standalone"),"")</f>
        <v/>
      </c>
    </row>
    <row r="1035" spans="1:14">
      <c r="A1035" s="6">
        <v>2023</v>
      </c>
      <c r="B1035" s="6">
        <v>4</v>
      </c>
      <c r="C1035" s="6" t="s">
        <v>63</v>
      </c>
      <c r="D1035" s="6" t="s">
        <v>512</v>
      </c>
      <c r="E1035" s="6" t="s">
        <v>488</v>
      </c>
      <c r="F1035" s="6" t="str">
        <f>IF($M1035="PADD I","PADD 1",IF($M1035="PADD II","PADD 2",IF($M1035="PADD III","PADD 3",IF($M1035="PADD IV","PADD 4",IF($M1035="PADD V","PADD 5","")))))</f>
        <v>PADD 4</v>
      </c>
      <c r="G1035" s="6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6" t="s">
        <v>39</v>
      </c>
      <c r="I1035" s="6" t="s">
        <v>124</v>
      </c>
      <c r="J1035" s="6" t="s">
        <v>394</v>
      </c>
      <c r="K1035" s="10">
        <v>6.74</v>
      </c>
      <c r="L1035" s="10">
        <v>33.7</v>
      </c>
      <c r="M1035" s="6" t="s">
        <v>480</v>
      </c>
      <c r="N1035" s="6">
        <f>IF(OR($G1035="FCC",$G1035="Hydrocracker",$G1035="Reformer"),IF(COUNTIFS($D:$D,$D1035,$A:$A,$A1035,$B:$B,$B1035,$G:$G,"CDU",$J:$J,"PLANNED")&gt;0,"tied","standalone"),"")</f>
        <v/>
      </c>
    </row>
    <row r="1036" spans="1:14">
      <c r="A1036" s="6">
        <v>2023</v>
      </c>
      <c r="B1036" s="6">
        <v>4</v>
      </c>
      <c r="C1036" s="6" t="s">
        <v>63</v>
      </c>
      <c r="D1036" s="6" t="s">
        <v>725</v>
      </c>
      <c r="E1036" s="6" t="s">
        <v>502</v>
      </c>
      <c r="F1036" s="6" t="str">
        <f>IF($M1036="PADD I","PADD 1",IF($M1036="PADD II","PADD 2",IF($M1036="PADD III","PADD 3",IF($M1036="PADD IV","PADD 4",IF($M1036="PADD V","PADD 5","")))))</f>
        <v>PADD 2</v>
      </c>
      <c r="G1036" s="6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6" t="s">
        <v>44</v>
      </c>
      <c r="I1036" s="6" t="s">
        <v>769</v>
      </c>
      <c r="J1036" s="6" t="s">
        <v>398</v>
      </c>
      <c r="K1036" s="10">
        <v>6.7</v>
      </c>
      <c r="L1036" s="10">
        <v>10</v>
      </c>
      <c r="M1036" s="6" t="s">
        <v>425</v>
      </c>
      <c r="N1036" s="6">
        <f>IF(OR($G1036="FCC",$G1036="Hydrocracker",$G1036="Reformer"),IF(COUNTIFS($D:$D,$D1036,$A:$A,$A1036,$B:$B,$B1036,$G:$G,"CDU",$J:$J,"PLANNED")&gt;0,"tied","standalone"),"")</f>
        <v/>
      </c>
    </row>
    <row r="1037" spans="1:14">
      <c r="A1037" s="6">
        <v>2023</v>
      </c>
      <c r="B1037" s="6">
        <v>4</v>
      </c>
      <c r="C1037" s="6" t="s">
        <v>63</v>
      </c>
      <c r="D1037" s="6" t="s">
        <v>437</v>
      </c>
      <c r="E1037" s="6" t="s">
        <v>438</v>
      </c>
      <c r="F1037" s="6" t="str">
        <f>IF($M1037="PADD I","PADD 1",IF($M1037="PADD II","PADD 2",IF($M1037="PADD III","PADD 3",IF($M1037="PADD IV","PADD 4",IF($M1037="PADD V","PADD 5","")))))</f>
        <v>PADD 3</v>
      </c>
      <c r="G1037" s="6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6" t="s">
        <v>471</v>
      </c>
      <c r="I1037" s="6" t="s">
        <v>633</v>
      </c>
      <c r="J1037" s="6" t="s">
        <v>394</v>
      </c>
      <c r="K1037" s="10">
        <v>6.55</v>
      </c>
      <c r="L1037" s="10">
        <v>65.5</v>
      </c>
      <c r="M1037" s="6" t="s">
        <v>421</v>
      </c>
      <c r="N1037" s="6" t="str">
        <f>IF(OR($G1037="FCC",$G1037="Hydrocracker",$G1037="Reformer"),IF(COUNTIFS($D:$D,$D1037,$A:$A,$A1037,$B:$B,$B1037,$G:$G,"CDU",$J:$J,"PLANNED")&gt;0,"tied","standalone"),"")</f>
        <v>tied</v>
      </c>
    </row>
    <row r="1038" spans="1:14">
      <c r="A1038" s="6">
        <v>2023</v>
      </c>
      <c r="B1038" s="6">
        <v>4</v>
      </c>
      <c r="C1038" s="6" t="s">
        <v>63</v>
      </c>
      <c r="D1038" s="6" t="s">
        <v>828</v>
      </c>
      <c r="E1038" s="6" t="s">
        <v>829</v>
      </c>
      <c r="F1038" s="6" t="str">
        <f>IF($M1038="PADD I","PADD 1",IF($M1038="PADD II","PADD 2",IF($M1038="PADD III","PADD 3",IF($M1038="PADD IV","PADD 4",IF($M1038="PADD V","PADD 5","")))))</f>
        <v>PADD 3</v>
      </c>
      <c r="G1038" s="6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6" t="s">
        <v>44</v>
      </c>
      <c r="I1038" s="6" t="s">
        <v>859</v>
      </c>
      <c r="J1038" s="6" t="s">
        <v>394</v>
      </c>
      <c r="K1038" s="10">
        <v>6.5</v>
      </c>
      <c r="L1038" s="10">
        <v>50</v>
      </c>
      <c r="M1038" s="6" t="s">
        <v>421</v>
      </c>
      <c r="N1038" s="6">
        <f>IF(OR($G1038="FCC",$G1038="Hydrocracker",$G1038="Reformer"),IF(COUNTIFS($D:$D,$D1038,$A:$A,$A1038,$B:$B,$B1038,$G:$G,"CDU",$J:$J,"PLANNED")&gt;0,"tied","standalone"),"")</f>
        <v/>
      </c>
    </row>
    <row r="1039" spans="1:14">
      <c r="A1039" s="6">
        <v>2023</v>
      </c>
      <c r="B1039" s="6">
        <v>4</v>
      </c>
      <c r="C1039" s="6" t="s">
        <v>63</v>
      </c>
      <c r="D1039" s="6" t="s">
        <v>857</v>
      </c>
      <c r="E1039" s="6" t="s">
        <v>829</v>
      </c>
      <c r="F1039" s="6" t="str">
        <f>IF($M1039="PADD I","PADD 1",IF($M1039="PADD II","PADD 2",IF($M1039="PADD III","PADD 3",IF($M1039="PADD IV","PADD 4",IF($M1039="PADD V","PADD 5","")))))</f>
        <v>PADD 3</v>
      </c>
      <c r="G1039" s="6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6" t="s">
        <v>44</v>
      </c>
      <c r="I1039" s="6" t="s">
        <v>843</v>
      </c>
      <c r="J1039" s="6" t="s">
        <v>394</v>
      </c>
      <c r="K1039" s="10">
        <v>6.5</v>
      </c>
      <c r="L1039" s="10">
        <v>50</v>
      </c>
      <c r="M1039" s="6" t="s">
        <v>421</v>
      </c>
      <c r="N1039" s="6">
        <f>IF(OR($G1039="FCC",$G1039="Hydrocracker",$G1039="Reformer"),IF(COUNTIFS($D:$D,$D1039,$A:$A,$A1039,$B:$B,$B1039,$G:$G,"CDU",$J:$J,"PLANNED")&gt;0,"tied","standalone"),"")</f>
        <v/>
      </c>
    </row>
    <row r="1040" spans="1:14">
      <c r="A1040" s="6">
        <v>2023</v>
      </c>
      <c r="B1040" s="6">
        <v>4</v>
      </c>
      <c r="C1040" s="6" t="s">
        <v>63</v>
      </c>
      <c r="D1040" s="6" t="s">
        <v>820</v>
      </c>
      <c r="E1040" s="6" t="s">
        <v>710</v>
      </c>
      <c r="F1040" s="6" t="str">
        <f>IF($M1040="PADD I","PADD 1",IF($M1040="PADD II","PADD 2",IF($M1040="PADD III","PADD 3",IF($M1040="PADD IV","PADD 4",IF($M1040="PADD V","PADD 5","")))))</f>
        <v>PADD 3</v>
      </c>
      <c r="G1040" s="6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6" t="s">
        <v>471</v>
      </c>
      <c r="I1040" s="6" t="s">
        <v>860</v>
      </c>
      <c r="J1040" s="6" t="s">
        <v>398</v>
      </c>
      <c r="K1040" s="10">
        <v>6.4</v>
      </c>
      <c r="L1040" s="10">
        <v>6.4</v>
      </c>
      <c r="M1040" s="6" t="s">
        <v>421</v>
      </c>
      <c r="N1040" s="6" t="str">
        <f>IF(OR($G1040="FCC",$G1040="Hydrocracker",$G1040="Reformer"),IF(COUNTIFS($D:$D,$D1040,$A:$A,$A1040,$B:$B,$B1040,$G:$G,"CDU",$J:$J,"PLANNED")&gt;0,"tied","standalone"),"")</f>
        <v>tied</v>
      </c>
    </row>
    <row r="1041" spans="1:14">
      <c r="A1041" s="6">
        <v>2023</v>
      </c>
      <c r="B1041" s="6">
        <v>4</v>
      </c>
      <c r="C1041" s="6" t="s">
        <v>63</v>
      </c>
      <c r="D1041" s="6" t="s">
        <v>828</v>
      </c>
      <c r="E1041" s="6" t="s">
        <v>829</v>
      </c>
      <c r="F1041" s="6" t="str">
        <f>IF($M1041="PADD I","PADD 1",IF($M1041="PADD II","PADD 2",IF($M1041="PADD III","PADD 3",IF($M1041="PADD IV","PADD 4",IF($M1041="PADD V","PADD 5","")))))</f>
        <v>PADD 3</v>
      </c>
      <c r="G1041" s="6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6" t="s">
        <v>44</v>
      </c>
      <c r="I1041" s="6" t="s">
        <v>861</v>
      </c>
      <c r="J1041" s="6" t="s">
        <v>394</v>
      </c>
      <c r="K1041" s="10">
        <v>6.24</v>
      </c>
      <c r="L1041" s="10">
        <v>48</v>
      </c>
      <c r="M1041" s="6" t="s">
        <v>421</v>
      </c>
      <c r="N1041" s="6">
        <f>IF(OR($G1041="FCC",$G1041="Hydrocracker",$G1041="Reformer"),IF(COUNTIFS($D:$D,$D1041,$A:$A,$A1041,$B:$B,$B1041,$G:$G,"CDU",$J:$J,"PLANNED")&gt;0,"tied","standalone"),"")</f>
        <v/>
      </c>
    </row>
    <row r="1042" spans="1:14">
      <c r="A1042" s="6">
        <v>2023</v>
      </c>
      <c r="B1042" s="6">
        <v>4</v>
      </c>
      <c r="C1042" s="6" t="s">
        <v>63</v>
      </c>
      <c r="D1042" s="6" t="s">
        <v>568</v>
      </c>
      <c r="E1042" s="6" t="s">
        <v>419</v>
      </c>
      <c r="F1042" s="6" t="str">
        <f>IF($M1042="PADD I","PADD 1",IF($M1042="PADD II","PADD 2",IF($M1042="PADD III","PADD 3",IF($M1042="PADD IV","PADD 4",IF($M1042="PADD V","PADD 5","")))))</f>
        <v>PADD 5</v>
      </c>
      <c r="G1042" s="6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6" t="s">
        <v>631</v>
      </c>
      <c r="I1042" s="6" t="s">
        <v>632</v>
      </c>
      <c r="J1042" s="6" t="s">
        <v>394</v>
      </c>
      <c r="K1042" s="10">
        <v>6.21</v>
      </c>
      <c r="L1042" s="10">
        <v>23</v>
      </c>
      <c r="M1042" s="6" t="s">
        <v>436</v>
      </c>
      <c r="N1042" s="6" t="str">
        <f>IF(OR($G1042="FCC",$G1042="Hydrocracker",$G1042="Reformer"),IF(COUNTIFS($D:$D,$D1042,$A:$A,$A1042,$B:$B,$B1042,$G:$G,"CDU",$J:$J,"PLANNED")&gt;0,"tied","standalone"),"")</f>
        <v>standalone</v>
      </c>
    </row>
    <row r="1043" spans="1:14">
      <c r="A1043" s="6">
        <v>2023</v>
      </c>
      <c r="B1043" s="6">
        <v>4</v>
      </c>
      <c r="C1043" s="6" t="s">
        <v>63</v>
      </c>
      <c r="D1043" s="6" t="s">
        <v>568</v>
      </c>
      <c r="E1043" s="6" t="s">
        <v>419</v>
      </c>
      <c r="F1043" s="6" t="str">
        <f>IF($M1043="PADD I","PADD 1",IF($M1043="PADD II","PADD 2",IF($M1043="PADD III","PADD 3",IF($M1043="PADD IV","PADD 4",IF($M1043="PADD V","PADD 5","")))))</f>
        <v>PADD 5</v>
      </c>
      <c r="G1043" s="6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6" t="s">
        <v>494</v>
      </c>
      <c r="I1043" s="6" t="s">
        <v>632</v>
      </c>
      <c r="J1043" s="6" t="s">
        <v>394</v>
      </c>
      <c r="K1043" s="10">
        <v>6.21</v>
      </c>
      <c r="L1043" s="10">
        <v>23</v>
      </c>
      <c r="M1043" s="6" t="s">
        <v>436</v>
      </c>
      <c r="N1043" s="6" t="str">
        <f>IF(OR($G1043="FCC",$G1043="Hydrocracker",$G1043="Reformer"),IF(COUNTIFS($D:$D,$D1043,$A:$A,$A1043,$B:$B,$B1043,$G:$G,"CDU",$J:$J,"PLANNED")&gt;0,"tied","standalone"),"")</f>
        <v>standalone</v>
      </c>
    </row>
    <row r="1044" spans="1:14">
      <c r="A1044" s="6">
        <v>2023</v>
      </c>
      <c r="B1044" s="6">
        <v>4</v>
      </c>
      <c r="C1044" s="6" t="s">
        <v>63</v>
      </c>
      <c r="D1044" s="6" t="s">
        <v>487</v>
      </c>
      <c r="E1044" s="6" t="s">
        <v>488</v>
      </c>
      <c r="F1044" s="6" t="str">
        <f>IF($M1044="PADD I","PADD 1",IF($M1044="PADD II","PADD 2",IF($M1044="PADD III","PADD 3",IF($M1044="PADD IV","PADD 4",IF($M1044="PADD V","PADD 5","")))))</f>
        <v>PADD 4</v>
      </c>
      <c r="G1044" s="6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6" t="s">
        <v>428</v>
      </c>
      <c r="I1044" s="6" t="s">
        <v>544</v>
      </c>
      <c r="J1044" s="6" t="s">
        <v>394</v>
      </c>
      <c r="K1044" s="10">
        <v>6</v>
      </c>
      <c r="L1044" s="10">
        <v>20</v>
      </c>
      <c r="M1044" s="6" t="s">
        <v>480</v>
      </c>
      <c r="N1044" s="6">
        <f>IF(OR($G1044="FCC",$G1044="Hydrocracker",$G1044="Reformer"),IF(COUNTIFS($D:$D,$D1044,$A:$A,$A1044,$B:$B,$B1044,$G:$G,"CDU",$J:$J,"PLANNED")&gt;0,"tied","standalone"),"")</f>
        <v/>
      </c>
    </row>
    <row r="1045" spans="1:14">
      <c r="A1045" s="6">
        <v>2023</v>
      </c>
      <c r="B1045" s="6">
        <v>4</v>
      </c>
      <c r="C1045" s="6" t="s">
        <v>63</v>
      </c>
      <c r="D1045" s="6" t="s">
        <v>512</v>
      </c>
      <c r="E1045" s="6" t="s">
        <v>488</v>
      </c>
      <c r="F1045" s="6" t="str">
        <f>IF($M1045="PADD I","PADD 1",IF($M1045="PADD II","PADD 2",IF($M1045="PADD III","PADD 3",IF($M1045="PADD IV","PADD 4",IF($M1045="PADD V","PADD 5","")))))</f>
        <v>PADD 4</v>
      </c>
      <c r="G1045" s="6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6" t="s">
        <v>44</v>
      </c>
      <c r="I1045" s="6" t="s">
        <v>545</v>
      </c>
      <c r="J1045" s="6" t="s">
        <v>394</v>
      </c>
      <c r="K1045" s="10">
        <v>6</v>
      </c>
      <c r="L1045" s="10">
        <v>20</v>
      </c>
      <c r="M1045" s="6" t="s">
        <v>480</v>
      </c>
      <c r="N1045" s="6">
        <f>IF(OR($G1045="FCC",$G1045="Hydrocracker",$G1045="Reformer"),IF(COUNTIFS($D:$D,$D1045,$A:$A,$A1045,$B:$B,$B1045,$G:$G,"CDU",$J:$J,"PLANNED")&gt;0,"tied","standalone"),"")</f>
        <v/>
      </c>
    </row>
    <row r="1046" spans="1:14">
      <c r="A1046" s="6">
        <v>2023</v>
      </c>
      <c r="B1046" s="6">
        <v>4</v>
      </c>
      <c r="C1046" s="6" t="s">
        <v>63</v>
      </c>
      <c r="D1046" s="6" t="s">
        <v>828</v>
      </c>
      <c r="E1046" s="6" t="s">
        <v>829</v>
      </c>
      <c r="F1046" s="6" t="str">
        <f>IF($M1046="PADD I","PADD 1",IF($M1046="PADD II","PADD 2",IF($M1046="PADD III","PADD 3",IF($M1046="PADD IV","PADD 4",IF($M1046="PADD V","PADD 5","")))))</f>
        <v>PADD 3</v>
      </c>
      <c r="G1046" s="6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6" t="s">
        <v>44</v>
      </c>
      <c r="I1046" s="6" t="s">
        <v>444</v>
      </c>
      <c r="J1046" s="6" t="s">
        <v>394</v>
      </c>
      <c r="K1046" s="10">
        <v>5.85</v>
      </c>
      <c r="L1046" s="10">
        <v>45</v>
      </c>
      <c r="M1046" s="6" t="s">
        <v>421</v>
      </c>
      <c r="N1046" s="6">
        <f>IF(OR($G1046="FCC",$G1046="Hydrocracker",$G1046="Reformer"),IF(COUNTIFS($D:$D,$D1046,$A:$A,$A1046,$B:$B,$B1046,$G:$G,"CDU",$J:$J,"PLANNED")&gt;0,"tied","standalone"),"")</f>
        <v/>
      </c>
    </row>
    <row r="1047" spans="1:14">
      <c r="A1047" s="6">
        <v>2023</v>
      </c>
      <c r="B1047" s="6">
        <v>4</v>
      </c>
      <c r="C1047" s="6" t="s">
        <v>63</v>
      </c>
      <c r="D1047" s="6" t="s">
        <v>568</v>
      </c>
      <c r="E1047" s="6" t="s">
        <v>419</v>
      </c>
      <c r="F1047" s="6" t="str">
        <f>IF($M1047="PADD I","PADD 1",IF($M1047="PADD II","PADD 2",IF($M1047="PADD III","PADD 3",IF($M1047="PADD IV","PADD 4",IF($M1047="PADD V","PADD 5","")))))</f>
        <v>PADD 5</v>
      </c>
      <c r="G1047" s="6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6" t="s">
        <v>471</v>
      </c>
      <c r="I1047" s="6" t="s">
        <v>636</v>
      </c>
      <c r="J1047" s="6" t="s">
        <v>394</v>
      </c>
      <c r="K1047" s="10">
        <v>5.55</v>
      </c>
      <c r="L1047" s="10">
        <v>18.5</v>
      </c>
      <c r="M1047" s="6" t="s">
        <v>436</v>
      </c>
      <c r="N1047" s="6" t="str">
        <f>IF(OR($G1047="FCC",$G1047="Hydrocracker",$G1047="Reformer"),IF(COUNTIFS($D:$D,$D1047,$A:$A,$A1047,$B:$B,$B1047,$G:$G,"CDU",$J:$J,"PLANNED")&gt;0,"tied","standalone"),"")</f>
        <v>standalone</v>
      </c>
    </row>
    <row r="1048" spans="1:14">
      <c r="A1048" s="6">
        <v>2023</v>
      </c>
      <c r="B1048" s="6">
        <v>4</v>
      </c>
      <c r="C1048" s="6" t="s">
        <v>63</v>
      </c>
      <c r="D1048" s="6" t="s">
        <v>470</v>
      </c>
      <c r="E1048" s="6" t="s">
        <v>423</v>
      </c>
      <c r="F1048" s="6" t="str">
        <f>IF($M1048="PADD I","PADD 1",IF($M1048="PADD II","PADD 2",IF($M1048="PADD III","PADD 3",IF($M1048="PADD IV","PADD 4",IF($M1048="PADD V","PADD 5","")))))</f>
        <v>PADD 2</v>
      </c>
      <c r="G1048" s="6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6" t="s">
        <v>44</v>
      </c>
      <c r="I1048" s="6" t="s">
        <v>638</v>
      </c>
      <c r="J1048" s="6" t="s">
        <v>394</v>
      </c>
      <c r="K1048" s="10">
        <v>5.5</v>
      </c>
      <c r="L1048" s="10">
        <v>5.5</v>
      </c>
      <c r="M1048" s="6" t="s">
        <v>425</v>
      </c>
      <c r="N1048" s="6">
        <f>IF(OR($G1048="FCC",$G1048="Hydrocracker",$G1048="Reformer"),IF(COUNTIFS($D:$D,$D1048,$A:$A,$A1048,$B:$B,$B1048,$G:$G,"CDU",$J:$J,"PLANNED")&gt;0,"tied","standalone"),"")</f>
        <v/>
      </c>
    </row>
    <row r="1049" spans="1:14">
      <c r="A1049" s="6">
        <v>2023</v>
      </c>
      <c r="B1049" s="6">
        <v>4</v>
      </c>
      <c r="C1049" s="6" t="s">
        <v>63</v>
      </c>
      <c r="D1049" s="6" t="s">
        <v>507</v>
      </c>
      <c r="E1049" s="6" t="s">
        <v>438</v>
      </c>
      <c r="F1049" s="6" t="str">
        <f>IF($M1049="PADD I","PADD 1",IF($M1049="PADD II","PADD 2",IF($M1049="PADD III","PADD 3",IF($M1049="PADD IV","PADD 4",IF($M1049="PADD V","PADD 5","")))))</f>
        <v>PADD 5</v>
      </c>
      <c r="G1049" s="6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6" t="s">
        <v>494</v>
      </c>
      <c r="I1049" s="6" t="s">
        <v>14</v>
      </c>
      <c r="J1049" s="6" t="s">
        <v>394</v>
      </c>
      <c r="K1049" s="10">
        <v>5.5</v>
      </c>
      <c r="L1049" s="10">
        <v>55</v>
      </c>
      <c r="M1049" s="6" t="s">
        <v>436</v>
      </c>
      <c r="N1049" s="6" t="str">
        <f>IF(OR($G1049="FCC",$G1049="Hydrocracker",$G1049="Reformer"),IF(COUNTIFS($D:$D,$D1049,$A:$A,$A1049,$B:$B,$B1049,$G:$G,"CDU",$J:$J,"PLANNED")&gt;0,"tied","standalone"),"")</f>
        <v>standalone</v>
      </c>
    </row>
    <row r="1050" spans="1:14">
      <c r="A1050" s="6">
        <v>2023</v>
      </c>
      <c r="B1050" s="6">
        <v>4</v>
      </c>
      <c r="C1050" s="6" t="s">
        <v>63</v>
      </c>
      <c r="D1050" s="6" t="s">
        <v>838</v>
      </c>
      <c r="E1050" s="6" t="s">
        <v>455</v>
      </c>
      <c r="F1050" s="6" t="str">
        <f>IF($M1050="PADD I","PADD 1",IF($M1050="PADD II","PADD 2",IF($M1050="PADD III","PADD 3",IF($M1050="PADD IV","PADD 4",IF($M1050="PADD V","PADD 5","")))))</f>
        <v>PADD 3</v>
      </c>
      <c r="G1050" s="6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6" t="s">
        <v>471</v>
      </c>
      <c r="I1050" s="6" t="s">
        <v>832</v>
      </c>
      <c r="J1050" s="6" t="s">
        <v>394</v>
      </c>
      <c r="K1050" s="10">
        <v>5.44</v>
      </c>
      <c r="L1050" s="10">
        <v>32</v>
      </c>
      <c r="M1050" s="6" t="s">
        <v>421</v>
      </c>
      <c r="N1050" s="6" t="str">
        <f>IF(OR($G1050="FCC",$G1050="Hydrocracker",$G1050="Reformer"),IF(COUNTIFS($D:$D,$D1050,$A:$A,$A1050,$B:$B,$B1050,$G:$G,"CDU",$J:$J,"PLANNED")&gt;0,"tied","standalone"),"")</f>
        <v>standalone</v>
      </c>
    </row>
    <row r="1051" spans="1:14">
      <c r="A1051" s="6">
        <v>2023</v>
      </c>
      <c r="B1051" s="6">
        <v>4</v>
      </c>
      <c r="C1051" s="6" t="s">
        <v>63</v>
      </c>
      <c r="D1051" s="6" t="s">
        <v>568</v>
      </c>
      <c r="E1051" s="6" t="s">
        <v>419</v>
      </c>
      <c r="F1051" s="6" t="str">
        <f>IF($M1051="PADD I","PADD 1",IF($M1051="PADD II","PADD 2",IF($M1051="PADD III","PADD 3",IF($M1051="PADD IV","PADD 4",IF($M1051="PADD V","PADD 5","")))))</f>
        <v>PADD 5</v>
      </c>
      <c r="G1051" s="6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6" t="s">
        <v>44</v>
      </c>
      <c r="I1051" s="6" t="s">
        <v>637</v>
      </c>
      <c r="J1051" s="6" t="s">
        <v>394</v>
      </c>
      <c r="K1051" s="10">
        <v>5.4</v>
      </c>
      <c r="L1051" s="10">
        <v>20</v>
      </c>
      <c r="M1051" s="6" t="s">
        <v>436</v>
      </c>
      <c r="N1051" s="6">
        <f>IF(OR($G1051="FCC",$G1051="Hydrocracker",$G1051="Reformer"),IF(COUNTIFS($D:$D,$D1051,$A:$A,$A1051,$B:$B,$B1051,$G:$G,"CDU",$J:$J,"PLANNED")&gt;0,"tied","standalone"),"")</f>
        <v/>
      </c>
    </row>
    <row r="1052" spans="1:14">
      <c r="A1052" s="6">
        <v>2023</v>
      </c>
      <c r="B1052" s="6">
        <v>4</v>
      </c>
      <c r="C1052" s="6" t="s">
        <v>63</v>
      </c>
      <c r="D1052" s="6" t="s">
        <v>730</v>
      </c>
      <c r="E1052" s="6" t="s">
        <v>731</v>
      </c>
      <c r="F1052" s="6" t="str">
        <f>IF($M1052="PADD I","PADD 1",IF($M1052="PADD II","PADD 2",IF($M1052="PADD III","PADD 3",IF($M1052="PADD IV","PADD 4",IF($M1052="PADD V","PADD 5","")))))</f>
        <v>PADD 3</v>
      </c>
      <c r="G1052" s="6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6" t="s">
        <v>510</v>
      </c>
      <c r="I1052" s="6" t="s">
        <v>666</v>
      </c>
      <c r="J1052" s="6" t="s">
        <v>398</v>
      </c>
      <c r="K1052" s="10">
        <v>5.301</v>
      </c>
      <c r="L1052" s="10">
        <v>5.7</v>
      </c>
      <c r="M1052" s="6" t="s">
        <v>421</v>
      </c>
      <c r="N1052" s="6">
        <f>IF(OR($G1052="FCC",$G1052="Hydrocracker",$G1052="Reformer"),IF(COUNTIFS($D:$D,$D1052,$A:$A,$A1052,$B:$B,$B1052,$G:$G,"CDU",$J:$J,"PLANNED")&gt;0,"tied","standalone"),"")</f>
        <v/>
      </c>
    </row>
    <row r="1053" spans="1:14">
      <c r="A1053" s="6">
        <v>2023</v>
      </c>
      <c r="B1053" s="6">
        <v>4</v>
      </c>
      <c r="C1053" s="6" t="s">
        <v>63</v>
      </c>
      <c r="D1053" s="6" t="s">
        <v>422</v>
      </c>
      <c r="E1053" s="6" t="s">
        <v>423</v>
      </c>
      <c r="F1053" s="6" t="str">
        <f>IF($M1053="PADD I","PADD 1",IF($M1053="PADD II","PADD 2",IF($M1053="PADD III","PADD 3",IF($M1053="PADD IV","PADD 4",IF($M1053="PADD V","PADD 5","")))))</f>
        <v>PADD 2</v>
      </c>
      <c r="G1053" s="6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6" t="s">
        <v>485</v>
      </c>
      <c r="I1053" s="6" t="s">
        <v>634</v>
      </c>
      <c r="J1053" s="6" t="s">
        <v>394</v>
      </c>
      <c r="K1053" s="10">
        <v>5.2</v>
      </c>
      <c r="L1053" s="10">
        <v>6.5</v>
      </c>
      <c r="M1053" s="6" t="s">
        <v>425</v>
      </c>
      <c r="N1053" s="6">
        <f>IF(OR($G1053="FCC",$G1053="Hydrocracker",$G1053="Reformer"),IF(COUNTIFS($D:$D,$D1053,$A:$A,$A1053,$B:$B,$B1053,$G:$G,"CDU",$J:$J,"PLANNED")&gt;0,"tied","standalone"),"")</f>
        <v/>
      </c>
    </row>
    <row r="1054" spans="1:14">
      <c r="A1054" s="6">
        <v>2023</v>
      </c>
      <c r="B1054" s="6">
        <v>4</v>
      </c>
      <c r="C1054" s="6" t="s">
        <v>63</v>
      </c>
      <c r="D1054" s="6" t="s">
        <v>725</v>
      </c>
      <c r="E1054" s="6" t="s">
        <v>502</v>
      </c>
      <c r="F1054" s="6" t="str">
        <f>IF($M1054="PADD I","PADD 1",IF($M1054="PADD II","PADD 2",IF($M1054="PADD III","PADD 3",IF($M1054="PADD IV","PADD 4",IF($M1054="PADD V","PADD 5","")))))</f>
        <v>PADD 2</v>
      </c>
      <c r="G1054" s="6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6" t="s">
        <v>471</v>
      </c>
      <c r="I1054" s="6" t="s">
        <v>397</v>
      </c>
      <c r="J1054" s="6" t="s">
        <v>398</v>
      </c>
      <c r="K1054" s="10">
        <v>5.025</v>
      </c>
      <c r="L1054" s="10">
        <v>7.5</v>
      </c>
      <c r="M1054" s="6" t="s">
        <v>425</v>
      </c>
      <c r="N1054" s="6" t="str">
        <f>IF(OR($G1054="FCC",$G1054="Hydrocracker",$G1054="Reformer"),IF(COUNTIFS($D:$D,$D1054,$A:$A,$A1054,$B:$B,$B1054,$G:$G,"CDU",$J:$J,"PLANNED")&gt;0,"tied","standalone"),"")</f>
        <v>tied</v>
      </c>
    </row>
    <row r="1055" spans="1:14">
      <c r="A1055" s="6">
        <v>2023</v>
      </c>
      <c r="B1055" s="6">
        <v>4</v>
      </c>
      <c r="C1055" s="6" t="s">
        <v>63</v>
      </c>
      <c r="D1055" s="6" t="s">
        <v>622</v>
      </c>
      <c r="E1055" s="6" t="s">
        <v>623</v>
      </c>
      <c r="F1055" s="6" t="str">
        <f>IF($M1055="PADD I","PADD 1",IF($M1055="PADD II","PADD 2",IF($M1055="PADD III","PADD 3",IF($M1055="PADD IV","PADD 4",IF($M1055="PADD V","PADD 5","")))))</f>
        <v>PADD 3</v>
      </c>
      <c r="G1055" s="6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6" t="s">
        <v>39</v>
      </c>
      <c r="I1055" s="6" t="s">
        <v>624</v>
      </c>
      <c r="J1055" s="6" t="s">
        <v>394</v>
      </c>
      <c r="K1055" s="10">
        <v>5</v>
      </c>
      <c r="L1055" s="10">
        <v>50</v>
      </c>
      <c r="M1055" s="6" t="s">
        <v>421</v>
      </c>
      <c r="N1055" s="6">
        <f>IF(OR($G1055="FCC",$G1055="Hydrocracker",$G1055="Reformer"),IF(COUNTIFS($D:$D,$D1055,$A:$A,$A1055,$B:$B,$B1055,$G:$G,"CDU",$J:$J,"PLANNED")&gt;0,"tied","standalone"),"")</f>
        <v/>
      </c>
    </row>
    <row r="1056" spans="1:14">
      <c r="A1056" s="6">
        <v>2023</v>
      </c>
      <c r="B1056" s="6">
        <v>4</v>
      </c>
      <c r="C1056" s="6" t="s">
        <v>63</v>
      </c>
      <c r="D1056" s="6" t="s">
        <v>838</v>
      </c>
      <c r="E1056" s="6" t="s">
        <v>455</v>
      </c>
      <c r="F1056" s="6" t="str">
        <f>IF($M1056="PADD I","PADD 1",IF($M1056="PADD II","PADD 2",IF($M1056="PADD III","PADD 3",IF($M1056="PADD IV","PADD 4",IF($M1056="PADD V","PADD 5","")))))</f>
        <v>PADD 3</v>
      </c>
      <c r="G1056" s="6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6" t="s">
        <v>428</v>
      </c>
      <c r="I1056" s="6" t="s">
        <v>862</v>
      </c>
      <c r="J1056" s="6" t="s">
        <v>394</v>
      </c>
      <c r="K1056" s="10">
        <v>5</v>
      </c>
      <c r="L1056" s="10">
        <v>50</v>
      </c>
      <c r="M1056" s="6" t="s">
        <v>421</v>
      </c>
      <c r="N1056" s="6">
        <f>IF(OR($G1056="FCC",$G1056="Hydrocracker",$G1056="Reformer"),IF(COUNTIFS($D:$D,$D1056,$A:$A,$A1056,$B:$B,$B1056,$G:$G,"CDU",$J:$J,"PLANNED")&gt;0,"tied","standalone"),"")</f>
        <v/>
      </c>
    </row>
    <row r="1057" spans="1:14">
      <c r="A1057" s="6">
        <v>2023</v>
      </c>
      <c r="B1057" s="6">
        <v>4</v>
      </c>
      <c r="C1057" s="6" t="s">
        <v>63</v>
      </c>
      <c r="D1057" s="6" t="s">
        <v>375</v>
      </c>
      <c r="E1057" s="6" t="s">
        <v>435</v>
      </c>
      <c r="F1057" s="6" t="str">
        <f>IF($M1057="PADD I","PADD 1",IF($M1057="PADD II","PADD 2",IF($M1057="PADD III","PADD 3",IF($M1057="PADD IV","PADD 4",IF($M1057="PADD V","PADD 5","")))))</f>
        <v>PADD 5</v>
      </c>
      <c r="G1057" s="6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6" t="s">
        <v>485</v>
      </c>
      <c r="I1057" s="6" t="s">
        <v>863</v>
      </c>
      <c r="J1057" s="6" t="s">
        <v>394</v>
      </c>
      <c r="K1057" s="10">
        <v>5</v>
      </c>
      <c r="L1057" s="10">
        <v>25</v>
      </c>
      <c r="M1057" s="6" t="s">
        <v>436</v>
      </c>
      <c r="N1057" s="6">
        <f>IF(OR($G1057="FCC",$G1057="Hydrocracker",$G1057="Reformer"),IF(COUNTIFS($D:$D,$D1057,$A:$A,$A1057,$B:$B,$B1057,$G:$G,"CDU",$J:$J,"PLANNED")&gt;0,"tied","standalone"),"")</f>
        <v/>
      </c>
    </row>
    <row r="1058" spans="1:14">
      <c r="A1058" s="6">
        <v>2023</v>
      </c>
      <c r="B1058" s="6">
        <v>4</v>
      </c>
      <c r="C1058" s="6" t="s">
        <v>63</v>
      </c>
      <c r="D1058" s="6" t="s">
        <v>662</v>
      </c>
      <c r="E1058" s="6" t="s">
        <v>466</v>
      </c>
      <c r="F1058" s="6" t="str">
        <f>IF($M1058="PADD I","PADD 1",IF($M1058="PADD II","PADD 2",IF($M1058="PADD III","PADD 3",IF($M1058="PADD IV","PADD 4",IF($M1058="PADD V","PADD 5","")))))</f>
        <v>PADD 3</v>
      </c>
      <c r="G1058" s="6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6" t="s">
        <v>39</v>
      </c>
      <c r="I1058" s="6" t="s">
        <v>82</v>
      </c>
      <c r="J1058" s="6" t="s">
        <v>394</v>
      </c>
      <c r="K1058" s="10">
        <v>4.95</v>
      </c>
      <c r="L1058" s="10">
        <v>165</v>
      </c>
      <c r="M1058" s="6" t="s">
        <v>421</v>
      </c>
      <c r="N1058" s="6">
        <f>IF(OR($G1058="FCC",$G1058="Hydrocracker",$G1058="Reformer"),IF(COUNTIFS($D:$D,$D1058,$A:$A,$A1058,$B:$B,$B1058,$G:$G,"CDU",$J:$J,"PLANNED")&gt;0,"tied","standalone"),"")</f>
        <v/>
      </c>
    </row>
    <row r="1059" spans="1:14">
      <c r="A1059" s="6">
        <v>2023</v>
      </c>
      <c r="B1059" s="6">
        <v>4</v>
      </c>
      <c r="C1059" s="6" t="s">
        <v>63</v>
      </c>
      <c r="D1059" s="6" t="s">
        <v>568</v>
      </c>
      <c r="E1059" s="6" t="s">
        <v>419</v>
      </c>
      <c r="F1059" s="6" t="str">
        <f>IF($M1059="PADD I","PADD 1",IF($M1059="PADD II","PADD 2",IF($M1059="PADD III","PADD 3",IF($M1059="PADD IV","PADD 4",IF($M1059="PADD V","PADD 5","")))))</f>
        <v>PADD 5</v>
      </c>
      <c r="G1059" s="6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6" t="s">
        <v>471</v>
      </c>
      <c r="I1059" s="6" t="s">
        <v>641</v>
      </c>
      <c r="J1059" s="6" t="s">
        <v>394</v>
      </c>
      <c r="K1059" s="10">
        <v>4.86</v>
      </c>
      <c r="L1059" s="10">
        <v>18</v>
      </c>
      <c r="M1059" s="6" t="s">
        <v>436</v>
      </c>
      <c r="N1059" s="6" t="str">
        <f>IF(OR($G1059="FCC",$G1059="Hydrocracker",$G1059="Reformer"),IF(COUNTIFS($D:$D,$D1059,$A:$A,$A1059,$B:$B,$B1059,$G:$G,"CDU",$J:$J,"PLANNED")&gt;0,"tied","standalone"),"")</f>
        <v>standalone</v>
      </c>
    </row>
    <row r="1060" spans="1:14">
      <c r="A1060" s="6">
        <v>2023</v>
      </c>
      <c r="B1060" s="6">
        <v>4</v>
      </c>
      <c r="C1060" s="6" t="s">
        <v>63</v>
      </c>
      <c r="D1060" s="6" t="s">
        <v>777</v>
      </c>
      <c r="E1060" s="6" t="s">
        <v>778</v>
      </c>
      <c r="F1060" s="6" t="str">
        <f>IF($M1060="PADD I","PADD 1",IF($M1060="PADD II","PADD 2",IF($M1060="PADD III","PADD 3",IF($M1060="PADD IV","PADD 4",IF($M1060="PADD V","PADD 5","")))))</f>
        <v>PADD 1</v>
      </c>
      <c r="G1060" s="6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6" t="s">
        <v>618</v>
      </c>
      <c r="I1060" s="6" t="s">
        <v>763</v>
      </c>
      <c r="J1060" s="6" t="s">
        <v>398</v>
      </c>
      <c r="K1060" s="10">
        <v>4.85</v>
      </c>
      <c r="L1060" s="10">
        <v>5</v>
      </c>
      <c r="M1060" s="6" t="s">
        <v>463</v>
      </c>
      <c r="N1060" s="6">
        <f>IF(OR($G1060="FCC",$G1060="Hydrocracker",$G1060="Reformer"),IF(COUNTIFS($D:$D,$D1060,$A:$A,$A1060,$B:$B,$B1060,$G:$G,"CDU",$J:$J,"PLANNED")&gt;0,"tied","standalone"),"")</f>
        <v/>
      </c>
    </row>
    <row r="1061" spans="1:14">
      <c r="A1061" s="6">
        <v>2023</v>
      </c>
      <c r="B1061" s="6">
        <v>4</v>
      </c>
      <c r="C1061" s="6" t="s">
        <v>63</v>
      </c>
      <c r="D1061" s="6" t="s">
        <v>662</v>
      </c>
      <c r="E1061" s="6" t="s">
        <v>466</v>
      </c>
      <c r="F1061" s="6" t="str">
        <f>IF($M1061="PADD I","PADD 1",IF($M1061="PADD II","PADD 2",IF($M1061="PADD III","PADD 3",IF($M1061="PADD IV","PADD 4",IF($M1061="PADD V","PADD 5","")))))</f>
        <v>PADD 3</v>
      </c>
      <c r="G1061" s="6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6" t="s">
        <v>426</v>
      </c>
      <c r="I1061" s="6" t="s">
        <v>478</v>
      </c>
      <c r="J1061" s="6" t="s">
        <v>394</v>
      </c>
      <c r="K1061" s="10">
        <v>4.83</v>
      </c>
      <c r="L1061" s="10">
        <v>69</v>
      </c>
      <c r="M1061" s="6" t="s">
        <v>421</v>
      </c>
      <c r="N1061" s="6" t="str">
        <f>IF(OR($G1061="FCC",$G1061="Hydrocracker",$G1061="Reformer"),IF(COUNTIFS($D:$D,$D1061,$A:$A,$A1061,$B:$B,$B1061,$G:$G,"CDU",$J:$J,"PLANNED")&gt;0,"tied","standalone"),"")</f>
        <v>standalone</v>
      </c>
    </row>
    <row r="1062" spans="1:14">
      <c r="A1062" s="6">
        <v>2023</v>
      </c>
      <c r="B1062" s="6">
        <v>4</v>
      </c>
      <c r="C1062" s="6" t="s">
        <v>63</v>
      </c>
      <c r="D1062" s="6" t="s">
        <v>662</v>
      </c>
      <c r="E1062" s="6" t="s">
        <v>466</v>
      </c>
      <c r="F1062" s="6" t="str">
        <f>IF($M1062="PADD I","PADD 1",IF($M1062="PADD II","PADD 2",IF($M1062="PADD III","PADD 3",IF($M1062="PADD IV","PADD 4",IF($M1062="PADD V","PADD 5","")))))</f>
        <v>PADD 3</v>
      </c>
      <c r="G1062" s="6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6" t="s">
        <v>44</v>
      </c>
      <c r="I1062" s="6" t="s">
        <v>864</v>
      </c>
      <c r="J1062" s="6" t="s">
        <v>394</v>
      </c>
      <c r="K1062" s="10">
        <v>4.83</v>
      </c>
      <c r="L1062" s="10">
        <v>69</v>
      </c>
      <c r="M1062" s="6" t="s">
        <v>421</v>
      </c>
      <c r="N1062" s="6">
        <f>IF(OR($G1062="FCC",$G1062="Hydrocracker",$G1062="Reformer"),IF(COUNTIFS($D:$D,$D1062,$A:$A,$A1062,$B:$B,$B1062,$G:$G,"CDU",$J:$J,"PLANNED")&gt;0,"tied","standalone"),"")</f>
        <v/>
      </c>
    </row>
    <row r="1063" spans="1:14">
      <c r="A1063" s="6">
        <v>2023</v>
      </c>
      <c r="B1063" s="6">
        <v>4</v>
      </c>
      <c r="C1063" s="6" t="s">
        <v>63</v>
      </c>
      <c r="D1063" s="6" t="s">
        <v>518</v>
      </c>
      <c r="E1063" s="6" t="s">
        <v>419</v>
      </c>
      <c r="F1063" s="6" t="str">
        <f>IF($M1063="PADD I","PADD 1",IF($M1063="PADD II","PADD 2",IF($M1063="PADD III","PADD 3",IF($M1063="PADD IV","PADD 4",IF($M1063="PADD V","PADD 5","")))))</f>
        <v>PADD 3</v>
      </c>
      <c r="G1063" s="6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6" t="s">
        <v>39</v>
      </c>
      <c r="I1063" s="6" t="s">
        <v>615</v>
      </c>
      <c r="J1063" s="6" t="s">
        <v>398</v>
      </c>
      <c r="K1063" s="10">
        <v>4.81</v>
      </c>
      <c r="L1063" s="10">
        <v>37</v>
      </c>
      <c r="M1063" s="6" t="s">
        <v>421</v>
      </c>
      <c r="N1063" s="6">
        <f>IF(OR($G1063="FCC",$G1063="Hydrocracker",$G1063="Reformer"),IF(COUNTIFS($D:$D,$D1063,$A:$A,$A1063,$B:$B,$B1063,$G:$G,"CDU",$J:$J,"PLANNED")&gt;0,"tied","standalone"),"")</f>
        <v/>
      </c>
    </row>
    <row r="1064" spans="1:14">
      <c r="A1064" s="6">
        <v>2023</v>
      </c>
      <c r="B1064" s="6">
        <v>4</v>
      </c>
      <c r="C1064" s="6" t="s">
        <v>63</v>
      </c>
      <c r="D1064" s="6" t="s">
        <v>518</v>
      </c>
      <c r="E1064" s="6" t="s">
        <v>419</v>
      </c>
      <c r="F1064" s="6" t="str">
        <f>IF($M1064="PADD I","PADD 1",IF($M1064="PADD II","PADD 2",IF($M1064="PADD III","PADD 3",IF($M1064="PADD IV","PADD 4",IF($M1064="PADD V","PADD 5","")))))</f>
        <v>PADD 3</v>
      </c>
      <c r="G1064" s="6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6" t="s">
        <v>39</v>
      </c>
      <c r="I1064" s="6" t="s">
        <v>559</v>
      </c>
      <c r="J1064" s="6" t="s">
        <v>398</v>
      </c>
      <c r="K1064" s="10">
        <v>4.76</v>
      </c>
      <c r="L1064" s="10">
        <v>68</v>
      </c>
      <c r="M1064" s="6" t="s">
        <v>421</v>
      </c>
      <c r="N1064" s="6">
        <f>IF(OR($G1064="FCC",$G1064="Hydrocracker",$G1064="Reformer"),IF(COUNTIFS($D:$D,$D1064,$A:$A,$A1064,$B:$B,$B1064,$G:$G,"CDU",$J:$J,"PLANNED")&gt;0,"tied","standalone"),"")</f>
        <v/>
      </c>
    </row>
    <row r="1065" spans="1:14">
      <c r="A1065" s="6">
        <v>2023</v>
      </c>
      <c r="B1065" s="6">
        <v>4</v>
      </c>
      <c r="C1065" s="6" t="s">
        <v>63</v>
      </c>
      <c r="D1065" s="6" t="s">
        <v>849</v>
      </c>
      <c r="E1065" s="6" t="s">
        <v>441</v>
      </c>
      <c r="F1065" s="6" t="str">
        <f>IF($M1065="PADD I","PADD 1",IF($M1065="PADD II","PADD 2",IF($M1065="PADD III","PADD 3",IF($M1065="PADD IV","PADD 4",IF($M1065="PADD V","PADD 5","")))))</f>
        <v>PADD 4</v>
      </c>
      <c r="G1065" s="6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6" t="s">
        <v>44</v>
      </c>
      <c r="I1065" s="6" t="s">
        <v>850</v>
      </c>
      <c r="J1065" s="6" t="s">
        <v>394</v>
      </c>
      <c r="K1065" s="10">
        <v>4.743</v>
      </c>
      <c r="L1065" s="10">
        <v>27.9</v>
      </c>
      <c r="M1065" s="6" t="s">
        <v>480</v>
      </c>
      <c r="N1065" s="6">
        <f>IF(OR($G1065="FCC",$G1065="Hydrocracker",$G1065="Reformer"),IF(COUNTIFS($D:$D,$D1065,$A:$A,$A1065,$B:$B,$B1065,$G:$G,"CDU",$J:$J,"PLANNED")&gt;0,"tied","standalone"),"")</f>
        <v/>
      </c>
    </row>
    <row r="1066" spans="1:14">
      <c r="A1066" s="6">
        <v>2023</v>
      </c>
      <c r="B1066" s="6">
        <v>4</v>
      </c>
      <c r="C1066" s="6" t="s">
        <v>63</v>
      </c>
      <c r="D1066" s="6" t="s">
        <v>422</v>
      </c>
      <c r="E1066" s="6" t="s">
        <v>423</v>
      </c>
      <c r="F1066" s="6" t="str">
        <f>IF($M1066="PADD I","PADD 1",IF($M1066="PADD II","PADD 2",IF($M1066="PADD III","PADD 3",IF($M1066="PADD IV","PADD 4",IF($M1066="PADD V","PADD 5","")))))</f>
        <v>PADD 2</v>
      </c>
      <c r="G1066" s="6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6" t="s">
        <v>485</v>
      </c>
      <c r="I1066" s="6" t="s">
        <v>634</v>
      </c>
      <c r="J1066" s="6" t="s">
        <v>394</v>
      </c>
      <c r="K1066" s="10">
        <v>4.725</v>
      </c>
      <c r="L1066" s="10">
        <v>7.5</v>
      </c>
      <c r="M1066" s="6" t="s">
        <v>425</v>
      </c>
      <c r="N1066" s="6">
        <f>IF(OR($G1066="FCC",$G1066="Hydrocracker",$G1066="Reformer"),IF(COUNTIFS($D:$D,$D1066,$A:$A,$A1066,$B:$B,$B1066,$G:$G,"CDU",$J:$J,"PLANNED")&gt;0,"tied","standalone"),"")</f>
        <v/>
      </c>
    </row>
    <row r="1067" spans="1:14">
      <c r="A1067" s="6">
        <v>2023</v>
      </c>
      <c r="B1067" s="6">
        <v>4</v>
      </c>
      <c r="C1067" s="6" t="s">
        <v>63</v>
      </c>
      <c r="D1067" s="6" t="s">
        <v>487</v>
      </c>
      <c r="E1067" s="6" t="s">
        <v>488</v>
      </c>
      <c r="F1067" s="6" t="str">
        <f>IF($M1067="PADD I","PADD 1",IF($M1067="PADD II","PADD 2",IF($M1067="PADD III","PADD 3",IF($M1067="PADD IV","PADD 4",IF($M1067="PADD V","PADD 5","")))))</f>
        <v>PADD 4</v>
      </c>
      <c r="G1067" s="6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6" t="s">
        <v>44</v>
      </c>
      <c r="I1067" s="6" t="s">
        <v>543</v>
      </c>
      <c r="J1067" s="6" t="s">
        <v>398</v>
      </c>
      <c r="K1067" s="10">
        <v>4.7</v>
      </c>
      <c r="L1067" s="10">
        <v>10</v>
      </c>
      <c r="M1067" s="6" t="s">
        <v>480</v>
      </c>
      <c r="N1067" s="6">
        <f>IF(OR($G1067="FCC",$G1067="Hydrocracker",$G1067="Reformer"),IF(COUNTIFS($D:$D,$D1067,$A:$A,$A1067,$B:$B,$B1067,$G:$G,"CDU",$J:$J,"PLANNED")&gt;0,"tied","standalone"),"")</f>
        <v/>
      </c>
    </row>
    <row r="1068" spans="1:14">
      <c r="A1068" s="6">
        <v>2023</v>
      </c>
      <c r="B1068" s="6">
        <v>4</v>
      </c>
      <c r="C1068" s="6" t="s">
        <v>63</v>
      </c>
      <c r="D1068" s="6" t="s">
        <v>857</v>
      </c>
      <c r="E1068" s="6" t="s">
        <v>829</v>
      </c>
      <c r="F1068" s="6" t="str">
        <f>IF($M1068="PADD I","PADD 1",IF($M1068="PADD II","PADD 2",IF($M1068="PADD III","PADD 3",IF($M1068="PADD IV","PADD 4",IF($M1068="PADD V","PADD 5","")))))</f>
        <v>PADD 3</v>
      </c>
      <c r="G1068" s="6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6" t="s">
        <v>428</v>
      </c>
      <c r="I1068" s="6" t="s">
        <v>481</v>
      </c>
      <c r="J1068" s="6" t="s">
        <v>394</v>
      </c>
      <c r="K1068" s="10">
        <v>4.68</v>
      </c>
      <c r="L1068" s="10">
        <v>36</v>
      </c>
      <c r="M1068" s="6" t="s">
        <v>421</v>
      </c>
      <c r="N1068" s="6">
        <f>IF(OR($G1068="FCC",$G1068="Hydrocracker",$G1068="Reformer"),IF(COUNTIFS($D:$D,$D1068,$A:$A,$A1068,$B:$B,$B1068,$G:$G,"CDU",$J:$J,"PLANNED")&gt;0,"tied","standalone"),"")</f>
        <v/>
      </c>
    </row>
    <row r="1069" spans="1:14">
      <c r="A1069" s="6">
        <v>2023</v>
      </c>
      <c r="B1069" s="6">
        <v>4</v>
      </c>
      <c r="C1069" s="6" t="s">
        <v>63</v>
      </c>
      <c r="D1069" s="6" t="s">
        <v>568</v>
      </c>
      <c r="E1069" s="6" t="s">
        <v>419</v>
      </c>
      <c r="F1069" s="6" t="str">
        <f>IF($M1069="PADD I","PADD 1",IF($M1069="PADD II","PADD 2",IF($M1069="PADD III","PADD 3",IF($M1069="PADD IV","PADD 4",IF($M1069="PADD V","PADD 5","")))))</f>
        <v>PADD 5</v>
      </c>
      <c r="G1069" s="6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6" t="s">
        <v>485</v>
      </c>
      <c r="I1069" s="6" t="s">
        <v>628</v>
      </c>
      <c r="J1069" s="6" t="s">
        <v>398</v>
      </c>
      <c r="K1069" s="10">
        <v>4.6</v>
      </c>
      <c r="L1069" s="10">
        <v>23</v>
      </c>
      <c r="M1069" s="6" t="s">
        <v>436</v>
      </c>
      <c r="N1069" s="6">
        <f>IF(OR($G1069="FCC",$G1069="Hydrocracker",$G1069="Reformer"),IF(COUNTIFS($D:$D,$D1069,$A:$A,$A1069,$B:$B,$B1069,$G:$G,"CDU",$J:$J,"PLANNED")&gt;0,"tied","standalone"),"")</f>
        <v/>
      </c>
    </row>
    <row r="1070" spans="1:14">
      <c r="A1070" s="6">
        <v>2023</v>
      </c>
      <c r="B1070" s="6">
        <v>4</v>
      </c>
      <c r="C1070" s="6" t="s">
        <v>63</v>
      </c>
      <c r="D1070" s="6" t="s">
        <v>765</v>
      </c>
      <c r="E1070" s="6" t="s">
        <v>766</v>
      </c>
      <c r="F1070" s="6" t="str">
        <f>IF($M1070="PADD I","PADD 1",IF($M1070="PADD II","PADD 2",IF($M1070="PADD III","PADD 3",IF($M1070="PADD IV","PADD 4",IF($M1070="PADD V","PADD 5","")))))</f>
        <v>PADD 2</v>
      </c>
      <c r="G1070" s="6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6" t="s">
        <v>426</v>
      </c>
      <c r="I1070" s="6" t="s">
        <v>106</v>
      </c>
      <c r="J1070" s="6" t="s">
        <v>398</v>
      </c>
      <c r="K1070" s="10">
        <v>4.56</v>
      </c>
      <c r="L1070" s="10">
        <v>8</v>
      </c>
      <c r="M1070" s="6" t="s">
        <v>425</v>
      </c>
      <c r="N1070" s="6" t="str">
        <f>IF(OR($G1070="FCC",$G1070="Hydrocracker",$G1070="Reformer"),IF(COUNTIFS($D:$D,$D1070,$A:$A,$A1070,$B:$B,$B1070,$G:$G,"CDU",$J:$J,"PLANNED")&gt;0,"tied","standalone"),"")</f>
        <v>standalone</v>
      </c>
    </row>
    <row r="1071" spans="1:14">
      <c r="A1071" s="6">
        <v>2023</v>
      </c>
      <c r="B1071" s="6">
        <v>4</v>
      </c>
      <c r="C1071" s="6" t="s">
        <v>63</v>
      </c>
      <c r="D1071" s="6" t="s">
        <v>820</v>
      </c>
      <c r="E1071" s="6" t="s">
        <v>710</v>
      </c>
      <c r="F1071" s="6" t="str">
        <f>IF($M1071="PADD I","PADD 1",IF($M1071="PADD II","PADD 2",IF($M1071="PADD III","PADD 3",IF($M1071="PADD IV","PADD 4",IF($M1071="PADD V","PADD 5","")))))</f>
        <v>PADD 3</v>
      </c>
      <c r="G1071" s="6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6" t="s">
        <v>618</v>
      </c>
      <c r="I1071" s="6" t="s">
        <v>654</v>
      </c>
      <c r="J1071" s="6" t="s">
        <v>398</v>
      </c>
      <c r="K1071" s="10">
        <v>4.5</v>
      </c>
      <c r="L1071" s="10">
        <v>4.5</v>
      </c>
      <c r="M1071" s="6" t="s">
        <v>421</v>
      </c>
      <c r="N1071" s="6">
        <f>IF(OR($G1071="FCC",$G1071="Hydrocracker",$G1071="Reformer"),IF(COUNTIFS($D:$D,$D1071,$A:$A,$A1071,$B:$B,$B1071,$G:$G,"CDU",$J:$J,"PLANNED")&gt;0,"tied","standalone"),"")</f>
        <v/>
      </c>
    </row>
    <row r="1072" spans="1:14">
      <c r="A1072" s="6">
        <v>2023</v>
      </c>
      <c r="B1072" s="6">
        <v>4</v>
      </c>
      <c r="C1072" s="6" t="s">
        <v>63</v>
      </c>
      <c r="D1072" s="6" t="s">
        <v>777</v>
      </c>
      <c r="E1072" s="6" t="s">
        <v>778</v>
      </c>
      <c r="F1072" s="6" t="str">
        <f>IF($M1072="PADD I","PADD 1",IF($M1072="PADD II","PADD 2",IF($M1072="PADD III","PADD 3",IF($M1072="PADD IV","PADD 4",IF($M1072="PADD V","PADD 5","")))))</f>
        <v>PADD 1</v>
      </c>
      <c r="G1072" s="6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6" t="s">
        <v>44</v>
      </c>
      <c r="I1072" s="6" t="s">
        <v>802</v>
      </c>
      <c r="J1072" s="6" t="s">
        <v>398</v>
      </c>
      <c r="K1072" s="10">
        <v>4.462</v>
      </c>
      <c r="L1072" s="10">
        <v>4.6</v>
      </c>
      <c r="M1072" s="6" t="s">
        <v>463</v>
      </c>
      <c r="N1072" s="6">
        <f>IF(OR($G1072="FCC",$G1072="Hydrocracker",$G1072="Reformer"),IF(COUNTIFS($D:$D,$D1072,$A:$A,$A1072,$B:$B,$B1072,$G:$G,"CDU",$J:$J,"PLANNED")&gt;0,"tied","standalone"),"")</f>
        <v/>
      </c>
    </row>
    <row r="1073" spans="1:14">
      <c r="A1073" s="6">
        <v>2023</v>
      </c>
      <c r="B1073" s="6">
        <v>4</v>
      </c>
      <c r="C1073" s="6" t="s">
        <v>63</v>
      </c>
      <c r="D1073" s="6" t="s">
        <v>789</v>
      </c>
      <c r="E1073" s="6" t="s">
        <v>455</v>
      </c>
      <c r="F1073" s="6" t="str">
        <f>IF($M1073="PADD I","PADD 1",IF($M1073="PADD II","PADD 2",IF($M1073="PADD III","PADD 3",IF($M1073="PADD IV","PADD 4",IF($M1073="PADD V","PADD 5","")))))</f>
        <v>PADD 2</v>
      </c>
      <c r="G1073" s="6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6" t="s">
        <v>618</v>
      </c>
      <c r="I1073" s="6" t="s">
        <v>654</v>
      </c>
      <c r="J1073" s="6" t="s">
        <v>398</v>
      </c>
      <c r="K1073" s="10">
        <v>4.41</v>
      </c>
      <c r="L1073" s="10">
        <v>7</v>
      </c>
      <c r="M1073" s="6" t="s">
        <v>425</v>
      </c>
      <c r="N1073" s="6">
        <f>IF(OR($G1073="FCC",$G1073="Hydrocracker",$G1073="Reformer"),IF(COUNTIFS($D:$D,$D1073,$A:$A,$A1073,$B:$B,$B1073,$G:$G,"CDU",$J:$J,"PLANNED")&gt;0,"tied","standalone"),"")</f>
        <v/>
      </c>
    </row>
    <row r="1074" spans="1:14">
      <c r="A1074" s="6">
        <v>2023</v>
      </c>
      <c r="B1074" s="6">
        <v>4</v>
      </c>
      <c r="C1074" s="6" t="s">
        <v>63</v>
      </c>
      <c r="D1074" s="6" t="s">
        <v>782</v>
      </c>
      <c r="E1074" s="6" t="s">
        <v>783</v>
      </c>
      <c r="F1074" s="6" t="str">
        <f>IF($M1074="PADD I","PADD 1",IF($M1074="PADD II","PADD 2",IF($M1074="PADD III","PADD 3",IF($M1074="PADD IV","PADD 4",IF($M1074="PADD V","PADD 5","")))))</f>
        <v>PADD 4</v>
      </c>
      <c r="G1074" s="6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6" t="s">
        <v>510</v>
      </c>
      <c r="I1074" s="6" t="s">
        <v>666</v>
      </c>
      <c r="J1074" s="6" t="s">
        <v>398</v>
      </c>
      <c r="K1074" s="10">
        <v>4.3</v>
      </c>
      <c r="L1074" s="10">
        <v>4.3</v>
      </c>
      <c r="M1074" s="6" t="s">
        <v>480</v>
      </c>
      <c r="N1074" s="6">
        <f>IF(OR($G1074="FCC",$G1074="Hydrocracker",$G1074="Reformer"),IF(COUNTIFS($D:$D,$D1074,$A:$A,$A1074,$B:$B,$B1074,$G:$G,"CDU",$J:$J,"PLANNED")&gt;0,"tied","standalone"),"")</f>
        <v/>
      </c>
    </row>
    <row r="1075" spans="1:14">
      <c r="A1075" s="6">
        <v>2023</v>
      </c>
      <c r="B1075" s="6">
        <v>4</v>
      </c>
      <c r="C1075" s="6" t="s">
        <v>63</v>
      </c>
      <c r="D1075" s="6" t="s">
        <v>712</v>
      </c>
      <c r="E1075" s="6" t="s">
        <v>602</v>
      </c>
      <c r="F1075" s="6" t="str">
        <f>IF($M1075="PADD I","PADD 1",IF($M1075="PADD II","PADD 2",IF($M1075="PADD III","PADD 3",IF($M1075="PADD IV","PADD 4",IF($M1075="PADD V","PADD 5","")))))</f>
        <v>PADD 3</v>
      </c>
      <c r="G1075" s="6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6" t="s">
        <v>426</v>
      </c>
      <c r="I1075" s="6" t="s">
        <v>106</v>
      </c>
      <c r="J1075" s="6" t="s">
        <v>394</v>
      </c>
      <c r="K1075" s="10">
        <v>4.25</v>
      </c>
      <c r="L1075" s="10">
        <v>25</v>
      </c>
      <c r="M1075" s="6" t="s">
        <v>421</v>
      </c>
      <c r="N1075" s="6" t="str">
        <f>IF(OR($G1075="FCC",$G1075="Hydrocracker",$G1075="Reformer"),IF(COUNTIFS($D:$D,$D1075,$A:$A,$A1075,$B:$B,$B1075,$G:$G,"CDU",$J:$J,"PLANNED")&gt;0,"tied","standalone"),"")</f>
        <v>standalone</v>
      </c>
    </row>
    <row r="1076" spans="1:14">
      <c r="A1076" s="6">
        <v>2023</v>
      </c>
      <c r="B1076" s="6">
        <v>4</v>
      </c>
      <c r="C1076" s="6" t="s">
        <v>63</v>
      </c>
      <c r="D1076" s="6" t="s">
        <v>777</v>
      </c>
      <c r="E1076" s="6" t="s">
        <v>778</v>
      </c>
      <c r="F1076" s="6" t="str">
        <f>IF($M1076="PADD I","PADD 1",IF($M1076="PADD II","PADD 2",IF($M1076="PADD III","PADD 3",IF($M1076="PADD IV","PADD 4",IF($M1076="PADD V","PADD 5","")))))</f>
        <v>PADD 1</v>
      </c>
      <c r="G1076" s="6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6" t="s">
        <v>494</v>
      </c>
      <c r="I1076" s="6" t="s">
        <v>803</v>
      </c>
      <c r="J1076" s="6" t="s">
        <v>398</v>
      </c>
      <c r="K1076" s="10">
        <v>4.171</v>
      </c>
      <c r="L1076" s="10">
        <v>4.3</v>
      </c>
      <c r="M1076" s="6" t="s">
        <v>463</v>
      </c>
      <c r="N1076" s="6" t="str">
        <f>IF(OR($G1076="FCC",$G1076="Hydrocracker",$G1076="Reformer"),IF(COUNTIFS($D:$D,$D1076,$A:$A,$A1076,$B:$B,$B1076,$G:$G,"CDU",$J:$J,"PLANNED")&gt;0,"tied","standalone"),"")</f>
        <v>tied</v>
      </c>
    </row>
    <row r="1077" spans="1:14">
      <c r="A1077" s="6">
        <v>2023</v>
      </c>
      <c r="B1077" s="6">
        <v>4</v>
      </c>
      <c r="C1077" s="6" t="s">
        <v>63</v>
      </c>
      <c r="D1077" s="6" t="s">
        <v>712</v>
      </c>
      <c r="E1077" s="6" t="s">
        <v>602</v>
      </c>
      <c r="F1077" s="6" t="str">
        <f>IF($M1077="PADD I","PADD 1",IF($M1077="PADD II","PADD 2",IF($M1077="PADD III","PADD 3",IF($M1077="PADD IV","PADD 4",IF($M1077="PADD V","PADD 5","")))))</f>
        <v>PADD 3</v>
      </c>
      <c r="G1077" s="6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6" t="s">
        <v>428</v>
      </c>
      <c r="I1077" s="6" t="s">
        <v>481</v>
      </c>
      <c r="J1077" s="6" t="s">
        <v>394</v>
      </c>
      <c r="K1077" s="10">
        <v>4.08</v>
      </c>
      <c r="L1077" s="10">
        <v>24</v>
      </c>
      <c r="M1077" s="6" t="s">
        <v>421</v>
      </c>
      <c r="N1077" s="6">
        <f>IF(OR($G1077="FCC",$G1077="Hydrocracker",$G1077="Reformer"),IF(COUNTIFS($D:$D,$D1077,$A:$A,$A1077,$B:$B,$B1077,$G:$G,"CDU",$J:$J,"PLANNED")&gt;0,"tied","standalone"),"")</f>
        <v/>
      </c>
    </row>
    <row r="1078" spans="1:14">
      <c r="A1078" s="6">
        <v>2023</v>
      </c>
      <c r="B1078" s="6">
        <v>4</v>
      </c>
      <c r="C1078" s="6" t="s">
        <v>63</v>
      </c>
      <c r="D1078" s="6" t="s">
        <v>487</v>
      </c>
      <c r="E1078" s="6" t="s">
        <v>488</v>
      </c>
      <c r="F1078" s="6" t="str">
        <f>IF($M1078="PADD I","PADD 1",IF($M1078="PADD II","PADD 2",IF($M1078="PADD III","PADD 3",IF($M1078="PADD IV","PADD 4",IF($M1078="PADD V","PADD 5","")))))</f>
        <v>PADD 4</v>
      </c>
      <c r="G1078" s="6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6" t="s">
        <v>426</v>
      </c>
      <c r="I1078" s="6" t="s">
        <v>478</v>
      </c>
      <c r="J1078" s="6" t="s">
        <v>398</v>
      </c>
      <c r="K1078" s="10">
        <v>3.995</v>
      </c>
      <c r="L1078" s="10">
        <v>8.5</v>
      </c>
      <c r="M1078" s="6" t="s">
        <v>480</v>
      </c>
      <c r="N1078" s="6" t="str">
        <f>IF(OR($G1078="FCC",$G1078="Hydrocracker",$G1078="Reformer"),IF(COUNTIFS($D:$D,$D1078,$A:$A,$A1078,$B:$B,$B1078,$G:$G,"CDU",$J:$J,"PLANNED")&gt;0,"tied","standalone"),"")</f>
        <v>tied</v>
      </c>
    </row>
    <row r="1079" spans="1:14">
      <c r="A1079" s="6">
        <v>2023</v>
      </c>
      <c r="B1079" s="6">
        <v>4</v>
      </c>
      <c r="C1079" s="6" t="s">
        <v>63</v>
      </c>
      <c r="D1079" s="6" t="s">
        <v>712</v>
      </c>
      <c r="E1079" s="6" t="s">
        <v>602</v>
      </c>
      <c r="F1079" s="6" t="str">
        <f>IF($M1079="PADD I","PADD 1",IF($M1079="PADD II","PADD 2",IF($M1079="PADD III","PADD 3",IF($M1079="PADD IV","PADD 4",IF($M1079="PADD V","PADD 5","")))))</f>
        <v>PADD 3</v>
      </c>
      <c r="G1079" s="6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6" t="s">
        <v>44</v>
      </c>
      <c r="I1079" s="6" t="s">
        <v>785</v>
      </c>
      <c r="J1079" s="6" t="s">
        <v>398</v>
      </c>
      <c r="K1079" s="10">
        <v>3.91</v>
      </c>
      <c r="L1079" s="10">
        <v>23</v>
      </c>
      <c r="M1079" s="6" t="s">
        <v>421</v>
      </c>
      <c r="N1079" s="6">
        <f>IF(OR($G1079="FCC",$G1079="Hydrocracker",$G1079="Reformer"),IF(COUNTIFS($D:$D,$D1079,$A:$A,$A1079,$B:$B,$B1079,$G:$G,"CDU",$J:$J,"PLANNED")&gt;0,"tied","standalone"),"")</f>
        <v/>
      </c>
    </row>
    <row r="1080" spans="1:14">
      <c r="A1080" s="6">
        <v>2023</v>
      </c>
      <c r="B1080" s="6">
        <v>4</v>
      </c>
      <c r="C1080" s="6" t="s">
        <v>63</v>
      </c>
      <c r="D1080" s="6" t="s">
        <v>865</v>
      </c>
      <c r="E1080" s="6" t="s">
        <v>502</v>
      </c>
      <c r="F1080" s="6" t="str">
        <f>IF($M1080="PADD I","PADD 1",IF($M1080="PADD II","PADD 2",IF($M1080="PADD III","PADD 3",IF($M1080="PADD IV","PADD 4",IF($M1080="PADD V","PADD 5","")))))</f>
        <v>PADD 4</v>
      </c>
      <c r="G1080" s="6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6" t="s">
        <v>428</v>
      </c>
      <c r="I1080" s="6" t="s">
        <v>866</v>
      </c>
      <c r="J1080" s="6" t="s">
        <v>398</v>
      </c>
      <c r="K1080" s="10">
        <v>3.9</v>
      </c>
      <c r="L1080" s="10">
        <v>30</v>
      </c>
      <c r="M1080" s="6" t="s">
        <v>480</v>
      </c>
      <c r="N1080" s="6">
        <f>IF(OR($G1080="FCC",$G1080="Hydrocracker",$G1080="Reformer"),IF(COUNTIFS($D:$D,$D1080,$A:$A,$A1080,$B:$B,$B1080,$G:$G,"CDU",$J:$J,"PLANNED")&gt;0,"tied","standalone"),"")</f>
        <v/>
      </c>
    </row>
    <row r="1081" spans="1:14">
      <c r="A1081" s="6">
        <v>2023</v>
      </c>
      <c r="B1081" s="6">
        <v>4</v>
      </c>
      <c r="C1081" s="6" t="s">
        <v>63</v>
      </c>
      <c r="D1081" s="6" t="s">
        <v>828</v>
      </c>
      <c r="E1081" s="6" t="s">
        <v>829</v>
      </c>
      <c r="F1081" s="6" t="str">
        <f>IF($M1081="PADD I","PADD 1",IF($M1081="PADD II","PADD 2",IF($M1081="PADD III","PADD 3",IF($M1081="PADD IV","PADD 4",IF($M1081="PADD V","PADD 5","")))))</f>
        <v>PADD 3</v>
      </c>
      <c r="G1081" s="6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6" t="s">
        <v>494</v>
      </c>
      <c r="I1081" s="6" t="s">
        <v>867</v>
      </c>
      <c r="J1081" s="6" t="s">
        <v>394</v>
      </c>
      <c r="K1081" s="10">
        <v>3.9</v>
      </c>
      <c r="L1081" s="10">
        <v>30</v>
      </c>
      <c r="M1081" s="6" t="s">
        <v>421</v>
      </c>
      <c r="N1081" s="6" t="str">
        <f>IF(OR($G1081="FCC",$G1081="Hydrocracker",$G1081="Reformer"),IF(COUNTIFS($D:$D,$D1081,$A:$A,$A1081,$B:$B,$B1081,$G:$G,"CDU",$J:$J,"PLANNED")&gt;0,"tied","standalone"),"")</f>
        <v>standalone</v>
      </c>
    </row>
    <row r="1082" spans="1:14">
      <c r="A1082" s="6">
        <v>2023</v>
      </c>
      <c r="B1082" s="6">
        <v>4</v>
      </c>
      <c r="C1082" s="6" t="s">
        <v>63</v>
      </c>
      <c r="D1082" s="6" t="s">
        <v>828</v>
      </c>
      <c r="E1082" s="6" t="s">
        <v>829</v>
      </c>
      <c r="F1082" s="6" t="str">
        <f>IF($M1082="PADD I","PADD 1",IF($M1082="PADD II","PADD 2",IF($M1082="PADD III","PADD 3",IF($M1082="PADD IV","PADD 4",IF($M1082="PADD V","PADD 5","")))))</f>
        <v>PADD 3</v>
      </c>
      <c r="G1082" s="6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6" t="s">
        <v>44</v>
      </c>
      <c r="I1082" s="6" t="s">
        <v>868</v>
      </c>
      <c r="J1082" s="6" t="s">
        <v>394</v>
      </c>
      <c r="K1082" s="10">
        <v>3.9</v>
      </c>
      <c r="L1082" s="10">
        <v>30</v>
      </c>
      <c r="M1082" s="6" t="s">
        <v>421</v>
      </c>
      <c r="N1082" s="6">
        <f>IF(OR($G1082="FCC",$G1082="Hydrocracker",$G1082="Reformer"),IF(COUNTIFS($D:$D,$D1082,$A:$A,$A1082,$B:$B,$B1082,$G:$G,"CDU",$J:$J,"PLANNED")&gt;0,"tied","standalone"),"")</f>
        <v/>
      </c>
    </row>
    <row r="1083" spans="1:14">
      <c r="A1083" s="6">
        <v>2023</v>
      </c>
      <c r="B1083" s="6">
        <v>4</v>
      </c>
      <c r="C1083" s="6" t="s">
        <v>63</v>
      </c>
      <c r="D1083" s="6" t="s">
        <v>828</v>
      </c>
      <c r="E1083" s="6" t="s">
        <v>829</v>
      </c>
      <c r="F1083" s="6" t="str">
        <f>IF($M1083="PADD I","PADD 1",IF($M1083="PADD II","PADD 2",IF($M1083="PADD III","PADD 3",IF($M1083="PADD IV","PADD 4",IF($M1083="PADD V","PADD 5","")))))</f>
        <v>PADD 3</v>
      </c>
      <c r="G1083" s="6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6" t="s">
        <v>44</v>
      </c>
      <c r="I1083" s="6" t="s">
        <v>869</v>
      </c>
      <c r="J1083" s="6" t="s">
        <v>394</v>
      </c>
      <c r="K1083" s="10">
        <v>3.9</v>
      </c>
      <c r="L1083" s="10">
        <v>30</v>
      </c>
      <c r="M1083" s="6" t="s">
        <v>421</v>
      </c>
      <c r="N1083" s="6">
        <f>IF(OR($G1083="FCC",$G1083="Hydrocracker",$G1083="Reformer"),IF(COUNTIFS($D:$D,$D1083,$A:$A,$A1083,$B:$B,$B1083,$G:$G,"CDU",$J:$J,"PLANNED")&gt;0,"tied","standalone"),"")</f>
        <v/>
      </c>
    </row>
    <row r="1084" spans="1:14">
      <c r="A1084" s="6">
        <v>2023</v>
      </c>
      <c r="B1084" s="6">
        <v>4</v>
      </c>
      <c r="C1084" s="6" t="s">
        <v>63</v>
      </c>
      <c r="D1084" s="6" t="s">
        <v>865</v>
      </c>
      <c r="E1084" s="6" t="s">
        <v>502</v>
      </c>
      <c r="F1084" s="6" t="str">
        <f>IF($M1084="PADD I","PADD 1",IF($M1084="PADD II","PADD 2",IF($M1084="PADD III","PADD 3",IF($M1084="PADD IV","PADD 4",IF($M1084="PADD V","PADD 5","")))))</f>
        <v>PADD 4</v>
      </c>
      <c r="G1084" s="6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6" t="s">
        <v>39</v>
      </c>
      <c r="I1084" s="6" t="s">
        <v>870</v>
      </c>
      <c r="J1084" s="6" t="s">
        <v>398</v>
      </c>
      <c r="K1084" s="10">
        <v>3.64</v>
      </c>
      <c r="L1084" s="10">
        <v>28</v>
      </c>
      <c r="M1084" s="6" t="s">
        <v>480</v>
      </c>
      <c r="N1084" s="6">
        <f>IF(OR($G1084="FCC",$G1084="Hydrocracker",$G1084="Reformer"),IF(COUNTIFS($D:$D,$D1084,$A:$A,$A1084,$B:$B,$B1084,$G:$G,"CDU",$J:$J,"PLANNED")&gt;0,"tied","standalone"),"")</f>
        <v/>
      </c>
    </row>
    <row r="1085" spans="1:14">
      <c r="A1085" s="6">
        <v>2023</v>
      </c>
      <c r="B1085" s="6">
        <v>4</v>
      </c>
      <c r="C1085" s="6" t="s">
        <v>63</v>
      </c>
      <c r="D1085" s="6" t="s">
        <v>512</v>
      </c>
      <c r="E1085" s="6" t="s">
        <v>488</v>
      </c>
      <c r="F1085" s="6" t="str">
        <f>IF($M1085="PADD I","PADD 1",IF($M1085="PADD II","PADD 2",IF($M1085="PADD III","PADD 3",IF($M1085="PADD IV","PADD 4",IF($M1085="PADD V","PADD 5","")))))</f>
        <v>PADD 4</v>
      </c>
      <c r="G1085" s="6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6" t="s">
        <v>44</v>
      </c>
      <c r="I1085" s="6" t="s">
        <v>585</v>
      </c>
      <c r="J1085" s="6" t="s">
        <v>394</v>
      </c>
      <c r="K1085" s="10">
        <v>3.6</v>
      </c>
      <c r="L1085" s="10">
        <v>12</v>
      </c>
      <c r="M1085" s="6" t="s">
        <v>480</v>
      </c>
      <c r="N1085" s="6">
        <f>IF(OR($G1085="FCC",$G1085="Hydrocracker",$G1085="Reformer"),IF(COUNTIFS($D:$D,$D1085,$A:$A,$A1085,$B:$B,$B1085,$G:$G,"CDU",$J:$J,"PLANNED")&gt;0,"tied","standalone"),"")</f>
        <v/>
      </c>
    </row>
    <row r="1086" spans="1:14">
      <c r="A1086" s="6">
        <v>2023</v>
      </c>
      <c r="B1086" s="6">
        <v>4</v>
      </c>
      <c r="C1086" s="6" t="s">
        <v>63</v>
      </c>
      <c r="D1086" s="6" t="s">
        <v>838</v>
      </c>
      <c r="E1086" s="6" t="s">
        <v>455</v>
      </c>
      <c r="F1086" s="6" t="str">
        <f>IF($M1086="PADD I","PADD 1",IF($M1086="PADD II","PADD 2",IF($M1086="PADD III","PADD 3",IF($M1086="PADD IV","PADD 4",IF($M1086="PADD V","PADD 5","")))))</f>
        <v>PADD 3</v>
      </c>
      <c r="G1086" s="6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6" t="s">
        <v>44</v>
      </c>
      <c r="I1086" s="6" t="s">
        <v>871</v>
      </c>
      <c r="J1086" s="6" t="s">
        <v>394</v>
      </c>
      <c r="K1086" s="10">
        <v>3.6</v>
      </c>
      <c r="L1086" s="10">
        <v>36</v>
      </c>
      <c r="M1086" s="6" t="s">
        <v>421</v>
      </c>
      <c r="N1086" s="6">
        <f>IF(OR($G1086="FCC",$G1086="Hydrocracker",$G1086="Reformer"),IF(COUNTIFS($D:$D,$D1086,$A:$A,$A1086,$B:$B,$B1086,$G:$G,"CDU",$J:$J,"PLANNED")&gt;0,"tied","standalone"),"")</f>
        <v/>
      </c>
    </row>
    <row r="1087" spans="1:14">
      <c r="A1087" s="6">
        <v>2023</v>
      </c>
      <c r="B1087" s="6">
        <v>4</v>
      </c>
      <c r="C1087" s="6" t="s">
        <v>63</v>
      </c>
      <c r="D1087" s="6" t="s">
        <v>487</v>
      </c>
      <c r="E1087" s="6" t="s">
        <v>488</v>
      </c>
      <c r="F1087" s="6" t="str">
        <f>IF($M1087="PADD I","PADD 1",IF($M1087="PADD II","PADD 2",IF($M1087="PADD III","PADD 3",IF($M1087="PADD IV","PADD 4",IF($M1087="PADD V","PADD 5","")))))</f>
        <v>PADD 4</v>
      </c>
      <c r="G1087" s="6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6" t="s">
        <v>44</v>
      </c>
      <c r="I1087" s="6" t="s">
        <v>543</v>
      </c>
      <c r="J1087" s="6" t="s">
        <v>394</v>
      </c>
      <c r="K1087" s="10">
        <v>3.57</v>
      </c>
      <c r="L1087" s="10">
        <v>21</v>
      </c>
      <c r="M1087" s="6" t="s">
        <v>480</v>
      </c>
      <c r="N1087" s="6">
        <f>IF(OR($G1087="FCC",$G1087="Hydrocracker",$G1087="Reformer"),IF(COUNTIFS($D:$D,$D1087,$A:$A,$A1087,$B:$B,$B1087,$G:$G,"CDU",$J:$J,"PLANNED")&gt;0,"tied","standalone"),"")</f>
        <v/>
      </c>
    </row>
    <row r="1088" spans="1:14">
      <c r="A1088" s="6">
        <v>2023</v>
      </c>
      <c r="B1088" s="6">
        <v>4</v>
      </c>
      <c r="C1088" s="6" t="s">
        <v>63</v>
      </c>
      <c r="D1088" s="6" t="s">
        <v>872</v>
      </c>
      <c r="E1088" s="6" t="s">
        <v>466</v>
      </c>
      <c r="F1088" s="6" t="str">
        <f>IF($M1088="PADD I","PADD 1",IF($M1088="PADD II","PADD 2",IF($M1088="PADD III","PADD 3",IF($M1088="PADD IV","PADD 4",IF($M1088="PADD V","PADD 5","")))))</f>
        <v>PADD 3</v>
      </c>
      <c r="G1088" s="6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6" t="s">
        <v>44</v>
      </c>
      <c r="I1088" s="6" t="s">
        <v>873</v>
      </c>
      <c r="J1088" s="6" t="s">
        <v>394</v>
      </c>
      <c r="K1088" s="10">
        <v>3.5</v>
      </c>
      <c r="L1088" s="10">
        <v>50</v>
      </c>
      <c r="M1088" s="6" t="s">
        <v>421</v>
      </c>
      <c r="N1088" s="6">
        <f>IF(OR($G1088="FCC",$G1088="Hydrocracker",$G1088="Reformer"),IF(COUNTIFS($D:$D,$D1088,$A:$A,$A1088,$B:$B,$B1088,$G:$G,"CDU",$J:$J,"PLANNED")&gt;0,"tied","standalone"),"")</f>
        <v/>
      </c>
    </row>
    <row r="1089" spans="1:14">
      <c r="A1089" s="6">
        <v>2023</v>
      </c>
      <c r="B1089" s="6">
        <v>4</v>
      </c>
      <c r="C1089" s="6" t="s">
        <v>63</v>
      </c>
      <c r="D1089" s="6" t="s">
        <v>777</v>
      </c>
      <c r="E1089" s="6" t="s">
        <v>778</v>
      </c>
      <c r="F1089" s="6" t="str">
        <f>IF($M1089="PADD I","PADD 1",IF($M1089="PADD II","PADD 2",IF($M1089="PADD III","PADD 3",IF($M1089="PADD IV","PADD 4",IF($M1089="PADD V","PADD 5","")))))</f>
        <v>PADD 1</v>
      </c>
      <c r="G1089" s="6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6" t="s">
        <v>471</v>
      </c>
      <c r="I1089" s="6" t="s">
        <v>621</v>
      </c>
      <c r="J1089" s="6" t="s">
        <v>398</v>
      </c>
      <c r="K1089" s="10">
        <v>3.492</v>
      </c>
      <c r="L1089" s="10">
        <v>3.6</v>
      </c>
      <c r="M1089" s="6" t="s">
        <v>463</v>
      </c>
      <c r="N1089" s="6" t="str">
        <f>IF(OR($G1089="FCC",$G1089="Hydrocracker",$G1089="Reformer"),IF(COUNTIFS($D:$D,$D1089,$A:$A,$A1089,$B:$B,$B1089,$G:$G,"CDU",$J:$J,"PLANNED")&gt;0,"tied","standalone"),"")</f>
        <v>tied</v>
      </c>
    </row>
    <row r="1090" spans="1:14">
      <c r="A1090" s="6">
        <v>2023</v>
      </c>
      <c r="B1090" s="6">
        <v>4</v>
      </c>
      <c r="C1090" s="6" t="s">
        <v>63</v>
      </c>
      <c r="D1090" s="6" t="s">
        <v>576</v>
      </c>
      <c r="E1090" s="6" t="s">
        <v>455</v>
      </c>
      <c r="F1090" s="6" t="str">
        <f>IF($M1090="PADD I","PADD 1",IF($M1090="PADD II","PADD 2",IF($M1090="PADD III","PADD 3",IF($M1090="PADD IV","PADD 4",IF($M1090="PADD V","PADD 5","")))))</f>
        <v>PADD 3</v>
      </c>
      <c r="G1090" s="6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6" t="s">
        <v>428</v>
      </c>
      <c r="I1090" s="6" t="s">
        <v>699</v>
      </c>
      <c r="J1090" s="6" t="s">
        <v>394</v>
      </c>
      <c r="K1090" s="10">
        <v>3.36</v>
      </c>
      <c r="L1090" s="10">
        <v>48</v>
      </c>
      <c r="M1090" s="6" t="s">
        <v>421</v>
      </c>
      <c r="N1090" s="6">
        <f>IF(OR($G1090="FCC",$G1090="Hydrocracker",$G1090="Reformer"),IF(COUNTIFS($D:$D,$D1090,$A:$A,$A1090,$B:$B,$B1090,$G:$G,"CDU",$J:$J,"PLANNED")&gt;0,"tied","standalone"),"")</f>
        <v/>
      </c>
    </row>
    <row r="1091" spans="1:14">
      <c r="A1091" s="6">
        <v>2023</v>
      </c>
      <c r="B1091" s="6">
        <v>4</v>
      </c>
      <c r="C1091" s="6" t="s">
        <v>63</v>
      </c>
      <c r="D1091" s="6" t="s">
        <v>49</v>
      </c>
      <c r="E1091" s="6" t="s">
        <v>438</v>
      </c>
      <c r="F1091" s="6" t="str">
        <f>IF($M1091="PADD I","PADD 1",IF($M1091="PADD II","PADD 2",IF($M1091="PADD III","PADD 3",IF($M1091="PADD IV","PADD 4",IF($M1091="PADD V","PADD 5","")))))</f>
        <v>PADD 2</v>
      </c>
      <c r="G1091" s="6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6" t="s">
        <v>485</v>
      </c>
      <c r="I1091" s="6" t="s">
        <v>681</v>
      </c>
      <c r="J1091" s="6" t="s">
        <v>394</v>
      </c>
      <c r="K1091" s="10">
        <v>3.24</v>
      </c>
      <c r="L1091" s="10">
        <v>12</v>
      </c>
      <c r="M1091" s="6" t="s">
        <v>425</v>
      </c>
      <c r="N1091" s="6">
        <f>IF(OR($G1091="FCC",$G1091="Hydrocracker",$G1091="Reformer"),IF(COUNTIFS($D:$D,$D1091,$A:$A,$A1091,$B:$B,$B1091,$G:$G,"CDU",$J:$J,"PLANNED")&gt;0,"tied","standalone"),"")</f>
        <v/>
      </c>
    </row>
    <row r="1092" spans="1:14">
      <c r="A1092" s="6">
        <v>2023</v>
      </c>
      <c r="B1092" s="6">
        <v>4</v>
      </c>
      <c r="C1092" s="6" t="s">
        <v>63</v>
      </c>
      <c r="D1092" s="6" t="s">
        <v>838</v>
      </c>
      <c r="E1092" s="6" t="s">
        <v>455</v>
      </c>
      <c r="F1092" s="6" t="str">
        <f>IF($M1092="PADD I","PADD 1",IF($M1092="PADD II","PADD 2",IF($M1092="PADD III","PADD 3",IF($M1092="PADD IV","PADD 4",IF($M1092="PADD V","PADD 5","")))))</f>
        <v>PADD 3</v>
      </c>
      <c r="G1092" s="6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6" t="s">
        <v>471</v>
      </c>
      <c r="I1092" s="6" t="s">
        <v>832</v>
      </c>
      <c r="J1092" s="6" t="s">
        <v>394</v>
      </c>
      <c r="K1092" s="10">
        <v>3.2</v>
      </c>
      <c r="L1092" s="10">
        <v>32</v>
      </c>
      <c r="M1092" s="6" t="s">
        <v>421</v>
      </c>
      <c r="N1092" s="6" t="str">
        <f>IF(OR($G1092="FCC",$G1092="Hydrocracker",$G1092="Reformer"),IF(COUNTIFS($D:$D,$D1092,$A:$A,$A1092,$B:$B,$B1092,$G:$G,"CDU",$J:$J,"PLANNED")&gt;0,"tied","standalone"),"")</f>
        <v>standalone</v>
      </c>
    </row>
    <row r="1093" spans="1:14">
      <c r="A1093" s="6">
        <v>2023</v>
      </c>
      <c r="B1093" s="6">
        <v>4</v>
      </c>
      <c r="C1093" s="6" t="s">
        <v>63</v>
      </c>
      <c r="D1093" s="6" t="s">
        <v>872</v>
      </c>
      <c r="E1093" s="6" t="s">
        <v>466</v>
      </c>
      <c r="F1093" s="6" t="str">
        <f>IF($M1093="PADD I","PADD 1",IF($M1093="PADD II","PADD 2",IF($M1093="PADD III","PADD 3",IF($M1093="PADD IV","PADD 4",IF($M1093="PADD V","PADD 5","")))))</f>
        <v>PADD 3</v>
      </c>
      <c r="G1093" s="6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6" t="s">
        <v>44</v>
      </c>
      <c r="I1093" s="6" t="s">
        <v>570</v>
      </c>
      <c r="J1093" s="6" t="s">
        <v>394</v>
      </c>
      <c r="K1093" s="10">
        <v>3.15</v>
      </c>
      <c r="L1093" s="10">
        <v>45</v>
      </c>
      <c r="M1093" s="6" t="s">
        <v>421</v>
      </c>
      <c r="N1093" s="6">
        <f>IF(OR($G1093="FCC",$G1093="Hydrocracker",$G1093="Reformer"),IF(COUNTIFS($D:$D,$D1093,$A:$A,$A1093,$B:$B,$B1093,$G:$G,"CDU",$J:$J,"PLANNED")&gt;0,"tied","standalone"),"")</f>
        <v/>
      </c>
    </row>
    <row r="1094" spans="1:14">
      <c r="A1094" s="6">
        <v>2023</v>
      </c>
      <c r="B1094" s="6">
        <v>4</v>
      </c>
      <c r="C1094" s="6" t="s">
        <v>63</v>
      </c>
      <c r="D1094" s="6" t="s">
        <v>437</v>
      </c>
      <c r="E1094" s="6" t="s">
        <v>438</v>
      </c>
      <c r="F1094" s="6" t="str">
        <f>IF($M1094="PADD I","PADD 1",IF($M1094="PADD II","PADD 2",IF($M1094="PADD III","PADD 3",IF($M1094="PADD IV","PADD 4",IF($M1094="PADD V","PADD 5","")))))</f>
        <v>PADD 3</v>
      </c>
      <c r="G1094" s="6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6" t="s">
        <v>485</v>
      </c>
      <c r="I1094" s="6" t="s">
        <v>645</v>
      </c>
      <c r="J1094" s="6" t="s">
        <v>398</v>
      </c>
      <c r="K1094" s="10">
        <v>3.105</v>
      </c>
      <c r="L1094" s="10">
        <v>13.5</v>
      </c>
      <c r="M1094" s="6" t="s">
        <v>421</v>
      </c>
      <c r="N1094" s="6">
        <f>IF(OR($G1094="FCC",$G1094="Hydrocracker",$G1094="Reformer"),IF(COUNTIFS($D:$D,$D1094,$A:$A,$A1094,$B:$B,$B1094,$G:$G,"CDU",$J:$J,"PLANNED")&gt;0,"tied","standalone"),"")</f>
        <v/>
      </c>
    </row>
    <row r="1095" spans="1:14">
      <c r="A1095" s="6">
        <v>2023</v>
      </c>
      <c r="B1095" s="6">
        <v>4</v>
      </c>
      <c r="C1095" s="6" t="s">
        <v>63</v>
      </c>
      <c r="D1095" s="6" t="s">
        <v>872</v>
      </c>
      <c r="E1095" s="6" t="s">
        <v>466</v>
      </c>
      <c r="F1095" s="6" t="str">
        <f>IF($M1095="PADD I","PADD 1",IF($M1095="PADD II","PADD 2",IF($M1095="PADD III","PADD 3",IF($M1095="PADD IV","PADD 4",IF($M1095="PADD V","PADD 5","")))))</f>
        <v>PADD 3</v>
      </c>
      <c r="G1095" s="6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6" t="s">
        <v>485</v>
      </c>
      <c r="I1095" s="6" t="s">
        <v>491</v>
      </c>
      <c r="J1095" s="6" t="s">
        <v>394</v>
      </c>
      <c r="K1095" s="10">
        <v>3.08</v>
      </c>
      <c r="L1095" s="10">
        <v>44</v>
      </c>
      <c r="M1095" s="6" t="s">
        <v>421</v>
      </c>
      <c r="N1095" s="6">
        <f>IF(OR($G1095="FCC",$G1095="Hydrocracker",$G1095="Reformer"),IF(COUNTIFS($D:$D,$D1095,$A:$A,$A1095,$B:$B,$B1095,$G:$G,"CDU",$J:$J,"PLANNED")&gt;0,"tied","standalone"),"")</f>
        <v/>
      </c>
    </row>
    <row r="1096" spans="1:14">
      <c r="A1096" s="6">
        <v>2023</v>
      </c>
      <c r="B1096" s="6">
        <v>4</v>
      </c>
      <c r="C1096" s="6" t="s">
        <v>63</v>
      </c>
      <c r="D1096" s="6" t="s">
        <v>422</v>
      </c>
      <c r="E1096" s="6" t="s">
        <v>423</v>
      </c>
      <c r="F1096" s="6" t="str">
        <f>IF($M1096="PADD I","PADD 1",IF($M1096="PADD II","PADD 2",IF($M1096="PADD III","PADD 3",IF($M1096="PADD IV","PADD 4",IF($M1096="PADD V","PADD 5","")))))</f>
        <v>PADD 2</v>
      </c>
      <c r="G1096" s="6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6" t="s">
        <v>510</v>
      </c>
      <c r="I1096" s="6" t="s">
        <v>591</v>
      </c>
      <c r="J1096" s="6" t="s">
        <v>394</v>
      </c>
      <c r="K1096" s="10">
        <v>3</v>
      </c>
      <c r="L1096" s="10">
        <v>3</v>
      </c>
      <c r="M1096" s="6" t="s">
        <v>425</v>
      </c>
      <c r="N1096" s="6">
        <f>IF(OR($G1096="FCC",$G1096="Hydrocracker",$G1096="Reformer"),IF(COUNTIFS($D:$D,$D1096,$A:$A,$A1096,$B:$B,$B1096,$G:$G,"CDU",$J:$J,"PLANNED")&gt;0,"tied","standalone"),"")</f>
        <v/>
      </c>
    </row>
    <row r="1097" spans="1:14">
      <c r="A1097" s="6">
        <v>2023</v>
      </c>
      <c r="B1097" s="6">
        <v>4</v>
      </c>
      <c r="C1097" s="6" t="s">
        <v>63</v>
      </c>
      <c r="D1097" s="6" t="s">
        <v>422</v>
      </c>
      <c r="E1097" s="6" t="s">
        <v>423</v>
      </c>
      <c r="F1097" s="6" t="str">
        <f>IF($M1097="PADD I","PADD 1",IF($M1097="PADD II","PADD 2",IF($M1097="PADD III","PADD 3",IF($M1097="PADD IV","PADD 4",IF($M1097="PADD V","PADD 5","")))))</f>
        <v>PADD 2</v>
      </c>
      <c r="G1097" s="6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6" t="s">
        <v>510</v>
      </c>
      <c r="I1097" s="6" t="s">
        <v>658</v>
      </c>
      <c r="J1097" s="6" t="s">
        <v>394</v>
      </c>
      <c r="K1097" s="10">
        <v>3</v>
      </c>
      <c r="L1097" s="10">
        <v>3</v>
      </c>
      <c r="M1097" s="6" t="s">
        <v>425</v>
      </c>
      <c r="N1097" s="6">
        <f>IF(OR($G1097="FCC",$G1097="Hydrocracker",$G1097="Reformer"),IF(COUNTIFS($D:$D,$D1097,$A:$A,$A1097,$B:$B,$B1097,$G:$G,"CDU",$J:$J,"PLANNED")&gt;0,"tied","standalone"),"")</f>
        <v/>
      </c>
    </row>
    <row r="1098" spans="1:14">
      <c r="A1098" s="6">
        <v>2023</v>
      </c>
      <c r="B1098" s="6">
        <v>4</v>
      </c>
      <c r="C1098" s="6" t="s">
        <v>63</v>
      </c>
      <c r="D1098" s="6" t="s">
        <v>487</v>
      </c>
      <c r="E1098" s="6" t="s">
        <v>488</v>
      </c>
      <c r="F1098" s="6" t="str">
        <f>IF($M1098="PADD I","PADD 1",IF($M1098="PADD II","PADD 2",IF($M1098="PADD III","PADD 3",IF($M1098="PADD IV","PADD 4",IF($M1098="PADD V","PADD 5","")))))</f>
        <v>PADD 4</v>
      </c>
      <c r="G1098" s="6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6" t="s">
        <v>428</v>
      </c>
      <c r="I1098" s="6" t="s">
        <v>606</v>
      </c>
      <c r="J1098" s="6" t="s">
        <v>394</v>
      </c>
      <c r="K1098" s="10">
        <v>3</v>
      </c>
      <c r="L1098" s="10">
        <v>10</v>
      </c>
      <c r="M1098" s="6" t="s">
        <v>480</v>
      </c>
      <c r="N1098" s="6">
        <f>IF(OR($G1098="FCC",$G1098="Hydrocracker",$G1098="Reformer"),IF(COUNTIFS($D:$D,$D1098,$A:$A,$A1098,$B:$B,$B1098,$G:$G,"CDU",$J:$J,"PLANNED")&gt;0,"tied","standalone"),"")</f>
        <v/>
      </c>
    </row>
    <row r="1099" spans="1:14">
      <c r="A1099" s="6">
        <v>2023</v>
      </c>
      <c r="B1099" s="6">
        <v>4</v>
      </c>
      <c r="C1099" s="6" t="s">
        <v>63</v>
      </c>
      <c r="D1099" s="6" t="s">
        <v>487</v>
      </c>
      <c r="E1099" s="6" t="s">
        <v>488</v>
      </c>
      <c r="F1099" s="6" t="str">
        <f>IF($M1099="PADD I","PADD 1",IF($M1099="PADD II","PADD 2",IF($M1099="PADD III","PADD 3",IF($M1099="PADD IV","PADD 4",IF($M1099="PADD V","PADD 5","")))))</f>
        <v>PADD 4</v>
      </c>
      <c r="G1099" s="6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6" t="s">
        <v>471</v>
      </c>
      <c r="I1099" s="6" t="s">
        <v>607</v>
      </c>
      <c r="J1099" s="6" t="s">
        <v>394</v>
      </c>
      <c r="K1099" s="10">
        <v>3</v>
      </c>
      <c r="L1099" s="10">
        <v>10</v>
      </c>
      <c r="M1099" s="6" t="s">
        <v>480</v>
      </c>
      <c r="N1099" s="6" t="str">
        <f>IF(OR($G1099="FCC",$G1099="Hydrocracker",$G1099="Reformer"),IF(COUNTIFS($D:$D,$D1099,$A:$A,$A1099,$B:$B,$B1099,$G:$G,"CDU",$J:$J,"PLANNED")&gt;0,"tied","standalone"),"")</f>
        <v>tied</v>
      </c>
    </row>
    <row r="1100" spans="1:14">
      <c r="A1100" s="6">
        <v>2023</v>
      </c>
      <c r="B1100" s="6">
        <v>4</v>
      </c>
      <c r="C1100" s="6" t="s">
        <v>63</v>
      </c>
      <c r="D1100" s="6" t="s">
        <v>512</v>
      </c>
      <c r="E1100" s="6" t="s">
        <v>488</v>
      </c>
      <c r="F1100" s="6" t="str">
        <f>IF($M1100="PADD I","PADD 1",IF($M1100="PADD II","PADD 2",IF($M1100="PADD III","PADD 3",IF($M1100="PADD IV","PADD 4",IF($M1100="PADD V","PADD 5","")))))</f>
        <v>PADD 4</v>
      </c>
      <c r="G1100" s="6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6" t="s">
        <v>44</v>
      </c>
      <c r="I1100" s="6" t="s">
        <v>543</v>
      </c>
      <c r="J1100" s="6" t="s">
        <v>394</v>
      </c>
      <c r="K1100" s="10">
        <v>3</v>
      </c>
      <c r="L1100" s="10">
        <v>10</v>
      </c>
      <c r="M1100" s="6" t="s">
        <v>480</v>
      </c>
      <c r="N1100" s="6">
        <f>IF(OR($G1100="FCC",$G1100="Hydrocracker",$G1100="Reformer"),IF(COUNTIFS($D:$D,$D1100,$A:$A,$A1100,$B:$B,$B1100,$G:$G,"CDU",$J:$J,"PLANNED")&gt;0,"tied","standalone"),"")</f>
        <v/>
      </c>
    </row>
    <row r="1101" spans="1:14">
      <c r="A1101" s="6">
        <v>2023</v>
      </c>
      <c r="B1101" s="6">
        <v>4</v>
      </c>
      <c r="C1101" s="6" t="s">
        <v>63</v>
      </c>
      <c r="D1101" s="6" t="s">
        <v>512</v>
      </c>
      <c r="E1101" s="6" t="s">
        <v>488</v>
      </c>
      <c r="F1101" s="6" t="str">
        <f>IF($M1101="PADD I","PADD 1",IF($M1101="PADD II","PADD 2",IF($M1101="PADD III","PADD 3",IF($M1101="PADD IV","PADD 4",IF($M1101="PADD V","PADD 5","")))))</f>
        <v>PADD 4</v>
      </c>
      <c r="G1101" s="6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6" t="s">
        <v>44</v>
      </c>
      <c r="I1101" s="6" t="s">
        <v>608</v>
      </c>
      <c r="J1101" s="6" t="s">
        <v>394</v>
      </c>
      <c r="K1101" s="10">
        <v>3</v>
      </c>
      <c r="L1101" s="10">
        <v>10</v>
      </c>
      <c r="M1101" s="6" t="s">
        <v>480</v>
      </c>
      <c r="N1101" s="6">
        <f>IF(OR($G1101="FCC",$G1101="Hydrocracker",$G1101="Reformer"),IF(COUNTIFS($D:$D,$D1101,$A:$A,$A1101,$B:$B,$B1101,$G:$G,"CDU",$J:$J,"PLANNED")&gt;0,"tied","standalone"),"")</f>
        <v/>
      </c>
    </row>
    <row r="1102" spans="1:14">
      <c r="A1102" s="6">
        <v>2023</v>
      </c>
      <c r="B1102" s="6">
        <v>4</v>
      </c>
      <c r="C1102" s="6" t="s">
        <v>63</v>
      </c>
      <c r="D1102" s="6" t="s">
        <v>512</v>
      </c>
      <c r="E1102" s="6" t="s">
        <v>488</v>
      </c>
      <c r="F1102" s="6" t="str">
        <f>IF($M1102="PADD I","PADD 1",IF($M1102="PADD II","PADD 2",IF($M1102="PADD III","PADD 3",IF($M1102="PADD IV","PADD 4",IF($M1102="PADD V","PADD 5","")))))</f>
        <v>PADD 4</v>
      </c>
      <c r="G1102" s="6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6" t="s">
        <v>471</v>
      </c>
      <c r="I1102" s="6" t="s">
        <v>609</v>
      </c>
      <c r="J1102" s="6" t="s">
        <v>394</v>
      </c>
      <c r="K1102" s="10">
        <v>3</v>
      </c>
      <c r="L1102" s="10">
        <v>10</v>
      </c>
      <c r="M1102" s="6" t="s">
        <v>480</v>
      </c>
      <c r="N1102" s="6" t="str">
        <f>IF(OR($G1102="FCC",$G1102="Hydrocracker",$G1102="Reformer"),IF(COUNTIFS($D:$D,$D1102,$A:$A,$A1102,$B:$B,$B1102,$G:$G,"CDU",$J:$J,"PLANNED")&gt;0,"tied","standalone"),"")</f>
        <v>standalone</v>
      </c>
    </row>
    <row r="1103" spans="1:14">
      <c r="A1103" s="6">
        <v>2023</v>
      </c>
      <c r="B1103" s="6">
        <v>4</v>
      </c>
      <c r="C1103" s="6" t="s">
        <v>63</v>
      </c>
      <c r="D1103" s="6" t="s">
        <v>662</v>
      </c>
      <c r="E1103" s="6" t="s">
        <v>466</v>
      </c>
      <c r="F1103" s="6" t="str">
        <f>IF($M1103="PADD I","PADD 1",IF($M1103="PADD II","PADD 2",IF($M1103="PADD III","PADD 3",IF($M1103="PADD IV","PADD 4",IF($M1103="PADD V","PADD 5","")))))</f>
        <v>PADD 3</v>
      </c>
      <c r="G1103" s="6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6" t="s">
        <v>44</v>
      </c>
      <c r="I1103" s="6" t="s">
        <v>508</v>
      </c>
      <c r="J1103" s="6" t="s">
        <v>394</v>
      </c>
      <c r="K1103" s="10">
        <v>2.8</v>
      </c>
      <c r="L1103" s="10">
        <v>40</v>
      </c>
      <c r="M1103" s="6" t="s">
        <v>421</v>
      </c>
      <c r="N1103" s="6">
        <f>IF(OR($G1103="FCC",$G1103="Hydrocracker",$G1103="Reformer"),IF(COUNTIFS($D:$D,$D1103,$A:$A,$A1103,$B:$B,$B1103,$G:$G,"CDU",$J:$J,"PLANNED")&gt;0,"tied","standalone"),"")</f>
        <v/>
      </c>
    </row>
    <row r="1104" spans="1:14">
      <c r="A1104" s="6">
        <v>2023</v>
      </c>
      <c r="B1104" s="6">
        <v>4</v>
      </c>
      <c r="C1104" s="6" t="s">
        <v>63</v>
      </c>
      <c r="D1104" s="6" t="s">
        <v>857</v>
      </c>
      <c r="E1104" s="6" t="s">
        <v>829</v>
      </c>
      <c r="F1104" s="6" t="str">
        <f>IF($M1104="PADD I","PADD 1",IF($M1104="PADD II","PADD 2",IF($M1104="PADD III","PADD 3",IF($M1104="PADD IV","PADD 4",IF($M1104="PADD V","PADD 5","")))))</f>
        <v>PADD 3</v>
      </c>
      <c r="G1104" s="6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6" t="s">
        <v>44</v>
      </c>
      <c r="I1104" s="6" t="s">
        <v>874</v>
      </c>
      <c r="J1104" s="6" t="s">
        <v>394</v>
      </c>
      <c r="K1104" s="10">
        <v>2.6</v>
      </c>
      <c r="L1104" s="10">
        <v>20</v>
      </c>
      <c r="M1104" s="6" t="s">
        <v>421</v>
      </c>
      <c r="N1104" s="6">
        <f>IF(OR($G1104="FCC",$G1104="Hydrocracker",$G1104="Reformer"),IF(COUNTIFS($D:$D,$D1104,$A:$A,$A1104,$B:$B,$B1104,$G:$G,"CDU",$J:$J,"PLANNED")&gt;0,"tied","standalone"),"")</f>
        <v/>
      </c>
    </row>
    <row r="1105" spans="1:14">
      <c r="A1105" s="6">
        <v>2023</v>
      </c>
      <c r="B1105" s="6">
        <v>4</v>
      </c>
      <c r="C1105" s="6" t="s">
        <v>63</v>
      </c>
      <c r="D1105" s="6" t="s">
        <v>487</v>
      </c>
      <c r="E1105" s="6" t="s">
        <v>488</v>
      </c>
      <c r="F1105" s="6" t="str">
        <f>IF($M1105="PADD I","PADD 1",IF($M1105="PADD II","PADD 2",IF($M1105="PADD III","PADD 3",IF($M1105="PADD IV","PADD 4",IF($M1105="PADD V","PADD 5","")))))</f>
        <v>PADD 4</v>
      </c>
      <c r="G1105" s="6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6" t="s">
        <v>471</v>
      </c>
      <c r="I1105" s="6" t="s">
        <v>607</v>
      </c>
      <c r="J1105" s="6" t="s">
        <v>394</v>
      </c>
      <c r="K1105" s="10">
        <v>2.585</v>
      </c>
      <c r="L1105" s="10">
        <v>5.5</v>
      </c>
      <c r="M1105" s="6" t="s">
        <v>480</v>
      </c>
      <c r="N1105" s="6" t="str">
        <f>IF(OR($G1105="FCC",$G1105="Hydrocracker",$G1105="Reformer"),IF(COUNTIFS($D:$D,$D1105,$A:$A,$A1105,$B:$B,$B1105,$G:$G,"CDU",$J:$J,"PLANNED")&gt;0,"tied","standalone"),"")</f>
        <v>tied</v>
      </c>
    </row>
    <row r="1106" spans="1:14">
      <c r="A1106" s="6">
        <v>2023</v>
      </c>
      <c r="B1106" s="6">
        <v>4</v>
      </c>
      <c r="C1106" s="6" t="s">
        <v>63</v>
      </c>
      <c r="D1106" s="6" t="s">
        <v>487</v>
      </c>
      <c r="E1106" s="6" t="s">
        <v>488</v>
      </c>
      <c r="F1106" s="6" t="str">
        <f>IF($M1106="PADD I","PADD 1",IF($M1106="PADD II","PADD 2",IF($M1106="PADD III","PADD 3",IF($M1106="PADD IV","PADD 4",IF($M1106="PADD V","PADD 5","")))))</f>
        <v>PADD 4</v>
      </c>
      <c r="G1106" s="6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6" t="s">
        <v>426</v>
      </c>
      <c r="I1106" s="6" t="s">
        <v>478</v>
      </c>
      <c r="J1106" s="6" t="s">
        <v>394</v>
      </c>
      <c r="K1106" s="10">
        <v>2.55</v>
      </c>
      <c r="L1106" s="10">
        <v>8.5</v>
      </c>
      <c r="M1106" s="6" t="s">
        <v>480</v>
      </c>
      <c r="N1106" s="6" t="str">
        <f>IF(OR($G1106="FCC",$G1106="Hydrocracker",$G1106="Reformer"),IF(COUNTIFS($D:$D,$D1106,$A:$A,$A1106,$B:$B,$B1106,$G:$G,"CDU",$J:$J,"PLANNED")&gt;0,"tied","standalone"),"")</f>
        <v>tied</v>
      </c>
    </row>
    <row r="1107" spans="1:14">
      <c r="A1107" s="6">
        <v>2023</v>
      </c>
      <c r="B1107" s="6">
        <v>4</v>
      </c>
      <c r="C1107" s="6" t="s">
        <v>63</v>
      </c>
      <c r="D1107" s="6" t="s">
        <v>662</v>
      </c>
      <c r="E1107" s="6" t="s">
        <v>466</v>
      </c>
      <c r="F1107" s="6" t="str">
        <f>IF($M1107="PADD I","PADD 1",IF($M1107="PADD II","PADD 2",IF($M1107="PADD III","PADD 3",IF($M1107="PADD IV","PADD 4",IF($M1107="PADD V","PADD 5","")))))</f>
        <v>PADD 3</v>
      </c>
      <c r="G1107" s="6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6" t="s">
        <v>428</v>
      </c>
      <c r="I1107" s="6" t="s">
        <v>481</v>
      </c>
      <c r="J1107" s="6" t="s">
        <v>394</v>
      </c>
      <c r="K1107" s="10">
        <v>2.4</v>
      </c>
      <c r="L1107" s="10">
        <v>80</v>
      </c>
      <c r="M1107" s="6" t="s">
        <v>421</v>
      </c>
      <c r="N1107" s="6">
        <f>IF(OR($G1107="FCC",$G1107="Hydrocracker",$G1107="Reformer"),IF(COUNTIFS($D:$D,$D1107,$A:$A,$A1107,$B:$B,$B1107,$G:$G,"CDU",$J:$J,"PLANNED")&gt;0,"tied","standalone"),"")</f>
        <v/>
      </c>
    </row>
    <row r="1108" spans="1:14">
      <c r="A1108" s="6">
        <v>2023</v>
      </c>
      <c r="B1108" s="6">
        <v>4</v>
      </c>
      <c r="C1108" s="6" t="s">
        <v>63</v>
      </c>
      <c r="D1108" s="6" t="s">
        <v>53</v>
      </c>
      <c r="E1108" s="6" t="s">
        <v>438</v>
      </c>
      <c r="F1108" s="6" t="str">
        <f>IF($M1108="PADD I","PADD 1",IF($M1108="PADD II","PADD 2",IF($M1108="PADD III","PADD 3",IF($M1108="PADD IV","PADD 4",IF($M1108="PADD V","PADD 5","")))))</f>
        <v>PADD 5</v>
      </c>
      <c r="G1108" s="6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6" t="s">
        <v>618</v>
      </c>
      <c r="I1108" s="6" t="s">
        <v>875</v>
      </c>
      <c r="J1108" s="6" t="s">
        <v>398</v>
      </c>
      <c r="K1108" s="10">
        <v>2.28</v>
      </c>
      <c r="L1108" s="10">
        <v>4</v>
      </c>
      <c r="M1108" s="6" t="s">
        <v>436</v>
      </c>
      <c r="N1108" s="6">
        <f>IF(OR($G1108="FCC",$G1108="Hydrocracker",$G1108="Reformer"),IF(COUNTIFS($D:$D,$D1108,$A:$A,$A1108,$B:$B,$B1108,$G:$G,"CDU",$J:$J,"PLANNED")&gt;0,"tied","standalone"),"")</f>
        <v/>
      </c>
    </row>
    <row r="1109" spans="1:14">
      <c r="A1109" s="6">
        <v>2023</v>
      </c>
      <c r="B1109" s="6">
        <v>4</v>
      </c>
      <c r="C1109" s="6" t="s">
        <v>63</v>
      </c>
      <c r="D1109" s="6" t="s">
        <v>487</v>
      </c>
      <c r="E1109" s="6" t="s">
        <v>488</v>
      </c>
      <c r="F1109" s="6" t="str">
        <f>IF($M1109="PADD I","PADD 1",IF($M1109="PADD II","PADD 2",IF($M1109="PADD III","PADD 3",IF($M1109="PADD IV","PADD 4",IF($M1109="PADD V","PADD 5","")))))</f>
        <v>PADD 4</v>
      </c>
      <c r="G1109" s="6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6" t="s">
        <v>428</v>
      </c>
      <c r="I1109" s="6" t="s">
        <v>606</v>
      </c>
      <c r="J1109" s="6" t="s">
        <v>394</v>
      </c>
      <c r="K1109" s="10">
        <v>2.2626</v>
      </c>
      <c r="L1109" s="10">
        <v>8.380000000000001</v>
      </c>
      <c r="M1109" s="6" t="s">
        <v>480</v>
      </c>
      <c r="N1109" s="6">
        <f>IF(OR($G1109="FCC",$G1109="Hydrocracker",$G1109="Reformer"),IF(COUNTIFS($D:$D,$D1109,$A:$A,$A1109,$B:$B,$B1109,$G:$G,"CDU",$J:$J,"PLANNED")&gt;0,"tied","standalone"),"")</f>
        <v/>
      </c>
    </row>
    <row r="1110" spans="1:14">
      <c r="A1110" s="6">
        <v>2023</v>
      </c>
      <c r="B1110" s="6">
        <v>4</v>
      </c>
      <c r="C1110" s="6" t="s">
        <v>63</v>
      </c>
      <c r="D1110" s="6" t="s">
        <v>872</v>
      </c>
      <c r="E1110" s="6" t="s">
        <v>466</v>
      </c>
      <c r="F1110" s="6" t="str">
        <f>IF($M1110="PADD I","PADD 1",IF($M1110="PADD II","PADD 2",IF($M1110="PADD III","PADD 3",IF($M1110="PADD IV","PADD 4",IF($M1110="PADD V","PADD 5","")))))</f>
        <v>PADD 3</v>
      </c>
      <c r="G1110" s="6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6" t="s">
        <v>471</v>
      </c>
      <c r="I1110" s="6" t="s">
        <v>876</v>
      </c>
      <c r="J1110" s="6" t="s">
        <v>394</v>
      </c>
      <c r="K1110" s="10">
        <v>2.1</v>
      </c>
      <c r="L1110" s="10">
        <v>30</v>
      </c>
      <c r="M1110" s="6" t="s">
        <v>421</v>
      </c>
      <c r="N1110" s="6" t="str">
        <f>IF(OR($G1110="FCC",$G1110="Hydrocracker",$G1110="Reformer"),IF(COUNTIFS($D:$D,$D1110,$A:$A,$A1110,$B:$B,$B1110,$G:$G,"CDU",$J:$J,"PLANNED")&gt;0,"tied","standalone"),"")</f>
        <v>standalone</v>
      </c>
    </row>
    <row r="1111" spans="1:14">
      <c r="A1111" s="6">
        <v>2023</v>
      </c>
      <c r="B1111" s="6">
        <v>4</v>
      </c>
      <c r="C1111" s="6" t="s">
        <v>63</v>
      </c>
      <c r="D1111" s="6" t="s">
        <v>872</v>
      </c>
      <c r="E1111" s="6" t="s">
        <v>466</v>
      </c>
      <c r="F1111" s="6" t="str">
        <f>IF($M1111="PADD I","PADD 1",IF($M1111="PADD II","PADD 2",IF($M1111="PADD III","PADD 3",IF($M1111="PADD IV","PADD 4",IF($M1111="PADD V","PADD 5","")))))</f>
        <v>PADD 3</v>
      </c>
      <c r="G1111" s="6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6" t="s">
        <v>44</v>
      </c>
      <c r="I1111" s="6" t="s">
        <v>877</v>
      </c>
      <c r="J1111" s="6" t="s">
        <v>394</v>
      </c>
      <c r="K1111" s="10">
        <v>2.1</v>
      </c>
      <c r="L1111" s="10">
        <v>30</v>
      </c>
      <c r="M1111" s="6" t="s">
        <v>421</v>
      </c>
      <c r="N1111" s="6">
        <f>IF(OR($G1111="FCC",$G1111="Hydrocracker",$G1111="Reformer"),IF(COUNTIFS($D:$D,$D1111,$A:$A,$A1111,$B:$B,$B1111,$G:$G,"CDU",$J:$J,"PLANNED")&gt;0,"tied","standalone"),"")</f>
        <v/>
      </c>
    </row>
    <row r="1112" spans="1:14">
      <c r="A1112" s="6">
        <v>2023</v>
      </c>
      <c r="B1112" s="6">
        <v>4</v>
      </c>
      <c r="C1112" s="6" t="s">
        <v>63</v>
      </c>
      <c r="D1112" s="6" t="s">
        <v>712</v>
      </c>
      <c r="E1112" s="6" t="s">
        <v>602</v>
      </c>
      <c r="F1112" s="6" t="str">
        <f>IF($M1112="PADD I","PADD 1",IF($M1112="PADD II","PADD 2",IF($M1112="PADD III","PADD 3",IF($M1112="PADD IV","PADD 4",IF($M1112="PADD V","PADD 5","")))))</f>
        <v>PADD 3</v>
      </c>
      <c r="G1112" s="6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6" t="s">
        <v>44</v>
      </c>
      <c r="I1112" s="6" t="s">
        <v>878</v>
      </c>
      <c r="J1112" s="6" t="s">
        <v>398</v>
      </c>
      <c r="K1112" s="10">
        <v>2.04</v>
      </c>
      <c r="L1112" s="10">
        <v>12</v>
      </c>
      <c r="M1112" s="6" t="s">
        <v>421</v>
      </c>
      <c r="N1112" s="6">
        <f>IF(OR($G1112="FCC",$G1112="Hydrocracker",$G1112="Reformer"),IF(COUNTIFS($D:$D,$D1112,$A:$A,$A1112,$B:$B,$B1112,$G:$G,"CDU",$J:$J,"PLANNED")&gt;0,"tied","standalone"),"")</f>
        <v/>
      </c>
    </row>
    <row r="1113" spans="1:14">
      <c r="A1113" s="6">
        <v>2023</v>
      </c>
      <c r="B1113" s="6">
        <v>4</v>
      </c>
      <c r="C1113" s="6" t="s">
        <v>63</v>
      </c>
      <c r="D1113" s="6" t="s">
        <v>857</v>
      </c>
      <c r="E1113" s="6" t="s">
        <v>829</v>
      </c>
      <c r="F1113" s="6" t="str">
        <f>IF($M1113="PADD I","PADD 1",IF($M1113="PADD II","PADD 2",IF($M1113="PADD III","PADD 3",IF($M1113="PADD IV","PADD 4",IF($M1113="PADD V","PADD 5","")))))</f>
        <v>PADD 3</v>
      </c>
      <c r="G1113" s="6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6" t="s">
        <v>39</v>
      </c>
      <c r="I1113" s="6" t="s">
        <v>136</v>
      </c>
      <c r="J1113" s="6" t="s">
        <v>394</v>
      </c>
      <c r="K1113" s="10">
        <v>2.01</v>
      </c>
      <c r="L1113" s="10">
        <v>67</v>
      </c>
      <c r="M1113" s="6" t="s">
        <v>421</v>
      </c>
      <c r="N1113" s="6">
        <f>IF(OR($G1113="FCC",$G1113="Hydrocracker",$G1113="Reformer"),IF(COUNTIFS($D:$D,$D1113,$A:$A,$A1113,$B:$B,$B1113,$G:$G,"CDU",$J:$J,"PLANNED")&gt;0,"tied","standalone"),"")</f>
        <v/>
      </c>
    </row>
    <row r="1114" spans="1:14">
      <c r="A1114" s="6">
        <v>2023</v>
      </c>
      <c r="B1114" s="6">
        <v>4</v>
      </c>
      <c r="C1114" s="6" t="s">
        <v>63</v>
      </c>
      <c r="D1114" s="6" t="s">
        <v>470</v>
      </c>
      <c r="E1114" s="6" t="s">
        <v>423</v>
      </c>
      <c r="F1114" s="6" t="str">
        <f>IF($M1114="PADD I","PADD 1",IF($M1114="PADD II","PADD 2",IF($M1114="PADD III","PADD 3",IF($M1114="PADD IV","PADD 4",IF($M1114="PADD V","PADD 5","")))))</f>
        <v>PADD 2</v>
      </c>
      <c r="G1114" s="6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6" t="s">
        <v>618</v>
      </c>
      <c r="I1114" s="6" t="s">
        <v>654</v>
      </c>
      <c r="J1114" s="6" t="s">
        <v>394</v>
      </c>
      <c r="K1114" s="10">
        <v>2</v>
      </c>
      <c r="L1114" s="10">
        <v>2</v>
      </c>
      <c r="M1114" s="6" t="s">
        <v>425</v>
      </c>
      <c r="N1114" s="6">
        <f>IF(OR($G1114="FCC",$G1114="Hydrocracker",$G1114="Reformer"),IF(COUNTIFS($D:$D,$D1114,$A:$A,$A1114,$B:$B,$B1114,$G:$G,"CDU",$J:$J,"PLANNED")&gt;0,"tied","standalone"),"")</f>
        <v/>
      </c>
    </row>
    <row r="1115" spans="1:14">
      <c r="A1115" s="6">
        <v>2023</v>
      </c>
      <c r="B1115" s="6">
        <v>4</v>
      </c>
      <c r="C1115" s="6" t="s">
        <v>63</v>
      </c>
      <c r="D1115" s="6" t="s">
        <v>512</v>
      </c>
      <c r="E1115" s="6" t="s">
        <v>488</v>
      </c>
      <c r="F1115" s="6" t="str">
        <f>IF($M1115="PADD I","PADD 1",IF($M1115="PADD II","PADD 2",IF($M1115="PADD III","PADD 3",IF($M1115="PADD IV","PADD 4",IF($M1115="PADD V","PADD 5","")))))</f>
        <v>PADD 4</v>
      </c>
      <c r="G1115" s="6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6" t="s">
        <v>426</v>
      </c>
      <c r="I1115" s="6" t="s">
        <v>106</v>
      </c>
      <c r="J1115" s="6" t="s">
        <v>394</v>
      </c>
      <c r="K1115" s="10">
        <v>1.981</v>
      </c>
      <c r="L1115" s="10">
        <v>28.3</v>
      </c>
      <c r="M1115" s="6" t="s">
        <v>480</v>
      </c>
      <c r="N1115" s="6" t="str">
        <f>IF(OR($G1115="FCC",$G1115="Hydrocracker",$G1115="Reformer"),IF(COUNTIFS($D:$D,$D1115,$A:$A,$A1115,$B:$B,$B1115,$G:$G,"CDU",$J:$J,"PLANNED")&gt;0,"tied","standalone"),"")</f>
        <v>standalone</v>
      </c>
    </row>
    <row r="1116" spans="1:14">
      <c r="A1116" s="6">
        <v>2023</v>
      </c>
      <c r="B1116" s="6">
        <v>4</v>
      </c>
      <c r="C1116" s="6" t="s">
        <v>63</v>
      </c>
      <c r="D1116" s="6" t="s">
        <v>49</v>
      </c>
      <c r="E1116" s="6" t="s">
        <v>438</v>
      </c>
      <c r="F1116" s="6" t="str">
        <f>IF($M1116="PADD I","PADD 1",IF($M1116="PADD II","PADD 2",IF($M1116="PADD III","PADD 3",IF($M1116="PADD IV","PADD 4",IF($M1116="PADD V","PADD 5","")))))</f>
        <v>PADD 2</v>
      </c>
      <c r="G1116" s="6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6" t="s">
        <v>428</v>
      </c>
      <c r="I1116" s="6" t="s">
        <v>481</v>
      </c>
      <c r="J1116" s="6" t="s">
        <v>394</v>
      </c>
      <c r="K1116" s="10">
        <v>1.95</v>
      </c>
      <c r="L1116" s="10">
        <v>65</v>
      </c>
      <c r="M1116" s="6" t="s">
        <v>425</v>
      </c>
      <c r="N1116" s="6">
        <f>IF(OR($G1116="FCC",$G1116="Hydrocracker",$G1116="Reformer"),IF(COUNTIFS($D:$D,$D1116,$A:$A,$A1116,$B:$B,$B1116,$G:$G,"CDU",$J:$J,"PLANNED")&gt;0,"tied","standalone"),"")</f>
        <v/>
      </c>
    </row>
    <row r="1117" spans="1:14">
      <c r="A1117" s="6">
        <v>2023</v>
      </c>
      <c r="B1117" s="6">
        <v>4</v>
      </c>
      <c r="C1117" s="6" t="s">
        <v>63</v>
      </c>
      <c r="D1117" s="6" t="s">
        <v>853</v>
      </c>
      <c r="E1117" s="6" t="s">
        <v>438</v>
      </c>
      <c r="F1117" s="6" t="str">
        <f>IF($M1117="PADD I","PADD 1",IF($M1117="PADD II","PADD 2",IF($M1117="PADD III","PADD 3",IF($M1117="PADD IV","PADD 4",IF($M1117="PADD V","PADD 5","")))))</f>
        <v>PADD 2</v>
      </c>
      <c r="G1117" s="6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6" t="s">
        <v>471</v>
      </c>
      <c r="I1117" s="6" t="s">
        <v>609</v>
      </c>
      <c r="J1117" s="6" t="s">
        <v>394</v>
      </c>
      <c r="K1117" s="10">
        <v>1.9125</v>
      </c>
      <c r="L1117" s="10">
        <v>11.25</v>
      </c>
      <c r="M1117" s="6" t="s">
        <v>425</v>
      </c>
      <c r="N1117" s="6" t="str">
        <f>IF(OR($G1117="FCC",$G1117="Hydrocracker",$G1117="Reformer"),IF(COUNTIFS($D:$D,$D1117,$A:$A,$A1117,$B:$B,$B1117,$G:$G,"CDU",$J:$J,"PLANNED")&gt;0,"tied","standalone"),"")</f>
        <v>standalone</v>
      </c>
    </row>
    <row r="1118" spans="1:14">
      <c r="A1118" s="6">
        <v>2023</v>
      </c>
      <c r="B1118" s="6">
        <v>4</v>
      </c>
      <c r="C1118" s="6" t="s">
        <v>63</v>
      </c>
      <c r="D1118" s="6" t="s">
        <v>853</v>
      </c>
      <c r="E1118" s="6" t="s">
        <v>438</v>
      </c>
      <c r="F1118" s="6" t="str">
        <f>IF($M1118="PADD I","PADD 1",IF($M1118="PADD II","PADD 2",IF($M1118="PADD III","PADD 3",IF($M1118="PADD IV","PADD 4",IF($M1118="PADD V","PADD 5","")))))</f>
        <v>PADD 2</v>
      </c>
      <c r="G1118" s="6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6" t="s">
        <v>471</v>
      </c>
      <c r="I1118" s="6" t="s">
        <v>609</v>
      </c>
      <c r="J1118" s="6" t="s">
        <v>394</v>
      </c>
      <c r="K1118" s="10">
        <v>1.9125</v>
      </c>
      <c r="L1118" s="10">
        <v>11.25</v>
      </c>
      <c r="M1118" s="6" t="s">
        <v>425</v>
      </c>
      <c r="N1118" s="6" t="str">
        <f>IF(OR($G1118="FCC",$G1118="Hydrocracker",$G1118="Reformer"),IF(COUNTIFS($D:$D,$D1118,$A:$A,$A1118,$B:$B,$B1118,$G:$G,"CDU",$J:$J,"PLANNED")&gt;0,"tied","standalone"),"")</f>
        <v>standalone</v>
      </c>
    </row>
    <row r="1119" spans="1:14">
      <c r="A1119" s="6">
        <v>2023</v>
      </c>
      <c r="B1119" s="6">
        <v>4</v>
      </c>
      <c r="C1119" s="6" t="s">
        <v>63</v>
      </c>
      <c r="D1119" s="6" t="s">
        <v>828</v>
      </c>
      <c r="E1119" s="6" t="s">
        <v>829</v>
      </c>
      <c r="F1119" s="6" t="str">
        <f>IF($M1119="PADD I","PADD 1",IF($M1119="PADD II","PADD 2",IF($M1119="PADD III","PADD 3",IF($M1119="PADD IV","PADD 4",IF($M1119="PADD V","PADD 5","")))))</f>
        <v>PADD 3</v>
      </c>
      <c r="G1119" s="6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6" t="s">
        <v>510</v>
      </c>
      <c r="I1119" s="6" t="s">
        <v>666</v>
      </c>
      <c r="J1119" s="6" t="s">
        <v>394</v>
      </c>
      <c r="K1119" s="10">
        <v>1.911</v>
      </c>
      <c r="L1119" s="10">
        <v>14.7</v>
      </c>
      <c r="M1119" s="6" t="s">
        <v>421</v>
      </c>
      <c r="N1119" s="6">
        <f>IF(OR($G1119="FCC",$G1119="Hydrocracker",$G1119="Reformer"),IF(COUNTIFS($D:$D,$D1119,$A:$A,$A1119,$B:$B,$B1119,$G:$G,"CDU",$J:$J,"PLANNED")&gt;0,"tied","standalone"),"")</f>
        <v/>
      </c>
    </row>
    <row r="1120" spans="1:14">
      <c r="A1120" s="6">
        <v>2023</v>
      </c>
      <c r="B1120" s="6">
        <v>4</v>
      </c>
      <c r="C1120" s="6" t="s">
        <v>63</v>
      </c>
      <c r="D1120" s="6" t="s">
        <v>518</v>
      </c>
      <c r="E1120" s="6" t="s">
        <v>419</v>
      </c>
      <c r="F1120" s="6" t="str">
        <f>IF($M1120="PADD I","PADD 1",IF($M1120="PADD II","PADD 2",IF($M1120="PADD III","PADD 3",IF($M1120="PADD IV","PADD 4",IF($M1120="PADD V","PADD 5","")))))</f>
        <v>PADD 3</v>
      </c>
      <c r="G1120" s="6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6" t="s">
        <v>471</v>
      </c>
      <c r="I1120" s="6" t="s">
        <v>685</v>
      </c>
      <c r="J1120" s="6" t="s">
        <v>394</v>
      </c>
      <c r="K1120" s="10">
        <v>1.89</v>
      </c>
      <c r="L1120" s="10">
        <v>7</v>
      </c>
      <c r="M1120" s="6" t="s">
        <v>421</v>
      </c>
      <c r="N1120" s="6" t="str">
        <f>IF(OR($G1120="FCC",$G1120="Hydrocracker",$G1120="Reformer"),IF(COUNTIFS($D:$D,$D1120,$A:$A,$A1120,$B:$B,$B1120,$G:$G,"CDU",$J:$J,"PLANNED")&gt;0,"tied","standalone"),"")</f>
        <v>tied</v>
      </c>
    </row>
    <row r="1121" spans="1:14">
      <c r="A1121" s="6">
        <v>2023</v>
      </c>
      <c r="B1121" s="6">
        <v>4</v>
      </c>
      <c r="C1121" s="6" t="s">
        <v>63</v>
      </c>
      <c r="D1121" s="6" t="s">
        <v>838</v>
      </c>
      <c r="E1121" s="6" t="s">
        <v>455</v>
      </c>
      <c r="F1121" s="6" t="str">
        <f>IF($M1121="PADD I","PADD 1",IF($M1121="PADD II","PADD 2",IF($M1121="PADD III","PADD 3",IF($M1121="PADD IV","PADD 4",IF($M1121="PADD V","PADD 5","")))))</f>
        <v>PADD 3</v>
      </c>
      <c r="G1121" s="6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6" t="s">
        <v>44</v>
      </c>
      <c r="I1121" s="6" t="s">
        <v>879</v>
      </c>
      <c r="J1121" s="6" t="s">
        <v>394</v>
      </c>
      <c r="K1121" s="10">
        <v>1.8</v>
      </c>
      <c r="L1121" s="10">
        <v>18</v>
      </c>
      <c r="M1121" s="6" t="s">
        <v>421</v>
      </c>
      <c r="N1121" s="6">
        <f>IF(OR($G1121="FCC",$G1121="Hydrocracker",$G1121="Reformer"),IF(COUNTIFS($D:$D,$D1121,$A:$A,$A1121,$B:$B,$B1121,$G:$G,"CDU",$J:$J,"PLANNED")&gt;0,"tied","standalone"),"")</f>
        <v/>
      </c>
    </row>
    <row r="1122" spans="1:14">
      <c r="A1122" s="6">
        <v>2023</v>
      </c>
      <c r="B1122" s="6">
        <v>4</v>
      </c>
      <c r="C1122" s="6" t="s">
        <v>63</v>
      </c>
      <c r="D1122" s="6" t="s">
        <v>880</v>
      </c>
      <c r="E1122" s="6" t="s">
        <v>438</v>
      </c>
      <c r="F1122" s="6" t="str">
        <f>IF($M1122="PADD I","PADD 1",IF($M1122="PADD II","PADD 2",IF($M1122="PADD III","PADD 3",IF($M1122="PADD IV","PADD 4",IF($M1122="PADD V","PADD 5","")))))</f>
        <v>PADD 2</v>
      </c>
      <c r="G1122" s="6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6" t="s">
        <v>44</v>
      </c>
      <c r="I1122" s="6" t="s">
        <v>535</v>
      </c>
      <c r="J1122" s="6" t="s">
        <v>394</v>
      </c>
      <c r="K1122" s="10">
        <v>1.8</v>
      </c>
      <c r="L1122" s="10">
        <v>6</v>
      </c>
      <c r="M1122" s="6" t="s">
        <v>425</v>
      </c>
      <c r="N1122" s="6">
        <f>IF(OR($G1122="FCC",$G1122="Hydrocracker",$G1122="Reformer"),IF(COUNTIFS($D:$D,$D1122,$A:$A,$A1122,$B:$B,$B1122,$G:$G,"CDU",$J:$J,"PLANNED")&gt;0,"tied","standalone"),"")</f>
        <v/>
      </c>
    </row>
    <row r="1123" spans="1:14">
      <c r="A1123" s="6">
        <v>2023</v>
      </c>
      <c r="B1123" s="6">
        <v>4</v>
      </c>
      <c r="C1123" s="6" t="s">
        <v>63</v>
      </c>
      <c r="D1123" s="6" t="s">
        <v>880</v>
      </c>
      <c r="E1123" s="6" t="s">
        <v>438</v>
      </c>
      <c r="F1123" s="6" t="str">
        <f>IF($M1123="PADD I","PADD 1",IF($M1123="PADD II","PADD 2",IF($M1123="PADD III","PADD 3",IF($M1123="PADD IV","PADD 4",IF($M1123="PADD V","PADD 5","")))))</f>
        <v>PADD 2</v>
      </c>
      <c r="G1123" s="6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6" t="s">
        <v>44</v>
      </c>
      <c r="I1123" s="6" t="s">
        <v>535</v>
      </c>
      <c r="J1123" s="6" t="s">
        <v>394</v>
      </c>
      <c r="K1123" s="10">
        <v>1.8</v>
      </c>
      <c r="L1123" s="10">
        <v>6</v>
      </c>
      <c r="M1123" s="6" t="s">
        <v>425</v>
      </c>
      <c r="N1123" s="6">
        <f>IF(OR($G1123="FCC",$G1123="Hydrocracker",$G1123="Reformer"),IF(COUNTIFS($D:$D,$D1123,$A:$A,$A1123,$B:$B,$B1123,$G:$G,"CDU",$J:$J,"PLANNED")&gt;0,"tied","standalone"),"")</f>
        <v/>
      </c>
    </row>
    <row r="1124" spans="1:14">
      <c r="A1124" s="6">
        <v>2023</v>
      </c>
      <c r="B1124" s="6">
        <v>4</v>
      </c>
      <c r="C1124" s="6" t="s">
        <v>63</v>
      </c>
      <c r="D1124" s="6" t="s">
        <v>568</v>
      </c>
      <c r="E1124" s="6" t="s">
        <v>419</v>
      </c>
      <c r="F1124" s="6" t="str">
        <f>IF($M1124="PADD I","PADD 1",IF($M1124="PADD II","PADD 2",IF($M1124="PADD III","PADD 3",IF($M1124="PADD IV","PADD 4",IF($M1124="PADD V","PADD 5","")))))</f>
        <v>PADD 5</v>
      </c>
      <c r="G1124" s="6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6" t="s">
        <v>618</v>
      </c>
      <c r="I1124" s="6" t="s">
        <v>667</v>
      </c>
      <c r="J1124" s="6" t="s">
        <v>394</v>
      </c>
      <c r="K1124" s="10">
        <v>1.755</v>
      </c>
      <c r="L1124" s="10">
        <v>6.5</v>
      </c>
      <c r="M1124" s="6" t="s">
        <v>436</v>
      </c>
      <c r="N1124" s="6">
        <f>IF(OR($G1124="FCC",$G1124="Hydrocracker",$G1124="Reformer"),IF(COUNTIFS($D:$D,$D1124,$A:$A,$A1124,$B:$B,$B1124,$G:$G,"CDU",$J:$J,"PLANNED")&gt;0,"tied","standalone"),"")</f>
        <v/>
      </c>
    </row>
    <row r="1125" spans="1:14">
      <c r="A1125" s="6">
        <v>2023</v>
      </c>
      <c r="B1125" s="6">
        <v>4</v>
      </c>
      <c r="C1125" s="6" t="s">
        <v>63</v>
      </c>
      <c r="D1125" s="6" t="s">
        <v>512</v>
      </c>
      <c r="E1125" s="6" t="s">
        <v>488</v>
      </c>
      <c r="F1125" s="6" t="str">
        <f>IF($M1125="PADD I","PADD 1",IF($M1125="PADD II","PADD 2",IF($M1125="PADD III","PADD 3",IF($M1125="PADD IV","PADD 4",IF($M1125="PADD V","PADD 5","")))))</f>
        <v>PADD 4</v>
      </c>
      <c r="G1125" s="6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6" t="s">
        <v>428</v>
      </c>
      <c r="I1125" s="6" t="s">
        <v>605</v>
      </c>
      <c r="J1125" s="6" t="s">
        <v>394</v>
      </c>
      <c r="K1125" s="10">
        <v>1.676</v>
      </c>
      <c r="L1125" s="10">
        <v>8.380000000000001</v>
      </c>
      <c r="M1125" s="6" t="s">
        <v>480</v>
      </c>
      <c r="N1125" s="6">
        <f>IF(OR($G1125="FCC",$G1125="Hydrocracker",$G1125="Reformer"),IF(COUNTIFS($D:$D,$D1125,$A:$A,$A1125,$B:$B,$B1125,$G:$G,"CDU",$J:$J,"PLANNED")&gt;0,"tied","standalone"),"")</f>
        <v/>
      </c>
    </row>
    <row r="1126" spans="1:14">
      <c r="A1126" s="6">
        <v>2023</v>
      </c>
      <c r="B1126" s="6">
        <v>4</v>
      </c>
      <c r="C1126" s="6" t="s">
        <v>63</v>
      </c>
      <c r="D1126" s="6" t="s">
        <v>838</v>
      </c>
      <c r="E1126" s="6" t="s">
        <v>455</v>
      </c>
      <c r="F1126" s="6" t="str">
        <f>IF($M1126="PADD I","PADD 1",IF($M1126="PADD II","PADD 2",IF($M1126="PADD III","PADD 3",IF($M1126="PADD IV","PADD 4",IF($M1126="PADD V","PADD 5","")))))</f>
        <v>PADD 3</v>
      </c>
      <c r="G1126" s="6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6" t="s">
        <v>494</v>
      </c>
      <c r="I1126" s="6" t="s">
        <v>881</v>
      </c>
      <c r="J1126" s="6" t="s">
        <v>394</v>
      </c>
      <c r="K1126" s="10">
        <v>1.65</v>
      </c>
      <c r="L1126" s="10">
        <v>55</v>
      </c>
      <c r="M1126" s="6" t="s">
        <v>421</v>
      </c>
      <c r="N1126" s="6" t="str">
        <f>IF(OR($G1126="FCC",$G1126="Hydrocracker",$G1126="Reformer"),IF(COUNTIFS($D:$D,$D1126,$A:$A,$A1126,$B:$B,$B1126,$G:$G,"CDU",$J:$J,"PLANNED")&gt;0,"tied","standalone"),"")</f>
        <v>standalone</v>
      </c>
    </row>
    <row r="1127" spans="1:14">
      <c r="A1127" s="6">
        <v>2023</v>
      </c>
      <c r="B1127" s="6">
        <v>4</v>
      </c>
      <c r="C1127" s="6" t="s">
        <v>63</v>
      </c>
      <c r="D1127" s="6" t="s">
        <v>865</v>
      </c>
      <c r="E1127" s="6" t="s">
        <v>502</v>
      </c>
      <c r="F1127" s="6" t="str">
        <f>IF($M1127="PADD I","PADD 1",IF($M1127="PADD II","PADD 2",IF($M1127="PADD III","PADD 3",IF($M1127="PADD IV","PADD 4",IF($M1127="PADD V","PADD 5","")))))</f>
        <v>PADD 4</v>
      </c>
      <c r="G1127" s="6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6" t="s">
        <v>471</v>
      </c>
      <c r="I1127" s="6" t="s">
        <v>882</v>
      </c>
      <c r="J1127" s="6" t="s">
        <v>398</v>
      </c>
      <c r="K1127" s="10">
        <v>1.625</v>
      </c>
      <c r="L1127" s="10">
        <v>12.5</v>
      </c>
      <c r="M1127" s="6" t="s">
        <v>480</v>
      </c>
      <c r="N1127" s="6" t="str">
        <f>IF(OR($G1127="FCC",$G1127="Hydrocracker",$G1127="Reformer"),IF(COUNTIFS($D:$D,$D1127,$A:$A,$A1127,$B:$B,$B1127,$G:$G,"CDU",$J:$J,"PLANNED")&gt;0,"tied","standalone"),"")</f>
        <v>tied</v>
      </c>
    </row>
    <row r="1128" spans="1:14">
      <c r="A1128" s="6">
        <v>2023</v>
      </c>
      <c r="B1128" s="6">
        <v>4</v>
      </c>
      <c r="C1128" s="6" t="s">
        <v>63</v>
      </c>
      <c r="D1128" s="6" t="s">
        <v>49</v>
      </c>
      <c r="E1128" s="6" t="s">
        <v>438</v>
      </c>
      <c r="F1128" s="6" t="str">
        <f>IF($M1128="PADD I","PADD 1",IF($M1128="PADD II","PADD 2",IF($M1128="PADD III","PADD 3",IF($M1128="PADD IV","PADD 4",IF($M1128="PADD V","PADD 5","")))))</f>
        <v>PADD 2</v>
      </c>
      <c r="G1128" s="6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6" t="s">
        <v>426</v>
      </c>
      <c r="I1128" s="6" t="s">
        <v>106</v>
      </c>
      <c r="J1128" s="6" t="s">
        <v>394</v>
      </c>
      <c r="K1128" s="10">
        <v>1.575</v>
      </c>
      <c r="L1128" s="10">
        <v>52.5</v>
      </c>
      <c r="M1128" s="6" t="s">
        <v>425</v>
      </c>
      <c r="N1128" s="6" t="str">
        <f>IF(OR($G1128="FCC",$G1128="Hydrocracker",$G1128="Reformer"),IF(COUNTIFS($D:$D,$D1128,$A:$A,$A1128,$B:$B,$B1128,$G:$G,"CDU",$J:$J,"PLANNED")&gt;0,"tied","standalone"),"")</f>
        <v>tied</v>
      </c>
    </row>
    <row r="1129" spans="1:14">
      <c r="A1129" s="6">
        <v>2023</v>
      </c>
      <c r="B1129" s="6">
        <v>4</v>
      </c>
      <c r="C1129" s="6" t="s">
        <v>63</v>
      </c>
      <c r="D1129" s="6" t="s">
        <v>857</v>
      </c>
      <c r="E1129" s="6" t="s">
        <v>829</v>
      </c>
      <c r="F1129" s="6" t="str">
        <f>IF($M1129="PADD I","PADD 1",IF($M1129="PADD II","PADD 2",IF($M1129="PADD III","PADD 3",IF($M1129="PADD IV","PADD 4",IF($M1129="PADD V","PADD 5","")))))</f>
        <v>PADD 3</v>
      </c>
      <c r="G1129" s="6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6" t="s">
        <v>494</v>
      </c>
      <c r="I1129" s="6" t="s">
        <v>883</v>
      </c>
      <c r="J1129" s="6" t="s">
        <v>394</v>
      </c>
      <c r="K1129" s="10">
        <v>1.56</v>
      </c>
      <c r="L1129" s="10">
        <v>12</v>
      </c>
      <c r="M1129" s="6" t="s">
        <v>421</v>
      </c>
      <c r="N1129" s="6" t="str">
        <f>IF(OR($G1129="FCC",$G1129="Hydrocracker",$G1129="Reformer"),IF(COUNTIFS($D:$D,$D1129,$A:$A,$A1129,$B:$B,$B1129,$G:$G,"CDU",$J:$J,"PLANNED")&gt;0,"tied","standalone"),"")</f>
        <v>standalone</v>
      </c>
    </row>
    <row r="1130" spans="1:14">
      <c r="A1130" s="6">
        <v>2023</v>
      </c>
      <c r="B1130" s="6">
        <v>4</v>
      </c>
      <c r="C1130" s="6" t="s">
        <v>63</v>
      </c>
      <c r="D1130" s="6" t="s">
        <v>626</v>
      </c>
      <c r="E1130" s="6" t="s">
        <v>419</v>
      </c>
      <c r="F1130" s="6" t="str">
        <f>IF($M1130="PADD I","PADD 1",IF($M1130="PADD II","PADD 2",IF($M1130="PADD III","PADD 3",IF($M1130="PADD IV","PADD 4",IF($M1130="PADD V","PADD 5","")))))</f>
        <v>PADD 3</v>
      </c>
      <c r="G1130" s="6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6" t="s">
        <v>485</v>
      </c>
      <c r="I1130" s="6" t="s">
        <v>753</v>
      </c>
      <c r="J1130" s="6" t="s">
        <v>398</v>
      </c>
      <c r="K1130" s="10">
        <v>1.5</v>
      </c>
      <c r="L1130" s="10">
        <v>15</v>
      </c>
      <c r="M1130" s="6" t="s">
        <v>421</v>
      </c>
      <c r="N1130" s="6">
        <f>IF(OR($G1130="FCC",$G1130="Hydrocracker",$G1130="Reformer"),IF(COUNTIFS($D:$D,$D1130,$A:$A,$A1130,$B:$B,$B1130,$G:$G,"CDU",$J:$J,"PLANNED")&gt;0,"tied","standalone"),"")</f>
        <v/>
      </c>
    </row>
    <row r="1131" spans="1:14">
      <c r="A1131" s="6">
        <v>2023</v>
      </c>
      <c r="B1131" s="6">
        <v>4</v>
      </c>
      <c r="C1131" s="6" t="s">
        <v>63</v>
      </c>
      <c r="D1131" s="6" t="s">
        <v>884</v>
      </c>
      <c r="E1131" s="6" t="s">
        <v>455</v>
      </c>
      <c r="F1131" s="6" t="str">
        <f>IF($M1131="PADD I","PADD 1",IF($M1131="PADD II","PADD 2",IF($M1131="PADD III","PADD 3",IF($M1131="PADD IV","PADD 4",IF($M1131="PADD V","PADD 5","")))))</f>
        <v>PADD 3</v>
      </c>
      <c r="G1131" s="6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6" t="s">
        <v>44</v>
      </c>
      <c r="I1131" s="6" t="s">
        <v>499</v>
      </c>
      <c r="J1131" s="6" t="s">
        <v>394</v>
      </c>
      <c r="K1131" s="10">
        <v>1.5</v>
      </c>
      <c r="L1131" s="10">
        <v>50</v>
      </c>
      <c r="M1131" s="6" t="s">
        <v>421</v>
      </c>
      <c r="N1131" s="6">
        <f>IF(OR($G1131="FCC",$G1131="Hydrocracker",$G1131="Reformer"),IF(COUNTIFS($D:$D,$D1131,$A:$A,$A1131,$B:$B,$B1131,$G:$G,"CDU",$J:$J,"PLANNED")&gt;0,"tied","standalone"),"")</f>
        <v/>
      </c>
    </row>
    <row r="1132" spans="1:14">
      <c r="A1132" s="6">
        <v>2023</v>
      </c>
      <c r="B1132" s="6">
        <v>4</v>
      </c>
      <c r="C1132" s="6" t="s">
        <v>63</v>
      </c>
      <c r="D1132" s="6" t="s">
        <v>662</v>
      </c>
      <c r="E1132" s="6" t="s">
        <v>466</v>
      </c>
      <c r="F1132" s="6" t="str">
        <f>IF($M1132="PADD I","PADD 1",IF($M1132="PADD II","PADD 2",IF($M1132="PADD III","PADD 3",IF($M1132="PADD IV","PADD 4",IF($M1132="PADD V","PADD 5","")))))</f>
        <v>PADD 3</v>
      </c>
      <c r="G1132" s="6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6" t="s">
        <v>510</v>
      </c>
      <c r="I1132" s="6" t="s">
        <v>885</v>
      </c>
      <c r="J1132" s="6" t="s">
        <v>394</v>
      </c>
      <c r="K1132" s="10">
        <v>1.47</v>
      </c>
      <c r="L1132" s="10">
        <v>21</v>
      </c>
      <c r="M1132" s="6" t="s">
        <v>421</v>
      </c>
      <c r="N1132" s="6">
        <f>IF(OR($G1132="FCC",$G1132="Hydrocracker",$G1132="Reformer"),IF(COUNTIFS($D:$D,$D1132,$A:$A,$A1132,$B:$B,$B1132,$G:$G,"CDU",$J:$J,"PLANNED")&gt;0,"tied","standalone"),"")</f>
        <v/>
      </c>
    </row>
    <row r="1133" spans="1:14">
      <c r="A1133" s="6">
        <v>2023</v>
      </c>
      <c r="B1133" s="6">
        <v>4</v>
      </c>
      <c r="C1133" s="6" t="s">
        <v>63</v>
      </c>
      <c r="D1133" s="6" t="s">
        <v>865</v>
      </c>
      <c r="E1133" s="6" t="s">
        <v>502</v>
      </c>
      <c r="F1133" s="6" t="str">
        <f>IF($M1133="PADD I","PADD 1",IF($M1133="PADD II","PADD 2",IF($M1133="PADD III","PADD 3",IF($M1133="PADD IV","PADD 4",IF($M1133="PADD V","PADD 5","")))))</f>
        <v>PADD 4</v>
      </c>
      <c r="G1133" s="6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6" t="s">
        <v>426</v>
      </c>
      <c r="I1133" s="6" t="s">
        <v>886</v>
      </c>
      <c r="J1133" s="6" t="s">
        <v>398</v>
      </c>
      <c r="K1133" s="10">
        <v>1.43</v>
      </c>
      <c r="L1133" s="10">
        <v>11</v>
      </c>
      <c r="M1133" s="6" t="s">
        <v>480</v>
      </c>
      <c r="N1133" s="6" t="str">
        <f>IF(OR($G1133="FCC",$G1133="Hydrocracker",$G1133="Reformer"),IF(COUNTIFS($D:$D,$D1133,$A:$A,$A1133,$B:$B,$B1133,$G:$G,"CDU",$J:$J,"PLANNED")&gt;0,"tied","standalone"),"")</f>
        <v>tied</v>
      </c>
    </row>
    <row r="1134" spans="1:14">
      <c r="A1134" s="6">
        <v>2023</v>
      </c>
      <c r="B1134" s="6">
        <v>4</v>
      </c>
      <c r="C1134" s="6" t="s">
        <v>63</v>
      </c>
      <c r="D1134" s="6" t="s">
        <v>662</v>
      </c>
      <c r="E1134" s="6" t="s">
        <v>466</v>
      </c>
      <c r="F1134" s="6" t="str">
        <f>IF($M1134="PADD I","PADD 1",IF($M1134="PADD II","PADD 2",IF($M1134="PADD III","PADD 3",IF($M1134="PADD IV","PADD 4",IF($M1134="PADD V","PADD 5","")))))</f>
        <v>PADD 3</v>
      </c>
      <c r="G1134" s="6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6" t="s">
        <v>44</v>
      </c>
      <c r="I1134" s="6" t="s">
        <v>887</v>
      </c>
      <c r="J1134" s="6" t="s">
        <v>394</v>
      </c>
      <c r="K1134" s="10">
        <v>1.4</v>
      </c>
      <c r="L1134" s="10">
        <v>20</v>
      </c>
      <c r="M1134" s="6" t="s">
        <v>421</v>
      </c>
      <c r="N1134" s="6">
        <f>IF(OR($G1134="FCC",$G1134="Hydrocracker",$G1134="Reformer"),IF(COUNTIFS($D:$D,$D1134,$A:$A,$A1134,$B:$B,$B1134,$G:$G,"CDU",$J:$J,"PLANNED")&gt;0,"tied","standalone"),"")</f>
        <v/>
      </c>
    </row>
    <row r="1135" spans="1:14">
      <c r="A1135" s="6">
        <v>2023</v>
      </c>
      <c r="B1135" s="6">
        <v>4</v>
      </c>
      <c r="C1135" s="6" t="s">
        <v>63</v>
      </c>
      <c r="D1135" s="6" t="s">
        <v>49</v>
      </c>
      <c r="E1135" s="6" t="s">
        <v>438</v>
      </c>
      <c r="F1135" s="6" t="str">
        <f>IF($M1135="PADD I","PADD 1",IF($M1135="PADD II","PADD 2",IF($M1135="PADD III","PADD 3",IF($M1135="PADD IV","PADD 4",IF($M1135="PADD V","PADD 5","")))))</f>
        <v>PADD 2</v>
      </c>
      <c r="G1135" s="6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6" t="s">
        <v>44</v>
      </c>
      <c r="I1135" s="6" t="s">
        <v>791</v>
      </c>
      <c r="J1135" s="6" t="s">
        <v>394</v>
      </c>
      <c r="K1135" s="10">
        <v>1.395</v>
      </c>
      <c r="L1135" s="10">
        <v>46.5</v>
      </c>
      <c r="M1135" s="6" t="s">
        <v>425</v>
      </c>
      <c r="N1135" s="6">
        <f>IF(OR($G1135="FCC",$G1135="Hydrocracker",$G1135="Reformer"),IF(COUNTIFS($D:$D,$D1135,$A:$A,$A1135,$B:$B,$B1135,$G:$G,"CDU",$J:$J,"PLANNED")&gt;0,"tied","standalone"),"")</f>
        <v/>
      </c>
    </row>
    <row r="1136" spans="1:14">
      <c r="A1136" s="6">
        <v>2023</v>
      </c>
      <c r="B1136" s="6">
        <v>4</v>
      </c>
      <c r="C1136" s="6" t="s">
        <v>63</v>
      </c>
      <c r="D1136" s="6" t="s">
        <v>458</v>
      </c>
      <c r="E1136" s="6" t="s">
        <v>459</v>
      </c>
      <c r="F1136" s="6" t="str">
        <f>IF($M1136="PADD I","PADD 1",IF($M1136="PADD II","PADD 2",IF($M1136="PADD III","PADD 3",IF($M1136="PADD IV","PADD 4",IF($M1136="PADD V","PADD 5","")))))</f>
        <v>PADD 3</v>
      </c>
      <c r="G1136" s="6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6" t="s">
        <v>510</v>
      </c>
      <c r="I1136" s="6" t="s">
        <v>656</v>
      </c>
      <c r="J1136" s="6" t="s">
        <v>394</v>
      </c>
      <c r="K1136" s="10">
        <v>1.35</v>
      </c>
      <c r="L1136" s="10">
        <v>5</v>
      </c>
      <c r="M1136" s="6" t="s">
        <v>421</v>
      </c>
      <c r="N1136" s="6">
        <f>IF(OR($G1136="FCC",$G1136="Hydrocracker",$G1136="Reformer"),IF(COUNTIFS($D:$D,$D1136,$A:$A,$A1136,$B:$B,$B1136,$G:$G,"CDU",$J:$J,"PLANNED")&gt;0,"tied","standalone"),"")</f>
        <v/>
      </c>
    </row>
    <row r="1137" spans="1:14">
      <c r="A1137" s="6">
        <v>2023</v>
      </c>
      <c r="B1137" s="6">
        <v>4</v>
      </c>
      <c r="C1137" s="6" t="s">
        <v>63</v>
      </c>
      <c r="D1137" s="6" t="s">
        <v>696</v>
      </c>
      <c r="E1137" s="6" t="s">
        <v>455</v>
      </c>
      <c r="F1137" s="6" t="str">
        <f>IF($M1137="PADD I","PADD 1",IF($M1137="PADD II","PADD 2",IF($M1137="PADD III","PADD 3",IF($M1137="PADD IV","PADD 4",IF($M1137="PADD V","PADD 5","")))))</f>
        <v>PADD 3</v>
      </c>
      <c r="G1137" s="6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6" t="s">
        <v>44</v>
      </c>
      <c r="I1137" s="6" t="s">
        <v>697</v>
      </c>
      <c r="J1137" s="6" t="s">
        <v>394</v>
      </c>
      <c r="K1137" s="10">
        <v>1.35</v>
      </c>
      <c r="L1137" s="10">
        <v>45</v>
      </c>
      <c r="M1137" s="6" t="s">
        <v>421</v>
      </c>
      <c r="N1137" s="6">
        <f>IF(OR($G1137="FCC",$G1137="Hydrocracker",$G1137="Reformer"),IF(COUNTIFS($D:$D,$D1137,$A:$A,$A1137,$B:$B,$B1137,$G:$G,"CDU",$J:$J,"PLANNED")&gt;0,"tied","standalone"),"")</f>
        <v/>
      </c>
    </row>
    <row r="1138" spans="1:14">
      <c r="A1138" s="6">
        <v>2023</v>
      </c>
      <c r="B1138" s="6">
        <v>4</v>
      </c>
      <c r="C1138" s="6" t="s">
        <v>63</v>
      </c>
      <c r="D1138" s="6" t="s">
        <v>626</v>
      </c>
      <c r="E1138" s="6" t="s">
        <v>419</v>
      </c>
      <c r="F1138" s="6" t="str">
        <f>IF($M1138="PADD I","PADD 1",IF($M1138="PADD II","PADD 2",IF($M1138="PADD III","PADD 3",IF($M1138="PADD IV","PADD 4",IF($M1138="PADD V","PADD 5","")))))</f>
        <v>PADD 3</v>
      </c>
      <c r="G1138" s="6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6" t="s">
        <v>44</v>
      </c>
      <c r="I1138" s="6" t="s">
        <v>706</v>
      </c>
      <c r="J1138" s="6" t="s">
        <v>398</v>
      </c>
      <c r="K1138" s="10">
        <v>1.3</v>
      </c>
      <c r="L1138" s="10">
        <v>13</v>
      </c>
      <c r="M1138" s="6" t="s">
        <v>421</v>
      </c>
      <c r="N1138" s="6">
        <f>IF(OR($G1138="FCC",$G1138="Hydrocracker",$G1138="Reformer"),IF(COUNTIFS($D:$D,$D1138,$A:$A,$A1138,$B:$B,$B1138,$G:$G,"CDU",$J:$J,"PLANNED")&gt;0,"tied","standalone"),"")</f>
        <v/>
      </c>
    </row>
    <row r="1139" spans="1:14">
      <c r="A1139" s="6">
        <v>2023</v>
      </c>
      <c r="B1139" s="6">
        <v>4</v>
      </c>
      <c r="C1139" s="6" t="s">
        <v>63</v>
      </c>
      <c r="D1139" s="6" t="s">
        <v>49</v>
      </c>
      <c r="E1139" s="6" t="s">
        <v>438</v>
      </c>
      <c r="F1139" s="6" t="str">
        <f>IF($M1139="PADD I","PADD 1",IF($M1139="PADD II","PADD 2",IF($M1139="PADD III","PADD 3",IF($M1139="PADD IV","PADD 4",IF($M1139="PADD V","PADD 5","")))))</f>
        <v>PADD 2</v>
      </c>
      <c r="G1139" s="6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6" t="s">
        <v>471</v>
      </c>
      <c r="I1139" s="6" t="s">
        <v>771</v>
      </c>
      <c r="J1139" s="6" t="s">
        <v>394</v>
      </c>
      <c r="K1139" s="10">
        <v>1.29</v>
      </c>
      <c r="L1139" s="10">
        <v>43</v>
      </c>
      <c r="M1139" s="6" t="s">
        <v>425</v>
      </c>
      <c r="N1139" s="6" t="str">
        <f>IF(OR($G1139="FCC",$G1139="Hydrocracker",$G1139="Reformer"),IF(COUNTIFS($D:$D,$D1139,$A:$A,$A1139,$B:$B,$B1139,$G:$G,"CDU",$J:$J,"PLANNED")&gt;0,"tied","standalone"),"")</f>
        <v>tied</v>
      </c>
    </row>
    <row r="1140" spans="1:14">
      <c r="A1140" s="6">
        <v>2023</v>
      </c>
      <c r="B1140" s="6">
        <v>4</v>
      </c>
      <c r="C1140" s="6" t="s">
        <v>63</v>
      </c>
      <c r="D1140" s="6" t="s">
        <v>782</v>
      </c>
      <c r="E1140" s="6" t="s">
        <v>783</v>
      </c>
      <c r="F1140" s="6" t="str">
        <f>IF($M1140="PADD I","PADD 1",IF($M1140="PADD II","PADD 2",IF($M1140="PADD III","PADD 3",IF($M1140="PADD IV","PADD 4",IF($M1140="PADD V","PADD 5","")))))</f>
        <v>PADD 4</v>
      </c>
      <c r="G1140" s="6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6" t="s">
        <v>618</v>
      </c>
      <c r="I1140" s="6" t="s">
        <v>818</v>
      </c>
      <c r="J1140" s="6" t="s">
        <v>398</v>
      </c>
      <c r="K1140" s="10">
        <v>1.25</v>
      </c>
      <c r="L1140" s="10">
        <v>1.25</v>
      </c>
      <c r="M1140" s="6" t="s">
        <v>480</v>
      </c>
      <c r="N1140" s="6">
        <f>IF(OR($G1140="FCC",$G1140="Hydrocracker",$G1140="Reformer"),IF(COUNTIFS($D:$D,$D1140,$A:$A,$A1140,$B:$B,$B1140,$G:$G,"CDU",$J:$J,"PLANNED")&gt;0,"tied","standalone"),"")</f>
        <v/>
      </c>
    </row>
    <row r="1141" spans="1:14">
      <c r="A1141" s="6">
        <v>2023</v>
      </c>
      <c r="B1141" s="6">
        <v>4</v>
      </c>
      <c r="C1141" s="6" t="s">
        <v>63</v>
      </c>
      <c r="D1141" s="6" t="s">
        <v>626</v>
      </c>
      <c r="E1141" s="6" t="s">
        <v>419</v>
      </c>
      <c r="F1141" s="6" t="str">
        <f>IF($M1141="PADD I","PADD 1",IF($M1141="PADD II","PADD 2",IF($M1141="PADD III","PADD 3",IF($M1141="PADD IV","PADD 4",IF($M1141="PADD V","PADD 5","")))))</f>
        <v>PADD 3</v>
      </c>
      <c r="G1141" s="6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6" t="s">
        <v>471</v>
      </c>
      <c r="I1141" s="6" t="s">
        <v>533</v>
      </c>
      <c r="J1141" s="6" t="s">
        <v>398</v>
      </c>
      <c r="K1141" s="10">
        <v>1.2</v>
      </c>
      <c r="L1141" s="10">
        <v>12</v>
      </c>
      <c r="M1141" s="6" t="s">
        <v>421</v>
      </c>
      <c r="N1141" s="6" t="str">
        <f>IF(OR($G1141="FCC",$G1141="Hydrocracker",$G1141="Reformer"),IF(COUNTIFS($D:$D,$D1141,$A:$A,$A1141,$B:$B,$B1141,$G:$G,"CDU",$J:$J,"PLANNED")&gt;0,"tied","standalone"),"")</f>
        <v>standalone</v>
      </c>
    </row>
    <row r="1142" spans="1:14">
      <c r="A1142" s="6">
        <v>2023</v>
      </c>
      <c r="B1142" s="6">
        <v>4</v>
      </c>
      <c r="C1142" s="6" t="s">
        <v>63</v>
      </c>
      <c r="D1142" s="6" t="s">
        <v>838</v>
      </c>
      <c r="E1142" s="6" t="s">
        <v>455</v>
      </c>
      <c r="F1142" s="6" t="str">
        <f>IF($M1142="PADD I","PADD 1",IF($M1142="PADD II","PADD 2",IF($M1142="PADD III","PADD 3",IF($M1142="PADD IV","PADD 4",IF($M1142="PADD V","PADD 5","")))))</f>
        <v>PADD 3</v>
      </c>
      <c r="G1142" s="6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6" t="s">
        <v>44</v>
      </c>
      <c r="I1142" s="6" t="s">
        <v>888</v>
      </c>
      <c r="J1142" s="6" t="s">
        <v>394</v>
      </c>
      <c r="K1142" s="10">
        <v>1.2</v>
      </c>
      <c r="L1142" s="10">
        <v>12</v>
      </c>
      <c r="M1142" s="6" t="s">
        <v>421</v>
      </c>
      <c r="N1142" s="6">
        <f>IF(OR($G1142="FCC",$G1142="Hydrocracker",$G1142="Reformer"),IF(COUNTIFS($D:$D,$D1142,$A:$A,$A1142,$B:$B,$B1142,$G:$G,"CDU",$J:$J,"PLANNED")&gt;0,"tied","standalone"),"")</f>
        <v/>
      </c>
    </row>
    <row r="1143" spans="1:14">
      <c r="A1143" s="6">
        <v>2023</v>
      </c>
      <c r="B1143" s="6">
        <v>4</v>
      </c>
      <c r="C1143" s="6" t="s">
        <v>63</v>
      </c>
      <c r="D1143" s="6" t="s">
        <v>889</v>
      </c>
      <c r="E1143" s="6" t="s">
        <v>890</v>
      </c>
      <c r="F1143" s="6" t="str">
        <f>IF($M1143="PADD I","PADD 1",IF($M1143="PADD II","PADD 2",IF($M1143="PADD III","PADD 3",IF($M1143="PADD IV","PADD 4",IF($M1143="PADD V","PADD 5","")))))</f>
        <v>PADD 1</v>
      </c>
      <c r="G1143" s="6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6" t="s">
        <v>44</v>
      </c>
      <c r="I1143" s="6" t="s">
        <v>891</v>
      </c>
      <c r="J1143" s="6" t="s">
        <v>394</v>
      </c>
      <c r="K1143" s="10">
        <v>1.19</v>
      </c>
      <c r="L1143" s="10">
        <v>17</v>
      </c>
      <c r="M1143" s="6" t="s">
        <v>463</v>
      </c>
      <c r="N1143" s="6">
        <f>IF(OR($G1143="FCC",$G1143="Hydrocracker",$G1143="Reformer"),IF(COUNTIFS($D:$D,$D1143,$A:$A,$A1143,$B:$B,$B1143,$G:$G,"CDU",$J:$J,"PLANNED")&gt;0,"tied","standalone"),"")</f>
        <v/>
      </c>
    </row>
    <row r="1144" spans="1:14">
      <c r="A1144" s="6">
        <v>2023</v>
      </c>
      <c r="B1144" s="6">
        <v>4</v>
      </c>
      <c r="C1144" s="6" t="s">
        <v>63</v>
      </c>
      <c r="D1144" s="6" t="s">
        <v>49</v>
      </c>
      <c r="E1144" s="6" t="s">
        <v>438</v>
      </c>
      <c r="F1144" s="6" t="str">
        <f>IF($M1144="PADD I","PADD 1",IF($M1144="PADD II","PADD 2",IF($M1144="PADD III","PADD 3",IF($M1144="PADD IV","PADD 4",IF($M1144="PADD V","PADD 5","")))))</f>
        <v>PADD 2</v>
      </c>
      <c r="G1144" s="6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6" t="s">
        <v>618</v>
      </c>
      <c r="I1144" s="6" t="s">
        <v>815</v>
      </c>
      <c r="J1144" s="6" t="s">
        <v>394</v>
      </c>
      <c r="K1144" s="10">
        <v>0.98</v>
      </c>
      <c r="L1144" s="10">
        <v>14</v>
      </c>
      <c r="M1144" s="6" t="s">
        <v>425</v>
      </c>
      <c r="N1144" s="6">
        <f>IF(OR($G1144="FCC",$G1144="Hydrocracker",$G1144="Reformer"),IF(COUNTIFS($D:$D,$D1144,$A:$A,$A1144,$B:$B,$B1144,$G:$G,"CDU",$J:$J,"PLANNED")&gt;0,"tied","standalone"),"")</f>
        <v/>
      </c>
    </row>
    <row r="1145" spans="1:14">
      <c r="A1145" s="6">
        <v>2023</v>
      </c>
      <c r="B1145" s="6">
        <v>4</v>
      </c>
      <c r="C1145" s="6" t="s">
        <v>63</v>
      </c>
      <c r="D1145" s="6" t="s">
        <v>865</v>
      </c>
      <c r="E1145" s="6" t="s">
        <v>502</v>
      </c>
      <c r="F1145" s="6" t="str">
        <f>IF($M1145="PADD I","PADD 1",IF($M1145="PADD II","PADD 2",IF($M1145="PADD III","PADD 3",IF($M1145="PADD IV","PADD 4",IF($M1145="PADD V","PADD 5","")))))</f>
        <v>PADD 4</v>
      </c>
      <c r="G1145" s="6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6" t="s">
        <v>494</v>
      </c>
      <c r="I1145" s="6" t="s">
        <v>892</v>
      </c>
      <c r="J1145" s="6" t="s">
        <v>398</v>
      </c>
      <c r="K1145" s="10">
        <v>0.975</v>
      </c>
      <c r="L1145" s="10">
        <v>7.5</v>
      </c>
      <c r="M1145" s="6" t="s">
        <v>480</v>
      </c>
      <c r="N1145" s="6" t="str">
        <f>IF(OR($G1145="FCC",$G1145="Hydrocracker",$G1145="Reformer"),IF(COUNTIFS($D:$D,$D1145,$A:$A,$A1145,$B:$B,$B1145,$G:$G,"CDU",$J:$J,"PLANNED")&gt;0,"tied","standalone"),"")</f>
        <v>tied</v>
      </c>
    </row>
    <row r="1146" spans="1:14">
      <c r="A1146" s="6">
        <v>2023</v>
      </c>
      <c r="B1146" s="6">
        <v>4</v>
      </c>
      <c r="C1146" s="6" t="s">
        <v>63</v>
      </c>
      <c r="D1146" s="6" t="s">
        <v>568</v>
      </c>
      <c r="E1146" s="6" t="s">
        <v>419</v>
      </c>
      <c r="F1146" s="6" t="str">
        <f>IF($M1146="PADD I","PADD 1",IF($M1146="PADD II","PADD 2",IF($M1146="PADD III","PADD 3",IF($M1146="PADD IV","PADD 4",IF($M1146="PADD V","PADD 5","")))))</f>
        <v>PADD 5</v>
      </c>
      <c r="G1146" s="6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6" t="s">
        <v>428</v>
      </c>
      <c r="I1146" s="6" t="s">
        <v>481</v>
      </c>
      <c r="J1146" s="6" t="s">
        <v>394</v>
      </c>
      <c r="K1146" s="10">
        <v>0.9</v>
      </c>
      <c r="L1146" s="10">
        <v>30</v>
      </c>
      <c r="M1146" s="6" t="s">
        <v>436</v>
      </c>
      <c r="N1146" s="6">
        <f>IF(OR($G1146="FCC",$G1146="Hydrocracker",$G1146="Reformer"),IF(COUNTIFS($D:$D,$D1146,$A:$A,$A1146,$B:$B,$B1146,$G:$G,"CDU",$J:$J,"PLANNED")&gt;0,"tied","standalone"),"")</f>
        <v/>
      </c>
    </row>
    <row r="1147" spans="1:14">
      <c r="A1147" s="6">
        <v>2023</v>
      </c>
      <c r="B1147" s="6">
        <v>4</v>
      </c>
      <c r="C1147" s="6" t="s">
        <v>63</v>
      </c>
      <c r="D1147" s="6" t="s">
        <v>662</v>
      </c>
      <c r="E1147" s="6" t="s">
        <v>466</v>
      </c>
      <c r="F1147" s="6" t="str">
        <f>IF($M1147="PADD I","PADD 1",IF($M1147="PADD II","PADD 2",IF($M1147="PADD III","PADD 3",IF($M1147="PADD IV","PADD 4",IF($M1147="PADD V","PADD 5","")))))</f>
        <v>PADD 3</v>
      </c>
      <c r="G1147" s="6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6" t="s">
        <v>471</v>
      </c>
      <c r="I1147" s="6" t="s">
        <v>805</v>
      </c>
      <c r="J1147" s="6" t="s">
        <v>394</v>
      </c>
      <c r="K1147" s="10">
        <v>0.9</v>
      </c>
      <c r="L1147" s="10">
        <v>30</v>
      </c>
      <c r="M1147" s="6" t="s">
        <v>421</v>
      </c>
      <c r="N1147" s="6" t="str">
        <f>IF(OR($G1147="FCC",$G1147="Hydrocracker",$G1147="Reformer"),IF(COUNTIFS($D:$D,$D1147,$A:$A,$A1147,$B:$B,$B1147,$G:$G,"CDU",$J:$J,"PLANNED")&gt;0,"tied","standalone"),"")</f>
        <v>standalone</v>
      </c>
    </row>
    <row r="1148" spans="1:14">
      <c r="A1148" s="6">
        <v>2023</v>
      </c>
      <c r="B1148" s="6">
        <v>4</v>
      </c>
      <c r="C1148" s="6" t="s">
        <v>63</v>
      </c>
      <c r="D1148" s="6" t="s">
        <v>696</v>
      </c>
      <c r="E1148" s="6" t="s">
        <v>455</v>
      </c>
      <c r="F1148" s="6" t="str">
        <f>IF($M1148="PADD I","PADD 1",IF($M1148="PADD II","PADD 2",IF($M1148="PADD III","PADD 3",IF($M1148="PADD IV","PADD 4",IF($M1148="PADD V","PADD 5","")))))</f>
        <v>PADD 3</v>
      </c>
      <c r="G1148" s="6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6" t="s">
        <v>44</v>
      </c>
      <c r="I1148" s="6" t="s">
        <v>893</v>
      </c>
      <c r="J1148" s="6" t="s">
        <v>394</v>
      </c>
      <c r="K1148" s="10">
        <v>0.9</v>
      </c>
      <c r="L1148" s="10">
        <v>30</v>
      </c>
      <c r="M1148" s="6" t="s">
        <v>421</v>
      </c>
      <c r="N1148" s="6">
        <f>IF(OR($G1148="FCC",$G1148="Hydrocracker",$G1148="Reformer"),IF(COUNTIFS($D:$D,$D1148,$A:$A,$A1148,$B:$B,$B1148,$G:$G,"CDU",$J:$J,"PLANNED")&gt;0,"tied","standalone"),"")</f>
        <v/>
      </c>
    </row>
    <row r="1149" spans="1:14">
      <c r="A1149" s="6">
        <v>2023</v>
      </c>
      <c r="B1149" s="6">
        <v>4</v>
      </c>
      <c r="C1149" s="6" t="s">
        <v>63</v>
      </c>
      <c r="D1149" s="6" t="s">
        <v>712</v>
      </c>
      <c r="E1149" s="6" t="s">
        <v>602</v>
      </c>
      <c r="F1149" s="6" t="str">
        <f>IF($M1149="PADD I","PADD 1",IF($M1149="PADD II","PADD 2",IF($M1149="PADD III","PADD 3",IF($M1149="PADD IV","PADD 4",IF($M1149="PADD V","PADD 5","")))))</f>
        <v>PADD 3</v>
      </c>
      <c r="G1149" s="6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6" t="s">
        <v>44</v>
      </c>
      <c r="I1149" s="6" t="s">
        <v>894</v>
      </c>
      <c r="J1149" s="6" t="s">
        <v>398</v>
      </c>
      <c r="K1149" s="10">
        <v>0.85</v>
      </c>
      <c r="L1149" s="10">
        <v>5</v>
      </c>
      <c r="M1149" s="6" t="s">
        <v>421</v>
      </c>
      <c r="N1149" s="6">
        <f>IF(OR($G1149="FCC",$G1149="Hydrocracker",$G1149="Reformer"),IF(COUNTIFS($D:$D,$D1149,$A:$A,$A1149,$B:$B,$B1149,$G:$G,"CDU",$J:$J,"PLANNED")&gt;0,"tied","standalone"),"")</f>
        <v/>
      </c>
    </row>
    <row r="1150" spans="1:14">
      <c r="A1150" s="6">
        <v>2023</v>
      </c>
      <c r="B1150" s="6">
        <v>4</v>
      </c>
      <c r="C1150" s="6" t="s">
        <v>63</v>
      </c>
      <c r="D1150" s="6" t="s">
        <v>49</v>
      </c>
      <c r="E1150" s="6" t="s">
        <v>438</v>
      </c>
      <c r="F1150" s="6" t="str">
        <f>IF($M1150="PADD I","PADD 1",IF($M1150="PADD II","PADD 2",IF($M1150="PADD III","PADD 3",IF($M1150="PADD IV","PADD 4",IF($M1150="PADD V","PADD 5","")))))</f>
        <v>PADD 2</v>
      </c>
      <c r="G1150" s="6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6" t="s">
        <v>494</v>
      </c>
      <c r="I1150" s="6" t="s">
        <v>808</v>
      </c>
      <c r="J1150" s="6" t="s">
        <v>394</v>
      </c>
      <c r="K1150" s="10">
        <v>0.84</v>
      </c>
      <c r="L1150" s="10">
        <v>28</v>
      </c>
      <c r="M1150" s="6" t="s">
        <v>425</v>
      </c>
      <c r="N1150" s="6" t="str">
        <f>IF(OR($G1150="FCC",$G1150="Hydrocracker",$G1150="Reformer"),IF(COUNTIFS($D:$D,$D1150,$A:$A,$A1150,$B:$B,$B1150,$G:$G,"CDU",$J:$J,"PLANNED")&gt;0,"tied","standalone"),"")</f>
        <v>tied</v>
      </c>
    </row>
    <row r="1151" spans="1:14">
      <c r="A1151" s="6">
        <v>2023</v>
      </c>
      <c r="B1151" s="6">
        <v>4</v>
      </c>
      <c r="C1151" s="6" t="s">
        <v>63</v>
      </c>
      <c r="D1151" s="6" t="s">
        <v>568</v>
      </c>
      <c r="E1151" s="6" t="s">
        <v>419</v>
      </c>
      <c r="F1151" s="6" t="str">
        <f>IF($M1151="PADD I","PADD 1",IF($M1151="PADD II","PADD 2",IF($M1151="PADD III","PADD 3",IF($M1151="PADD IV","PADD 4",IF($M1151="PADD V","PADD 5","")))))</f>
        <v>PADD 5</v>
      </c>
      <c r="G1151" s="6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6" t="s">
        <v>44</v>
      </c>
      <c r="I1151" s="6" t="s">
        <v>620</v>
      </c>
      <c r="J1151" s="6" t="s">
        <v>394</v>
      </c>
      <c r="K1151" s="10">
        <v>0.84</v>
      </c>
      <c r="L1151" s="10">
        <v>28</v>
      </c>
      <c r="M1151" s="6" t="s">
        <v>436</v>
      </c>
      <c r="N1151" s="6">
        <f>IF(OR($G1151="FCC",$G1151="Hydrocracker",$G1151="Reformer"),IF(COUNTIFS($D:$D,$D1151,$A:$A,$A1151,$B:$B,$B1151,$G:$G,"CDU",$J:$J,"PLANNED")&gt;0,"tied","standalone"),"")</f>
        <v/>
      </c>
    </row>
    <row r="1152" spans="1:14">
      <c r="A1152" s="6">
        <v>2023</v>
      </c>
      <c r="B1152" s="6">
        <v>4</v>
      </c>
      <c r="C1152" s="6" t="s">
        <v>63</v>
      </c>
      <c r="D1152" s="6" t="s">
        <v>49</v>
      </c>
      <c r="E1152" s="6" t="s">
        <v>438</v>
      </c>
      <c r="F1152" s="6" t="str">
        <f>IF($M1152="PADD I","PADD 1",IF($M1152="PADD II","PADD 2",IF($M1152="PADD III","PADD 3",IF($M1152="PADD IV","PADD 4",IF($M1152="PADD V","PADD 5","")))))</f>
        <v>PADD 2</v>
      </c>
      <c r="G1152" s="6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6" t="s">
        <v>44</v>
      </c>
      <c r="I1152" s="6" t="s">
        <v>811</v>
      </c>
      <c r="J1152" s="6" t="s">
        <v>394</v>
      </c>
      <c r="K1152" s="10">
        <v>0.72</v>
      </c>
      <c r="L1152" s="10">
        <v>24</v>
      </c>
      <c r="M1152" s="6" t="s">
        <v>425</v>
      </c>
      <c r="N1152" s="6">
        <f>IF(OR($G1152="FCC",$G1152="Hydrocracker",$G1152="Reformer"),IF(COUNTIFS($D:$D,$D1152,$A:$A,$A1152,$B:$B,$B1152,$G:$G,"CDU",$J:$J,"PLANNED")&gt;0,"tied","standalone"),"")</f>
        <v/>
      </c>
    </row>
    <row r="1153" spans="1:14">
      <c r="A1153" s="6">
        <v>2023</v>
      </c>
      <c r="B1153" s="6">
        <v>4</v>
      </c>
      <c r="C1153" s="6" t="s">
        <v>63</v>
      </c>
      <c r="D1153" s="6" t="s">
        <v>812</v>
      </c>
      <c r="E1153" s="6" t="s">
        <v>813</v>
      </c>
      <c r="F1153" s="6" t="str">
        <f>IF($M1153="PADD I","PADD 1",IF($M1153="PADD II","PADD 2",IF($M1153="PADD III","PADD 3",IF($M1153="PADD IV","PADD 4",IF($M1153="PADD V","PADD 5","")))))</f>
        <v>PADD 2</v>
      </c>
      <c r="G1153" s="6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6" t="s">
        <v>426</v>
      </c>
      <c r="I1153" s="6" t="s">
        <v>106</v>
      </c>
      <c r="J1153" s="6" t="s">
        <v>394</v>
      </c>
      <c r="K1153" s="10">
        <v>0.615</v>
      </c>
      <c r="L1153" s="10">
        <v>20.5</v>
      </c>
      <c r="M1153" s="6" t="s">
        <v>425</v>
      </c>
      <c r="N1153" s="6" t="str">
        <f>IF(OR($G1153="FCC",$G1153="Hydrocracker",$G1153="Reformer"),IF(COUNTIFS($D:$D,$D1153,$A:$A,$A1153,$B:$B,$B1153,$G:$G,"CDU",$J:$J,"PLANNED")&gt;0,"tied","standalone"),"")</f>
        <v>standalone</v>
      </c>
    </row>
    <row r="1154" spans="1:14">
      <c r="A1154" s="6">
        <v>2023</v>
      </c>
      <c r="B1154" s="6">
        <v>4</v>
      </c>
      <c r="C1154" s="6" t="s">
        <v>63</v>
      </c>
      <c r="D1154" s="6" t="s">
        <v>568</v>
      </c>
      <c r="E1154" s="6" t="s">
        <v>419</v>
      </c>
      <c r="F1154" s="6" t="str">
        <f>IF($M1154="PADD I","PADD 1",IF($M1154="PADD II","PADD 2",IF($M1154="PADD III","PADD 3",IF($M1154="PADD IV","PADD 4",IF($M1154="PADD V","PADD 5","")))))</f>
        <v>PADD 5</v>
      </c>
      <c r="G1154" s="6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6" t="s">
        <v>44</v>
      </c>
      <c r="I1154" s="6" t="s">
        <v>637</v>
      </c>
      <c r="J1154" s="6" t="s">
        <v>394</v>
      </c>
      <c r="K1154" s="10">
        <v>0.6</v>
      </c>
      <c r="L1154" s="10">
        <v>20</v>
      </c>
      <c r="M1154" s="6" t="s">
        <v>436</v>
      </c>
      <c r="N1154" s="6">
        <f>IF(OR($G1154="FCC",$G1154="Hydrocracker",$G1154="Reformer"),IF(COUNTIFS($D:$D,$D1154,$A:$A,$A1154,$B:$B,$B1154,$G:$G,"CDU",$J:$J,"PLANNED")&gt;0,"tied","standalone"),"")</f>
        <v/>
      </c>
    </row>
    <row r="1155" spans="1:14">
      <c r="A1155" s="6">
        <v>2023</v>
      </c>
      <c r="B1155" s="6">
        <v>4</v>
      </c>
      <c r="C1155" s="6" t="s">
        <v>63</v>
      </c>
      <c r="D1155" s="6" t="s">
        <v>662</v>
      </c>
      <c r="E1155" s="6" t="s">
        <v>466</v>
      </c>
      <c r="F1155" s="6" t="str">
        <f>IF($M1155="PADD I","PADD 1",IF($M1155="PADD II","PADD 2",IF($M1155="PADD III","PADD 3",IF($M1155="PADD IV","PADD 4",IF($M1155="PADD V","PADD 5","")))))</f>
        <v>PADD 3</v>
      </c>
      <c r="G1155" s="6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6" t="s">
        <v>471</v>
      </c>
      <c r="I1155" s="6" t="s">
        <v>805</v>
      </c>
      <c r="J1155" s="6" t="s">
        <v>394</v>
      </c>
      <c r="K1155" s="10">
        <v>0.6</v>
      </c>
      <c r="L1155" s="10">
        <v>20</v>
      </c>
      <c r="M1155" s="6" t="s">
        <v>421</v>
      </c>
      <c r="N1155" s="6" t="str">
        <f>IF(OR($G1155="FCC",$G1155="Hydrocracker",$G1155="Reformer"),IF(COUNTIFS($D:$D,$D1155,$A:$A,$A1155,$B:$B,$B1155,$G:$G,"CDU",$J:$J,"PLANNED")&gt;0,"tied","standalone"),"")</f>
        <v>standalone</v>
      </c>
    </row>
    <row r="1156" spans="1:14">
      <c r="A1156" s="6">
        <v>2023</v>
      </c>
      <c r="B1156" s="6">
        <v>4</v>
      </c>
      <c r="C1156" s="6" t="s">
        <v>63</v>
      </c>
      <c r="D1156" s="6" t="s">
        <v>865</v>
      </c>
      <c r="E1156" s="6" t="s">
        <v>502</v>
      </c>
      <c r="F1156" s="6" t="str">
        <f>IF($M1156="PADD I","PADD 1",IF($M1156="PADD II","PADD 2",IF($M1156="PADD III","PADD 3",IF($M1156="PADD IV","PADD 4",IF($M1156="PADD V","PADD 5","")))))</f>
        <v>PADD 4</v>
      </c>
      <c r="G1156" s="6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6" t="s">
        <v>510</v>
      </c>
      <c r="I1156" s="6" t="s">
        <v>511</v>
      </c>
      <c r="J1156" s="6" t="s">
        <v>398</v>
      </c>
      <c r="K1156" s="10">
        <v>0.585</v>
      </c>
      <c r="L1156" s="10">
        <v>4.5</v>
      </c>
      <c r="M1156" s="6" t="s">
        <v>480</v>
      </c>
      <c r="N1156" s="6">
        <f>IF(OR($G1156="FCC",$G1156="Hydrocracker",$G1156="Reformer"),IF(COUNTIFS($D:$D,$D1156,$A:$A,$A1156,$B:$B,$B1156,$G:$G,"CDU",$J:$J,"PLANNED")&gt;0,"tied","standalone"),"")</f>
        <v/>
      </c>
    </row>
    <row r="1157" spans="1:14">
      <c r="A1157" s="6">
        <v>2023</v>
      </c>
      <c r="B1157" s="6">
        <v>4</v>
      </c>
      <c r="C1157" s="6" t="s">
        <v>63</v>
      </c>
      <c r="D1157" s="6" t="s">
        <v>568</v>
      </c>
      <c r="E1157" s="6" t="s">
        <v>419</v>
      </c>
      <c r="F1157" s="6" t="str">
        <f>IF($M1157="PADD I","PADD 1",IF($M1157="PADD II","PADD 2",IF($M1157="PADD III","PADD 3",IF($M1157="PADD IV","PADD 4",IF($M1157="PADD V","PADD 5","")))))</f>
        <v>PADD 5</v>
      </c>
      <c r="G1157" s="6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6" t="s">
        <v>471</v>
      </c>
      <c r="I1157" s="6" t="s">
        <v>895</v>
      </c>
      <c r="J1157" s="6" t="s">
        <v>394</v>
      </c>
      <c r="K1157" s="10">
        <v>0.555</v>
      </c>
      <c r="L1157" s="10">
        <v>18.5</v>
      </c>
      <c r="M1157" s="6" t="s">
        <v>436</v>
      </c>
      <c r="N1157" s="6" t="str">
        <f>IF(OR($G1157="FCC",$G1157="Hydrocracker",$G1157="Reformer"),IF(COUNTIFS($D:$D,$D1157,$A:$A,$A1157,$B:$B,$B1157,$G:$G,"CDU",$J:$J,"PLANNED")&gt;0,"tied","standalone"),"")</f>
        <v>standalone</v>
      </c>
    </row>
    <row r="1158" spans="1:14">
      <c r="A1158" s="6">
        <v>2023</v>
      </c>
      <c r="B1158" s="6">
        <v>4</v>
      </c>
      <c r="C1158" s="6" t="s">
        <v>63</v>
      </c>
      <c r="D1158" s="6" t="s">
        <v>568</v>
      </c>
      <c r="E1158" s="6" t="s">
        <v>419</v>
      </c>
      <c r="F1158" s="6" t="str">
        <f>IF($M1158="PADD I","PADD 1",IF($M1158="PADD II","PADD 2",IF($M1158="PADD III","PADD 3",IF($M1158="PADD IV","PADD 4",IF($M1158="PADD V","PADD 5","")))))</f>
        <v>PADD 5</v>
      </c>
      <c r="G1158" s="6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6" t="s">
        <v>471</v>
      </c>
      <c r="I1158" s="6" t="s">
        <v>641</v>
      </c>
      <c r="J1158" s="6" t="s">
        <v>394</v>
      </c>
      <c r="K1158" s="10">
        <v>0.54</v>
      </c>
      <c r="L1158" s="10">
        <v>18</v>
      </c>
      <c r="M1158" s="6" t="s">
        <v>436</v>
      </c>
      <c r="N1158" s="6" t="str">
        <f>IF(OR($G1158="FCC",$G1158="Hydrocracker",$G1158="Reformer"),IF(COUNTIFS($D:$D,$D1158,$A:$A,$A1158,$B:$B,$B1158,$G:$G,"CDU",$J:$J,"PLANNED")&gt;0,"tied","standalone"),"")</f>
        <v>standalone</v>
      </c>
    </row>
    <row r="1159" spans="1:14">
      <c r="A1159" s="6">
        <v>2023</v>
      </c>
      <c r="B1159" s="6">
        <v>4</v>
      </c>
      <c r="C1159" s="6" t="s">
        <v>63</v>
      </c>
      <c r="D1159" s="6" t="s">
        <v>49</v>
      </c>
      <c r="E1159" s="6" t="s">
        <v>438</v>
      </c>
      <c r="F1159" s="6" t="str">
        <f>IF($M1159="PADD I","PADD 1",IF($M1159="PADD II","PADD 2",IF($M1159="PADD III","PADD 3",IF($M1159="PADD IV","PADD 4",IF($M1159="PADD V","PADD 5","")))))</f>
        <v>PADD 2</v>
      </c>
      <c r="G1159" s="6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6" t="s">
        <v>687</v>
      </c>
      <c r="I1159" s="6" t="s">
        <v>654</v>
      </c>
      <c r="J1159" s="6" t="s">
        <v>394</v>
      </c>
      <c r="K1159" s="10">
        <v>0.48</v>
      </c>
      <c r="L1159" s="10">
        <v>16</v>
      </c>
      <c r="M1159" s="6" t="s">
        <v>425</v>
      </c>
      <c r="N1159" s="6">
        <f>IF(OR($G1159="FCC",$G1159="Hydrocracker",$G1159="Reformer"),IF(COUNTIFS($D:$D,$D1159,$A:$A,$A1159,$B:$B,$B1159,$G:$G,"CDU",$J:$J,"PLANNED")&gt;0,"tied","standalone"),"")</f>
        <v/>
      </c>
    </row>
    <row r="1160" spans="1:14">
      <c r="A1160" s="6">
        <v>2023</v>
      </c>
      <c r="B1160" s="6">
        <v>4</v>
      </c>
      <c r="C1160" s="6" t="s">
        <v>63</v>
      </c>
      <c r="D1160" s="6" t="s">
        <v>812</v>
      </c>
      <c r="E1160" s="6" t="s">
        <v>813</v>
      </c>
      <c r="F1160" s="6" t="str">
        <f>IF($M1160="PADD I","PADD 1",IF($M1160="PADD II","PADD 2",IF($M1160="PADD III","PADD 3",IF($M1160="PADD IV","PADD 4",IF($M1160="PADD V","PADD 5","")))))</f>
        <v>PADD 2</v>
      </c>
      <c r="G1160" s="6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6" t="s">
        <v>44</v>
      </c>
      <c r="I1160" s="6" t="s">
        <v>508</v>
      </c>
      <c r="J1160" s="6" t="s">
        <v>394</v>
      </c>
      <c r="K1160" s="10">
        <v>0.39</v>
      </c>
      <c r="L1160" s="10">
        <v>13</v>
      </c>
      <c r="M1160" s="6" t="s">
        <v>425</v>
      </c>
      <c r="N1160" s="6">
        <f>IF(OR($G1160="FCC",$G1160="Hydrocracker",$G1160="Reformer"),IF(COUNTIFS($D:$D,$D1160,$A:$A,$A1160,$B:$B,$B1160,$G:$G,"CDU",$J:$J,"PLANNED")&gt;0,"tied","standalone"),"")</f>
        <v/>
      </c>
    </row>
    <row r="1161" spans="1:14">
      <c r="A1161" s="6">
        <v>2023</v>
      </c>
      <c r="B1161" s="6">
        <v>4</v>
      </c>
      <c r="C1161" s="6" t="s">
        <v>63</v>
      </c>
      <c r="D1161" s="6" t="s">
        <v>49</v>
      </c>
      <c r="E1161" s="6" t="s">
        <v>438</v>
      </c>
      <c r="F1161" s="6" t="str">
        <f>IF($M1161="PADD I","PADD 1",IF($M1161="PADD II","PADD 2",IF($M1161="PADD III","PADD 3",IF($M1161="PADD IV","PADD 4",IF($M1161="PADD V","PADD 5","")))))</f>
        <v>PADD 2</v>
      </c>
      <c r="G1161" s="6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6" t="s">
        <v>510</v>
      </c>
      <c r="I1161" s="6" t="s">
        <v>666</v>
      </c>
      <c r="J1161" s="6" t="s">
        <v>394</v>
      </c>
      <c r="K1161" s="10">
        <v>0.375</v>
      </c>
      <c r="L1161" s="10">
        <v>12.5</v>
      </c>
      <c r="M1161" s="6" t="s">
        <v>425</v>
      </c>
      <c r="N1161" s="6">
        <f>IF(OR($G1161="FCC",$G1161="Hydrocracker",$G1161="Reformer"),IF(COUNTIFS($D:$D,$D1161,$A:$A,$A1161,$B:$B,$B1161,$G:$G,"CDU",$J:$J,"PLANNED")&gt;0,"tied","standalone"),"")</f>
        <v/>
      </c>
    </row>
    <row r="1162" spans="1:14">
      <c r="A1162" s="6">
        <v>2023</v>
      </c>
      <c r="B1162" s="6">
        <v>4</v>
      </c>
      <c r="C1162" s="6" t="s">
        <v>63</v>
      </c>
      <c r="D1162" s="6" t="s">
        <v>568</v>
      </c>
      <c r="E1162" s="6" t="s">
        <v>419</v>
      </c>
      <c r="F1162" s="6" t="str">
        <f>IF($M1162="PADD I","PADD 1",IF($M1162="PADD II","PADD 2",IF($M1162="PADD III","PADD 3",IF($M1162="PADD IV","PADD 4",IF($M1162="PADD V","PADD 5","")))))</f>
        <v>PADD 5</v>
      </c>
      <c r="G1162" s="6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6" t="s">
        <v>618</v>
      </c>
      <c r="I1162" s="6" t="s">
        <v>667</v>
      </c>
      <c r="J1162" s="6" t="s">
        <v>394</v>
      </c>
      <c r="K1162" s="10">
        <v>0.195</v>
      </c>
      <c r="L1162" s="10">
        <v>6.5</v>
      </c>
      <c r="M1162" s="6" t="s">
        <v>436</v>
      </c>
      <c r="N1162" s="6">
        <f>IF(OR($G1162="FCC",$G1162="Hydrocracker",$G1162="Reformer"),IF(COUNTIFS($D:$D,$D1162,$A:$A,$A1162,$B:$B,$B1162,$G:$G,"CDU",$J:$J,"PLANNED")&gt;0,"tied","standalone"),"")</f>
        <v/>
      </c>
    </row>
    <row r="1163" spans="1:14">
      <c r="A1163" s="6">
        <v>2023</v>
      </c>
      <c r="B1163" s="6">
        <v>4</v>
      </c>
      <c r="C1163" s="6" t="s">
        <v>63</v>
      </c>
      <c r="D1163" s="6" t="s">
        <v>686</v>
      </c>
      <c r="E1163" s="6" t="s">
        <v>419</v>
      </c>
      <c r="F1163" s="6" t="str">
        <f>IF($M1163="PADD I","PADD 1",IF($M1163="PADD II","PADD 2",IF($M1163="PADD III","PADD 3",IF($M1163="PADD IV","PADD 4",IF($M1163="PADD V","PADD 5","")))))</f>
        <v>PADD 5</v>
      </c>
      <c r="G1163" s="6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6" t="s">
        <v>687</v>
      </c>
      <c r="I1163" s="6" t="s">
        <v>688</v>
      </c>
      <c r="J1163" s="6" t="s">
        <v>394</v>
      </c>
      <c r="K1163" s="10">
        <v>0.054</v>
      </c>
      <c r="L1163" s="10">
        <v>0.2</v>
      </c>
      <c r="M1163" s="6" t="s">
        <v>436</v>
      </c>
      <c r="N1163" s="6">
        <f>IF(OR($G1163="FCC",$G1163="Hydrocracker",$G1163="Reformer"),IF(COUNTIFS($D:$D,$D1163,$A:$A,$A1163,$B:$B,$B1163,$G:$G,"CDU",$J:$J,"PLANNED")&gt;0,"tied","standalone"),"")</f>
        <v/>
      </c>
    </row>
    <row r="1164" spans="1:14">
      <c r="A1164" s="6">
        <v>2023</v>
      </c>
      <c r="B1164" s="6">
        <v>4</v>
      </c>
      <c r="C1164" s="6" t="s">
        <v>63</v>
      </c>
      <c r="D1164" s="6" t="s">
        <v>686</v>
      </c>
      <c r="E1164" s="6" t="s">
        <v>419</v>
      </c>
      <c r="F1164" s="6" t="str">
        <f>IF($M1164="PADD I","PADD 1",IF($M1164="PADD II","PADD 2",IF($M1164="PADD III","PADD 3",IF($M1164="PADD IV","PADD 4",IF($M1164="PADD V","PADD 5","")))))</f>
        <v>PADD 5</v>
      </c>
      <c r="G1164" s="6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6" t="s">
        <v>687</v>
      </c>
      <c r="I1164" s="6" t="s">
        <v>688</v>
      </c>
      <c r="J1164" s="6" t="s">
        <v>394</v>
      </c>
      <c r="K1164" s="10">
        <v>0.006</v>
      </c>
      <c r="L1164" s="10">
        <v>0.2</v>
      </c>
      <c r="M1164" s="6" t="s">
        <v>436</v>
      </c>
      <c r="N1164" s="6">
        <f>IF(OR($G1164="FCC",$G1164="Hydrocracker",$G1164="Reformer"),IF(COUNTIFS($D:$D,$D1164,$A:$A,$A1164,$B:$B,$B1164,$G:$G,"CDU",$J:$J,"PLANNED")&gt;0,"tied","standalone"),"")</f>
        <v/>
      </c>
    </row>
    <row r="1165" spans="1:14">
      <c r="A1165" s="6">
        <v>2023</v>
      </c>
      <c r="B1165" s="6">
        <v>5</v>
      </c>
      <c r="C1165" s="6" t="s">
        <v>64</v>
      </c>
      <c r="D1165" s="6" t="s">
        <v>418</v>
      </c>
      <c r="E1165" s="6" t="s">
        <v>419</v>
      </c>
      <c r="F1165" s="6" t="str">
        <f>IF($M1165="PADD I","PADD 1",IF($M1165="PADD II","PADD 2",IF($M1165="PADD III","PADD 3",IF($M1165="PADD IV","PADD 4",IF($M1165="PADD V","PADD 5","")))))</f>
        <v>PADD 3</v>
      </c>
      <c r="G1165" s="6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6" t="s">
        <v>39</v>
      </c>
      <c r="I1165" s="6" t="s">
        <v>420</v>
      </c>
      <c r="J1165" s="6" t="s">
        <v>398</v>
      </c>
      <c r="K1165" s="10">
        <v>261.0658</v>
      </c>
      <c r="L1165" s="10">
        <v>269.14</v>
      </c>
      <c r="M1165" s="6" t="s">
        <v>421</v>
      </c>
      <c r="N1165" s="6">
        <f>IF(OR($G1165="FCC",$G1165="Hydrocracker",$G1165="Reformer"),IF(COUNTIFS($D:$D,$D1165,$A:$A,$A1165,$B:$B,$B1165,$G:$G,"CDU",$J:$J,"PLANNED")&gt;0,"tied","standalone"),"")</f>
        <v/>
      </c>
    </row>
    <row r="1166" spans="1:14">
      <c r="A1166" s="6">
        <v>2023</v>
      </c>
      <c r="B1166" s="6">
        <v>5</v>
      </c>
      <c r="C1166" s="6" t="s">
        <v>64</v>
      </c>
      <c r="D1166" s="6" t="s">
        <v>422</v>
      </c>
      <c r="E1166" s="6" t="s">
        <v>423</v>
      </c>
      <c r="F1166" s="6" t="str">
        <f>IF($M1166="PADD I","PADD 1",IF($M1166="PADD II","PADD 2",IF($M1166="PADD III","PADD 3",IF($M1166="PADD IV","PADD 4",IF($M1166="PADD V","PADD 5","")))))</f>
        <v>PADD 2</v>
      </c>
      <c r="G1166" s="6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6" t="s">
        <v>39</v>
      </c>
      <c r="I1166" s="6" t="s">
        <v>424</v>
      </c>
      <c r="J1166" s="6" t="s">
        <v>394</v>
      </c>
      <c r="K1166" s="10">
        <v>120</v>
      </c>
      <c r="L1166" s="10">
        <v>120</v>
      </c>
      <c r="M1166" s="6" t="s">
        <v>425</v>
      </c>
      <c r="N1166" s="6">
        <f>IF(OR($G1166="FCC",$G1166="Hydrocracker",$G1166="Reformer"),IF(COUNTIFS($D:$D,$D1166,$A:$A,$A1166,$B:$B,$B1166,$G:$G,"CDU",$J:$J,"PLANNED")&gt;0,"tied","standalone"),"")</f>
        <v/>
      </c>
    </row>
    <row r="1167" spans="1:14">
      <c r="A1167" s="6">
        <v>2023</v>
      </c>
      <c r="B1167" s="6">
        <v>5</v>
      </c>
      <c r="C1167" s="6" t="s">
        <v>64</v>
      </c>
      <c r="D1167" s="6" t="s">
        <v>422</v>
      </c>
      <c r="E1167" s="6" t="s">
        <v>423</v>
      </c>
      <c r="F1167" s="6" t="str">
        <f>IF($M1167="PADD I","PADD 1",IF($M1167="PADD II","PADD 2",IF($M1167="PADD III","PADD 3",IF($M1167="PADD IV","PADD 4",IF($M1167="PADD V","PADD 5","")))))</f>
        <v>PADD 2</v>
      </c>
      <c r="G1167" s="6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6" t="s">
        <v>39</v>
      </c>
      <c r="I1167" s="6" t="s">
        <v>424</v>
      </c>
      <c r="J1167" s="6" t="s">
        <v>394</v>
      </c>
      <c r="K1167" s="10">
        <v>110</v>
      </c>
      <c r="L1167" s="10">
        <v>110</v>
      </c>
      <c r="M1167" s="6" t="s">
        <v>425</v>
      </c>
      <c r="N1167" s="6">
        <f>IF(OR($G1167="FCC",$G1167="Hydrocracker",$G1167="Reformer"),IF(COUNTIFS($D:$D,$D1167,$A:$A,$A1167,$B:$B,$B1167,$G:$G,"CDU",$J:$J,"PLANNED")&gt;0,"tied","standalone"),"")</f>
        <v/>
      </c>
    </row>
    <row r="1168" spans="1:14">
      <c r="A1168" s="6">
        <v>2023</v>
      </c>
      <c r="B1168" s="6">
        <v>5</v>
      </c>
      <c r="C1168" s="6" t="s">
        <v>64</v>
      </c>
      <c r="D1168" s="6" t="s">
        <v>418</v>
      </c>
      <c r="E1168" s="6" t="s">
        <v>419</v>
      </c>
      <c r="F1168" s="6" t="str">
        <f>IF($M1168="PADD I","PADD 1",IF($M1168="PADD II","PADD 2",IF($M1168="PADD III","PADD 3",IF($M1168="PADD IV","PADD 4",IF($M1168="PADD V","PADD 5","")))))</f>
        <v>PADD 3</v>
      </c>
      <c r="G1168" s="6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6" t="s">
        <v>426</v>
      </c>
      <c r="I1168" s="6" t="s">
        <v>427</v>
      </c>
      <c r="J1168" s="6" t="s">
        <v>398</v>
      </c>
      <c r="K1168" s="10">
        <v>100.88</v>
      </c>
      <c r="L1168" s="10">
        <v>104</v>
      </c>
      <c r="M1168" s="6" t="s">
        <v>421</v>
      </c>
      <c r="N1168" s="6" t="str">
        <f>IF(OR($G1168="FCC",$G1168="Hydrocracker",$G1168="Reformer"),IF(COUNTIFS($D:$D,$D1168,$A:$A,$A1168,$B:$B,$B1168,$G:$G,"CDU",$J:$J,"PLANNED")&gt;0,"tied","standalone"),"")</f>
        <v>tied</v>
      </c>
    </row>
    <row r="1169" spans="1:14">
      <c r="A1169" s="6">
        <v>2023</v>
      </c>
      <c r="B1169" s="6">
        <v>5</v>
      </c>
      <c r="C1169" s="6" t="s">
        <v>64</v>
      </c>
      <c r="D1169" s="6" t="s">
        <v>418</v>
      </c>
      <c r="E1169" s="6" t="s">
        <v>419</v>
      </c>
      <c r="F1169" s="6" t="str">
        <f>IF($M1169="PADD I","PADD 1",IF($M1169="PADD II","PADD 2",IF($M1169="PADD III","PADD 3",IF($M1169="PADD IV","PADD 4",IF($M1169="PADD V","PADD 5","")))))</f>
        <v>PADD 3</v>
      </c>
      <c r="G1169" s="6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6" t="s">
        <v>428</v>
      </c>
      <c r="I1169" s="6" t="s">
        <v>429</v>
      </c>
      <c r="J1169" s="6" t="s">
        <v>398</v>
      </c>
      <c r="K1169" s="10">
        <v>99.91</v>
      </c>
      <c r="L1169" s="10">
        <v>103</v>
      </c>
      <c r="M1169" s="6" t="s">
        <v>421</v>
      </c>
      <c r="N1169" s="6">
        <f>IF(OR($G1169="FCC",$G1169="Hydrocracker",$G1169="Reformer"),IF(COUNTIFS($D:$D,$D1169,$A:$A,$A1169,$B:$B,$B1169,$G:$G,"CDU",$J:$J,"PLANNED")&gt;0,"tied","standalone"),"")</f>
        <v/>
      </c>
    </row>
    <row r="1170" spans="1:14">
      <c r="A1170" s="6">
        <v>2023</v>
      </c>
      <c r="B1170" s="6">
        <v>5</v>
      </c>
      <c r="C1170" s="6" t="s">
        <v>64</v>
      </c>
      <c r="D1170" s="6" t="s">
        <v>789</v>
      </c>
      <c r="E1170" s="6" t="s">
        <v>455</v>
      </c>
      <c r="F1170" s="6" t="str">
        <f>IF($M1170="PADD I","PADD 1",IF($M1170="PADD II","PADD 2",IF($M1170="PADD III","PADD 3",IF($M1170="PADD IV","PADD 4",IF($M1170="PADD V","PADD 5","")))))</f>
        <v>PADD 2</v>
      </c>
      <c r="G1170" s="6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6" t="s">
        <v>39</v>
      </c>
      <c r="I1170" s="6" t="s">
        <v>134</v>
      </c>
      <c r="J1170" s="6" t="s">
        <v>398</v>
      </c>
      <c r="K1170" s="10">
        <v>76.86</v>
      </c>
      <c r="L1170" s="10">
        <v>91.5</v>
      </c>
      <c r="M1170" s="6" t="s">
        <v>425</v>
      </c>
      <c r="N1170" s="6">
        <f>IF(OR($G1170="FCC",$G1170="Hydrocracker",$G1170="Reformer"),IF(COUNTIFS($D:$D,$D1170,$A:$A,$A1170,$B:$B,$B1170,$G:$G,"CDU",$J:$J,"PLANNED")&gt;0,"tied","standalone"),"")</f>
        <v/>
      </c>
    </row>
    <row r="1171" spans="1:14">
      <c r="A1171" s="6">
        <v>2023</v>
      </c>
      <c r="B1171" s="6">
        <v>5</v>
      </c>
      <c r="C1171" s="6" t="s">
        <v>64</v>
      </c>
      <c r="D1171" s="6" t="s">
        <v>54</v>
      </c>
      <c r="E1171" s="6" t="s">
        <v>593</v>
      </c>
      <c r="F1171" s="6" t="str">
        <f>IF($M1171="PADD I","PADD 1",IF($M1171="PADD II","PADD 2",IF($M1171="PADD III","PADD 3",IF($M1171="PADD IV","PADD 4",IF($M1171="PADD V","PADD 5","")))))</f>
        <v>PADD 5</v>
      </c>
      <c r="G1171" s="6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6" t="s">
        <v>428</v>
      </c>
      <c r="I1171" s="6" t="s">
        <v>481</v>
      </c>
      <c r="J1171" s="6" t="s">
        <v>394</v>
      </c>
      <c r="K1171" s="10">
        <v>69.3</v>
      </c>
      <c r="L1171" s="10">
        <v>90</v>
      </c>
      <c r="M1171" s="6" t="s">
        <v>436</v>
      </c>
      <c r="N1171" s="6">
        <f>IF(OR($G1171="FCC",$G1171="Hydrocracker",$G1171="Reformer"),IF(COUNTIFS($D:$D,$D1171,$A:$A,$A1171,$B:$B,$B1171,$G:$G,"CDU",$J:$J,"PLANNED")&gt;0,"tied","standalone"),"")</f>
        <v/>
      </c>
    </row>
    <row r="1172" spans="1:14">
      <c r="A1172" s="6">
        <v>2023</v>
      </c>
      <c r="B1172" s="6">
        <v>5</v>
      </c>
      <c r="C1172" s="6" t="s">
        <v>64</v>
      </c>
      <c r="D1172" s="6" t="s">
        <v>418</v>
      </c>
      <c r="E1172" s="6" t="s">
        <v>419</v>
      </c>
      <c r="F1172" s="6" t="str">
        <f>IF($M1172="PADD I","PADD 1",IF($M1172="PADD II","PADD 2",IF($M1172="PADD III","PADD 3",IF($M1172="PADD IV","PADD 4",IF($M1172="PADD V","PADD 5","")))))</f>
        <v>PADD 3</v>
      </c>
      <c r="G1172" s="6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6" t="s">
        <v>44</v>
      </c>
      <c r="I1172" s="6" t="s">
        <v>443</v>
      </c>
      <c r="J1172" s="6" t="s">
        <v>398</v>
      </c>
      <c r="K1172" s="10">
        <v>63.438</v>
      </c>
      <c r="L1172" s="10">
        <v>65.40000000000001</v>
      </c>
      <c r="M1172" s="6" t="s">
        <v>421</v>
      </c>
      <c r="N1172" s="6">
        <f>IF(OR($G1172="FCC",$G1172="Hydrocracker",$G1172="Reformer"),IF(COUNTIFS($D:$D,$D1172,$A:$A,$A1172,$B:$B,$B1172,$G:$G,"CDU",$J:$J,"PLANNED")&gt;0,"tied","standalone"),"")</f>
        <v/>
      </c>
    </row>
    <row r="1173" spans="1:14">
      <c r="A1173" s="6">
        <v>2023</v>
      </c>
      <c r="B1173" s="6">
        <v>5</v>
      </c>
      <c r="C1173" s="6" t="s">
        <v>64</v>
      </c>
      <c r="D1173" s="6" t="s">
        <v>820</v>
      </c>
      <c r="E1173" s="6" t="s">
        <v>710</v>
      </c>
      <c r="F1173" s="6" t="str">
        <f>IF($M1173="PADD I","PADD 1",IF($M1173="PADD II","PADD 2",IF($M1173="PADD III","PADD 3",IF($M1173="PADD IV","PADD 4",IF($M1173="PADD V","PADD 5","")))))</f>
        <v>PADD 3</v>
      </c>
      <c r="G1173" s="6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6" t="s">
        <v>39</v>
      </c>
      <c r="I1173" s="6" t="s">
        <v>821</v>
      </c>
      <c r="J1173" s="6" t="s">
        <v>398</v>
      </c>
      <c r="K1173" s="10">
        <v>63</v>
      </c>
      <c r="L1173" s="10">
        <v>63</v>
      </c>
      <c r="M1173" s="6" t="s">
        <v>421</v>
      </c>
      <c r="N1173" s="6">
        <f>IF(OR($G1173="FCC",$G1173="Hydrocracker",$G1173="Reformer"),IF(COUNTIFS($D:$D,$D1173,$A:$A,$A1173,$B:$B,$B1173,$G:$G,"CDU",$J:$J,"PLANNED")&gt;0,"tied","standalone"),"")</f>
        <v/>
      </c>
    </row>
    <row r="1174" spans="1:14">
      <c r="A1174" s="6">
        <v>2023</v>
      </c>
      <c r="B1174" s="6">
        <v>5</v>
      </c>
      <c r="C1174" s="6" t="s">
        <v>64</v>
      </c>
      <c r="D1174" s="6" t="s">
        <v>418</v>
      </c>
      <c r="E1174" s="6" t="s">
        <v>419</v>
      </c>
      <c r="F1174" s="6" t="str">
        <f>IF($M1174="PADD I","PADD 1",IF($M1174="PADD II","PADD 2",IF($M1174="PADD III","PADD 3",IF($M1174="PADD IV","PADD 4",IF($M1174="PADD V","PADD 5","")))))</f>
        <v>PADD 3</v>
      </c>
      <c r="G1174" s="6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6" t="s">
        <v>44</v>
      </c>
      <c r="I1174" s="6" t="s">
        <v>451</v>
      </c>
      <c r="J1174" s="6" t="s">
        <v>398</v>
      </c>
      <c r="K1174" s="10">
        <v>56.745</v>
      </c>
      <c r="L1174" s="10">
        <v>58.5</v>
      </c>
      <c r="M1174" s="6" t="s">
        <v>421</v>
      </c>
      <c r="N1174" s="6">
        <f>IF(OR($G1174="FCC",$G1174="Hydrocracker",$G1174="Reformer"),IF(COUNTIFS($D:$D,$D1174,$A:$A,$A1174,$B:$B,$B1174,$G:$G,"CDU",$J:$J,"PLANNED")&gt;0,"tied","standalone"),"")</f>
        <v/>
      </c>
    </row>
    <row r="1175" spans="1:14">
      <c r="A1175" s="6">
        <v>2023</v>
      </c>
      <c r="B1175" s="6">
        <v>5</v>
      </c>
      <c r="C1175" s="6" t="s">
        <v>64</v>
      </c>
      <c r="D1175" s="6" t="s">
        <v>422</v>
      </c>
      <c r="E1175" s="6" t="s">
        <v>423</v>
      </c>
      <c r="F1175" s="6" t="str">
        <f>IF($M1175="PADD I","PADD 1",IF($M1175="PADD II","PADD 2",IF($M1175="PADD III","PADD 3",IF($M1175="PADD IV","PADD 4",IF($M1175="PADD V","PADD 5","")))))</f>
        <v>PADD 2</v>
      </c>
      <c r="G1175" s="6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6" t="s">
        <v>426</v>
      </c>
      <c r="I1175" s="6" t="s">
        <v>457</v>
      </c>
      <c r="J1175" s="6" t="s">
        <v>394</v>
      </c>
      <c r="K1175" s="10">
        <v>55</v>
      </c>
      <c r="L1175" s="10">
        <v>55</v>
      </c>
      <c r="M1175" s="6" t="s">
        <v>425</v>
      </c>
      <c r="N1175" s="6" t="str">
        <f>IF(OR($G1175="FCC",$G1175="Hydrocracker",$G1175="Reformer"),IF(COUNTIFS($D:$D,$D1175,$A:$A,$A1175,$B:$B,$B1175,$G:$G,"CDU",$J:$J,"PLANNED")&gt;0,"tied","standalone"),"")</f>
        <v>standalone</v>
      </c>
    </row>
    <row r="1176" spans="1:14">
      <c r="A1176" s="6">
        <v>2023</v>
      </c>
      <c r="B1176" s="6">
        <v>5</v>
      </c>
      <c r="C1176" s="6" t="s">
        <v>64</v>
      </c>
      <c r="D1176" s="6" t="s">
        <v>422</v>
      </c>
      <c r="E1176" s="6" t="s">
        <v>423</v>
      </c>
      <c r="F1176" s="6" t="str">
        <f>IF($M1176="PADD I","PADD 1",IF($M1176="PADD II","PADD 2",IF($M1176="PADD III","PADD 3",IF($M1176="PADD IV","PADD 4",IF($M1176="PADD V","PADD 5","")))))</f>
        <v>PADD 2</v>
      </c>
      <c r="G1176" s="6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6" t="s">
        <v>426</v>
      </c>
      <c r="I1176" s="6" t="s">
        <v>457</v>
      </c>
      <c r="J1176" s="6" t="s">
        <v>394</v>
      </c>
      <c r="K1176" s="10">
        <v>55</v>
      </c>
      <c r="L1176" s="10">
        <v>55</v>
      </c>
      <c r="M1176" s="6" t="s">
        <v>425</v>
      </c>
      <c r="N1176" s="6" t="str">
        <f>IF(OR($G1176="FCC",$G1176="Hydrocracker",$G1176="Reformer"),IF(COUNTIFS($D:$D,$D1176,$A:$A,$A1176,$B:$B,$B1176,$G:$G,"CDU",$J:$J,"PLANNED")&gt;0,"tied","standalone"),"")</f>
        <v>standalone</v>
      </c>
    </row>
    <row r="1177" spans="1:14">
      <c r="A1177" s="6">
        <v>2023</v>
      </c>
      <c r="B1177" s="6">
        <v>5</v>
      </c>
      <c r="C1177" s="6" t="s">
        <v>64</v>
      </c>
      <c r="D1177" s="6" t="s">
        <v>465</v>
      </c>
      <c r="E1177" s="6" t="s">
        <v>466</v>
      </c>
      <c r="F1177" s="6" t="str">
        <f>IF($M1177="PADD I","PADD 1",IF($M1177="PADD II","PADD 2",IF($M1177="PADD III","PADD 3",IF($M1177="PADD IV","PADD 4",IF($M1177="PADD V","PADD 5","")))))</f>
        <v>PADD 3</v>
      </c>
      <c r="G1177" s="6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6" t="s">
        <v>428</v>
      </c>
      <c r="I1177" s="6" t="s">
        <v>467</v>
      </c>
      <c r="J1177" s="6" t="s">
        <v>394</v>
      </c>
      <c r="K1177" s="10">
        <v>50</v>
      </c>
      <c r="L1177" s="10">
        <v>50</v>
      </c>
      <c r="M1177" s="6" t="s">
        <v>421</v>
      </c>
      <c r="N1177" s="6">
        <f>IF(OR($G1177="FCC",$G1177="Hydrocracker",$G1177="Reformer"),IF(COUNTIFS($D:$D,$D1177,$A:$A,$A1177,$B:$B,$B1177,$G:$G,"CDU",$J:$J,"PLANNED")&gt;0,"tied","standalone"),"")</f>
        <v/>
      </c>
    </row>
    <row r="1178" spans="1:14">
      <c r="A1178" s="6">
        <v>2023</v>
      </c>
      <c r="B1178" s="6">
        <v>5</v>
      </c>
      <c r="C1178" s="6" t="s">
        <v>64</v>
      </c>
      <c r="D1178" s="6" t="s">
        <v>822</v>
      </c>
      <c r="E1178" s="6" t="s">
        <v>455</v>
      </c>
      <c r="F1178" s="6" t="str">
        <f>IF($M1178="PADD I","PADD 1",IF($M1178="PADD II","PADD 2",IF($M1178="PADD III","PADD 3",IF($M1178="PADD IV","PADD 4",IF($M1178="PADD V","PADD 5","")))))</f>
        <v>PADD 3</v>
      </c>
      <c r="G1178" s="6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6" t="s">
        <v>426</v>
      </c>
      <c r="I1178" s="6" t="s">
        <v>823</v>
      </c>
      <c r="J1178" s="6" t="s">
        <v>398</v>
      </c>
      <c r="K1178" s="10">
        <v>49.92</v>
      </c>
      <c r="L1178" s="10">
        <v>96</v>
      </c>
      <c r="M1178" s="6" t="s">
        <v>421</v>
      </c>
      <c r="N1178" s="6" t="str">
        <f>IF(OR($G1178="FCC",$G1178="Hydrocracker",$G1178="Reformer"),IF(COUNTIFS($D:$D,$D1178,$A:$A,$A1178,$B:$B,$B1178,$G:$G,"CDU",$J:$J,"PLANNED")&gt;0,"tied","standalone"),"")</f>
        <v>standalone</v>
      </c>
    </row>
    <row r="1179" spans="1:14">
      <c r="A1179" s="6">
        <v>2023</v>
      </c>
      <c r="B1179" s="6">
        <v>5</v>
      </c>
      <c r="C1179" s="6" t="s">
        <v>64</v>
      </c>
      <c r="D1179" s="6" t="s">
        <v>430</v>
      </c>
      <c r="E1179" s="6" t="s">
        <v>431</v>
      </c>
      <c r="F1179" s="6" t="str">
        <f>IF($M1179="PADD I","PADD 1",IF($M1179="PADD II","PADD 2",IF($M1179="PADD III","PADD 3",IF($M1179="PADD IV","PADD 4",IF($M1179="PADD V","PADD 5","")))))</f>
        <v>PADD 3</v>
      </c>
      <c r="G1179" s="6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6" t="s">
        <v>39</v>
      </c>
      <c r="I1179" s="6" t="s">
        <v>896</v>
      </c>
      <c r="J1179" s="6" t="s">
        <v>398</v>
      </c>
      <c r="K1179" s="10">
        <v>46.8</v>
      </c>
      <c r="L1179" s="10">
        <v>90</v>
      </c>
      <c r="M1179" s="6" t="s">
        <v>421</v>
      </c>
      <c r="N1179" s="6">
        <f>IF(OR($G1179="FCC",$G1179="Hydrocracker",$G1179="Reformer"),IF(COUNTIFS($D:$D,$D1179,$A:$A,$A1179,$B:$B,$B1179,$G:$G,"CDU",$J:$J,"PLANNED")&gt;0,"tied","standalone"),"")</f>
        <v/>
      </c>
    </row>
    <row r="1180" spans="1:14">
      <c r="A1180" s="6">
        <v>2023</v>
      </c>
      <c r="B1180" s="6">
        <v>5</v>
      </c>
      <c r="C1180" s="6" t="s">
        <v>64</v>
      </c>
      <c r="D1180" s="6" t="s">
        <v>418</v>
      </c>
      <c r="E1180" s="6" t="s">
        <v>419</v>
      </c>
      <c r="F1180" s="6" t="str">
        <f>IF($M1180="PADD I","PADD 1",IF($M1180="PADD II","PADD 2",IF($M1180="PADD III","PADD 3",IF($M1180="PADD IV","PADD 4",IF($M1180="PADD V","PADD 5","")))))</f>
        <v>PADD 3</v>
      </c>
      <c r="G1180" s="6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6" t="s">
        <v>471</v>
      </c>
      <c r="I1180" s="6" t="s">
        <v>472</v>
      </c>
      <c r="J1180" s="6" t="s">
        <v>398</v>
      </c>
      <c r="K1180" s="10">
        <v>43.262</v>
      </c>
      <c r="L1180" s="10">
        <v>44.6</v>
      </c>
      <c r="M1180" s="6" t="s">
        <v>421</v>
      </c>
      <c r="N1180" s="6" t="str">
        <f>IF(OR($G1180="FCC",$G1180="Hydrocracker",$G1180="Reformer"),IF(COUNTIFS($D:$D,$D1180,$A:$A,$A1180,$B:$B,$B1180,$G:$G,"CDU",$J:$J,"PLANNED")&gt;0,"tied","standalone"),"")</f>
        <v>tied</v>
      </c>
    </row>
    <row r="1181" spans="1:14">
      <c r="A1181" s="6">
        <v>2023</v>
      </c>
      <c r="B1181" s="6">
        <v>5</v>
      </c>
      <c r="C1181" s="6" t="s">
        <v>64</v>
      </c>
      <c r="D1181" s="6" t="s">
        <v>437</v>
      </c>
      <c r="E1181" s="6" t="s">
        <v>438</v>
      </c>
      <c r="F1181" s="6" t="str">
        <f>IF($M1181="PADD I","PADD 1",IF($M1181="PADD II","PADD 2",IF($M1181="PADD III","PADD 3",IF($M1181="PADD IV","PADD 4",IF($M1181="PADD V","PADD 5","")))))</f>
        <v>PADD 3</v>
      </c>
      <c r="G1181" s="6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6" t="s">
        <v>471</v>
      </c>
      <c r="I1181" s="6" t="s">
        <v>493</v>
      </c>
      <c r="J1181" s="6" t="s">
        <v>394</v>
      </c>
      <c r="K1181" s="10">
        <v>42.625</v>
      </c>
      <c r="L1181" s="10">
        <v>77.5</v>
      </c>
      <c r="M1181" s="6" t="s">
        <v>421</v>
      </c>
      <c r="N1181" s="6" t="str">
        <f>IF(OR($G1181="FCC",$G1181="Hydrocracker",$G1181="Reformer"),IF(COUNTIFS($D:$D,$D1181,$A:$A,$A1181,$B:$B,$B1181,$G:$G,"CDU",$J:$J,"PLANNED")&gt;0,"tied","standalone"),"")</f>
        <v>standalone</v>
      </c>
    </row>
    <row r="1182" spans="1:14">
      <c r="A1182" s="6">
        <v>2023</v>
      </c>
      <c r="B1182" s="6">
        <v>5</v>
      </c>
      <c r="C1182" s="6" t="s">
        <v>64</v>
      </c>
      <c r="D1182" s="6" t="s">
        <v>422</v>
      </c>
      <c r="E1182" s="6" t="s">
        <v>423</v>
      </c>
      <c r="F1182" s="6" t="str">
        <f>IF($M1182="PADD I","PADD 1",IF($M1182="PADD II","PADD 2",IF($M1182="PADD III","PADD 3",IF($M1182="PADD IV","PADD 4",IF($M1182="PADD V","PADD 5","")))))</f>
        <v>PADD 2</v>
      </c>
      <c r="G1182" s="6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6" t="s">
        <v>471</v>
      </c>
      <c r="I1182" s="6" t="s">
        <v>473</v>
      </c>
      <c r="J1182" s="6" t="s">
        <v>394</v>
      </c>
      <c r="K1182" s="10">
        <v>42</v>
      </c>
      <c r="L1182" s="10">
        <v>42</v>
      </c>
      <c r="M1182" s="6" t="s">
        <v>425</v>
      </c>
      <c r="N1182" s="6" t="str">
        <f>IF(OR($G1182="FCC",$G1182="Hydrocracker",$G1182="Reformer"),IF(COUNTIFS($D:$D,$D1182,$A:$A,$A1182,$B:$B,$B1182,$G:$G,"CDU",$J:$J,"PLANNED")&gt;0,"tied","standalone"),"")</f>
        <v>standalone</v>
      </c>
    </row>
    <row r="1183" spans="1:14">
      <c r="A1183" s="6">
        <v>2023</v>
      </c>
      <c r="B1183" s="6">
        <v>5</v>
      </c>
      <c r="C1183" s="6" t="s">
        <v>64</v>
      </c>
      <c r="D1183" s="6" t="s">
        <v>53</v>
      </c>
      <c r="E1183" s="6" t="s">
        <v>438</v>
      </c>
      <c r="F1183" s="6" t="str">
        <f>IF($M1183="PADD I","PADD 1",IF($M1183="PADD II","PADD 2",IF($M1183="PADD III","PADD 3",IF($M1183="PADD IV","PADD 4",IF($M1183="PADD V","PADD 5","")))))</f>
        <v>PADD 5</v>
      </c>
      <c r="G1183" s="6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6" t="s">
        <v>39</v>
      </c>
      <c r="I1183" s="6" t="s">
        <v>82</v>
      </c>
      <c r="J1183" s="6" t="s">
        <v>398</v>
      </c>
      <c r="K1183" s="10">
        <v>41.76</v>
      </c>
      <c r="L1183" s="10">
        <v>72</v>
      </c>
      <c r="M1183" s="6" t="s">
        <v>436</v>
      </c>
      <c r="N1183" s="6">
        <f>IF(OR($G1183="FCC",$G1183="Hydrocracker",$G1183="Reformer"),IF(COUNTIFS($D:$D,$D1183,$A:$A,$A1183,$B:$B,$B1183,$G:$G,"CDU",$J:$J,"PLANNED")&gt;0,"tied","standalone"),"")</f>
        <v/>
      </c>
    </row>
    <row r="1184" spans="1:14">
      <c r="A1184" s="6">
        <v>2023</v>
      </c>
      <c r="B1184" s="6">
        <v>5</v>
      </c>
      <c r="C1184" s="6" t="s">
        <v>64</v>
      </c>
      <c r="D1184" s="6" t="s">
        <v>422</v>
      </c>
      <c r="E1184" s="6" t="s">
        <v>423</v>
      </c>
      <c r="F1184" s="6" t="str">
        <f>IF($M1184="PADD I","PADD 1",IF($M1184="PADD II","PADD 2",IF($M1184="PADD III","PADD 3",IF($M1184="PADD IV","PADD 4",IF($M1184="PADD V","PADD 5","")))))</f>
        <v>PADD 2</v>
      </c>
      <c r="G1184" s="6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6" t="s">
        <v>44</v>
      </c>
      <c r="I1184" s="6" t="s">
        <v>483</v>
      </c>
      <c r="J1184" s="6" t="s">
        <v>394</v>
      </c>
      <c r="K1184" s="10">
        <v>40</v>
      </c>
      <c r="L1184" s="10">
        <v>40</v>
      </c>
      <c r="M1184" s="6" t="s">
        <v>425</v>
      </c>
      <c r="N1184" s="6">
        <f>IF(OR($G1184="FCC",$G1184="Hydrocracker",$G1184="Reformer"),IF(COUNTIFS($D:$D,$D1184,$A:$A,$A1184,$B:$B,$B1184,$G:$G,"CDU",$J:$J,"PLANNED")&gt;0,"tied","standalone"),"")</f>
        <v/>
      </c>
    </row>
    <row r="1185" spans="1:14">
      <c r="A1185" s="6">
        <v>2023</v>
      </c>
      <c r="B1185" s="6">
        <v>5</v>
      </c>
      <c r="C1185" s="6" t="s">
        <v>64</v>
      </c>
      <c r="D1185" s="6" t="s">
        <v>54</v>
      </c>
      <c r="E1185" s="6" t="s">
        <v>593</v>
      </c>
      <c r="F1185" s="6" t="str">
        <f>IF($M1185="PADD I","PADD 1",IF($M1185="PADD II","PADD 2",IF($M1185="PADD III","PADD 3",IF($M1185="PADD IV","PADD 4",IF($M1185="PADD V","PADD 5","")))))</f>
        <v>PADD 5</v>
      </c>
      <c r="G1185" s="6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6" t="s">
        <v>494</v>
      </c>
      <c r="I1185" s="6" t="s">
        <v>14</v>
      </c>
      <c r="J1185" s="6" t="s">
        <v>394</v>
      </c>
      <c r="K1185" s="10">
        <v>39.05</v>
      </c>
      <c r="L1185" s="10">
        <v>55</v>
      </c>
      <c r="M1185" s="6" t="s">
        <v>436</v>
      </c>
      <c r="N1185" s="6" t="str">
        <f>IF(OR($G1185="FCC",$G1185="Hydrocracker",$G1185="Reformer"),IF(COUNTIFS($D:$D,$D1185,$A:$A,$A1185,$B:$B,$B1185,$G:$G,"CDU",$J:$J,"PLANNED")&gt;0,"tied","standalone"),"")</f>
        <v>tied</v>
      </c>
    </row>
    <row r="1186" spans="1:14">
      <c r="A1186" s="6">
        <v>2023</v>
      </c>
      <c r="B1186" s="6">
        <v>5</v>
      </c>
      <c r="C1186" s="6" t="s">
        <v>64</v>
      </c>
      <c r="D1186" s="6" t="s">
        <v>54</v>
      </c>
      <c r="E1186" s="6" t="s">
        <v>593</v>
      </c>
      <c r="F1186" s="6" t="str">
        <f>IF($M1186="PADD I","PADD 1",IF($M1186="PADD II","PADD 2",IF($M1186="PADD III","PADD 3",IF($M1186="PADD IV","PADD 4",IF($M1186="PADD V","PADD 5","")))))</f>
        <v>PADD 5</v>
      </c>
      <c r="G1186" s="6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6" t="s">
        <v>39</v>
      </c>
      <c r="I1186" s="6" t="s">
        <v>82</v>
      </c>
      <c r="J1186" s="6" t="s">
        <v>398</v>
      </c>
      <c r="K1186" s="10">
        <v>38.125</v>
      </c>
      <c r="L1186" s="10">
        <v>62.5</v>
      </c>
      <c r="M1186" s="6" t="s">
        <v>436</v>
      </c>
      <c r="N1186" s="6">
        <f>IF(OR($G1186="FCC",$G1186="Hydrocracker",$G1186="Reformer"),IF(COUNTIFS($D:$D,$D1186,$A:$A,$A1186,$B:$B,$B1186,$G:$G,"CDU",$J:$J,"PLANNED")&gt;0,"tied","standalone"),"")</f>
        <v/>
      </c>
    </row>
    <row r="1187" spans="1:14">
      <c r="A1187" s="6">
        <v>2023</v>
      </c>
      <c r="B1187" s="6">
        <v>5</v>
      </c>
      <c r="C1187" s="6" t="s">
        <v>64</v>
      </c>
      <c r="D1187" s="6" t="s">
        <v>824</v>
      </c>
      <c r="E1187" s="6" t="s">
        <v>825</v>
      </c>
      <c r="F1187" s="6" t="str">
        <f>IF($M1187="PADD I","PADD 1",IF($M1187="PADD II","PADD 2",IF($M1187="PADD III","PADD 3",IF($M1187="PADD IV","PADD 4",IF($M1187="PADD V","PADD 5","")))))</f>
        <v>PADD 1</v>
      </c>
      <c r="G1187" s="6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6" t="s">
        <v>485</v>
      </c>
      <c r="I1187" s="6" t="s">
        <v>826</v>
      </c>
      <c r="J1187" s="6" t="s">
        <v>398</v>
      </c>
      <c r="K1187" s="10">
        <v>36.26</v>
      </c>
      <c r="L1187" s="10">
        <v>49</v>
      </c>
      <c r="M1187" s="6" t="s">
        <v>463</v>
      </c>
      <c r="N1187" s="6">
        <f>IF(OR($G1187="FCC",$G1187="Hydrocracker",$G1187="Reformer"),IF(COUNTIFS($D:$D,$D1187,$A:$A,$A1187,$B:$B,$B1187,$G:$G,"CDU",$J:$J,"PLANNED")&gt;0,"tied","standalone"),"")</f>
        <v/>
      </c>
    </row>
    <row r="1188" spans="1:14">
      <c r="A1188" s="6">
        <v>2023</v>
      </c>
      <c r="B1188" s="6">
        <v>5</v>
      </c>
      <c r="C1188" s="6" t="s">
        <v>64</v>
      </c>
      <c r="D1188" s="6" t="s">
        <v>54</v>
      </c>
      <c r="E1188" s="6" t="s">
        <v>593</v>
      </c>
      <c r="F1188" s="6" t="str">
        <f>IF($M1188="PADD I","PADD 1",IF($M1188="PADD II","PADD 2",IF($M1188="PADD III","PADD 3",IF($M1188="PADD IV","PADD 4",IF($M1188="PADD V","PADD 5","")))))</f>
        <v>PADD 5</v>
      </c>
      <c r="G1188" s="6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6" t="s">
        <v>471</v>
      </c>
      <c r="I1188" s="6" t="s">
        <v>609</v>
      </c>
      <c r="J1188" s="6" t="s">
        <v>394</v>
      </c>
      <c r="K1188" s="10">
        <v>35.5</v>
      </c>
      <c r="L1188" s="10">
        <v>50</v>
      </c>
      <c r="M1188" s="6" t="s">
        <v>436</v>
      </c>
      <c r="N1188" s="6" t="str">
        <f>IF(OR($G1188="FCC",$G1188="Hydrocracker",$G1188="Reformer"),IF(COUNTIFS($D:$D,$D1188,$A:$A,$A1188,$B:$B,$B1188,$G:$G,"CDU",$J:$J,"PLANNED")&gt;0,"tied","standalone"),"")</f>
        <v>tied</v>
      </c>
    </row>
    <row r="1189" spans="1:14">
      <c r="A1189" s="6">
        <v>2023</v>
      </c>
      <c r="B1189" s="6">
        <v>5</v>
      </c>
      <c r="C1189" s="6" t="s">
        <v>64</v>
      </c>
      <c r="D1189" s="6" t="s">
        <v>496</v>
      </c>
      <c r="E1189" s="6" t="s">
        <v>441</v>
      </c>
      <c r="F1189" s="6" t="str">
        <f>IF($M1189="PADD I","PADD 1",IF($M1189="PADD II","PADD 2",IF($M1189="PADD III","PADD 3",IF($M1189="PADD IV","PADD 4",IF($M1189="PADD V","PADD 5","")))))</f>
        <v>PADD 3</v>
      </c>
      <c r="G1189" s="6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6" t="s">
        <v>44</v>
      </c>
      <c r="I1189" s="6" t="s">
        <v>497</v>
      </c>
      <c r="J1189" s="6" t="s">
        <v>398</v>
      </c>
      <c r="K1189" s="10">
        <v>35</v>
      </c>
      <c r="L1189" s="10">
        <v>35</v>
      </c>
      <c r="M1189" s="6" t="s">
        <v>421</v>
      </c>
      <c r="N1189" s="6">
        <f>IF(OR($G1189="FCC",$G1189="Hydrocracker",$G1189="Reformer"),IF(COUNTIFS($D:$D,$D1189,$A:$A,$A1189,$B:$B,$B1189,$G:$G,"CDU",$J:$J,"PLANNED")&gt;0,"tied","standalone"),"")</f>
        <v/>
      </c>
    </row>
    <row r="1190" spans="1:14">
      <c r="A1190" s="6">
        <v>2023</v>
      </c>
      <c r="B1190" s="6">
        <v>5</v>
      </c>
      <c r="C1190" s="6" t="s">
        <v>64</v>
      </c>
      <c r="D1190" s="6" t="s">
        <v>498</v>
      </c>
      <c r="E1190" s="6" t="s">
        <v>441</v>
      </c>
      <c r="F1190" s="6" t="str">
        <f>IF($M1190="PADD I","PADD 1",IF($M1190="PADD II","PADD 2",IF($M1190="PADD III","PADD 3",IF($M1190="PADD IV","PADD 4",IF($M1190="PADD V","PADD 5","")))))</f>
        <v>PADD 3</v>
      </c>
      <c r="G1190" s="6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6" t="s">
        <v>44</v>
      </c>
      <c r="I1190" s="6" t="s">
        <v>499</v>
      </c>
      <c r="J1190" s="6" t="s">
        <v>394</v>
      </c>
      <c r="K1190" s="10">
        <v>35</v>
      </c>
      <c r="L1190" s="10">
        <v>35</v>
      </c>
      <c r="M1190" s="6" t="s">
        <v>421</v>
      </c>
      <c r="N1190" s="6">
        <f>IF(OR($G1190="FCC",$G1190="Hydrocracker",$G1190="Reformer"),IF(COUNTIFS($D:$D,$D1190,$A:$A,$A1190,$B:$B,$B1190,$G:$G,"CDU",$J:$J,"PLANNED")&gt;0,"tied","standalone"),"")</f>
        <v/>
      </c>
    </row>
    <row r="1191" spans="1:14">
      <c r="A1191" s="6">
        <v>2023</v>
      </c>
      <c r="B1191" s="6">
        <v>5</v>
      </c>
      <c r="C1191" s="6" t="s">
        <v>64</v>
      </c>
      <c r="D1191" s="6" t="s">
        <v>445</v>
      </c>
      <c r="E1191" s="6" t="s">
        <v>446</v>
      </c>
      <c r="F1191" s="6" t="str">
        <f>IF($M1191="PADD I","PADD 1",IF($M1191="PADD II","PADD 2",IF($M1191="PADD III","PADD 3",IF($M1191="PADD IV","PADD 4",IF($M1191="PADD V","PADD 5","")))))</f>
        <v>PADD 3</v>
      </c>
      <c r="G1191" s="6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6" t="s">
        <v>428</v>
      </c>
      <c r="I1191" s="6" t="s">
        <v>625</v>
      </c>
      <c r="J1191" s="6" t="s">
        <v>394</v>
      </c>
      <c r="K1191" s="10">
        <v>35</v>
      </c>
      <c r="L1191" s="10">
        <v>35</v>
      </c>
      <c r="M1191" s="6" t="s">
        <v>421</v>
      </c>
      <c r="N1191" s="6">
        <f>IF(OR($G1191="FCC",$G1191="Hydrocracker",$G1191="Reformer"),IF(COUNTIFS($D:$D,$D1191,$A:$A,$A1191,$B:$B,$B1191,$G:$G,"CDU",$J:$J,"PLANNED")&gt;0,"tied","standalone"),"")</f>
        <v/>
      </c>
    </row>
    <row r="1192" spans="1:14">
      <c r="A1192" s="6">
        <v>2023</v>
      </c>
      <c r="B1192" s="6">
        <v>5</v>
      </c>
      <c r="C1192" s="6" t="s">
        <v>64</v>
      </c>
      <c r="D1192" s="6" t="s">
        <v>465</v>
      </c>
      <c r="E1192" s="6" t="s">
        <v>466</v>
      </c>
      <c r="F1192" s="6" t="str">
        <f>IF($M1192="PADD I","PADD 1",IF($M1192="PADD II","PADD 2",IF($M1192="PADD III","PADD 3",IF($M1192="PADD IV","PADD 4",IF($M1192="PADD V","PADD 5","")))))</f>
        <v>PADD 3</v>
      </c>
      <c r="G1192" s="6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6" t="s">
        <v>485</v>
      </c>
      <c r="I1192" s="6" t="s">
        <v>503</v>
      </c>
      <c r="J1192" s="6" t="s">
        <v>394</v>
      </c>
      <c r="K1192" s="10">
        <v>34</v>
      </c>
      <c r="L1192" s="10">
        <v>34</v>
      </c>
      <c r="M1192" s="6" t="s">
        <v>421</v>
      </c>
      <c r="N1192" s="6">
        <f>IF(OR($G1192="FCC",$G1192="Hydrocracker",$G1192="Reformer"),IF(COUNTIFS($D:$D,$D1192,$A:$A,$A1192,$B:$B,$B1192,$G:$G,"CDU",$J:$J,"PLANNED")&gt;0,"tied","standalone"),"")</f>
        <v/>
      </c>
    </row>
    <row r="1193" spans="1:14">
      <c r="A1193" s="6">
        <v>2023</v>
      </c>
      <c r="B1193" s="6">
        <v>5</v>
      </c>
      <c r="C1193" s="6" t="s">
        <v>64</v>
      </c>
      <c r="D1193" s="6" t="s">
        <v>465</v>
      </c>
      <c r="E1193" s="6" t="s">
        <v>466</v>
      </c>
      <c r="F1193" s="6" t="str">
        <f>IF($M1193="PADD I","PADD 1",IF($M1193="PADD II","PADD 2",IF($M1193="PADD III","PADD 3",IF($M1193="PADD IV","PADD 4",IF($M1193="PADD V","PADD 5","")))))</f>
        <v>PADD 3</v>
      </c>
      <c r="G1193" s="6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6" t="s">
        <v>485</v>
      </c>
      <c r="I1193" s="6" t="s">
        <v>503</v>
      </c>
      <c r="J1193" s="6" t="s">
        <v>394</v>
      </c>
      <c r="K1193" s="10">
        <v>34</v>
      </c>
      <c r="L1193" s="10">
        <v>34</v>
      </c>
      <c r="M1193" s="6" t="s">
        <v>421</v>
      </c>
      <c r="N1193" s="6">
        <f>IF(OR($G1193="FCC",$G1193="Hydrocracker",$G1193="Reformer"),IF(COUNTIFS($D:$D,$D1193,$A:$A,$A1193,$B:$B,$B1193,$G:$G,"CDU",$J:$J,"PLANNED")&gt;0,"tied","standalone"),"")</f>
        <v/>
      </c>
    </row>
    <row r="1194" spans="1:14">
      <c r="A1194" s="6">
        <v>2023</v>
      </c>
      <c r="B1194" s="6">
        <v>5</v>
      </c>
      <c r="C1194" s="6" t="s">
        <v>64</v>
      </c>
      <c r="D1194" s="6" t="s">
        <v>500</v>
      </c>
      <c r="E1194" s="6" t="s">
        <v>419</v>
      </c>
      <c r="F1194" s="6" t="str">
        <f>IF($M1194="PADD I","PADD 1",IF($M1194="PADD II","PADD 2",IF($M1194="PADD III","PADD 3",IF($M1194="PADD IV","PADD 4",IF($M1194="PADD V","PADD 5","")))))</f>
        <v>PADD 3</v>
      </c>
      <c r="G1194" s="6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6" t="s">
        <v>44</v>
      </c>
      <c r="I1194" s="6" t="s">
        <v>499</v>
      </c>
      <c r="J1194" s="6" t="s">
        <v>398</v>
      </c>
      <c r="K1194" s="10">
        <v>33.95</v>
      </c>
      <c r="L1194" s="10">
        <v>35</v>
      </c>
      <c r="M1194" s="6" t="s">
        <v>421</v>
      </c>
      <c r="N1194" s="6">
        <f>IF(OR($G1194="FCC",$G1194="Hydrocracker",$G1194="Reformer"),IF(COUNTIFS($D:$D,$D1194,$A:$A,$A1194,$B:$B,$B1194,$G:$G,"CDU",$J:$J,"PLANNED")&gt;0,"tied","standalone"),"")</f>
        <v/>
      </c>
    </row>
    <row r="1195" spans="1:14">
      <c r="A1195" s="6">
        <v>2023</v>
      </c>
      <c r="B1195" s="6">
        <v>5</v>
      </c>
      <c r="C1195" s="6" t="s">
        <v>64</v>
      </c>
      <c r="D1195" s="6" t="s">
        <v>54</v>
      </c>
      <c r="E1195" s="6" t="s">
        <v>593</v>
      </c>
      <c r="F1195" s="6" t="str">
        <f>IF($M1195="PADD I","PADD 1",IF($M1195="PADD II","PADD 2",IF($M1195="PADD III","PADD 3",IF($M1195="PADD IV","PADD 4",IF($M1195="PADD V","PADD 5","")))))</f>
        <v>PADD 5</v>
      </c>
      <c r="G1195" s="6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6" t="s">
        <v>494</v>
      </c>
      <c r="I1195" s="6" t="s">
        <v>14</v>
      </c>
      <c r="J1195" s="6" t="s">
        <v>398</v>
      </c>
      <c r="K1195" s="10">
        <v>33.55</v>
      </c>
      <c r="L1195" s="10">
        <v>55</v>
      </c>
      <c r="M1195" s="6" t="s">
        <v>436</v>
      </c>
      <c r="N1195" s="6" t="str">
        <f>IF(OR($G1195="FCC",$G1195="Hydrocracker",$G1195="Reformer"),IF(COUNTIFS($D:$D,$D1195,$A:$A,$A1195,$B:$B,$B1195,$G:$G,"CDU",$J:$J,"PLANNED")&gt;0,"tied","standalone"),"")</f>
        <v>tied</v>
      </c>
    </row>
    <row r="1196" spans="1:14">
      <c r="A1196" s="6">
        <v>2023</v>
      </c>
      <c r="B1196" s="6">
        <v>5</v>
      </c>
      <c r="C1196" s="6" t="s">
        <v>64</v>
      </c>
      <c r="D1196" s="6" t="s">
        <v>540</v>
      </c>
      <c r="E1196" s="6" t="s">
        <v>541</v>
      </c>
      <c r="F1196" s="6" t="str">
        <f>IF($M1196="PADD I","PADD 1",IF($M1196="PADD II","PADD 2",IF($M1196="PADD III","PADD 3",IF($M1196="PADD IV","PADD 4",IF($M1196="PADD V","PADD 5","")))))</f>
        <v>PADD 3</v>
      </c>
      <c r="G1196" s="6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6" t="s">
        <v>44</v>
      </c>
      <c r="I1196" s="6" t="s">
        <v>897</v>
      </c>
      <c r="J1196" s="6" t="s">
        <v>394</v>
      </c>
      <c r="K1196" s="10">
        <v>32.5</v>
      </c>
      <c r="L1196" s="10">
        <v>50</v>
      </c>
      <c r="M1196" s="6" t="s">
        <v>421</v>
      </c>
      <c r="N1196" s="6">
        <f>IF(OR($G1196="FCC",$G1196="Hydrocracker",$G1196="Reformer"),IF(COUNTIFS($D:$D,$D1196,$A:$A,$A1196,$B:$B,$B1196,$G:$G,"CDU",$J:$J,"PLANNED")&gt;0,"tied","standalone"),"")</f>
        <v/>
      </c>
    </row>
    <row r="1197" spans="1:14">
      <c r="A1197" s="6">
        <v>2023</v>
      </c>
      <c r="B1197" s="6">
        <v>5</v>
      </c>
      <c r="C1197" s="6" t="s">
        <v>64</v>
      </c>
      <c r="D1197" s="6" t="s">
        <v>820</v>
      </c>
      <c r="E1197" s="6" t="s">
        <v>710</v>
      </c>
      <c r="F1197" s="6" t="str">
        <f>IF($M1197="PADD I","PADD 1",IF($M1197="PADD II","PADD 2",IF($M1197="PADD III","PADD 3",IF($M1197="PADD IV","PADD 4",IF($M1197="PADD V","PADD 5","")))))</f>
        <v>PADD 3</v>
      </c>
      <c r="G1197" s="6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6" t="s">
        <v>485</v>
      </c>
      <c r="I1197" s="6" t="s">
        <v>491</v>
      </c>
      <c r="J1197" s="6" t="s">
        <v>398</v>
      </c>
      <c r="K1197" s="10">
        <v>32</v>
      </c>
      <c r="L1197" s="10">
        <v>32</v>
      </c>
      <c r="M1197" s="6" t="s">
        <v>421</v>
      </c>
      <c r="N1197" s="6">
        <f>IF(OR($G1197="FCC",$G1197="Hydrocracker",$G1197="Reformer"),IF(COUNTIFS($D:$D,$D1197,$A:$A,$A1197,$B:$B,$B1197,$G:$G,"CDU",$J:$J,"PLANNED")&gt;0,"tied","standalone"),"")</f>
        <v/>
      </c>
    </row>
    <row r="1198" spans="1:14">
      <c r="A1198" s="6">
        <v>2023</v>
      </c>
      <c r="B1198" s="6">
        <v>5</v>
      </c>
      <c r="C1198" s="6" t="s">
        <v>64</v>
      </c>
      <c r="D1198" s="6" t="s">
        <v>822</v>
      </c>
      <c r="E1198" s="6" t="s">
        <v>455</v>
      </c>
      <c r="F1198" s="6" t="str">
        <f>IF($M1198="PADD I","PADD 1",IF($M1198="PADD II","PADD 2",IF($M1198="PADD III","PADD 3",IF($M1198="PADD IV","PADD 4",IF($M1198="PADD V","PADD 5","")))))</f>
        <v>PADD 3</v>
      </c>
      <c r="G1198" s="6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6" t="s">
        <v>44</v>
      </c>
      <c r="I1198" s="6" t="s">
        <v>827</v>
      </c>
      <c r="J1198" s="6" t="s">
        <v>398</v>
      </c>
      <c r="K1198" s="10">
        <v>30.16</v>
      </c>
      <c r="L1198" s="10">
        <v>58</v>
      </c>
      <c r="M1198" s="6" t="s">
        <v>421</v>
      </c>
      <c r="N1198" s="6">
        <f>IF(OR($G1198="FCC",$G1198="Hydrocracker",$G1198="Reformer"),IF(COUNTIFS($D:$D,$D1198,$A:$A,$A1198,$B:$B,$B1198,$G:$G,"CDU",$J:$J,"PLANNED")&gt;0,"tied","standalone"),"")</f>
        <v/>
      </c>
    </row>
    <row r="1199" spans="1:14">
      <c r="A1199" s="6">
        <v>2023</v>
      </c>
      <c r="B1199" s="6">
        <v>5</v>
      </c>
      <c r="C1199" s="6" t="s">
        <v>64</v>
      </c>
      <c r="D1199" s="6" t="s">
        <v>422</v>
      </c>
      <c r="E1199" s="6" t="s">
        <v>423</v>
      </c>
      <c r="F1199" s="6" t="str">
        <f>IF($M1199="PADD I","PADD 1",IF($M1199="PADD II","PADD 2",IF($M1199="PADD III","PADD 3",IF($M1199="PADD IV","PADD 4",IF($M1199="PADD V","PADD 5","")))))</f>
        <v>PADD 2</v>
      </c>
      <c r="G1199" s="6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6" t="s">
        <v>485</v>
      </c>
      <c r="I1199" s="6" t="s">
        <v>517</v>
      </c>
      <c r="J1199" s="6" t="s">
        <v>394</v>
      </c>
      <c r="K1199" s="10">
        <v>30</v>
      </c>
      <c r="L1199" s="10">
        <v>30</v>
      </c>
      <c r="M1199" s="6" t="s">
        <v>425</v>
      </c>
      <c r="N1199" s="6">
        <f>IF(OR($G1199="FCC",$G1199="Hydrocracker",$G1199="Reformer"),IF(COUNTIFS($D:$D,$D1199,$A:$A,$A1199,$B:$B,$B1199,$G:$G,"CDU",$J:$J,"PLANNED")&gt;0,"tied","standalone"),"")</f>
        <v/>
      </c>
    </row>
    <row r="1200" spans="1:14">
      <c r="A1200" s="6">
        <v>2023</v>
      </c>
      <c r="B1200" s="6">
        <v>5</v>
      </c>
      <c r="C1200" s="6" t="s">
        <v>64</v>
      </c>
      <c r="D1200" s="6" t="s">
        <v>518</v>
      </c>
      <c r="E1200" s="6" t="s">
        <v>419</v>
      </c>
      <c r="F1200" s="6" t="str">
        <f>IF($M1200="PADD I","PADD 1",IF($M1200="PADD II","PADD 2",IF($M1200="PADD III","PADD 3",IF($M1200="PADD IV","PADD 4",IF($M1200="PADD V","PADD 5","")))))</f>
        <v>PADD 3</v>
      </c>
      <c r="G1200" s="6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6" t="s">
        <v>426</v>
      </c>
      <c r="I1200" s="6" t="s">
        <v>519</v>
      </c>
      <c r="J1200" s="6" t="s">
        <v>394</v>
      </c>
      <c r="K1200" s="10">
        <v>30</v>
      </c>
      <c r="L1200" s="10">
        <v>30</v>
      </c>
      <c r="M1200" s="6" t="s">
        <v>421</v>
      </c>
      <c r="N1200" s="6" t="str">
        <f>IF(OR($G1200="FCC",$G1200="Hydrocracker",$G1200="Reformer"),IF(COUNTIFS($D:$D,$D1200,$A:$A,$A1200,$B:$B,$B1200,$G:$G,"CDU",$J:$J,"PLANNED")&gt;0,"tied","standalone"),"")</f>
        <v>standalone</v>
      </c>
    </row>
    <row r="1201" spans="1:14">
      <c r="A1201" s="6">
        <v>2023</v>
      </c>
      <c r="B1201" s="6">
        <v>5</v>
      </c>
      <c r="C1201" s="6" t="s">
        <v>64</v>
      </c>
      <c r="D1201" s="6" t="s">
        <v>384</v>
      </c>
      <c r="E1201" s="6" t="s">
        <v>419</v>
      </c>
      <c r="F1201" s="6" t="str">
        <f>IF($M1201="PADD I","PADD 1",IF($M1201="PADD II","PADD 2",IF($M1201="PADD III","PADD 3",IF($M1201="PADD IV","PADD 4",IF($M1201="PADD V","PADD 5","")))))</f>
        <v>PADD 3</v>
      </c>
      <c r="G1201" s="6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6" t="s">
        <v>426</v>
      </c>
      <c r="I1201" s="6" t="s">
        <v>522</v>
      </c>
      <c r="J1201" s="6" t="s">
        <v>394</v>
      </c>
      <c r="K1201" s="10">
        <v>30</v>
      </c>
      <c r="L1201" s="10">
        <v>30</v>
      </c>
      <c r="M1201" s="6" t="s">
        <v>421</v>
      </c>
      <c r="N1201" s="6" t="str">
        <f>IF(OR($G1201="FCC",$G1201="Hydrocracker",$G1201="Reformer"),IF(COUNTIFS($D:$D,$D1201,$A:$A,$A1201,$B:$B,$B1201,$G:$G,"CDU",$J:$J,"PLANNED")&gt;0,"tied","standalone"),"")</f>
        <v>standalone</v>
      </c>
    </row>
    <row r="1202" spans="1:14">
      <c r="A1202" s="6">
        <v>2023</v>
      </c>
      <c r="B1202" s="6">
        <v>5</v>
      </c>
      <c r="C1202" s="6" t="s">
        <v>64</v>
      </c>
      <c r="D1202" s="6" t="s">
        <v>518</v>
      </c>
      <c r="E1202" s="6" t="s">
        <v>419</v>
      </c>
      <c r="F1202" s="6" t="str">
        <f>IF($M1202="PADD I","PADD 1",IF($M1202="PADD II","PADD 2",IF($M1202="PADD III","PADD 3",IF($M1202="PADD IV","PADD 4",IF($M1202="PADD V","PADD 5","")))))</f>
        <v>PADD 3</v>
      </c>
      <c r="G1202" s="6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6" t="s">
        <v>426</v>
      </c>
      <c r="I1202" s="6" t="s">
        <v>523</v>
      </c>
      <c r="J1202" s="6" t="s">
        <v>394</v>
      </c>
      <c r="K1202" s="10">
        <v>30</v>
      </c>
      <c r="L1202" s="10">
        <v>30</v>
      </c>
      <c r="M1202" s="6" t="s">
        <v>421</v>
      </c>
      <c r="N1202" s="6" t="str">
        <f>IF(OR($G1202="FCC",$G1202="Hydrocracker",$G1202="Reformer"),IF(COUNTIFS($D:$D,$D1202,$A:$A,$A1202,$B:$B,$B1202,$G:$G,"CDU",$J:$J,"PLANNED")&gt;0,"tied","standalone"),"")</f>
        <v>standalone</v>
      </c>
    </row>
    <row r="1203" spans="1:14">
      <c r="A1203" s="6">
        <v>2023</v>
      </c>
      <c r="B1203" s="6">
        <v>5</v>
      </c>
      <c r="C1203" s="6" t="s">
        <v>64</v>
      </c>
      <c r="D1203" s="6" t="s">
        <v>789</v>
      </c>
      <c r="E1203" s="6" t="s">
        <v>455</v>
      </c>
      <c r="F1203" s="6" t="str">
        <f>IF($M1203="PADD I","PADD 1",IF($M1203="PADD II","PADD 2",IF($M1203="PADD III","PADD 3",IF($M1203="PADD IV","PADD 4",IF($M1203="PADD V","PADD 5","")))))</f>
        <v>PADD 2</v>
      </c>
      <c r="G1203" s="6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6" t="s">
        <v>44</v>
      </c>
      <c r="I1203" s="6" t="s">
        <v>790</v>
      </c>
      <c r="J1203" s="6" t="s">
        <v>394</v>
      </c>
      <c r="K1203" s="10">
        <v>28.8</v>
      </c>
      <c r="L1203" s="10">
        <v>32</v>
      </c>
      <c r="M1203" s="6" t="s">
        <v>425</v>
      </c>
      <c r="N1203" s="6">
        <f>IF(OR($G1203="FCC",$G1203="Hydrocracker",$G1203="Reformer"),IF(COUNTIFS($D:$D,$D1203,$A:$A,$A1203,$B:$B,$B1203,$G:$G,"CDU",$J:$J,"PLANNED")&gt;0,"tied","standalone"),"")</f>
        <v/>
      </c>
    </row>
    <row r="1204" spans="1:14">
      <c r="A1204" s="6">
        <v>2023</v>
      </c>
      <c r="B1204" s="6">
        <v>5</v>
      </c>
      <c r="C1204" s="6" t="s">
        <v>64</v>
      </c>
      <c r="D1204" s="6" t="s">
        <v>487</v>
      </c>
      <c r="E1204" s="6" t="s">
        <v>488</v>
      </c>
      <c r="F1204" s="6" t="str">
        <f>IF($M1204="PADD I","PADD 1",IF($M1204="PADD II","PADD 2",IF($M1204="PADD III","PADD 3",IF($M1204="PADD IV","PADD 4",IF($M1204="PADD V","PADD 5","")))))</f>
        <v>PADD 4</v>
      </c>
      <c r="G1204" s="6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6" t="s">
        <v>39</v>
      </c>
      <c r="I1204" s="6" t="s">
        <v>379</v>
      </c>
      <c r="J1204" s="6" t="s">
        <v>398</v>
      </c>
      <c r="K1204" s="10">
        <v>28</v>
      </c>
      <c r="L1204" s="10">
        <v>28</v>
      </c>
      <c r="M1204" s="6" t="s">
        <v>480</v>
      </c>
      <c r="N1204" s="6">
        <f>IF(OR($G1204="FCC",$G1204="Hydrocracker",$G1204="Reformer"),IF(COUNTIFS($D:$D,$D1204,$A:$A,$A1204,$B:$B,$B1204,$G:$G,"CDU",$J:$J,"PLANNED")&gt;0,"tied","standalone"),"")</f>
        <v/>
      </c>
    </row>
    <row r="1205" spans="1:14">
      <c r="A1205" s="6">
        <v>2023</v>
      </c>
      <c r="B1205" s="6">
        <v>5</v>
      </c>
      <c r="C1205" s="6" t="s">
        <v>64</v>
      </c>
      <c r="D1205" s="6" t="s">
        <v>373</v>
      </c>
      <c r="E1205" s="6" t="s">
        <v>438</v>
      </c>
      <c r="F1205" s="6" t="str">
        <f>IF($M1205="PADD I","PADD 1",IF($M1205="PADD II","PADD 2",IF($M1205="PADD III","PADD 3",IF($M1205="PADD IV","PADD 4",IF($M1205="PADD V","PADD 5","")))))</f>
        <v>PADD 3</v>
      </c>
      <c r="G1205" s="6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6" t="s">
        <v>44</v>
      </c>
      <c r="I1205" s="6" t="s">
        <v>732</v>
      </c>
      <c r="J1205" s="6" t="s">
        <v>394</v>
      </c>
      <c r="K1205" s="10">
        <v>27.56</v>
      </c>
      <c r="L1205" s="10">
        <v>106</v>
      </c>
      <c r="M1205" s="6" t="s">
        <v>421</v>
      </c>
      <c r="N1205" s="6">
        <f>IF(OR($G1205="FCC",$G1205="Hydrocracker",$G1205="Reformer"),IF(COUNTIFS($D:$D,$D1205,$A:$A,$A1205,$B:$B,$B1205,$G:$G,"CDU",$J:$J,"PLANNED")&gt;0,"tied","standalone"),"")</f>
        <v/>
      </c>
    </row>
    <row r="1206" spans="1:14">
      <c r="A1206" s="6">
        <v>2023</v>
      </c>
      <c r="B1206" s="6">
        <v>5</v>
      </c>
      <c r="C1206" s="6" t="s">
        <v>64</v>
      </c>
      <c r="D1206" s="6" t="s">
        <v>437</v>
      </c>
      <c r="E1206" s="6" t="s">
        <v>438</v>
      </c>
      <c r="F1206" s="6" t="str">
        <f>IF($M1206="PADD I","PADD 1",IF($M1206="PADD II","PADD 2",IF($M1206="PADD III","PADD 3",IF($M1206="PADD IV","PADD 4",IF($M1206="PADD V","PADD 5","")))))</f>
        <v>PADD 3</v>
      </c>
      <c r="G1206" s="6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6" t="s">
        <v>44</v>
      </c>
      <c r="I1206" s="6" t="s">
        <v>898</v>
      </c>
      <c r="J1206" s="6" t="s">
        <v>394</v>
      </c>
      <c r="K1206" s="10">
        <v>27.5</v>
      </c>
      <c r="L1206" s="10">
        <v>50</v>
      </c>
      <c r="M1206" s="6" t="s">
        <v>421</v>
      </c>
      <c r="N1206" s="6">
        <f>IF(OR($G1206="FCC",$G1206="Hydrocracker",$G1206="Reformer"),IF(COUNTIFS($D:$D,$D1206,$A:$A,$A1206,$B:$B,$B1206,$G:$G,"CDU",$J:$J,"PLANNED")&gt;0,"tied","standalone"),"")</f>
        <v/>
      </c>
    </row>
    <row r="1207" spans="1:14">
      <c r="A1207" s="6">
        <v>2023</v>
      </c>
      <c r="B1207" s="6">
        <v>5</v>
      </c>
      <c r="C1207" s="6" t="s">
        <v>64</v>
      </c>
      <c r="D1207" s="6" t="s">
        <v>422</v>
      </c>
      <c r="E1207" s="6" t="s">
        <v>423</v>
      </c>
      <c r="F1207" s="6" t="str">
        <f>IF($M1207="PADD I","PADD 1",IF($M1207="PADD II","PADD 2",IF($M1207="PADD III","PADD 3",IF($M1207="PADD IV","PADD 4",IF($M1207="PADD V","PADD 5","")))))</f>
        <v>PADD 2</v>
      </c>
      <c r="G1207" s="6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6" t="s">
        <v>485</v>
      </c>
      <c r="I1207" s="6" t="s">
        <v>517</v>
      </c>
      <c r="J1207" s="6" t="s">
        <v>394</v>
      </c>
      <c r="K1207" s="10">
        <v>27.5</v>
      </c>
      <c r="L1207" s="10">
        <v>27.5</v>
      </c>
      <c r="M1207" s="6" t="s">
        <v>425</v>
      </c>
      <c r="N1207" s="6">
        <f>IF(OR($G1207="FCC",$G1207="Hydrocracker",$G1207="Reformer"),IF(COUNTIFS($D:$D,$D1207,$A:$A,$A1207,$B:$B,$B1207,$G:$G,"CDU",$J:$J,"PLANNED")&gt;0,"tied","standalone"),"")</f>
        <v/>
      </c>
    </row>
    <row r="1208" spans="1:14">
      <c r="A1208" s="6">
        <v>2023</v>
      </c>
      <c r="B1208" s="6">
        <v>5</v>
      </c>
      <c r="C1208" s="6" t="s">
        <v>64</v>
      </c>
      <c r="D1208" s="6" t="s">
        <v>789</v>
      </c>
      <c r="E1208" s="6" t="s">
        <v>455</v>
      </c>
      <c r="F1208" s="6" t="str">
        <f>IF($M1208="PADD I","PADD 1",IF($M1208="PADD II","PADD 2",IF($M1208="PADD III","PADD 3",IF($M1208="PADD IV","PADD 4",IF($M1208="PADD V","PADD 5","")))))</f>
        <v>PADD 2</v>
      </c>
      <c r="G1208" s="6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6" t="s">
        <v>428</v>
      </c>
      <c r="I1208" s="6" t="s">
        <v>481</v>
      </c>
      <c r="J1208" s="6" t="s">
        <v>398</v>
      </c>
      <c r="K1208" s="10">
        <v>26.88</v>
      </c>
      <c r="L1208" s="10">
        <v>32</v>
      </c>
      <c r="M1208" s="6" t="s">
        <v>425</v>
      </c>
      <c r="N1208" s="6">
        <f>IF(OR($G1208="FCC",$G1208="Hydrocracker",$G1208="Reformer"),IF(COUNTIFS($D:$D,$D1208,$A:$A,$A1208,$B:$B,$B1208,$G:$G,"CDU",$J:$J,"PLANNED")&gt;0,"tied","standalone"),"")</f>
        <v/>
      </c>
    </row>
    <row r="1209" spans="1:14">
      <c r="A1209" s="6">
        <v>2023</v>
      </c>
      <c r="B1209" s="6">
        <v>5</v>
      </c>
      <c r="C1209" s="6" t="s">
        <v>64</v>
      </c>
      <c r="D1209" s="6" t="s">
        <v>865</v>
      </c>
      <c r="E1209" s="6" t="s">
        <v>502</v>
      </c>
      <c r="F1209" s="6" t="str">
        <f>IF($M1209="PADD I","PADD 1",IF($M1209="PADD II","PADD 2",IF($M1209="PADD III","PADD 3",IF($M1209="PADD IV","PADD 4",IF($M1209="PADD V","PADD 5","")))))</f>
        <v>PADD 4</v>
      </c>
      <c r="G1209" s="6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6" t="s">
        <v>428</v>
      </c>
      <c r="I1209" s="6" t="s">
        <v>866</v>
      </c>
      <c r="J1209" s="6" t="s">
        <v>398</v>
      </c>
      <c r="K1209" s="10">
        <v>25.2</v>
      </c>
      <c r="L1209" s="10">
        <v>30</v>
      </c>
      <c r="M1209" s="6" t="s">
        <v>480</v>
      </c>
      <c r="N1209" s="6">
        <f>IF(OR($G1209="FCC",$G1209="Hydrocracker",$G1209="Reformer"),IF(COUNTIFS($D:$D,$D1209,$A:$A,$A1209,$B:$B,$B1209,$G:$G,"CDU",$J:$J,"PLANNED")&gt;0,"tied","standalone"),"")</f>
        <v/>
      </c>
    </row>
    <row r="1210" spans="1:14">
      <c r="A1210" s="6">
        <v>2023</v>
      </c>
      <c r="B1210" s="6">
        <v>5</v>
      </c>
      <c r="C1210" s="6" t="s">
        <v>64</v>
      </c>
      <c r="D1210" s="6" t="s">
        <v>789</v>
      </c>
      <c r="E1210" s="6" t="s">
        <v>455</v>
      </c>
      <c r="F1210" s="6" t="str">
        <f>IF($M1210="PADD I","PADD 1",IF($M1210="PADD II","PADD 2",IF($M1210="PADD III","PADD 3",IF($M1210="PADD IV","PADD 4",IF($M1210="PADD V","PADD 5","")))))</f>
        <v>PADD 2</v>
      </c>
      <c r="G1210" s="6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6" t="s">
        <v>471</v>
      </c>
      <c r="I1210" s="6" t="s">
        <v>832</v>
      </c>
      <c r="J1210" s="6" t="s">
        <v>398</v>
      </c>
      <c r="K1210" s="10">
        <v>25.2</v>
      </c>
      <c r="L1210" s="10">
        <v>30</v>
      </c>
      <c r="M1210" s="6" t="s">
        <v>425</v>
      </c>
      <c r="N1210" s="6" t="str">
        <f>IF(OR($G1210="FCC",$G1210="Hydrocracker",$G1210="Reformer"),IF(COUNTIFS($D:$D,$D1210,$A:$A,$A1210,$B:$B,$B1210,$G:$G,"CDU",$J:$J,"PLANNED")&gt;0,"tied","standalone"),"")</f>
        <v>tied</v>
      </c>
    </row>
    <row r="1211" spans="1:14">
      <c r="A1211" s="6">
        <v>2023</v>
      </c>
      <c r="B1211" s="6">
        <v>5</v>
      </c>
      <c r="C1211" s="6" t="s">
        <v>64</v>
      </c>
      <c r="D1211" s="6" t="s">
        <v>422</v>
      </c>
      <c r="E1211" s="6" t="s">
        <v>423</v>
      </c>
      <c r="F1211" s="6" t="str">
        <f>IF($M1211="PADD I","PADD 1",IF($M1211="PADD II","PADD 2",IF($M1211="PADD III","PADD 3",IF($M1211="PADD IV","PADD 4",IF($M1211="PADD V","PADD 5","")))))</f>
        <v>PADD 2</v>
      </c>
      <c r="G1211" s="6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6" t="s">
        <v>44</v>
      </c>
      <c r="I1211" s="6" t="s">
        <v>529</v>
      </c>
      <c r="J1211" s="6" t="s">
        <v>394</v>
      </c>
      <c r="K1211" s="10">
        <v>25</v>
      </c>
      <c r="L1211" s="10">
        <v>25</v>
      </c>
      <c r="M1211" s="6" t="s">
        <v>425</v>
      </c>
      <c r="N1211" s="6">
        <f>IF(OR($G1211="FCC",$G1211="Hydrocracker",$G1211="Reformer"),IF(COUNTIFS($D:$D,$D1211,$A:$A,$A1211,$B:$B,$B1211,$G:$G,"CDU",$J:$J,"PLANNED")&gt;0,"tied","standalone"),"")</f>
        <v/>
      </c>
    </row>
    <row r="1212" spans="1:14">
      <c r="A1212" s="6">
        <v>2023</v>
      </c>
      <c r="B1212" s="6">
        <v>5</v>
      </c>
      <c r="C1212" s="6" t="s">
        <v>64</v>
      </c>
      <c r="D1212" s="6" t="s">
        <v>422</v>
      </c>
      <c r="E1212" s="6" t="s">
        <v>423</v>
      </c>
      <c r="F1212" s="6" t="str">
        <f>IF($M1212="PADD I","PADD 1",IF($M1212="PADD II","PADD 2",IF($M1212="PADD III","PADD 3",IF($M1212="PADD IV","PADD 4",IF($M1212="PADD V","PADD 5","")))))</f>
        <v>PADD 2</v>
      </c>
      <c r="G1212" s="6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6" t="s">
        <v>44</v>
      </c>
      <c r="I1212" s="6" t="s">
        <v>530</v>
      </c>
      <c r="J1212" s="6" t="s">
        <v>394</v>
      </c>
      <c r="K1212" s="10">
        <v>25</v>
      </c>
      <c r="L1212" s="10">
        <v>25</v>
      </c>
      <c r="M1212" s="6" t="s">
        <v>425</v>
      </c>
      <c r="N1212" s="6">
        <f>IF(OR($G1212="FCC",$G1212="Hydrocracker",$G1212="Reformer"),IF(COUNTIFS($D:$D,$D1212,$A:$A,$A1212,$B:$B,$B1212,$G:$G,"CDU",$J:$J,"PLANNED")&gt;0,"tied","standalone"),"")</f>
        <v/>
      </c>
    </row>
    <row r="1213" spans="1:14">
      <c r="A1213" s="6">
        <v>2023</v>
      </c>
      <c r="B1213" s="6">
        <v>5</v>
      </c>
      <c r="C1213" s="6" t="s">
        <v>64</v>
      </c>
      <c r="D1213" s="6" t="s">
        <v>822</v>
      </c>
      <c r="E1213" s="6" t="s">
        <v>455</v>
      </c>
      <c r="F1213" s="6" t="str">
        <f>IF($M1213="PADD I","PADD 1",IF($M1213="PADD II","PADD 2",IF($M1213="PADD III","PADD 3",IF($M1213="PADD IV","PADD 4",IF($M1213="PADD V","PADD 5","")))))</f>
        <v>PADD 3</v>
      </c>
      <c r="G1213" s="6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6" t="s">
        <v>426</v>
      </c>
      <c r="I1213" s="6" t="s">
        <v>823</v>
      </c>
      <c r="J1213" s="6" t="s">
        <v>398</v>
      </c>
      <c r="K1213" s="10">
        <v>24.96</v>
      </c>
      <c r="L1213" s="10">
        <v>96</v>
      </c>
      <c r="M1213" s="6" t="s">
        <v>421</v>
      </c>
      <c r="N1213" s="6" t="str">
        <f>IF(OR($G1213="FCC",$G1213="Hydrocracker",$G1213="Reformer"),IF(COUNTIFS($D:$D,$D1213,$A:$A,$A1213,$B:$B,$B1213,$G:$G,"CDU",$J:$J,"PLANNED")&gt;0,"tied","standalone"),"")</f>
        <v>standalone</v>
      </c>
    </row>
    <row r="1214" spans="1:14">
      <c r="A1214" s="6">
        <v>2023</v>
      </c>
      <c r="B1214" s="6">
        <v>5</v>
      </c>
      <c r="C1214" s="6" t="s">
        <v>64</v>
      </c>
      <c r="D1214" s="6" t="s">
        <v>470</v>
      </c>
      <c r="E1214" s="6" t="s">
        <v>423</v>
      </c>
      <c r="F1214" s="6" t="str">
        <f>IF($M1214="PADD I","PADD 1",IF($M1214="PADD II","PADD 2",IF($M1214="PADD III","PADD 3",IF($M1214="PADD IV","PADD 4",IF($M1214="PADD V","PADD 5","")))))</f>
        <v>PADD 2</v>
      </c>
      <c r="G1214" s="6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6" t="s">
        <v>39</v>
      </c>
      <c r="I1214" s="6" t="s">
        <v>82</v>
      </c>
      <c r="J1214" s="6" t="s">
        <v>394</v>
      </c>
      <c r="K1214" s="10">
        <v>24.5</v>
      </c>
      <c r="L1214" s="10">
        <v>24.5</v>
      </c>
      <c r="M1214" s="6" t="s">
        <v>425</v>
      </c>
      <c r="N1214" s="6">
        <f>IF(OR($G1214="FCC",$G1214="Hydrocracker",$G1214="Reformer"),IF(COUNTIFS($D:$D,$D1214,$A:$A,$A1214,$B:$B,$B1214,$G:$G,"CDU",$J:$J,"PLANNED")&gt;0,"tied","standalone"),"")</f>
        <v/>
      </c>
    </row>
    <row r="1215" spans="1:14">
      <c r="A1215" s="6">
        <v>2023</v>
      </c>
      <c r="B1215" s="6">
        <v>5</v>
      </c>
      <c r="C1215" s="6" t="s">
        <v>64</v>
      </c>
      <c r="D1215" s="6" t="s">
        <v>865</v>
      </c>
      <c r="E1215" s="6" t="s">
        <v>502</v>
      </c>
      <c r="F1215" s="6" t="str">
        <f>IF($M1215="PADD I","PADD 1",IF($M1215="PADD II","PADD 2",IF($M1215="PADD III","PADD 3",IF($M1215="PADD IV","PADD 4",IF($M1215="PADD V","PADD 5","")))))</f>
        <v>PADD 4</v>
      </c>
      <c r="G1215" s="6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6" t="s">
        <v>39</v>
      </c>
      <c r="I1215" s="6" t="s">
        <v>870</v>
      </c>
      <c r="J1215" s="6" t="s">
        <v>398</v>
      </c>
      <c r="K1215" s="10">
        <v>23.52</v>
      </c>
      <c r="L1215" s="10">
        <v>28</v>
      </c>
      <c r="M1215" s="6" t="s">
        <v>480</v>
      </c>
      <c r="N1215" s="6">
        <f>IF(OR($G1215="FCC",$G1215="Hydrocracker",$G1215="Reformer"),IF(COUNTIFS($D:$D,$D1215,$A:$A,$A1215,$B:$B,$B1215,$G:$G,"CDU",$J:$J,"PLANNED")&gt;0,"tied","standalone"),"")</f>
        <v/>
      </c>
    </row>
    <row r="1216" spans="1:14">
      <c r="A1216" s="6">
        <v>2023</v>
      </c>
      <c r="B1216" s="6">
        <v>5</v>
      </c>
      <c r="C1216" s="6" t="s">
        <v>64</v>
      </c>
      <c r="D1216" s="6" t="s">
        <v>789</v>
      </c>
      <c r="E1216" s="6" t="s">
        <v>455</v>
      </c>
      <c r="F1216" s="6" t="str">
        <f>IF($M1216="PADD I","PADD 1",IF($M1216="PADD II","PADD 2",IF($M1216="PADD III","PADD 3",IF($M1216="PADD IV","PADD 4",IF($M1216="PADD V","PADD 5","")))))</f>
        <v>PADD 2</v>
      </c>
      <c r="G1216" s="6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6" t="s">
        <v>44</v>
      </c>
      <c r="I1216" s="6" t="s">
        <v>543</v>
      </c>
      <c r="J1216" s="6" t="s">
        <v>398</v>
      </c>
      <c r="K1216" s="10">
        <v>22.26</v>
      </c>
      <c r="L1216" s="10">
        <v>26.5</v>
      </c>
      <c r="M1216" s="6" t="s">
        <v>425</v>
      </c>
      <c r="N1216" s="6">
        <f>IF(OR($G1216="FCC",$G1216="Hydrocracker",$G1216="Reformer"),IF(COUNTIFS($D:$D,$D1216,$A:$A,$A1216,$B:$B,$B1216,$G:$G,"CDU",$J:$J,"PLANNED")&gt;0,"tied","standalone"),"")</f>
        <v/>
      </c>
    </row>
    <row r="1217" spans="1:14">
      <c r="A1217" s="6">
        <v>2023</v>
      </c>
      <c r="B1217" s="6">
        <v>5</v>
      </c>
      <c r="C1217" s="6" t="s">
        <v>64</v>
      </c>
      <c r="D1217" s="6" t="s">
        <v>822</v>
      </c>
      <c r="E1217" s="6" t="s">
        <v>455</v>
      </c>
      <c r="F1217" s="6" t="str">
        <f>IF($M1217="PADD I","PADD 1",IF($M1217="PADD II","PADD 2",IF($M1217="PADD III","PADD 3",IF($M1217="PADD IV","PADD 4",IF($M1217="PADD V","PADD 5","")))))</f>
        <v>PADD 3</v>
      </c>
      <c r="G1217" s="6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6" t="s">
        <v>426</v>
      </c>
      <c r="I1217" s="6" t="s">
        <v>823</v>
      </c>
      <c r="J1217" s="6" t="s">
        <v>394</v>
      </c>
      <c r="K1217" s="10">
        <v>22.08</v>
      </c>
      <c r="L1217" s="10">
        <v>96</v>
      </c>
      <c r="M1217" s="6" t="s">
        <v>421</v>
      </c>
      <c r="N1217" s="6" t="str">
        <f>IF(OR($G1217="FCC",$G1217="Hydrocracker",$G1217="Reformer"),IF(COUNTIFS($D:$D,$D1217,$A:$A,$A1217,$B:$B,$B1217,$G:$G,"CDU",$J:$J,"PLANNED")&gt;0,"tied","standalone"),"")</f>
        <v>standalone</v>
      </c>
    </row>
    <row r="1218" spans="1:14">
      <c r="A1218" s="6">
        <v>2023</v>
      </c>
      <c r="B1218" s="6">
        <v>5</v>
      </c>
      <c r="C1218" s="6" t="s">
        <v>64</v>
      </c>
      <c r="D1218" s="6" t="s">
        <v>820</v>
      </c>
      <c r="E1218" s="6" t="s">
        <v>710</v>
      </c>
      <c r="F1218" s="6" t="str">
        <f>IF($M1218="PADD I","PADD 1",IF($M1218="PADD II","PADD 2",IF($M1218="PADD III","PADD 3",IF($M1218="PADD IV","PADD 4",IF($M1218="PADD V","PADD 5","")))))</f>
        <v>PADD 3</v>
      </c>
      <c r="G1218" s="6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6" t="s">
        <v>44</v>
      </c>
      <c r="I1218" s="6" t="s">
        <v>676</v>
      </c>
      <c r="J1218" s="6" t="s">
        <v>398</v>
      </c>
      <c r="K1218" s="10">
        <v>22</v>
      </c>
      <c r="L1218" s="10">
        <v>22</v>
      </c>
      <c r="M1218" s="6" t="s">
        <v>421</v>
      </c>
      <c r="N1218" s="6">
        <f>IF(OR($G1218="FCC",$G1218="Hydrocracker",$G1218="Reformer"),IF(COUNTIFS($D:$D,$D1218,$A:$A,$A1218,$B:$B,$B1218,$G:$G,"CDU",$J:$J,"PLANNED")&gt;0,"tied","standalone"),"")</f>
        <v/>
      </c>
    </row>
    <row r="1219" spans="1:14">
      <c r="A1219" s="6">
        <v>2023</v>
      </c>
      <c r="B1219" s="6">
        <v>5</v>
      </c>
      <c r="C1219" s="6" t="s">
        <v>64</v>
      </c>
      <c r="D1219" s="6" t="s">
        <v>820</v>
      </c>
      <c r="E1219" s="6" t="s">
        <v>710</v>
      </c>
      <c r="F1219" s="6" t="str">
        <f>IF($M1219="PADD I","PADD 1",IF($M1219="PADD II","PADD 2",IF($M1219="PADD III","PADD 3",IF($M1219="PADD IV","PADD 4",IF($M1219="PADD V","PADD 5","")))))</f>
        <v>PADD 3</v>
      </c>
      <c r="G1219" s="6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6" t="s">
        <v>44</v>
      </c>
      <c r="I1219" s="6" t="s">
        <v>831</v>
      </c>
      <c r="J1219" s="6" t="s">
        <v>398</v>
      </c>
      <c r="K1219" s="10">
        <v>22</v>
      </c>
      <c r="L1219" s="10">
        <v>22</v>
      </c>
      <c r="M1219" s="6" t="s">
        <v>421</v>
      </c>
      <c r="N1219" s="6">
        <f>IF(OR($G1219="FCC",$G1219="Hydrocracker",$G1219="Reformer"),IF(COUNTIFS($D:$D,$D1219,$A:$A,$A1219,$B:$B,$B1219,$G:$G,"CDU",$J:$J,"PLANNED")&gt;0,"tied","standalone"),"")</f>
        <v/>
      </c>
    </row>
    <row r="1220" spans="1:14">
      <c r="A1220" s="6">
        <v>2023</v>
      </c>
      <c r="B1220" s="6">
        <v>5</v>
      </c>
      <c r="C1220" s="6" t="s">
        <v>64</v>
      </c>
      <c r="D1220" s="6" t="s">
        <v>798</v>
      </c>
      <c r="E1220" s="6" t="s">
        <v>438</v>
      </c>
      <c r="F1220" s="6" t="str">
        <f>IF($M1220="PADD I","PADD 1",IF($M1220="PADD II","PADD 2",IF($M1220="PADD III","PADD 3",IF($M1220="PADD IV","PADD 4",IF($M1220="PADD V","PADD 5","")))))</f>
        <v>PADD 3</v>
      </c>
      <c r="G1220" s="6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6" t="s">
        <v>39</v>
      </c>
      <c r="I1220" s="6" t="s">
        <v>799</v>
      </c>
      <c r="J1220" s="6" t="s">
        <v>398</v>
      </c>
      <c r="K1220" s="10">
        <v>21.84</v>
      </c>
      <c r="L1220" s="10">
        <v>56</v>
      </c>
      <c r="M1220" s="6" t="s">
        <v>421</v>
      </c>
      <c r="N1220" s="6">
        <f>IF(OR($G1220="FCC",$G1220="Hydrocracker",$G1220="Reformer"),IF(COUNTIFS($D:$D,$D1220,$A:$A,$A1220,$B:$B,$B1220,$G:$G,"CDU",$J:$J,"PLANNED")&gt;0,"tied","standalone"),"")</f>
        <v/>
      </c>
    </row>
    <row r="1221" spans="1:14">
      <c r="A1221" s="6">
        <v>2023</v>
      </c>
      <c r="B1221" s="6">
        <v>5</v>
      </c>
      <c r="C1221" s="6" t="s">
        <v>64</v>
      </c>
      <c r="D1221" s="6" t="s">
        <v>518</v>
      </c>
      <c r="E1221" s="6" t="s">
        <v>419</v>
      </c>
      <c r="F1221" s="6" t="str">
        <f>IF($M1221="PADD I","PADD 1",IF($M1221="PADD II","PADD 2",IF($M1221="PADD III","PADD 3",IF($M1221="PADD IV","PADD 4",IF($M1221="PADD V","PADD 5","")))))</f>
        <v>PADD 3</v>
      </c>
      <c r="G1221" s="6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6" t="s">
        <v>44</v>
      </c>
      <c r="I1221" s="6" t="s">
        <v>899</v>
      </c>
      <c r="J1221" s="6" t="s">
        <v>394</v>
      </c>
      <c r="K1221" s="10">
        <v>21.17</v>
      </c>
      <c r="L1221" s="10">
        <v>73</v>
      </c>
      <c r="M1221" s="6" t="s">
        <v>421</v>
      </c>
      <c r="N1221" s="6">
        <f>IF(OR($G1221="FCC",$G1221="Hydrocracker",$G1221="Reformer"),IF(COUNTIFS($D:$D,$D1221,$A:$A,$A1221,$B:$B,$B1221,$G:$G,"CDU",$J:$J,"PLANNED")&gt;0,"tied","standalone"),"")</f>
        <v/>
      </c>
    </row>
    <row r="1222" spans="1:14">
      <c r="A1222" s="6">
        <v>2023</v>
      </c>
      <c r="B1222" s="6">
        <v>5</v>
      </c>
      <c r="C1222" s="6" t="s">
        <v>64</v>
      </c>
      <c r="D1222" s="6" t="s">
        <v>470</v>
      </c>
      <c r="E1222" s="6" t="s">
        <v>423</v>
      </c>
      <c r="F1222" s="6" t="str">
        <f>IF($M1222="PADD I","PADD 1",IF($M1222="PADD II","PADD 2",IF($M1222="PADD III","PADD 3",IF($M1222="PADD IV","PADD 4",IF($M1222="PADD V","PADD 5","")))))</f>
        <v>PADD 2</v>
      </c>
      <c r="G1222" s="6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6" t="s">
        <v>428</v>
      </c>
      <c r="I1222" s="6" t="s">
        <v>481</v>
      </c>
      <c r="J1222" s="6" t="s">
        <v>394</v>
      </c>
      <c r="K1222" s="10">
        <v>20.5</v>
      </c>
      <c r="L1222" s="10">
        <v>20.5</v>
      </c>
      <c r="M1222" s="6" t="s">
        <v>425</v>
      </c>
      <c r="N1222" s="6">
        <f>IF(OR($G1222="FCC",$G1222="Hydrocracker",$G1222="Reformer"),IF(COUNTIFS($D:$D,$D1222,$A:$A,$A1222,$B:$B,$B1222,$G:$G,"CDU",$J:$J,"PLANNED")&gt;0,"tied","standalone"),"")</f>
        <v/>
      </c>
    </row>
    <row r="1223" spans="1:14">
      <c r="A1223" s="6">
        <v>2023</v>
      </c>
      <c r="B1223" s="6">
        <v>5</v>
      </c>
      <c r="C1223" s="6" t="s">
        <v>64</v>
      </c>
      <c r="D1223" s="6" t="s">
        <v>792</v>
      </c>
      <c r="E1223" s="6" t="s">
        <v>438</v>
      </c>
      <c r="F1223" s="6" t="str">
        <f>IF($M1223="PADD I","PADD 1",IF($M1223="PADD II","PADD 2",IF($M1223="PADD III","PADD 3",IF($M1223="PADD IV","PADD 4",IF($M1223="PADD V","PADD 5","")))))</f>
        <v>PADD 5</v>
      </c>
      <c r="G1223" s="6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6" t="s">
        <v>426</v>
      </c>
      <c r="I1223" s="6" t="s">
        <v>106</v>
      </c>
      <c r="J1223" s="6" t="s">
        <v>398</v>
      </c>
      <c r="K1223" s="10">
        <v>20.16</v>
      </c>
      <c r="L1223" s="10">
        <v>42</v>
      </c>
      <c r="M1223" s="6" t="s">
        <v>436</v>
      </c>
      <c r="N1223" s="6" t="str">
        <f>IF(OR($G1223="FCC",$G1223="Hydrocracker",$G1223="Reformer"),IF(COUNTIFS($D:$D,$D1223,$A:$A,$A1223,$B:$B,$B1223,$G:$G,"CDU",$J:$J,"PLANNED")&gt;0,"tied","standalone"),"")</f>
        <v>tied</v>
      </c>
    </row>
    <row r="1224" spans="1:14">
      <c r="A1224" s="6">
        <v>2023</v>
      </c>
      <c r="B1224" s="6">
        <v>5</v>
      </c>
      <c r="C1224" s="6" t="s">
        <v>64</v>
      </c>
      <c r="D1224" s="6" t="s">
        <v>373</v>
      </c>
      <c r="E1224" s="6" t="s">
        <v>438</v>
      </c>
      <c r="F1224" s="6" t="str">
        <f>IF($M1224="PADD I","PADD 1",IF($M1224="PADD II","PADD 2",IF($M1224="PADD III","PADD 3",IF($M1224="PADD IV","PADD 4",IF($M1224="PADD V","PADD 5","")))))</f>
        <v>PADD 3</v>
      </c>
      <c r="G1224" s="6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6" t="s">
        <v>44</v>
      </c>
      <c r="I1224" s="6" t="s">
        <v>732</v>
      </c>
      <c r="J1224" s="6" t="s">
        <v>394</v>
      </c>
      <c r="K1224" s="10">
        <v>20.14</v>
      </c>
      <c r="L1224" s="10">
        <v>106</v>
      </c>
      <c r="M1224" s="6" t="s">
        <v>421</v>
      </c>
      <c r="N1224" s="6">
        <f>IF(OR($G1224="FCC",$G1224="Hydrocracker",$G1224="Reformer"),IF(COUNTIFS($D:$D,$D1224,$A:$A,$A1224,$B:$B,$B1224,$G:$G,"CDU",$J:$J,"PLANNED")&gt;0,"tied","standalone"),"")</f>
        <v/>
      </c>
    </row>
    <row r="1225" spans="1:14">
      <c r="A1225" s="6">
        <v>2023</v>
      </c>
      <c r="B1225" s="6">
        <v>5</v>
      </c>
      <c r="C1225" s="6" t="s">
        <v>64</v>
      </c>
      <c r="D1225" s="6" t="s">
        <v>487</v>
      </c>
      <c r="E1225" s="6" t="s">
        <v>488</v>
      </c>
      <c r="F1225" s="6" t="str">
        <f>IF($M1225="PADD I","PADD 1",IF($M1225="PADD II","PADD 2",IF($M1225="PADD III","PADD 3",IF($M1225="PADD IV","PADD 4",IF($M1225="PADD V","PADD 5","")))))</f>
        <v>PADD 4</v>
      </c>
      <c r="G1225" s="6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6" t="s">
        <v>428</v>
      </c>
      <c r="I1225" s="6" t="s">
        <v>544</v>
      </c>
      <c r="J1225" s="6" t="s">
        <v>398</v>
      </c>
      <c r="K1225" s="10">
        <v>20</v>
      </c>
      <c r="L1225" s="10">
        <v>20</v>
      </c>
      <c r="M1225" s="6" t="s">
        <v>480</v>
      </c>
      <c r="N1225" s="6">
        <f>IF(OR($G1225="FCC",$G1225="Hydrocracker",$G1225="Reformer"),IF(COUNTIFS($D:$D,$D1225,$A:$A,$A1225,$B:$B,$B1225,$G:$G,"CDU",$J:$J,"PLANNED")&gt;0,"tied","standalone"),"")</f>
        <v/>
      </c>
    </row>
    <row r="1226" spans="1:14">
      <c r="A1226" s="6">
        <v>2023</v>
      </c>
      <c r="B1226" s="6">
        <v>5</v>
      </c>
      <c r="C1226" s="6" t="s">
        <v>64</v>
      </c>
      <c r="D1226" s="6" t="s">
        <v>546</v>
      </c>
      <c r="E1226" s="6" t="s">
        <v>438</v>
      </c>
      <c r="F1226" s="6" t="str">
        <f>IF($M1226="PADD I","PADD 1",IF($M1226="PADD II","PADD 2",IF($M1226="PADD III","PADD 3",IF($M1226="PADD IV","PADD 4",IF($M1226="PADD V","PADD 5","")))))</f>
        <v>PADD 2</v>
      </c>
      <c r="G1226" s="6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6" t="s">
        <v>39</v>
      </c>
      <c r="I1226" s="6" t="s">
        <v>82</v>
      </c>
      <c r="J1226" s="6" t="s">
        <v>398</v>
      </c>
      <c r="K1226" s="10">
        <v>20</v>
      </c>
      <c r="L1226" s="10">
        <v>20</v>
      </c>
      <c r="M1226" s="6" t="s">
        <v>425</v>
      </c>
      <c r="N1226" s="6">
        <f>IF(OR($G1226="FCC",$G1226="Hydrocracker",$G1226="Reformer"),IF(COUNTIFS($D:$D,$D1226,$A:$A,$A1226,$B:$B,$B1226,$G:$G,"CDU",$J:$J,"PLANNED")&gt;0,"tied","standalone"),"")</f>
        <v/>
      </c>
    </row>
    <row r="1227" spans="1:14">
      <c r="A1227" s="6">
        <v>2023</v>
      </c>
      <c r="B1227" s="6">
        <v>5</v>
      </c>
      <c r="C1227" s="6" t="s">
        <v>64</v>
      </c>
      <c r="D1227" s="6" t="s">
        <v>430</v>
      </c>
      <c r="E1227" s="6" t="s">
        <v>431</v>
      </c>
      <c r="F1227" s="6" t="str">
        <f>IF($M1227="PADD I","PADD 1",IF($M1227="PADD II","PADD 2",IF($M1227="PADD III","PADD 3",IF($M1227="PADD IV","PADD 4",IF($M1227="PADD V","PADD 5","")))))</f>
        <v>PADD 3</v>
      </c>
      <c r="G1227" s="6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6" t="s">
        <v>428</v>
      </c>
      <c r="I1227" s="6" t="s">
        <v>900</v>
      </c>
      <c r="J1227" s="6" t="s">
        <v>394</v>
      </c>
      <c r="K1227" s="10">
        <v>19.8</v>
      </c>
      <c r="L1227" s="10">
        <v>44</v>
      </c>
      <c r="M1227" s="6" t="s">
        <v>421</v>
      </c>
      <c r="N1227" s="6">
        <f>IF(OR($G1227="FCC",$G1227="Hydrocracker",$G1227="Reformer"),IF(COUNTIFS($D:$D,$D1227,$A:$A,$A1227,$B:$B,$B1227,$G:$G,"CDU",$J:$J,"PLANNED")&gt;0,"tied","standalone"),"")</f>
        <v/>
      </c>
    </row>
    <row r="1228" spans="1:14">
      <c r="A1228" s="6">
        <v>2023</v>
      </c>
      <c r="B1228" s="6">
        <v>5</v>
      </c>
      <c r="C1228" s="6" t="s">
        <v>64</v>
      </c>
      <c r="D1228" s="6" t="s">
        <v>54</v>
      </c>
      <c r="E1228" s="6" t="s">
        <v>593</v>
      </c>
      <c r="F1228" s="6" t="str">
        <f>IF($M1228="PADD I","PADD 1",IF($M1228="PADD II","PADD 2",IF($M1228="PADD III","PADD 3",IF($M1228="PADD IV","PADD 4",IF($M1228="PADD V","PADD 5","")))))</f>
        <v>PADD 5</v>
      </c>
      <c r="G1228" s="6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6" t="s">
        <v>471</v>
      </c>
      <c r="I1228" s="6" t="s">
        <v>609</v>
      </c>
      <c r="J1228" s="6" t="s">
        <v>398</v>
      </c>
      <c r="K1228" s="10">
        <v>19.5</v>
      </c>
      <c r="L1228" s="10">
        <v>50</v>
      </c>
      <c r="M1228" s="6" t="s">
        <v>436</v>
      </c>
      <c r="N1228" s="6" t="str">
        <f>IF(OR($G1228="FCC",$G1228="Hydrocracker",$G1228="Reformer"),IF(COUNTIFS($D:$D,$D1228,$A:$A,$A1228,$B:$B,$B1228,$G:$G,"CDU",$J:$J,"PLANNED")&gt;0,"tied","standalone"),"")</f>
        <v>tied</v>
      </c>
    </row>
    <row r="1229" spans="1:14">
      <c r="A1229" s="6">
        <v>2023</v>
      </c>
      <c r="B1229" s="6">
        <v>5</v>
      </c>
      <c r="C1229" s="6" t="s">
        <v>64</v>
      </c>
      <c r="D1229" s="6" t="s">
        <v>901</v>
      </c>
      <c r="E1229" s="6" t="s">
        <v>902</v>
      </c>
      <c r="F1229" s="6" t="str">
        <f>IF($M1229="PADD I","PADD 1",IF($M1229="PADD II","PADD 2",IF($M1229="PADD III","PADD 3",IF($M1229="PADD IV","PADD 4",IF($M1229="PADD V","PADD 5","")))))</f>
        <v>PADD 3</v>
      </c>
      <c r="G1229" s="6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6" t="s">
        <v>39</v>
      </c>
      <c r="I1229" s="6" t="s">
        <v>903</v>
      </c>
      <c r="J1229" s="6" t="s">
        <v>398</v>
      </c>
      <c r="K1229" s="10">
        <v>18.85</v>
      </c>
      <c r="L1229" s="10">
        <v>65</v>
      </c>
      <c r="M1229" s="6" t="s">
        <v>421</v>
      </c>
      <c r="N1229" s="6">
        <f>IF(OR($G1229="FCC",$G1229="Hydrocracker",$G1229="Reformer"),IF(COUNTIFS($D:$D,$D1229,$A:$A,$A1229,$B:$B,$B1229,$G:$G,"CDU",$J:$J,"PLANNED")&gt;0,"tied","standalone"),"")</f>
        <v/>
      </c>
    </row>
    <row r="1230" spans="1:14">
      <c r="A1230" s="6">
        <v>2023</v>
      </c>
      <c r="B1230" s="6">
        <v>5</v>
      </c>
      <c r="C1230" s="6" t="s">
        <v>64</v>
      </c>
      <c r="D1230" s="6" t="s">
        <v>901</v>
      </c>
      <c r="E1230" s="6" t="s">
        <v>902</v>
      </c>
      <c r="F1230" s="6" t="str">
        <f>IF($M1230="PADD I","PADD 1",IF($M1230="PADD II","PADD 2",IF($M1230="PADD III","PADD 3",IF($M1230="PADD IV","PADD 4",IF($M1230="PADD V","PADD 5","")))))</f>
        <v>PADD 3</v>
      </c>
      <c r="G1230" s="6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6" t="s">
        <v>39</v>
      </c>
      <c r="I1230" s="6" t="s">
        <v>904</v>
      </c>
      <c r="J1230" s="6" t="s">
        <v>398</v>
      </c>
      <c r="K1230" s="10">
        <v>18.85</v>
      </c>
      <c r="L1230" s="10">
        <v>65</v>
      </c>
      <c r="M1230" s="6" t="s">
        <v>421</v>
      </c>
      <c r="N1230" s="6">
        <f>IF(OR($G1230="FCC",$G1230="Hydrocracker",$G1230="Reformer"),IF(COUNTIFS($D:$D,$D1230,$A:$A,$A1230,$B:$B,$B1230,$G:$G,"CDU",$J:$J,"PLANNED")&gt;0,"tied","standalone"),"")</f>
        <v/>
      </c>
    </row>
    <row r="1231" spans="1:14">
      <c r="A1231" s="6">
        <v>2023</v>
      </c>
      <c r="B1231" s="6">
        <v>5</v>
      </c>
      <c r="C1231" s="6" t="s">
        <v>64</v>
      </c>
      <c r="D1231" s="6" t="s">
        <v>820</v>
      </c>
      <c r="E1231" s="6" t="s">
        <v>710</v>
      </c>
      <c r="F1231" s="6" t="str">
        <f>IF($M1231="PADD I","PADD 1",IF($M1231="PADD II","PADD 2",IF($M1231="PADD III","PADD 3",IF($M1231="PADD IV","PADD 4",IF($M1231="PADD V","PADD 5","")))))</f>
        <v>PADD 3</v>
      </c>
      <c r="G1231" s="6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6" t="s">
        <v>494</v>
      </c>
      <c r="I1231" s="6" t="s">
        <v>14</v>
      </c>
      <c r="J1231" s="6" t="s">
        <v>398</v>
      </c>
      <c r="K1231" s="10">
        <v>18.5</v>
      </c>
      <c r="L1231" s="10">
        <v>18.5</v>
      </c>
      <c r="M1231" s="6" t="s">
        <v>421</v>
      </c>
      <c r="N1231" s="6" t="str">
        <f>IF(OR($G1231="FCC",$G1231="Hydrocracker",$G1231="Reformer"),IF(COUNTIFS($D:$D,$D1231,$A:$A,$A1231,$B:$B,$B1231,$G:$G,"CDU",$J:$J,"PLANNED")&gt;0,"tied","standalone"),"")</f>
        <v>tied</v>
      </c>
    </row>
    <row r="1232" spans="1:14">
      <c r="A1232" s="6">
        <v>2023</v>
      </c>
      <c r="B1232" s="6">
        <v>5</v>
      </c>
      <c r="C1232" s="6" t="s">
        <v>64</v>
      </c>
      <c r="D1232" s="6" t="s">
        <v>422</v>
      </c>
      <c r="E1232" s="6" t="s">
        <v>423</v>
      </c>
      <c r="F1232" s="6" t="str">
        <f>IF($M1232="PADD I","PADD 1",IF($M1232="PADD II","PADD 2",IF($M1232="PADD III","PADD 3",IF($M1232="PADD IV","PADD 4",IF($M1232="PADD V","PADD 5","")))))</f>
        <v>PADD 2</v>
      </c>
      <c r="G1232" s="6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6" t="s">
        <v>510</v>
      </c>
      <c r="I1232" s="6" t="s">
        <v>555</v>
      </c>
      <c r="J1232" s="6" t="s">
        <v>394</v>
      </c>
      <c r="K1232" s="10">
        <v>18</v>
      </c>
      <c r="L1232" s="10">
        <v>18</v>
      </c>
      <c r="M1232" s="6" t="s">
        <v>425</v>
      </c>
      <c r="N1232" s="6">
        <f>IF(OR($G1232="FCC",$G1232="Hydrocracker",$G1232="Reformer"),IF(COUNTIFS($D:$D,$D1232,$A:$A,$A1232,$B:$B,$B1232,$G:$G,"CDU",$J:$J,"PLANNED")&gt;0,"tied","standalone"),"")</f>
        <v/>
      </c>
    </row>
    <row r="1233" spans="1:14">
      <c r="A1233" s="6">
        <v>2023</v>
      </c>
      <c r="B1233" s="6">
        <v>5</v>
      </c>
      <c r="C1233" s="6" t="s">
        <v>64</v>
      </c>
      <c r="D1233" s="6" t="s">
        <v>496</v>
      </c>
      <c r="E1233" s="6" t="s">
        <v>441</v>
      </c>
      <c r="F1233" s="6" t="str">
        <f>IF($M1233="PADD I","PADD 1",IF($M1233="PADD II","PADD 2",IF($M1233="PADD III","PADD 3",IF($M1233="PADD IV","PADD 4",IF($M1233="PADD V","PADD 5","")))))</f>
        <v>PADD 3</v>
      </c>
      <c r="G1233" s="6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6" t="s">
        <v>471</v>
      </c>
      <c r="I1233" s="6" t="s">
        <v>533</v>
      </c>
      <c r="J1233" s="6" t="s">
        <v>394</v>
      </c>
      <c r="K1233" s="10">
        <v>17.71</v>
      </c>
      <c r="L1233" s="10">
        <v>23</v>
      </c>
      <c r="M1233" s="6" t="s">
        <v>421</v>
      </c>
      <c r="N1233" s="6" t="str">
        <f>IF(OR($G1233="FCC",$G1233="Hydrocracker",$G1233="Reformer"),IF(COUNTIFS($D:$D,$D1233,$A:$A,$A1233,$B:$B,$B1233,$G:$G,"CDU",$J:$J,"PLANNED")&gt;0,"tied","standalone"),"")</f>
        <v>standalone</v>
      </c>
    </row>
    <row r="1234" spans="1:14">
      <c r="A1234" s="6">
        <v>2023</v>
      </c>
      <c r="B1234" s="6">
        <v>5</v>
      </c>
      <c r="C1234" s="6" t="s">
        <v>64</v>
      </c>
      <c r="D1234" s="6" t="s">
        <v>822</v>
      </c>
      <c r="E1234" s="6" t="s">
        <v>455</v>
      </c>
      <c r="F1234" s="6" t="str">
        <f>IF($M1234="PADD I","PADD 1",IF($M1234="PADD II","PADD 2",IF($M1234="PADD III","PADD 3",IF($M1234="PADD IV","PADD 4",IF($M1234="PADD V","PADD 5","")))))</f>
        <v>PADD 3</v>
      </c>
      <c r="G1234" s="6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6" t="s">
        <v>44</v>
      </c>
      <c r="I1234" s="6" t="s">
        <v>905</v>
      </c>
      <c r="J1234" s="6" t="s">
        <v>394</v>
      </c>
      <c r="K1234" s="10">
        <v>17.48</v>
      </c>
      <c r="L1234" s="10">
        <v>76</v>
      </c>
      <c r="M1234" s="6" t="s">
        <v>421</v>
      </c>
      <c r="N1234" s="6">
        <f>IF(OR($G1234="FCC",$G1234="Hydrocracker",$G1234="Reformer"),IF(COUNTIFS($D:$D,$D1234,$A:$A,$A1234,$B:$B,$B1234,$G:$G,"CDU",$J:$J,"PLANNED")&gt;0,"tied","standalone"),"")</f>
        <v/>
      </c>
    </row>
    <row r="1235" spans="1:14">
      <c r="A1235" s="6">
        <v>2023</v>
      </c>
      <c r="B1235" s="6">
        <v>5</v>
      </c>
      <c r="C1235" s="6" t="s">
        <v>64</v>
      </c>
      <c r="D1235" s="6" t="s">
        <v>55</v>
      </c>
      <c r="E1235" s="6" t="s">
        <v>906</v>
      </c>
      <c r="F1235" s="6" t="str">
        <f>IF($M1235="PADD I","PADD 1",IF($M1235="PADD II","PADD 2",IF($M1235="PADD III","PADD 3",IF($M1235="PADD IV","PADD 4",IF($M1235="PADD V","PADD 5","")))))</f>
        <v>PADD 5</v>
      </c>
      <c r="G1235" s="6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6" t="s">
        <v>39</v>
      </c>
      <c r="I1235" s="6" t="s">
        <v>907</v>
      </c>
      <c r="J1235" s="6" t="s">
        <v>398</v>
      </c>
      <c r="K1235" s="10">
        <v>17.4</v>
      </c>
      <c r="L1235" s="10">
        <v>60</v>
      </c>
      <c r="M1235" s="6" t="s">
        <v>436</v>
      </c>
      <c r="N1235" s="6">
        <f>IF(OR($G1235="FCC",$G1235="Hydrocracker",$G1235="Reformer"),IF(COUNTIFS($D:$D,$D1235,$A:$A,$A1235,$B:$B,$B1235,$G:$G,"CDU",$J:$J,"PLANNED")&gt;0,"tied","standalone"),"")</f>
        <v/>
      </c>
    </row>
    <row r="1236" spans="1:14">
      <c r="A1236" s="6">
        <v>2023</v>
      </c>
      <c r="B1236" s="6">
        <v>5</v>
      </c>
      <c r="C1236" s="6" t="s">
        <v>64</v>
      </c>
      <c r="D1236" s="6" t="s">
        <v>798</v>
      </c>
      <c r="E1236" s="6" t="s">
        <v>438</v>
      </c>
      <c r="F1236" s="6" t="str">
        <f>IF($M1236="PADD I","PADD 1",IF($M1236="PADD II","PADD 2",IF($M1236="PADD III","PADD 3",IF($M1236="PADD IV","PADD 4",IF($M1236="PADD V","PADD 5","")))))</f>
        <v>PADD 3</v>
      </c>
      <c r="G1236" s="6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6" t="s">
        <v>44</v>
      </c>
      <c r="I1236" s="6" t="s">
        <v>800</v>
      </c>
      <c r="J1236" s="6" t="s">
        <v>398</v>
      </c>
      <c r="K1236" s="10">
        <v>17.16</v>
      </c>
      <c r="L1236" s="10">
        <v>44</v>
      </c>
      <c r="M1236" s="6" t="s">
        <v>421</v>
      </c>
      <c r="N1236" s="6">
        <f>IF(OR($G1236="FCC",$G1236="Hydrocracker",$G1236="Reformer"),IF(COUNTIFS($D:$D,$D1236,$A:$A,$A1236,$B:$B,$B1236,$G:$G,"CDU",$J:$J,"PLANNED")&gt;0,"tied","standalone"),"")</f>
        <v/>
      </c>
    </row>
    <row r="1237" spans="1:14">
      <c r="A1237" s="6">
        <v>2023</v>
      </c>
      <c r="B1237" s="6">
        <v>5</v>
      </c>
      <c r="C1237" s="6" t="s">
        <v>64</v>
      </c>
      <c r="D1237" s="6" t="s">
        <v>518</v>
      </c>
      <c r="E1237" s="6" t="s">
        <v>419</v>
      </c>
      <c r="F1237" s="6" t="str">
        <f>IF($M1237="PADD I","PADD 1",IF($M1237="PADD II","PADD 2",IF($M1237="PADD III","PADD 3",IF($M1237="PADD IV","PADD 4",IF($M1237="PADD V","PADD 5","")))))</f>
        <v>PADD 3</v>
      </c>
      <c r="G1237" s="6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6" t="s">
        <v>44</v>
      </c>
      <c r="I1237" s="6" t="s">
        <v>899</v>
      </c>
      <c r="J1237" s="6" t="s">
        <v>394</v>
      </c>
      <c r="K1237" s="10">
        <v>16.425</v>
      </c>
      <c r="L1237" s="10">
        <v>36.5</v>
      </c>
      <c r="M1237" s="6" t="s">
        <v>421</v>
      </c>
      <c r="N1237" s="6">
        <f>IF(OR($G1237="FCC",$G1237="Hydrocracker",$G1237="Reformer"),IF(COUNTIFS($D:$D,$D1237,$A:$A,$A1237,$B:$B,$B1237,$G:$G,"CDU",$J:$J,"PLANNED")&gt;0,"tied","standalone"),"")</f>
        <v/>
      </c>
    </row>
    <row r="1238" spans="1:14">
      <c r="A1238" s="6">
        <v>2023</v>
      </c>
      <c r="B1238" s="6">
        <v>5</v>
      </c>
      <c r="C1238" s="6" t="s">
        <v>64</v>
      </c>
      <c r="D1238" s="6" t="s">
        <v>820</v>
      </c>
      <c r="E1238" s="6" t="s">
        <v>710</v>
      </c>
      <c r="F1238" s="6" t="str">
        <f>IF($M1238="PADD I","PADD 1",IF($M1238="PADD II","PADD 2",IF($M1238="PADD III","PADD 3",IF($M1238="PADD IV","PADD 4",IF($M1238="PADD V","PADD 5","")))))</f>
        <v>PADD 3</v>
      </c>
      <c r="G1238" s="6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6" t="s">
        <v>471</v>
      </c>
      <c r="I1238" s="6" t="s">
        <v>833</v>
      </c>
      <c r="J1238" s="6" t="s">
        <v>398</v>
      </c>
      <c r="K1238" s="10">
        <v>16</v>
      </c>
      <c r="L1238" s="10">
        <v>16</v>
      </c>
      <c r="M1238" s="6" t="s">
        <v>421</v>
      </c>
      <c r="N1238" s="6" t="str">
        <f>IF(OR($G1238="FCC",$G1238="Hydrocracker",$G1238="Reformer"),IF(COUNTIFS($D:$D,$D1238,$A:$A,$A1238,$B:$B,$B1238,$G:$G,"CDU",$J:$J,"PLANNED")&gt;0,"tied","standalone"),"")</f>
        <v>tied</v>
      </c>
    </row>
    <row r="1239" spans="1:14">
      <c r="A1239" s="6">
        <v>2023</v>
      </c>
      <c r="B1239" s="6">
        <v>5</v>
      </c>
      <c r="C1239" s="6" t="s">
        <v>64</v>
      </c>
      <c r="D1239" s="6" t="s">
        <v>798</v>
      </c>
      <c r="E1239" s="6" t="s">
        <v>438</v>
      </c>
      <c r="F1239" s="6" t="str">
        <f>IF($M1239="PADD I","PADD 1",IF($M1239="PADD II","PADD 2",IF($M1239="PADD III","PADD 3",IF($M1239="PADD IV","PADD 4",IF($M1239="PADD V","PADD 5","")))))</f>
        <v>PADD 3</v>
      </c>
      <c r="G1239" s="6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6" t="s">
        <v>428</v>
      </c>
      <c r="I1239" s="6" t="s">
        <v>481</v>
      </c>
      <c r="J1239" s="6" t="s">
        <v>398</v>
      </c>
      <c r="K1239" s="10">
        <v>15.6</v>
      </c>
      <c r="L1239" s="10">
        <v>40</v>
      </c>
      <c r="M1239" s="6" t="s">
        <v>421</v>
      </c>
      <c r="N1239" s="6">
        <f>IF(OR($G1239="FCC",$G1239="Hydrocracker",$G1239="Reformer"),IF(COUNTIFS($D:$D,$D1239,$A:$A,$A1239,$B:$B,$B1239,$G:$G,"CDU",$J:$J,"PLANNED")&gt;0,"tied","standalone"),"")</f>
        <v/>
      </c>
    </row>
    <row r="1240" spans="1:14">
      <c r="A1240" s="6">
        <v>2023</v>
      </c>
      <c r="B1240" s="6">
        <v>5</v>
      </c>
      <c r="C1240" s="6" t="s">
        <v>64</v>
      </c>
      <c r="D1240" s="6" t="s">
        <v>789</v>
      </c>
      <c r="E1240" s="6" t="s">
        <v>455</v>
      </c>
      <c r="F1240" s="6" t="str">
        <f>IF($M1240="PADD I","PADD 1",IF($M1240="PADD II","PADD 2",IF($M1240="PADD III","PADD 3",IF($M1240="PADD IV","PADD 4",IF($M1240="PADD V","PADD 5","")))))</f>
        <v>PADD 2</v>
      </c>
      <c r="G1240" s="6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6" t="s">
        <v>426</v>
      </c>
      <c r="I1240" s="6" t="s">
        <v>106</v>
      </c>
      <c r="J1240" s="6" t="s">
        <v>394</v>
      </c>
      <c r="K1240" s="10">
        <v>15.6</v>
      </c>
      <c r="L1240" s="10">
        <v>30</v>
      </c>
      <c r="M1240" s="6" t="s">
        <v>425</v>
      </c>
      <c r="N1240" s="6" t="str">
        <f>IF(OR($G1240="FCC",$G1240="Hydrocracker",$G1240="Reformer"),IF(COUNTIFS($D:$D,$D1240,$A:$A,$A1240,$B:$B,$B1240,$G:$G,"CDU",$J:$J,"PLANNED")&gt;0,"tied","standalone"),"")</f>
        <v>tied</v>
      </c>
    </row>
    <row r="1241" spans="1:14">
      <c r="A1241" s="6">
        <v>2023</v>
      </c>
      <c r="B1241" s="6">
        <v>5</v>
      </c>
      <c r="C1241" s="6" t="s">
        <v>64</v>
      </c>
      <c r="D1241" s="6" t="s">
        <v>518</v>
      </c>
      <c r="E1241" s="6" t="s">
        <v>419</v>
      </c>
      <c r="F1241" s="6" t="str">
        <f>IF($M1241="PADD I","PADD 1",IF($M1241="PADD II","PADD 2",IF($M1241="PADD III","PADD 3",IF($M1241="PADD IV","PADD 4",IF($M1241="PADD V","PADD 5","")))))</f>
        <v>PADD 3</v>
      </c>
      <c r="G1241" s="6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6" t="s">
        <v>39</v>
      </c>
      <c r="I1241" s="6" t="s">
        <v>559</v>
      </c>
      <c r="J1241" s="6" t="s">
        <v>394</v>
      </c>
      <c r="K1241" s="10">
        <v>15.3</v>
      </c>
      <c r="L1241" s="10">
        <v>34</v>
      </c>
      <c r="M1241" s="6" t="s">
        <v>421</v>
      </c>
      <c r="N1241" s="6">
        <f>IF(OR($G1241="FCC",$G1241="Hydrocracker",$G1241="Reformer"),IF(COUNTIFS($D:$D,$D1241,$A:$A,$A1241,$B:$B,$B1241,$G:$G,"CDU",$J:$J,"PLANNED")&gt;0,"tied","standalone"),"")</f>
        <v/>
      </c>
    </row>
    <row r="1242" spans="1:14">
      <c r="A1242" s="6">
        <v>2023</v>
      </c>
      <c r="B1242" s="6">
        <v>5</v>
      </c>
      <c r="C1242" s="6" t="s">
        <v>64</v>
      </c>
      <c r="D1242" s="6" t="s">
        <v>822</v>
      </c>
      <c r="E1242" s="6" t="s">
        <v>455</v>
      </c>
      <c r="F1242" s="6" t="str">
        <f>IF($M1242="PADD I","PADD 1",IF($M1242="PADD II","PADD 2",IF($M1242="PADD III","PADD 3",IF($M1242="PADD IV","PADD 4",IF($M1242="PADD V","PADD 5","")))))</f>
        <v>PADD 3</v>
      </c>
      <c r="G1242" s="6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6" t="s">
        <v>44</v>
      </c>
      <c r="I1242" s="6" t="s">
        <v>827</v>
      </c>
      <c r="J1242" s="6" t="s">
        <v>394</v>
      </c>
      <c r="K1242" s="10">
        <v>15.08</v>
      </c>
      <c r="L1242" s="10">
        <v>58</v>
      </c>
      <c r="M1242" s="6" t="s">
        <v>421</v>
      </c>
      <c r="N1242" s="6">
        <f>IF(OR($G1242="FCC",$G1242="Hydrocracker",$G1242="Reformer"),IF(COUNTIFS($D:$D,$D1242,$A:$A,$A1242,$B:$B,$B1242,$G:$G,"CDU",$J:$J,"PLANNED")&gt;0,"tied","standalone"),"")</f>
        <v/>
      </c>
    </row>
    <row r="1243" spans="1:14">
      <c r="A1243" s="6">
        <v>2023</v>
      </c>
      <c r="B1243" s="6">
        <v>5</v>
      </c>
      <c r="C1243" s="6" t="s">
        <v>64</v>
      </c>
      <c r="D1243" s="6" t="s">
        <v>49</v>
      </c>
      <c r="E1243" s="6" t="s">
        <v>438</v>
      </c>
      <c r="F1243" s="6" t="str">
        <f>IF($M1243="PADD I","PADD 1",IF($M1243="PADD II","PADD 2",IF($M1243="PADD III","PADD 3",IF($M1243="PADD IV","PADD 4",IF($M1243="PADD V","PADD 5","")))))</f>
        <v>PADD 2</v>
      </c>
      <c r="G1243" s="6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6" t="s">
        <v>471</v>
      </c>
      <c r="I1243" s="6" t="s">
        <v>771</v>
      </c>
      <c r="J1243" s="6" t="s">
        <v>398</v>
      </c>
      <c r="K1243" s="10">
        <v>15.015</v>
      </c>
      <c r="L1243" s="10">
        <v>38.5</v>
      </c>
      <c r="M1243" s="6" t="s">
        <v>425</v>
      </c>
      <c r="N1243" s="6" t="str">
        <f>IF(OR($G1243="FCC",$G1243="Hydrocracker",$G1243="Reformer"),IF(COUNTIFS($D:$D,$D1243,$A:$A,$A1243,$B:$B,$B1243,$G:$G,"CDU",$J:$J,"PLANNED")&gt;0,"tied","standalone"),"")</f>
        <v>standalone</v>
      </c>
    </row>
    <row r="1244" spans="1:14">
      <c r="A1244" s="6">
        <v>2023</v>
      </c>
      <c r="B1244" s="6">
        <v>5</v>
      </c>
      <c r="C1244" s="6" t="s">
        <v>64</v>
      </c>
      <c r="D1244" s="6" t="s">
        <v>820</v>
      </c>
      <c r="E1244" s="6" t="s">
        <v>710</v>
      </c>
      <c r="F1244" s="6" t="str">
        <f>IF($M1244="PADD I","PADD 1",IF($M1244="PADD II","PADD 2",IF($M1244="PADD III","PADD 3",IF($M1244="PADD IV","PADD 4",IF($M1244="PADD V","PADD 5","")))))</f>
        <v>PADD 3</v>
      </c>
      <c r="G1244" s="6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6" t="s">
        <v>44</v>
      </c>
      <c r="I1244" s="6" t="s">
        <v>834</v>
      </c>
      <c r="J1244" s="6" t="s">
        <v>398</v>
      </c>
      <c r="K1244" s="10">
        <v>15</v>
      </c>
      <c r="L1244" s="10">
        <v>15</v>
      </c>
      <c r="M1244" s="6" t="s">
        <v>421</v>
      </c>
      <c r="N1244" s="6">
        <f>IF(OR($G1244="FCC",$G1244="Hydrocracker",$G1244="Reformer"),IF(COUNTIFS($D:$D,$D1244,$A:$A,$A1244,$B:$B,$B1244,$G:$G,"CDU",$J:$J,"PLANNED")&gt;0,"tied","standalone"),"")</f>
        <v/>
      </c>
    </row>
    <row r="1245" spans="1:14">
      <c r="A1245" s="6">
        <v>2023</v>
      </c>
      <c r="B1245" s="6">
        <v>5</v>
      </c>
      <c r="C1245" s="6" t="s">
        <v>64</v>
      </c>
      <c r="D1245" s="6" t="s">
        <v>820</v>
      </c>
      <c r="E1245" s="6" t="s">
        <v>710</v>
      </c>
      <c r="F1245" s="6" t="str">
        <f>IF($M1245="PADD I","PADD 1",IF($M1245="PADD II","PADD 2",IF($M1245="PADD III","PADD 3",IF($M1245="PADD IV","PADD 4",IF($M1245="PADD V","PADD 5","")))))</f>
        <v>PADD 3</v>
      </c>
      <c r="G1245" s="6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6" t="s">
        <v>428</v>
      </c>
      <c r="I1245" s="6" t="s">
        <v>481</v>
      </c>
      <c r="J1245" s="6" t="s">
        <v>398</v>
      </c>
      <c r="K1245" s="10">
        <v>15</v>
      </c>
      <c r="L1245" s="10">
        <v>15</v>
      </c>
      <c r="M1245" s="6" t="s">
        <v>421</v>
      </c>
      <c r="N1245" s="6">
        <f>IF(OR($G1245="FCC",$G1245="Hydrocracker",$G1245="Reformer"),IF(COUNTIFS($D:$D,$D1245,$A:$A,$A1245,$B:$B,$B1245,$G:$G,"CDU",$J:$J,"PLANNED")&gt;0,"tied","standalone"),"")</f>
        <v/>
      </c>
    </row>
    <row r="1246" spans="1:14">
      <c r="A1246" s="6">
        <v>2023</v>
      </c>
      <c r="B1246" s="6">
        <v>5</v>
      </c>
      <c r="C1246" s="6" t="s">
        <v>64</v>
      </c>
      <c r="D1246" s="6" t="s">
        <v>49</v>
      </c>
      <c r="E1246" s="6" t="s">
        <v>438</v>
      </c>
      <c r="F1246" s="6" t="str">
        <f>IF($M1246="PADD I","PADD 1",IF($M1246="PADD II","PADD 2",IF($M1246="PADD III","PADD 3",IF($M1246="PADD IV","PADD 4",IF($M1246="PADD V","PADD 5","")))))</f>
        <v>PADD 2</v>
      </c>
      <c r="G1246" s="6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6" t="s">
        <v>44</v>
      </c>
      <c r="I1246" s="6" t="s">
        <v>776</v>
      </c>
      <c r="J1246" s="6" t="s">
        <v>398</v>
      </c>
      <c r="K1246" s="10">
        <v>14.82</v>
      </c>
      <c r="L1246" s="10">
        <v>38</v>
      </c>
      <c r="M1246" s="6" t="s">
        <v>425</v>
      </c>
      <c r="N1246" s="6">
        <f>IF(OR($G1246="FCC",$G1246="Hydrocracker",$G1246="Reformer"),IF(COUNTIFS($D:$D,$D1246,$A:$A,$A1246,$B:$B,$B1246,$G:$G,"CDU",$J:$J,"PLANNED")&gt;0,"tied","standalone"),"")</f>
        <v/>
      </c>
    </row>
    <row r="1247" spans="1:14">
      <c r="A1247" s="6">
        <v>2023</v>
      </c>
      <c r="B1247" s="6">
        <v>5</v>
      </c>
      <c r="C1247" s="6" t="s">
        <v>64</v>
      </c>
      <c r="D1247" s="6" t="s">
        <v>792</v>
      </c>
      <c r="E1247" s="6" t="s">
        <v>438</v>
      </c>
      <c r="F1247" s="6" t="str">
        <f>IF($M1247="PADD I","PADD 1",IF($M1247="PADD II","PADD 2",IF($M1247="PADD III","PADD 3",IF($M1247="PADD IV","PADD 4",IF($M1247="PADD V","PADD 5","")))))</f>
        <v>PADD 5</v>
      </c>
      <c r="G1247" s="6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6" t="s">
        <v>44</v>
      </c>
      <c r="I1247" s="6" t="s">
        <v>793</v>
      </c>
      <c r="J1247" s="6" t="s">
        <v>398</v>
      </c>
      <c r="K1247" s="10">
        <v>14.4</v>
      </c>
      <c r="L1247" s="10">
        <v>30</v>
      </c>
      <c r="M1247" s="6" t="s">
        <v>436</v>
      </c>
      <c r="N1247" s="6">
        <f>IF(OR($G1247="FCC",$G1247="Hydrocracker",$G1247="Reformer"),IF(COUNTIFS($D:$D,$D1247,$A:$A,$A1247,$B:$B,$B1247,$G:$G,"CDU",$J:$J,"PLANNED")&gt;0,"tied","standalone"),"")</f>
        <v/>
      </c>
    </row>
    <row r="1248" spans="1:14">
      <c r="A1248" s="6">
        <v>2023</v>
      </c>
      <c r="B1248" s="6">
        <v>5</v>
      </c>
      <c r="C1248" s="6" t="s">
        <v>64</v>
      </c>
      <c r="D1248" s="6" t="s">
        <v>518</v>
      </c>
      <c r="E1248" s="6" t="s">
        <v>419</v>
      </c>
      <c r="F1248" s="6" t="str">
        <f>IF($M1248="PADD I","PADD 1",IF($M1248="PADD II","PADD 2",IF($M1248="PADD III","PADD 3",IF($M1248="PADD IV","PADD 4",IF($M1248="PADD V","PADD 5","")))))</f>
        <v>PADD 3</v>
      </c>
      <c r="G1248" s="6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6" t="s">
        <v>471</v>
      </c>
      <c r="I1248" s="6" t="s">
        <v>908</v>
      </c>
      <c r="J1248" s="6" t="s">
        <v>394</v>
      </c>
      <c r="K1248" s="10">
        <v>14.2</v>
      </c>
      <c r="L1248" s="10">
        <v>20</v>
      </c>
      <c r="M1248" s="6" t="s">
        <v>421</v>
      </c>
      <c r="N1248" s="6" t="str">
        <f>IF(OR($G1248="FCC",$G1248="Hydrocracker",$G1248="Reformer"),IF(COUNTIFS($D:$D,$D1248,$A:$A,$A1248,$B:$B,$B1248,$G:$G,"CDU",$J:$J,"PLANNED")&gt;0,"tied","standalone"),"")</f>
        <v>standalone</v>
      </c>
    </row>
    <row r="1249" spans="1:14">
      <c r="A1249" s="6">
        <v>2023</v>
      </c>
      <c r="B1249" s="6">
        <v>5</v>
      </c>
      <c r="C1249" s="6" t="s">
        <v>64</v>
      </c>
      <c r="D1249" s="6" t="s">
        <v>53</v>
      </c>
      <c r="E1249" s="6" t="s">
        <v>438</v>
      </c>
      <c r="F1249" s="6" t="str">
        <f>IF($M1249="PADD I","PADD 1",IF($M1249="PADD II","PADD 2",IF($M1249="PADD III","PADD 3",IF($M1249="PADD IV","PADD 4",IF($M1249="PADD V","PADD 5","")))))</f>
        <v>PADD 5</v>
      </c>
      <c r="G1249" s="6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6" t="s">
        <v>44</v>
      </c>
      <c r="I1249" s="6" t="s">
        <v>837</v>
      </c>
      <c r="J1249" s="6" t="s">
        <v>398</v>
      </c>
      <c r="K1249" s="10">
        <v>13.92</v>
      </c>
      <c r="L1249" s="10">
        <v>24</v>
      </c>
      <c r="M1249" s="6" t="s">
        <v>436</v>
      </c>
      <c r="N1249" s="6">
        <f>IF(OR($G1249="FCC",$G1249="Hydrocracker",$G1249="Reformer"),IF(COUNTIFS($D:$D,$D1249,$A:$A,$A1249,$B:$B,$B1249,$G:$G,"CDU",$J:$J,"PLANNED")&gt;0,"tied","standalone"),"")</f>
        <v/>
      </c>
    </row>
    <row r="1250" spans="1:14">
      <c r="A1250" s="6">
        <v>2023</v>
      </c>
      <c r="B1250" s="6">
        <v>5</v>
      </c>
      <c r="C1250" s="6" t="s">
        <v>64</v>
      </c>
      <c r="D1250" s="6" t="s">
        <v>52</v>
      </c>
      <c r="E1250" s="6" t="s">
        <v>441</v>
      </c>
      <c r="F1250" s="6" t="str">
        <f>IF($M1250="PADD I","PADD 1",IF($M1250="PADD II","PADD 2",IF($M1250="PADD III","PADD 3",IF($M1250="PADD IV","PADD 4",IF($M1250="PADD V","PADD 5","")))))</f>
        <v>PADD 5</v>
      </c>
      <c r="G1250" s="6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6" t="s">
        <v>44</v>
      </c>
      <c r="I1250" s="6" t="s">
        <v>909</v>
      </c>
      <c r="J1250" s="6" t="s">
        <v>394</v>
      </c>
      <c r="K1250" s="10">
        <v>13.65</v>
      </c>
      <c r="L1250" s="10">
        <v>35</v>
      </c>
      <c r="M1250" s="6" t="s">
        <v>436</v>
      </c>
      <c r="N1250" s="6">
        <f>IF(OR($G1250="FCC",$G1250="Hydrocracker",$G1250="Reformer"),IF(COUNTIFS($D:$D,$D1250,$A:$A,$A1250,$B:$B,$B1250,$G:$G,"CDU",$J:$J,"PLANNED")&gt;0,"tied","standalone"),"")</f>
        <v/>
      </c>
    </row>
    <row r="1251" spans="1:14">
      <c r="A1251" s="6">
        <v>2023</v>
      </c>
      <c r="B1251" s="6">
        <v>5</v>
      </c>
      <c r="C1251" s="6" t="s">
        <v>64</v>
      </c>
      <c r="D1251" s="6" t="s">
        <v>49</v>
      </c>
      <c r="E1251" s="6" t="s">
        <v>438</v>
      </c>
      <c r="F1251" s="6" t="str">
        <f>IF($M1251="PADD I","PADD 1",IF($M1251="PADD II","PADD 2",IF($M1251="PADD III","PADD 3",IF($M1251="PADD IV","PADD 4",IF($M1251="PADD V","PADD 5","")))))</f>
        <v>PADD 2</v>
      </c>
      <c r="G1251" s="6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6" t="s">
        <v>44</v>
      </c>
      <c r="I1251" s="6" t="s">
        <v>746</v>
      </c>
      <c r="J1251" s="6" t="s">
        <v>394</v>
      </c>
      <c r="K1251" s="10">
        <v>13.36</v>
      </c>
      <c r="L1251" s="10">
        <v>83.5</v>
      </c>
      <c r="M1251" s="6" t="s">
        <v>425</v>
      </c>
      <c r="N1251" s="6">
        <f>IF(OR($G1251="FCC",$G1251="Hydrocracker",$G1251="Reformer"),IF(COUNTIFS($D:$D,$D1251,$A:$A,$A1251,$B:$B,$B1251,$G:$G,"CDU",$J:$J,"PLANNED")&gt;0,"tied","standalone"),"")</f>
        <v/>
      </c>
    </row>
    <row r="1252" spans="1:14">
      <c r="A1252" s="6">
        <v>2023</v>
      </c>
      <c r="B1252" s="6">
        <v>5</v>
      </c>
      <c r="C1252" s="6" t="s">
        <v>64</v>
      </c>
      <c r="D1252" s="6" t="s">
        <v>822</v>
      </c>
      <c r="E1252" s="6" t="s">
        <v>455</v>
      </c>
      <c r="F1252" s="6" t="str">
        <f>IF($M1252="PADD I","PADD 1",IF($M1252="PADD II","PADD 2",IF($M1252="PADD III","PADD 3",IF($M1252="PADD IV","PADD 4",IF($M1252="PADD V","PADD 5","")))))</f>
        <v>PADD 3</v>
      </c>
      <c r="G1252" s="6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6" t="s">
        <v>44</v>
      </c>
      <c r="I1252" s="6" t="s">
        <v>827</v>
      </c>
      <c r="J1252" s="6" t="s">
        <v>394</v>
      </c>
      <c r="K1252" s="10">
        <v>13.34</v>
      </c>
      <c r="L1252" s="10">
        <v>58</v>
      </c>
      <c r="M1252" s="6" t="s">
        <v>421</v>
      </c>
      <c r="N1252" s="6">
        <f>IF(OR($G1252="FCC",$G1252="Hydrocracker",$G1252="Reformer"),IF(COUNTIFS($D:$D,$D1252,$A:$A,$A1252,$B:$B,$B1252,$G:$G,"CDU",$J:$J,"PLANNED")&gt;0,"tied","standalone"),"")</f>
        <v/>
      </c>
    </row>
    <row r="1253" spans="1:14">
      <c r="A1253" s="6">
        <v>2023</v>
      </c>
      <c r="B1253" s="6">
        <v>5</v>
      </c>
      <c r="C1253" s="6" t="s">
        <v>64</v>
      </c>
      <c r="D1253" s="6" t="s">
        <v>445</v>
      </c>
      <c r="E1253" s="6" t="s">
        <v>446</v>
      </c>
      <c r="F1253" s="6" t="str">
        <f>IF($M1253="PADD I","PADD 1",IF($M1253="PADD II","PADD 2",IF($M1253="PADD III","PADD 3",IF($M1253="PADD IV","PADD 4",IF($M1253="PADD V","PADD 5","")))))</f>
        <v>PADD 3</v>
      </c>
      <c r="G1253" s="6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6" t="s">
        <v>44</v>
      </c>
      <c r="I1253" s="6" t="s">
        <v>601</v>
      </c>
      <c r="J1253" s="6" t="s">
        <v>398</v>
      </c>
      <c r="K1253" s="10">
        <v>13.088</v>
      </c>
      <c r="L1253" s="10">
        <v>40.9</v>
      </c>
      <c r="M1253" s="6" t="s">
        <v>421</v>
      </c>
      <c r="N1253" s="6">
        <f>IF(OR($G1253="FCC",$G1253="Hydrocracker",$G1253="Reformer"),IF(COUNTIFS($D:$D,$D1253,$A:$A,$A1253,$B:$B,$B1253,$G:$G,"CDU",$J:$J,"PLANNED")&gt;0,"tied","standalone"),"")</f>
        <v/>
      </c>
    </row>
    <row r="1254" spans="1:14">
      <c r="A1254" s="6">
        <v>2023</v>
      </c>
      <c r="B1254" s="6">
        <v>5</v>
      </c>
      <c r="C1254" s="6" t="s">
        <v>64</v>
      </c>
      <c r="D1254" s="6" t="s">
        <v>470</v>
      </c>
      <c r="E1254" s="6" t="s">
        <v>423</v>
      </c>
      <c r="F1254" s="6" t="str">
        <f>IF($M1254="PADD I","PADD 1",IF($M1254="PADD II","PADD 2",IF($M1254="PADD III","PADD 3",IF($M1254="PADD IV","PADD 4",IF($M1254="PADD V","PADD 5","")))))</f>
        <v>PADD 2</v>
      </c>
      <c r="G1254" s="6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6" t="s">
        <v>426</v>
      </c>
      <c r="I1254" s="6" t="s">
        <v>106</v>
      </c>
      <c r="J1254" s="6" t="s">
        <v>394</v>
      </c>
      <c r="K1254" s="10">
        <v>13</v>
      </c>
      <c r="L1254" s="10">
        <v>13</v>
      </c>
      <c r="M1254" s="6" t="s">
        <v>425</v>
      </c>
      <c r="N1254" s="6" t="str">
        <f>IF(OR($G1254="FCC",$G1254="Hydrocracker",$G1254="Reformer"),IF(COUNTIFS($D:$D,$D1254,$A:$A,$A1254,$B:$B,$B1254,$G:$G,"CDU",$J:$J,"PLANNED")&gt;0,"tied","standalone"),"")</f>
        <v>standalone</v>
      </c>
    </row>
    <row r="1255" spans="1:14">
      <c r="A1255" s="6">
        <v>2023</v>
      </c>
      <c r="B1255" s="6">
        <v>5</v>
      </c>
      <c r="C1255" s="6" t="s">
        <v>64</v>
      </c>
      <c r="D1255" s="6" t="s">
        <v>515</v>
      </c>
      <c r="E1255" s="6" t="s">
        <v>419</v>
      </c>
      <c r="F1255" s="6" t="str">
        <f>IF($M1255="PADD I","PADD 1",IF($M1255="PADD II","PADD 2",IF($M1255="PADD III","PADD 3",IF($M1255="PADD IV","PADD 4",IF($M1255="PADD V","PADD 5","")))))</f>
        <v>PADD 5</v>
      </c>
      <c r="G1255" s="6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6" t="s">
        <v>426</v>
      </c>
      <c r="I1255" s="6" t="s">
        <v>106</v>
      </c>
      <c r="J1255" s="6" t="s">
        <v>398</v>
      </c>
      <c r="K1255" s="10">
        <v>13</v>
      </c>
      <c r="L1255" s="10">
        <v>50</v>
      </c>
      <c r="M1255" s="6" t="s">
        <v>436</v>
      </c>
      <c r="N1255" s="6" t="str">
        <f>IF(OR($G1255="FCC",$G1255="Hydrocracker",$G1255="Reformer"),IF(COUNTIFS($D:$D,$D1255,$A:$A,$A1255,$B:$B,$B1255,$G:$G,"CDU",$J:$J,"PLANNED")&gt;0,"tied","standalone"),"")</f>
        <v>standalone</v>
      </c>
    </row>
    <row r="1256" spans="1:14">
      <c r="A1256" s="6">
        <v>2023</v>
      </c>
      <c r="B1256" s="6">
        <v>5</v>
      </c>
      <c r="C1256" s="6" t="s">
        <v>64</v>
      </c>
      <c r="D1256" s="6" t="s">
        <v>789</v>
      </c>
      <c r="E1256" s="6" t="s">
        <v>455</v>
      </c>
      <c r="F1256" s="6" t="str">
        <f>IF($M1256="PADD I","PADD 1",IF($M1256="PADD II","PADD 2",IF($M1256="PADD III","PADD 3",IF($M1256="PADD IV","PADD 4",IF($M1256="PADD V","PADD 5","")))))</f>
        <v>PADD 2</v>
      </c>
      <c r="G1256" s="6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6" t="s">
        <v>494</v>
      </c>
      <c r="I1256" s="6" t="s">
        <v>845</v>
      </c>
      <c r="J1256" s="6" t="s">
        <v>394</v>
      </c>
      <c r="K1256" s="10">
        <v>12.6</v>
      </c>
      <c r="L1256" s="10">
        <v>14</v>
      </c>
      <c r="M1256" s="6" t="s">
        <v>425</v>
      </c>
      <c r="N1256" s="6" t="str">
        <f>IF(OR($G1256="FCC",$G1256="Hydrocracker",$G1256="Reformer"),IF(COUNTIFS($D:$D,$D1256,$A:$A,$A1256,$B:$B,$B1256,$G:$G,"CDU",$J:$J,"PLANNED")&gt;0,"tied","standalone"),"")</f>
        <v>tied</v>
      </c>
    </row>
    <row r="1257" spans="1:14">
      <c r="A1257" s="6">
        <v>2023</v>
      </c>
      <c r="B1257" s="6">
        <v>5</v>
      </c>
      <c r="C1257" s="6" t="s">
        <v>64</v>
      </c>
      <c r="D1257" s="6" t="s">
        <v>792</v>
      </c>
      <c r="E1257" s="6" t="s">
        <v>438</v>
      </c>
      <c r="F1257" s="6" t="str">
        <f>IF($M1257="PADD I","PADD 1",IF($M1257="PADD II","PADD 2",IF($M1257="PADD III","PADD 3",IF($M1257="PADD IV","PADD 4",IF($M1257="PADD V","PADD 5","")))))</f>
        <v>PADD 5</v>
      </c>
      <c r="G1257" s="6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6" t="s">
        <v>44</v>
      </c>
      <c r="I1257" s="6" t="s">
        <v>794</v>
      </c>
      <c r="J1257" s="6" t="s">
        <v>398</v>
      </c>
      <c r="K1257" s="10">
        <v>12</v>
      </c>
      <c r="L1257" s="10">
        <v>25</v>
      </c>
      <c r="M1257" s="6" t="s">
        <v>436</v>
      </c>
      <c r="N1257" s="6">
        <f>IF(OR($G1257="FCC",$G1257="Hydrocracker",$G1257="Reformer"),IF(COUNTIFS($D:$D,$D1257,$A:$A,$A1257,$B:$B,$B1257,$G:$G,"CDU",$J:$J,"PLANNED")&gt;0,"tied","standalone"),"")</f>
        <v/>
      </c>
    </row>
    <row r="1258" spans="1:14">
      <c r="A1258" s="6">
        <v>2023</v>
      </c>
      <c r="B1258" s="6">
        <v>5</v>
      </c>
      <c r="C1258" s="6" t="s">
        <v>64</v>
      </c>
      <c r="D1258" s="6" t="s">
        <v>820</v>
      </c>
      <c r="E1258" s="6" t="s">
        <v>710</v>
      </c>
      <c r="F1258" s="6" t="str">
        <f>IF($M1258="PADD I","PADD 1",IF($M1258="PADD II","PADD 2",IF($M1258="PADD III","PADD 3",IF($M1258="PADD IV","PADD 4",IF($M1258="PADD V","PADD 5","")))))</f>
        <v>PADD 3</v>
      </c>
      <c r="G1258" s="6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6" t="s">
        <v>44</v>
      </c>
      <c r="I1258" s="6" t="s">
        <v>843</v>
      </c>
      <c r="J1258" s="6" t="s">
        <v>398</v>
      </c>
      <c r="K1258" s="10">
        <v>12</v>
      </c>
      <c r="L1258" s="10">
        <v>12</v>
      </c>
      <c r="M1258" s="6" t="s">
        <v>421</v>
      </c>
      <c r="N1258" s="6">
        <f>IF(OR($G1258="FCC",$G1258="Hydrocracker",$G1258="Reformer"),IF(COUNTIFS($D:$D,$D1258,$A:$A,$A1258,$B:$B,$B1258,$G:$G,"CDU",$J:$J,"PLANNED")&gt;0,"tied","standalone"),"")</f>
        <v/>
      </c>
    </row>
    <row r="1259" spans="1:14">
      <c r="A1259" s="6">
        <v>2023</v>
      </c>
      <c r="B1259" s="6">
        <v>5</v>
      </c>
      <c r="C1259" s="6" t="s">
        <v>64</v>
      </c>
      <c r="D1259" s="6" t="s">
        <v>820</v>
      </c>
      <c r="E1259" s="6" t="s">
        <v>710</v>
      </c>
      <c r="F1259" s="6" t="str">
        <f>IF($M1259="PADD I","PADD 1",IF($M1259="PADD II","PADD 2",IF($M1259="PADD III","PADD 3",IF($M1259="PADD IV","PADD 4",IF($M1259="PADD V","PADD 5","")))))</f>
        <v>PADD 3</v>
      </c>
      <c r="G1259" s="6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6" t="s">
        <v>44</v>
      </c>
      <c r="I1259" s="6" t="s">
        <v>844</v>
      </c>
      <c r="J1259" s="6" t="s">
        <v>398</v>
      </c>
      <c r="K1259" s="10">
        <v>12</v>
      </c>
      <c r="L1259" s="10">
        <v>12</v>
      </c>
      <c r="M1259" s="6" t="s">
        <v>421</v>
      </c>
      <c r="N1259" s="6">
        <f>IF(OR($G1259="FCC",$G1259="Hydrocracker",$G1259="Reformer"),IF(COUNTIFS($D:$D,$D1259,$A:$A,$A1259,$B:$B,$B1259,$G:$G,"CDU",$J:$J,"PLANNED")&gt;0,"tied","standalone"),"")</f>
        <v/>
      </c>
    </row>
    <row r="1260" spans="1:14">
      <c r="A1260" s="6">
        <v>2023</v>
      </c>
      <c r="B1260" s="6">
        <v>5</v>
      </c>
      <c r="C1260" s="6" t="s">
        <v>64</v>
      </c>
      <c r="D1260" s="6" t="s">
        <v>546</v>
      </c>
      <c r="E1260" s="6" t="s">
        <v>438</v>
      </c>
      <c r="F1260" s="6" t="str">
        <f>IF($M1260="PADD I","PADD 1",IF($M1260="PADD II","PADD 2",IF($M1260="PADD III","PADD 3",IF($M1260="PADD IV","PADD 4",IF($M1260="PADD V","PADD 5","")))))</f>
        <v>PADD 2</v>
      </c>
      <c r="G1260" s="6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6" t="s">
        <v>428</v>
      </c>
      <c r="I1260" s="6" t="s">
        <v>586</v>
      </c>
      <c r="J1260" s="6" t="s">
        <v>398</v>
      </c>
      <c r="K1260" s="10">
        <v>12</v>
      </c>
      <c r="L1260" s="10">
        <v>12</v>
      </c>
      <c r="M1260" s="6" t="s">
        <v>425</v>
      </c>
      <c r="N1260" s="6">
        <f>IF(OR($G1260="FCC",$G1260="Hydrocracker",$G1260="Reformer"),IF(COUNTIFS($D:$D,$D1260,$A:$A,$A1260,$B:$B,$B1260,$G:$G,"CDU",$J:$J,"PLANNED")&gt;0,"tied","standalone"),"")</f>
        <v/>
      </c>
    </row>
    <row r="1261" spans="1:14">
      <c r="A1261" s="6">
        <v>2023</v>
      </c>
      <c r="B1261" s="6">
        <v>5</v>
      </c>
      <c r="C1261" s="6" t="s">
        <v>64</v>
      </c>
      <c r="D1261" s="6" t="s">
        <v>550</v>
      </c>
      <c r="E1261" s="6" t="s">
        <v>438</v>
      </c>
      <c r="F1261" s="6" t="str">
        <f>IF($M1261="PADD I","PADD 1",IF($M1261="PADD II","PADD 2",IF($M1261="PADD III","PADD 3",IF($M1261="PADD IV","PADD 4",IF($M1261="PADD V","PADD 5","")))))</f>
        <v>PADD 2</v>
      </c>
      <c r="G1261" s="6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6" t="s">
        <v>39</v>
      </c>
      <c r="I1261" s="6" t="s">
        <v>580</v>
      </c>
      <c r="J1261" s="6" t="s">
        <v>394</v>
      </c>
      <c r="K1261" s="10">
        <v>11.96</v>
      </c>
      <c r="L1261" s="10">
        <v>92</v>
      </c>
      <c r="M1261" s="6" t="s">
        <v>425</v>
      </c>
      <c r="N1261" s="6">
        <f>IF(OR($G1261="FCC",$G1261="Hydrocracker",$G1261="Reformer"),IF(COUNTIFS($D:$D,$D1261,$A:$A,$A1261,$B:$B,$B1261,$G:$G,"CDU",$J:$J,"PLANNED")&gt;0,"tied","standalone"),"")</f>
        <v/>
      </c>
    </row>
    <row r="1262" spans="1:14">
      <c r="A1262" s="6">
        <v>2023</v>
      </c>
      <c r="B1262" s="6">
        <v>5</v>
      </c>
      <c r="C1262" s="6" t="s">
        <v>64</v>
      </c>
      <c r="D1262" s="6" t="s">
        <v>792</v>
      </c>
      <c r="E1262" s="6" t="s">
        <v>438</v>
      </c>
      <c r="F1262" s="6" t="str">
        <f>IF($M1262="PADD I","PADD 1",IF($M1262="PADD II","PADD 2",IF($M1262="PADD III","PADD 3",IF($M1262="PADD IV","PADD 4",IF($M1262="PADD V","PADD 5","")))))</f>
        <v>PADD 5</v>
      </c>
      <c r="G1262" s="6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6" t="s">
        <v>471</v>
      </c>
      <c r="I1262" s="6" t="s">
        <v>15</v>
      </c>
      <c r="J1262" s="6" t="s">
        <v>394</v>
      </c>
      <c r="K1262" s="10">
        <v>11.7</v>
      </c>
      <c r="L1262" s="10">
        <v>26</v>
      </c>
      <c r="M1262" s="6" t="s">
        <v>436</v>
      </c>
      <c r="N1262" s="6" t="str">
        <f>IF(OR($G1262="FCC",$G1262="Hydrocracker",$G1262="Reformer"),IF(COUNTIFS($D:$D,$D1262,$A:$A,$A1262,$B:$B,$B1262,$G:$G,"CDU",$J:$J,"PLANNED")&gt;0,"tied","standalone"),"")</f>
        <v>tied</v>
      </c>
    </row>
    <row r="1263" spans="1:14">
      <c r="A1263" s="6">
        <v>2023</v>
      </c>
      <c r="B1263" s="6">
        <v>5</v>
      </c>
      <c r="C1263" s="6" t="s">
        <v>64</v>
      </c>
      <c r="D1263" s="6" t="s">
        <v>792</v>
      </c>
      <c r="E1263" s="6" t="s">
        <v>438</v>
      </c>
      <c r="F1263" s="6" t="str">
        <f>IF($M1263="PADD I","PADD 1",IF($M1263="PADD II","PADD 2",IF($M1263="PADD III","PADD 3",IF($M1263="PADD IV","PADD 4",IF($M1263="PADD V","PADD 5","")))))</f>
        <v>PADD 5</v>
      </c>
      <c r="G1263" s="6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6" t="s">
        <v>39</v>
      </c>
      <c r="I1263" s="6" t="s">
        <v>82</v>
      </c>
      <c r="J1263" s="6" t="s">
        <v>398</v>
      </c>
      <c r="K1263" s="10">
        <v>11.52</v>
      </c>
      <c r="L1263" s="10">
        <v>24</v>
      </c>
      <c r="M1263" s="6" t="s">
        <v>436</v>
      </c>
      <c r="N1263" s="6">
        <f>IF(OR($G1263="FCC",$G1263="Hydrocracker",$G1263="Reformer"),IF(COUNTIFS($D:$D,$D1263,$A:$A,$A1263,$B:$B,$B1263,$G:$G,"CDU",$J:$J,"PLANNED")&gt;0,"tied","standalone"),"")</f>
        <v/>
      </c>
    </row>
    <row r="1264" spans="1:14">
      <c r="A1264" s="6">
        <v>2023</v>
      </c>
      <c r="B1264" s="6">
        <v>5</v>
      </c>
      <c r="C1264" s="6" t="s">
        <v>64</v>
      </c>
      <c r="D1264" s="6" t="s">
        <v>822</v>
      </c>
      <c r="E1264" s="6" t="s">
        <v>455</v>
      </c>
      <c r="F1264" s="6" t="str">
        <f>IF($M1264="PADD I","PADD 1",IF($M1264="PADD II","PADD 2",IF($M1264="PADD III","PADD 3",IF($M1264="PADD IV","PADD 4",IF($M1264="PADD V","PADD 5","")))))</f>
        <v>PADD 3</v>
      </c>
      <c r="G1264" s="6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6" t="s">
        <v>510</v>
      </c>
      <c r="I1264" s="6" t="s">
        <v>842</v>
      </c>
      <c r="J1264" s="6" t="s">
        <v>398</v>
      </c>
      <c r="K1264" s="10">
        <v>11.44</v>
      </c>
      <c r="L1264" s="10">
        <v>22</v>
      </c>
      <c r="M1264" s="6" t="s">
        <v>421</v>
      </c>
      <c r="N1264" s="6">
        <f>IF(OR($G1264="FCC",$G1264="Hydrocracker",$G1264="Reformer"),IF(COUNTIFS($D:$D,$D1264,$A:$A,$A1264,$B:$B,$B1264,$G:$G,"CDU",$J:$J,"PLANNED")&gt;0,"tied","standalone"),"")</f>
        <v/>
      </c>
    </row>
    <row r="1265" spans="1:14">
      <c r="A1265" s="6">
        <v>2023</v>
      </c>
      <c r="B1265" s="6">
        <v>5</v>
      </c>
      <c r="C1265" s="6" t="s">
        <v>64</v>
      </c>
      <c r="D1265" s="6" t="s">
        <v>835</v>
      </c>
      <c r="E1265" s="6" t="s">
        <v>829</v>
      </c>
      <c r="F1265" s="6" t="str">
        <f>IF($M1265="PADD I","PADD 1",IF($M1265="PADD II","PADD 2",IF($M1265="PADD III","PADD 3",IF($M1265="PADD IV","PADD 4",IF($M1265="PADD V","PADD 5","")))))</f>
        <v>PADD 2</v>
      </c>
      <c r="G1265" s="6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6" t="s">
        <v>428</v>
      </c>
      <c r="I1265" s="6" t="s">
        <v>836</v>
      </c>
      <c r="J1265" s="6" t="s">
        <v>394</v>
      </c>
      <c r="K1265" s="10">
        <v>11.0786</v>
      </c>
      <c r="L1265" s="10">
        <v>85.22</v>
      </c>
      <c r="M1265" s="6" t="s">
        <v>425</v>
      </c>
      <c r="N1265" s="6">
        <f>IF(OR($G1265="FCC",$G1265="Hydrocracker",$G1265="Reformer"),IF(COUNTIFS($D:$D,$D1265,$A:$A,$A1265,$B:$B,$B1265,$G:$G,"CDU",$J:$J,"PLANNED")&gt;0,"tied","standalone"),"")</f>
        <v/>
      </c>
    </row>
    <row r="1266" spans="1:14">
      <c r="A1266" s="6">
        <v>2023</v>
      </c>
      <c r="B1266" s="6">
        <v>5</v>
      </c>
      <c r="C1266" s="6" t="s">
        <v>64</v>
      </c>
      <c r="D1266" s="6" t="s">
        <v>820</v>
      </c>
      <c r="E1266" s="6" t="s">
        <v>710</v>
      </c>
      <c r="F1266" s="6" t="str">
        <f>IF($M1266="PADD I","PADD 1",IF($M1266="PADD II","PADD 2",IF($M1266="PADD III","PADD 3",IF($M1266="PADD IV","PADD 4",IF($M1266="PADD V","PADD 5","")))))</f>
        <v>PADD 3</v>
      </c>
      <c r="G1266" s="6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6" t="s">
        <v>44</v>
      </c>
      <c r="I1266" s="6" t="s">
        <v>846</v>
      </c>
      <c r="J1266" s="6" t="s">
        <v>398</v>
      </c>
      <c r="K1266" s="10">
        <v>11</v>
      </c>
      <c r="L1266" s="10">
        <v>11</v>
      </c>
      <c r="M1266" s="6" t="s">
        <v>421</v>
      </c>
      <c r="N1266" s="6">
        <f>IF(OR($G1266="FCC",$G1266="Hydrocracker",$G1266="Reformer"),IF(COUNTIFS($D:$D,$D1266,$A:$A,$A1266,$B:$B,$B1266,$G:$G,"CDU",$J:$J,"PLANNED")&gt;0,"tied","standalone"),"")</f>
        <v/>
      </c>
    </row>
    <row r="1267" spans="1:14">
      <c r="A1267" s="6">
        <v>2023</v>
      </c>
      <c r="B1267" s="6">
        <v>5</v>
      </c>
      <c r="C1267" s="6" t="s">
        <v>64</v>
      </c>
      <c r="D1267" s="6" t="s">
        <v>470</v>
      </c>
      <c r="E1267" s="6" t="s">
        <v>423</v>
      </c>
      <c r="F1267" s="6" t="str">
        <f>IF($M1267="PADD I","PADD 1",IF($M1267="PADD II","PADD 2",IF($M1267="PADD III","PADD 3",IF($M1267="PADD IV","PADD 4",IF($M1267="PADD V","PADD 5","")))))</f>
        <v>PADD 2</v>
      </c>
      <c r="G1267" s="6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6" t="s">
        <v>44</v>
      </c>
      <c r="I1267" s="6" t="s">
        <v>596</v>
      </c>
      <c r="J1267" s="6" t="s">
        <v>394</v>
      </c>
      <c r="K1267" s="10">
        <v>11</v>
      </c>
      <c r="L1267" s="10">
        <v>11</v>
      </c>
      <c r="M1267" s="6" t="s">
        <v>425</v>
      </c>
      <c r="N1267" s="6">
        <f>IF(OR($G1267="FCC",$G1267="Hydrocracker",$G1267="Reformer"),IF(COUNTIFS($D:$D,$D1267,$A:$A,$A1267,$B:$B,$B1267,$G:$G,"CDU",$J:$J,"PLANNED")&gt;0,"tied","standalone"),"")</f>
        <v/>
      </c>
    </row>
    <row r="1268" spans="1:14">
      <c r="A1268" s="6">
        <v>2023</v>
      </c>
      <c r="B1268" s="6">
        <v>5</v>
      </c>
      <c r="C1268" s="6" t="s">
        <v>64</v>
      </c>
      <c r="D1268" s="6" t="s">
        <v>782</v>
      </c>
      <c r="E1268" s="6" t="s">
        <v>783</v>
      </c>
      <c r="F1268" s="6" t="str">
        <f>IF($M1268="PADD I","PADD 1",IF($M1268="PADD II","PADD 2",IF($M1268="PADD III","PADD 3",IF($M1268="PADD IV","PADD 4",IF($M1268="PADD V","PADD 5","")))))</f>
        <v>PADD 4</v>
      </c>
      <c r="G1268" s="6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6" t="s">
        <v>39</v>
      </c>
      <c r="I1268" s="6" t="s">
        <v>132</v>
      </c>
      <c r="J1268" s="6" t="s">
        <v>398</v>
      </c>
      <c r="K1268" s="10">
        <v>10.88</v>
      </c>
      <c r="L1268" s="10">
        <v>34</v>
      </c>
      <c r="M1268" s="6" t="s">
        <v>480</v>
      </c>
      <c r="N1268" s="6">
        <f>IF(OR($G1268="FCC",$G1268="Hydrocracker",$G1268="Reformer"),IF(COUNTIFS($D:$D,$D1268,$A:$A,$A1268,$B:$B,$B1268,$G:$G,"CDU",$J:$J,"PLANNED")&gt;0,"tied","standalone"),"")</f>
        <v/>
      </c>
    </row>
    <row r="1269" spans="1:14">
      <c r="A1269" s="6">
        <v>2023</v>
      </c>
      <c r="B1269" s="6">
        <v>5</v>
      </c>
      <c r="C1269" s="6" t="s">
        <v>64</v>
      </c>
      <c r="D1269" s="6" t="s">
        <v>820</v>
      </c>
      <c r="E1269" s="6" t="s">
        <v>710</v>
      </c>
      <c r="F1269" s="6" t="str">
        <f>IF($M1269="PADD I","PADD 1",IF($M1269="PADD II","PADD 2",IF($M1269="PADD III","PADD 3",IF($M1269="PADD IV","PADD 4",IF($M1269="PADD V","PADD 5","")))))</f>
        <v>PADD 3</v>
      </c>
      <c r="G1269" s="6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6" t="s">
        <v>573</v>
      </c>
      <c r="I1269" s="6" t="s">
        <v>574</v>
      </c>
      <c r="J1269" s="6" t="s">
        <v>398</v>
      </c>
      <c r="K1269" s="10">
        <v>10.8</v>
      </c>
      <c r="L1269" s="10">
        <v>10.8</v>
      </c>
      <c r="M1269" s="6" t="s">
        <v>421</v>
      </c>
      <c r="N1269" s="6">
        <f>IF(OR($G1269="FCC",$G1269="Hydrocracker",$G1269="Reformer"),IF(COUNTIFS($D:$D,$D1269,$A:$A,$A1269,$B:$B,$B1269,$G:$G,"CDU",$J:$J,"PLANNED")&gt;0,"tied","standalone"),"")</f>
        <v/>
      </c>
    </row>
    <row r="1270" spans="1:14">
      <c r="A1270" s="6">
        <v>2023</v>
      </c>
      <c r="B1270" s="6">
        <v>5</v>
      </c>
      <c r="C1270" s="6" t="s">
        <v>64</v>
      </c>
      <c r="D1270" s="6" t="s">
        <v>613</v>
      </c>
      <c r="E1270" s="6" t="s">
        <v>446</v>
      </c>
      <c r="F1270" s="6" t="str">
        <f>IF($M1270="PADD I","PADD 1",IF($M1270="PADD II","PADD 2",IF($M1270="PADD III","PADD 3",IF($M1270="PADD IV","PADD 4",IF($M1270="PADD V","PADD 5","")))))</f>
        <v>PADD 3</v>
      </c>
      <c r="G1270" s="6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6" t="s">
        <v>44</v>
      </c>
      <c r="I1270" s="6" t="s">
        <v>614</v>
      </c>
      <c r="J1270" s="6" t="s">
        <v>394</v>
      </c>
      <c r="K1270" s="10">
        <v>10.634</v>
      </c>
      <c r="L1270" s="10">
        <v>40.9</v>
      </c>
      <c r="M1270" s="6" t="s">
        <v>421</v>
      </c>
      <c r="N1270" s="6">
        <f>IF(OR($G1270="FCC",$G1270="Hydrocracker",$G1270="Reformer"),IF(COUNTIFS($D:$D,$D1270,$A:$A,$A1270,$B:$B,$B1270,$G:$G,"CDU",$J:$J,"PLANNED")&gt;0,"tied","standalone"),"")</f>
        <v/>
      </c>
    </row>
    <row r="1271" spans="1:14">
      <c r="A1271" s="6">
        <v>2023</v>
      </c>
      <c r="B1271" s="6">
        <v>5</v>
      </c>
      <c r="C1271" s="6" t="s">
        <v>64</v>
      </c>
      <c r="D1271" s="6" t="s">
        <v>865</v>
      </c>
      <c r="E1271" s="6" t="s">
        <v>502</v>
      </c>
      <c r="F1271" s="6" t="str">
        <f>IF($M1271="PADD I","PADD 1",IF($M1271="PADD II","PADD 2",IF($M1271="PADD III","PADD 3",IF($M1271="PADD IV","PADD 4",IF($M1271="PADD V","PADD 5","")))))</f>
        <v>PADD 4</v>
      </c>
      <c r="G1271" s="6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6" t="s">
        <v>471</v>
      </c>
      <c r="I1271" s="6" t="s">
        <v>882</v>
      </c>
      <c r="J1271" s="6" t="s">
        <v>398</v>
      </c>
      <c r="K1271" s="10">
        <v>10.5</v>
      </c>
      <c r="L1271" s="10">
        <v>12.5</v>
      </c>
      <c r="M1271" s="6" t="s">
        <v>480</v>
      </c>
      <c r="N1271" s="6" t="str">
        <f>IF(OR($G1271="FCC",$G1271="Hydrocracker",$G1271="Reformer"),IF(COUNTIFS($D:$D,$D1271,$A:$A,$A1271,$B:$B,$B1271,$G:$G,"CDU",$J:$J,"PLANNED")&gt;0,"tied","standalone"),"")</f>
        <v>tied</v>
      </c>
    </row>
    <row r="1272" spans="1:14">
      <c r="A1272" s="6">
        <v>2023</v>
      </c>
      <c r="B1272" s="6">
        <v>5</v>
      </c>
      <c r="C1272" s="6" t="s">
        <v>64</v>
      </c>
      <c r="D1272" s="6" t="s">
        <v>901</v>
      </c>
      <c r="E1272" s="6" t="s">
        <v>902</v>
      </c>
      <c r="F1272" s="6" t="str">
        <f>IF($M1272="PADD I","PADD 1",IF($M1272="PADD II","PADD 2",IF($M1272="PADD III","PADD 3",IF($M1272="PADD IV","PADD 4",IF($M1272="PADD V","PADD 5","")))))</f>
        <v>PADD 3</v>
      </c>
      <c r="G1272" s="6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6" t="s">
        <v>428</v>
      </c>
      <c r="I1272" s="6" t="s">
        <v>910</v>
      </c>
      <c r="J1272" s="6" t="s">
        <v>398</v>
      </c>
      <c r="K1272" s="10">
        <v>10.44</v>
      </c>
      <c r="L1272" s="10">
        <v>36</v>
      </c>
      <c r="M1272" s="6" t="s">
        <v>421</v>
      </c>
      <c r="N1272" s="6">
        <f>IF(OR($G1272="FCC",$G1272="Hydrocracker",$G1272="Reformer"),IF(COUNTIFS($D:$D,$D1272,$A:$A,$A1272,$B:$B,$B1272,$G:$G,"CDU",$J:$J,"PLANNED")&gt;0,"tied","standalone"),"")</f>
        <v/>
      </c>
    </row>
    <row r="1273" spans="1:14">
      <c r="A1273" s="6">
        <v>2023</v>
      </c>
      <c r="B1273" s="6">
        <v>5</v>
      </c>
      <c r="C1273" s="6" t="s">
        <v>64</v>
      </c>
      <c r="D1273" s="6" t="s">
        <v>487</v>
      </c>
      <c r="E1273" s="6" t="s">
        <v>488</v>
      </c>
      <c r="F1273" s="6" t="str">
        <f>IF($M1273="PADD I","PADD 1",IF($M1273="PADD II","PADD 2",IF($M1273="PADD III","PADD 3",IF($M1273="PADD IV","PADD 4",IF($M1273="PADD V","PADD 5","")))))</f>
        <v>PADD 4</v>
      </c>
      <c r="G1273" s="6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6" t="s">
        <v>44</v>
      </c>
      <c r="I1273" s="6" t="s">
        <v>543</v>
      </c>
      <c r="J1273" s="6" t="s">
        <v>398</v>
      </c>
      <c r="K1273" s="10">
        <v>10</v>
      </c>
      <c r="L1273" s="10">
        <v>10</v>
      </c>
      <c r="M1273" s="6" t="s">
        <v>480</v>
      </c>
      <c r="N1273" s="6">
        <f>IF(OR($G1273="FCC",$G1273="Hydrocracker",$G1273="Reformer"),IF(COUNTIFS($D:$D,$D1273,$A:$A,$A1273,$B:$B,$B1273,$G:$G,"CDU",$J:$J,"PLANNED")&gt;0,"tied","standalone"),"")</f>
        <v/>
      </c>
    </row>
    <row r="1274" spans="1:14">
      <c r="A1274" s="6">
        <v>2023</v>
      </c>
      <c r="B1274" s="6">
        <v>5</v>
      </c>
      <c r="C1274" s="6" t="s">
        <v>64</v>
      </c>
      <c r="D1274" s="6" t="s">
        <v>798</v>
      </c>
      <c r="E1274" s="6" t="s">
        <v>438</v>
      </c>
      <c r="F1274" s="6" t="str">
        <f>IF($M1274="PADD I","PADD 1",IF($M1274="PADD II","PADD 2",IF($M1274="PADD III","PADD 3",IF($M1274="PADD IV","PADD 4",IF($M1274="PADD V","PADD 5","")))))</f>
        <v>PADD 3</v>
      </c>
      <c r="G1274" s="6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6" t="s">
        <v>44</v>
      </c>
      <c r="I1274" s="6" t="s">
        <v>809</v>
      </c>
      <c r="J1274" s="6" t="s">
        <v>398</v>
      </c>
      <c r="K1274" s="10">
        <v>9.945</v>
      </c>
      <c r="L1274" s="10">
        <v>25.5</v>
      </c>
      <c r="M1274" s="6" t="s">
        <v>421</v>
      </c>
      <c r="N1274" s="6">
        <f>IF(OR($G1274="FCC",$G1274="Hydrocracker",$G1274="Reformer"),IF(COUNTIFS($D:$D,$D1274,$A:$A,$A1274,$B:$B,$B1274,$G:$G,"CDU",$J:$J,"PLANNED")&gt;0,"tied","standalone"),"")</f>
        <v/>
      </c>
    </row>
    <row r="1275" spans="1:14">
      <c r="A1275" s="6">
        <v>2023</v>
      </c>
      <c r="B1275" s="6">
        <v>5</v>
      </c>
      <c r="C1275" s="6" t="s">
        <v>64</v>
      </c>
      <c r="D1275" s="6" t="s">
        <v>824</v>
      </c>
      <c r="E1275" s="6" t="s">
        <v>825</v>
      </c>
      <c r="F1275" s="6" t="str">
        <f>IF($M1275="PADD I","PADD 1",IF($M1275="PADD II","PADD 2",IF($M1275="PADD III","PADD 3",IF($M1275="PADD IV","PADD 4",IF($M1275="PADD V","PADD 5","")))))</f>
        <v>PADD 1</v>
      </c>
      <c r="G1275" s="6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6" t="s">
        <v>494</v>
      </c>
      <c r="I1275" s="6" t="s">
        <v>14</v>
      </c>
      <c r="J1275" s="6" t="s">
        <v>398</v>
      </c>
      <c r="K1275" s="10">
        <v>9.9</v>
      </c>
      <c r="L1275" s="10">
        <v>18</v>
      </c>
      <c r="M1275" s="6" t="s">
        <v>463</v>
      </c>
      <c r="N1275" s="6" t="str">
        <f>IF(OR($G1275="FCC",$G1275="Hydrocracker",$G1275="Reformer"),IF(COUNTIFS($D:$D,$D1275,$A:$A,$A1275,$B:$B,$B1275,$G:$G,"CDU",$J:$J,"PLANNED")&gt;0,"tied","standalone"),"")</f>
        <v>standalone</v>
      </c>
    </row>
    <row r="1276" spans="1:14">
      <c r="A1276" s="6">
        <v>2023</v>
      </c>
      <c r="B1276" s="6">
        <v>5</v>
      </c>
      <c r="C1276" s="6" t="s">
        <v>64</v>
      </c>
      <c r="D1276" s="6" t="s">
        <v>592</v>
      </c>
      <c r="E1276" s="6" t="s">
        <v>593</v>
      </c>
      <c r="F1276" s="6" t="str">
        <f>IF($M1276="PADD I","PADD 1",IF($M1276="PADD II","PADD 2",IF($M1276="PADD III","PADD 3",IF($M1276="PADD IV","PADD 4",IF($M1276="PADD V","PADD 5","")))))</f>
        <v>PADD 2</v>
      </c>
      <c r="G1276" s="6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6" t="s">
        <v>39</v>
      </c>
      <c r="I1276" s="6" t="s">
        <v>740</v>
      </c>
      <c r="J1276" s="6" t="s">
        <v>394</v>
      </c>
      <c r="K1276" s="10">
        <v>9.75</v>
      </c>
      <c r="L1276" s="10">
        <v>75</v>
      </c>
      <c r="M1276" s="6" t="s">
        <v>425</v>
      </c>
      <c r="N1276" s="6">
        <f>IF(OR($G1276="FCC",$G1276="Hydrocracker",$G1276="Reformer"),IF(COUNTIFS($D:$D,$D1276,$A:$A,$A1276,$B:$B,$B1276,$G:$G,"CDU",$J:$J,"PLANNED")&gt;0,"tied","standalone"),"")</f>
        <v/>
      </c>
    </row>
    <row r="1277" spans="1:14">
      <c r="A1277" s="6">
        <v>2023</v>
      </c>
      <c r="B1277" s="6">
        <v>5</v>
      </c>
      <c r="C1277" s="6" t="s">
        <v>64</v>
      </c>
      <c r="D1277" s="6" t="s">
        <v>53</v>
      </c>
      <c r="E1277" s="6" t="s">
        <v>438</v>
      </c>
      <c r="F1277" s="6" t="str">
        <f>IF($M1277="PADD I","PADD 1",IF($M1277="PADD II","PADD 2",IF($M1277="PADD III","PADD 3",IF($M1277="PADD IV","PADD 4",IF($M1277="PADD V","PADD 5","")))))</f>
        <v>PADD 5</v>
      </c>
      <c r="G1277" s="6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6" t="s">
        <v>428</v>
      </c>
      <c r="I1277" s="6" t="s">
        <v>481</v>
      </c>
      <c r="J1277" s="6" t="s">
        <v>398</v>
      </c>
      <c r="K1277" s="10">
        <v>9.57</v>
      </c>
      <c r="L1277" s="10">
        <v>16.5</v>
      </c>
      <c r="M1277" s="6" t="s">
        <v>436</v>
      </c>
      <c r="N1277" s="6">
        <f>IF(OR($G1277="FCC",$G1277="Hydrocracker",$G1277="Reformer"),IF(COUNTIFS($D:$D,$D1277,$A:$A,$A1277,$B:$B,$B1277,$G:$G,"CDU",$J:$J,"PLANNED")&gt;0,"tied","standalone"),"")</f>
        <v/>
      </c>
    </row>
    <row r="1278" spans="1:14">
      <c r="A1278" s="6">
        <v>2023</v>
      </c>
      <c r="B1278" s="6">
        <v>5</v>
      </c>
      <c r="C1278" s="6" t="s">
        <v>64</v>
      </c>
      <c r="D1278" s="6" t="s">
        <v>865</v>
      </c>
      <c r="E1278" s="6" t="s">
        <v>502</v>
      </c>
      <c r="F1278" s="6" t="str">
        <f>IF($M1278="PADD I","PADD 1",IF($M1278="PADD II","PADD 2",IF($M1278="PADD III","PADD 3",IF($M1278="PADD IV","PADD 4",IF($M1278="PADD V","PADD 5","")))))</f>
        <v>PADD 4</v>
      </c>
      <c r="G1278" s="6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6" t="s">
        <v>426</v>
      </c>
      <c r="I1278" s="6" t="s">
        <v>886</v>
      </c>
      <c r="J1278" s="6" t="s">
        <v>398</v>
      </c>
      <c r="K1278" s="10">
        <v>9.24</v>
      </c>
      <c r="L1278" s="10">
        <v>11</v>
      </c>
      <c r="M1278" s="6" t="s">
        <v>480</v>
      </c>
      <c r="N1278" s="6" t="str">
        <f>IF(OR($G1278="FCC",$G1278="Hydrocracker",$G1278="Reformer"),IF(COUNTIFS($D:$D,$D1278,$A:$A,$A1278,$B:$B,$B1278,$G:$G,"CDU",$J:$J,"PLANNED")&gt;0,"tied","standalone"),"")</f>
        <v>tied</v>
      </c>
    </row>
    <row r="1279" spans="1:14">
      <c r="A1279" s="6">
        <v>2023</v>
      </c>
      <c r="B1279" s="6">
        <v>5</v>
      </c>
      <c r="C1279" s="6" t="s">
        <v>64</v>
      </c>
      <c r="D1279" s="6" t="s">
        <v>626</v>
      </c>
      <c r="E1279" s="6" t="s">
        <v>419</v>
      </c>
      <c r="F1279" s="6" t="str">
        <f>IF($M1279="PADD I","PADD 1",IF($M1279="PADD II","PADD 2",IF($M1279="PADD III","PADD 3",IF($M1279="PADD IV","PADD 4",IF($M1279="PADD V","PADD 5","")))))</f>
        <v>PADD 3</v>
      </c>
      <c r="G1279" s="6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6" t="s">
        <v>471</v>
      </c>
      <c r="I1279" s="6" t="s">
        <v>533</v>
      </c>
      <c r="J1279" s="6" t="s">
        <v>394</v>
      </c>
      <c r="K1279" s="10">
        <v>9.24</v>
      </c>
      <c r="L1279" s="10">
        <v>12</v>
      </c>
      <c r="M1279" s="6" t="s">
        <v>421</v>
      </c>
      <c r="N1279" s="6" t="str">
        <f>IF(OR($G1279="FCC",$G1279="Hydrocracker",$G1279="Reformer"),IF(COUNTIFS($D:$D,$D1279,$A:$A,$A1279,$B:$B,$B1279,$G:$G,"CDU",$J:$J,"PLANNED")&gt;0,"tied","standalone"),"")</f>
        <v>standalone</v>
      </c>
    </row>
    <row r="1280" spans="1:14">
      <c r="A1280" s="6">
        <v>2023</v>
      </c>
      <c r="B1280" s="6">
        <v>5</v>
      </c>
      <c r="C1280" s="6" t="s">
        <v>64</v>
      </c>
      <c r="D1280" s="6" t="s">
        <v>518</v>
      </c>
      <c r="E1280" s="6" t="s">
        <v>419</v>
      </c>
      <c r="F1280" s="6" t="str">
        <f>IF($M1280="PADD I","PADD 1",IF($M1280="PADD II","PADD 2",IF($M1280="PADD III","PADD 3",IF($M1280="PADD IV","PADD 4",IF($M1280="PADD V","PADD 5","")))))</f>
        <v>PADD 3</v>
      </c>
      <c r="G1280" s="6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6" t="s">
        <v>39</v>
      </c>
      <c r="I1280" s="6" t="s">
        <v>611</v>
      </c>
      <c r="J1280" s="6" t="s">
        <v>394</v>
      </c>
      <c r="K1280" s="10">
        <v>9.225</v>
      </c>
      <c r="L1280" s="10">
        <v>20.5</v>
      </c>
      <c r="M1280" s="6" t="s">
        <v>421</v>
      </c>
      <c r="N1280" s="6">
        <f>IF(OR($G1280="FCC",$G1280="Hydrocracker",$G1280="Reformer"),IF(COUNTIFS($D:$D,$D1280,$A:$A,$A1280,$B:$B,$B1280,$G:$G,"CDU",$J:$J,"PLANNED")&gt;0,"tied","standalone"),"")</f>
        <v/>
      </c>
    </row>
    <row r="1281" spans="1:14">
      <c r="A1281" s="6">
        <v>2023</v>
      </c>
      <c r="B1281" s="6">
        <v>5</v>
      </c>
      <c r="C1281" s="6" t="s">
        <v>64</v>
      </c>
      <c r="D1281" s="6" t="s">
        <v>53</v>
      </c>
      <c r="E1281" s="6" t="s">
        <v>438</v>
      </c>
      <c r="F1281" s="6" t="str">
        <f>IF($M1281="PADD I","PADD 1",IF($M1281="PADD II","PADD 2",IF($M1281="PADD III","PADD 3",IF($M1281="PADD IV","PADD 4",IF($M1281="PADD V","PADD 5","")))))</f>
        <v>PADD 5</v>
      </c>
      <c r="G1281" s="6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6" t="s">
        <v>44</v>
      </c>
      <c r="I1281" s="6" t="s">
        <v>551</v>
      </c>
      <c r="J1281" s="6" t="s">
        <v>398</v>
      </c>
      <c r="K1281" s="10">
        <v>8.699999999999999</v>
      </c>
      <c r="L1281" s="10">
        <v>15</v>
      </c>
      <c r="M1281" s="6" t="s">
        <v>436</v>
      </c>
      <c r="N1281" s="6">
        <f>IF(OR($G1281="FCC",$G1281="Hydrocracker",$G1281="Reformer"),IF(COUNTIFS($D:$D,$D1281,$A:$A,$A1281,$B:$B,$B1281,$G:$G,"CDU",$J:$J,"PLANNED")&gt;0,"tied","standalone"),"")</f>
        <v/>
      </c>
    </row>
    <row r="1282" spans="1:14">
      <c r="A1282" s="6">
        <v>2023</v>
      </c>
      <c r="B1282" s="6">
        <v>5</v>
      </c>
      <c r="C1282" s="6" t="s">
        <v>64</v>
      </c>
      <c r="D1282" s="6" t="s">
        <v>540</v>
      </c>
      <c r="E1282" s="6" t="s">
        <v>541</v>
      </c>
      <c r="F1282" s="6" t="str">
        <f>IF($M1282="PADD I","PADD 1",IF($M1282="PADD II","PADD 2",IF($M1282="PADD III","PADD 3",IF($M1282="PADD IV","PADD 4",IF($M1282="PADD V","PADD 5","")))))</f>
        <v>PADD 3</v>
      </c>
      <c r="G1282" s="6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6" t="s">
        <v>485</v>
      </c>
      <c r="I1282" s="6" t="s">
        <v>737</v>
      </c>
      <c r="J1282" s="6" t="s">
        <v>398</v>
      </c>
      <c r="K1282" s="10">
        <v>8.640000000000001</v>
      </c>
      <c r="L1282" s="10">
        <v>54</v>
      </c>
      <c r="M1282" s="6" t="s">
        <v>421</v>
      </c>
      <c r="N1282" s="6">
        <f>IF(OR($G1282="FCC",$G1282="Hydrocracker",$G1282="Reformer"),IF(COUNTIFS($D:$D,$D1282,$A:$A,$A1282,$B:$B,$B1282,$G:$G,"CDU",$J:$J,"PLANNED")&gt;0,"tied","standalone"),"")</f>
        <v/>
      </c>
    </row>
    <row r="1283" spans="1:14">
      <c r="A1283" s="6">
        <v>2023</v>
      </c>
      <c r="B1283" s="6">
        <v>5</v>
      </c>
      <c r="C1283" s="6" t="s">
        <v>64</v>
      </c>
      <c r="D1283" s="6" t="s">
        <v>487</v>
      </c>
      <c r="E1283" s="6" t="s">
        <v>488</v>
      </c>
      <c r="F1283" s="6" t="str">
        <f>IF($M1283="PADD I","PADD 1",IF($M1283="PADD II","PADD 2",IF($M1283="PADD III","PADD 3",IF($M1283="PADD IV","PADD 4",IF($M1283="PADD V","PADD 5","")))))</f>
        <v>PADD 4</v>
      </c>
      <c r="G1283" s="6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6" t="s">
        <v>426</v>
      </c>
      <c r="I1283" s="6" t="s">
        <v>478</v>
      </c>
      <c r="J1283" s="6" t="s">
        <v>398</v>
      </c>
      <c r="K1283" s="10">
        <v>8.5</v>
      </c>
      <c r="L1283" s="10">
        <v>8.5</v>
      </c>
      <c r="M1283" s="6" t="s">
        <v>480</v>
      </c>
      <c r="N1283" s="6" t="str">
        <f>IF(OR($G1283="FCC",$G1283="Hydrocracker",$G1283="Reformer"),IF(COUNTIFS($D:$D,$D1283,$A:$A,$A1283,$B:$B,$B1283,$G:$G,"CDU",$J:$J,"PLANNED")&gt;0,"tied","standalone"),"")</f>
        <v>tied</v>
      </c>
    </row>
    <row r="1284" spans="1:14">
      <c r="A1284" s="6">
        <v>2023</v>
      </c>
      <c r="B1284" s="6">
        <v>5</v>
      </c>
      <c r="C1284" s="6" t="s">
        <v>64</v>
      </c>
      <c r="D1284" s="6" t="s">
        <v>484</v>
      </c>
      <c r="E1284" s="6" t="s">
        <v>438</v>
      </c>
      <c r="F1284" s="6" t="str">
        <f>IF($M1284="PADD I","PADD 1",IF($M1284="PADD II","PADD 2",IF($M1284="PADD III","PADD 3",IF($M1284="PADD IV","PADD 4",IF($M1284="PADD V","PADD 5","")))))</f>
        <v>PADD 5</v>
      </c>
      <c r="G1284" s="6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6" t="s">
        <v>494</v>
      </c>
      <c r="I1284" s="6" t="s">
        <v>14</v>
      </c>
      <c r="J1284" s="6" t="s">
        <v>398</v>
      </c>
      <c r="K1284" s="10">
        <v>8.464</v>
      </c>
      <c r="L1284" s="10">
        <v>36.8</v>
      </c>
      <c r="M1284" s="6" t="s">
        <v>436</v>
      </c>
      <c r="N1284" s="6" t="str">
        <f>IF(OR($G1284="FCC",$G1284="Hydrocracker",$G1284="Reformer"),IF(COUNTIFS($D:$D,$D1284,$A:$A,$A1284,$B:$B,$B1284,$G:$G,"CDU",$J:$J,"PLANNED")&gt;0,"tied","standalone"),"")</f>
        <v>standalone</v>
      </c>
    </row>
    <row r="1285" spans="1:14">
      <c r="A1285" s="6">
        <v>2023</v>
      </c>
      <c r="B1285" s="6">
        <v>5</v>
      </c>
      <c r="C1285" s="6" t="s">
        <v>64</v>
      </c>
      <c r="D1285" s="6" t="s">
        <v>518</v>
      </c>
      <c r="E1285" s="6" t="s">
        <v>419</v>
      </c>
      <c r="F1285" s="6" t="str">
        <f>IF($M1285="PADD I","PADD 1",IF($M1285="PADD II","PADD 2",IF($M1285="PADD III","PADD 3",IF($M1285="PADD IV","PADD 4",IF($M1285="PADD V","PADD 5","")))))</f>
        <v>PADD 3</v>
      </c>
      <c r="G1285" s="6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6" t="s">
        <v>39</v>
      </c>
      <c r="I1285" s="6" t="s">
        <v>615</v>
      </c>
      <c r="J1285" s="6" t="s">
        <v>394</v>
      </c>
      <c r="K1285" s="10">
        <v>8.324999999999999</v>
      </c>
      <c r="L1285" s="10">
        <v>18.5</v>
      </c>
      <c r="M1285" s="6" t="s">
        <v>421</v>
      </c>
      <c r="N1285" s="6">
        <f>IF(OR($G1285="FCC",$G1285="Hydrocracker",$G1285="Reformer"),IF(COUNTIFS($D:$D,$D1285,$A:$A,$A1285,$B:$B,$B1285,$G:$G,"CDU",$J:$J,"PLANNED")&gt;0,"tied","standalone"),"")</f>
        <v/>
      </c>
    </row>
    <row r="1286" spans="1:14">
      <c r="A1286" s="6">
        <v>2023</v>
      </c>
      <c r="B1286" s="6">
        <v>5</v>
      </c>
      <c r="C1286" s="6" t="s">
        <v>64</v>
      </c>
      <c r="D1286" s="6" t="s">
        <v>822</v>
      </c>
      <c r="E1286" s="6" t="s">
        <v>455</v>
      </c>
      <c r="F1286" s="6" t="str">
        <f>IF($M1286="PADD I","PADD 1",IF($M1286="PADD II","PADD 2",IF($M1286="PADD III","PADD 3",IF($M1286="PADD IV","PADD 4",IF($M1286="PADD V","PADD 5","")))))</f>
        <v>PADD 3</v>
      </c>
      <c r="G1286" s="6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6" t="s">
        <v>494</v>
      </c>
      <c r="I1286" s="6" t="s">
        <v>911</v>
      </c>
      <c r="J1286" s="6" t="s">
        <v>394</v>
      </c>
      <c r="K1286" s="10">
        <v>8.279999999999999</v>
      </c>
      <c r="L1286" s="10">
        <v>36</v>
      </c>
      <c r="M1286" s="6" t="s">
        <v>421</v>
      </c>
      <c r="N1286" s="6" t="str">
        <f>IF(OR($G1286="FCC",$G1286="Hydrocracker",$G1286="Reformer"),IF(COUNTIFS($D:$D,$D1286,$A:$A,$A1286,$B:$B,$B1286,$G:$G,"CDU",$J:$J,"PLANNED")&gt;0,"tied","standalone"),"")</f>
        <v>standalone</v>
      </c>
    </row>
    <row r="1287" spans="1:14">
      <c r="A1287" s="6">
        <v>2023</v>
      </c>
      <c r="B1287" s="6">
        <v>5</v>
      </c>
      <c r="C1287" s="6" t="s">
        <v>64</v>
      </c>
      <c r="D1287" s="6" t="s">
        <v>496</v>
      </c>
      <c r="E1287" s="6" t="s">
        <v>441</v>
      </c>
      <c r="F1287" s="6" t="str">
        <f>IF($M1287="PADD I","PADD 1",IF($M1287="PADD II","PADD 2",IF($M1287="PADD III","PADD 3",IF($M1287="PADD IV","PADD 4",IF($M1287="PADD V","PADD 5","")))))</f>
        <v>PADD 3</v>
      </c>
      <c r="G1287" s="6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6" t="s">
        <v>39</v>
      </c>
      <c r="I1287" s="6" t="s">
        <v>82</v>
      </c>
      <c r="J1287" s="6" t="s">
        <v>394</v>
      </c>
      <c r="K1287" s="10">
        <v>8.15</v>
      </c>
      <c r="L1287" s="10">
        <v>81.5</v>
      </c>
      <c r="M1287" s="6" t="s">
        <v>421</v>
      </c>
      <c r="N1287" s="6">
        <f>IF(OR($G1287="FCC",$G1287="Hydrocracker",$G1287="Reformer"),IF(COUNTIFS($D:$D,$D1287,$A:$A,$A1287,$B:$B,$B1287,$G:$G,"CDU",$J:$J,"PLANNED")&gt;0,"tied","standalone"),"")</f>
        <v/>
      </c>
    </row>
    <row r="1288" spans="1:14">
      <c r="A1288" s="6">
        <v>2023</v>
      </c>
      <c r="B1288" s="6">
        <v>5</v>
      </c>
      <c r="C1288" s="6" t="s">
        <v>64</v>
      </c>
      <c r="D1288" s="6" t="s">
        <v>470</v>
      </c>
      <c r="E1288" s="6" t="s">
        <v>423</v>
      </c>
      <c r="F1288" s="6" t="str">
        <f>IF($M1288="PADD I","PADD 1",IF($M1288="PADD II","PADD 2",IF($M1288="PADD III","PADD 3",IF($M1288="PADD IV","PADD 4",IF($M1288="PADD V","PADD 5","")))))</f>
        <v>PADD 2</v>
      </c>
      <c r="G1288" s="6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6" t="s">
        <v>471</v>
      </c>
      <c r="I1288" s="6" t="s">
        <v>621</v>
      </c>
      <c r="J1288" s="6" t="s">
        <v>394</v>
      </c>
      <c r="K1288" s="10">
        <v>8</v>
      </c>
      <c r="L1288" s="10">
        <v>8</v>
      </c>
      <c r="M1288" s="6" t="s">
        <v>425</v>
      </c>
      <c r="N1288" s="6" t="str">
        <f>IF(OR($G1288="FCC",$G1288="Hydrocracker",$G1288="Reformer"),IF(COUNTIFS($D:$D,$D1288,$A:$A,$A1288,$B:$B,$B1288,$G:$G,"CDU",$J:$J,"PLANNED")&gt;0,"tied","standalone"),"")</f>
        <v>standalone</v>
      </c>
    </row>
    <row r="1289" spans="1:14">
      <c r="A1289" s="6">
        <v>2023</v>
      </c>
      <c r="B1289" s="6">
        <v>5</v>
      </c>
      <c r="C1289" s="6" t="s">
        <v>64</v>
      </c>
      <c r="D1289" s="6" t="s">
        <v>437</v>
      </c>
      <c r="E1289" s="6" t="s">
        <v>438</v>
      </c>
      <c r="F1289" s="6" t="str">
        <f>IF($M1289="PADD I","PADD 1",IF($M1289="PADD II","PADD 2",IF($M1289="PADD III","PADD 3",IF($M1289="PADD IV","PADD 4",IF($M1289="PADD V","PADD 5","")))))</f>
        <v>PADD 3</v>
      </c>
      <c r="G1289" s="6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6" t="s">
        <v>39</v>
      </c>
      <c r="I1289" s="6" t="s">
        <v>439</v>
      </c>
      <c r="J1289" s="6" t="s">
        <v>394</v>
      </c>
      <c r="K1289" s="10">
        <v>7.95</v>
      </c>
      <c r="L1289" s="10">
        <v>265</v>
      </c>
      <c r="M1289" s="6" t="s">
        <v>421</v>
      </c>
      <c r="N1289" s="6">
        <f>IF(OR($G1289="FCC",$G1289="Hydrocracker",$G1289="Reformer"),IF(COUNTIFS($D:$D,$D1289,$A:$A,$A1289,$B:$B,$B1289,$G:$G,"CDU",$J:$J,"PLANNED")&gt;0,"tied","standalone"),"")</f>
        <v/>
      </c>
    </row>
    <row r="1290" spans="1:14">
      <c r="A1290" s="6">
        <v>2023</v>
      </c>
      <c r="B1290" s="6">
        <v>5</v>
      </c>
      <c r="C1290" s="6" t="s">
        <v>64</v>
      </c>
      <c r="D1290" s="6" t="s">
        <v>470</v>
      </c>
      <c r="E1290" s="6" t="s">
        <v>423</v>
      </c>
      <c r="F1290" s="6" t="str">
        <f>IF($M1290="PADD I","PADD 1",IF($M1290="PADD II","PADD 2",IF($M1290="PADD III","PADD 3",IF($M1290="PADD IV","PADD 4",IF($M1290="PADD V","PADD 5","")))))</f>
        <v>PADD 2</v>
      </c>
      <c r="G1290" s="6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6" t="s">
        <v>44</v>
      </c>
      <c r="I1290" s="6" t="s">
        <v>627</v>
      </c>
      <c r="J1290" s="6" t="s">
        <v>394</v>
      </c>
      <c r="K1290" s="10">
        <v>7.7</v>
      </c>
      <c r="L1290" s="10">
        <v>7.7</v>
      </c>
      <c r="M1290" s="6" t="s">
        <v>425</v>
      </c>
      <c r="N1290" s="6">
        <f>IF(OR($G1290="FCC",$G1290="Hydrocracker",$G1290="Reformer"),IF(COUNTIFS($D:$D,$D1290,$A:$A,$A1290,$B:$B,$B1290,$G:$G,"CDU",$J:$J,"PLANNED")&gt;0,"tied","standalone"),"")</f>
        <v/>
      </c>
    </row>
    <row r="1291" spans="1:14">
      <c r="A1291" s="6">
        <v>2023</v>
      </c>
      <c r="B1291" s="6">
        <v>5</v>
      </c>
      <c r="C1291" s="6" t="s">
        <v>64</v>
      </c>
      <c r="D1291" s="6" t="s">
        <v>764</v>
      </c>
      <c r="E1291" s="6" t="s">
        <v>455</v>
      </c>
      <c r="F1291" s="6" t="str">
        <f>IF($M1291="PADD I","PADD 1",IF($M1291="PADD II","PADD 2",IF($M1291="PADD III","PADD 3",IF($M1291="PADD IV","PADD 4",IF($M1291="PADD V","PADD 5","")))))</f>
        <v>PADD 3</v>
      </c>
      <c r="G1291" s="6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6" t="s">
        <v>426</v>
      </c>
      <c r="I1291" s="6" t="s">
        <v>106</v>
      </c>
      <c r="J1291" s="6" t="s">
        <v>394</v>
      </c>
      <c r="K1291" s="10">
        <v>7.6</v>
      </c>
      <c r="L1291" s="10">
        <v>76</v>
      </c>
      <c r="M1291" s="6" t="s">
        <v>421</v>
      </c>
      <c r="N1291" s="6" t="str">
        <f>IF(OR($G1291="FCC",$G1291="Hydrocracker",$G1291="Reformer"),IF(COUNTIFS($D:$D,$D1291,$A:$A,$A1291,$B:$B,$B1291,$G:$G,"CDU",$J:$J,"PLANNED")&gt;0,"tied","standalone"),"")</f>
        <v>standalone</v>
      </c>
    </row>
    <row r="1292" spans="1:14">
      <c r="A1292" s="6">
        <v>2023</v>
      </c>
      <c r="B1292" s="6">
        <v>5</v>
      </c>
      <c r="C1292" s="6" t="s">
        <v>64</v>
      </c>
      <c r="D1292" s="6" t="s">
        <v>382</v>
      </c>
      <c r="E1292" s="6" t="s">
        <v>431</v>
      </c>
      <c r="F1292" s="6" t="str">
        <f>IF($M1292="PADD I","PADD 1",IF($M1292="PADD II","PADD 2",IF($M1292="PADD III","PADD 3",IF($M1292="PADD IV","PADD 4",IF($M1292="PADD V","PADD 5","")))))</f>
        <v>PADD 3</v>
      </c>
      <c r="G1292" s="6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6" t="s">
        <v>39</v>
      </c>
      <c r="I1292" s="6" t="s">
        <v>729</v>
      </c>
      <c r="J1292" s="6" t="s">
        <v>394</v>
      </c>
      <c r="K1292" s="10">
        <v>7.5</v>
      </c>
      <c r="L1292" s="10">
        <v>250</v>
      </c>
      <c r="M1292" s="6" t="s">
        <v>421</v>
      </c>
      <c r="N1292" s="6">
        <f>IF(OR($G1292="FCC",$G1292="Hydrocracker",$G1292="Reformer"),IF(COUNTIFS($D:$D,$D1292,$A:$A,$A1292,$B:$B,$B1292,$G:$G,"CDU",$J:$J,"PLANNED")&gt;0,"tied","standalone"),"")</f>
        <v/>
      </c>
    </row>
    <row r="1293" spans="1:14">
      <c r="A1293" s="6">
        <v>2023</v>
      </c>
      <c r="B1293" s="6">
        <v>5</v>
      </c>
      <c r="C1293" s="6" t="s">
        <v>64</v>
      </c>
      <c r="D1293" s="6" t="s">
        <v>470</v>
      </c>
      <c r="E1293" s="6" t="s">
        <v>423</v>
      </c>
      <c r="F1293" s="6" t="str">
        <f>IF($M1293="PADD I","PADD 1",IF($M1293="PADD II","PADD 2",IF($M1293="PADD III","PADD 3",IF($M1293="PADD IV","PADD 4",IF($M1293="PADD V","PADD 5","")))))</f>
        <v>PADD 2</v>
      </c>
      <c r="G1293" s="6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6" t="s">
        <v>44</v>
      </c>
      <c r="I1293" s="6" t="s">
        <v>508</v>
      </c>
      <c r="J1293" s="6" t="s">
        <v>394</v>
      </c>
      <c r="K1293" s="10">
        <v>7.5</v>
      </c>
      <c r="L1293" s="10">
        <v>7.5</v>
      </c>
      <c r="M1293" s="6" t="s">
        <v>425</v>
      </c>
      <c r="N1293" s="6">
        <f>IF(OR($G1293="FCC",$G1293="Hydrocracker",$G1293="Reformer"),IF(COUNTIFS($D:$D,$D1293,$A:$A,$A1293,$B:$B,$B1293,$G:$G,"CDU",$J:$J,"PLANNED")&gt;0,"tied","standalone"),"")</f>
        <v/>
      </c>
    </row>
    <row r="1294" spans="1:14">
      <c r="A1294" s="6">
        <v>2023</v>
      </c>
      <c r="B1294" s="6">
        <v>5</v>
      </c>
      <c r="C1294" s="6" t="s">
        <v>64</v>
      </c>
      <c r="D1294" s="6" t="s">
        <v>54</v>
      </c>
      <c r="E1294" s="6" t="s">
        <v>593</v>
      </c>
      <c r="F1294" s="6" t="str">
        <f>IF($M1294="PADD I","PADD 1",IF($M1294="PADD II","PADD 2",IF($M1294="PADD III","PADD 3",IF($M1294="PADD IV","PADD 4",IF($M1294="PADD V","PADD 5","")))))</f>
        <v>PADD 5</v>
      </c>
      <c r="G1294" s="6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6" t="s">
        <v>471</v>
      </c>
      <c r="I1294" s="6" t="s">
        <v>607</v>
      </c>
      <c r="J1294" s="6" t="s">
        <v>394</v>
      </c>
      <c r="K1294" s="10">
        <v>7.455</v>
      </c>
      <c r="L1294" s="10">
        <v>10.5</v>
      </c>
      <c r="M1294" s="6" t="s">
        <v>436</v>
      </c>
      <c r="N1294" s="6" t="str">
        <f>IF(OR($G1294="FCC",$G1294="Hydrocracker",$G1294="Reformer"),IF(COUNTIFS($D:$D,$D1294,$A:$A,$A1294,$B:$B,$B1294,$G:$G,"CDU",$J:$J,"PLANNED")&gt;0,"tied","standalone"),"")</f>
        <v>tied</v>
      </c>
    </row>
    <row r="1295" spans="1:14">
      <c r="A1295" s="6">
        <v>2023</v>
      </c>
      <c r="B1295" s="6">
        <v>5</v>
      </c>
      <c r="C1295" s="6" t="s">
        <v>64</v>
      </c>
      <c r="D1295" s="6" t="s">
        <v>53</v>
      </c>
      <c r="E1295" s="6" t="s">
        <v>438</v>
      </c>
      <c r="F1295" s="6" t="str">
        <f>IF($M1295="PADD I","PADD 1",IF($M1295="PADD II","PADD 2",IF($M1295="PADD III","PADD 3",IF($M1295="PADD IV","PADD 4",IF($M1295="PADD V","PADD 5","")))))</f>
        <v>PADD 5</v>
      </c>
      <c r="G1295" s="6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6" t="s">
        <v>494</v>
      </c>
      <c r="I1295" s="6" t="s">
        <v>14</v>
      </c>
      <c r="J1295" s="6" t="s">
        <v>398</v>
      </c>
      <c r="K1295" s="10">
        <v>7.25</v>
      </c>
      <c r="L1295" s="10">
        <v>12.5</v>
      </c>
      <c r="M1295" s="6" t="s">
        <v>436</v>
      </c>
      <c r="N1295" s="6" t="str">
        <f>IF(OR($G1295="FCC",$G1295="Hydrocracker",$G1295="Reformer"),IF(COUNTIFS($D:$D,$D1295,$A:$A,$A1295,$B:$B,$B1295,$G:$G,"CDU",$J:$J,"PLANNED")&gt;0,"tied","standalone"),"")</f>
        <v>tied</v>
      </c>
    </row>
    <row r="1296" spans="1:14">
      <c r="A1296" s="6">
        <v>2023</v>
      </c>
      <c r="B1296" s="6">
        <v>5</v>
      </c>
      <c r="C1296" s="6" t="s">
        <v>64</v>
      </c>
      <c r="D1296" s="6" t="s">
        <v>765</v>
      </c>
      <c r="E1296" s="6" t="s">
        <v>766</v>
      </c>
      <c r="F1296" s="6" t="str">
        <f>IF($M1296="PADD I","PADD 1",IF($M1296="PADD II","PADD 2",IF($M1296="PADD III","PADD 3",IF($M1296="PADD IV","PADD 4",IF($M1296="PADD V","PADD 5","")))))</f>
        <v>PADD 2</v>
      </c>
      <c r="G1296" s="6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6" t="s">
        <v>510</v>
      </c>
      <c r="I1296" s="6" t="s">
        <v>666</v>
      </c>
      <c r="J1296" s="6" t="s">
        <v>398</v>
      </c>
      <c r="K1296" s="10">
        <v>7.2</v>
      </c>
      <c r="L1296" s="10">
        <v>16</v>
      </c>
      <c r="M1296" s="6" t="s">
        <v>425</v>
      </c>
      <c r="N1296" s="6">
        <f>IF(OR($G1296="FCC",$G1296="Hydrocracker",$G1296="Reformer"),IF(COUNTIFS($D:$D,$D1296,$A:$A,$A1296,$B:$B,$B1296,$G:$G,"CDU",$J:$J,"PLANNED")&gt;0,"tied","standalone"),"")</f>
        <v/>
      </c>
    </row>
    <row r="1297" spans="1:14">
      <c r="A1297" s="6">
        <v>2023</v>
      </c>
      <c r="B1297" s="6">
        <v>5</v>
      </c>
      <c r="C1297" s="6" t="s">
        <v>64</v>
      </c>
      <c r="D1297" s="6" t="s">
        <v>496</v>
      </c>
      <c r="E1297" s="6" t="s">
        <v>441</v>
      </c>
      <c r="F1297" s="6" t="str">
        <f>IF($M1297="PADD I","PADD 1",IF($M1297="PADD II","PADD 2",IF($M1297="PADD III","PADD 3",IF($M1297="PADD IV","PADD 4",IF($M1297="PADD V","PADD 5","")))))</f>
        <v>PADD 3</v>
      </c>
      <c r="G1297" s="6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6" t="s">
        <v>510</v>
      </c>
      <c r="I1297" s="6" t="s">
        <v>630</v>
      </c>
      <c r="J1297" s="6" t="s">
        <v>394</v>
      </c>
      <c r="K1297" s="10">
        <v>7.2</v>
      </c>
      <c r="L1297" s="10">
        <v>7.2</v>
      </c>
      <c r="M1297" s="6" t="s">
        <v>421</v>
      </c>
      <c r="N1297" s="6">
        <f>IF(OR($G1297="FCC",$G1297="Hydrocracker",$G1297="Reformer"),IF(COUNTIFS($D:$D,$D1297,$A:$A,$A1297,$B:$B,$B1297,$G:$G,"CDU",$J:$J,"PLANNED")&gt;0,"tied","standalone"),"")</f>
        <v/>
      </c>
    </row>
    <row r="1298" spans="1:14">
      <c r="A1298" s="6">
        <v>2023</v>
      </c>
      <c r="B1298" s="6">
        <v>5</v>
      </c>
      <c r="C1298" s="6" t="s">
        <v>64</v>
      </c>
      <c r="D1298" s="6" t="s">
        <v>849</v>
      </c>
      <c r="E1298" s="6" t="s">
        <v>441</v>
      </c>
      <c r="F1298" s="6" t="str">
        <f>IF($M1298="PADD I","PADD 1",IF($M1298="PADD II","PADD 2",IF($M1298="PADD III","PADD 3",IF($M1298="PADD IV","PADD 4",IF($M1298="PADD V","PADD 5","")))))</f>
        <v>PADD 4</v>
      </c>
      <c r="G1298" s="6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6" t="s">
        <v>426</v>
      </c>
      <c r="I1298" s="6" t="s">
        <v>850</v>
      </c>
      <c r="J1298" s="6" t="s">
        <v>398</v>
      </c>
      <c r="K1298" s="10">
        <v>7.15</v>
      </c>
      <c r="L1298" s="10">
        <v>13</v>
      </c>
      <c r="M1298" s="6" t="s">
        <v>480</v>
      </c>
      <c r="N1298" s="6" t="str">
        <f>IF(OR($G1298="FCC",$G1298="Hydrocracker",$G1298="Reformer"),IF(COUNTIFS($D:$D,$D1298,$A:$A,$A1298,$B:$B,$B1298,$G:$G,"CDU",$J:$J,"PLANNED")&gt;0,"tied","standalone"),"")</f>
        <v>standalone</v>
      </c>
    </row>
    <row r="1299" spans="1:14">
      <c r="A1299" s="6">
        <v>2023</v>
      </c>
      <c r="B1299" s="6">
        <v>5</v>
      </c>
      <c r="C1299" s="6" t="s">
        <v>64</v>
      </c>
      <c r="D1299" s="6" t="s">
        <v>53</v>
      </c>
      <c r="E1299" s="6" t="s">
        <v>438</v>
      </c>
      <c r="F1299" s="6" t="str">
        <f>IF($M1299="PADD I","PADD 1",IF($M1299="PADD II","PADD 2",IF($M1299="PADD III","PADD 3",IF($M1299="PADD IV","PADD 4",IF($M1299="PADD V","PADD 5","")))))</f>
        <v>PADD 5</v>
      </c>
      <c r="G1299" s="6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6" t="s">
        <v>471</v>
      </c>
      <c r="I1299" s="6" t="s">
        <v>775</v>
      </c>
      <c r="J1299" s="6" t="s">
        <v>398</v>
      </c>
      <c r="K1299" s="10">
        <v>6.96</v>
      </c>
      <c r="L1299" s="10">
        <v>12</v>
      </c>
      <c r="M1299" s="6" t="s">
        <v>436</v>
      </c>
      <c r="N1299" s="6" t="str">
        <f>IF(OR($G1299="FCC",$G1299="Hydrocracker",$G1299="Reformer"),IF(COUNTIFS($D:$D,$D1299,$A:$A,$A1299,$B:$B,$B1299,$G:$G,"CDU",$J:$J,"PLANNED")&gt;0,"tied","standalone"),"")</f>
        <v>tied</v>
      </c>
    </row>
    <row r="1300" spans="1:14">
      <c r="A1300" s="6">
        <v>2023</v>
      </c>
      <c r="B1300" s="6">
        <v>5</v>
      </c>
      <c r="C1300" s="6" t="s">
        <v>64</v>
      </c>
      <c r="D1300" s="6" t="s">
        <v>561</v>
      </c>
      <c r="E1300" s="6" t="s">
        <v>455</v>
      </c>
      <c r="F1300" s="6" t="str">
        <f>IF($M1300="PADD I","PADD 1",IF($M1300="PADD II","PADD 2",IF($M1300="PADD III","PADD 3",IF($M1300="PADD IV","PADD 4",IF($M1300="PADD V","PADD 5","")))))</f>
        <v>PADD 3</v>
      </c>
      <c r="G1300" s="6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6" t="s">
        <v>39</v>
      </c>
      <c r="I1300" s="6" t="s">
        <v>113</v>
      </c>
      <c r="J1300" s="6" t="s">
        <v>394</v>
      </c>
      <c r="K1300" s="10">
        <v>6.6</v>
      </c>
      <c r="L1300" s="10">
        <v>110</v>
      </c>
      <c r="M1300" s="6" t="s">
        <v>421</v>
      </c>
      <c r="N1300" s="6">
        <f>IF(OR($G1300="FCC",$G1300="Hydrocracker",$G1300="Reformer"),IF(COUNTIFS($D:$D,$D1300,$A:$A,$A1300,$B:$B,$B1300,$G:$G,"CDU",$J:$J,"PLANNED")&gt;0,"tied","standalone"),"")</f>
        <v/>
      </c>
    </row>
    <row r="1301" spans="1:14">
      <c r="A1301" s="6">
        <v>2023</v>
      </c>
      <c r="B1301" s="6">
        <v>5</v>
      </c>
      <c r="C1301" s="6" t="s">
        <v>64</v>
      </c>
      <c r="D1301" s="6" t="s">
        <v>853</v>
      </c>
      <c r="E1301" s="6" t="s">
        <v>438</v>
      </c>
      <c r="F1301" s="6" t="str">
        <f>IF($M1301="PADD I","PADD 1",IF($M1301="PADD II","PADD 2",IF($M1301="PADD III","PADD 3",IF($M1301="PADD IV","PADD 4",IF($M1301="PADD V","PADD 5","")))))</f>
        <v>PADD 2</v>
      </c>
      <c r="G1301" s="6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6" t="s">
        <v>426</v>
      </c>
      <c r="I1301" s="6" t="s">
        <v>106</v>
      </c>
      <c r="J1301" s="6" t="s">
        <v>394</v>
      </c>
      <c r="K1301" s="10">
        <v>6.555</v>
      </c>
      <c r="L1301" s="10">
        <v>28.5</v>
      </c>
      <c r="M1301" s="6" t="s">
        <v>425</v>
      </c>
      <c r="N1301" s="6" t="str">
        <f>IF(OR($G1301="FCC",$G1301="Hydrocracker",$G1301="Reformer"),IF(COUNTIFS($D:$D,$D1301,$A:$A,$A1301,$B:$B,$B1301,$G:$G,"CDU",$J:$J,"PLANNED")&gt;0,"tied","standalone"),"")</f>
        <v>standalone</v>
      </c>
    </row>
    <row r="1302" spans="1:14">
      <c r="A1302" s="6">
        <v>2023</v>
      </c>
      <c r="B1302" s="6">
        <v>5</v>
      </c>
      <c r="C1302" s="6" t="s">
        <v>64</v>
      </c>
      <c r="D1302" s="6" t="s">
        <v>820</v>
      </c>
      <c r="E1302" s="6" t="s">
        <v>710</v>
      </c>
      <c r="F1302" s="6" t="str">
        <f>IF($M1302="PADD I","PADD 1",IF($M1302="PADD II","PADD 2",IF($M1302="PADD III","PADD 3",IF($M1302="PADD IV","PADD 4",IF($M1302="PADD V","PADD 5","")))))</f>
        <v>PADD 3</v>
      </c>
      <c r="G1302" s="6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6" t="s">
        <v>471</v>
      </c>
      <c r="I1302" s="6" t="s">
        <v>860</v>
      </c>
      <c r="J1302" s="6" t="s">
        <v>398</v>
      </c>
      <c r="K1302" s="10">
        <v>6.4</v>
      </c>
      <c r="L1302" s="10">
        <v>6.4</v>
      </c>
      <c r="M1302" s="6" t="s">
        <v>421</v>
      </c>
      <c r="N1302" s="6" t="str">
        <f>IF(OR($G1302="FCC",$G1302="Hydrocracker",$G1302="Reformer"),IF(COUNTIFS($D:$D,$D1302,$A:$A,$A1302,$B:$B,$B1302,$G:$G,"CDU",$J:$J,"PLANNED")&gt;0,"tied","standalone"),"")</f>
        <v>tied</v>
      </c>
    </row>
    <row r="1303" spans="1:14">
      <c r="A1303" s="6">
        <v>2023</v>
      </c>
      <c r="B1303" s="6">
        <v>5</v>
      </c>
      <c r="C1303" s="6" t="s">
        <v>64</v>
      </c>
      <c r="D1303" s="6" t="s">
        <v>912</v>
      </c>
      <c r="E1303" s="6" t="s">
        <v>906</v>
      </c>
      <c r="F1303" s="6" t="str">
        <f>IF($M1303="PADD I","PADD 1",IF($M1303="PADD II","PADD 2",IF($M1303="PADD III","PADD 3",IF($M1303="PADD IV","PADD 4",IF($M1303="PADD V","PADD 5","")))))</f>
        <v>PADD 5</v>
      </c>
      <c r="G1303" s="6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6" t="s">
        <v>39</v>
      </c>
      <c r="I1303" s="6" t="s">
        <v>907</v>
      </c>
      <c r="J1303" s="6" t="s">
        <v>398</v>
      </c>
      <c r="K1303" s="10">
        <v>6.38</v>
      </c>
      <c r="L1303" s="10">
        <v>22</v>
      </c>
      <c r="M1303" s="6" t="s">
        <v>436</v>
      </c>
      <c r="N1303" s="6">
        <f>IF(OR($G1303="FCC",$G1303="Hydrocracker",$G1303="Reformer"),IF(COUNTIFS($D:$D,$D1303,$A:$A,$A1303,$B:$B,$B1303,$G:$G,"CDU",$J:$J,"PLANNED")&gt;0,"tied","standalone"),"")</f>
        <v/>
      </c>
    </row>
    <row r="1304" spans="1:14">
      <c r="A1304" s="6">
        <v>2023</v>
      </c>
      <c r="B1304" s="6">
        <v>5</v>
      </c>
      <c r="C1304" s="6" t="s">
        <v>64</v>
      </c>
      <c r="D1304" s="6" t="s">
        <v>865</v>
      </c>
      <c r="E1304" s="6" t="s">
        <v>502</v>
      </c>
      <c r="F1304" s="6" t="str">
        <f>IF($M1304="PADD I","PADD 1",IF($M1304="PADD II","PADD 2",IF($M1304="PADD III","PADD 3",IF($M1304="PADD IV","PADD 4",IF($M1304="PADD V","PADD 5","")))))</f>
        <v>PADD 4</v>
      </c>
      <c r="G1304" s="6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6" t="s">
        <v>494</v>
      </c>
      <c r="I1304" s="6" t="s">
        <v>892</v>
      </c>
      <c r="J1304" s="6" t="s">
        <v>398</v>
      </c>
      <c r="K1304" s="10">
        <v>6.3</v>
      </c>
      <c r="L1304" s="10">
        <v>7.5</v>
      </c>
      <c r="M1304" s="6" t="s">
        <v>480</v>
      </c>
      <c r="N1304" s="6" t="str">
        <f>IF(OR($G1304="FCC",$G1304="Hydrocracker",$G1304="Reformer"),IF(COUNTIFS($D:$D,$D1304,$A:$A,$A1304,$B:$B,$B1304,$G:$G,"CDU",$J:$J,"PLANNED")&gt;0,"tied","standalone"),"")</f>
        <v>tied</v>
      </c>
    </row>
    <row r="1305" spans="1:14">
      <c r="A1305" s="6">
        <v>2023</v>
      </c>
      <c r="B1305" s="6">
        <v>5</v>
      </c>
      <c r="C1305" s="6" t="s">
        <v>64</v>
      </c>
      <c r="D1305" s="6" t="s">
        <v>812</v>
      </c>
      <c r="E1305" s="6" t="s">
        <v>813</v>
      </c>
      <c r="F1305" s="6" t="str">
        <f>IF($M1305="PADD I","PADD 1",IF($M1305="PADD II","PADD 2",IF($M1305="PADD III","PADD 3",IF($M1305="PADD IV","PADD 4",IF($M1305="PADD V","PADD 5","")))))</f>
        <v>PADD 2</v>
      </c>
      <c r="G1305" s="6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6" t="s">
        <v>426</v>
      </c>
      <c r="I1305" s="6" t="s">
        <v>106</v>
      </c>
      <c r="J1305" s="6" t="s">
        <v>394</v>
      </c>
      <c r="K1305" s="10">
        <v>6.09</v>
      </c>
      <c r="L1305" s="10">
        <v>21</v>
      </c>
      <c r="M1305" s="6" t="s">
        <v>425</v>
      </c>
      <c r="N1305" s="6" t="str">
        <f>IF(OR($G1305="FCC",$G1305="Hydrocracker",$G1305="Reformer"),IF(COUNTIFS($D:$D,$D1305,$A:$A,$A1305,$B:$B,$B1305,$G:$G,"CDU",$J:$J,"PLANNED")&gt;0,"tied","standalone"),"")</f>
        <v>standalone</v>
      </c>
    </row>
    <row r="1306" spans="1:14">
      <c r="A1306" s="6">
        <v>2023</v>
      </c>
      <c r="B1306" s="6">
        <v>5</v>
      </c>
      <c r="C1306" s="6" t="s">
        <v>64</v>
      </c>
      <c r="D1306" s="6" t="s">
        <v>782</v>
      </c>
      <c r="E1306" s="6" t="s">
        <v>783</v>
      </c>
      <c r="F1306" s="6" t="str">
        <f>IF($M1306="PADD I","PADD 1",IF($M1306="PADD II","PADD 2",IF($M1306="PADD III","PADD 3",IF($M1306="PADD IV","PADD 4",IF($M1306="PADD V","PADD 5","")))))</f>
        <v>PADD 4</v>
      </c>
      <c r="G1306" s="6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6" t="s">
        <v>44</v>
      </c>
      <c r="I1306" s="6" t="s">
        <v>795</v>
      </c>
      <c r="J1306" s="6" t="s">
        <v>398</v>
      </c>
      <c r="K1306" s="10">
        <v>5.92</v>
      </c>
      <c r="L1306" s="10">
        <v>18.5</v>
      </c>
      <c r="M1306" s="6" t="s">
        <v>480</v>
      </c>
      <c r="N1306" s="6">
        <f>IF(OR($G1306="FCC",$G1306="Hydrocracker",$G1306="Reformer"),IF(COUNTIFS($D:$D,$D1306,$A:$A,$A1306,$B:$B,$B1306,$G:$G,"CDU",$J:$J,"PLANNED")&gt;0,"tied","standalone"),"")</f>
        <v/>
      </c>
    </row>
    <row r="1307" spans="1:14">
      <c r="A1307" s="6">
        <v>2023</v>
      </c>
      <c r="B1307" s="6">
        <v>5</v>
      </c>
      <c r="C1307" s="6" t="s">
        <v>64</v>
      </c>
      <c r="D1307" s="6" t="s">
        <v>458</v>
      </c>
      <c r="E1307" s="6" t="s">
        <v>459</v>
      </c>
      <c r="F1307" s="6" t="str">
        <f>IF($M1307="PADD I","PADD 1",IF($M1307="PADD II","PADD 2",IF($M1307="PADD III","PADD 3",IF($M1307="PADD IV","PADD 4",IF($M1307="PADD V","PADD 5","")))))</f>
        <v>PADD 3</v>
      </c>
      <c r="G1307" s="6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6" t="s">
        <v>44</v>
      </c>
      <c r="I1307" s="6" t="s">
        <v>547</v>
      </c>
      <c r="J1307" s="6" t="s">
        <v>398</v>
      </c>
      <c r="K1307" s="10">
        <v>5.89</v>
      </c>
      <c r="L1307" s="10">
        <v>31</v>
      </c>
      <c r="M1307" s="6" t="s">
        <v>421</v>
      </c>
      <c r="N1307" s="6">
        <f>IF(OR($G1307="FCC",$G1307="Hydrocracker",$G1307="Reformer"),IF(COUNTIFS($D:$D,$D1307,$A:$A,$A1307,$B:$B,$B1307,$G:$G,"CDU",$J:$J,"PLANNED")&gt;0,"tied","standalone"),"")</f>
        <v/>
      </c>
    </row>
    <row r="1308" spans="1:14">
      <c r="A1308" s="6">
        <v>2023</v>
      </c>
      <c r="B1308" s="6">
        <v>5</v>
      </c>
      <c r="C1308" s="6" t="s">
        <v>64</v>
      </c>
      <c r="D1308" s="6" t="s">
        <v>789</v>
      </c>
      <c r="E1308" s="6" t="s">
        <v>455</v>
      </c>
      <c r="F1308" s="6" t="str">
        <f>IF($M1308="PADD I","PADD 1",IF($M1308="PADD II","PADD 2",IF($M1308="PADD III","PADD 3",IF($M1308="PADD IV","PADD 4",IF($M1308="PADD V","PADD 5","")))))</f>
        <v>PADD 2</v>
      </c>
      <c r="G1308" s="6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6" t="s">
        <v>618</v>
      </c>
      <c r="I1308" s="6" t="s">
        <v>654</v>
      </c>
      <c r="J1308" s="6" t="s">
        <v>398</v>
      </c>
      <c r="K1308" s="10">
        <v>5.88</v>
      </c>
      <c r="L1308" s="10">
        <v>7</v>
      </c>
      <c r="M1308" s="6" t="s">
        <v>425</v>
      </c>
      <c r="N1308" s="6">
        <f>IF(OR($G1308="FCC",$G1308="Hydrocracker",$G1308="Reformer"),IF(COUNTIFS($D:$D,$D1308,$A:$A,$A1308,$B:$B,$B1308,$G:$G,"CDU",$J:$J,"PLANNED")&gt;0,"tied","standalone"),"")</f>
        <v/>
      </c>
    </row>
    <row r="1309" spans="1:14">
      <c r="A1309" s="6">
        <v>2023</v>
      </c>
      <c r="B1309" s="6">
        <v>5</v>
      </c>
      <c r="C1309" s="6" t="s">
        <v>64</v>
      </c>
      <c r="D1309" s="6" t="s">
        <v>798</v>
      </c>
      <c r="E1309" s="6" t="s">
        <v>438</v>
      </c>
      <c r="F1309" s="6" t="str">
        <f>IF($M1309="PADD I","PADD 1",IF($M1309="PADD II","PADD 2",IF($M1309="PADD III","PADD 3",IF($M1309="PADD IV","PADD 4",IF($M1309="PADD V","PADD 5","")))))</f>
        <v>PADD 3</v>
      </c>
      <c r="G1309" s="6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6" t="s">
        <v>471</v>
      </c>
      <c r="I1309" s="6" t="s">
        <v>814</v>
      </c>
      <c r="J1309" s="6" t="s">
        <v>398</v>
      </c>
      <c r="K1309" s="10">
        <v>5.85</v>
      </c>
      <c r="L1309" s="10">
        <v>15</v>
      </c>
      <c r="M1309" s="6" t="s">
        <v>421</v>
      </c>
      <c r="N1309" s="6" t="str">
        <f>IF(OR($G1309="FCC",$G1309="Hydrocracker",$G1309="Reformer"),IF(COUNTIFS($D:$D,$D1309,$A:$A,$A1309,$B:$B,$B1309,$G:$G,"CDU",$J:$J,"PLANNED")&gt;0,"tied","standalone"),"")</f>
        <v>tied</v>
      </c>
    </row>
    <row r="1310" spans="1:14">
      <c r="A1310" s="6">
        <v>2023</v>
      </c>
      <c r="B1310" s="6">
        <v>5</v>
      </c>
      <c r="C1310" s="6" t="s">
        <v>64</v>
      </c>
      <c r="D1310" s="6" t="s">
        <v>822</v>
      </c>
      <c r="E1310" s="6" t="s">
        <v>455</v>
      </c>
      <c r="F1310" s="6" t="str">
        <f>IF($M1310="PADD I","PADD 1",IF($M1310="PADD II","PADD 2",IF($M1310="PADD III","PADD 3",IF($M1310="PADD IV","PADD 4",IF($M1310="PADD V","PADD 5","")))))</f>
        <v>PADD 3</v>
      </c>
      <c r="G1310" s="6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6" t="s">
        <v>510</v>
      </c>
      <c r="I1310" s="6" t="s">
        <v>842</v>
      </c>
      <c r="J1310" s="6" t="s">
        <v>398</v>
      </c>
      <c r="K1310" s="10">
        <v>5.72</v>
      </c>
      <c r="L1310" s="10">
        <v>22</v>
      </c>
      <c r="M1310" s="6" t="s">
        <v>421</v>
      </c>
      <c r="N1310" s="6">
        <f>IF(OR($G1310="FCC",$G1310="Hydrocracker",$G1310="Reformer"),IF(COUNTIFS($D:$D,$D1310,$A:$A,$A1310,$B:$B,$B1310,$G:$G,"CDU",$J:$J,"PLANNED")&gt;0,"tied","standalone"),"")</f>
        <v/>
      </c>
    </row>
    <row r="1311" spans="1:14">
      <c r="A1311" s="6">
        <v>2023</v>
      </c>
      <c r="B1311" s="6">
        <v>5</v>
      </c>
      <c r="C1311" s="6" t="s">
        <v>64</v>
      </c>
      <c r="D1311" s="6" t="s">
        <v>470</v>
      </c>
      <c r="E1311" s="6" t="s">
        <v>423</v>
      </c>
      <c r="F1311" s="6" t="str">
        <f>IF($M1311="PADD I","PADD 1",IF($M1311="PADD II","PADD 2",IF($M1311="PADD III","PADD 3",IF($M1311="PADD IV","PADD 4",IF($M1311="PADD V","PADD 5","")))))</f>
        <v>PADD 2</v>
      </c>
      <c r="G1311" s="6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6" t="s">
        <v>44</v>
      </c>
      <c r="I1311" s="6" t="s">
        <v>638</v>
      </c>
      <c r="J1311" s="6" t="s">
        <v>394</v>
      </c>
      <c r="K1311" s="10">
        <v>5.5</v>
      </c>
      <c r="L1311" s="10">
        <v>5.5</v>
      </c>
      <c r="M1311" s="6" t="s">
        <v>425</v>
      </c>
      <c r="N1311" s="6">
        <f>IF(OR($G1311="FCC",$G1311="Hydrocracker",$G1311="Reformer"),IF(COUNTIFS($D:$D,$D1311,$A:$A,$A1311,$B:$B,$B1311,$G:$G,"CDU",$J:$J,"PLANNED")&gt;0,"tied","standalone"),"")</f>
        <v/>
      </c>
    </row>
    <row r="1312" spans="1:14">
      <c r="A1312" s="6">
        <v>2023</v>
      </c>
      <c r="B1312" s="6">
        <v>5</v>
      </c>
      <c r="C1312" s="6" t="s">
        <v>64</v>
      </c>
      <c r="D1312" s="6" t="s">
        <v>487</v>
      </c>
      <c r="E1312" s="6" t="s">
        <v>488</v>
      </c>
      <c r="F1312" s="6" t="str">
        <f>IF($M1312="PADD I","PADD 1",IF($M1312="PADD II","PADD 2",IF($M1312="PADD III","PADD 3",IF($M1312="PADD IV","PADD 4",IF($M1312="PADD V","PADD 5","")))))</f>
        <v>PADD 4</v>
      </c>
      <c r="G1312" s="6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6" t="s">
        <v>471</v>
      </c>
      <c r="I1312" s="6" t="s">
        <v>607</v>
      </c>
      <c r="J1312" s="6" t="s">
        <v>394</v>
      </c>
      <c r="K1312" s="10">
        <v>5.5</v>
      </c>
      <c r="L1312" s="10">
        <v>5.5</v>
      </c>
      <c r="M1312" s="6" t="s">
        <v>480</v>
      </c>
      <c r="N1312" s="6" t="str">
        <f>IF(OR($G1312="FCC",$G1312="Hydrocracker",$G1312="Reformer"),IF(COUNTIFS($D:$D,$D1312,$A:$A,$A1312,$B:$B,$B1312,$G:$G,"CDU",$J:$J,"PLANNED")&gt;0,"tied","standalone"),"")</f>
        <v>tied</v>
      </c>
    </row>
    <row r="1313" spans="1:14">
      <c r="A1313" s="6">
        <v>2023</v>
      </c>
      <c r="B1313" s="6">
        <v>5</v>
      </c>
      <c r="C1313" s="6" t="s">
        <v>64</v>
      </c>
      <c r="D1313" s="6" t="s">
        <v>792</v>
      </c>
      <c r="E1313" s="6" t="s">
        <v>438</v>
      </c>
      <c r="F1313" s="6" t="str">
        <f>IF($M1313="PADD I","PADD 1",IF($M1313="PADD II","PADD 2",IF($M1313="PADD III","PADD 3",IF($M1313="PADD IV","PADD 4",IF($M1313="PADD V","PADD 5","")))))</f>
        <v>PADD 5</v>
      </c>
      <c r="G1313" s="6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6" t="s">
        <v>510</v>
      </c>
      <c r="I1313" s="6" t="s">
        <v>511</v>
      </c>
      <c r="J1313" s="6" t="s">
        <v>398</v>
      </c>
      <c r="K1313" s="10">
        <v>5.28</v>
      </c>
      <c r="L1313" s="10">
        <v>11</v>
      </c>
      <c r="M1313" s="6" t="s">
        <v>436</v>
      </c>
      <c r="N1313" s="6">
        <f>IF(OR($G1313="FCC",$G1313="Hydrocracker",$G1313="Reformer"),IF(COUNTIFS($D:$D,$D1313,$A:$A,$A1313,$B:$B,$B1313,$G:$G,"CDU",$J:$J,"PLANNED")&gt;0,"tied","standalone"),"")</f>
        <v/>
      </c>
    </row>
    <row r="1314" spans="1:14">
      <c r="A1314" s="6">
        <v>2023</v>
      </c>
      <c r="B1314" s="6">
        <v>5</v>
      </c>
      <c r="C1314" s="6" t="s">
        <v>64</v>
      </c>
      <c r="D1314" s="6" t="s">
        <v>490</v>
      </c>
      <c r="E1314" s="6" t="s">
        <v>419</v>
      </c>
      <c r="F1314" s="6" t="str">
        <f>IF($M1314="PADD I","PADD 1",IF($M1314="PADD II","PADD 2",IF($M1314="PADD III","PADD 3",IF($M1314="PADD IV","PADD 4",IF($M1314="PADD V","PADD 5","")))))</f>
        <v>PADD 5</v>
      </c>
      <c r="G1314" s="6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6" t="s">
        <v>44</v>
      </c>
      <c r="I1314" s="6" t="s">
        <v>717</v>
      </c>
      <c r="J1314" s="6" t="s">
        <v>394</v>
      </c>
      <c r="K1314" s="10">
        <v>5.2</v>
      </c>
      <c r="L1314" s="10">
        <v>40</v>
      </c>
      <c r="M1314" s="6" t="s">
        <v>436</v>
      </c>
      <c r="N1314" s="6">
        <f>IF(OR($G1314="FCC",$G1314="Hydrocracker",$G1314="Reformer"),IF(COUNTIFS($D:$D,$D1314,$A:$A,$A1314,$B:$B,$B1314,$G:$G,"CDU",$J:$J,"PLANNED")&gt;0,"tied","standalone"),"")</f>
        <v/>
      </c>
    </row>
    <row r="1315" spans="1:14">
      <c r="A1315" s="6">
        <v>2023</v>
      </c>
      <c r="B1315" s="6">
        <v>5</v>
      </c>
      <c r="C1315" s="6" t="s">
        <v>64</v>
      </c>
      <c r="D1315" s="6" t="s">
        <v>782</v>
      </c>
      <c r="E1315" s="6" t="s">
        <v>783</v>
      </c>
      <c r="F1315" s="6" t="str">
        <f>IF($M1315="PADD I","PADD 1",IF($M1315="PADD II","PADD 2",IF($M1315="PADD III","PADD 3",IF($M1315="PADD IV","PADD 4",IF($M1315="PADD V","PADD 5","")))))</f>
        <v>PADD 4</v>
      </c>
      <c r="G1315" s="6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6" t="s">
        <v>426</v>
      </c>
      <c r="I1315" s="6" t="s">
        <v>106</v>
      </c>
      <c r="J1315" s="6" t="s">
        <v>398</v>
      </c>
      <c r="K1315" s="10">
        <v>5.12</v>
      </c>
      <c r="L1315" s="10">
        <v>16</v>
      </c>
      <c r="M1315" s="6" t="s">
        <v>480</v>
      </c>
      <c r="N1315" s="6" t="str">
        <f>IF(OR($G1315="FCC",$G1315="Hydrocracker",$G1315="Reformer"),IF(COUNTIFS($D:$D,$D1315,$A:$A,$A1315,$B:$B,$B1315,$G:$G,"CDU",$J:$J,"PLANNED")&gt;0,"tied","standalone"),"")</f>
        <v>tied</v>
      </c>
    </row>
    <row r="1316" spans="1:14">
      <c r="A1316" s="6">
        <v>2023</v>
      </c>
      <c r="B1316" s="6">
        <v>5</v>
      </c>
      <c r="C1316" s="6" t="s">
        <v>64</v>
      </c>
      <c r="D1316" s="6" t="s">
        <v>822</v>
      </c>
      <c r="E1316" s="6" t="s">
        <v>455</v>
      </c>
      <c r="F1316" s="6" t="str">
        <f>IF($M1316="PADD I","PADD 1",IF($M1316="PADD II","PADD 2",IF($M1316="PADD III","PADD 3",IF($M1316="PADD IV","PADD 4",IF($M1316="PADD V","PADD 5","")))))</f>
        <v>PADD 3</v>
      </c>
      <c r="G1316" s="6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6" t="s">
        <v>510</v>
      </c>
      <c r="I1316" s="6" t="s">
        <v>842</v>
      </c>
      <c r="J1316" s="6" t="s">
        <v>394</v>
      </c>
      <c r="K1316" s="10">
        <v>5.06</v>
      </c>
      <c r="L1316" s="10">
        <v>22</v>
      </c>
      <c r="M1316" s="6" t="s">
        <v>421</v>
      </c>
      <c r="N1316" s="6">
        <f>IF(OR($G1316="FCC",$G1316="Hydrocracker",$G1316="Reformer"),IF(COUNTIFS($D:$D,$D1316,$A:$A,$A1316,$B:$B,$B1316,$G:$G,"CDU",$J:$J,"PLANNED")&gt;0,"tied","standalone"),"")</f>
        <v/>
      </c>
    </row>
    <row r="1317" spans="1:14">
      <c r="A1317" s="6">
        <v>2023</v>
      </c>
      <c r="B1317" s="6">
        <v>5</v>
      </c>
      <c r="C1317" s="6" t="s">
        <v>64</v>
      </c>
      <c r="D1317" s="6" t="s">
        <v>550</v>
      </c>
      <c r="E1317" s="6" t="s">
        <v>438</v>
      </c>
      <c r="F1317" s="6" t="str">
        <f>IF($M1317="PADD I","PADD 1",IF($M1317="PADD II","PADD 2",IF($M1317="PADD III","PADD 3",IF($M1317="PADD IV","PADD 4",IF($M1317="PADD V","PADD 5","")))))</f>
        <v>PADD 2</v>
      </c>
      <c r="G1317" s="6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6" t="s">
        <v>426</v>
      </c>
      <c r="I1317" s="6" t="s">
        <v>106</v>
      </c>
      <c r="J1317" s="6" t="s">
        <v>394</v>
      </c>
      <c r="K1317" s="10">
        <v>4.94</v>
      </c>
      <c r="L1317" s="10">
        <v>26</v>
      </c>
      <c r="M1317" s="6" t="s">
        <v>425</v>
      </c>
      <c r="N1317" s="6" t="str">
        <f>IF(OR($G1317="FCC",$G1317="Hydrocracker",$G1317="Reformer"),IF(COUNTIFS($D:$D,$D1317,$A:$A,$A1317,$B:$B,$B1317,$G:$G,"CDU",$J:$J,"PLANNED")&gt;0,"tied","standalone"),"")</f>
        <v>standalone</v>
      </c>
    </row>
    <row r="1318" spans="1:14">
      <c r="A1318" s="6">
        <v>2023</v>
      </c>
      <c r="B1318" s="6">
        <v>5</v>
      </c>
      <c r="C1318" s="6" t="s">
        <v>64</v>
      </c>
      <c r="D1318" s="6" t="s">
        <v>550</v>
      </c>
      <c r="E1318" s="6" t="s">
        <v>438</v>
      </c>
      <c r="F1318" s="6" t="str">
        <f>IF($M1318="PADD I","PADD 1",IF($M1318="PADD II","PADD 2",IF($M1318="PADD III","PADD 3",IF($M1318="PADD IV","PADD 4",IF($M1318="PADD V","PADD 5","")))))</f>
        <v>PADD 2</v>
      </c>
      <c r="G1318" s="6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6" t="s">
        <v>44</v>
      </c>
      <c r="I1318" s="6" t="s">
        <v>551</v>
      </c>
      <c r="J1318" s="6" t="s">
        <v>394</v>
      </c>
      <c r="K1318" s="10">
        <v>4.88</v>
      </c>
      <c r="L1318" s="10">
        <v>30.5</v>
      </c>
      <c r="M1318" s="6" t="s">
        <v>425</v>
      </c>
      <c r="N1318" s="6">
        <f>IF(OR($G1318="FCC",$G1318="Hydrocracker",$G1318="Reformer"),IF(COUNTIFS($D:$D,$D1318,$A:$A,$A1318,$B:$B,$B1318,$G:$G,"CDU",$J:$J,"PLANNED")&gt;0,"tied","standalone"),"")</f>
        <v/>
      </c>
    </row>
    <row r="1319" spans="1:14">
      <c r="A1319" s="6">
        <v>2023</v>
      </c>
      <c r="B1319" s="6">
        <v>5</v>
      </c>
      <c r="C1319" s="6" t="s">
        <v>64</v>
      </c>
      <c r="D1319" s="6" t="s">
        <v>540</v>
      </c>
      <c r="E1319" s="6" t="s">
        <v>541</v>
      </c>
      <c r="F1319" s="6" t="str">
        <f>IF($M1319="PADD I","PADD 1",IF($M1319="PADD II","PADD 2",IF($M1319="PADD III","PADD 3",IF($M1319="PADD IV","PADD 4",IF($M1319="PADD V","PADD 5","")))))</f>
        <v>PADD 3</v>
      </c>
      <c r="G1319" s="6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6" t="s">
        <v>426</v>
      </c>
      <c r="I1319" s="6" t="s">
        <v>522</v>
      </c>
      <c r="J1319" s="6" t="s">
        <v>394</v>
      </c>
      <c r="K1319" s="10">
        <v>4.86</v>
      </c>
      <c r="L1319" s="10">
        <v>81</v>
      </c>
      <c r="M1319" s="6" t="s">
        <v>421</v>
      </c>
      <c r="N1319" s="6" t="str">
        <f>IF(OR($G1319="FCC",$G1319="Hydrocracker",$G1319="Reformer"),IF(COUNTIFS($D:$D,$D1319,$A:$A,$A1319,$B:$B,$B1319,$G:$G,"CDU",$J:$J,"PLANNED")&gt;0,"tied","standalone"),"")</f>
        <v>standalone</v>
      </c>
    </row>
    <row r="1320" spans="1:14">
      <c r="A1320" s="6">
        <v>2023</v>
      </c>
      <c r="B1320" s="6">
        <v>5</v>
      </c>
      <c r="C1320" s="6" t="s">
        <v>64</v>
      </c>
      <c r="D1320" s="6" t="s">
        <v>782</v>
      </c>
      <c r="E1320" s="6" t="s">
        <v>783</v>
      </c>
      <c r="F1320" s="6" t="str">
        <f>IF($M1320="PADD I","PADD 1",IF($M1320="PADD II","PADD 2",IF($M1320="PADD III","PADD 3",IF($M1320="PADD IV","PADD 4",IF($M1320="PADD V","PADD 5","")))))</f>
        <v>PADD 4</v>
      </c>
      <c r="G1320" s="6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6" t="s">
        <v>485</v>
      </c>
      <c r="I1320" s="6" t="s">
        <v>491</v>
      </c>
      <c r="J1320" s="6" t="s">
        <v>398</v>
      </c>
      <c r="K1320" s="10">
        <v>4.8</v>
      </c>
      <c r="L1320" s="10">
        <v>15</v>
      </c>
      <c r="M1320" s="6" t="s">
        <v>480</v>
      </c>
      <c r="N1320" s="6">
        <f>IF(OR($G1320="FCC",$G1320="Hydrocracker",$G1320="Reformer"),IF(COUNTIFS($D:$D,$D1320,$A:$A,$A1320,$B:$B,$B1320,$G:$G,"CDU",$J:$J,"PLANNED")&gt;0,"tied","standalone"),"")</f>
        <v/>
      </c>
    </row>
    <row r="1321" spans="1:14">
      <c r="A1321" s="6">
        <v>2023</v>
      </c>
      <c r="B1321" s="6">
        <v>5</v>
      </c>
      <c r="C1321" s="6" t="s">
        <v>64</v>
      </c>
      <c r="D1321" s="6" t="s">
        <v>782</v>
      </c>
      <c r="E1321" s="6" t="s">
        <v>783</v>
      </c>
      <c r="F1321" s="6" t="str">
        <f>IF($M1321="PADD I","PADD 1",IF($M1321="PADD II","PADD 2",IF($M1321="PADD III","PADD 3",IF($M1321="PADD IV","PADD 4",IF($M1321="PADD V","PADD 5","")))))</f>
        <v>PADD 4</v>
      </c>
      <c r="G1321" s="6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6" t="s">
        <v>44</v>
      </c>
      <c r="I1321" s="6" t="s">
        <v>796</v>
      </c>
      <c r="J1321" s="6" t="s">
        <v>398</v>
      </c>
      <c r="K1321" s="10">
        <v>4.8</v>
      </c>
      <c r="L1321" s="10">
        <v>15</v>
      </c>
      <c r="M1321" s="6" t="s">
        <v>480</v>
      </c>
      <c r="N1321" s="6">
        <f>IF(OR($G1321="FCC",$G1321="Hydrocracker",$G1321="Reformer"),IF(COUNTIFS($D:$D,$D1321,$A:$A,$A1321,$B:$B,$B1321,$G:$G,"CDU",$J:$J,"PLANNED")&gt;0,"tied","standalone"),"")</f>
        <v/>
      </c>
    </row>
    <row r="1322" spans="1:14">
      <c r="A1322" s="6">
        <v>2023</v>
      </c>
      <c r="B1322" s="6">
        <v>5</v>
      </c>
      <c r="C1322" s="6" t="s">
        <v>64</v>
      </c>
      <c r="D1322" s="6" t="s">
        <v>782</v>
      </c>
      <c r="E1322" s="6" t="s">
        <v>783</v>
      </c>
      <c r="F1322" s="6" t="str">
        <f>IF($M1322="PADD I","PADD 1",IF($M1322="PADD II","PADD 2",IF($M1322="PADD III","PADD 3",IF($M1322="PADD IV","PADD 4",IF($M1322="PADD V","PADD 5","")))))</f>
        <v>PADD 4</v>
      </c>
      <c r="G1322" s="6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6" t="s">
        <v>494</v>
      </c>
      <c r="I1322" s="6" t="s">
        <v>757</v>
      </c>
      <c r="J1322" s="6" t="s">
        <v>398</v>
      </c>
      <c r="K1322" s="10">
        <v>4.8</v>
      </c>
      <c r="L1322" s="10">
        <v>15</v>
      </c>
      <c r="M1322" s="6" t="s">
        <v>480</v>
      </c>
      <c r="N1322" s="6" t="str">
        <f>IF(OR($G1322="FCC",$G1322="Hydrocracker",$G1322="Reformer"),IF(COUNTIFS($D:$D,$D1322,$A:$A,$A1322,$B:$B,$B1322,$G:$G,"CDU",$J:$J,"PLANNED")&gt;0,"tied","standalone"),"")</f>
        <v>tied</v>
      </c>
    </row>
    <row r="1323" spans="1:14">
      <c r="A1323" s="6">
        <v>2023</v>
      </c>
      <c r="B1323" s="6">
        <v>5</v>
      </c>
      <c r="C1323" s="6" t="s">
        <v>64</v>
      </c>
      <c r="D1323" s="6" t="s">
        <v>798</v>
      </c>
      <c r="E1323" s="6" t="s">
        <v>438</v>
      </c>
      <c r="F1323" s="6" t="str">
        <f>IF($M1323="PADD I","PADD 1",IF($M1323="PADD II","PADD 2",IF($M1323="PADD III","PADD 3",IF($M1323="PADD IV","PADD 4",IF($M1323="PADD V","PADD 5","")))))</f>
        <v>PADD 3</v>
      </c>
      <c r="G1323" s="6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6" t="s">
        <v>44</v>
      </c>
      <c r="I1323" s="6" t="s">
        <v>816</v>
      </c>
      <c r="J1323" s="6" t="s">
        <v>398</v>
      </c>
      <c r="K1323" s="10">
        <v>4.68</v>
      </c>
      <c r="L1323" s="10">
        <v>12</v>
      </c>
      <c r="M1323" s="6" t="s">
        <v>421</v>
      </c>
      <c r="N1323" s="6">
        <f>IF(OR($G1323="FCC",$G1323="Hydrocracker",$G1323="Reformer"),IF(COUNTIFS($D:$D,$D1323,$A:$A,$A1323,$B:$B,$B1323,$G:$G,"CDU",$J:$J,"PLANNED")&gt;0,"tied","standalone"),"")</f>
        <v/>
      </c>
    </row>
    <row r="1324" spans="1:14">
      <c r="A1324" s="6">
        <v>2023</v>
      </c>
      <c r="B1324" s="6">
        <v>5</v>
      </c>
      <c r="C1324" s="6" t="s">
        <v>64</v>
      </c>
      <c r="D1324" s="6" t="s">
        <v>812</v>
      </c>
      <c r="E1324" s="6" t="s">
        <v>813</v>
      </c>
      <c r="F1324" s="6" t="str">
        <f>IF($M1324="PADD I","PADD 1",IF($M1324="PADD II","PADD 2",IF($M1324="PADD III","PADD 3",IF($M1324="PADD IV","PADD 4",IF($M1324="PADD V","PADD 5","")))))</f>
        <v>PADD 2</v>
      </c>
      <c r="G1324" s="6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6" t="s">
        <v>44</v>
      </c>
      <c r="I1324" s="6" t="s">
        <v>913</v>
      </c>
      <c r="J1324" s="6" t="s">
        <v>394</v>
      </c>
      <c r="K1324" s="10">
        <v>4.6</v>
      </c>
      <c r="L1324" s="10">
        <v>20</v>
      </c>
      <c r="M1324" s="6" t="s">
        <v>425</v>
      </c>
      <c r="N1324" s="6">
        <f>IF(OR($G1324="FCC",$G1324="Hydrocracker",$G1324="Reformer"),IF(COUNTIFS($D:$D,$D1324,$A:$A,$A1324,$B:$B,$B1324,$G:$G,"CDU",$J:$J,"PLANNED")&gt;0,"tied","standalone"),"")</f>
        <v/>
      </c>
    </row>
    <row r="1325" spans="1:14">
      <c r="A1325" s="6">
        <v>2023</v>
      </c>
      <c r="B1325" s="6">
        <v>5</v>
      </c>
      <c r="C1325" s="6" t="s">
        <v>64</v>
      </c>
      <c r="D1325" s="6" t="s">
        <v>820</v>
      </c>
      <c r="E1325" s="6" t="s">
        <v>710</v>
      </c>
      <c r="F1325" s="6" t="str">
        <f>IF($M1325="PADD I","PADD 1",IF($M1325="PADD II","PADD 2",IF($M1325="PADD III","PADD 3",IF($M1325="PADD IV","PADD 4",IF($M1325="PADD V","PADD 5","")))))</f>
        <v>PADD 3</v>
      </c>
      <c r="G1325" s="6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6" t="s">
        <v>618</v>
      </c>
      <c r="I1325" s="6" t="s">
        <v>654</v>
      </c>
      <c r="J1325" s="6" t="s">
        <v>398</v>
      </c>
      <c r="K1325" s="10">
        <v>4.5</v>
      </c>
      <c r="L1325" s="10">
        <v>4.5</v>
      </c>
      <c r="M1325" s="6" t="s">
        <v>421</v>
      </c>
      <c r="N1325" s="6">
        <f>IF(OR($G1325="FCC",$G1325="Hydrocracker",$G1325="Reformer"),IF(COUNTIFS($D:$D,$D1325,$A:$A,$A1325,$B:$B,$B1325,$G:$G,"CDU",$J:$J,"PLANNED")&gt;0,"tied","standalone"),"")</f>
        <v/>
      </c>
    </row>
    <row r="1326" spans="1:14">
      <c r="A1326" s="6">
        <v>2023</v>
      </c>
      <c r="B1326" s="6">
        <v>5</v>
      </c>
      <c r="C1326" s="6" t="s">
        <v>64</v>
      </c>
      <c r="D1326" s="6" t="s">
        <v>782</v>
      </c>
      <c r="E1326" s="6" t="s">
        <v>783</v>
      </c>
      <c r="F1326" s="6" t="str">
        <f>IF($M1326="PADD I","PADD 1",IF($M1326="PADD II","PADD 2",IF($M1326="PADD III","PADD 3",IF($M1326="PADD IV","PADD 4",IF($M1326="PADD V","PADD 5","")))))</f>
        <v>PADD 4</v>
      </c>
      <c r="G1326" s="6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6" t="s">
        <v>44</v>
      </c>
      <c r="I1326" s="6" t="s">
        <v>797</v>
      </c>
      <c r="J1326" s="6" t="s">
        <v>398</v>
      </c>
      <c r="K1326" s="10">
        <v>4.48</v>
      </c>
      <c r="L1326" s="10">
        <v>14</v>
      </c>
      <c r="M1326" s="6" t="s">
        <v>480</v>
      </c>
      <c r="N1326" s="6">
        <f>IF(OR($G1326="FCC",$G1326="Hydrocracker",$G1326="Reformer"),IF(COUNTIFS($D:$D,$D1326,$A:$A,$A1326,$B:$B,$B1326,$G:$G,"CDU",$J:$J,"PLANNED")&gt;0,"tied","standalone"),"")</f>
        <v/>
      </c>
    </row>
    <row r="1327" spans="1:14">
      <c r="A1327" s="6">
        <v>2023</v>
      </c>
      <c r="B1327" s="6">
        <v>5</v>
      </c>
      <c r="C1327" s="6" t="s">
        <v>64</v>
      </c>
      <c r="D1327" s="6" t="s">
        <v>782</v>
      </c>
      <c r="E1327" s="6" t="s">
        <v>783</v>
      </c>
      <c r="F1327" s="6" t="str">
        <f>IF($M1327="PADD I","PADD 1",IF($M1327="PADD II","PADD 2",IF($M1327="PADD III","PADD 3",IF($M1327="PADD IV","PADD 4",IF($M1327="PADD V","PADD 5","")))))</f>
        <v>PADD 4</v>
      </c>
      <c r="G1327" s="6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6" t="s">
        <v>39</v>
      </c>
      <c r="I1327" s="6" t="s">
        <v>136</v>
      </c>
      <c r="J1327" s="6" t="s">
        <v>398</v>
      </c>
      <c r="K1327" s="10">
        <v>4.16</v>
      </c>
      <c r="L1327" s="10">
        <v>13</v>
      </c>
      <c r="M1327" s="6" t="s">
        <v>480</v>
      </c>
      <c r="N1327" s="6">
        <f>IF(OR($G1327="FCC",$G1327="Hydrocracker",$G1327="Reformer"),IF(COUNTIFS($D:$D,$D1327,$A:$A,$A1327,$B:$B,$B1327,$G:$G,"CDU",$J:$J,"PLANNED")&gt;0,"tied","standalone"),"")</f>
        <v/>
      </c>
    </row>
    <row r="1328" spans="1:14">
      <c r="A1328" s="6">
        <v>2023</v>
      </c>
      <c r="B1328" s="6">
        <v>5</v>
      </c>
      <c r="C1328" s="6" t="s">
        <v>64</v>
      </c>
      <c r="D1328" s="6" t="s">
        <v>798</v>
      </c>
      <c r="E1328" s="6" t="s">
        <v>438</v>
      </c>
      <c r="F1328" s="6" t="str">
        <f>IF($M1328="PADD I","PADD 1",IF($M1328="PADD II","PADD 2",IF($M1328="PADD III","PADD 3",IF($M1328="PADD IV","PADD 4",IF($M1328="PADD V","PADD 5","")))))</f>
        <v>PADD 3</v>
      </c>
      <c r="G1328" s="6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6" t="s">
        <v>44</v>
      </c>
      <c r="I1328" s="6" t="s">
        <v>817</v>
      </c>
      <c r="J1328" s="6" t="s">
        <v>398</v>
      </c>
      <c r="K1328" s="10">
        <v>4.095</v>
      </c>
      <c r="L1328" s="10">
        <v>10.5</v>
      </c>
      <c r="M1328" s="6" t="s">
        <v>421</v>
      </c>
      <c r="N1328" s="6">
        <f>IF(OR($G1328="FCC",$G1328="Hydrocracker",$G1328="Reformer"),IF(COUNTIFS($D:$D,$D1328,$A:$A,$A1328,$B:$B,$B1328,$G:$G,"CDU",$J:$J,"PLANNED")&gt;0,"tied","standalone"),"")</f>
        <v/>
      </c>
    </row>
    <row r="1329" spans="1:14">
      <c r="A1329" s="6">
        <v>2023</v>
      </c>
      <c r="B1329" s="6">
        <v>5</v>
      </c>
      <c r="C1329" s="6" t="s">
        <v>64</v>
      </c>
      <c r="D1329" s="6" t="s">
        <v>54</v>
      </c>
      <c r="E1329" s="6" t="s">
        <v>593</v>
      </c>
      <c r="F1329" s="6" t="str">
        <f>IF($M1329="PADD I","PADD 1",IF($M1329="PADD II","PADD 2",IF($M1329="PADD III","PADD 3",IF($M1329="PADD IV","PADD 4",IF($M1329="PADD V","PADD 5","")))))</f>
        <v>PADD 5</v>
      </c>
      <c r="G1329" s="6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6" t="s">
        <v>471</v>
      </c>
      <c r="I1329" s="6" t="s">
        <v>607</v>
      </c>
      <c r="J1329" s="6" t="s">
        <v>398</v>
      </c>
      <c r="K1329" s="10">
        <v>4.095</v>
      </c>
      <c r="L1329" s="10">
        <v>10.5</v>
      </c>
      <c r="M1329" s="6" t="s">
        <v>436</v>
      </c>
      <c r="N1329" s="6" t="str">
        <f>IF(OR($G1329="FCC",$G1329="Hydrocracker",$G1329="Reformer"),IF(COUNTIFS($D:$D,$D1329,$A:$A,$A1329,$B:$B,$B1329,$G:$G,"CDU",$J:$J,"PLANNED")&gt;0,"tied","standalone"),"")</f>
        <v>tied</v>
      </c>
    </row>
    <row r="1330" spans="1:14">
      <c r="A1330" s="6">
        <v>2023</v>
      </c>
      <c r="B1330" s="6">
        <v>5</v>
      </c>
      <c r="C1330" s="6" t="s">
        <v>64</v>
      </c>
      <c r="D1330" s="6" t="s">
        <v>838</v>
      </c>
      <c r="E1330" s="6" t="s">
        <v>455</v>
      </c>
      <c r="F1330" s="6" t="str">
        <f>IF($M1330="PADD I","PADD 1",IF($M1330="PADD II","PADD 2",IF($M1330="PADD III","PADD 3",IF($M1330="PADD IV","PADD 4",IF($M1330="PADD V","PADD 5","")))))</f>
        <v>PADD 3</v>
      </c>
      <c r="G1330" s="6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6" t="s">
        <v>39</v>
      </c>
      <c r="I1330" s="6" t="s">
        <v>136</v>
      </c>
      <c r="J1330" s="6" t="s">
        <v>394</v>
      </c>
      <c r="K1330" s="10">
        <v>4.05</v>
      </c>
      <c r="L1330" s="10">
        <v>135</v>
      </c>
      <c r="M1330" s="6" t="s">
        <v>421</v>
      </c>
      <c r="N1330" s="6">
        <f>IF(OR($G1330="FCC",$G1330="Hydrocracker",$G1330="Reformer"),IF(COUNTIFS($D:$D,$D1330,$A:$A,$A1330,$B:$B,$B1330,$G:$G,"CDU",$J:$J,"PLANNED")&gt;0,"tied","standalone"),"")</f>
        <v/>
      </c>
    </row>
    <row r="1331" spans="1:14">
      <c r="A1331" s="6">
        <v>2023</v>
      </c>
      <c r="B1331" s="6">
        <v>5</v>
      </c>
      <c r="C1331" s="6" t="s">
        <v>64</v>
      </c>
      <c r="D1331" s="6" t="s">
        <v>384</v>
      </c>
      <c r="E1331" s="6" t="s">
        <v>419</v>
      </c>
      <c r="F1331" s="6" t="str">
        <f>IF($M1331="PADD I","PADD 1",IF($M1331="PADD II","PADD 2",IF($M1331="PADD III","PADD 3",IF($M1331="PADD IV","PADD 4",IF($M1331="PADD V","PADD 5","")))))</f>
        <v>PADD 3</v>
      </c>
      <c r="G1331" s="6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6" t="s">
        <v>426</v>
      </c>
      <c r="I1331" s="6" t="s">
        <v>522</v>
      </c>
      <c r="J1331" s="6" t="s">
        <v>398</v>
      </c>
      <c r="K1331" s="10">
        <v>3.9</v>
      </c>
      <c r="L1331" s="10">
        <v>30</v>
      </c>
      <c r="M1331" s="6" t="s">
        <v>421</v>
      </c>
      <c r="N1331" s="6" t="str">
        <f>IF(OR($G1331="FCC",$G1331="Hydrocracker",$G1331="Reformer"),IF(COUNTIFS($D:$D,$D1331,$A:$A,$A1331,$B:$B,$B1331,$G:$G,"CDU",$J:$J,"PLANNED")&gt;0,"tied","standalone"),"")</f>
        <v>standalone</v>
      </c>
    </row>
    <row r="1332" spans="1:14">
      <c r="A1332" s="6">
        <v>2023</v>
      </c>
      <c r="B1332" s="6">
        <v>5</v>
      </c>
      <c r="C1332" s="6" t="s">
        <v>64</v>
      </c>
      <c r="D1332" s="6" t="s">
        <v>597</v>
      </c>
      <c r="E1332" s="6" t="s">
        <v>441</v>
      </c>
      <c r="F1332" s="6" t="str">
        <f>IF($M1332="PADD I","PADD 1",IF($M1332="PADD II","PADD 2",IF($M1332="PADD III","PADD 3",IF($M1332="PADD IV","PADD 4",IF($M1332="PADD V","PADD 5","")))))</f>
        <v>PADD 5</v>
      </c>
      <c r="G1332" s="6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6" t="s">
        <v>44</v>
      </c>
      <c r="I1332" s="6" t="s">
        <v>106</v>
      </c>
      <c r="J1332" s="6" t="s">
        <v>394</v>
      </c>
      <c r="K1332" s="10">
        <v>3.9</v>
      </c>
      <c r="L1332" s="10">
        <v>65</v>
      </c>
      <c r="M1332" s="6" t="s">
        <v>436</v>
      </c>
      <c r="N1332" s="6">
        <f>IF(OR($G1332="FCC",$G1332="Hydrocracker",$G1332="Reformer"),IF(COUNTIFS($D:$D,$D1332,$A:$A,$A1332,$B:$B,$B1332,$G:$G,"CDU",$J:$J,"PLANNED")&gt;0,"tied","standalone"),"")</f>
        <v/>
      </c>
    </row>
    <row r="1333" spans="1:14">
      <c r="A1333" s="6">
        <v>2023</v>
      </c>
      <c r="B1333" s="6">
        <v>5</v>
      </c>
      <c r="C1333" s="6" t="s">
        <v>64</v>
      </c>
      <c r="D1333" s="6" t="s">
        <v>782</v>
      </c>
      <c r="E1333" s="6" t="s">
        <v>783</v>
      </c>
      <c r="F1333" s="6" t="str">
        <f>IF($M1333="PADD I","PADD 1",IF($M1333="PADD II","PADD 2",IF($M1333="PADD III","PADD 3",IF($M1333="PADD IV","PADD 4",IF($M1333="PADD V","PADD 5","")))))</f>
        <v>PADD 4</v>
      </c>
      <c r="G1333" s="6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6" t="s">
        <v>471</v>
      </c>
      <c r="I1333" s="6" t="s">
        <v>15</v>
      </c>
      <c r="J1333" s="6" t="s">
        <v>398</v>
      </c>
      <c r="K1333" s="10">
        <v>3.84</v>
      </c>
      <c r="L1333" s="10">
        <v>12</v>
      </c>
      <c r="M1333" s="6" t="s">
        <v>480</v>
      </c>
      <c r="N1333" s="6" t="str">
        <f>IF(OR($G1333="FCC",$G1333="Hydrocracker",$G1333="Reformer"),IF(COUNTIFS($D:$D,$D1333,$A:$A,$A1333,$B:$B,$B1333,$G:$G,"CDU",$J:$J,"PLANNED")&gt;0,"tied","standalone"),"")</f>
        <v>tied</v>
      </c>
    </row>
    <row r="1334" spans="1:14">
      <c r="A1334" s="6">
        <v>2023</v>
      </c>
      <c r="B1334" s="6">
        <v>5</v>
      </c>
      <c r="C1334" s="6" t="s">
        <v>64</v>
      </c>
      <c r="D1334" s="6" t="s">
        <v>851</v>
      </c>
      <c r="E1334" s="6" t="s">
        <v>829</v>
      </c>
      <c r="F1334" s="6" t="str">
        <f>IF($M1334="PADD I","PADD 1",IF($M1334="PADD II","PADD 2",IF($M1334="PADD III","PADD 3",IF($M1334="PADD IV","PADD 4",IF($M1334="PADD V","PADD 5","")))))</f>
        <v>PADD 2</v>
      </c>
      <c r="G1334" s="6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6" t="s">
        <v>485</v>
      </c>
      <c r="I1334" s="6" t="s">
        <v>852</v>
      </c>
      <c r="J1334" s="6" t="s">
        <v>394</v>
      </c>
      <c r="K1334" s="10">
        <v>3.84</v>
      </c>
      <c r="L1334" s="10">
        <v>24</v>
      </c>
      <c r="M1334" s="6" t="s">
        <v>425</v>
      </c>
      <c r="N1334" s="6">
        <f>IF(OR($G1334="FCC",$G1334="Hydrocracker",$G1334="Reformer"),IF(COUNTIFS($D:$D,$D1334,$A:$A,$A1334,$B:$B,$B1334,$G:$G,"CDU",$J:$J,"PLANNED")&gt;0,"tied","standalone"),"")</f>
        <v/>
      </c>
    </row>
    <row r="1335" spans="1:14">
      <c r="A1335" s="6">
        <v>2023</v>
      </c>
      <c r="B1335" s="6">
        <v>5</v>
      </c>
      <c r="C1335" s="6" t="s">
        <v>64</v>
      </c>
      <c r="D1335" s="6" t="s">
        <v>865</v>
      </c>
      <c r="E1335" s="6" t="s">
        <v>502</v>
      </c>
      <c r="F1335" s="6" t="str">
        <f>IF($M1335="PADD I","PADD 1",IF($M1335="PADD II","PADD 2",IF($M1335="PADD III","PADD 3",IF($M1335="PADD IV","PADD 4",IF($M1335="PADD V","PADD 5","")))))</f>
        <v>PADD 4</v>
      </c>
      <c r="G1335" s="6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6" t="s">
        <v>510</v>
      </c>
      <c r="I1335" s="6" t="s">
        <v>511</v>
      </c>
      <c r="J1335" s="6" t="s">
        <v>398</v>
      </c>
      <c r="K1335" s="10">
        <v>3.78</v>
      </c>
      <c r="L1335" s="10">
        <v>4.5</v>
      </c>
      <c r="M1335" s="6" t="s">
        <v>480</v>
      </c>
      <c r="N1335" s="6">
        <f>IF(OR($G1335="FCC",$G1335="Hydrocracker",$G1335="Reformer"),IF(COUNTIFS($D:$D,$D1335,$A:$A,$A1335,$B:$B,$B1335,$G:$G,"CDU",$J:$J,"PLANNED")&gt;0,"tied","standalone"),"")</f>
        <v/>
      </c>
    </row>
    <row r="1336" spans="1:14">
      <c r="A1336" s="6">
        <v>2023</v>
      </c>
      <c r="B1336" s="6">
        <v>5</v>
      </c>
      <c r="C1336" s="6" t="s">
        <v>64</v>
      </c>
      <c r="D1336" s="6" t="s">
        <v>812</v>
      </c>
      <c r="E1336" s="6" t="s">
        <v>813</v>
      </c>
      <c r="F1336" s="6" t="str">
        <f>IF($M1336="PADD I","PADD 1",IF($M1336="PADD II","PADD 2",IF($M1336="PADD III","PADD 3",IF($M1336="PADD IV","PADD 4",IF($M1336="PADD V","PADD 5","")))))</f>
        <v>PADD 2</v>
      </c>
      <c r="G1336" s="6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6" t="s">
        <v>44</v>
      </c>
      <c r="I1336" s="6" t="s">
        <v>508</v>
      </c>
      <c r="J1336" s="6" t="s">
        <v>394</v>
      </c>
      <c r="K1336" s="10">
        <v>3.77</v>
      </c>
      <c r="L1336" s="10">
        <v>13</v>
      </c>
      <c r="M1336" s="6" t="s">
        <v>425</v>
      </c>
      <c r="N1336" s="6">
        <f>IF(OR($G1336="FCC",$G1336="Hydrocracker",$G1336="Reformer"),IF(COUNTIFS($D:$D,$D1336,$A:$A,$A1336,$B:$B,$B1336,$G:$G,"CDU",$J:$J,"PLANNED")&gt;0,"tied","standalone"),"")</f>
        <v/>
      </c>
    </row>
    <row r="1337" spans="1:14">
      <c r="A1337" s="6">
        <v>2023</v>
      </c>
      <c r="B1337" s="6">
        <v>5</v>
      </c>
      <c r="C1337" s="6" t="s">
        <v>64</v>
      </c>
      <c r="D1337" s="6" t="s">
        <v>812</v>
      </c>
      <c r="E1337" s="6" t="s">
        <v>813</v>
      </c>
      <c r="F1337" s="6" t="str">
        <f>IF($M1337="PADD I","PADD 1",IF($M1337="PADD II","PADD 2",IF($M1337="PADD III","PADD 3",IF($M1337="PADD IV","PADD 4",IF($M1337="PADD V","PADD 5","")))))</f>
        <v>PADD 2</v>
      </c>
      <c r="G1337" s="6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6" t="s">
        <v>44</v>
      </c>
      <c r="I1337" s="6" t="s">
        <v>508</v>
      </c>
      <c r="J1337" s="6" t="s">
        <v>394</v>
      </c>
      <c r="K1337" s="10">
        <v>3.77</v>
      </c>
      <c r="L1337" s="10">
        <v>13</v>
      </c>
      <c r="M1337" s="6" t="s">
        <v>425</v>
      </c>
      <c r="N1337" s="6">
        <f>IF(OR($G1337="FCC",$G1337="Hydrocracker",$G1337="Reformer"),IF(COUNTIFS($D:$D,$D1337,$A:$A,$A1337,$B:$B,$B1337,$G:$G,"CDU",$J:$J,"PLANNED")&gt;0,"tied","standalone"),"")</f>
        <v/>
      </c>
    </row>
    <row r="1338" spans="1:14">
      <c r="A1338" s="6">
        <v>2023</v>
      </c>
      <c r="B1338" s="6">
        <v>5</v>
      </c>
      <c r="C1338" s="6" t="s">
        <v>64</v>
      </c>
      <c r="D1338" s="6" t="s">
        <v>550</v>
      </c>
      <c r="E1338" s="6" t="s">
        <v>438</v>
      </c>
      <c r="F1338" s="6" t="str">
        <f>IF($M1338="PADD I","PADD 1",IF($M1338="PADD II","PADD 2",IF($M1338="PADD III","PADD 3",IF($M1338="PADD IV","PADD 4",IF($M1338="PADD V","PADD 5","")))))</f>
        <v>PADD 2</v>
      </c>
      <c r="G1338" s="6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6" t="s">
        <v>44</v>
      </c>
      <c r="I1338" s="6" t="s">
        <v>570</v>
      </c>
      <c r="J1338" s="6" t="s">
        <v>394</v>
      </c>
      <c r="K1338" s="10">
        <v>3.76</v>
      </c>
      <c r="L1338" s="10">
        <v>23.5</v>
      </c>
      <c r="M1338" s="6" t="s">
        <v>425</v>
      </c>
      <c r="N1338" s="6">
        <f>IF(OR($G1338="FCC",$G1338="Hydrocracker",$G1338="Reformer"),IF(COUNTIFS($D:$D,$D1338,$A:$A,$A1338,$B:$B,$B1338,$G:$G,"CDU",$J:$J,"PLANNED")&gt;0,"tied","standalone"),"")</f>
        <v/>
      </c>
    </row>
    <row r="1339" spans="1:14">
      <c r="A1339" s="6">
        <v>2023</v>
      </c>
      <c r="B1339" s="6">
        <v>5</v>
      </c>
      <c r="C1339" s="6" t="s">
        <v>64</v>
      </c>
      <c r="D1339" s="6" t="s">
        <v>437</v>
      </c>
      <c r="E1339" s="6" t="s">
        <v>438</v>
      </c>
      <c r="F1339" s="6" t="str">
        <f>IF($M1339="PADD I","PADD 1",IF($M1339="PADD II","PADD 2",IF($M1339="PADD III","PADD 3",IF($M1339="PADD IV","PADD 4",IF($M1339="PADD V","PADD 5","")))))</f>
        <v>PADD 3</v>
      </c>
      <c r="G1339" s="6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6" t="s">
        <v>494</v>
      </c>
      <c r="I1339" s="6" t="s">
        <v>526</v>
      </c>
      <c r="J1339" s="6" t="s">
        <v>394</v>
      </c>
      <c r="K1339" s="10">
        <v>3.6</v>
      </c>
      <c r="L1339" s="10">
        <v>60</v>
      </c>
      <c r="M1339" s="6" t="s">
        <v>421</v>
      </c>
      <c r="N1339" s="6" t="str">
        <f>IF(OR($G1339="FCC",$G1339="Hydrocracker",$G1339="Reformer"),IF(COUNTIFS($D:$D,$D1339,$A:$A,$A1339,$B:$B,$B1339,$G:$G,"CDU",$J:$J,"PLANNED")&gt;0,"tied","standalone"),"")</f>
        <v>standalone</v>
      </c>
    </row>
    <row r="1340" spans="1:14">
      <c r="A1340" s="6">
        <v>2023</v>
      </c>
      <c r="B1340" s="6">
        <v>5</v>
      </c>
      <c r="C1340" s="6" t="s">
        <v>64</v>
      </c>
      <c r="D1340" s="6" t="s">
        <v>765</v>
      </c>
      <c r="E1340" s="6" t="s">
        <v>766</v>
      </c>
      <c r="F1340" s="6" t="str">
        <f>IF($M1340="PADD I","PADD 1",IF($M1340="PADD II","PADD 2",IF($M1340="PADD III","PADD 3",IF($M1340="PADD IV","PADD 4",IF($M1340="PADD V","PADD 5","")))))</f>
        <v>PADD 2</v>
      </c>
      <c r="G1340" s="6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6" t="s">
        <v>426</v>
      </c>
      <c r="I1340" s="6" t="s">
        <v>106</v>
      </c>
      <c r="J1340" s="6" t="s">
        <v>398</v>
      </c>
      <c r="K1340" s="10">
        <v>3.6</v>
      </c>
      <c r="L1340" s="10">
        <v>8</v>
      </c>
      <c r="M1340" s="6" t="s">
        <v>425</v>
      </c>
      <c r="N1340" s="6" t="str">
        <f>IF(OR($G1340="FCC",$G1340="Hydrocracker",$G1340="Reformer"),IF(COUNTIFS($D:$D,$D1340,$A:$A,$A1340,$B:$B,$B1340,$G:$G,"CDU",$J:$J,"PLANNED")&gt;0,"tied","standalone"),"")</f>
        <v>standalone</v>
      </c>
    </row>
    <row r="1341" spans="1:14">
      <c r="A1341" s="6">
        <v>2023</v>
      </c>
      <c r="B1341" s="6">
        <v>5</v>
      </c>
      <c r="C1341" s="6" t="s">
        <v>64</v>
      </c>
      <c r="D1341" s="6" t="s">
        <v>782</v>
      </c>
      <c r="E1341" s="6" t="s">
        <v>783</v>
      </c>
      <c r="F1341" s="6" t="str">
        <f>IF($M1341="PADD I","PADD 1",IF($M1341="PADD II","PADD 2",IF($M1341="PADD III","PADD 3",IF($M1341="PADD IV","PADD 4",IF($M1341="PADD V","PADD 5","")))))</f>
        <v>PADD 4</v>
      </c>
      <c r="G1341" s="6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6" t="s">
        <v>428</v>
      </c>
      <c r="I1341" s="6" t="s">
        <v>481</v>
      </c>
      <c r="J1341" s="6" t="s">
        <v>398</v>
      </c>
      <c r="K1341" s="10">
        <v>3.52</v>
      </c>
      <c r="L1341" s="10">
        <v>11</v>
      </c>
      <c r="M1341" s="6" t="s">
        <v>480</v>
      </c>
      <c r="N1341" s="6">
        <f>IF(OR($G1341="FCC",$G1341="Hydrocracker",$G1341="Reformer"),IF(COUNTIFS($D:$D,$D1341,$A:$A,$A1341,$B:$B,$B1341,$G:$G,"CDU",$J:$J,"PLANNED")&gt;0,"tied","standalone"),"")</f>
        <v/>
      </c>
    </row>
    <row r="1342" spans="1:14">
      <c r="A1342" s="6">
        <v>2023</v>
      </c>
      <c r="B1342" s="6">
        <v>5</v>
      </c>
      <c r="C1342" s="6" t="s">
        <v>64</v>
      </c>
      <c r="D1342" s="6" t="s">
        <v>782</v>
      </c>
      <c r="E1342" s="6" t="s">
        <v>783</v>
      </c>
      <c r="F1342" s="6" t="str">
        <f>IF($M1342="PADD I","PADD 1",IF($M1342="PADD II","PADD 2",IF($M1342="PADD III","PADD 3",IF($M1342="PADD IV","PADD 4",IF($M1342="PADD V","PADD 5","")))))</f>
        <v>PADD 4</v>
      </c>
      <c r="G1342" s="6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6" t="s">
        <v>44</v>
      </c>
      <c r="I1342" s="6" t="s">
        <v>801</v>
      </c>
      <c r="J1342" s="6" t="s">
        <v>398</v>
      </c>
      <c r="K1342" s="10">
        <v>3.2</v>
      </c>
      <c r="L1342" s="10">
        <v>10</v>
      </c>
      <c r="M1342" s="6" t="s">
        <v>480</v>
      </c>
      <c r="N1342" s="6">
        <f>IF(OR($G1342="FCC",$G1342="Hydrocracker",$G1342="Reformer"),IF(COUNTIFS($D:$D,$D1342,$A:$A,$A1342,$B:$B,$B1342,$G:$G,"CDU",$J:$J,"PLANNED")&gt;0,"tied","standalone"),"")</f>
        <v/>
      </c>
    </row>
    <row r="1343" spans="1:14">
      <c r="A1343" s="6">
        <v>2023</v>
      </c>
      <c r="B1343" s="6">
        <v>5</v>
      </c>
      <c r="C1343" s="6" t="s">
        <v>64</v>
      </c>
      <c r="D1343" s="6" t="s">
        <v>880</v>
      </c>
      <c r="E1343" s="6" t="s">
        <v>438</v>
      </c>
      <c r="F1343" s="6" t="str">
        <f>IF($M1343="PADD I","PADD 1",IF($M1343="PADD II","PADD 2",IF($M1343="PADD III","PADD 3",IF($M1343="PADD IV","PADD 4",IF($M1343="PADD V","PADD 5","")))))</f>
        <v>PADD 2</v>
      </c>
      <c r="G1343" s="6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6" t="s">
        <v>44</v>
      </c>
      <c r="I1343" s="6" t="s">
        <v>535</v>
      </c>
      <c r="J1343" s="6" t="s">
        <v>394</v>
      </c>
      <c r="K1343" s="10">
        <v>3.12</v>
      </c>
      <c r="L1343" s="10">
        <v>6</v>
      </c>
      <c r="M1343" s="6" t="s">
        <v>425</v>
      </c>
      <c r="N1343" s="6">
        <f>IF(OR($G1343="FCC",$G1343="Hydrocracker",$G1343="Reformer"),IF(COUNTIFS($D:$D,$D1343,$A:$A,$A1343,$B:$B,$B1343,$G:$G,"CDU",$J:$J,"PLANNED")&gt;0,"tied","standalone"),"")</f>
        <v/>
      </c>
    </row>
    <row r="1344" spans="1:14">
      <c r="A1344" s="6">
        <v>2023</v>
      </c>
      <c r="B1344" s="6">
        <v>5</v>
      </c>
      <c r="C1344" s="6" t="s">
        <v>64</v>
      </c>
      <c r="D1344" s="6" t="s">
        <v>880</v>
      </c>
      <c r="E1344" s="6" t="s">
        <v>438</v>
      </c>
      <c r="F1344" s="6" t="str">
        <f>IF($M1344="PADD I","PADD 1",IF($M1344="PADD II","PADD 2",IF($M1344="PADD III","PADD 3",IF($M1344="PADD IV","PADD 4",IF($M1344="PADD V","PADD 5","")))))</f>
        <v>PADD 2</v>
      </c>
      <c r="G1344" s="6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6" t="s">
        <v>44</v>
      </c>
      <c r="I1344" s="6" t="s">
        <v>535</v>
      </c>
      <c r="J1344" s="6" t="s">
        <v>394</v>
      </c>
      <c r="K1344" s="10">
        <v>3.12</v>
      </c>
      <c r="L1344" s="10">
        <v>6</v>
      </c>
      <c r="M1344" s="6" t="s">
        <v>425</v>
      </c>
      <c r="N1344" s="6">
        <f>IF(OR($G1344="FCC",$G1344="Hydrocracker",$G1344="Reformer"),IF(COUNTIFS($D:$D,$D1344,$A:$A,$A1344,$B:$B,$B1344,$G:$G,"CDU",$J:$J,"PLANNED")&gt;0,"tied","standalone"),"")</f>
        <v/>
      </c>
    </row>
    <row r="1345" spans="1:14">
      <c r="A1345" s="6">
        <v>2023</v>
      </c>
      <c r="B1345" s="6">
        <v>5</v>
      </c>
      <c r="C1345" s="6" t="s">
        <v>64</v>
      </c>
      <c r="D1345" s="6" t="s">
        <v>422</v>
      </c>
      <c r="E1345" s="6" t="s">
        <v>423</v>
      </c>
      <c r="F1345" s="6" t="str">
        <f>IF($M1345="PADD I","PADD 1",IF($M1345="PADD II","PADD 2",IF($M1345="PADD III","PADD 3",IF($M1345="PADD IV","PADD 4",IF($M1345="PADD V","PADD 5","")))))</f>
        <v>PADD 2</v>
      </c>
      <c r="G1345" s="6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6" t="s">
        <v>510</v>
      </c>
      <c r="I1345" s="6" t="s">
        <v>591</v>
      </c>
      <c r="J1345" s="6" t="s">
        <v>394</v>
      </c>
      <c r="K1345" s="10">
        <v>3</v>
      </c>
      <c r="L1345" s="10">
        <v>3</v>
      </c>
      <c r="M1345" s="6" t="s">
        <v>425</v>
      </c>
      <c r="N1345" s="6">
        <f>IF(OR($G1345="FCC",$G1345="Hydrocracker",$G1345="Reformer"),IF(COUNTIFS($D:$D,$D1345,$A:$A,$A1345,$B:$B,$B1345,$G:$G,"CDU",$J:$J,"PLANNED")&gt;0,"tied","standalone"),"")</f>
        <v/>
      </c>
    </row>
    <row r="1346" spans="1:14">
      <c r="A1346" s="6">
        <v>2023</v>
      </c>
      <c r="B1346" s="6">
        <v>5</v>
      </c>
      <c r="C1346" s="6" t="s">
        <v>64</v>
      </c>
      <c r="D1346" s="6" t="s">
        <v>422</v>
      </c>
      <c r="E1346" s="6" t="s">
        <v>423</v>
      </c>
      <c r="F1346" s="6" t="str">
        <f>IF($M1346="PADD I","PADD 1",IF($M1346="PADD II","PADD 2",IF($M1346="PADD III","PADD 3",IF($M1346="PADD IV","PADD 4",IF($M1346="PADD V","PADD 5","")))))</f>
        <v>PADD 2</v>
      </c>
      <c r="G1346" s="6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6" t="s">
        <v>510</v>
      </c>
      <c r="I1346" s="6" t="s">
        <v>658</v>
      </c>
      <c r="J1346" s="6" t="s">
        <v>394</v>
      </c>
      <c r="K1346" s="10">
        <v>3</v>
      </c>
      <c r="L1346" s="10">
        <v>3</v>
      </c>
      <c r="M1346" s="6" t="s">
        <v>425</v>
      </c>
      <c r="N1346" s="6">
        <f>IF(OR($G1346="FCC",$G1346="Hydrocracker",$G1346="Reformer"),IF(COUNTIFS($D:$D,$D1346,$A:$A,$A1346,$B:$B,$B1346,$G:$G,"CDU",$J:$J,"PLANNED")&gt;0,"tied","standalone"),"")</f>
        <v/>
      </c>
    </row>
    <row r="1347" spans="1:14">
      <c r="A1347" s="6">
        <v>2023</v>
      </c>
      <c r="B1347" s="6">
        <v>5</v>
      </c>
      <c r="C1347" s="6" t="s">
        <v>64</v>
      </c>
      <c r="D1347" s="6" t="s">
        <v>764</v>
      </c>
      <c r="E1347" s="6" t="s">
        <v>455</v>
      </c>
      <c r="F1347" s="6" t="str">
        <f>IF($M1347="PADD I","PADD 1",IF($M1347="PADD II","PADD 2",IF($M1347="PADD III","PADD 3",IF($M1347="PADD IV","PADD 4",IF($M1347="PADD V","PADD 5","")))))</f>
        <v>PADD 3</v>
      </c>
      <c r="G1347" s="6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6" t="s">
        <v>494</v>
      </c>
      <c r="I1347" s="6" t="s">
        <v>14</v>
      </c>
      <c r="J1347" s="6" t="s">
        <v>394</v>
      </c>
      <c r="K1347" s="10">
        <v>3</v>
      </c>
      <c r="L1347" s="10">
        <v>30</v>
      </c>
      <c r="M1347" s="6" t="s">
        <v>421</v>
      </c>
      <c r="N1347" s="6" t="str">
        <f>IF(OR($G1347="FCC",$G1347="Hydrocracker",$G1347="Reformer"),IF(COUNTIFS($D:$D,$D1347,$A:$A,$A1347,$B:$B,$B1347,$G:$G,"CDU",$J:$J,"PLANNED")&gt;0,"tied","standalone"),"")</f>
        <v>standalone</v>
      </c>
    </row>
    <row r="1348" spans="1:14">
      <c r="A1348" s="6">
        <v>2023</v>
      </c>
      <c r="B1348" s="6">
        <v>5</v>
      </c>
      <c r="C1348" s="6" t="s">
        <v>64</v>
      </c>
      <c r="D1348" s="6" t="s">
        <v>764</v>
      </c>
      <c r="E1348" s="6" t="s">
        <v>455</v>
      </c>
      <c r="F1348" s="6" t="str">
        <f>IF($M1348="PADD I","PADD 1",IF($M1348="PADD II","PADD 2",IF($M1348="PADD III","PADD 3",IF($M1348="PADD IV","PADD 4",IF($M1348="PADD V","PADD 5","")))))</f>
        <v>PADD 3</v>
      </c>
      <c r="G1348" s="6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6" t="s">
        <v>471</v>
      </c>
      <c r="I1348" s="6" t="s">
        <v>914</v>
      </c>
      <c r="J1348" s="6" t="s">
        <v>394</v>
      </c>
      <c r="K1348" s="10">
        <v>2.89</v>
      </c>
      <c r="L1348" s="10">
        <v>28.9</v>
      </c>
      <c r="M1348" s="6" t="s">
        <v>421</v>
      </c>
      <c r="N1348" s="6" t="str">
        <f>IF(OR($G1348="FCC",$G1348="Hydrocracker",$G1348="Reformer"),IF(COUNTIFS($D:$D,$D1348,$A:$A,$A1348,$B:$B,$B1348,$G:$G,"CDU",$J:$J,"PLANNED")&gt;0,"tied","standalone"),"")</f>
        <v>standalone</v>
      </c>
    </row>
    <row r="1349" spans="1:14">
      <c r="A1349" s="6">
        <v>2023</v>
      </c>
      <c r="B1349" s="6">
        <v>5</v>
      </c>
      <c r="C1349" s="6" t="s">
        <v>64</v>
      </c>
      <c r="D1349" s="6" t="s">
        <v>550</v>
      </c>
      <c r="E1349" s="6" t="s">
        <v>438</v>
      </c>
      <c r="F1349" s="6" t="str">
        <f>IF($M1349="PADD I","PADD 1",IF($M1349="PADD II","PADD 2",IF($M1349="PADD III","PADD 3",IF($M1349="PADD IV","PADD 4",IF($M1349="PADD V","PADD 5","")))))</f>
        <v>PADD 2</v>
      </c>
      <c r="G1349" s="6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6" t="s">
        <v>471</v>
      </c>
      <c r="I1349" s="6" t="s">
        <v>589</v>
      </c>
      <c r="J1349" s="6" t="s">
        <v>394</v>
      </c>
      <c r="K1349" s="10">
        <v>2.795</v>
      </c>
      <c r="L1349" s="10">
        <v>21.5</v>
      </c>
      <c r="M1349" s="6" t="s">
        <v>425</v>
      </c>
      <c r="N1349" s="6" t="str">
        <f>IF(OR($G1349="FCC",$G1349="Hydrocracker",$G1349="Reformer"),IF(COUNTIFS($D:$D,$D1349,$A:$A,$A1349,$B:$B,$B1349,$G:$G,"CDU",$J:$J,"PLANNED")&gt;0,"tied","standalone"),"")</f>
        <v>standalone</v>
      </c>
    </row>
    <row r="1350" spans="1:14">
      <c r="A1350" s="6">
        <v>2023</v>
      </c>
      <c r="B1350" s="6">
        <v>5</v>
      </c>
      <c r="C1350" s="6" t="s">
        <v>64</v>
      </c>
      <c r="D1350" s="6" t="s">
        <v>382</v>
      </c>
      <c r="E1350" s="6" t="s">
        <v>431</v>
      </c>
      <c r="F1350" s="6" t="str">
        <f>IF($M1350="PADD I","PADD 1",IF($M1350="PADD II","PADD 2",IF($M1350="PADD III","PADD 3",IF($M1350="PADD IV","PADD 4",IF($M1350="PADD V","PADD 5","")))))</f>
        <v>PADD 3</v>
      </c>
      <c r="G1350" s="6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6" t="s">
        <v>44</v>
      </c>
      <c r="I1350" s="6" t="s">
        <v>834</v>
      </c>
      <c r="J1350" s="6" t="s">
        <v>394</v>
      </c>
      <c r="K1350" s="10">
        <v>2.7</v>
      </c>
      <c r="L1350" s="10">
        <v>45</v>
      </c>
      <c r="M1350" s="6" t="s">
        <v>421</v>
      </c>
      <c r="N1350" s="6">
        <f>IF(OR($G1350="FCC",$G1350="Hydrocracker",$G1350="Reformer"),IF(COUNTIFS($D:$D,$D1350,$A:$A,$A1350,$B:$B,$B1350,$G:$G,"CDU",$J:$J,"PLANNED")&gt;0,"tied","standalone"),"")</f>
        <v/>
      </c>
    </row>
    <row r="1351" spans="1:14">
      <c r="A1351" s="6">
        <v>2023</v>
      </c>
      <c r="B1351" s="6">
        <v>5</v>
      </c>
      <c r="C1351" s="6" t="s">
        <v>64</v>
      </c>
      <c r="D1351" s="6" t="s">
        <v>915</v>
      </c>
      <c r="E1351" s="6" t="s">
        <v>419</v>
      </c>
      <c r="F1351" s="6" t="str">
        <f>IF($M1351="PADD I","PADD 1",IF($M1351="PADD II","PADD 2",IF($M1351="PADD III","PADD 3",IF($M1351="PADD IV","PADD 4",IF($M1351="PADD V","PADD 5","")))))</f>
        <v>PADD 4</v>
      </c>
      <c r="G1351" s="6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6" t="s">
        <v>39</v>
      </c>
      <c r="I1351" s="6" t="s">
        <v>916</v>
      </c>
      <c r="J1351" s="6" t="s">
        <v>394</v>
      </c>
      <c r="K1351" s="10">
        <v>2.7</v>
      </c>
      <c r="L1351" s="10">
        <v>45</v>
      </c>
      <c r="M1351" s="6" t="s">
        <v>480</v>
      </c>
      <c r="N1351" s="6">
        <f>IF(OR($G1351="FCC",$G1351="Hydrocracker",$G1351="Reformer"),IF(COUNTIFS($D:$D,$D1351,$A:$A,$A1351,$B:$B,$B1351,$G:$G,"CDU",$J:$J,"PLANNED")&gt;0,"tied","standalone"),"")</f>
        <v/>
      </c>
    </row>
    <row r="1352" spans="1:14">
      <c r="A1352" s="6">
        <v>2023</v>
      </c>
      <c r="B1352" s="6">
        <v>5</v>
      </c>
      <c r="C1352" s="6" t="s">
        <v>64</v>
      </c>
      <c r="D1352" s="6" t="s">
        <v>490</v>
      </c>
      <c r="E1352" s="6" t="s">
        <v>419</v>
      </c>
      <c r="F1352" s="6" t="str">
        <f>IF($M1352="PADD I","PADD 1",IF($M1352="PADD II","PADD 2",IF($M1352="PADD III","PADD 3",IF($M1352="PADD IV","PADD 4",IF($M1352="PADD V","PADD 5","")))))</f>
        <v>PADD 5</v>
      </c>
      <c r="G1352" s="6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6" t="s">
        <v>44</v>
      </c>
      <c r="I1352" s="6" t="s">
        <v>717</v>
      </c>
      <c r="J1352" s="6" t="s">
        <v>394</v>
      </c>
      <c r="K1352" s="10">
        <v>2.4</v>
      </c>
      <c r="L1352" s="10">
        <v>40</v>
      </c>
      <c r="M1352" s="6" t="s">
        <v>436</v>
      </c>
      <c r="N1352" s="6">
        <f>IF(OR($G1352="FCC",$G1352="Hydrocracker",$G1352="Reformer"),IF(COUNTIFS($D:$D,$D1352,$A:$A,$A1352,$B:$B,$B1352,$G:$G,"CDU",$J:$J,"PLANNED")&gt;0,"tied","standalone"),"")</f>
        <v/>
      </c>
    </row>
    <row r="1353" spans="1:14">
      <c r="A1353" s="6">
        <v>2023</v>
      </c>
      <c r="B1353" s="6">
        <v>5</v>
      </c>
      <c r="C1353" s="6" t="s">
        <v>64</v>
      </c>
      <c r="D1353" s="6" t="s">
        <v>725</v>
      </c>
      <c r="E1353" s="6" t="s">
        <v>502</v>
      </c>
      <c r="F1353" s="6" t="str">
        <f>IF($M1353="PADD I","PADD 1",IF($M1353="PADD II","PADD 2",IF($M1353="PADD III","PADD 3",IF($M1353="PADD IV","PADD 4",IF($M1353="PADD V","PADD 5","")))))</f>
        <v>PADD 2</v>
      </c>
      <c r="G1353" s="6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6" t="s">
        <v>426</v>
      </c>
      <c r="I1353" s="6" t="s">
        <v>106</v>
      </c>
      <c r="J1353" s="6" t="s">
        <v>394</v>
      </c>
      <c r="K1353" s="10">
        <v>2.34</v>
      </c>
      <c r="L1353" s="10">
        <v>39</v>
      </c>
      <c r="M1353" s="6" t="s">
        <v>425</v>
      </c>
      <c r="N1353" s="6" t="str">
        <f>IF(OR($G1353="FCC",$G1353="Hydrocracker",$G1353="Reformer"),IF(COUNTIFS($D:$D,$D1353,$A:$A,$A1353,$B:$B,$B1353,$G:$G,"CDU",$J:$J,"PLANNED")&gt;0,"tied","standalone"),"")</f>
        <v>standalone</v>
      </c>
    </row>
    <row r="1354" spans="1:14">
      <c r="A1354" s="6">
        <v>2023</v>
      </c>
      <c r="B1354" s="6">
        <v>5</v>
      </c>
      <c r="C1354" s="6" t="s">
        <v>64</v>
      </c>
      <c r="D1354" s="6" t="s">
        <v>53</v>
      </c>
      <c r="E1354" s="6" t="s">
        <v>438</v>
      </c>
      <c r="F1354" s="6" t="str">
        <f>IF($M1354="PADD I","PADD 1",IF($M1354="PADD II","PADD 2",IF($M1354="PADD III","PADD 3",IF($M1354="PADD IV","PADD 4",IF($M1354="PADD V","PADD 5","")))))</f>
        <v>PADD 5</v>
      </c>
      <c r="G1354" s="6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6" t="s">
        <v>618</v>
      </c>
      <c r="I1354" s="6" t="s">
        <v>875</v>
      </c>
      <c r="J1354" s="6" t="s">
        <v>398</v>
      </c>
      <c r="K1354" s="10">
        <v>2.32</v>
      </c>
      <c r="L1354" s="10">
        <v>4</v>
      </c>
      <c r="M1354" s="6" t="s">
        <v>436</v>
      </c>
      <c r="N1354" s="6">
        <f>IF(OR($G1354="FCC",$G1354="Hydrocracker",$G1354="Reformer"),IF(COUNTIFS($D:$D,$D1354,$A:$A,$A1354,$B:$B,$B1354,$G:$G,"CDU",$J:$J,"PLANNED")&gt;0,"tied","standalone"),"")</f>
        <v/>
      </c>
    </row>
    <row r="1355" spans="1:14">
      <c r="A1355" s="6">
        <v>2023</v>
      </c>
      <c r="B1355" s="6">
        <v>5</v>
      </c>
      <c r="C1355" s="6" t="s">
        <v>64</v>
      </c>
      <c r="D1355" s="6" t="s">
        <v>773</v>
      </c>
      <c r="E1355" s="6" t="s">
        <v>774</v>
      </c>
      <c r="F1355" s="6" t="str">
        <f>IF($M1355="PADD I","PADD 1",IF($M1355="PADD II","PADD 2",IF($M1355="PADD III","PADD 3",IF($M1355="PADD IV","PADD 4",IF($M1355="PADD V","PADD 5","")))))</f>
        <v>PADD 4</v>
      </c>
      <c r="G1355" s="6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6" t="s">
        <v>471</v>
      </c>
      <c r="I1355" s="6" t="s">
        <v>775</v>
      </c>
      <c r="J1355" s="6" t="s">
        <v>398</v>
      </c>
      <c r="K1355" s="10">
        <v>2.3</v>
      </c>
      <c r="L1355" s="10">
        <v>10</v>
      </c>
      <c r="M1355" s="6" t="s">
        <v>480</v>
      </c>
      <c r="N1355" s="6" t="str">
        <f>IF(OR($G1355="FCC",$G1355="Hydrocracker",$G1355="Reformer"),IF(COUNTIFS($D:$D,$D1355,$A:$A,$A1355,$B:$B,$B1355,$G:$G,"CDU",$J:$J,"PLANNED")&gt;0,"tied","standalone"),"")</f>
        <v>standalone</v>
      </c>
    </row>
    <row r="1356" spans="1:14">
      <c r="A1356" s="6">
        <v>2023</v>
      </c>
      <c r="B1356" s="6">
        <v>5</v>
      </c>
      <c r="C1356" s="6" t="s">
        <v>64</v>
      </c>
      <c r="D1356" s="6" t="s">
        <v>712</v>
      </c>
      <c r="E1356" s="6" t="s">
        <v>602</v>
      </c>
      <c r="F1356" s="6" t="str">
        <f>IF($M1356="PADD I","PADD 1",IF($M1356="PADD II","PADD 2",IF($M1356="PADD III","PADD 3",IF($M1356="PADD IV","PADD 4",IF($M1356="PADD V","PADD 5","")))))</f>
        <v>PADD 3</v>
      </c>
      <c r="G1356" s="6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6" t="s">
        <v>44</v>
      </c>
      <c r="I1356" s="6" t="s">
        <v>785</v>
      </c>
      <c r="J1356" s="6" t="s">
        <v>398</v>
      </c>
      <c r="K1356" s="10">
        <v>2.3</v>
      </c>
      <c r="L1356" s="10">
        <v>23</v>
      </c>
      <c r="M1356" s="6" t="s">
        <v>421</v>
      </c>
      <c r="N1356" s="6">
        <f>IF(OR($G1356="FCC",$G1356="Hydrocracker",$G1356="Reformer"),IF(COUNTIFS($D:$D,$D1356,$A:$A,$A1356,$B:$B,$B1356,$G:$G,"CDU",$J:$J,"PLANNED")&gt;0,"tied","standalone"),"")</f>
        <v/>
      </c>
    </row>
    <row r="1357" spans="1:14">
      <c r="A1357" s="6">
        <v>2023</v>
      </c>
      <c r="B1357" s="6">
        <v>5</v>
      </c>
      <c r="C1357" s="6" t="s">
        <v>64</v>
      </c>
      <c r="D1357" s="6" t="s">
        <v>838</v>
      </c>
      <c r="E1357" s="6" t="s">
        <v>455</v>
      </c>
      <c r="F1357" s="6" t="str">
        <f>IF($M1357="PADD I","PADD 1",IF($M1357="PADD II","PADD 2",IF($M1357="PADD III","PADD 3",IF($M1357="PADD IV","PADD 4",IF($M1357="PADD V","PADD 5","")))))</f>
        <v>PADD 3</v>
      </c>
      <c r="G1357" s="6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6" t="s">
        <v>44</v>
      </c>
      <c r="I1357" s="6" t="s">
        <v>871</v>
      </c>
      <c r="J1357" s="6" t="s">
        <v>394</v>
      </c>
      <c r="K1357" s="10">
        <v>2.16</v>
      </c>
      <c r="L1357" s="10">
        <v>36</v>
      </c>
      <c r="M1357" s="6" t="s">
        <v>421</v>
      </c>
      <c r="N1357" s="6">
        <f>IF(OR($G1357="FCC",$G1357="Hydrocracker",$G1357="Reformer"),IF(COUNTIFS($D:$D,$D1357,$A:$A,$A1357,$B:$B,$B1357,$G:$G,"CDU",$J:$J,"PLANNED")&gt;0,"tied","standalone"),"")</f>
        <v/>
      </c>
    </row>
    <row r="1358" spans="1:14">
      <c r="A1358" s="6">
        <v>2023</v>
      </c>
      <c r="B1358" s="6">
        <v>5</v>
      </c>
      <c r="C1358" s="6" t="s">
        <v>64</v>
      </c>
      <c r="D1358" s="6" t="s">
        <v>915</v>
      </c>
      <c r="E1358" s="6" t="s">
        <v>419</v>
      </c>
      <c r="F1358" s="6" t="str">
        <f>IF($M1358="PADD I","PADD 1",IF($M1358="PADD II","PADD 2",IF($M1358="PADD III","PADD 3",IF($M1358="PADD IV","PADD 4",IF($M1358="PADD V","PADD 5","")))))</f>
        <v>PADD 4</v>
      </c>
      <c r="G1358" s="6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6" t="s">
        <v>428</v>
      </c>
      <c r="I1358" s="6" t="s">
        <v>917</v>
      </c>
      <c r="J1358" s="6" t="s">
        <v>394</v>
      </c>
      <c r="K1358" s="10">
        <v>2.1</v>
      </c>
      <c r="L1358" s="10">
        <v>35</v>
      </c>
      <c r="M1358" s="6" t="s">
        <v>480</v>
      </c>
      <c r="N1358" s="6">
        <f>IF(OR($G1358="FCC",$G1358="Hydrocracker",$G1358="Reformer"),IF(COUNTIFS($D:$D,$D1358,$A:$A,$A1358,$B:$B,$B1358,$G:$G,"CDU",$J:$J,"PLANNED")&gt;0,"tied","standalone"),"")</f>
        <v/>
      </c>
    </row>
    <row r="1359" spans="1:14">
      <c r="A1359" s="6">
        <v>2023</v>
      </c>
      <c r="B1359" s="6">
        <v>5</v>
      </c>
      <c r="C1359" s="6" t="s">
        <v>64</v>
      </c>
      <c r="D1359" s="6" t="s">
        <v>470</v>
      </c>
      <c r="E1359" s="6" t="s">
        <v>423</v>
      </c>
      <c r="F1359" s="6" t="str">
        <f>IF($M1359="PADD I","PADD 1",IF($M1359="PADD II","PADD 2",IF($M1359="PADD III","PADD 3",IF($M1359="PADD IV","PADD 4",IF($M1359="PADD V","PADD 5","")))))</f>
        <v>PADD 2</v>
      </c>
      <c r="G1359" s="6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6" t="s">
        <v>618</v>
      </c>
      <c r="I1359" s="6" t="s">
        <v>654</v>
      </c>
      <c r="J1359" s="6" t="s">
        <v>394</v>
      </c>
      <c r="K1359" s="10">
        <v>2</v>
      </c>
      <c r="L1359" s="10">
        <v>2</v>
      </c>
      <c r="M1359" s="6" t="s">
        <v>425</v>
      </c>
      <c r="N1359" s="6">
        <f>IF(OR($G1359="FCC",$G1359="Hydrocracker",$G1359="Reformer"),IF(COUNTIFS($D:$D,$D1359,$A:$A,$A1359,$B:$B,$B1359,$G:$G,"CDU",$J:$J,"PLANNED")&gt;0,"tied","standalone"),"")</f>
        <v/>
      </c>
    </row>
    <row r="1360" spans="1:14">
      <c r="A1360" s="6">
        <v>2023</v>
      </c>
      <c r="B1360" s="6">
        <v>5</v>
      </c>
      <c r="C1360" s="6" t="s">
        <v>64</v>
      </c>
      <c r="D1360" s="6" t="s">
        <v>479</v>
      </c>
      <c r="E1360" s="6" t="s">
        <v>438</v>
      </c>
      <c r="F1360" s="6" t="str">
        <f>IF($M1360="PADD I","PADD 1",IF($M1360="PADD II","PADD 2",IF($M1360="PADD III","PADD 3",IF($M1360="PADD IV","PADD 4",IF($M1360="PADD V","PADD 5","")))))</f>
        <v>PADD 4</v>
      </c>
      <c r="G1360" s="6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6" t="s">
        <v>39</v>
      </c>
      <c r="I1360" s="6" t="s">
        <v>82</v>
      </c>
      <c r="J1360" s="6" t="s">
        <v>394</v>
      </c>
      <c r="K1360" s="10">
        <v>1.995</v>
      </c>
      <c r="L1360" s="10">
        <v>66.5</v>
      </c>
      <c r="M1360" s="6" t="s">
        <v>480</v>
      </c>
      <c r="N1360" s="6">
        <f>IF(OR($G1360="FCC",$G1360="Hydrocracker",$G1360="Reformer"),IF(COUNTIFS($D:$D,$D1360,$A:$A,$A1360,$B:$B,$B1360,$G:$G,"CDU",$J:$J,"PLANNED")&gt;0,"tied","standalone"),"")</f>
        <v/>
      </c>
    </row>
    <row r="1361" spans="1:14">
      <c r="A1361" s="6">
        <v>2023</v>
      </c>
      <c r="B1361" s="6">
        <v>5</v>
      </c>
      <c r="C1361" s="6" t="s">
        <v>64</v>
      </c>
      <c r="D1361" s="6" t="s">
        <v>437</v>
      </c>
      <c r="E1361" s="6" t="s">
        <v>438</v>
      </c>
      <c r="F1361" s="6" t="str">
        <f>IF($M1361="PADD I","PADD 1",IF($M1361="PADD II","PADD 2",IF($M1361="PADD III","PADD 3",IF($M1361="PADD IV","PADD 4",IF($M1361="PADD V","PADD 5","")))))</f>
        <v>PADD 3</v>
      </c>
      <c r="G1361" s="6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6" t="s">
        <v>631</v>
      </c>
      <c r="I1361" s="6" t="s">
        <v>918</v>
      </c>
      <c r="J1361" s="6" t="s">
        <v>394</v>
      </c>
      <c r="K1361" s="10">
        <v>1.8</v>
      </c>
      <c r="L1361" s="10">
        <v>60</v>
      </c>
      <c r="M1361" s="6" t="s">
        <v>421</v>
      </c>
      <c r="N1361" s="6" t="str">
        <f>IF(OR($G1361="FCC",$G1361="Hydrocracker",$G1361="Reformer"),IF(COUNTIFS($D:$D,$D1361,$A:$A,$A1361,$B:$B,$B1361,$G:$G,"CDU",$J:$J,"PLANNED")&gt;0,"tied","standalone"),"")</f>
        <v>standalone</v>
      </c>
    </row>
    <row r="1362" spans="1:14">
      <c r="A1362" s="6">
        <v>2023</v>
      </c>
      <c r="B1362" s="6">
        <v>5</v>
      </c>
      <c r="C1362" s="6" t="s">
        <v>64</v>
      </c>
      <c r="D1362" s="6" t="s">
        <v>576</v>
      </c>
      <c r="E1362" s="6" t="s">
        <v>455</v>
      </c>
      <c r="F1362" s="6" t="str">
        <f>IF($M1362="PADD I","PADD 1",IF($M1362="PADD II","PADD 2",IF($M1362="PADD III","PADD 3",IF($M1362="PADD IV","PADD 4",IF($M1362="PADD V","PADD 5","")))))</f>
        <v>PADD 3</v>
      </c>
      <c r="G1362" s="6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6" t="s">
        <v>485</v>
      </c>
      <c r="I1362" s="6" t="s">
        <v>736</v>
      </c>
      <c r="J1362" s="6" t="s">
        <v>398</v>
      </c>
      <c r="K1362" s="10">
        <v>1.65</v>
      </c>
      <c r="L1362" s="10">
        <v>55</v>
      </c>
      <c r="M1362" s="6" t="s">
        <v>421</v>
      </c>
      <c r="N1362" s="6">
        <f>IF(OR($G1362="FCC",$G1362="Hydrocracker",$G1362="Reformer"),IF(COUNTIFS($D:$D,$D1362,$A:$A,$A1362,$B:$B,$B1362,$G:$G,"CDU",$J:$J,"PLANNED")&gt;0,"tied","standalone"),"")</f>
        <v/>
      </c>
    </row>
    <row r="1363" spans="1:14">
      <c r="A1363" s="6">
        <v>2023</v>
      </c>
      <c r="B1363" s="6">
        <v>5</v>
      </c>
      <c r="C1363" s="6" t="s">
        <v>64</v>
      </c>
      <c r="D1363" s="6" t="s">
        <v>838</v>
      </c>
      <c r="E1363" s="6" t="s">
        <v>455</v>
      </c>
      <c r="F1363" s="6" t="str">
        <f>IF($M1363="PADD I","PADD 1",IF($M1363="PADD II","PADD 2",IF($M1363="PADD III","PADD 3",IF($M1363="PADD IV","PADD 4",IF($M1363="PADD V","PADD 5","")))))</f>
        <v>PADD 3</v>
      </c>
      <c r="G1363" s="6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6" t="s">
        <v>428</v>
      </c>
      <c r="I1363" s="6" t="s">
        <v>862</v>
      </c>
      <c r="J1363" s="6" t="s">
        <v>394</v>
      </c>
      <c r="K1363" s="10">
        <v>1.5</v>
      </c>
      <c r="L1363" s="10">
        <v>50</v>
      </c>
      <c r="M1363" s="6" t="s">
        <v>421</v>
      </c>
      <c r="N1363" s="6">
        <f>IF(OR($G1363="FCC",$G1363="Hydrocracker",$G1363="Reformer"),IF(COUNTIFS($D:$D,$D1363,$A:$A,$A1363,$B:$B,$B1363,$G:$G,"CDU",$J:$J,"PLANNED")&gt;0,"tied","standalone"),"")</f>
        <v/>
      </c>
    </row>
    <row r="1364" spans="1:14">
      <c r="A1364" s="6">
        <v>2023</v>
      </c>
      <c r="B1364" s="6">
        <v>5</v>
      </c>
      <c r="C1364" s="6" t="s">
        <v>64</v>
      </c>
      <c r="D1364" s="6" t="s">
        <v>622</v>
      </c>
      <c r="E1364" s="6" t="s">
        <v>623</v>
      </c>
      <c r="F1364" s="6" t="str">
        <f>IF($M1364="PADD I","PADD 1",IF($M1364="PADD II","PADD 2",IF($M1364="PADD III","PADD 3",IF($M1364="PADD IV","PADD 4",IF($M1364="PADD V","PADD 5","")))))</f>
        <v>PADD 3</v>
      </c>
      <c r="G1364" s="6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6" t="s">
        <v>39</v>
      </c>
      <c r="I1364" s="6" t="s">
        <v>624</v>
      </c>
      <c r="J1364" s="6" t="s">
        <v>394</v>
      </c>
      <c r="K1364" s="10">
        <v>1.5</v>
      </c>
      <c r="L1364" s="10">
        <v>50</v>
      </c>
      <c r="M1364" s="6" t="s">
        <v>421</v>
      </c>
      <c r="N1364" s="6">
        <f>IF(OR($G1364="FCC",$G1364="Hydrocracker",$G1364="Reformer"),IF(COUNTIFS($D:$D,$D1364,$A:$A,$A1364,$B:$B,$B1364,$G:$G,"CDU",$J:$J,"PLANNED")&gt;0,"tied","standalone"),"")</f>
        <v/>
      </c>
    </row>
    <row r="1365" spans="1:14">
      <c r="A1365" s="6">
        <v>2023</v>
      </c>
      <c r="B1365" s="6">
        <v>5</v>
      </c>
      <c r="C1365" s="6" t="s">
        <v>64</v>
      </c>
      <c r="D1365" s="6" t="s">
        <v>806</v>
      </c>
      <c r="E1365" s="6" t="s">
        <v>807</v>
      </c>
      <c r="F1365" s="6" t="str">
        <f>IF($M1365="PADD I","PADD 1",IF($M1365="PADD II","PADD 2",IF($M1365="PADD III","PADD 3",IF($M1365="PADD IV","PADD 4",IF($M1365="PADD V","PADD 5","")))))</f>
        <v>PADD 3</v>
      </c>
      <c r="G1365" s="6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6" t="s">
        <v>39</v>
      </c>
      <c r="I1365" s="6" t="s">
        <v>82</v>
      </c>
      <c r="J1365" s="6" t="s">
        <v>394</v>
      </c>
      <c r="K1365" s="10">
        <v>1.5</v>
      </c>
      <c r="L1365" s="10">
        <v>15</v>
      </c>
      <c r="M1365" s="6" t="s">
        <v>421</v>
      </c>
      <c r="N1365" s="6">
        <f>IF(OR($G1365="FCC",$G1365="Hydrocracker",$G1365="Reformer"),IF(COUNTIFS($D:$D,$D1365,$A:$A,$A1365,$B:$B,$B1365,$G:$G,"CDU",$J:$J,"PLANNED")&gt;0,"tied","standalone"),"")</f>
        <v/>
      </c>
    </row>
    <row r="1366" spans="1:14">
      <c r="A1366" s="6">
        <v>2023</v>
      </c>
      <c r="B1366" s="6">
        <v>5</v>
      </c>
      <c r="C1366" s="6" t="s">
        <v>64</v>
      </c>
      <c r="D1366" s="6" t="s">
        <v>812</v>
      </c>
      <c r="E1366" s="6" t="s">
        <v>813</v>
      </c>
      <c r="F1366" s="6" t="str">
        <f>IF($M1366="PADD I","PADD 1",IF($M1366="PADD II","PADD 2",IF($M1366="PADD III","PADD 3",IF($M1366="PADD IV","PADD 4",IF($M1366="PADD V","PADD 5","")))))</f>
        <v>PADD 2</v>
      </c>
      <c r="G1366" s="6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6" t="s">
        <v>510</v>
      </c>
      <c r="I1366" s="6" t="s">
        <v>666</v>
      </c>
      <c r="J1366" s="6" t="s">
        <v>394</v>
      </c>
      <c r="K1366" s="10">
        <v>1.45</v>
      </c>
      <c r="L1366" s="10">
        <v>5</v>
      </c>
      <c r="M1366" s="6" t="s">
        <v>425</v>
      </c>
      <c r="N1366" s="6">
        <f>IF(OR($G1366="FCC",$G1366="Hydrocracker",$G1366="Reformer"),IF(COUNTIFS($D:$D,$D1366,$A:$A,$A1366,$B:$B,$B1366,$G:$G,"CDU",$J:$J,"PLANNED")&gt;0,"tied","standalone"),"")</f>
        <v/>
      </c>
    </row>
    <row r="1367" spans="1:14">
      <c r="A1367" s="6">
        <v>2023</v>
      </c>
      <c r="B1367" s="6">
        <v>5</v>
      </c>
      <c r="C1367" s="6" t="s">
        <v>64</v>
      </c>
      <c r="D1367" s="6" t="s">
        <v>782</v>
      </c>
      <c r="E1367" s="6" t="s">
        <v>783</v>
      </c>
      <c r="F1367" s="6" t="str">
        <f>IF($M1367="PADD I","PADD 1",IF($M1367="PADD II","PADD 2",IF($M1367="PADD III","PADD 3",IF($M1367="PADD IV","PADD 4",IF($M1367="PADD V","PADD 5","")))))</f>
        <v>PADD 4</v>
      </c>
      <c r="G1367" s="6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6" t="s">
        <v>510</v>
      </c>
      <c r="I1367" s="6" t="s">
        <v>666</v>
      </c>
      <c r="J1367" s="6" t="s">
        <v>398</v>
      </c>
      <c r="K1367" s="10">
        <v>1.376</v>
      </c>
      <c r="L1367" s="10">
        <v>4.3</v>
      </c>
      <c r="M1367" s="6" t="s">
        <v>480</v>
      </c>
      <c r="N1367" s="6">
        <f>IF(OR($G1367="FCC",$G1367="Hydrocracker",$G1367="Reformer"),IF(COUNTIFS($D:$D,$D1367,$A:$A,$A1367,$B:$B,$B1367,$G:$G,"CDU",$J:$J,"PLANNED")&gt;0,"tied","standalone"),"")</f>
        <v/>
      </c>
    </row>
    <row r="1368" spans="1:14">
      <c r="A1368" s="6">
        <v>2023</v>
      </c>
      <c r="B1368" s="6">
        <v>5</v>
      </c>
      <c r="C1368" s="6" t="s">
        <v>64</v>
      </c>
      <c r="D1368" s="6" t="s">
        <v>382</v>
      </c>
      <c r="E1368" s="6" t="s">
        <v>431</v>
      </c>
      <c r="F1368" s="6" t="str">
        <f>IF($M1368="PADD I","PADD 1",IF($M1368="PADD II","PADD 2",IF($M1368="PADD III","PADD 3",IF($M1368="PADD IV","PADD 4",IF($M1368="PADD V","PADD 5","")))))</f>
        <v>PADD 3</v>
      </c>
      <c r="G1368" s="6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6" t="s">
        <v>44</v>
      </c>
      <c r="I1368" s="6" t="s">
        <v>919</v>
      </c>
      <c r="J1368" s="6" t="s">
        <v>394</v>
      </c>
      <c r="K1368" s="10">
        <v>1.35</v>
      </c>
      <c r="L1368" s="10">
        <v>45</v>
      </c>
      <c r="M1368" s="6" t="s">
        <v>421</v>
      </c>
      <c r="N1368" s="6">
        <f>IF(OR($G1368="FCC",$G1368="Hydrocracker",$G1368="Reformer"),IF(COUNTIFS($D:$D,$D1368,$A:$A,$A1368,$B:$B,$B1368,$G:$G,"CDU",$J:$J,"PLANNED")&gt;0,"tied","standalone"),"")</f>
        <v/>
      </c>
    </row>
    <row r="1369" spans="1:14">
      <c r="A1369" s="6">
        <v>2023</v>
      </c>
      <c r="B1369" s="6">
        <v>5</v>
      </c>
      <c r="C1369" s="6" t="s">
        <v>64</v>
      </c>
      <c r="D1369" s="6" t="s">
        <v>576</v>
      </c>
      <c r="E1369" s="6" t="s">
        <v>455</v>
      </c>
      <c r="F1369" s="6" t="str">
        <f>IF($M1369="PADD I","PADD 1",IF($M1369="PADD II","PADD 2",IF($M1369="PADD III","PADD 3",IF($M1369="PADD IV","PADD 4",IF($M1369="PADD V","PADD 5","")))))</f>
        <v>PADD 3</v>
      </c>
      <c r="G1369" s="6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6" t="s">
        <v>494</v>
      </c>
      <c r="I1369" s="6" t="s">
        <v>577</v>
      </c>
      <c r="J1369" s="6" t="s">
        <v>394</v>
      </c>
      <c r="K1369" s="10">
        <v>1.35</v>
      </c>
      <c r="L1369" s="10">
        <v>45</v>
      </c>
      <c r="M1369" s="6" t="s">
        <v>421</v>
      </c>
      <c r="N1369" s="6" t="str">
        <f>IF(OR($G1369="FCC",$G1369="Hydrocracker",$G1369="Reformer"),IF(COUNTIFS($D:$D,$D1369,$A:$A,$A1369,$B:$B,$B1369,$G:$G,"CDU",$J:$J,"PLANNED")&gt;0,"tied","standalone"),"")</f>
        <v>standalone</v>
      </c>
    </row>
    <row r="1370" spans="1:14">
      <c r="A1370" s="6">
        <v>2023</v>
      </c>
      <c r="B1370" s="6">
        <v>5</v>
      </c>
      <c r="C1370" s="6" t="s">
        <v>64</v>
      </c>
      <c r="D1370" s="6" t="s">
        <v>764</v>
      </c>
      <c r="E1370" s="6" t="s">
        <v>455</v>
      </c>
      <c r="F1370" s="6" t="str">
        <f>IF($M1370="PADD I","PADD 1",IF($M1370="PADD II","PADD 2",IF($M1370="PADD III","PADD 3",IF($M1370="PADD IV","PADD 4",IF($M1370="PADD V","PADD 5","")))))</f>
        <v>PADD 3</v>
      </c>
      <c r="G1370" s="6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6" t="s">
        <v>510</v>
      </c>
      <c r="I1370" s="6" t="s">
        <v>511</v>
      </c>
      <c r="J1370" s="6" t="s">
        <v>394</v>
      </c>
      <c r="K1370" s="10">
        <v>1.235</v>
      </c>
      <c r="L1370" s="10">
        <v>9.5</v>
      </c>
      <c r="M1370" s="6" t="s">
        <v>421</v>
      </c>
      <c r="N1370" s="6">
        <f>IF(OR($G1370="FCC",$G1370="Hydrocracker",$G1370="Reformer"),IF(COUNTIFS($D:$D,$D1370,$A:$A,$A1370,$B:$B,$B1370,$G:$G,"CDU",$J:$J,"PLANNED")&gt;0,"tied","standalone"),"")</f>
        <v/>
      </c>
    </row>
    <row r="1371" spans="1:14">
      <c r="A1371" s="6">
        <v>2023</v>
      </c>
      <c r="B1371" s="6">
        <v>5</v>
      </c>
      <c r="C1371" s="6" t="s">
        <v>64</v>
      </c>
      <c r="D1371" s="6" t="s">
        <v>915</v>
      </c>
      <c r="E1371" s="6" t="s">
        <v>419</v>
      </c>
      <c r="F1371" s="6" t="str">
        <f>IF($M1371="PADD I","PADD 1",IF($M1371="PADD II","PADD 2",IF($M1371="PADD III","PADD 3",IF($M1371="PADD IV","PADD 4",IF($M1371="PADD V","PADD 5","")))))</f>
        <v>PADD 4</v>
      </c>
      <c r="G1371" s="6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6" t="s">
        <v>485</v>
      </c>
      <c r="I1371" s="6" t="s">
        <v>920</v>
      </c>
      <c r="J1371" s="6" t="s">
        <v>394</v>
      </c>
      <c r="K1371" s="10">
        <v>1.2</v>
      </c>
      <c r="L1371" s="10">
        <v>20</v>
      </c>
      <c r="M1371" s="6" t="s">
        <v>480</v>
      </c>
      <c r="N1371" s="6">
        <f>IF(OR($G1371="FCC",$G1371="Hydrocracker",$G1371="Reformer"),IF(COUNTIFS($D:$D,$D1371,$A:$A,$A1371,$B:$B,$B1371,$G:$G,"CDU",$J:$J,"PLANNED")&gt;0,"tied","standalone"),"")</f>
        <v/>
      </c>
    </row>
    <row r="1372" spans="1:14">
      <c r="A1372" s="6">
        <v>2023</v>
      </c>
      <c r="B1372" s="6">
        <v>5</v>
      </c>
      <c r="C1372" s="6" t="s">
        <v>64</v>
      </c>
      <c r="D1372" s="6" t="s">
        <v>853</v>
      </c>
      <c r="E1372" s="6" t="s">
        <v>438</v>
      </c>
      <c r="F1372" s="6" t="str">
        <f>IF($M1372="PADD I","PADD 1",IF($M1372="PADD II","PADD 2",IF($M1372="PADD III","PADD 3",IF($M1372="PADD IV","PADD 4",IF($M1372="PADD V","PADD 5","")))))</f>
        <v>PADD 2</v>
      </c>
      <c r="G1372" s="6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6" t="s">
        <v>510</v>
      </c>
      <c r="I1372" s="6" t="s">
        <v>666</v>
      </c>
      <c r="J1372" s="6" t="s">
        <v>394</v>
      </c>
      <c r="K1372" s="10">
        <v>1.15</v>
      </c>
      <c r="L1372" s="10">
        <v>5</v>
      </c>
      <c r="M1372" s="6" t="s">
        <v>425</v>
      </c>
      <c r="N1372" s="6">
        <f>IF(OR($G1372="FCC",$G1372="Hydrocracker",$G1372="Reformer"),IF(COUNTIFS($D:$D,$D1372,$A:$A,$A1372,$B:$B,$B1372,$G:$G,"CDU",$J:$J,"PLANNED")&gt;0,"tied","standalone"),"")</f>
        <v/>
      </c>
    </row>
    <row r="1373" spans="1:14">
      <c r="A1373" s="6">
        <v>2023</v>
      </c>
      <c r="B1373" s="6">
        <v>5</v>
      </c>
      <c r="C1373" s="6" t="s">
        <v>64</v>
      </c>
      <c r="D1373" s="6" t="s">
        <v>921</v>
      </c>
      <c r="E1373" s="6" t="s">
        <v>922</v>
      </c>
      <c r="F1373" s="6" t="str">
        <f>IF($M1373="PADD I","PADD 1",IF($M1373="PADD II","PADD 2",IF($M1373="PADD III","PADD 3",IF($M1373="PADD IV","PADD 4",IF($M1373="PADD V","PADD 5","")))))</f>
        <v>PADD 4</v>
      </c>
      <c r="G1373" s="6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6" t="s">
        <v>39</v>
      </c>
      <c r="I1373" s="6" t="s">
        <v>82</v>
      </c>
      <c r="J1373" s="6" t="s">
        <v>398</v>
      </c>
      <c r="K1373" s="10">
        <v>1.088</v>
      </c>
      <c r="L1373" s="10">
        <v>3.4</v>
      </c>
      <c r="M1373" s="6" t="s">
        <v>480</v>
      </c>
      <c r="N1373" s="6">
        <f>IF(OR($G1373="FCC",$G1373="Hydrocracker",$G1373="Reformer"),IF(COUNTIFS($D:$D,$D1373,$A:$A,$A1373,$B:$B,$B1373,$G:$G,"CDU",$J:$J,"PLANNED")&gt;0,"tied","standalone"),"")</f>
        <v/>
      </c>
    </row>
    <row r="1374" spans="1:14">
      <c r="A1374" s="6">
        <v>2023</v>
      </c>
      <c r="B1374" s="6">
        <v>5</v>
      </c>
      <c r="C1374" s="6" t="s">
        <v>64</v>
      </c>
      <c r="D1374" s="6" t="s">
        <v>838</v>
      </c>
      <c r="E1374" s="6" t="s">
        <v>455</v>
      </c>
      <c r="F1374" s="6" t="str">
        <f>IF($M1374="PADD I","PADD 1",IF($M1374="PADD II","PADD 2",IF($M1374="PADD III","PADD 3",IF($M1374="PADD IV","PADD 4",IF($M1374="PADD V","PADD 5","")))))</f>
        <v>PADD 3</v>
      </c>
      <c r="G1374" s="6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6" t="s">
        <v>44</v>
      </c>
      <c r="I1374" s="6" t="s">
        <v>879</v>
      </c>
      <c r="J1374" s="6" t="s">
        <v>394</v>
      </c>
      <c r="K1374" s="10">
        <v>1.08</v>
      </c>
      <c r="L1374" s="10">
        <v>18</v>
      </c>
      <c r="M1374" s="6" t="s">
        <v>421</v>
      </c>
      <c r="N1374" s="6">
        <f>IF(OR($G1374="FCC",$G1374="Hydrocracker",$G1374="Reformer"),IF(COUNTIFS($D:$D,$D1374,$A:$A,$A1374,$B:$B,$B1374,$G:$G,"CDU",$J:$J,"PLANNED")&gt;0,"tied","standalone"),"")</f>
        <v/>
      </c>
    </row>
    <row r="1375" spans="1:14">
      <c r="A1375" s="6">
        <v>2023</v>
      </c>
      <c r="B1375" s="6">
        <v>5</v>
      </c>
      <c r="C1375" s="6" t="s">
        <v>64</v>
      </c>
      <c r="D1375" s="6" t="s">
        <v>921</v>
      </c>
      <c r="E1375" s="6" t="s">
        <v>922</v>
      </c>
      <c r="F1375" s="6" t="str">
        <f>IF($M1375="PADD I","PADD 1",IF($M1375="PADD II","PADD 2",IF($M1375="PADD III","PADD 3",IF($M1375="PADD IV","PADD 4",IF($M1375="PADD V","PADD 5","")))))</f>
        <v>PADD 4</v>
      </c>
      <c r="G1375" s="6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6" t="s">
        <v>44</v>
      </c>
      <c r="I1375" s="6" t="s">
        <v>923</v>
      </c>
      <c r="J1375" s="6" t="s">
        <v>398</v>
      </c>
      <c r="K1375" s="10">
        <v>0.96</v>
      </c>
      <c r="L1375" s="10">
        <v>3</v>
      </c>
      <c r="M1375" s="6" t="s">
        <v>480</v>
      </c>
      <c r="N1375" s="6">
        <f>IF(OR($G1375="FCC",$G1375="Hydrocracker",$G1375="Reformer"),IF(COUNTIFS($D:$D,$D1375,$A:$A,$A1375,$B:$B,$B1375,$G:$G,"CDU",$J:$J,"PLANNED")&gt;0,"tied","standalone"),"")</f>
        <v/>
      </c>
    </row>
    <row r="1376" spans="1:14">
      <c r="A1376" s="6">
        <v>2023</v>
      </c>
      <c r="B1376" s="6">
        <v>5</v>
      </c>
      <c r="C1376" s="6" t="s">
        <v>64</v>
      </c>
      <c r="D1376" s="6" t="s">
        <v>921</v>
      </c>
      <c r="E1376" s="6" t="s">
        <v>922</v>
      </c>
      <c r="F1376" s="6" t="str">
        <f>IF($M1376="PADD I","PADD 1",IF($M1376="PADD II","PADD 2",IF($M1376="PADD III","PADD 3",IF($M1376="PADD IV","PADD 4",IF($M1376="PADD V","PADD 5","")))))</f>
        <v>PADD 4</v>
      </c>
      <c r="G1376" s="6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6" t="s">
        <v>471</v>
      </c>
      <c r="I1376" s="6" t="s">
        <v>15</v>
      </c>
      <c r="J1376" s="6" t="s">
        <v>398</v>
      </c>
      <c r="K1376" s="10">
        <v>0.96</v>
      </c>
      <c r="L1376" s="10">
        <v>3</v>
      </c>
      <c r="M1376" s="6" t="s">
        <v>480</v>
      </c>
      <c r="N1376" s="6" t="str">
        <f>IF(OR($G1376="FCC",$G1376="Hydrocracker",$G1376="Reformer"),IF(COUNTIFS($D:$D,$D1376,$A:$A,$A1376,$B:$B,$B1376,$G:$G,"CDU",$J:$J,"PLANNED")&gt;0,"tied","standalone"),"")</f>
        <v>tied</v>
      </c>
    </row>
    <row r="1377" spans="1:14">
      <c r="A1377" s="6">
        <v>2023</v>
      </c>
      <c r="B1377" s="6">
        <v>5</v>
      </c>
      <c r="C1377" s="6" t="s">
        <v>64</v>
      </c>
      <c r="D1377" s="6" t="s">
        <v>838</v>
      </c>
      <c r="E1377" s="6" t="s">
        <v>455</v>
      </c>
      <c r="F1377" s="6" t="str">
        <f>IF($M1377="PADD I","PADD 1",IF($M1377="PADD II","PADD 2",IF($M1377="PADD III","PADD 3",IF($M1377="PADD IV","PADD 4",IF($M1377="PADD V","PADD 5","")))))</f>
        <v>PADD 3</v>
      </c>
      <c r="G1377" s="6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6" t="s">
        <v>471</v>
      </c>
      <c r="I1377" s="6" t="s">
        <v>832</v>
      </c>
      <c r="J1377" s="6" t="s">
        <v>394</v>
      </c>
      <c r="K1377" s="10">
        <v>0.96</v>
      </c>
      <c r="L1377" s="10">
        <v>32</v>
      </c>
      <c r="M1377" s="6" t="s">
        <v>421</v>
      </c>
      <c r="N1377" s="6" t="str">
        <f>IF(OR($G1377="FCC",$G1377="Hydrocracker",$G1377="Reformer"),IF(COUNTIFS($D:$D,$D1377,$A:$A,$A1377,$B:$B,$B1377,$G:$G,"CDU",$J:$J,"PLANNED")&gt;0,"tied","standalone"),"")</f>
        <v>standalone</v>
      </c>
    </row>
    <row r="1378" spans="1:14">
      <c r="A1378" s="6">
        <v>2023</v>
      </c>
      <c r="B1378" s="6">
        <v>5</v>
      </c>
      <c r="C1378" s="6" t="s">
        <v>64</v>
      </c>
      <c r="D1378" s="6" t="s">
        <v>518</v>
      </c>
      <c r="E1378" s="6" t="s">
        <v>419</v>
      </c>
      <c r="F1378" s="6" t="str">
        <f>IF($M1378="PADD I","PADD 1",IF($M1378="PADD II","PADD 2",IF($M1378="PADD III","PADD 3",IF($M1378="PADD IV","PADD 4",IF($M1378="PADD V","PADD 5","")))))</f>
        <v>PADD 3</v>
      </c>
      <c r="G1378" s="6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6" t="s">
        <v>426</v>
      </c>
      <c r="I1378" s="6" t="s">
        <v>523</v>
      </c>
      <c r="J1378" s="6" t="s">
        <v>394</v>
      </c>
      <c r="K1378" s="10">
        <v>0.9</v>
      </c>
      <c r="L1378" s="10">
        <v>30</v>
      </c>
      <c r="M1378" s="6" t="s">
        <v>421</v>
      </c>
      <c r="N1378" s="6" t="str">
        <f>IF(OR($G1378="FCC",$G1378="Hydrocracker",$G1378="Reformer"),IF(COUNTIFS($D:$D,$D1378,$A:$A,$A1378,$B:$B,$B1378,$G:$G,"CDU",$J:$J,"PLANNED")&gt;0,"tied","standalone"),"")</f>
        <v>standalone</v>
      </c>
    </row>
    <row r="1379" spans="1:14">
      <c r="A1379" s="6">
        <v>2023</v>
      </c>
      <c r="B1379" s="6">
        <v>5</v>
      </c>
      <c r="C1379" s="6" t="s">
        <v>64</v>
      </c>
      <c r="D1379" s="6" t="s">
        <v>838</v>
      </c>
      <c r="E1379" s="6" t="s">
        <v>455</v>
      </c>
      <c r="F1379" s="6" t="str">
        <f>IF($M1379="PADD I","PADD 1",IF($M1379="PADD II","PADD 2",IF($M1379="PADD III","PADD 3",IF($M1379="PADD IV","PADD 4",IF($M1379="PADD V","PADD 5","")))))</f>
        <v>PADD 3</v>
      </c>
      <c r="G1379" s="6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6" t="s">
        <v>44</v>
      </c>
      <c r="I1379" s="6" t="s">
        <v>888</v>
      </c>
      <c r="J1379" s="6" t="s">
        <v>394</v>
      </c>
      <c r="K1379" s="10">
        <v>0.72</v>
      </c>
      <c r="L1379" s="10">
        <v>12</v>
      </c>
      <c r="M1379" s="6" t="s">
        <v>421</v>
      </c>
      <c r="N1379" s="6">
        <f>IF(OR($G1379="FCC",$G1379="Hydrocracker",$G1379="Reformer"),IF(COUNTIFS($D:$D,$D1379,$A:$A,$A1379,$B:$B,$B1379,$G:$G,"CDU",$J:$J,"PLANNED")&gt;0,"tied","standalone"),"")</f>
        <v/>
      </c>
    </row>
    <row r="1380" spans="1:14">
      <c r="A1380" s="6">
        <v>2023</v>
      </c>
      <c r="B1380" s="6">
        <v>5</v>
      </c>
      <c r="C1380" s="6" t="s">
        <v>64</v>
      </c>
      <c r="D1380" s="6" t="s">
        <v>680</v>
      </c>
      <c r="E1380" s="6" t="s">
        <v>541</v>
      </c>
      <c r="F1380" s="6" t="str">
        <f>IF($M1380="PADD I","PADD 1",IF($M1380="PADD II","PADD 2",IF($M1380="PADD III","PADD 3",IF($M1380="PADD IV","PADD 4",IF($M1380="PADD V","PADD 5","")))))</f>
        <v>PADD 3</v>
      </c>
      <c r="G1380" s="6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6" t="s">
        <v>44</v>
      </c>
      <c r="I1380" s="6" t="s">
        <v>514</v>
      </c>
      <c r="J1380" s="6" t="s">
        <v>394</v>
      </c>
      <c r="K1380" s="10">
        <v>0.72</v>
      </c>
      <c r="L1380" s="10">
        <v>12</v>
      </c>
      <c r="M1380" s="6" t="s">
        <v>421</v>
      </c>
      <c r="N1380" s="6">
        <f>IF(OR($G1380="FCC",$G1380="Hydrocracker",$G1380="Reformer"),IF(COUNTIFS($D:$D,$D1380,$A:$A,$A1380,$B:$B,$B1380,$G:$G,"CDU",$J:$J,"PLANNED")&gt;0,"tied","standalone"),"")</f>
        <v/>
      </c>
    </row>
    <row r="1381" spans="1:14">
      <c r="A1381" s="6">
        <v>2023</v>
      </c>
      <c r="B1381" s="6">
        <v>5</v>
      </c>
      <c r="C1381" s="6" t="s">
        <v>64</v>
      </c>
      <c r="D1381" s="6" t="s">
        <v>782</v>
      </c>
      <c r="E1381" s="6" t="s">
        <v>783</v>
      </c>
      <c r="F1381" s="6" t="str">
        <f>IF($M1381="PADD I","PADD 1",IF($M1381="PADD II","PADD 2",IF($M1381="PADD III","PADD 3",IF($M1381="PADD IV","PADD 4",IF($M1381="PADD V","PADD 5","")))))</f>
        <v>PADD 4</v>
      </c>
      <c r="G1381" s="6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6" t="s">
        <v>618</v>
      </c>
      <c r="I1381" s="6" t="s">
        <v>818</v>
      </c>
      <c r="J1381" s="6" t="s">
        <v>398</v>
      </c>
      <c r="K1381" s="10">
        <v>0.4</v>
      </c>
      <c r="L1381" s="10">
        <v>1.25</v>
      </c>
      <c r="M1381" s="6" t="s">
        <v>480</v>
      </c>
      <c r="N1381" s="6">
        <f>IF(OR($G1381="FCC",$G1381="Hydrocracker",$G1381="Reformer"),IF(COUNTIFS($D:$D,$D1381,$A:$A,$A1381,$B:$B,$B1381,$G:$G,"CDU",$J:$J,"PLANNED")&gt;0,"tied","standalone"),"")</f>
        <v/>
      </c>
    </row>
    <row r="1382" spans="1:14">
      <c r="A1382" s="6">
        <v>2023</v>
      </c>
      <c r="B1382" s="6">
        <v>6</v>
      </c>
      <c r="C1382" s="6" t="s">
        <v>65</v>
      </c>
      <c r="D1382" s="6" t="s">
        <v>461</v>
      </c>
      <c r="E1382" s="6" t="s">
        <v>419</v>
      </c>
      <c r="F1382" s="6" t="str">
        <f>IF($M1382="PADD I","PADD 1",IF($M1382="PADD II","PADD 2",IF($M1382="PADD III","PADD 3",IF($M1382="PADD IV","PADD 4",IF($M1382="PADD V","PADD 5","")))))</f>
        <v>PADD 1</v>
      </c>
      <c r="G1382" s="6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6" t="s">
        <v>426</v>
      </c>
      <c r="I1382" s="6" t="s">
        <v>106</v>
      </c>
      <c r="J1382" s="6" t="s">
        <v>394</v>
      </c>
      <c r="K1382" s="10">
        <v>94.5</v>
      </c>
      <c r="L1382" s="10">
        <v>150</v>
      </c>
      <c r="M1382" s="6" t="s">
        <v>463</v>
      </c>
      <c r="N1382" s="6" t="str">
        <f>IF(OR($G1382="FCC",$G1382="Hydrocracker",$G1382="Reformer"),IF(COUNTIFS($D:$D,$D1382,$A:$A,$A1382,$B:$B,$B1382,$G:$G,"CDU",$J:$J,"PLANNED")&gt;0,"tied","standalone"),"")</f>
        <v>standalone</v>
      </c>
    </row>
    <row r="1383" spans="1:14">
      <c r="A1383" s="6">
        <v>2023</v>
      </c>
      <c r="B1383" s="6">
        <v>6</v>
      </c>
      <c r="C1383" s="6" t="s">
        <v>65</v>
      </c>
      <c r="D1383" s="6" t="s">
        <v>662</v>
      </c>
      <c r="E1383" s="6" t="s">
        <v>466</v>
      </c>
      <c r="F1383" s="6" t="str">
        <f>IF($M1383="PADD I","PADD 1",IF($M1383="PADD II","PADD 2",IF($M1383="PADD III","PADD 3",IF($M1383="PADD IV","PADD 4",IF($M1383="PADD V","PADD 5","")))))</f>
        <v>PADD 3</v>
      </c>
      <c r="G1383" s="6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6" t="s">
        <v>39</v>
      </c>
      <c r="I1383" s="6" t="s">
        <v>82</v>
      </c>
      <c r="J1383" s="6" t="s">
        <v>398</v>
      </c>
      <c r="K1383" s="10">
        <v>94.05</v>
      </c>
      <c r="L1383" s="10">
        <v>165</v>
      </c>
      <c r="M1383" s="6" t="s">
        <v>421</v>
      </c>
      <c r="N1383" s="6">
        <f>IF(OR($G1383="FCC",$G1383="Hydrocracker",$G1383="Reformer"),IF(COUNTIFS($D:$D,$D1383,$A:$A,$A1383,$B:$B,$B1383,$G:$G,"CDU",$J:$J,"PLANNED")&gt;0,"tied","standalone"),"")</f>
        <v/>
      </c>
    </row>
    <row r="1384" spans="1:14">
      <c r="A1384" s="6">
        <v>2023</v>
      </c>
      <c r="B1384" s="6">
        <v>6</v>
      </c>
      <c r="C1384" s="6" t="s">
        <v>65</v>
      </c>
      <c r="D1384" s="6" t="s">
        <v>437</v>
      </c>
      <c r="E1384" s="6" t="s">
        <v>438</v>
      </c>
      <c r="F1384" s="6" t="str">
        <f>IF($M1384="PADD I","PADD 1",IF($M1384="PADD II","PADD 2",IF($M1384="PADD III","PADD 3",IF($M1384="PADD IV","PADD 4",IF($M1384="PADD V","PADD 5","")))))</f>
        <v>PADD 3</v>
      </c>
      <c r="G1384" s="6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6" t="s">
        <v>471</v>
      </c>
      <c r="I1384" s="6" t="s">
        <v>493</v>
      </c>
      <c r="J1384" s="6" t="s">
        <v>394</v>
      </c>
      <c r="K1384" s="10">
        <v>77.5</v>
      </c>
      <c r="L1384" s="10">
        <v>77.5</v>
      </c>
      <c r="M1384" s="6" t="s">
        <v>421</v>
      </c>
      <c r="N1384" s="6" t="str">
        <f>IF(OR($G1384="FCC",$G1384="Hydrocracker",$G1384="Reformer"),IF(COUNTIFS($D:$D,$D1384,$A:$A,$A1384,$B:$B,$B1384,$G:$G,"CDU",$J:$J,"PLANNED")&gt;0,"tied","standalone"),"")</f>
        <v>standalone</v>
      </c>
    </row>
    <row r="1385" spans="1:14">
      <c r="A1385" s="6">
        <v>2023</v>
      </c>
      <c r="B1385" s="6">
        <v>6</v>
      </c>
      <c r="C1385" s="6" t="s">
        <v>65</v>
      </c>
      <c r="D1385" s="6" t="s">
        <v>901</v>
      </c>
      <c r="E1385" s="6" t="s">
        <v>902</v>
      </c>
      <c r="F1385" s="6" t="str">
        <f>IF($M1385="PADD I","PADD 1",IF($M1385="PADD II","PADD 2",IF($M1385="PADD III","PADD 3",IF($M1385="PADD IV","PADD 4",IF($M1385="PADD V","PADD 5","")))))</f>
        <v>PADD 3</v>
      </c>
      <c r="G1385" s="6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6" t="s">
        <v>39</v>
      </c>
      <c r="I1385" s="6" t="s">
        <v>904</v>
      </c>
      <c r="J1385" s="6" t="s">
        <v>394</v>
      </c>
      <c r="K1385" s="10">
        <v>67.89</v>
      </c>
      <c r="L1385" s="10">
        <v>73</v>
      </c>
      <c r="M1385" s="6" t="s">
        <v>421</v>
      </c>
      <c r="N1385" s="6">
        <f>IF(OR($G1385="FCC",$G1385="Hydrocracker",$G1385="Reformer"),IF(COUNTIFS($D:$D,$D1385,$A:$A,$A1385,$B:$B,$B1385,$G:$G,"CDU",$J:$J,"PLANNED")&gt;0,"tied","standalone"),"")</f>
        <v/>
      </c>
    </row>
    <row r="1386" spans="1:14">
      <c r="A1386" s="6">
        <v>2023</v>
      </c>
      <c r="B1386" s="6">
        <v>6</v>
      </c>
      <c r="C1386" s="6" t="s">
        <v>65</v>
      </c>
      <c r="D1386" s="6" t="s">
        <v>901</v>
      </c>
      <c r="E1386" s="6" t="s">
        <v>902</v>
      </c>
      <c r="F1386" s="6" t="str">
        <f>IF($M1386="PADD I","PADD 1",IF($M1386="PADD II","PADD 2",IF($M1386="PADD III","PADD 3",IF($M1386="PADD IV","PADD 4",IF($M1386="PADD V","PADD 5","")))))</f>
        <v>PADD 3</v>
      </c>
      <c r="G1386" s="6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6" t="s">
        <v>39</v>
      </c>
      <c r="I1386" s="6" t="s">
        <v>903</v>
      </c>
      <c r="J1386" s="6" t="s">
        <v>394</v>
      </c>
      <c r="K1386" s="10">
        <v>60.45</v>
      </c>
      <c r="L1386" s="10">
        <v>65</v>
      </c>
      <c r="M1386" s="6" t="s">
        <v>421</v>
      </c>
      <c r="N1386" s="6">
        <f>IF(OR($G1386="FCC",$G1386="Hydrocracker",$G1386="Reformer"),IF(COUNTIFS($D:$D,$D1386,$A:$A,$A1386,$B:$B,$B1386,$G:$G,"CDU",$J:$J,"PLANNED")&gt;0,"tied","standalone"),"")</f>
        <v/>
      </c>
    </row>
    <row r="1387" spans="1:14">
      <c r="A1387" s="6">
        <v>2023</v>
      </c>
      <c r="B1387" s="6">
        <v>6</v>
      </c>
      <c r="C1387" s="6" t="s">
        <v>65</v>
      </c>
      <c r="D1387" s="6" t="s">
        <v>901</v>
      </c>
      <c r="E1387" s="6" t="s">
        <v>902</v>
      </c>
      <c r="F1387" s="6" t="str">
        <f>IF($M1387="PADD I","PADD 1",IF($M1387="PADD II","PADD 2",IF($M1387="PADD III","PADD 3",IF($M1387="PADD IV","PADD 4",IF($M1387="PADD V","PADD 5","")))))</f>
        <v>PADD 3</v>
      </c>
      <c r="G1387" s="6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6" t="s">
        <v>39</v>
      </c>
      <c r="I1387" s="6" t="s">
        <v>904</v>
      </c>
      <c r="J1387" s="6" t="s">
        <v>394</v>
      </c>
      <c r="K1387" s="10">
        <v>60.45</v>
      </c>
      <c r="L1387" s="10">
        <v>65</v>
      </c>
      <c r="M1387" s="6" t="s">
        <v>421</v>
      </c>
      <c r="N1387" s="6">
        <f>IF(OR($G1387="FCC",$G1387="Hydrocracker",$G1387="Reformer"),IF(COUNTIFS($D:$D,$D1387,$A:$A,$A1387,$B:$B,$B1387,$G:$G,"CDU",$J:$J,"PLANNED")&gt;0,"tied","standalone"),"")</f>
        <v/>
      </c>
    </row>
    <row r="1388" spans="1:14">
      <c r="A1388" s="6">
        <v>2023</v>
      </c>
      <c r="B1388" s="6">
        <v>6</v>
      </c>
      <c r="C1388" s="6" t="s">
        <v>65</v>
      </c>
      <c r="D1388" s="6" t="s">
        <v>437</v>
      </c>
      <c r="E1388" s="6" t="s">
        <v>438</v>
      </c>
      <c r="F1388" s="6" t="str">
        <f>IF($M1388="PADD I","PADD 1",IF($M1388="PADD II","PADD 2",IF($M1388="PADD III","PADD 3",IF($M1388="PADD IV","PADD 4",IF($M1388="PADD V","PADD 5","")))))</f>
        <v>PADD 3</v>
      </c>
      <c r="G1388" s="6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6" t="s">
        <v>39</v>
      </c>
      <c r="I1388" s="6" t="s">
        <v>439</v>
      </c>
      <c r="J1388" s="6" t="s">
        <v>394</v>
      </c>
      <c r="K1388" s="10">
        <v>53</v>
      </c>
      <c r="L1388" s="10">
        <v>265</v>
      </c>
      <c r="M1388" s="6" t="s">
        <v>421</v>
      </c>
      <c r="N1388" s="6">
        <f>IF(OR($G1388="FCC",$G1388="Hydrocracker",$G1388="Reformer"),IF(COUNTIFS($D:$D,$D1388,$A:$A,$A1388,$B:$B,$B1388,$G:$G,"CDU",$J:$J,"PLANNED")&gt;0,"tied","standalone"),"")</f>
        <v/>
      </c>
    </row>
    <row r="1389" spans="1:14">
      <c r="A1389" s="6">
        <v>2023</v>
      </c>
      <c r="B1389" s="6">
        <v>6</v>
      </c>
      <c r="C1389" s="6" t="s">
        <v>65</v>
      </c>
      <c r="D1389" s="6" t="s">
        <v>437</v>
      </c>
      <c r="E1389" s="6" t="s">
        <v>438</v>
      </c>
      <c r="F1389" s="6" t="str">
        <f>IF($M1389="PADD I","PADD 1",IF($M1389="PADD II","PADD 2",IF($M1389="PADD III","PADD 3",IF($M1389="PADD IV","PADD 4",IF($M1389="PADD V","PADD 5","")))))</f>
        <v>PADD 3</v>
      </c>
      <c r="G1389" s="6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6" t="s">
        <v>44</v>
      </c>
      <c r="I1389" s="6" t="s">
        <v>898</v>
      </c>
      <c r="J1389" s="6" t="s">
        <v>394</v>
      </c>
      <c r="K1389" s="10">
        <v>50</v>
      </c>
      <c r="L1389" s="10">
        <v>50</v>
      </c>
      <c r="M1389" s="6" t="s">
        <v>421</v>
      </c>
      <c r="N1389" s="6">
        <f>IF(OR($G1389="FCC",$G1389="Hydrocracker",$G1389="Reformer"),IF(COUNTIFS($D:$D,$D1389,$A:$A,$A1389,$B:$B,$B1389,$G:$G,"CDU",$J:$J,"PLANNED")&gt;0,"tied","standalone"),"")</f>
        <v/>
      </c>
    </row>
    <row r="1390" spans="1:14">
      <c r="A1390" s="6">
        <v>2023</v>
      </c>
      <c r="B1390" s="6">
        <v>6</v>
      </c>
      <c r="C1390" s="6" t="s">
        <v>65</v>
      </c>
      <c r="D1390" s="6" t="s">
        <v>592</v>
      </c>
      <c r="E1390" s="6" t="s">
        <v>593</v>
      </c>
      <c r="F1390" s="6" t="str">
        <f>IF($M1390="PADD I","PADD 1",IF($M1390="PADD II","PADD 2",IF($M1390="PADD III","PADD 3",IF($M1390="PADD IV","PADD 4",IF($M1390="PADD V","PADD 5","")))))</f>
        <v>PADD 2</v>
      </c>
      <c r="G1390" s="6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6" t="s">
        <v>39</v>
      </c>
      <c r="I1390" s="6" t="s">
        <v>924</v>
      </c>
      <c r="J1390" s="6" t="s">
        <v>394</v>
      </c>
      <c r="K1390" s="10">
        <v>50</v>
      </c>
      <c r="L1390" s="10">
        <v>250</v>
      </c>
      <c r="M1390" s="6" t="s">
        <v>425</v>
      </c>
      <c r="N1390" s="6">
        <f>IF(OR($G1390="FCC",$G1390="Hydrocracker",$G1390="Reformer"),IF(COUNTIFS($D:$D,$D1390,$A:$A,$A1390,$B:$B,$B1390,$G:$G,"CDU",$J:$J,"PLANNED")&gt;0,"tied","standalone"),"")</f>
        <v/>
      </c>
    </row>
    <row r="1391" spans="1:14">
      <c r="A1391" s="6">
        <v>2023</v>
      </c>
      <c r="B1391" s="6">
        <v>6</v>
      </c>
      <c r="C1391" s="6" t="s">
        <v>65</v>
      </c>
      <c r="D1391" s="6" t="s">
        <v>465</v>
      </c>
      <c r="E1391" s="6" t="s">
        <v>466</v>
      </c>
      <c r="F1391" s="6" t="str">
        <f>IF($M1391="PADD I","PADD 1",IF($M1391="PADD II","PADD 2",IF($M1391="PADD III","PADD 3",IF($M1391="PADD IV","PADD 4",IF($M1391="PADD V","PADD 5","")))))</f>
        <v>PADD 3</v>
      </c>
      <c r="G1391" s="6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6" t="s">
        <v>428</v>
      </c>
      <c r="I1391" s="6" t="s">
        <v>467</v>
      </c>
      <c r="J1391" s="6" t="s">
        <v>394</v>
      </c>
      <c r="K1391" s="10">
        <v>50</v>
      </c>
      <c r="L1391" s="10">
        <v>50</v>
      </c>
      <c r="M1391" s="6" t="s">
        <v>421</v>
      </c>
      <c r="N1391" s="6">
        <f>IF(OR($G1391="FCC",$G1391="Hydrocracker",$G1391="Reformer"),IF(COUNTIFS($D:$D,$D1391,$A:$A,$A1391,$B:$B,$B1391,$G:$G,"CDU",$J:$J,"PLANNED")&gt;0,"tied","standalone"),"")</f>
        <v/>
      </c>
    </row>
    <row r="1392" spans="1:14">
      <c r="A1392" s="6">
        <v>2023</v>
      </c>
      <c r="B1392" s="6">
        <v>6</v>
      </c>
      <c r="C1392" s="6" t="s">
        <v>65</v>
      </c>
      <c r="D1392" s="6" t="s">
        <v>461</v>
      </c>
      <c r="E1392" s="6" t="s">
        <v>419</v>
      </c>
      <c r="F1392" s="6" t="str">
        <f>IF($M1392="PADD I","PADD 1",IF($M1392="PADD II","PADD 2",IF($M1392="PADD III","PADD 3",IF($M1392="PADD IV","PADD 4",IF($M1392="PADD V","PADD 5","")))))</f>
        <v>PADD 1</v>
      </c>
      <c r="G1392" s="6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6" t="s">
        <v>39</v>
      </c>
      <c r="I1392" s="6" t="s">
        <v>579</v>
      </c>
      <c r="J1392" s="6" t="s">
        <v>394</v>
      </c>
      <c r="K1392" s="10">
        <v>49.8575</v>
      </c>
      <c r="L1392" s="10">
        <v>64.75</v>
      </c>
      <c r="M1392" s="6" t="s">
        <v>463</v>
      </c>
      <c r="N1392" s="6">
        <f>IF(OR($G1392="FCC",$G1392="Hydrocracker",$G1392="Reformer"),IF(COUNTIFS($D:$D,$D1392,$A:$A,$A1392,$B:$B,$B1392,$G:$G,"CDU",$J:$J,"PLANNED")&gt;0,"tied","standalone"),"")</f>
        <v/>
      </c>
    </row>
    <row r="1393" spans="1:14">
      <c r="A1393" s="6">
        <v>2023</v>
      </c>
      <c r="B1393" s="6">
        <v>6</v>
      </c>
      <c r="C1393" s="6" t="s">
        <v>65</v>
      </c>
      <c r="D1393" s="6" t="s">
        <v>461</v>
      </c>
      <c r="E1393" s="6" t="s">
        <v>419</v>
      </c>
      <c r="F1393" s="6" t="str">
        <f>IF($M1393="PADD I","PADD 1",IF($M1393="PADD II","PADD 2",IF($M1393="PADD III","PADD 3",IF($M1393="PADD IV","PADD 4",IF($M1393="PADD V","PADD 5","")))))</f>
        <v>PADD 1</v>
      </c>
      <c r="G1393" s="6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6" t="s">
        <v>39</v>
      </c>
      <c r="I1393" s="6" t="s">
        <v>462</v>
      </c>
      <c r="J1393" s="6" t="s">
        <v>394</v>
      </c>
      <c r="K1393" s="10">
        <v>49.665</v>
      </c>
      <c r="L1393" s="10">
        <v>64.5</v>
      </c>
      <c r="M1393" s="6" t="s">
        <v>463</v>
      </c>
      <c r="N1393" s="6">
        <f>IF(OR($G1393="FCC",$G1393="Hydrocracker",$G1393="Reformer"),IF(COUNTIFS($D:$D,$D1393,$A:$A,$A1393,$B:$B,$B1393,$G:$G,"CDU",$J:$J,"PLANNED")&gt;0,"tied","standalone"),"")</f>
        <v/>
      </c>
    </row>
    <row r="1394" spans="1:14">
      <c r="A1394" s="6">
        <v>2023</v>
      </c>
      <c r="B1394" s="6">
        <v>6</v>
      </c>
      <c r="C1394" s="6" t="s">
        <v>65</v>
      </c>
      <c r="D1394" s="6" t="s">
        <v>662</v>
      </c>
      <c r="E1394" s="6" t="s">
        <v>466</v>
      </c>
      <c r="F1394" s="6" t="str">
        <f>IF($M1394="PADD I","PADD 1",IF($M1394="PADD II","PADD 2",IF($M1394="PADD III","PADD 3",IF($M1394="PADD IV","PADD 4",IF($M1394="PADD V","PADD 5","")))))</f>
        <v>PADD 3</v>
      </c>
      <c r="G1394" s="6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6" t="s">
        <v>428</v>
      </c>
      <c r="I1394" s="6" t="s">
        <v>481</v>
      </c>
      <c r="J1394" s="6" t="s">
        <v>398</v>
      </c>
      <c r="K1394" s="10">
        <v>45.6</v>
      </c>
      <c r="L1394" s="10">
        <v>80</v>
      </c>
      <c r="M1394" s="6" t="s">
        <v>421</v>
      </c>
      <c r="N1394" s="6">
        <f>IF(OR($G1394="FCC",$G1394="Hydrocracker",$G1394="Reformer"),IF(COUNTIFS($D:$D,$D1394,$A:$A,$A1394,$B:$B,$B1394,$G:$G,"CDU",$J:$J,"PLANNED")&gt;0,"tied","standalone"),"")</f>
        <v/>
      </c>
    </row>
    <row r="1395" spans="1:14">
      <c r="A1395" s="6">
        <v>2023</v>
      </c>
      <c r="B1395" s="6">
        <v>6</v>
      </c>
      <c r="C1395" s="6" t="s">
        <v>65</v>
      </c>
      <c r="D1395" s="6" t="s">
        <v>822</v>
      </c>
      <c r="E1395" s="6" t="s">
        <v>455</v>
      </c>
      <c r="F1395" s="6" t="str">
        <f>IF($M1395="PADD I","PADD 1",IF($M1395="PADD II","PADD 2",IF($M1395="PADD III","PADD 3",IF($M1395="PADD IV","PADD 4",IF($M1395="PADD V","PADD 5","")))))</f>
        <v>PADD 3</v>
      </c>
      <c r="G1395" s="6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6" t="s">
        <v>426</v>
      </c>
      <c r="I1395" s="6" t="s">
        <v>823</v>
      </c>
      <c r="J1395" s="6" t="s">
        <v>398</v>
      </c>
      <c r="K1395" s="10">
        <v>45.12</v>
      </c>
      <c r="L1395" s="10">
        <v>96</v>
      </c>
      <c r="M1395" s="6" t="s">
        <v>421</v>
      </c>
      <c r="N1395" s="6" t="str">
        <f>IF(OR($G1395="FCC",$G1395="Hydrocracker",$G1395="Reformer"),IF(COUNTIFS($D:$D,$D1395,$A:$A,$A1395,$B:$B,$B1395,$G:$G,"CDU",$J:$J,"PLANNED")&gt;0,"tied","standalone"),"")</f>
        <v>standalone</v>
      </c>
    </row>
    <row r="1396" spans="1:14">
      <c r="A1396" s="6">
        <v>2023</v>
      </c>
      <c r="B1396" s="6">
        <v>6</v>
      </c>
      <c r="C1396" s="6" t="s">
        <v>65</v>
      </c>
      <c r="D1396" s="6" t="s">
        <v>368</v>
      </c>
      <c r="E1396" s="6" t="s">
        <v>715</v>
      </c>
      <c r="F1396" s="6" t="str">
        <f>IF($M1396="PADD I","PADD 1",IF($M1396="PADD II","PADD 2",IF($M1396="PADD III","PADD 3",IF($M1396="PADD IV","PADD 4",IF($M1396="PADD V","PADD 5","")))))</f>
        <v>PADD 3</v>
      </c>
      <c r="G1396" s="6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6" t="s">
        <v>39</v>
      </c>
      <c r="I1396" s="6" t="s">
        <v>87</v>
      </c>
      <c r="J1396" s="6" t="s">
        <v>394</v>
      </c>
      <c r="K1396" s="10">
        <v>40.8</v>
      </c>
      <c r="L1396" s="10">
        <v>240</v>
      </c>
      <c r="M1396" s="6" t="s">
        <v>421</v>
      </c>
      <c r="N1396" s="6">
        <f>IF(OR($G1396="FCC",$G1396="Hydrocracker",$G1396="Reformer"),IF(COUNTIFS($D:$D,$D1396,$A:$A,$A1396,$B:$B,$B1396,$G:$G,"CDU",$J:$J,"PLANNED")&gt;0,"tied","standalone"),"")</f>
        <v/>
      </c>
    </row>
    <row r="1397" spans="1:14">
      <c r="A1397" s="6">
        <v>2023</v>
      </c>
      <c r="B1397" s="6">
        <v>6</v>
      </c>
      <c r="C1397" s="6" t="s">
        <v>65</v>
      </c>
      <c r="D1397" s="6" t="s">
        <v>371</v>
      </c>
      <c r="E1397" s="6" t="s">
        <v>419</v>
      </c>
      <c r="F1397" s="6" t="str">
        <f>IF($M1397="PADD I","PADD 1",IF($M1397="PADD II","PADD 2",IF($M1397="PADD III","PADD 3",IF($M1397="PADD IV","PADD 4",IF($M1397="PADD V","PADD 5","")))))</f>
        <v>PADD 2</v>
      </c>
      <c r="G1397" s="6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6" t="s">
        <v>426</v>
      </c>
      <c r="I1397" s="6" t="s">
        <v>707</v>
      </c>
      <c r="J1397" s="6" t="s">
        <v>394</v>
      </c>
      <c r="K1397" s="10">
        <v>36.54</v>
      </c>
      <c r="L1397" s="10">
        <v>42</v>
      </c>
      <c r="M1397" s="6" t="s">
        <v>425</v>
      </c>
      <c r="N1397" s="6" t="str">
        <f>IF(OR($G1397="FCC",$G1397="Hydrocracker",$G1397="Reformer"),IF(COUNTIFS($D:$D,$D1397,$A:$A,$A1397,$B:$B,$B1397,$G:$G,"CDU",$J:$J,"PLANNED")&gt;0,"tied","standalone"),"")</f>
        <v>standalone</v>
      </c>
    </row>
    <row r="1398" spans="1:14">
      <c r="A1398" s="6">
        <v>2023</v>
      </c>
      <c r="B1398" s="6">
        <v>6</v>
      </c>
      <c r="C1398" s="6" t="s">
        <v>65</v>
      </c>
      <c r="D1398" s="6" t="s">
        <v>496</v>
      </c>
      <c r="E1398" s="6" t="s">
        <v>441</v>
      </c>
      <c r="F1398" s="6" t="str">
        <f>IF($M1398="PADD I","PADD 1",IF($M1398="PADD II","PADD 2",IF($M1398="PADD III","PADD 3",IF($M1398="PADD IV","PADD 4",IF($M1398="PADD V","PADD 5","")))))</f>
        <v>PADD 3</v>
      </c>
      <c r="G1398" s="6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6" t="s">
        <v>44</v>
      </c>
      <c r="I1398" s="6" t="s">
        <v>497</v>
      </c>
      <c r="J1398" s="6" t="s">
        <v>398</v>
      </c>
      <c r="K1398" s="10">
        <v>35</v>
      </c>
      <c r="L1398" s="10">
        <v>35</v>
      </c>
      <c r="M1398" s="6" t="s">
        <v>421</v>
      </c>
      <c r="N1398" s="6">
        <f>IF(OR($G1398="FCC",$G1398="Hydrocracker",$G1398="Reformer"),IF(COUNTIFS($D:$D,$D1398,$A:$A,$A1398,$B:$B,$B1398,$G:$G,"CDU",$J:$J,"PLANNED")&gt;0,"tied","standalone"),"")</f>
        <v/>
      </c>
    </row>
    <row r="1399" spans="1:14">
      <c r="A1399" s="6">
        <v>2023</v>
      </c>
      <c r="B1399" s="6">
        <v>6</v>
      </c>
      <c r="C1399" s="6" t="s">
        <v>65</v>
      </c>
      <c r="D1399" s="6" t="s">
        <v>498</v>
      </c>
      <c r="E1399" s="6" t="s">
        <v>441</v>
      </c>
      <c r="F1399" s="6" t="str">
        <f>IF($M1399="PADD I","PADD 1",IF($M1399="PADD II","PADD 2",IF($M1399="PADD III","PADD 3",IF($M1399="PADD IV","PADD 4",IF($M1399="PADD V","PADD 5","")))))</f>
        <v>PADD 3</v>
      </c>
      <c r="G1399" s="6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6" t="s">
        <v>44</v>
      </c>
      <c r="I1399" s="6" t="s">
        <v>499</v>
      </c>
      <c r="J1399" s="6" t="s">
        <v>394</v>
      </c>
      <c r="K1399" s="10">
        <v>35</v>
      </c>
      <c r="L1399" s="10">
        <v>35</v>
      </c>
      <c r="M1399" s="6" t="s">
        <v>421</v>
      </c>
      <c r="N1399" s="6">
        <f>IF(OR($G1399="FCC",$G1399="Hydrocracker",$G1399="Reformer"),IF(COUNTIFS($D:$D,$D1399,$A:$A,$A1399,$B:$B,$B1399,$G:$G,"CDU",$J:$J,"PLANNED")&gt;0,"tied","standalone"),"")</f>
        <v/>
      </c>
    </row>
    <row r="1400" spans="1:14">
      <c r="A1400" s="6">
        <v>2023</v>
      </c>
      <c r="B1400" s="6">
        <v>6</v>
      </c>
      <c r="C1400" s="6" t="s">
        <v>65</v>
      </c>
      <c r="D1400" s="6" t="s">
        <v>465</v>
      </c>
      <c r="E1400" s="6" t="s">
        <v>466</v>
      </c>
      <c r="F1400" s="6" t="str">
        <f>IF($M1400="PADD I","PADD 1",IF($M1400="PADD II","PADD 2",IF($M1400="PADD III","PADD 3",IF($M1400="PADD IV","PADD 4",IF($M1400="PADD V","PADD 5","")))))</f>
        <v>PADD 3</v>
      </c>
      <c r="G1400" s="6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6" t="s">
        <v>485</v>
      </c>
      <c r="I1400" s="6" t="s">
        <v>503</v>
      </c>
      <c r="J1400" s="6" t="s">
        <v>394</v>
      </c>
      <c r="K1400" s="10">
        <v>34</v>
      </c>
      <c r="L1400" s="10">
        <v>34</v>
      </c>
      <c r="M1400" s="6" t="s">
        <v>421</v>
      </c>
      <c r="N1400" s="6">
        <f>IF(OR($G1400="FCC",$G1400="Hydrocracker",$G1400="Reformer"),IF(COUNTIFS($D:$D,$D1400,$A:$A,$A1400,$B:$B,$B1400,$G:$G,"CDU",$J:$J,"PLANNED")&gt;0,"tied","standalone"),"")</f>
        <v/>
      </c>
    </row>
    <row r="1401" spans="1:14">
      <c r="A1401" s="6">
        <v>2023</v>
      </c>
      <c r="B1401" s="6">
        <v>6</v>
      </c>
      <c r="C1401" s="6" t="s">
        <v>65</v>
      </c>
      <c r="D1401" s="6" t="s">
        <v>465</v>
      </c>
      <c r="E1401" s="6" t="s">
        <v>466</v>
      </c>
      <c r="F1401" s="6" t="str">
        <f>IF($M1401="PADD I","PADD 1",IF($M1401="PADD II","PADD 2",IF($M1401="PADD III","PADD 3",IF($M1401="PADD IV","PADD 4",IF($M1401="PADD V","PADD 5","")))))</f>
        <v>PADD 3</v>
      </c>
      <c r="G1401" s="6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6" t="s">
        <v>485</v>
      </c>
      <c r="I1401" s="6" t="s">
        <v>503</v>
      </c>
      <c r="J1401" s="6" t="s">
        <v>394</v>
      </c>
      <c r="K1401" s="10">
        <v>34</v>
      </c>
      <c r="L1401" s="10">
        <v>34</v>
      </c>
      <c r="M1401" s="6" t="s">
        <v>421</v>
      </c>
      <c r="N1401" s="6">
        <f>IF(OR($G1401="FCC",$G1401="Hydrocracker",$G1401="Reformer"),IF(COUNTIFS($D:$D,$D1401,$A:$A,$A1401,$B:$B,$B1401,$G:$G,"CDU",$J:$J,"PLANNED")&gt;0,"tied","standalone"),"")</f>
        <v/>
      </c>
    </row>
    <row r="1402" spans="1:14">
      <c r="A1402" s="6">
        <v>2023</v>
      </c>
      <c r="B1402" s="6">
        <v>6</v>
      </c>
      <c r="C1402" s="6" t="s">
        <v>65</v>
      </c>
      <c r="D1402" s="6" t="s">
        <v>901</v>
      </c>
      <c r="E1402" s="6" t="s">
        <v>902</v>
      </c>
      <c r="F1402" s="6" t="str">
        <f>IF($M1402="PADD I","PADD 1",IF($M1402="PADD II","PADD 2",IF($M1402="PADD III","PADD 3",IF($M1402="PADD IV","PADD 4",IF($M1402="PADD V","PADD 5","")))))</f>
        <v>PADD 3</v>
      </c>
      <c r="G1402" s="6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6" t="s">
        <v>428</v>
      </c>
      <c r="I1402" s="6" t="s">
        <v>910</v>
      </c>
      <c r="J1402" s="6" t="s">
        <v>394</v>
      </c>
      <c r="K1402" s="10">
        <v>33.48</v>
      </c>
      <c r="L1402" s="10">
        <v>36</v>
      </c>
      <c r="M1402" s="6" t="s">
        <v>421</v>
      </c>
      <c r="N1402" s="6">
        <f>IF(OR($G1402="FCC",$G1402="Hydrocracker",$G1402="Reformer"),IF(COUNTIFS($D:$D,$D1402,$A:$A,$A1402,$B:$B,$B1402,$G:$G,"CDU",$J:$J,"PLANNED")&gt;0,"tied","standalone"),"")</f>
        <v/>
      </c>
    </row>
    <row r="1403" spans="1:14">
      <c r="A1403" s="6">
        <v>2023</v>
      </c>
      <c r="B1403" s="6">
        <v>6</v>
      </c>
      <c r="C1403" s="6" t="s">
        <v>65</v>
      </c>
      <c r="D1403" s="6" t="s">
        <v>422</v>
      </c>
      <c r="E1403" s="6" t="s">
        <v>423</v>
      </c>
      <c r="F1403" s="6" t="str">
        <f>IF($M1403="PADD I","PADD 1",IF($M1403="PADD II","PADD 2",IF($M1403="PADD III","PADD 3",IF($M1403="PADD IV","PADD 4",IF($M1403="PADD V","PADD 5","")))))</f>
        <v>PADD 2</v>
      </c>
      <c r="G1403" s="6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6" t="s">
        <v>39</v>
      </c>
      <c r="I1403" s="6" t="s">
        <v>424</v>
      </c>
      <c r="J1403" s="6" t="s">
        <v>394</v>
      </c>
      <c r="K1403" s="10">
        <v>33</v>
      </c>
      <c r="L1403" s="10">
        <v>110</v>
      </c>
      <c r="M1403" s="6" t="s">
        <v>425</v>
      </c>
      <c r="N1403" s="6">
        <f>IF(OR($G1403="FCC",$G1403="Hydrocracker",$G1403="Reformer"),IF(COUNTIFS($D:$D,$D1403,$A:$A,$A1403,$B:$B,$B1403,$G:$G,"CDU",$J:$J,"PLANNED")&gt;0,"tied","standalone"),"")</f>
        <v/>
      </c>
    </row>
    <row r="1404" spans="1:14">
      <c r="A1404" s="6">
        <v>2023</v>
      </c>
      <c r="B1404" s="6">
        <v>6</v>
      </c>
      <c r="C1404" s="6" t="s">
        <v>65</v>
      </c>
      <c r="D1404" s="6" t="s">
        <v>461</v>
      </c>
      <c r="E1404" s="6" t="s">
        <v>419</v>
      </c>
      <c r="F1404" s="6" t="str">
        <f>IF($M1404="PADD I","PADD 1",IF($M1404="PADD II","PADD 2",IF($M1404="PADD III","PADD 3",IF($M1404="PADD IV","PADD 4",IF($M1404="PADD V","PADD 5","")))))</f>
        <v>PADD 1</v>
      </c>
      <c r="G1404" s="6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6" t="s">
        <v>44</v>
      </c>
      <c r="I1404" s="6" t="s">
        <v>508</v>
      </c>
      <c r="J1404" s="6" t="s">
        <v>394</v>
      </c>
      <c r="K1404" s="10">
        <v>32.725</v>
      </c>
      <c r="L1404" s="10">
        <v>42.5</v>
      </c>
      <c r="M1404" s="6" t="s">
        <v>463</v>
      </c>
      <c r="N1404" s="6">
        <f>IF(OR($G1404="FCC",$G1404="Hydrocracker",$G1404="Reformer"),IF(COUNTIFS($D:$D,$D1404,$A:$A,$A1404,$B:$B,$B1404,$G:$G,"CDU",$J:$J,"PLANNED")&gt;0,"tied","standalone"),"")</f>
        <v/>
      </c>
    </row>
    <row r="1405" spans="1:14">
      <c r="A1405" s="6">
        <v>2023</v>
      </c>
      <c r="B1405" s="6">
        <v>6</v>
      </c>
      <c r="C1405" s="6" t="s">
        <v>65</v>
      </c>
      <c r="D1405" s="6" t="s">
        <v>518</v>
      </c>
      <c r="E1405" s="6" t="s">
        <v>419</v>
      </c>
      <c r="F1405" s="6" t="str">
        <f>IF($M1405="PADD I","PADD 1",IF($M1405="PADD II","PADD 2",IF($M1405="PADD III","PADD 3",IF($M1405="PADD IV","PADD 4",IF($M1405="PADD V","PADD 5","")))))</f>
        <v>PADD 3</v>
      </c>
      <c r="G1405" s="6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6" t="s">
        <v>426</v>
      </c>
      <c r="I1405" s="6" t="s">
        <v>519</v>
      </c>
      <c r="J1405" s="6" t="s">
        <v>394</v>
      </c>
      <c r="K1405" s="10">
        <v>30</v>
      </c>
      <c r="L1405" s="10">
        <v>30</v>
      </c>
      <c r="M1405" s="6" t="s">
        <v>421</v>
      </c>
      <c r="N1405" s="6" t="str">
        <f>IF(OR($G1405="FCC",$G1405="Hydrocracker",$G1405="Reformer"),IF(COUNTIFS($D:$D,$D1405,$A:$A,$A1405,$B:$B,$B1405,$G:$G,"CDU",$J:$J,"PLANNED")&gt;0,"tied","standalone"),"")</f>
        <v>standalone</v>
      </c>
    </row>
    <row r="1406" spans="1:14">
      <c r="A1406" s="6">
        <v>2023</v>
      </c>
      <c r="B1406" s="6">
        <v>6</v>
      </c>
      <c r="C1406" s="6" t="s">
        <v>65</v>
      </c>
      <c r="D1406" s="6" t="s">
        <v>384</v>
      </c>
      <c r="E1406" s="6" t="s">
        <v>419</v>
      </c>
      <c r="F1406" s="6" t="str">
        <f>IF($M1406="PADD I","PADD 1",IF($M1406="PADD II","PADD 2",IF($M1406="PADD III","PADD 3",IF($M1406="PADD IV","PADD 4",IF($M1406="PADD V","PADD 5","")))))</f>
        <v>PADD 3</v>
      </c>
      <c r="G1406" s="6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6" t="s">
        <v>426</v>
      </c>
      <c r="I1406" s="6" t="s">
        <v>522</v>
      </c>
      <c r="J1406" s="6" t="s">
        <v>394</v>
      </c>
      <c r="K1406" s="10">
        <v>30</v>
      </c>
      <c r="L1406" s="10">
        <v>30</v>
      </c>
      <c r="M1406" s="6" t="s">
        <v>421</v>
      </c>
      <c r="N1406" s="6" t="str">
        <f>IF(OR($G1406="FCC",$G1406="Hydrocracker",$G1406="Reformer"),IF(COUNTIFS($D:$D,$D1406,$A:$A,$A1406,$B:$B,$B1406,$G:$G,"CDU",$J:$J,"PLANNED")&gt;0,"tied","standalone"),"")</f>
        <v>standalone</v>
      </c>
    </row>
    <row r="1407" spans="1:14">
      <c r="A1407" s="6">
        <v>2023</v>
      </c>
      <c r="B1407" s="6">
        <v>6</v>
      </c>
      <c r="C1407" s="6" t="s">
        <v>65</v>
      </c>
      <c r="D1407" s="6" t="s">
        <v>518</v>
      </c>
      <c r="E1407" s="6" t="s">
        <v>419</v>
      </c>
      <c r="F1407" s="6" t="str">
        <f>IF($M1407="PADD I","PADD 1",IF($M1407="PADD II","PADD 2",IF($M1407="PADD III","PADD 3",IF($M1407="PADD IV","PADD 4",IF($M1407="PADD V","PADD 5","")))))</f>
        <v>PADD 3</v>
      </c>
      <c r="G1407" s="6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6" t="s">
        <v>426</v>
      </c>
      <c r="I1407" s="6" t="s">
        <v>523</v>
      </c>
      <c r="J1407" s="6" t="s">
        <v>394</v>
      </c>
      <c r="K1407" s="10">
        <v>30</v>
      </c>
      <c r="L1407" s="10">
        <v>30</v>
      </c>
      <c r="M1407" s="6" t="s">
        <v>421</v>
      </c>
      <c r="N1407" s="6" t="str">
        <f>IF(OR($G1407="FCC",$G1407="Hydrocracker",$G1407="Reformer"),IF(COUNTIFS($D:$D,$D1407,$A:$A,$A1407,$B:$B,$B1407,$G:$G,"CDU",$J:$J,"PLANNED")&gt;0,"tied","standalone"),"")</f>
        <v>standalone</v>
      </c>
    </row>
    <row r="1408" spans="1:14">
      <c r="A1408" s="6">
        <v>2023</v>
      </c>
      <c r="B1408" s="6">
        <v>6</v>
      </c>
      <c r="C1408" s="6" t="s">
        <v>65</v>
      </c>
      <c r="D1408" s="6" t="s">
        <v>518</v>
      </c>
      <c r="E1408" s="6" t="s">
        <v>419</v>
      </c>
      <c r="F1408" s="6" t="str">
        <f>IF($M1408="PADD I","PADD 1",IF($M1408="PADD II","PADD 2",IF($M1408="PADD III","PADD 3",IF($M1408="PADD IV","PADD 4",IF($M1408="PADD V","PADD 5","")))))</f>
        <v>PADD 3</v>
      </c>
      <c r="G1408" s="6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6" t="s">
        <v>44</v>
      </c>
      <c r="I1408" s="6" t="s">
        <v>899</v>
      </c>
      <c r="J1408" s="6" t="s">
        <v>394</v>
      </c>
      <c r="K1408" s="10">
        <v>29.2</v>
      </c>
      <c r="L1408" s="10">
        <v>36.5</v>
      </c>
      <c r="M1408" s="6" t="s">
        <v>421</v>
      </c>
      <c r="N1408" s="6">
        <f>IF(OR($G1408="FCC",$G1408="Hydrocracker",$G1408="Reformer"),IF(COUNTIFS($D:$D,$D1408,$A:$A,$A1408,$B:$B,$B1408,$G:$G,"CDU",$J:$J,"PLANNED")&gt;0,"tied","standalone"),"")</f>
        <v/>
      </c>
    </row>
    <row r="1409" spans="1:14">
      <c r="A1409" s="6">
        <v>2023</v>
      </c>
      <c r="B1409" s="6">
        <v>6</v>
      </c>
      <c r="C1409" s="6" t="s">
        <v>65</v>
      </c>
      <c r="D1409" s="6" t="s">
        <v>461</v>
      </c>
      <c r="E1409" s="6" t="s">
        <v>419</v>
      </c>
      <c r="F1409" s="6" t="str">
        <f>IF($M1409="PADD I","PADD 1",IF($M1409="PADD II","PADD 2",IF($M1409="PADD III","PADD 3",IF($M1409="PADD IV","PADD 4",IF($M1409="PADD V","PADD 5","")))))</f>
        <v>PADD 1</v>
      </c>
      <c r="G1409" s="6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6" t="s">
        <v>428</v>
      </c>
      <c r="I1409" s="6" t="s">
        <v>481</v>
      </c>
      <c r="J1409" s="6" t="s">
        <v>394</v>
      </c>
      <c r="K1409" s="10">
        <v>28.875</v>
      </c>
      <c r="L1409" s="10">
        <v>37.5</v>
      </c>
      <c r="M1409" s="6" t="s">
        <v>463</v>
      </c>
      <c r="N1409" s="6">
        <f>IF(OR($G1409="FCC",$G1409="Hydrocracker",$G1409="Reformer"),IF(COUNTIFS($D:$D,$D1409,$A:$A,$A1409,$B:$B,$B1409,$G:$G,"CDU",$J:$J,"PLANNED")&gt;0,"tied","standalone"),"")</f>
        <v/>
      </c>
    </row>
    <row r="1410" spans="1:14">
      <c r="A1410" s="6">
        <v>2023</v>
      </c>
      <c r="B1410" s="6">
        <v>6</v>
      </c>
      <c r="C1410" s="6" t="s">
        <v>65</v>
      </c>
      <c r="D1410" s="6" t="s">
        <v>422</v>
      </c>
      <c r="E1410" s="6" t="s">
        <v>423</v>
      </c>
      <c r="F1410" s="6" t="str">
        <f>IF($M1410="PADD I","PADD 1",IF($M1410="PADD II","PADD 2",IF($M1410="PADD III","PADD 3",IF($M1410="PADD IV","PADD 4",IF($M1410="PADD V","PADD 5","")))))</f>
        <v>PADD 2</v>
      </c>
      <c r="G1410" s="6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6" t="s">
        <v>39</v>
      </c>
      <c r="I1410" s="6" t="s">
        <v>424</v>
      </c>
      <c r="J1410" s="6" t="s">
        <v>394</v>
      </c>
      <c r="K1410" s="10">
        <v>27.6</v>
      </c>
      <c r="L1410" s="10">
        <v>120</v>
      </c>
      <c r="M1410" s="6" t="s">
        <v>425</v>
      </c>
      <c r="N1410" s="6">
        <f>IF(OR($G1410="FCC",$G1410="Hydrocracker",$G1410="Reformer"),IF(COUNTIFS($D:$D,$D1410,$A:$A,$A1410,$B:$B,$B1410,$G:$G,"CDU",$J:$J,"PLANNED")&gt;0,"tied","standalone"),"")</f>
        <v/>
      </c>
    </row>
    <row r="1411" spans="1:14">
      <c r="A1411" s="6">
        <v>2023</v>
      </c>
      <c r="B1411" s="6">
        <v>6</v>
      </c>
      <c r="C1411" s="6" t="s">
        <v>65</v>
      </c>
      <c r="D1411" s="6" t="s">
        <v>822</v>
      </c>
      <c r="E1411" s="6" t="s">
        <v>455</v>
      </c>
      <c r="F1411" s="6" t="str">
        <f>IF($M1411="PADD I","PADD 1",IF($M1411="PADD II","PADD 2",IF($M1411="PADD III","PADD 3",IF($M1411="PADD IV","PADD 4",IF($M1411="PADD V","PADD 5","")))))</f>
        <v>PADD 3</v>
      </c>
      <c r="G1411" s="6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6" t="s">
        <v>44</v>
      </c>
      <c r="I1411" s="6" t="s">
        <v>827</v>
      </c>
      <c r="J1411" s="6" t="s">
        <v>394</v>
      </c>
      <c r="K1411" s="10">
        <v>27.26</v>
      </c>
      <c r="L1411" s="10">
        <v>58</v>
      </c>
      <c r="M1411" s="6" t="s">
        <v>421</v>
      </c>
      <c r="N1411" s="6">
        <f>IF(OR($G1411="FCC",$G1411="Hydrocracker",$G1411="Reformer"),IF(COUNTIFS($D:$D,$D1411,$A:$A,$A1411,$B:$B,$B1411,$G:$G,"CDU",$J:$J,"PLANNED")&gt;0,"tied","standalone"),"")</f>
        <v/>
      </c>
    </row>
    <row r="1412" spans="1:14">
      <c r="A1412" s="6">
        <v>2023</v>
      </c>
      <c r="B1412" s="6">
        <v>6</v>
      </c>
      <c r="C1412" s="6" t="s">
        <v>65</v>
      </c>
      <c r="D1412" s="6" t="s">
        <v>518</v>
      </c>
      <c r="E1412" s="6" t="s">
        <v>419</v>
      </c>
      <c r="F1412" s="6" t="str">
        <f>IF($M1412="PADD I","PADD 1",IF($M1412="PADD II","PADD 2",IF($M1412="PADD III","PADD 3",IF($M1412="PADD IV","PADD 4",IF($M1412="PADD V","PADD 5","")))))</f>
        <v>PADD 3</v>
      </c>
      <c r="G1412" s="6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6" t="s">
        <v>39</v>
      </c>
      <c r="I1412" s="6" t="s">
        <v>559</v>
      </c>
      <c r="J1412" s="6" t="s">
        <v>394</v>
      </c>
      <c r="K1412" s="10">
        <v>27.2</v>
      </c>
      <c r="L1412" s="10">
        <v>34</v>
      </c>
      <c r="M1412" s="6" t="s">
        <v>421</v>
      </c>
      <c r="N1412" s="6">
        <f>IF(OR($G1412="FCC",$G1412="Hydrocracker",$G1412="Reformer"),IF(COUNTIFS($D:$D,$D1412,$A:$A,$A1412,$B:$B,$B1412,$G:$G,"CDU",$J:$J,"PLANNED")&gt;0,"tied","standalone"),"")</f>
        <v/>
      </c>
    </row>
    <row r="1413" spans="1:14">
      <c r="A1413" s="6">
        <v>2023</v>
      </c>
      <c r="B1413" s="6">
        <v>6</v>
      </c>
      <c r="C1413" s="6" t="s">
        <v>65</v>
      </c>
      <c r="D1413" s="6" t="s">
        <v>470</v>
      </c>
      <c r="E1413" s="6" t="s">
        <v>423</v>
      </c>
      <c r="F1413" s="6" t="str">
        <f>IF($M1413="PADD I","PADD 1",IF($M1413="PADD II","PADD 2",IF($M1413="PADD III","PADD 3",IF($M1413="PADD IV","PADD 4",IF($M1413="PADD V","PADD 5","")))))</f>
        <v>PADD 2</v>
      </c>
      <c r="G1413" s="6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6" t="s">
        <v>39</v>
      </c>
      <c r="I1413" s="6" t="s">
        <v>82</v>
      </c>
      <c r="J1413" s="6" t="s">
        <v>394</v>
      </c>
      <c r="K1413" s="10">
        <v>24.5</v>
      </c>
      <c r="L1413" s="10">
        <v>24.5</v>
      </c>
      <c r="M1413" s="6" t="s">
        <v>425</v>
      </c>
      <c r="N1413" s="6">
        <f>IF(OR($G1413="FCC",$G1413="Hydrocracker",$G1413="Reformer"),IF(COUNTIFS($D:$D,$D1413,$A:$A,$A1413,$B:$B,$B1413,$G:$G,"CDU",$J:$J,"PLANNED")&gt;0,"tied","standalone"),"")</f>
        <v/>
      </c>
    </row>
    <row r="1414" spans="1:14">
      <c r="A1414" s="6">
        <v>2023</v>
      </c>
      <c r="B1414" s="6">
        <v>6</v>
      </c>
      <c r="C1414" s="6" t="s">
        <v>65</v>
      </c>
      <c r="D1414" s="6" t="s">
        <v>437</v>
      </c>
      <c r="E1414" s="6" t="s">
        <v>438</v>
      </c>
      <c r="F1414" s="6" t="str">
        <f>IF($M1414="PADD I","PADD 1",IF($M1414="PADD II","PADD 2",IF($M1414="PADD III","PADD 3",IF($M1414="PADD IV","PADD 4",IF($M1414="PADD V","PADD 5","")))))</f>
        <v>PADD 3</v>
      </c>
      <c r="G1414" s="6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6" t="s">
        <v>426</v>
      </c>
      <c r="I1414" s="6" t="s">
        <v>522</v>
      </c>
      <c r="J1414" s="6" t="s">
        <v>394</v>
      </c>
      <c r="K1414" s="10">
        <v>23.8</v>
      </c>
      <c r="L1414" s="10">
        <v>140</v>
      </c>
      <c r="M1414" s="6" t="s">
        <v>421</v>
      </c>
      <c r="N1414" s="6" t="str">
        <f>IF(OR($G1414="FCC",$G1414="Hydrocracker",$G1414="Reformer"),IF(COUNTIFS($D:$D,$D1414,$A:$A,$A1414,$B:$B,$B1414,$G:$G,"CDU",$J:$J,"PLANNED")&gt;0,"tied","standalone"),"")</f>
        <v>standalone</v>
      </c>
    </row>
    <row r="1415" spans="1:14">
      <c r="A1415" s="6">
        <v>2023</v>
      </c>
      <c r="B1415" s="6">
        <v>6</v>
      </c>
      <c r="C1415" s="6" t="s">
        <v>65</v>
      </c>
      <c r="D1415" s="6" t="s">
        <v>422</v>
      </c>
      <c r="E1415" s="6" t="s">
        <v>423</v>
      </c>
      <c r="F1415" s="6" t="str">
        <f>IF($M1415="PADD I","PADD 1",IF($M1415="PADD II","PADD 2",IF($M1415="PADD III","PADD 3",IF($M1415="PADD IV","PADD 4",IF($M1415="PADD V","PADD 5","")))))</f>
        <v>PADD 2</v>
      </c>
      <c r="G1415" s="6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6" t="s">
        <v>426</v>
      </c>
      <c r="I1415" s="6" t="s">
        <v>457</v>
      </c>
      <c r="J1415" s="6" t="s">
        <v>394</v>
      </c>
      <c r="K1415" s="10">
        <v>23.65</v>
      </c>
      <c r="L1415" s="10">
        <v>55</v>
      </c>
      <c r="M1415" s="6" t="s">
        <v>425</v>
      </c>
      <c r="N1415" s="6" t="str">
        <f>IF(OR($G1415="FCC",$G1415="Hydrocracker",$G1415="Reformer"),IF(COUNTIFS($D:$D,$D1415,$A:$A,$A1415,$B:$B,$B1415,$G:$G,"CDU",$J:$J,"PLANNED")&gt;0,"tied","standalone"),"")</f>
        <v>standalone</v>
      </c>
    </row>
    <row r="1416" spans="1:14">
      <c r="A1416" s="6">
        <v>2023</v>
      </c>
      <c r="B1416" s="6">
        <v>6</v>
      </c>
      <c r="C1416" s="6" t="s">
        <v>65</v>
      </c>
      <c r="D1416" s="6" t="s">
        <v>487</v>
      </c>
      <c r="E1416" s="6" t="s">
        <v>488</v>
      </c>
      <c r="F1416" s="6" t="str">
        <f>IF($M1416="PADD I","PADD 1",IF($M1416="PADD II","PADD 2",IF($M1416="PADD III","PADD 3",IF($M1416="PADD IV","PADD 4",IF($M1416="PADD V","PADD 5","")))))</f>
        <v>PADD 4</v>
      </c>
      <c r="G1416" s="6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6" t="s">
        <v>39</v>
      </c>
      <c r="I1416" s="6" t="s">
        <v>379</v>
      </c>
      <c r="J1416" s="6" t="s">
        <v>398</v>
      </c>
      <c r="K1416" s="10">
        <v>23.24</v>
      </c>
      <c r="L1416" s="10">
        <v>28</v>
      </c>
      <c r="M1416" s="6" t="s">
        <v>480</v>
      </c>
      <c r="N1416" s="6">
        <f>IF(OR($G1416="FCC",$G1416="Hydrocracker",$G1416="Reformer"),IF(COUNTIFS($D:$D,$D1416,$A:$A,$A1416,$B:$B,$B1416,$G:$G,"CDU",$J:$J,"PLANNED")&gt;0,"tied","standalone"),"")</f>
        <v/>
      </c>
    </row>
    <row r="1417" spans="1:14">
      <c r="A1417" s="6">
        <v>2023</v>
      </c>
      <c r="B1417" s="6">
        <v>6</v>
      </c>
      <c r="C1417" s="6" t="s">
        <v>65</v>
      </c>
      <c r="D1417" s="6" t="s">
        <v>437</v>
      </c>
      <c r="E1417" s="6" t="s">
        <v>438</v>
      </c>
      <c r="F1417" s="6" t="str">
        <f>IF($M1417="PADD I","PADD 1",IF($M1417="PADD II","PADD 2",IF($M1417="PADD III","PADD 3",IF($M1417="PADD IV","PADD 4",IF($M1417="PADD V","PADD 5","")))))</f>
        <v>PADD 3</v>
      </c>
      <c r="G1417" s="6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6" t="s">
        <v>428</v>
      </c>
      <c r="I1417" s="6" t="s">
        <v>492</v>
      </c>
      <c r="J1417" s="6" t="s">
        <v>394</v>
      </c>
      <c r="K1417" s="10">
        <v>22.5</v>
      </c>
      <c r="L1417" s="10">
        <v>112.5</v>
      </c>
      <c r="M1417" s="6" t="s">
        <v>421</v>
      </c>
      <c r="N1417" s="6">
        <f>IF(OR($G1417="FCC",$G1417="Hydrocracker",$G1417="Reformer"),IF(COUNTIFS($D:$D,$D1417,$A:$A,$A1417,$B:$B,$B1417,$G:$G,"CDU",$J:$J,"PLANNED")&gt;0,"tied","standalone"),"")</f>
        <v/>
      </c>
    </row>
    <row r="1418" spans="1:14">
      <c r="A1418" s="6">
        <v>2023</v>
      </c>
      <c r="B1418" s="6">
        <v>6</v>
      </c>
      <c r="C1418" s="6" t="s">
        <v>65</v>
      </c>
      <c r="D1418" s="6" t="s">
        <v>461</v>
      </c>
      <c r="E1418" s="6" t="s">
        <v>419</v>
      </c>
      <c r="F1418" s="6" t="str">
        <f>IF($M1418="PADD I","PADD 1",IF($M1418="PADD II","PADD 2",IF($M1418="PADD III","PADD 3",IF($M1418="PADD IV","PADD 4",IF($M1418="PADD V","PADD 5","")))))</f>
        <v>PADD 1</v>
      </c>
      <c r="G1418" s="6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6" t="s">
        <v>44</v>
      </c>
      <c r="I1418" s="6" t="s">
        <v>538</v>
      </c>
      <c r="J1418" s="6" t="s">
        <v>394</v>
      </c>
      <c r="K1418" s="10">
        <v>20.79</v>
      </c>
      <c r="L1418" s="10">
        <v>27</v>
      </c>
      <c r="M1418" s="6" t="s">
        <v>463</v>
      </c>
      <c r="N1418" s="6">
        <f>IF(OR($G1418="FCC",$G1418="Hydrocracker",$G1418="Reformer"),IF(COUNTIFS($D:$D,$D1418,$A:$A,$A1418,$B:$B,$B1418,$G:$G,"CDU",$J:$J,"PLANNED")&gt;0,"tied","standalone"),"")</f>
        <v/>
      </c>
    </row>
    <row r="1419" spans="1:14">
      <c r="A1419" s="6">
        <v>2023</v>
      </c>
      <c r="B1419" s="6">
        <v>6</v>
      </c>
      <c r="C1419" s="6" t="s">
        <v>65</v>
      </c>
      <c r="D1419" s="6" t="s">
        <v>470</v>
      </c>
      <c r="E1419" s="6" t="s">
        <v>423</v>
      </c>
      <c r="F1419" s="6" t="str">
        <f>IF($M1419="PADD I","PADD 1",IF($M1419="PADD II","PADD 2",IF($M1419="PADD III","PADD 3",IF($M1419="PADD IV","PADD 4",IF($M1419="PADD V","PADD 5","")))))</f>
        <v>PADD 2</v>
      </c>
      <c r="G1419" s="6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6" t="s">
        <v>428</v>
      </c>
      <c r="I1419" s="6" t="s">
        <v>481</v>
      </c>
      <c r="J1419" s="6" t="s">
        <v>394</v>
      </c>
      <c r="K1419" s="10">
        <v>20.5</v>
      </c>
      <c r="L1419" s="10">
        <v>20.5</v>
      </c>
      <c r="M1419" s="6" t="s">
        <v>425</v>
      </c>
      <c r="N1419" s="6">
        <f>IF(OR($G1419="FCC",$G1419="Hydrocracker",$G1419="Reformer"),IF(COUNTIFS($D:$D,$D1419,$A:$A,$A1419,$B:$B,$B1419,$G:$G,"CDU",$J:$J,"PLANNED")&gt;0,"tied","standalone"),"")</f>
        <v/>
      </c>
    </row>
    <row r="1420" spans="1:14">
      <c r="A1420" s="6">
        <v>2023</v>
      </c>
      <c r="B1420" s="6">
        <v>6</v>
      </c>
      <c r="C1420" s="6" t="s">
        <v>65</v>
      </c>
      <c r="D1420" s="6" t="s">
        <v>422</v>
      </c>
      <c r="E1420" s="6" t="s">
        <v>423</v>
      </c>
      <c r="F1420" s="6" t="str">
        <f>IF($M1420="PADD I","PADD 1",IF($M1420="PADD II","PADD 2",IF($M1420="PADD III","PADD 3",IF($M1420="PADD IV","PADD 4",IF($M1420="PADD V","PADD 5","")))))</f>
        <v>PADD 2</v>
      </c>
      <c r="G1420" s="6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6" t="s">
        <v>426</v>
      </c>
      <c r="I1420" s="6" t="s">
        <v>457</v>
      </c>
      <c r="J1420" s="6" t="s">
        <v>394</v>
      </c>
      <c r="K1420" s="10">
        <v>20.35</v>
      </c>
      <c r="L1420" s="10">
        <v>55</v>
      </c>
      <c r="M1420" s="6" t="s">
        <v>425</v>
      </c>
      <c r="N1420" s="6" t="str">
        <f>IF(OR($G1420="FCC",$G1420="Hydrocracker",$G1420="Reformer"),IF(COUNTIFS($D:$D,$D1420,$A:$A,$A1420,$B:$B,$B1420,$G:$G,"CDU",$J:$J,"PLANNED")&gt;0,"tied","standalone"),"")</f>
        <v>standalone</v>
      </c>
    </row>
    <row r="1421" spans="1:14">
      <c r="A1421" s="6">
        <v>2023</v>
      </c>
      <c r="B1421" s="6">
        <v>6</v>
      </c>
      <c r="C1421" s="6" t="s">
        <v>65</v>
      </c>
      <c r="D1421" s="6" t="s">
        <v>546</v>
      </c>
      <c r="E1421" s="6" t="s">
        <v>438</v>
      </c>
      <c r="F1421" s="6" t="str">
        <f>IF($M1421="PADD I","PADD 1",IF($M1421="PADD II","PADD 2",IF($M1421="PADD III","PADD 3",IF($M1421="PADD IV","PADD 4",IF($M1421="PADD V","PADD 5","")))))</f>
        <v>PADD 2</v>
      </c>
      <c r="G1421" s="6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6" t="s">
        <v>39</v>
      </c>
      <c r="I1421" s="6" t="s">
        <v>82</v>
      </c>
      <c r="J1421" s="6" t="s">
        <v>398</v>
      </c>
      <c r="K1421" s="10">
        <v>20</v>
      </c>
      <c r="L1421" s="10">
        <v>20</v>
      </c>
      <c r="M1421" s="6" t="s">
        <v>425</v>
      </c>
      <c r="N1421" s="6">
        <f>IF(OR($G1421="FCC",$G1421="Hydrocracker",$G1421="Reformer"),IF(COUNTIFS($D:$D,$D1421,$A:$A,$A1421,$B:$B,$B1421,$G:$G,"CDU",$J:$J,"PLANNED")&gt;0,"tied","standalone"),"")</f>
        <v/>
      </c>
    </row>
    <row r="1422" spans="1:14">
      <c r="A1422" s="6">
        <v>2023</v>
      </c>
      <c r="B1422" s="6">
        <v>6</v>
      </c>
      <c r="C1422" s="6" t="s">
        <v>65</v>
      </c>
      <c r="D1422" s="6" t="s">
        <v>368</v>
      </c>
      <c r="E1422" s="6" t="s">
        <v>715</v>
      </c>
      <c r="F1422" s="6" t="str">
        <f>IF($M1422="PADD I","PADD 1",IF($M1422="PADD II","PADD 2",IF($M1422="PADD III","PADD 3",IF($M1422="PADD IV","PADD 4",IF($M1422="PADD V","PADD 5","")))))</f>
        <v>PADD 3</v>
      </c>
      <c r="G1422" s="6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6" t="s">
        <v>426</v>
      </c>
      <c r="I1422" s="6" t="s">
        <v>925</v>
      </c>
      <c r="J1422" s="6" t="s">
        <v>394</v>
      </c>
      <c r="K1422" s="10">
        <v>19.04</v>
      </c>
      <c r="L1422" s="10">
        <v>112</v>
      </c>
      <c r="M1422" s="6" t="s">
        <v>421</v>
      </c>
      <c r="N1422" s="6" t="str">
        <f>IF(OR($G1422="FCC",$G1422="Hydrocracker",$G1422="Reformer"),IF(COUNTIFS($D:$D,$D1422,$A:$A,$A1422,$B:$B,$B1422,$G:$G,"CDU",$J:$J,"PLANNED")&gt;0,"tied","standalone"),"")</f>
        <v>standalone</v>
      </c>
    </row>
    <row r="1423" spans="1:14">
      <c r="A1423" s="6">
        <v>2023</v>
      </c>
      <c r="B1423" s="6">
        <v>6</v>
      </c>
      <c r="C1423" s="6" t="s">
        <v>65</v>
      </c>
      <c r="D1423" s="6" t="s">
        <v>422</v>
      </c>
      <c r="E1423" s="6" t="s">
        <v>423</v>
      </c>
      <c r="F1423" s="6" t="str">
        <f>IF($M1423="PADD I","PADD 1",IF($M1423="PADD II","PADD 2",IF($M1423="PADD III","PADD 3",IF($M1423="PADD IV","PADD 4",IF($M1423="PADD V","PADD 5","")))))</f>
        <v>PADD 2</v>
      </c>
      <c r="G1423" s="6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6" t="s">
        <v>471</v>
      </c>
      <c r="I1423" s="6" t="s">
        <v>473</v>
      </c>
      <c r="J1423" s="6" t="s">
        <v>394</v>
      </c>
      <c r="K1423" s="10">
        <v>18.06</v>
      </c>
      <c r="L1423" s="10">
        <v>42</v>
      </c>
      <c r="M1423" s="6" t="s">
        <v>425</v>
      </c>
      <c r="N1423" s="6" t="str">
        <f>IF(OR($G1423="FCC",$G1423="Hydrocracker",$G1423="Reformer"),IF(COUNTIFS($D:$D,$D1423,$A:$A,$A1423,$B:$B,$B1423,$G:$G,"CDU",$J:$J,"PLANNED")&gt;0,"tied","standalone"),"")</f>
        <v>standalone</v>
      </c>
    </row>
    <row r="1424" spans="1:14">
      <c r="A1424" s="6">
        <v>2023</v>
      </c>
      <c r="B1424" s="6">
        <v>6</v>
      </c>
      <c r="C1424" s="6" t="s">
        <v>65</v>
      </c>
      <c r="D1424" s="6" t="s">
        <v>422</v>
      </c>
      <c r="E1424" s="6" t="s">
        <v>423</v>
      </c>
      <c r="F1424" s="6" t="str">
        <f>IF($M1424="PADD I","PADD 1",IF($M1424="PADD II","PADD 2",IF($M1424="PADD III","PADD 3",IF($M1424="PADD IV","PADD 4",IF($M1424="PADD V","PADD 5","")))))</f>
        <v>PADD 2</v>
      </c>
      <c r="G1424" s="6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6" t="s">
        <v>44</v>
      </c>
      <c r="I1424" s="6" t="s">
        <v>483</v>
      </c>
      <c r="J1424" s="6" t="s">
        <v>394</v>
      </c>
      <c r="K1424" s="10">
        <v>17.2</v>
      </c>
      <c r="L1424" s="10">
        <v>40</v>
      </c>
      <c r="M1424" s="6" t="s">
        <v>425</v>
      </c>
      <c r="N1424" s="6">
        <f>IF(OR($G1424="FCC",$G1424="Hydrocracker",$G1424="Reformer"),IF(COUNTIFS($D:$D,$D1424,$A:$A,$A1424,$B:$B,$B1424,$G:$G,"CDU",$J:$J,"PLANNED")&gt;0,"tied","standalone"),"")</f>
        <v/>
      </c>
    </row>
    <row r="1425" spans="1:14">
      <c r="A1425" s="6">
        <v>2023</v>
      </c>
      <c r="B1425" s="6">
        <v>6</v>
      </c>
      <c r="C1425" s="6" t="s">
        <v>65</v>
      </c>
      <c r="D1425" s="6" t="s">
        <v>626</v>
      </c>
      <c r="E1425" s="6" t="s">
        <v>419</v>
      </c>
      <c r="F1425" s="6" t="str">
        <f>IF($M1425="PADD I","PADD 1",IF($M1425="PADD II","PADD 2",IF($M1425="PADD III","PADD 3",IF($M1425="PADD IV","PADD 4",IF($M1425="PADD V","PADD 5","")))))</f>
        <v>PADD 3</v>
      </c>
      <c r="G1425" s="6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6" t="s">
        <v>471</v>
      </c>
      <c r="I1425" s="6" t="s">
        <v>926</v>
      </c>
      <c r="J1425" s="6" t="s">
        <v>394</v>
      </c>
      <c r="K1425" s="10">
        <v>17</v>
      </c>
      <c r="L1425" s="10">
        <v>34</v>
      </c>
      <c r="M1425" s="6" t="s">
        <v>421</v>
      </c>
      <c r="N1425" s="6" t="str">
        <f>IF(OR($G1425="FCC",$G1425="Hydrocracker",$G1425="Reformer"),IF(COUNTIFS($D:$D,$D1425,$A:$A,$A1425,$B:$B,$B1425,$G:$G,"CDU",$J:$J,"PLANNED")&gt;0,"tied","standalone"),"")</f>
        <v>standalone</v>
      </c>
    </row>
    <row r="1426" spans="1:14">
      <c r="A1426" s="6">
        <v>2023</v>
      </c>
      <c r="B1426" s="6">
        <v>6</v>
      </c>
      <c r="C1426" s="6" t="s">
        <v>65</v>
      </c>
      <c r="D1426" s="6" t="s">
        <v>487</v>
      </c>
      <c r="E1426" s="6" t="s">
        <v>488</v>
      </c>
      <c r="F1426" s="6" t="str">
        <f>IF($M1426="PADD I","PADD 1",IF($M1426="PADD II","PADD 2",IF($M1426="PADD III","PADD 3",IF($M1426="PADD IV","PADD 4",IF($M1426="PADD V","PADD 5","")))))</f>
        <v>PADD 4</v>
      </c>
      <c r="G1426" s="6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6" t="s">
        <v>428</v>
      </c>
      <c r="I1426" s="6" t="s">
        <v>544</v>
      </c>
      <c r="J1426" s="6" t="s">
        <v>398</v>
      </c>
      <c r="K1426" s="10">
        <v>16.6</v>
      </c>
      <c r="L1426" s="10">
        <v>20</v>
      </c>
      <c r="M1426" s="6" t="s">
        <v>480</v>
      </c>
      <c r="N1426" s="6">
        <f>IF(OR($G1426="FCC",$G1426="Hydrocracker",$G1426="Reformer"),IF(COUNTIFS($D:$D,$D1426,$A:$A,$A1426,$B:$B,$B1426,$G:$G,"CDU",$J:$J,"PLANNED")&gt;0,"tied","standalone"),"")</f>
        <v/>
      </c>
    </row>
    <row r="1427" spans="1:14">
      <c r="A1427" s="6">
        <v>2023</v>
      </c>
      <c r="B1427" s="6">
        <v>6</v>
      </c>
      <c r="C1427" s="6" t="s">
        <v>65</v>
      </c>
      <c r="D1427" s="6" t="s">
        <v>518</v>
      </c>
      <c r="E1427" s="6" t="s">
        <v>419</v>
      </c>
      <c r="F1427" s="6" t="str">
        <f>IF($M1427="PADD I","PADD 1",IF($M1427="PADD II","PADD 2",IF($M1427="PADD III","PADD 3",IF($M1427="PADD IV","PADD 4",IF($M1427="PADD V","PADD 5","")))))</f>
        <v>PADD 3</v>
      </c>
      <c r="G1427" s="6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6" t="s">
        <v>39</v>
      </c>
      <c r="I1427" s="6" t="s">
        <v>611</v>
      </c>
      <c r="J1427" s="6" t="s">
        <v>394</v>
      </c>
      <c r="K1427" s="10">
        <v>16.4</v>
      </c>
      <c r="L1427" s="10">
        <v>20.5</v>
      </c>
      <c r="M1427" s="6" t="s">
        <v>421</v>
      </c>
      <c r="N1427" s="6">
        <f>IF(OR($G1427="FCC",$G1427="Hydrocracker",$G1427="Reformer"),IF(COUNTIFS($D:$D,$D1427,$A:$A,$A1427,$B:$B,$B1427,$G:$G,"CDU",$J:$J,"PLANNED")&gt;0,"tied","standalone"),"")</f>
        <v/>
      </c>
    </row>
    <row r="1428" spans="1:14">
      <c r="A1428" s="6">
        <v>2023</v>
      </c>
      <c r="B1428" s="6">
        <v>6</v>
      </c>
      <c r="C1428" s="6" t="s">
        <v>65</v>
      </c>
      <c r="D1428" s="6" t="s">
        <v>383</v>
      </c>
      <c r="E1428" s="6" t="s">
        <v>602</v>
      </c>
      <c r="F1428" s="6" t="str">
        <f>IF($M1428="PADD I","PADD 1",IF($M1428="PADD II","PADD 2",IF($M1428="PADD III","PADD 3",IF($M1428="PADD IV","PADD 4",IF($M1428="PADD V","PADD 5","")))))</f>
        <v>PADD 3</v>
      </c>
      <c r="G1428" s="6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6" t="s">
        <v>39</v>
      </c>
      <c r="I1428" s="6" t="s">
        <v>138</v>
      </c>
      <c r="J1428" s="6" t="s">
        <v>394</v>
      </c>
      <c r="K1428" s="10">
        <v>16</v>
      </c>
      <c r="L1428" s="10">
        <v>80</v>
      </c>
      <c r="M1428" s="6" t="s">
        <v>421</v>
      </c>
      <c r="N1428" s="6">
        <f>IF(OR($G1428="FCC",$G1428="Hydrocracker",$G1428="Reformer"),IF(COUNTIFS($D:$D,$D1428,$A:$A,$A1428,$B:$B,$B1428,$G:$G,"CDU",$J:$J,"PLANNED")&gt;0,"tied","standalone"),"")</f>
        <v/>
      </c>
    </row>
    <row r="1429" spans="1:14">
      <c r="A1429" s="6">
        <v>2023</v>
      </c>
      <c r="B1429" s="6">
        <v>6</v>
      </c>
      <c r="C1429" s="6" t="s">
        <v>65</v>
      </c>
      <c r="D1429" s="6" t="s">
        <v>368</v>
      </c>
      <c r="E1429" s="6" t="s">
        <v>715</v>
      </c>
      <c r="F1429" s="6" t="str">
        <f>IF($M1429="PADD I","PADD 1",IF($M1429="PADD II","PADD 2",IF($M1429="PADD III","PADD 3",IF($M1429="PADD IV","PADD 4",IF($M1429="PADD V","PADD 5","")))))</f>
        <v>PADD 3</v>
      </c>
      <c r="G1429" s="6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6" t="s">
        <v>428</v>
      </c>
      <c r="I1429" s="6" t="s">
        <v>927</v>
      </c>
      <c r="J1429" s="6" t="s">
        <v>394</v>
      </c>
      <c r="K1429" s="10">
        <v>15.521</v>
      </c>
      <c r="L1429" s="10">
        <v>91.3</v>
      </c>
      <c r="M1429" s="6" t="s">
        <v>421</v>
      </c>
      <c r="N1429" s="6">
        <f>IF(OR($G1429="FCC",$G1429="Hydrocracker",$G1429="Reformer"),IF(COUNTIFS($D:$D,$D1429,$A:$A,$A1429,$B:$B,$B1429,$G:$G,"CDU",$J:$J,"PLANNED")&gt;0,"tied","standalone"),"")</f>
        <v/>
      </c>
    </row>
    <row r="1430" spans="1:14">
      <c r="A1430" s="6">
        <v>2023</v>
      </c>
      <c r="B1430" s="6">
        <v>6</v>
      </c>
      <c r="C1430" s="6" t="s">
        <v>65</v>
      </c>
      <c r="D1430" s="6" t="s">
        <v>518</v>
      </c>
      <c r="E1430" s="6" t="s">
        <v>419</v>
      </c>
      <c r="F1430" s="6" t="str">
        <f>IF($M1430="PADD I","PADD 1",IF($M1430="PADD II","PADD 2",IF($M1430="PADD III","PADD 3",IF($M1430="PADD IV","PADD 4",IF($M1430="PADD V","PADD 5","")))))</f>
        <v>PADD 3</v>
      </c>
      <c r="G1430" s="6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6" t="s">
        <v>39</v>
      </c>
      <c r="I1430" s="6" t="s">
        <v>615</v>
      </c>
      <c r="J1430" s="6" t="s">
        <v>394</v>
      </c>
      <c r="K1430" s="10">
        <v>14.8</v>
      </c>
      <c r="L1430" s="10">
        <v>18.5</v>
      </c>
      <c r="M1430" s="6" t="s">
        <v>421</v>
      </c>
      <c r="N1430" s="6">
        <f>IF(OR($G1430="FCC",$G1430="Hydrocracker",$G1430="Reformer"),IF(COUNTIFS($D:$D,$D1430,$A:$A,$A1430,$B:$B,$B1430,$G:$G,"CDU",$J:$J,"PLANNED")&gt;0,"tied","standalone"),"")</f>
        <v/>
      </c>
    </row>
    <row r="1431" spans="1:14">
      <c r="A1431" s="6">
        <v>2023</v>
      </c>
      <c r="B1431" s="6">
        <v>6</v>
      </c>
      <c r="C1431" s="6" t="s">
        <v>65</v>
      </c>
      <c r="D1431" s="6" t="s">
        <v>928</v>
      </c>
      <c r="E1431" s="6" t="s">
        <v>502</v>
      </c>
      <c r="F1431" s="6" t="str">
        <f>IF($M1431="PADD I","PADD 1",IF($M1431="PADD II","PADD 2",IF($M1431="PADD III","PADD 3",IF($M1431="PADD IV","PADD 4",IF($M1431="PADD V","PADD 5","")))))</f>
        <v>PADD 2</v>
      </c>
      <c r="G1431" s="6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6" t="s">
        <v>39</v>
      </c>
      <c r="I1431" s="6" t="s">
        <v>929</v>
      </c>
      <c r="J1431" s="6" t="s">
        <v>394</v>
      </c>
      <c r="K1431" s="10">
        <v>14.45</v>
      </c>
      <c r="L1431" s="10">
        <v>85</v>
      </c>
      <c r="M1431" s="6" t="s">
        <v>425</v>
      </c>
      <c r="N1431" s="6">
        <f>IF(OR($G1431="FCC",$G1431="Hydrocracker",$G1431="Reformer"),IF(COUNTIFS($D:$D,$D1431,$A:$A,$A1431,$B:$B,$B1431,$G:$G,"CDU",$J:$J,"PLANNED")&gt;0,"tied","standalone"),"")</f>
        <v/>
      </c>
    </row>
    <row r="1432" spans="1:14">
      <c r="A1432" s="6">
        <v>2023</v>
      </c>
      <c r="B1432" s="6">
        <v>6</v>
      </c>
      <c r="C1432" s="6" t="s">
        <v>65</v>
      </c>
      <c r="D1432" s="6" t="s">
        <v>930</v>
      </c>
      <c r="E1432" s="6" t="s">
        <v>931</v>
      </c>
      <c r="F1432" s="6" t="str">
        <f>IF($M1432="PADD I","PADD 1",IF($M1432="PADD II","PADD 2",IF($M1432="PADD III","PADD 3",IF($M1432="PADD IV","PADD 4",IF($M1432="PADD V","PADD 5","")))))</f>
        <v>PADD 3</v>
      </c>
      <c r="G1432" s="6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6" t="s">
        <v>39</v>
      </c>
      <c r="I1432" s="6" t="s">
        <v>132</v>
      </c>
      <c r="J1432" s="6" t="s">
        <v>398</v>
      </c>
      <c r="K1432" s="10">
        <v>13.5</v>
      </c>
      <c r="L1432" s="10">
        <v>13.5</v>
      </c>
      <c r="M1432" s="6" t="s">
        <v>421</v>
      </c>
      <c r="N1432" s="6">
        <f>IF(OR($G1432="FCC",$G1432="Hydrocracker",$G1432="Reformer"),IF(COUNTIFS($D:$D,$D1432,$A:$A,$A1432,$B:$B,$B1432,$G:$G,"CDU",$J:$J,"PLANNED")&gt;0,"tied","standalone"),"")</f>
        <v/>
      </c>
    </row>
    <row r="1433" spans="1:14">
      <c r="A1433" s="6">
        <v>2023</v>
      </c>
      <c r="B1433" s="6">
        <v>6</v>
      </c>
      <c r="C1433" s="6" t="s">
        <v>65</v>
      </c>
      <c r="D1433" s="6" t="s">
        <v>470</v>
      </c>
      <c r="E1433" s="6" t="s">
        <v>423</v>
      </c>
      <c r="F1433" s="6" t="str">
        <f>IF($M1433="PADD I","PADD 1",IF($M1433="PADD II","PADD 2",IF($M1433="PADD III","PADD 3",IF($M1433="PADD IV","PADD 4",IF($M1433="PADD V","PADD 5","")))))</f>
        <v>PADD 2</v>
      </c>
      <c r="G1433" s="6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6" t="s">
        <v>426</v>
      </c>
      <c r="I1433" s="6" t="s">
        <v>106</v>
      </c>
      <c r="J1433" s="6" t="s">
        <v>394</v>
      </c>
      <c r="K1433" s="10">
        <v>13</v>
      </c>
      <c r="L1433" s="10">
        <v>13</v>
      </c>
      <c r="M1433" s="6" t="s">
        <v>425</v>
      </c>
      <c r="N1433" s="6" t="str">
        <f>IF(OR($G1433="FCC",$G1433="Hydrocracker",$G1433="Reformer"),IF(COUNTIFS($D:$D,$D1433,$A:$A,$A1433,$B:$B,$B1433,$G:$G,"CDU",$J:$J,"PLANNED")&gt;0,"tied","standalone"),"")</f>
        <v>standalone</v>
      </c>
    </row>
    <row r="1434" spans="1:14">
      <c r="A1434" s="6">
        <v>2023</v>
      </c>
      <c r="B1434" s="6">
        <v>6</v>
      </c>
      <c r="C1434" s="6" t="s">
        <v>65</v>
      </c>
      <c r="D1434" s="6" t="s">
        <v>812</v>
      </c>
      <c r="E1434" s="6" t="s">
        <v>813</v>
      </c>
      <c r="F1434" s="6" t="str">
        <f>IF($M1434="PADD I","PADD 1",IF($M1434="PADD II","PADD 2",IF($M1434="PADD III","PADD 3",IF($M1434="PADD IV","PADD 4",IF($M1434="PADD V","PADD 5","")))))</f>
        <v>PADD 2</v>
      </c>
      <c r="G1434" s="6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6" t="s">
        <v>44</v>
      </c>
      <c r="I1434" s="6" t="s">
        <v>508</v>
      </c>
      <c r="J1434" s="6" t="s">
        <v>394</v>
      </c>
      <c r="K1434" s="10">
        <v>13</v>
      </c>
      <c r="L1434" s="10">
        <v>13</v>
      </c>
      <c r="M1434" s="6" t="s">
        <v>425</v>
      </c>
      <c r="N1434" s="6">
        <f>IF(OR($G1434="FCC",$G1434="Hydrocracker",$G1434="Reformer"),IF(COUNTIFS($D:$D,$D1434,$A:$A,$A1434,$B:$B,$B1434,$G:$G,"CDU",$J:$J,"PLANNED")&gt;0,"tied","standalone"),"")</f>
        <v/>
      </c>
    </row>
    <row r="1435" spans="1:14">
      <c r="A1435" s="6">
        <v>2023</v>
      </c>
      <c r="B1435" s="6">
        <v>6</v>
      </c>
      <c r="C1435" s="6" t="s">
        <v>65</v>
      </c>
      <c r="D1435" s="6" t="s">
        <v>422</v>
      </c>
      <c r="E1435" s="6" t="s">
        <v>423</v>
      </c>
      <c r="F1435" s="6" t="str">
        <f>IF($M1435="PADD I","PADD 1",IF($M1435="PADD II","PADD 2",IF($M1435="PADD III","PADD 3",IF($M1435="PADD IV","PADD 4",IF($M1435="PADD V","PADD 5","")))))</f>
        <v>PADD 2</v>
      </c>
      <c r="G1435" s="6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6" t="s">
        <v>485</v>
      </c>
      <c r="I1435" s="6" t="s">
        <v>517</v>
      </c>
      <c r="J1435" s="6" t="s">
        <v>394</v>
      </c>
      <c r="K1435" s="10">
        <v>12.9</v>
      </c>
      <c r="L1435" s="10">
        <v>30</v>
      </c>
      <c r="M1435" s="6" t="s">
        <v>425</v>
      </c>
      <c r="N1435" s="6">
        <f>IF(OR($G1435="FCC",$G1435="Hydrocracker",$G1435="Reformer"),IF(COUNTIFS($D:$D,$D1435,$A:$A,$A1435,$B:$B,$B1435,$G:$G,"CDU",$J:$J,"PLANNED")&gt;0,"tied","standalone"),"")</f>
        <v/>
      </c>
    </row>
    <row r="1436" spans="1:14">
      <c r="A1436" s="6">
        <v>2023</v>
      </c>
      <c r="B1436" s="6">
        <v>6</v>
      </c>
      <c r="C1436" s="6" t="s">
        <v>65</v>
      </c>
      <c r="D1436" s="6" t="s">
        <v>368</v>
      </c>
      <c r="E1436" s="6" t="s">
        <v>715</v>
      </c>
      <c r="F1436" s="6" t="str">
        <f>IF($M1436="PADD I","PADD 1",IF($M1436="PADD II","PADD 2",IF($M1436="PADD III","PADD 3",IF($M1436="PADD IV","PADD 4",IF($M1436="PADD V","PADD 5","")))))</f>
        <v>PADD 3</v>
      </c>
      <c r="G1436" s="6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6" t="s">
        <v>44</v>
      </c>
      <c r="I1436" s="6" t="s">
        <v>932</v>
      </c>
      <c r="J1436" s="6" t="s">
        <v>394</v>
      </c>
      <c r="K1436" s="10">
        <v>12.65</v>
      </c>
      <c r="L1436" s="10">
        <v>55</v>
      </c>
      <c r="M1436" s="6" t="s">
        <v>421</v>
      </c>
      <c r="N1436" s="6">
        <f>IF(OR($G1436="FCC",$G1436="Hydrocracker",$G1436="Reformer"),IF(COUNTIFS($D:$D,$D1436,$A:$A,$A1436,$B:$B,$B1436,$G:$G,"CDU",$J:$J,"PLANNED")&gt;0,"tied","standalone"),"")</f>
        <v/>
      </c>
    </row>
    <row r="1437" spans="1:14">
      <c r="A1437" s="6">
        <v>2023</v>
      </c>
      <c r="B1437" s="6">
        <v>6</v>
      </c>
      <c r="C1437" s="6" t="s">
        <v>65</v>
      </c>
      <c r="D1437" s="6" t="s">
        <v>546</v>
      </c>
      <c r="E1437" s="6" t="s">
        <v>438</v>
      </c>
      <c r="F1437" s="6" t="str">
        <f>IF($M1437="PADD I","PADD 1",IF($M1437="PADD II","PADD 2",IF($M1437="PADD III","PADD 3",IF($M1437="PADD IV","PADD 4",IF($M1437="PADD V","PADD 5","")))))</f>
        <v>PADD 2</v>
      </c>
      <c r="G1437" s="6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6" t="s">
        <v>428</v>
      </c>
      <c r="I1437" s="6" t="s">
        <v>586</v>
      </c>
      <c r="J1437" s="6" t="s">
        <v>398</v>
      </c>
      <c r="K1437" s="10">
        <v>12</v>
      </c>
      <c r="L1437" s="10">
        <v>12</v>
      </c>
      <c r="M1437" s="6" t="s">
        <v>425</v>
      </c>
      <c r="N1437" s="6">
        <f>IF(OR($G1437="FCC",$G1437="Hydrocracker",$G1437="Reformer"),IF(COUNTIFS($D:$D,$D1437,$A:$A,$A1437,$B:$B,$B1437,$G:$G,"CDU",$J:$J,"PLANNED")&gt;0,"tied","standalone"),"")</f>
        <v/>
      </c>
    </row>
    <row r="1438" spans="1:14">
      <c r="A1438" s="6">
        <v>2023</v>
      </c>
      <c r="B1438" s="6">
        <v>6</v>
      </c>
      <c r="C1438" s="6" t="s">
        <v>65</v>
      </c>
      <c r="D1438" s="6" t="s">
        <v>626</v>
      </c>
      <c r="E1438" s="6" t="s">
        <v>419</v>
      </c>
      <c r="F1438" s="6" t="str">
        <f>IF($M1438="PADD I","PADD 1",IF($M1438="PADD II","PADD 2",IF($M1438="PADD III","PADD 3",IF($M1438="PADD IV","PADD 4",IF($M1438="PADD V","PADD 5","")))))</f>
        <v>PADD 3</v>
      </c>
      <c r="G1438" s="6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6" t="s">
        <v>471</v>
      </c>
      <c r="I1438" s="6" t="s">
        <v>533</v>
      </c>
      <c r="J1438" s="6" t="s">
        <v>394</v>
      </c>
      <c r="K1438" s="10">
        <v>12</v>
      </c>
      <c r="L1438" s="10">
        <v>12</v>
      </c>
      <c r="M1438" s="6" t="s">
        <v>421</v>
      </c>
      <c r="N1438" s="6" t="str">
        <f>IF(OR($G1438="FCC",$G1438="Hydrocracker",$G1438="Reformer"),IF(COUNTIFS($D:$D,$D1438,$A:$A,$A1438,$B:$B,$B1438,$G:$G,"CDU",$J:$J,"PLANNED")&gt;0,"tied","standalone"),"")</f>
        <v>standalone</v>
      </c>
    </row>
    <row r="1439" spans="1:14">
      <c r="A1439" s="6">
        <v>2023</v>
      </c>
      <c r="B1439" s="6">
        <v>6</v>
      </c>
      <c r="C1439" s="6" t="s">
        <v>65</v>
      </c>
      <c r="D1439" s="6" t="s">
        <v>696</v>
      </c>
      <c r="E1439" s="6" t="s">
        <v>455</v>
      </c>
      <c r="F1439" s="6" t="str">
        <f>IF($M1439="PADD I","PADD 1",IF($M1439="PADD II","PADD 2",IF($M1439="PADD III","PADD 3",IF($M1439="PADD IV","PADD 4",IF($M1439="PADD V","PADD 5","")))))</f>
        <v>PADD 3</v>
      </c>
      <c r="G1439" s="6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6" t="s">
        <v>44</v>
      </c>
      <c r="I1439" s="6" t="s">
        <v>893</v>
      </c>
      <c r="J1439" s="6" t="s">
        <v>394</v>
      </c>
      <c r="K1439" s="10">
        <v>12</v>
      </c>
      <c r="L1439" s="10">
        <v>30</v>
      </c>
      <c r="M1439" s="6" t="s">
        <v>421</v>
      </c>
      <c r="N1439" s="6">
        <f>IF(OR($G1439="FCC",$G1439="Hydrocracker",$G1439="Reformer"),IF(COUNTIFS($D:$D,$D1439,$A:$A,$A1439,$B:$B,$B1439,$G:$G,"CDU",$J:$J,"PLANNED")&gt;0,"tied","standalone"),"")</f>
        <v/>
      </c>
    </row>
    <row r="1440" spans="1:14">
      <c r="A1440" s="6">
        <v>2023</v>
      </c>
      <c r="B1440" s="6">
        <v>6</v>
      </c>
      <c r="C1440" s="6" t="s">
        <v>65</v>
      </c>
      <c r="D1440" s="6" t="s">
        <v>368</v>
      </c>
      <c r="E1440" s="6" t="s">
        <v>715</v>
      </c>
      <c r="F1440" s="6" t="str">
        <f>IF($M1440="PADD I","PADD 1",IF($M1440="PADD II","PADD 2",IF($M1440="PADD III","PADD 3",IF($M1440="PADD IV","PADD 4",IF($M1440="PADD V","PADD 5","")))))</f>
        <v>PADD 3</v>
      </c>
      <c r="G1440" s="6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6" t="s">
        <v>44</v>
      </c>
      <c r="I1440" s="6" t="s">
        <v>933</v>
      </c>
      <c r="J1440" s="6" t="s">
        <v>394</v>
      </c>
      <c r="K1440" s="10">
        <v>11.5</v>
      </c>
      <c r="L1440" s="10">
        <v>50</v>
      </c>
      <c r="M1440" s="6" t="s">
        <v>421</v>
      </c>
      <c r="N1440" s="6">
        <f>IF(OR($G1440="FCC",$G1440="Hydrocracker",$G1440="Reformer"),IF(COUNTIFS($D:$D,$D1440,$A:$A,$A1440,$B:$B,$B1440,$G:$G,"CDU",$J:$J,"PLANNED")&gt;0,"tied","standalone"),"")</f>
        <v/>
      </c>
    </row>
    <row r="1441" spans="1:14">
      <c r="A1441" s="6">
        <v>2023</v>
      </c>
      <c r="B1441" s="6">
        <v>6</v>
      </c>
      <c r="C1441" s="6" t="s">
        <v>65</v>
      </c>
      <c r="D1441" s="6" t="s">
        <v>461</v>
      </c>
      <c r="E1441" s="6" t="s">
        <v>419</v>
      </c>
      <c r="F1441" s="6" t="str">
        <f>IF($M1441="PADD I","PADD 1",IF($M1441="PADD II","PADD 2",IF($M1441="PADD III","PADD 3",IF($M1441="PADD IV","PADD 4",IF($M1441="PADD V","PADD 5","")))))</f>
        <v>PADD 1</v>
      </c>
      <c r="G1441" s="6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6" t="s">
        <v>44</v>
      </c>
      <c r="I1441" s="6" t="s">
        <v>934</v>
      </c>
      <c r="J1441" s="6" t="s">
        <v>394</v>
      </c>
      <c r="K1441" s="10">
        <v>11.165</v>
      </c>
      <c r="L1441" s="10">
        <v>14.5</v>
      </c>
      <c r="M1441" s="6" t="s">
        <v>463</v>
      </c>
      <c r="N1441" s="6">
        <f>IF(OR($G1441="FCC",$G1441="Hydrocracker",$G1441="Reformer"),IF(COUNTIFS($D:$D,$D1441,$A:$A,$A1441,$B:$B,$B1441,$G:$G,"CDU",$J:$J,"PLANNED")&gt;0,"tied","standalone"),"")</f>
        <v/>
      </c>
    </row>
    <row r="1442" spans="1:14">
      <c r="A1442" s="6">
        <v>2023</v>
      </c>
      <c r="B1442" s="6">
        <v>6</v>
      </c>
      <c r="C1442" s="6" t="s">
        <v>65</v>
      </c>
      <c r="D1442" s="6" t="s">
        <v>470</v>
      </c>
      <c r="E1442" s="6" t="s">
        <v>423</v>
      </c>
      <c r="F1442" s="6" t="str">
        <f>IF($M1442="PADD I","PADD 1",IF($M1442="PADD II","PADD 2",IF($M1442="PADD III","PADD 3",IF($M1442="PADD IV","PADD 4",IF($M1442="PADD V","PADD 5","")))))</f>
        <v>PADD 2</v>
      </c>
      <c r="G1442" s="6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6" t="s">
        <v>44</v>
      </c>
      <c r="I1442" s="6" t="s">
        <v>596</v>
      </c>
      <c r="J1442" s="6" t="s">
        <v>394</v>
      </c>
      <c r="K1442" s="10">
        <v>11</v>
      </c>
      <c r="L1442" s="10">
        <v>11</v>
      </c>
      <c r="M1442" s="6" t="s">
        <v>425</v>
      </c>
      <c r="N1442" s="6">
        <f>IF(OR($G1442="FCC",$G1442="Hydrocracker",$G1442="Reformer"),IF(COUNTIFS($D:$D,$D1442,$A:$A,$A1442,$B:$B,$B1442,$G:$G,"CDU",$J:$J,"PLANNED")&gt;0,"tied","standalone"),"")</f>
        <v/>
      </c>
    </row>
    <row r="1443" spans="1:14">
      <c r="A1443" s="6">
        <v>2023</v>
      </c>
      <c r="B1443" s="6">
        <v>6</v>
      </c>
      <c r="C1443" s="6" t="s">
        <v>65</v>
      </c>
      <c r="D1443" s="6" t="s">
        <v>461</v>
      </c>
      <c r="E1443" s="6" t="s">
        <v>419</v>
      </c>
      <c r="F1443" s="6" t="str">
        <f>IF($M1443="PADD I","PADD 1",IF($M1443="PADD II","PADD 2",IF($M1443="PADD III","PADD 3",IF($M1443="PADD IV","PADD 4",IF($M1443="PADD V","PADD 5","")))))</f>
        <v>PADD 1</v>
      </c>
      <c r="G1443" s="6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6" t="s">
        <v>44</v>
      </c>
      <c r="I1443" s="6" t="s">
        <v>935</v>
      </c>
      <c r="J1443" s="6" t="s">
        <v>394</v>
      </c>
      <c r="K1443" s="10">
        <v>10.78</v>
      </c>
      <c r="L1443" s="10">
        <v>14</v>
      </c>
      <c r="M1443" s="6" t="s">
        <v>463</v>
      </c>
      <c r="N1443" s="6">
        <f>IF(OR($G1443="FCC",$G1443="Hydrocracker",$G1443="Reformer"),IF(COUNTIFS($D:$D,$D1443,$A:$A,$A1443,$B:$B,$B1443,$G:$G,"CDU",$J:$J,"PLANNED")&gt;0,"tied","standalone"),"")</f>
        <v/>
      </c>
    </row>
    <row r="1444" spans="1:14">
      <c r="A1444" s="6">
        <v>2023</v>
      </c>
      <c r="B1444" s="6">
        <v>6</v>
      </c>
      <c r="C1444" s="6" t="s">
        <v>65</v>
      </c>
      <c r="D1444" s="6" t="s">
        <v>422</v>
      </c>
      <c r="E1444" s="6" t="s">
        <v>423</v>
      </c>
      <c r="F1444" s="6" t="str">
        <f>IF($M1444="PADD I","PADD 1",IF($M1444="PADD II","PADD 2",IF($M1444="PADD III","PADD 3",IF($M1444="PADD IV","PADD 4",IF($M1444="PADD V","PADD 5","")))))</f>
        <v>PADD 2</v>
      </c>
      <c r="G1444" s="6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6" t="s">
        <v>44</v>
      </c>
      <c r="I1444" s="6" t="s">
        <v>529</v>
      </c>
      <c r="J1444" s="6" t="s">
        <v>394</v>
      </c>
      <c r="K1444" s="10">
        <v>10.75</v>
      </c>
      <c r="L1444" s="10">
        <v>25</v>
      </c>
      <c r="M1444" s="6" t="s">
        <v>425</v>
      </c>
      <c r="N1444" s="6">
        <f>IF(OR($G1444="FCC",$G1444="Hydrocracker",$G1444="Reformer"),IF(COUNTIFS($D:$D,$D1444,$A:$A,$A1444,$B:$B,$B1444,$G:$G,"CDU",$J:$J,"PLANNED")&gt;0,"tied","standalone"),"")</f>
        <v/>
      </c>
    </row>
    <row r="1445" spans="1:14">
      <c r="A1445" s="6">
        <v>2023</v>
      </c>
      <c r="B1445" s="6">
        <v>6</v>
      </c>
      <c r="C1445" s="6" t="s">
        <v>65</v>
      </c>
      <c r="D1445" s="6" t="s">
        <v>422</v>
      </c>
      <c r="E1445" s="6" t="s">
        <v>423</v>
      </c>
      <c r="F1445" s="6" t="str">
        <f>IF($M1445="PADD I","PADD 1",IF($M1445="PADD II","PADD 2",IF($M1445="PADD III","PADD 3",IF($M1445="PADD IV","PADD 4",IF($M1445="PADD V","PADD 5","")))))</f>
        <v>PADD 2</v>
      </c>
      <c r="G1445" s="6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6" t="s">
        <v>44</v>
      </c>
      <c r="I1445" s="6" t="s">
        <v>530</v>
      </c>
      <c r="J1445" s="6" t="s">
        <v>394</v>
      </c>
      <c r="K1445" s="10">
        <v>10.75</v>
      </c>
      <c r="L1445" s="10">
        <v>25</v>
      </c>
      <c r="M1445" s="6" t="s">
        <v>425</v>
      </c>
      <c r="N1445" s="6">
        <f>IF(OR($G1445="FCC",$G1445="Hydrocracker",$G1445="Reformer"),IF(COUNTIFS($D:$D,$D1445,$A:$A,$A1445,$B:$B,$B1445,$G:$G,"CDU",$J:$J,"PLANNED")&gt;0,"tied","standalone"),"")</f>
        <v/>
      </c>
    </row>
    <row r="1446" spans="1:14">
      <c r="A1446" s="6">
        <v>2023</v>
      </c>
      <c r="B1446" s="6">
        <v>6</v>
      </c>
      <c r="C1446" s="6" t="s">
        <v>65</v>
      </c>
      <c r="D1446" s="6" t="s">
        <v>662</v>
      </c>
      <c r="E1446" s="6" t="s">
        <v>466</v>
      </c>
      <c r="F1446" s="6" t="str">
        <f>IF($M1446="PADD I","PADD 1",IF($M1446="PADD II","PADD 2",IF($M1446="PADD III","PADD 3",IF($M1446="PADD IV","PADD 4",IF($M1446="PADD V","PADD 5","")))))</f>
        <v>PADD 3</v>
      </c>
      <c r="G1446" s="6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6" t="s">
        <v>471</v>
      </c>
      <c r="I1446" s="6" t="s">
        <v>805</v>
      </c>
      <c r="J1446" s="6" t="s">
        <v>398</v>
      </c>
      <c r="K1446" s="10">
        <v>10.6</v>
      </c>
      <c r="L1446" s="10">
        <v>20</v>
      </c>
      <c r="M1446" s="6" t="s">
        <v>421</v>
      </c>
      <c r="N1446" s="6" t="str">
        <f>IF(OR($G1446="FCC",$G1446="Hydrocracker",$G1446="Reformer"),IF(COUNTIFS($D:$D,$D1446,$A:$A,$A1446,$B:$B,$B1446,$G:$G,"CDU",$J:$J,"PLANNED")&gt;0,"tied","standalone"),"")</f>
        <v>tied</v>
      </c>
    </row>
    <row r="1447" spans="1:14">
      <c r="A1447" s="6">
        <v>2023</v>
      </c>
      <c r="B1447" s="6">
        <v>6</v>
      </c>
      <c r="C1447" s="6" t="s">
        <v>65</v>
      </c>
      <c r="D1447" s="6" t="s">
        <v>822</v>
      </c>
      <c r="E1447" s="6" t="s">
        <v>455</v>
      </c>
      <c r="F1447" s="6" t="str">
        <f>IF($M1447="PADD I","PADD 1",IF($M1447="PADD II","PADD 2",IF($M1447="PADD III","PADD 3",IF($M1447="PADD IV","PADD 4",IF($M1447="PADD V","PADD 5","")))))</f>
        <v>PADD 3</v>
      </c>
      <c r="G1447" s="6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6" t="s">
        <v>510</v>
      </c>
      <c r="I1447" s="6" t="s">
        <v>842</v>
      </c>
      <c r="J1447" s="6" t="s">
        <v>398</v>
      </c>
      <c r="K1447" s="10">
        <v>10.34</v>
      </c>
      <c r="L1447" s="10">
        <v>22</v>
      </c>
      <c r="M1447" s="6" t="s">
        <v>421</v>
      </c>
      <c r="N1447" s="6">
        <f>IF(OR($G1447="FCC",$G1447="Hydrocracker",$G1447="Reformer"),IF(COUNTIFS($D:$D,$D1447,$A:$A,$A1447,$B:$B,$B1447,$G:$G,"CDU",$J:$J,"PLANNED")&gt;0,"tied","standalone"),"")</f>
        <v/>
      </c>
    </row>
    <row r="1448" spans="1:14">
      <c r="A1448" s="6">
        <v>2023</v>
      </c>
      <c r="B1448" s="6">
        <v>6</v>
      </c>
      <c r="C1448" s="6" t="s">
        <v>65</v>
      </c>
      <c r="D1448" s="6" t="s">
        <v>592</v>
      </c>
      <c r="E1448" s="6" t="s">
        <v>593</v>
      </c>
      <c r="F1448" s="6" t="str">
        <f>IF($M1448="PADD I","PADD 1",IF($M1448="PADD II","PADD 2",IF($M1448="PADD III","PADD 3",IF($M1448="PADD IV","PADD 4",IF($M1448="PADD V","PADD 5","")))))</f>
        <v>PADD 2</v>
      </c>
      <c r="G1448" s="6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6" t="s">
        <v>485</v>
      </c>
      <c r="I1448" s="6" t="s">
        <v>491</v>
      </c>
      <c r="J1448" s="6" t="s">
        <v>394</v>
      </c>
      <c r="K1448" s="10">
        <v>10.2</v>
      </c>
      <c r="L1448" s="10">
        <v>102</v>
      </c>
      <c r="M1448" s="6" t="s">
        <v>425</v>
      </c>
      <c r="N1448" s="6">
        <f>IF(OR($G1448="FCC",$G1448="Hydrocracker",$G1448="Reformer"),IF(COUNTIFS($D:$D,$D1448,$A:$A,$A1448,$B:$B,$B1448,$G:$G,"CDU",$J:$J,"PLANNED")&gt;0,"tied","standalone"),"")</f>
        <v/>
      </c>
    </row>
    <row r="1449" spans="1:14">
      <c r="A1449" s="6">
        <v>2023</v>
      </c>
      <c r="B1449" s="6">
        <v>6</v>
      </c>
      <c r="C1449" s="6" t="s">
        <v>65</v>
      </c>
      <c r="D1449" s="6" t="s">
        <v>422</v>
      </c>
      <c r="E1449" s="6" t="s">
        <v>423</v>
      </c>
      <c r="F1449" s="6" t="str">
        <f>IF($M1449="PADD I","PADD 1",IF($M1449="PADD II","PADD 2",IF($M1449="PADD III","PADD 3",IF($M1449="PADD IV","PADD 4",IF($M1449="PADD V","PADD 5","")))))</f>
        <v>PADD 2</v>
      </c>
      <c r="G1449" s="6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6" t="s">
        <v>485</v>
      </c>
      <c r="I1449" s="6" t="s">
        <v>517</v>
      </c>
      <c r="J1449" s="6" t="s">
        <v>394</v>
      </c>
      <c r="K1449" s="10">
        <v>10.175</v>
      </c>
      <c r="L1449" s="10">
        <v>27.5</v>
      </c>
      <c r="M1449" s="6" t="s">
        <v>425</v>
      </c>
      <c r="N1449" s="6">
        <f>IF(OR($G1449="FCC",$G1449="Hydrocracker",$G1449="Reformer"),IF(COUNTIFS($D:$D,$D1449,$A:$A,$A1449,$B:$B,$B1449,$G:$G,"CDU",$J:$J,"PLANNED")&gt;0,"tied","standalone"),"")</f>
        <v/>
      </c>
    </row>
    <row r="1450" spans="1:14">
      <c r="A1450" s="6">
        <v>2023</v>
      </c>
      <c r="B1450" s="6">
        <v>6</v>
      </c>
      <c r="C1450" s="6" t="s">
        <v>65</v>
      </c>
      <c r="D1450" s="6" t="s">
        <v>461</v>
      </c>
      <c r="E1450" s="6" t="s">
        <v>419</v>
      </c>
      <c r="F1450" s="6" t="str">
        <f>IF($M1450="PADD I","PADD 1",IF($M1450="PADD II","PADD 2",IF($M1450="PADD III","PADD 3",IF($M1450="PADD IV","PADD 4",IF($M1450="PADD V","PADD 5","")))))</f>
        <v>PADD 1</v>
      </c>
      <c r="G1450" s="6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6" t="s">
        <v>471</v>
      </c>
      <c r="I1450" s="6" t="s">
        <v>936</v>
      </c>
      <c r="J1450" s="6" t="s">
        <v>394</v>
      </c>
      <c r="K1450" s="10">
        <v>10.01</v>
      </c>
      <c r="L1450" s="10">
        <v>13</v>
      </c>
      <c r="M1450" s="6" t="s">
        <v>463</v>
      </c>
      <c r="N1450" s="6" t="str">
        <f>IF(OR($G1450="FCC",$G1450="Hydrocracker",$G1450="Reformer"),IF(COUNTIFS($D:$D,$D1450,$A:$A,$A1450,$B:$B,$B1450,$G:$G,"CDU",$J:$J,"PLANNED")&gt;0,"tied","standalone"),"")</f>
        <v>standalone</v>
      </c>
    </row>
    <row r="1451" spans="1:14">
      <c r="A1451" s="6">
        <v>2023</v>
      </c>
      <c r="B1451" s="6">
        <v>6</v>
      </c>
      <c r="C1451" s="6" t="s">
        <v>65</v>
      </c>
      <c r="D1451" s="6" t="s">
        <v>937</v>
      </c>
      <c r="E1451" s="6" t="s">
        <v>455</v>
      </c>
      <c r="F1451" s="6" t="str">
        <f>IF($M1451="PADD I","PADD 1",IF($M1451="PADD II","PADD 2",IF($M1451="PADD III","PADD 3",IF($M1451="PADD IV","PADD 4",IF($M1451="PADD V","PADD 5","")))))</f>
        <v>PADD 3</v>
      </c>
      <c r="G1451" s="6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6" t="s">
        <v>426</v>
      </c>
      <c r="I1451" s="6" t="s">
        <v>856</v>
      </c>
      <c r="J1451" s="6" t="s">
        <v>394</v>
      </c>
      <c r="K1451" s="10">
        <v>9.6</v>
      </c>
      <c r="L1451" s="10">
        <v>24</v>
      </c>
      <c r="M1451" s="6" t="s">
        <v>421</v>
      </c>
      <c r="N1451" s="6" t="str">
        <f>IF(OR($G1451="FCC",$G1451="Hydrocracker",$G1451="Reformer"),IF(COUNTIFS($D:$D,$D1451,$A:$A,$A1451,$B:$B,$B1451,$G:$G,"CDU",$J:$J,"PLANNED")&gt;0,"tied","standalone"),"")</f>
        <v>standalone</v>
      </c>
    </row>
    <row r="1452" spans="1:14">
      <c r="A1452" s="6">
        <v>2023</v>
      </c>
      <c r="B1452" s="6">
        <v>6</v>
      </c>
      <c r="C1452" s="6" t="s">
        <v>65</v>
      </c>
      <c r="D1452" s="6" t="s">
        <v>445</v>
      </c>
      <c r="E1452" s="6" t="s">
        <v>446</v>
      </c>
      <c r="F1452" s="6" t="str">
        <f>IF($M1452="PADD I","PADD 1",IF($M1452="PADD II","PADD 2",IF($M1452="PADD III","PADD 3",IF($M1452="PADD IV","PADD 4",IF($M1452="PADD V","PADD 5","")))))</f>
        <v>PADD 3</v>
      </c>
      <c r="G1452" s="6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6" t="s">
        <v>428</v>
      </c>
      <c r="I1452" s="6" t="s">
        <v>625</v>
      </c>
      <c r="J1452" s="6" t="s">
        <v>394</v>
      </c>
      <c r="K1452" s="10">
        <v>9.449999999999999</v>
      </c>
      <c r="L1452" s="10">
        <v>35</v>
      </c>
      <c r="M1452" s="6" t="s">
        <v>421</v>
      </c>
      <c r="N1452" s="6">
        <f>IF(OR($G1452="FCC",$G1452="Hydrocracker",$G1452="Reformer"),IF(COUNTIFS($D:$D,$D1452,$A:$A,$A1452,$B:$B,$B1452,$G:$G,"CDU",$J:$J,"PLANNED")&gt;0,"tied","standalone"),"")</f>
        <v/>
      </c>
    </row>
    <row r="1453" spans="1:14">
      <c r="A1453" s="6">
        <v>2023</v>
      </c>
      <c r="B1453" s="6">
        <v>6</v>
      </c>
      <c r="C1453" s="6" t="s">
        <v>65</v>
      </c>
      <c r="D1453" s="6" t="s">
        <v>368</v>
      </c>
      <c r="E1453" s="6" t="s">
        <v>715</v>
      </c>
      <c r="F1453" s="6" t="str">
        <f>IF($M1453="PADD I","PADD 1",IF($M1453="PADD II","PADD 2",IF($M1453="PADD III","PADD 3",IF($M1453="PADD IV","PADD 4",IF($M1453="PADD V","PADD 5","")))))</f>
        <v>PADD 3</v>
      </c>
      <c r="G1453" s="6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6" t="s">
        <v>44</v>
      </c>
      <c r="I1453" s="6" t="s">
        <v>938</v>
      </c>
      <c r="J1453" s="6" t="s">
        <v>394</v>
      </c>
      <c r="K1453" s="10">
        <v>9.199999999999999</v>
      </c>
      <c r="L1453" s="10">
        <v>40</v>
      </c>
      <c r="M1453" s="6" t="s">
        <v>421</v>
      </c>
      <c r="N1453" s="6">
        <f>IF(OR($G1453="FCC",$G1453="Hydrocracker",$G1453="Reformer"),IF(COUNTIFS($D:$D,$D1453,$A:$A,$A1453,$B:$B,$B1453,$G:$G,"CDU",$J:$J,"PLANNED")&gt;0,"tied","standalone"),"")</f>
        <v/>
      </c>
    </row>
    <row r="1454" spans="1:14">
      <c r="A1454" s="6">
        <v>2023</v>
      </c>
      <c r="B1454" s="6">
        <v>6</v>
      </c>
      <c r="C1454" s="6" t="s">
        <v>65</v>
      </c>
      <c r="D1454" s="6" t="s">
        <v>368</v>
      </c>
      <c r="E1454" s="6" t="s">
        <v>715</v>
      </c>
      <c r="F1454" s="6" t="str">
        <f>IF($M1454="PADD I","PADD 1",IF($M1454="PADD II","PADD 2",IF($M1454="PADD III","PADD 3",IF($M1454="PADD IV","PADD 4",IF($M1454="PADD V","PADD 5","")))))</f>
        <v>PADD 3</v>
      </c>
      <c r="G1454" s="6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6" t="s">
        <v>471</v>
      </c>
      <c r="I1454" s="6" t="s">
        <v>939</v>
      </c>
      <c r="J1454" s="6" t="s">
        <v>394</v>
      </c>
      <c r="K1454" s="10">
        <v>9.199999999999999</v>
      </c>
      <c r="L1454" s="10">
        <v>40</v>
      </c>
      <c r="M1454" s="6" t="s">
        <v>421</v>
      </c>
      <c r="N1454" s="6" t="str">
        <f>IF(OR($G1454="FCC",$G1454="Hydrocracker",$G1454="Reformer"),IF(COUNTIFS($D:$D,$D1454,$A:$A,$A1454,$B:$B,$B1454,$G:$G,"CDU",$J:$J,"PLANNED")&gt;0,"tied","standalone"),"")</f>
        <v>standalone</v>
      </c>
    </row>
    <row r="1455" spans="1:14">
      <c r="A1455" s="6">
        <v>2023</v>
      </c>
      <c r="B1455" s="6">
        <v>6</v>
      </c>
      <c r="C1455" s="6" t="s">
        <v>65</v>
      </c>
      <c r="D1455" s="6" t="s">
        <v>368</v>
      </c>
      <c r="E1455" s="6" t="s">
        <v>715</v>
      </c>
      <c r="F1455" s="6" t="str">
        <f>IF($M1455="PADD I","PADD 1",IF($M1455="PADD II","PADD 2",IF($M1455="PADD III","PADD 3",IF($M1455="PADD IV","PADD 4",IF($M1455="PADD V","PADD 5","")))))</f>
        <v>PADD 3</v>
      </c>
      <c r="G1455" s="6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6" t="s">
        <v>494</v>
      </c>
      <c r="I1455" s="6" t="s">
        <v>14</v>
      </c>
      <c r="J1455" s="6" t="s">
        <v>394</v>
      </c>
      <c r="K1455" s="10">
        <v>9.199999999999999</v>
      </c>
      <c r="L1455" s="10">
        <v>40</v>
      </c>
      <c r="M1455" s="6" t="s">
        <v>421</v>
      </c>
      <c r="N1455" s="6" t="str">
        <f>IF(OR($G1455="FCC",$G1455="Hydrocracker",$G1455="Reformer"),IF(COUNTIFS($D:$D,$D1455,$A:$A,$A1455,$B:$B,$B1455,$G:$G,"CDU",$J:$J,"PLANNED")&gt;0,"tied","standalone"),"")</f>
        <v>standalone</v>
      </c>
    </row>
    <row r="1456" spans="1:14">
      <c r="A1456" s="6">
        <v>2023</v>
      </c>
      <c r="B1456" s="6">
        <v>6</v>
      </c>
      <c r="C1456" s="6" t="s">
        <v>65</v>
      </c>
      <c r="D1456" s="6" t="s">
        <v>712</v>
      </c>
      <c r="E1456" s="6" t="s">
        <v>602</v>
      </c>
      <c r="F1456" s="6" t="str">
        <f>IF($M1456="PADD I","PADD 1",IF($M1456="PADD II","PADD 2",IF($M1456="PADD III","PADD 3",IF($M1456="PADD IV","PADD 4",IF($M1456="PADD V","PADD 5","")))))</f>
        <v>PADD 3</v>
      </c>
      <c r="G1456" s="6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6" t="s">
        <v>44</v>
      </c>
      <c r="I1456" s="6" t="s">
        <v>785</v>
      </c>
      <c r="J1456" s="6" t="s">
        <v>398</v>
      </c>
      <c r="K1456" s="10">
        <v>9.199999999999999</v>
      </c>
      <c r="L1456" s="10">
        <v>23</v>
      </c>
      <c r="M1456" s="6" t="s">
        <v>421</v>
      </c>
      <c r="N1456" s="6">
        <f>IF(OR($G1456="FCC",$G1456="Hydrocracker",$G1456="Reformer"),IF(COUNTIFS($D:$D,$D1456,$A:$A,$A1456,$B:$B,$B1456,$G:$G,"CDU",$J:$J,"PLANNED")&gt;0,"tied","standalone"),"")</f>
        <v/>
      </c>
    </row>
    <row r="1457" spans="1:14">
      <c r="A1457" s="6">
        <v>2023</v>
      </c>
      <c r="B1457" s="6">
        <v>6</v>
      </c>
      <c r="C1457" s="6" t="s">
        <v>65</v>
      </c>
      <c r="D1457" s="6" t="s">
        <v>812</v>
      </c>
      <c r="E1457" s="6" t="s">
        <v>813</v>
      </c>
      <c r="F1457" s="6" t="str">
        <f>IF($M1457="PADD I","PADD 1",IF($M1457="PADD II","PADD 2",IF($M1457="PADD III","PADD 3",IF($M1457="PADD IV","PADD 4",IF($M1457="PADD V","PADD 5","")))))</f>
        <v>PADD 2</v>
      </c>
      <c r="G1457" s="6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6" t="s">
        <v>44</v>
      </c>
      <c r="I1457" s="6" t="s">
        <v>508</v>
      </c>
      <c r="J1457" s="6" t="s">
        <v>394</v>
      </c>
      <c r="K1457" s="10">
        <v>9.1</v>
      </c>
      <c r="L1457" s="10">
        <v>13</v>
      </c>
      <c r="M1457" s="6" t="s">
        <v>425</v>
      </c>
      <c r="N1457" s="6">
        <f>IF(OR($G1457="FCC",$G1457="Hydrocracker",$G1457="Reformer"),IF(COUNTIFS($D:$D,$D1457,$A:$A,$A1457,$B:$B,$B1457,$G:$G,"CDU",$J:$J,"PLANNED")&gt;0,"tied","standalone"),"")</f>
        <v/>
      </c>
    </row>
    <row r="1458" spans="1:14">
      <c r="A1458" s="6">
        <v>2023</v>
      </c>
      <c r="B1458" s="6">
        <v>6</v>
      </c>
      <c r="C1458" s="6" t="s">
        <v>65</v>
      </c>
      <c r="D1458" s="6" t="s">
        <v>622</v>
      </c>
      <c r="E1458" s="6" t="s">
        <v>623</v>
      </c>
      <c r="F1458" s="6" t="str">
        <f>IF($M1458="PADD I","PADD 1",IF($M1458="PADD II","PADD 2",IF($M1458="PADD III","PADD 3",IF($M1458="PADD IV","PADD 4",IF($M1458="PADD V","PADD 5","")))))</f>
        <v>PADD 3</v>
      </c>
      <c r="G1458" s="6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6" t="s">
        <v>39</v>
      </c>
      <c r="I1458" s="6" t="s">
        <v>624</v>
      </c>
      <c r="J1458" s="6" t="s">
        <v>394</v>
      </c>
      <c r="K1458" s="10">
        <v>8.5</v>
      </c>
      <c r="L1458" s="10">
        <v>50</v>
      </c>
      <c r="M1458" s="6" t="s">
        <v>421</v>
      </c>
      <c r="N1458" s="6">
        <f>IF(OR($G1458="FCC",$G1458="Hydrocracker",$G1458="Reformer"),IF(COUNTIFS($D:$D,$D1458,$A:$A,$A1458,$B:$B,$B1458,$G:$G,"CDU",$J:$J,"PLANNED")&gt;0,"tied","standalone"),"")</f>
        <v/>
      </c>
    </row>
    <row r="1459" spans="1:14">
      <c r="A1459" s="6">
        <v>2023</v>
      </c>
      <c r="B1459" s="6">
        <v>6</v>
      </c>
      <c r="C1459" s="6" t="s">
        <v>65</v>
      </c>
      <c r="D1459" s="6" t="s">
        <v>461</v>
      </c>
      <c r="E1459" s="6" t="s">
        <v>419</v>
      </c>
      <c r="F1459" s="6" t="str">
        <f>IF($M1459="PADD I","PADD 1",IF($M1459="PADD II","PADD 2",IF($M1459="PADD III","PADD 3",IF($M1459="PADD IV","PADD 4",IF($M1459="PADD V","PADD 5","")))))</f>
        <v>PADD 1</v>
      </c>
      <c r="G1459" s="6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6" t="s">
        <v>510</v>
      </c>
      <c r="I1459" s="6" t="s">
        <v>616</v>
      </c>
      <c r="J1459" s="6" t="s">
        <v>394</v>
      </c>
      <c r="K1459" s="10">
        <v>8.470000000000001</v>
      </c>
      <c r="L1459" s="10">
        <v>11</v>
      </c>
      <c r="M1459" s="6" t="s">
        <v>463</v>
      </c>
      <c r="N1459" s="6">
        <f>IF(OR($G1459="FCC",$G1459="Hydrocracker",$G1459="Reformer"),IF(COUNTIFS($D:$D,$D1459,$A:$A,$A1459,$B:$B,$B1459,$G:$G,"CDU",$J:$J,"PLANNED")&gt;0,"tied","standalone"),"")</f>
        <v/>
      </c>
    </row>
    <row r="1460" spans="1:14">
      <c r="A1460" s="6">
        <v>2023</v>
      </c>
      <c r="B1460" s="6">
        <v>6</v>
      </c>
      <c r="C1460" s="6" t="s">
        <v>65</v>
      </c>
      <c r="D1460" s="6" t="s">
        <v>375</v>
      </c>
      <c r="E1460" s="6" t="s">
        <v>435</v>
      </c>
      <c r="F1460" s="6" t="str">
        <f>IF($M1460="PADD I","PADD 1",IF($M1460="PADD II","PADD 2",IF($M1460="PADD III","PADD 3",IF($M1460="PADD IV","PADD 4",IF($M1460="PADD V","PADD 5","")))))</f>
        <v>PADD 5</v>
      </c>
      <c r="G1460" s="6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6" t="s">
        <v>485</v>
      </c>
      <c r="I1460" s="6" t="s">
        <v>863</v>
      </c>
      <c r="J1460" s="6" t="s">
        <v>394</v>
      </c>
      <c r="K1460" s="10">
        <v>8.25</v>
      </c>
      <c r="L1460" s="10">
        <v>25</v>
      </c>
      <c r="M1460" s="6" t="s">
        <v>436</v>
      </c>
      <c r="N1460" s="6">
        <f>IF(OR($G1460="FCC",$G1460="Hydrocracker",$G1460="Reformer"),IF(COUNTIFS($D:$D,$D1460,$A:$A,$A1460,$B:$B,$B1460,$G:$G,"CDU",$J:$J,"PLANNED")&gt;0,"tied","standalone"),"")</f>
        <v/>
      </c>
    </row>
    <row r="1461" spans="1:14">
      <c r="A1461" s="6">
        <v>2023</v>
      </c>
      <c r="B1461" s="6">
        <v>6</v>
      </c>
      <c r="C1461" s="6" t="s">
        <v>65</v>
      </c>
      <c r="D1461" s="6" t="s">
        <v>470</v>
      </c>
      <c r="E1461" s="6" t="s">
        <v>423</v>
      </c>
      <c r="F1461" s="6" t="str">
        <f>IF($M1461="PADD I","PADD 1",IF($M1461="PADD II","PADD 2",IF($M1461="PADD III","PADD 3",IF($M1461="PADD IV","PADD 4",IF($M1461="PADD V","PADD 5","")))))</f>
        <v>PADD 2</v>
      </c>
      <c r="G1461" s="6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6" t="s">
        <v>471</v>
      </c>
      <c r="I1461" s="6" t="s">
        <v>621</v>
      </c>
      <c r="J1461" s="6" t="s">
        <v>394</v>
      </c>
      <c r="K1461" s="10">
        <v>8</v>
      </c>
      <c r="L1461" s="10">
        <v>8</v>
      </c>
      <c r="M1461" s="6" t="s">
        <v>425</v>
      </c>
      <c r="N1461" s="6" t="str">
        <f>IF(OR($G1461="FCC",$G1461="Hydrocracker",$G1461="Reformer"),IF(COUNTIFS($D:$D,$D1461,$A:$A,$A1461,$B:$B,$B1461,$G:$G,"CDU",$J:$J,"PLANNED")&gt;0,"tied","standalone"),"")</f>
        <v>standalone</v>
      </c>
    </row>
    <row r="1462" spans="1:14">
      <c r="A1462" s="6">
        <v>2023</v>
      </c>
      <c r="B1462" s="6">
        <v>6</v>
      </c>
      <c r="C1462" s="6" t="s">
        <v>65</v>
      </c>
      <c r="D1462" s="6" t="s">
        <v>49</v>
      </c>
      <c r="E1462" s="6" t="s">
        <v>438</v>
      </c>
      <c r="F1462" s="6" t="str">
        <f>IF($M1462="PADD I","PADD 1",IF($M1462="PADD II","PADD 2",IF($M1462="PADD III","PADD 3",IF($M1462="PADD IV","PADD 4",IF($M1462="PADD V","PADD 5","")))))</f>
        <v>PADD 2</v>
      </c>
      <c r="G1462" s="6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6" t="s">
        <v>471</v>
      </c>
      <c r="I1462" s="6" t="s">
        <v>771</v>
      </c>
      <c r="J1462" s="6" t="s">
        <v>394</v>
      </c>
      <c r="K1462" s="10">
        <v>7.8</v>
      </c>
      <c r="L1462" s="10">
        <v>39</v>
      </c>
      <c r="M1462" s="6" t="s">
        <v>425</v>
      </c>
      <c r="N1462" s="6" t="str">
        <f>IF(OR($G1462="FCC",$G1462="Hydrocracker",$G1462="Reformer"),IF(COUNTIFS($D:$D,$D1462,$A:$A,$A1462,$B:$B,$B1462,$G:$G,"CDU",$J:$J,"PLANNED")&gt;0,"tied","standalone"),"")</f>
        <v>standalone</v>
      </c>
    </row>
    <row r="1463" spans="1:14">
      <c r="A1463" s="6">
        <v>2023</v>
      </c>
      <c r="B1463" s="6">
        <v>6</v>
      </c>
      <c r="C1463" s="6" t="s">
        <v>65</v>
      </c>
      <c r="D1463" s="6" t="s">
        <v>422</v>
      </c>
      <c r="E1463" s="6" t="s">
        <v>423</v>
      </c>
      <c r="F1463" s="6" t="str">
        <f>IF($M1463="PADD I","PADD 1",IF($M1463="PADD II","PADD 2",IF($M1463="PADD III","PADD 3",IF($M1463="PADD IV","PADD 4",IF($M1463="PADD V","PADD 5","")))))</f>
        <v>PADD 2</v>
      </c>
      <c r="G1463" s="6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6" t="s">
        <v>510</v>
      </c>
      <c r="I1463" s="6" t="s">
        <v>555</v>
      </c>
      <c r="J1463" s="6" t="s">
        <v>394</v>
      </c>
      <c r="K1463" s="10">
        <v>7.74</v>
      </c>
      <c r="L1463" s="10">
        <v>18</v>
      </c>
      <c r="M1463" s="6" t="s">
        <v>425</v>
      </c>
      <c r="N1463" s="6">
        <f>IF(OR($G1463="FCC",$G1463="Hydrocracker",$G1463="Reformer"),IF(COUNTIFS($D:$D,$D1463,$A:$A,$A1463,$B:$B,$B1463,$G:$G,"CDU",$J:$J,"PLANNED")&gt;0,"tied","standalone"),"")</f>
        <v/>
      </c>
    </row>
    <row r="1464" spans="1:14">
      <c r="A1464" s="6">
        <v>2023</v>
      </c>
      <c r="B1464" s="6">
        <v>6</v>
      </c>
      <c r="C1464" s="6" t="s">
        <v>65</v>
      </c>
      <c r="D1464" s="6" t="s">
        <v>470</v>
      </c>
      <c r="E1464" s="6" t="s">
        <v>423</v>
      </c>
      <c r="F1464" s="6" t="str">
        <f>IF($M1464="PADD I","PADD 1",IF($M1464="PADD II","PADD 2",IF($M1464="PADD III","PADD 3",IF($M1464="PADD IV","PADD 4",IF($M1464="PADD V","PADD 5","")))))</f>
        <v>PADD 2</v>
      </c>
      <c r="G1464" s="6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6" t="s">
        <v>44</v>
      </c>
      <c r="I1464" s="6" t="s">
        <v>627</v>
      </c>
      <c r="J1464" s="6" t="s">
        <v>394</v>
      </c>
      <c r="K1464" s="10">
        <v>7.7</v>
      </c>
      <c r="L1464" s="10">
        <v>7.7</v>
      </c>
      <c r="M1464" s="6" t="s">
        <v>425</v>
      </c>
      <c r="N1464" s="6">
        <f>IF(OR($G1464="FCC",$G1464="Hydrocracker",$G1464="Reformer"),IF(COUNTIFS($D:$D,$D1464,$A:$A,$A1464,$B:$B,$B1464,$G:$G,"CDU",$J:$J,"PLANNED")&gt;0,"tied","standalone"),"")</f>
        <v/>
      </c>
    </row>
    <row r="1465" spans="1:14">
      <c r="A1465" s="6">
        <v>2023</v>
      </c>
      <c r="B1465" s="6">
        <v>6</v>
      </c>
      <c r="C1465" s="6" t="s">
        <v>65</v>
      </c>
      <c r="D1465" s="6" t="s">
        <v>470</v>
      </c>
      <c r="E1465" s="6" t="s">
        <v>423</v>
      </c>
      <c r="F1465" s="6" t="str">
        <f>IF($M1465="PADD I","PADD 1",IF($M1465="PADD II","PADD 2",IF($M1465="PADD III","PADD 3",IF($M1465="PADD IV","PADD 4",IF($M1465="PADD V","PADD 5","")))))</f>
        <v>PADD 2</v>
      </c>
      <c r="G1465" s="6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6" t="s">
        <v>44</v>
      </c>
      <c r="I1465" s="6" t="s">
        <v>508</v>
      </c>
      <c r="J1465" s="6" t="s">
        <v>394</v>
      </c>
      <c r="K1465" s="10">
        <v>7.5</v>
      </c>
      <c r="L1465" s="10">
        <v>7.5</v>
      </c>
      <c r="M1465" s="6" t="s">
        <v>425</v>
      </c>
      <c r="N1465" s="6">
        <f>IF(OR($G1465="FCC",$G1465="Hydrocracker",$G1465="Reformer"),IF(COUNTIFS($D:$D,$D1465,$A:$A,$A1465,$B:$B,$B1465,$G:$G,"CDU",$J:$J,"PLANNED")&gt;0,"tied","standalone"),"")</f>
        <v/>
      </c>
    </row>
    <row r="1466" spans="1:14">
      <c r="A1466" s="6">
        <v>2023</v>
      </c>
      <c r="B1466" s="6">
        <v>6</v>
      </c>
      <c r="C1466" s="6" t="s">
        <v>65</v>
      </c>
      <c r="D1466" s="6" t="s">
        <v>496</v>
      </c>
      <c r="E1466" s="6" t="s">
        <v>441</v>
      </c>
      <c r="F1466" s="6" t="str">
        <f>IF($M1466="PADD I","PADD 1",IF($M1466="PADD II","PADD 2",IF($M1466="PADD III","PADD 3",IF($M1466="PADD IV","PADD 4",IF($M1466="PADD V","PADD 5","")))))</f>
        <v>PADD 3</v>
      </c>
      <c r="G1466" s="6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6" t="s">
        <v>510</v>
      </c>
      <c r="I1466" s="6" t="s">
        <v>630</v>
      </c>
      <c r="J1466" s="6" t="s">
        <v>394</v>
      </c>
      <c r="K1466" s="10">
        <v>7.2</v>
      </c>
      <c r="L1466" s="10">
        <v>7.2</v>
      </c>
      <c r="M1466" s="6" t="s">
        <v>421</v>
      </c>
      <c r="N1466" s="6">
        <f>IF(OR($G1466="FCC",$G1466="Hydrocracker",$G1466="Reformer"),IF(COUNTIFS($D:$D,$D1466,$A:$A,$A1466,$B:$B,$B1466,$G:$G,"CDU",$J:$J,"PLANNED")&gt;0,"tied","standalone"),"")</f>
        <v/>
      </c>
    </row>
    <row r="1467" spans="1:14">
      <c r="A1467" s="6">
        <v>2023</v>
      </c>
      <c r="B1467" s="6">
        <v>6</v>
      </c>
      <c r="C1467" s="6" t="s">
        <v>65</v>
      </c>
      <c r="D1467" s="6" t="s">
        <v>445</v>
      </c>
      <c r="E1467" s="6" t="s">
        <v>446</v>
      </c>
      <c r="F1467" s="6" t="str">
        <f>IF($M1467="PADD I","PADD 1",IF($M1467="PADD II","PADD 2",IF($M1467="PADD III","PADD 3",IF($M1467="PADD IV","PADD 4",IF($M1467="PADD V","PADD 5","")))))</f>
        <v>PADD 3</v>
      </c>
      <c r="G1467" s="6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6" t="s">
        <v>428</v>
      </c>
      <c r="I1467" s="6" t="s">
        <v>625</v>
      </c>
      <c r="J1467" s="6" t="s">
        <v>394</v>
      </c>
      <c r="K1467" s="10">
        <v>7</v>
      </c>
      <c r="L1467" s="10">
        <v>35</v>
      </c>
      <c r="M1467" s="6" t="s">
        <v>421</v>
      </c>
      <c r="N1467" s="6">
        <f>IF(OR($G1467="FCC",$G1467="Hydrocracker",$G1467="Reformer"),IF(COUNTIFS($D:$D,$D1467,$A:$A,$A1467,$B:$B,$B1467,$G:$G,"CDU",$J:$J,"PLANNED")&gt;0,"tied","standalone"),"")</f>
        <v/>
      </c>
    </row>
    <row r="1468" spans="1:14">
      <c r="A1468" s="6">
        <v>2023</v>
      </c>
      <c r="B1468" s="6">
        <v>6</v>
      </c>
      <c r="C1468" s="6" t="s">
        <v>65</v>
      </c>
      <c r="D1468" s="6" t="s">
        <v>383</v>
      </c>
      <c r="E1468" s="6" t="s">
        <v>602</v>
      </c>
      <c r="F1468" s="6" t="str">
        <f>IF($M1468="PADD I","PADD 1",IF($M1468="PADD II","PADD 2",IF($M1468="PADD III","PADD 3",IF($M1468="PADD IV","PADD 4",IF($M1468="PADD V","PADD 5","")))))</f>
        <v>PADD 3</v>
      </c>
      <c r="G1468" s="6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6" t="s">
        <v>44</v>
      </c>
      <c r="I1468" s="6" t="s">
        <v>644</v>
      </c>
      <c r="J1468" s="6" t="s">
        <v>394</v>
      </c>
      <c r="K1468" s="10">
        <v>6.9</v>
      </c>
      <c r="L1468" s="10">
        <v>30</v>
      </c>
      <c r="M1468" s="6" t="s">
        <v>421</v>
      </c>
      <c r="N1468" s="6">
        <f>IF(OR($G1468="FCC",$G1468="Hydrocracker",$G1468="Reformer"),IF(COUNTIFS($D:$D,$D1468,$A:$A,$A1468,$B:$B,$B1468,$G:$G,"CDU",$J:$J,"PLANNED")&gt;0,"tied","standalone"),"")</f>
        <v/>
      </c>
    </row>
    <row r="1469" spans="1:14">
      <c r="A1469" s="6">
        <v>2023</v>
      </c>
      <c r="B1469" s="6">
        <v>6</v>
      </c>
      <c r="C1469" s="6" t="s">
        <v>65</v>
      </c>
      <c r="D1469" s="6" t="s">
        <v>622</v>
      </c>
      <c r="E1469" s="6" t="s">
        <v>623</v>
      </c>
      <c r="F1469" s="6" t="str">
        <f>IF($M1469="PADD I","PADD 1",IF($M1469="PADD II","PADD 2",IF($M1469="PADD III","PADD 3",IF($M1469="PADD IV","PADD 4",IF($M1469="PADD V","PADD 5","")))))</f>
        <v>PADD 3</v>
      </c>
      <c r="G1469" s="6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6" t="s">
        <v>39</v>
      </c>
      <c r="I1469" s="6" t="s">
        <v>624</v>
      </c>
      <c r="J1469" s="6" t="s">
        <v>394</v>
      </c>
      <c r="K1469" s="10">
        <v>6.5</v>
      </c>
      <c r="L1469" s="10">
        <v>50</v>
      </c>
      <c r="M1469" s="6" t="s">
        <v>421</v>
      </c>
      <c r="N1469" s="6">
        <f>IF(OR($G1469="FCC",$G1469="Hydrocracker",$G1469="Reformer"),IF(COUNTIFS($D:$D,$D1469,$A:$A,$A1469,$B:$B,$B1469,$G:$G,"CDU",$J:$J,"PLANNED")&gt;0,"tied","standalone"),"")</f>
        <v/>
      </c>
    </row>
    <row r="1470" spans="1:14">
      <c r="A1470" s="6">
        <v>2023</v>
      </c>
      <c r="B1470" s="6">
        <v>6</v>
      </c>
      <c r="C1470" s="6" t="s">
        <v>65</v>
      </c>
      <c r="D1470" s="6" t="s">
        <v>51</v>
      </c>
      <c r="E1470" s="6" t="s">
        <v>431</v>
      </c>
      <c r="F1470" s="6" t="str">
        <f>IF($M1470="PADD I","PADD 1",IF($M1470="PADD II","PADD 2",IF($M1470="PADD III","PADD 3",IF($M1470="PADD IV","PADD 4",IF($M1470="PADD V","PADD 5","")))))</f>
        <v>PADD 3</v>
      </c>
      <c r="G1470" s="6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6" t="s">
        <v>426</v>
      </c>
      <c r="I1470" s="6" t="s">
        <v>639</v>
      </c>
      <c r="J1470" s="6" t="s">
        <v>394</v>
      </c>
      <c r="K1470" s="10">
        <v>6.3</v>
      </c>
      <c r="L1470" s="10">
        <v>90</v>
      </c>
      <c r="M1470" s="6" t="s">
        <v>421</v>
      </c>
      <c r="N1470" s="6" t="str">
        <f>IF(OR($G1470="FCC",$G1470="Hydrocracker",$G1470="Reformer"),IF(COUNTIFS($D:$D,$D1470,$A:$A,$A1470,$B:$B,$B1470,$G:$G,"CDU",$J:$J,"PLANNED")&gt;0,"tied","standalone"),"")</f>
        <v>standalone</v>
      </c>
    </row>
    <row r="1471" spans="1:14">
      <c r="A1471" s="6">
        <v>2023</v>
      </c>
      <c r="B1471" s="6">
        <v>6</v>
      </c>
      <c r="C1471" s="6" t="s">
        <v>65</v>
      </c>
      <c r="D1471" s="6" t="s">
        <v>484</v>
      </c>
      <c r="E1471" s="6" t="s">
        <v>438</v>
      </c>
      <c r="F1471" s="6" t="str">
        <f>IF($M1471="PADD I","PADD 1",IF($M1471="PADD II","PADD 2",IF($M1471="PADD III","PADD 3",IF($M1471="PADD IV","PADD 4",IF($M1471="PADD V","PADD 5","")))))</f>
        <v>PADD 5</v>
      </c>
      <c r="G1471" s="6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6" t="s">
        <v>39</v>
      </c>
      <c r="I1471" s="6" t="s">
        <v>713</v>
      </c>
      <c r="J1471" s="6" t="s">
        <v>394</v>
      </c>
      <c r="K1471" s="10">
        <v>6.18</v>
      </c>
      <c r="L1471" s="10">
        <v>20.6</v>
      </c>
      <c r="M1471" s="6" t="s">
        <v>436</v>
      </c>
      <c r="N1471" s="6">
        <f>IF(OR($G1471="FCC",$G1471="Hydrocracker",$G1471="Reformer"),IF(COUNTIFS($D:$D,$D1471,$A:$A,$A1471,$B:$B,$B1471,$G:$G,"CDU",$J:$J,"PLANNED")&gt;0,"tied","standalone"),"")</f>
        <v/>
      </c>
    </row>
    <row r="1472" spans="1:14">
      <c r="A1472" s="6">
        <v>2023</v>
      </c>
      <c r="B1472" s="6">
        <v>6</v>
      </c>
      <c r="C1472" s="6" t="s">
        <v>65</v>
      </c>
      <c r="D1472" s="6" t="s">
        <v>518</v>
      </c>
      <c r="E1472" s="6" t="s">
        <v>419</v>
      </c>
      <c r="F1472" s="6" t="str">
        <f>IF($M1472="PADD I","PADD 1",IF($M1472="PADD II","PADD 2",IF($M1472="PADD III","PADD 3",IF($M1472="PADD IV","PADD 4",IF($M1472="PADD V","PADD 5","")))))</f>
        <v>PADD 3</v>
      </c>
      <c r="G1472" s="6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6" t="s">
        <v>510</v>
      </c>
      <c r="I1472" s="6" t="s">
        <v>940</v>
      </c>
      <c r="J1472" s="6" t="s">
        <v>394</v>
      </c>
      <c r="K1472" s="10">
        <v>6.02</v>
      </c>
      <c r="L1472" s="10">
        <v>14</v>
      </c>
      <c r="M1472" s="6" t="s">
        <v>421</v>
      </c>
      <c r="N1472" s="6">
        <f>IF(OR($G1472="FCC",$G1472="Hydrocracker",$G1472="Reformer"),IF(COUNTIFS($D:$D,$D1472,$A:$A,$A1472,$B:$B,$B1472,$G:$G,"CDU",$J:$J,"PLANNED")&gt;0,"tied","standalone"),"")</f>
        <v/>
      </c>
    </row>
    <row r="1473" spans="1:14">
      <c r="A1473" s="6">
        <v>2023</v>
      </c>
      <c r="B1473" s="6">
        <v>6</v>
      </c>
      <c r="C1473" s="6" t="s">
        <v>65</v>
      </c>
      <c r="D1473" s="6" t="s">
        <v>383</v>
      </c>
      <c r="E1473" s="6" t="s">
        <v>602</v>
      </c>
      <c r="F1473" s="6" t="str">
        <f>IF($M1473="PADD I","PADD 1",IF($M1473="PADD II","PADD 2",IF($M1473="PADD III","PADD 3",IF($M1473="PADD IV","PADD 4",IF($M1473="PADD V","PADD 5","")))))</f>
        <v>PADD 3</v>
      </c>
      <c r="G1473" s="6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6" t="s">
        <v>44</v>
      </c>
      <c r="I1473" s="6" t="s">
        <v>648</v>
      </c>
      <c r="J1473" s="6" t="s">
        <v>394</v>
      </c>
      <c r="K1473" s="10">
        <v>5.75</v>
      </c>
      <c r="L1473" s="10">
        <v>25</v>
      </c>
      <c r="M1473" s="6" t="s">
        <v>421</v>
      </c>
      <c r="N1473" s="6">
        <f>IF(OR($G1473="FCC",$G1473="Hydrocracker",$G1473="Reformer"),IF(COUNTIFS($D:$D,$D1473,$A:$A,$A1473,$B:$B,$B1473,$G:$G,"CDU",$J:$J,"PLANNED")&gt;0,"tied","standalone"),"")</f>
        <v/>
      </c>
    </row>
    <row r="1474" spans="1:14">
      <c r="A1474" s="6">
        <v>2023</v>
      </c>
      <c r="B1474" s="6">
        <v>6</v>
      </c>
      <c r="C1474" s="6" t="s">
        <v>65</v>
      </c>
      <c r="D1474" s="6" t="s">
        <v>518</v>
      </c>
      <c r="E1474" s="6" t="s">
        <v>419</v>
      </c>
      <c r="F1474" s="6" t="str">
        <f>IF($M1474="PADD I","PADD 1",IF($M1474="PADD II","PADD 2",IF($M1474="PADD III","PADD 3",IF($M1474="PADD IV","PADD 4",IF($M1474="PADD V","PADD 5","")))))</f>
        <v>PADD 3</v>
      </c>
      <c r="G1474" s="6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6" t="s">
        <v>471</v>
      </c>
      <c r="I1474" s="6" t="s">
        <v>685</v>
      </c>
      <c r="J1474" s="6" t="s">
        <v>394</v>
      </c>
      <c r="K1474" s="10">
        <v>5.6</v>
      </c>
      <c r="L1474" s="10">
        <v>7</v>
      </c>
      <c r="M1474" s="6" t="s">
        <v>421</v>
      </c>
      <c r="N1474" s="6" t="str">
        <f>IF(OR($G1474="FCC",$G1474="Hydrocracker",$G1474="Reformer"),IF(COUNTIFS($D:$D,$D1474,$A:$A,$A1474,$B:$B,$B1474,$G:$G,"CDU",$J:$J,"PLANNED")&gt;0,"tied","standalone"),"")</f>
        <v>standalone</v>
      </c>
    </row>
    <row r="1475" spans="1:14">
      <c r="A1475" s="6">
        <v>2023</v>
      </c>
      <c r="B1475" s="6">
        <v>6</v>
      </c>
      <c r="C1475" s="6" t="s">
        <v>65</v>
      </c>
      <c r="D1475" s="6" t="s">
        <v>470</v>
      </c>
      <c r="E1475" s="6" t="s">
        <v>423</v>
      </c>
      <c r="F1475" s="6" t="str">
        <f>IF($M1475="PADD I","PADD 1",IF($M1475="PADD II","PADD 2",IF($M1475="PADD III","PADD 3",IF($M1475="PADD IV","PADD 4",IF($M1475="PADD V","PADD 5","")))))</f>
        <v>PADD 2</v>
      </c>
      <c r="G1475" s="6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6" t="s">
        <v>44</v>
      </c>
      <c r="I1475" s="6" t="s">
        <v>638</v>
      </c>
      <c r="J1475" s="6" t="s">
        <v>394</v>
      </c>
      <c r="K1475" s="10">
        <v>5.5</v>
      </c>
      <c r="L1475" s="10">
        <v>5.5</v>
      </c>
      <c r="M1475" s="6" t="s">
        <v>425</v>
      </c>
      <c r="N1475" s="6">
        <f>IF(OR($G1475="FCC",$G1475="Hydrocracker",$G1475="Reformer"),IF(COUNTIFS($D:$D,$D1475,$A:$A,$A1475,$B:$B,$B1475,$G:$G,"CDU",$J:$J,"PLANNED")&gt;0,"tied","standalone"),"")</f>
        <v/>
      </c>
    </row>
    <row r="1476" spans="1:14">
      <c r="A1476" s="6">
        <v>2023</v>
      </c>
      <c r="B1476" s="6">
        <v>6</v>
      </c>
      <c r="C1476" s="6" t="s">
        <v>65</v>
      </c>
      <c r="D1476" s="6" t="s">
        <v>928</v>
      </c>
      <c r="E1476" s="6" t="s">
        <v>502</v>
      </c>
      <c r="F1476" s="6" t="str">
        <f>IF($M1476="PADD I","PADD 1",IF($M1476="PADD II","PADD 2",IF($M1476="PADD III","PADD 3",IF($M1476="PADD IV","PADD 4",IF($M1476="PADD V","PADD 5","")))))</f>
        <v>PADD 2</v>
      </c>
      <c r="G1476" s="6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6" t="s">
        <v>428</v>
      </c>
      <c r="I1476" s="6" t="s">
        <v>586</v>
      </c>
      <c r="J1476" s="6" t="s">
        <v>394</v>
      </c>
      <c r="K1476" s="10">
        <v>5.44</v>
      </c>
      <c r="L1476" s="10">
        <v>32</v>
      </c>
      <c r="M1476" s="6" t="s">
        <v>425</v>
      </c>
      <c r="N1476" s="6">
        <f>IF(OR($G1476="FCC",$G1476="Hydrocracker",$G1476="Reformer"),IF(COUNTIFS($D:$D,$D1476,$A:$A,$A1476,$B:$B,$B1476,$G:$G,"CDU",$J:$J,"PLANNED")&gt;0,"tied","standalone"),"")</f>
        <v/>
      </c>
    </row>
    <row r="1477" spans="1:14">
      <c r="A1477" s="6">
        <v>2023</v>
      </c>
      <c r="B1477" s="6">
        <v>6</v>
      </c>
      <c r="C1477" s="6" t="s">
        <v>65</v>
      </c>
      <c r="D1477" s="6" t="s">
        <v>764</v>
      </c>
      <c r="E1477" s="6" t="s">
        <v>455</v>
      </c>
      <c r="F1477" s="6" t="str">
        <f>IF($M1477="PADD I","PADD 1",IF($M1477="PADD II","PADD 2",IF($M1477="PADD III","PADD 3",IF($M1477="PADD IV","PADD 4",IF($M1477="PADD V","PADD 5","")))))</f>
        <v>PADD 3</v>
      </c>
      <c r="G1477" s="6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6" t="s">
        <v>426</v>
      </c>
      <c r="I1477" s="6" t="s">
        <v>106</v>
      </c>
      <c r="J1477" s="6" t="s">
        <v>394</v>
      </c>
      <c r="K1477" s="10">
        <v>5.32</v>
      </c>
      <c r="L1477" s="10">
        <v>76</v>
      </c>
      <c r="M1477" s="6" t="s">
        <v>421</v>
      </c>
      <c r="N1477" s="6" t="str">
        <f>IF(OR($G1477="FCC",$G1477="Hydrocracker",$G1477="Reformer"),IF(COUNTIFS($D:$D,$D1477,$A:$A,$A1477,$B:$B,$B1477,$G:$G,"CDU",$J:$J,"PLANNED")&gt;0,"tied","standalone"),"")</f>
        <v>standalone</v>
      </c>
    </row>
    <row r="1478" spans="1:14">
      <c r="A1478" s="6">
        <v>2023</v>
      </c>
      <c r="B1478" s="6">
        <v>6</v>
      </c>
      <c r="C1478" s="6" t="s">
        <v>65</v>
      </c>
      <c r="D1478" s="6" t="s">
        <v>930</v>
      </c>
      <c r="E1478" s="6" t="s">
        <v>931</v>
      </c>
      <c r="F1478" s="6" t="str">
        <f>IF($M1478="PADD I","PADD 1",IF($M1478="PADD II","PADD 2",IF($M1478="PADD III","PADD 3",IF($M1478="PADD IV","PADD 4",IF($M1478="PADD V","PADD 5","")))))</f>
        <v>PADD 3</v>
      </c>
      <c r="G1478" s="6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6" t="s">
        <v>44</v>
      </c>
      <c r="I1478" s="6" t="s">
        <v>941</v>
      </c>
      <c r="J1478" s="6" t="s">
        <v>398</v>
      </c>
      <c r="K1478" s="10">
        <v>5</v>
      </c>
      <c r="L1478" s="10">
        <v>5</v>
      </c>
      <c r="M1478" s="6" t="s">
        <v>421</v>
      </c>
      <c r="N1478" s="6">
        <f>IF(OR($G1478="FCC",$G1478="Hydrocracker",$G1478="Reformer"),IF(COUNTIFS($D:$D,$D1478,$A:$A,$A1478,$B:$B,$B1478,$G:$G,"CDU",$J:$J,"PLANNED")&gt;0,"tied","standalone"),"")</f>
        <v/>
      </c>
    </row>
    <row r="1479" spans="1:14">
      <c r="A1479" s="6">
        <v>2023</v>
      </c>
      <c r="B1479" s="6">
        <v>6</v>
      </c>
      <c r="C1479" s="6" t="s">
        <v>65</v>
      </c>
      <c r="D1479" s="6" t="s">
        <v>51</v>
      </c>
      <c r="E1479" s="6" t="s">
        <v>431</v>
      </c>
      <c r="F1479" s="6" t="str">
        <f>IF($M1479="PADD I","PADD 1",IF($M1479="PADD II","PADD 2",IF($M1479="PADD III","PADD 3",IF($M1479="PADD IV","PADD 4",IF($M1479="PADD V","PADD 5","")))))</f>
        <v>PADD 3</v>
      </c>
      <c r="G1479" s="6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6" t="s">
        <v>471</v>
      </c>
      <c r="I1479" s="6" t="s">
        <v>942</v>
      </c>
      <c r="J1479" s="6" t="s">
        <v>394</v>
      </c>
      <c r="K1479" s="10">
        <v>4.55</v>
      </c>
      <c r="L1479" s="10">
        <v>65</v>
      </c>
      <c r="M1479" s="6" t="s">
        <v>421</v>
      </c>
      <c r="N1479" s="6" t="str">
        <f>IF(OR($G1479="FCC",$G1479="Hydrocracker",$G1479="Reformer"),IF(COUNTIFS($D:$D,$D1479,$A:$A,$A1479,$B:$B,$B1479,$G:$G,"CDU",$J:$J,"PLANNED")&gt;0,"tied","standalone"),"")</f>
        <v>standalone</v>
      </c>
    </row>
    <row r="1480" spans="1:14">
      <c r="A1480" s="6">
        <v>2023</v>
      </c>
      <c r="B1480" s="6">
        <v>6</v>
      </c>
      <c r="C1480" s="6" t="s">
        <v>65</v>
      </c>
      <c r="D1480" s="6" t="s">
        <v>820</v>
      </c>
      <c r="E1480" s="6" t="s">
        <v>710</v>
      </c>
      <c r="F1480" s="6" t="str">
        <f>IF($M1480="PADD I","PADD 1",IF($M1480="PADD II","PADD 2",IF($M1480="PADD III","PADD 3",IF($M1480="PADD IV","PADD 4",IF($M1480="PADD V","PADD 5","")))))</f>
        <v>PADD 3</v>
      </c>
      <c r="G1480" s="6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6" t="s">
        <v>39</v>
      </c>
      <c r="I1480" s="6" t="s">
        <v>821</v>
      </c>
      <c r="J1480" s="6" t="s">
        <v>398</v>
      </c>
      <c r="K1480" s="10">
        <v>4.41</v>
      </c>
      <c r="L1480" s="10">
        <v>63</v>
      </c>
      <c r="M1480" s="6" t="s">
        <v>421</v>
      </c>
      <c r="N1480" s="6">
        <f>IF(OR($G1480="FCC",$G1480="Hydrocracker",$G1480="Reformer"),IF(COUNTIFS($D:$D,$D1480,$A:$A,$A1480,$B:$B,$B1480,$G:$G,"CDU",$J:$J,"PLANNED")&gt;0,"tied","standalone"),"")</f>
        <v/>
      </c>
    </row>
    <row r="1481" spans="1:14">
      <c r="A1481" s="6">
        <v>2023</v>
      </c>
      <c r="B1481" s="6">
        <v>6</v>
      </c>
      <c r="C1481" s="6" t="s">
        <v>65</v>
      </c>
      <c r="D1481" s="6" t="s">
        <v>880</v>
      </c>
      <c r="E1481" s="6" t="s">
        <v>438</v>
      </c>
      <c r="F1481" s="6" t="str">
        <f>IF($M1481="PADD I","PADD 1",IF($M1481="PADD II","PADD 2",IF($M1481="PADD III","PADD 3",IF($M1481="PADD IV","PADD 4",IF($M1481="PADD V","PADD 5","")))))</f>
        <v>PADD 2</v>
      </c>
      <c r="G1481" s="6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6" t="s">
        <v>44</v>
      </c>
      <c r="I1481" s="6" t="s">
        <v>535</v>
      </c>
      <c r="J1481" s="6" t="s">
        <v>394</v>
      </c>
      <c r="K1481" s="10">
        <v>4.38</v>
      </c>
      <c r="L1481" s="10">
        <v>6</v>
      </c>
      <c r="M1481" s="6" t="s">
        <v>425</v>
      </c>
      <c r="N1481" s="6">
        <f>IF(OR($G1481="FCC",$G1481="Hydrocracker",$G1481="Reformer"),IF(COUNTIFS($D:$D,$D1481,$A:$A,$A1481,$B:$B,$B1481,$G:$G,"CDU",$J:$J,"PLANNED")&gt;0,"tied","standalone"),"")</f>
        <v/>
      </c>
    </row>
    <row r="1482" spans="1:14">
      <c r="A1482" s="6">
        <v>2023</v>
      </c>
      <c r="B1482" s="6">
        <v>6</v>
      </c>
      <c r="C1482" s="6" t="s">
        <v>65</v>
      </c>
      <c r="D1482" s="6" t="s">
        <v>383</v>
      </c>
      <c r="E1482" s="6" t="s">
        <v>602</v>
      </c>
      <c r="F1482" s="6" t="str">
        <f>IF($M1482="PADD I","PADD 1",IF($M1482="PADD II","PADD 2",IF($M1482="PADD III","PADD 3",IF($M1482="PADD IV","PADD 4",IF($M1482="PADD V","PADD 5","")))))</f>
        <v>PADD 3</v>
      </c>
      <c r="G1482" s="6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6" t="s">
        <v>44</v>
      </c>
      <c r="I1482" s="6" t="s">
        <v>657</v>
      </c>
      <c r="J1482" s="6" t="s">
        <v>394</v>
      </c>
      <c r="K1482" s="10">
        <v>4.347</v>
      </c>
      <c r="L1482" s="10">
        <v>18.9</v>
      </c>
      <c r="M1482" s="6" t="s">
        <v>421</v>
      </c>
      <c r="N1482" s="6">
        <f>IF(OR($G1482="FCC",$G1482="Hydrocracker",$G1482="Reformer"),IF(COUNTIFS($D:$D,$D1482,$A:$A,$A1482,$B:$B,$B1482,$G:$G,"CDU",$J:$J,"PLANNED")&gt;0,"tied","standalone"),"")</f>
        <v/>
      </c>
    </row>
    <row r="1483" spans="1:14">
      <c r="A1483" s="6">
        <v>2023</v>
      </c>
      <c r="B1483" s="6">
        <v>6</v>
      </c>
      <c r="C1483" s="6" t="s">
        <v>65</v>
      </c>
      <c r="D1483" s="6" t="s">
        <v>928</v>
      </c>
      <c r="E1483" s="6" t="s">
        <v>502</v>
      </c>
      <c r="F1483" s="6" t="str">
        <f>IF($M1483="PADD I","PADD 1",IF($M1483="PADD II","PADD 2",IF($M1483="PADD III","PADD 3",IF($M1483="PADD IV","PADD 4",IF($M1483="PADD V","PADD 5","")))))</f>
        <v>PADD 2</v>
      </c>
      <c r="G1483" s="6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6" t="s">
        <v>44</v>
      </c>
      <c r="I1483" s="6" t="s">
        <v>943</v>
      </c>
      <c r="J1483" s="6" t="s">
        <v>394</v>
      </c>
      <c r="K1483" s="10">
        <v>4.08</v>
      </c>
      <c r="L1483" s="10">
        <v>24</v>
      </c>
      <c r="M1483" s="6" t="s">
        <v>425</v>
      </c>
      <c r="N1483" s="6">
        <f>IF(OR($G1483="FCC",$G1483="Hydrocracker",$G1483="Reformer"),IF(COUNTIFS($D:$D,$D1483,$A:$A,$A1483,$B:$B,$B1483,$G:$G,"CDU",$J:$J,"PLANNED")&gt;0,"tied","standalone"),"")</f>
        <v/>
      </c>
    </row>
    <row r="1484" spans="1:14">
      <c r="A1484" s="6">
        <v>2023</v>
      </c>
      <c r="B1484" s="6">
        <v>6</v>
      </c>
      <c r="C1484" s="6" t="s">
        <v>65</v>
      </c>
      <c r="D1484" s="6" t="s">
        <v>851</v>
      </c>
      <c r="E1484" s="6" t="s">
        <v>829</v>
      </c>
      <c r="F1484" s="6" t="str">
        <f>IF($M1484="PADD I","PADD 1",IF($M1484="PADD II","PADD 2",IF($M1484="PADD III","PADD 3",IF($M1484="PADD IV","PADD 4",IF($M1484="PADD V","PADD 5","")))))</f>
        <v>PADD 2</v>
      </c>
      <c r="G1484" s="6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6" t="s">
        <v>485</v>
      </c>
      <c r="I1484" s="6" t="s">
        <v>944</v>
      </c>
      <c r="J1484" s="6" t="s">
        <v>394</v>
      </c>
      <c r="K1484" s="10">
        <v>4.08</v>
      </c>
      <c r="L1484" s="10">
        <v>24</v>
      </c>
      <c r="M1484" s="6" t="s">
        <v>425</v>
      </c>
      <c r="N1484" s="6">
        <f>IF(OR($G1484="FCC",$G1484="Hydrocracker",$G1484="Reformer"),IF(COUNTIFS($D:$D,$D1484,$A:$A,$A1484,$B:$B,$B1484,$G:$G,"CDU",$J:$J,"PLANNED")&gt;0,"tied","standalone"),"")</f>
        <v/>
      </c>
    </row>
    <row r="1485" spans="1:14">
      <c r="A1485" s="6">
        <v>2023</v>
      </c>
      <c r="B1485" s="6">
        <v>6</v>
      </c>
      <c r="C1485" s="6" t="s">
        <v>65</v>
      </c>
      <c r="D1485" s="6" t="s">
        <v>838</v>
      </c>
      <c r="E1485" s="6" t="s">
        <v>455</v>
      </c>
      <c r="F1485" s="6" t="str">
        <f>IF($M1485="PADD I","PADD 1",IF($M1485="PADD II","PADD 2",IF($M1485="PADD III","PADD 3",IF($M1485="PADD IV","PADD 4",IF($M1485="PADD V","PADD 5","")))))</f>
        <v>PADD 3</v>
      </c>
      <c r="G1485" s="6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6" t="s">
        <v>39</v>
      </c>
      <c r="I1485" s="6" t="s">
        <v>136</v>
      </c>
      <c r="J1485" s="6" t="s">
        <v>394</v>
      </c>
      <c r="K1485" s="10">
        <v>4.05</v>
      </c>
      <c r="L1485" s="10">
        <v>135</v>
      </c>
      <c r="M1485" s="6" t="s">
        <v>421</v>
      </c>
      <c r="N1485" s="6">
        <f>IF(OR($G1485="FCC",$G1485="Hydrocracker",$G1485="Reformer"),IF(COUNTIFS($D:$D,$D1485,$A:$A,$A1485,$B:$B,$B1485,$G:$G,"CDU",$J:$J,"PLANNED")&gt;0,"tied","standalone"),"")</f>
        <v/>
      </c>
    </row>
    <row r="1486" spans="1:14">
      <c r="A1486" s="6">
        <v>2023</v>
      </c>
      <c r="B1486" s="6">
        <v>6</v>
      </c>
      <c r="C1486" s="6" t="s">
        <v>65</v>
      </c>
      <c r="D1486" s="6" t="s">
        <v>501</v>
      </c>
      <c r="E1486" s="6" t="s">
        <v>502</v>
      </c>
      <c r="F1486" s="6" t="str">
        <f>IF($M1486="PADD I","PADD 1",IF($M1486="PADD II","PADD 2",IF($M1486="PADD III","PADD 3",IF($M1486="PADD IV","PADD 4",IF($M1486="PADD V","PADD 5","")))))</f>
        <v>PADD 2</v>
      </c>
      <c r="G1486" s="6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6" t="s">
        <v>39</v>
      </c>
      <c r="I1486" s="6" t="s">
        <v>531</v>
      </c>
      <c r="J1486" s="6" t="s">
        <v>394</v>
      </c>
      <c r="K1486" s="10">
        <v>4</v>
      </c>
      <c r="L1486" s="10">
        <v>40</v>
      </c>
      <c r="M1486" s="6" t="s">
        <v>425</v>
      </c>
      <c r="N1486" s="6">
        <f>IF(OR($G1486="FCC",$G1486="Hydrocracker",$G1486="Reformer"),IF(COUNTIFS($D:$D,$D1486,$A:$A,$A1486,$B:$B,$B1486,$G:$G,"CDU",$J:$J,"PLANNED")&gt;0,"tied","standalone"),"")</f>
        <v/>
      </c>
    </row>
    <row r="1487" spans="1:14">
      <c r="A1487" s="6">
        <v>2023</v>
      </c>
      <c r="B1487" s="6">
        <v>6</v>
      </c>
      <c r="C1487" s="6" t="s">
        <v>65</v>
      </c>
      <c r="D1487" s="6" t="s">
        <v>383</v>
      </c>
      <c r="E1487" s="6" t="s">
        <v>602</v>
      </c>
      <c r="F1487" s="6" t="str">
        <f>IF($M1487="PADD I","PADD 1",IF($M1487="PADD II","PADD 2",IF($M1487="PADD III","PADD 3",IF($M1487="PADD IV","PADD 4",IF($M1487="PADD V","PADD 5","")))))</f>
        <v>PADD 3</v>
      </c>
      <c r="G1487" s="6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6" t="s">
        <v>426</v>
      </c>
      <c r="I1487" s="6" t="s">
        <v>663</v>
      </c>
      <c r="J1487" s="6" t="s">
        <v>394</v>
      </c>
      <c r="K1487" s="10">
        <v>4</v>
      </c>
      <c r="L1487" s="10">
        <v>20</v>
      </c>
      <c r="M1487" s="6" t="s">
        <v>421</v>
      </c>
      <c r="N1487" s="6" t="str">
        <f>IF(OR($G1487="FCC",$G1487="Hydrocracker",$G1487="Reformer"),IF(COUNTIFS($D:$D,$D1487,$A:$A,$A1487,$B:$B,$B1487,$G:$G,"CDU",$J:$J,"PLANNED")&gt;0,"tied","standalone"),"")</f>
        <v>standalone</v>
      </c>
    </row>
    <row r="1488" spans="1:14">
      <c r="A1488" s="6">
        <v>2023</v>
      </c>
      <c r="B1488" s="6">
        <v>6</v>
      </c>
      <c r="C1488" s="6" t="s">
        <v>65</v>
      </c>
      <c r="D1488" s="6" t="s">
        <v>484</v>
      </c>
      <c r="E1488" s="6" t="s">
        <v>438</v>
      </c>
      <c r="F1488" s="6" t="str">
        <f>IF($M1488="PADD I","PADD 1",IF($M1488="PADD II","PADD 2",IF($M1488="PADD III","PADD 3",IF($M1488="PADD IV","PADD 4",IF($M1488="PADD V","PADD 5","")))))</f>
        <v>PADD 5</v>
      </c>
      <c r="G1488" s="6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6" t="s">
        <v>428</v>
      </c>
      <c r="I1488" s="6" t="s">
        <v>945</v>
      </c>
      <c r="J1488" s="6" t="s">
        <v>394</v>
      </c>
      <c r="K1488" s="10">
        <v>3.72</v>
      </c>
      <c r="L1488" s="10">
        <v>12.4</v>
      </c>
      <c r="M1488" s="6" t="s">
        <v>436</v>
      </c>
      <c r="N1488" s="6">
        <f>IF(OR($G1488="FCC",$G1488="Hydrocracker",$G1488="Reformer"),IF(COUNTIFS($D:$D,$D1488,$A:$A,$A1488,$B:$B,$B1488,$G:$G,"CDU",$J:$J,"PLANNED")&gt;0,"tied","standalone"),"")</f>
        <v/>
      </c>
    </row>
    <row r="1489" spans="1:14">
      <c r="A1489" s="6">
        <v>2023</v>
      </c>
      <c r="B1489" s="6">
        <v>6</v>
      </c>
      <c r="C1489" s="6" t="s">
        <v>65</v>
      </c>
      <c r="D1489" s="6" t="s">
        <v>383</v>
      </c>
      <c r="E1489" s="6" t="s">
        <v>602</v>
      </c>
      <c r="F1489" s="6" t="str">
        <f>IF($M1489="PADD I","PADD 1",IF($M1489="PADD II","PADD 2",IF($M1489="PADD III","PADD 3",IF($M1489="PADD IV","PADD 4",IF($M1489="PADD V","PADD 5","")))))</f>
        <v>PADD 3</v>
      </c>
      <c r="G1489" s="6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6" t="s">
        <v>428</v>
      </c>
      <c r="I1489" s="6" t="s">
        <v>605</v>
      </c>
      <c r="J1489" s="6" t="s">
        <v>394</v>
      </c>
      <c r="K1489" s="10">
        <v>3.706</v>
      </c>
      <c r="L1489" s="10">
        <v>18.53</v>
      </c>
      <c r="M1489" s="6" t="s">
        <v>421</v>
      </c>
      <c r="N1489" s="6">
        <f>IF(OR($G1489="FCC",$G1489="Hydrocracker",$G1489="Reformer"),IF(COUNTIFS($D:$D,$D1489,$A:$A,$A1489,$B:$B,$B1489,$G:$G,"CDU",$J:$J,"PLANNED")&gt;0,"tied","standalone"),"")</f>
        <v/>
      </c>
    </row>
    <row r="1490" spans="1:14">
      <c r="A1490" s="6">
        <v>2023</v>
      </c>
      <c r="B1490" s="6">
        <v>6</v>
      </c>
      <c r="C1490" s="6" t="s">
        <v>65</v>
      </c>
      <c r="D1490" s="6" t="s">
        <v>812</v>
      </c>
      <c r="E1490" s="6" t="s">
        <v>813</v>
      </c>
      <c r="F1490" s="6" t="str">
        <f>IF($M1490="PADD I","PADD 1",IF($M1490="PADD II","PADD 2",IF($M1490="PADD III","PADD 3",IF($M1490="PADD IV","PADD 4",IF($M1490="PADD V","PADD 5","")))))</f>
        <v>PADD 2</v>
      </c>
      <c r="G1490" s="6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6" t="s">
        <v>426</v>
      </c>
      <c r="I1490" s="6" t="s">
        <v>106</v>
      </c>
      <c r="J1490" s="6" t="s">
        <v>394</v>
      </c>
      <c r="K1490" s="10">
        <v>3.57</v>
      </c>
      <c r="L1490" s="10">
        <v>21</v>
      </c>
      <c r="M1490" s="6" t="s">
        <v>425</v>
      </c>
      <c r="N1490" s="6" t="str">
        <f>IF(OR($G1490="FCC",$G1490="Hydrocracker",$G1490="Reformer"),IF(COUNTIFS($D:$D,$D1490,$A:$A,$A1490,$B:$B,$B1490,$G:$G,"CDU",$J:$J,"PLANNED")&gt;0,"tied","standalone"),"")</f>
        <v>standalone</v>
      </c>
    </row>
    <row r="1491" spans="1:14">
      <c r="A1491" s="6">
        <v>2023</v>
      </c>
      <c r="B1491" s="6">
        <v>6</v>
      </c>
      <c r="C1491" s="6" t="s">
        <v>65</v>
      </c>
      <c r="D1491" s="6" t="s">
        <v>484</v>
      </c>
      <c r="E1491" s="6" t="s">
        <v>438</v>
      </c>
      <c r="F1491" s="6" t="str">
        <f>IF($M1491="PADD I","PADD 1",IF($M1491="PADD II","PADD 2",IF($M1491="PADD III","PADD 3",IF($M1491="PADD IV","PADD 4",IF($M1491="PADD V","PADD 5","")))))</f>
        <v>PADD 5</v>
      </c>
      <c r="G1491" s="6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6" t="s">
        <v>39</v>
      </c>
      <c r="I1491" s="6" t="s">
        <v>713</v>
      </c>
      <c r="J1491" s="6" t="s">
        <v>394</v>
      </c>
      <c r="K1491" s="10">
        <v>3.502</v>
      </c>
      <c r="L1491" s="10">
        <v>20.6</v>
      </c>
      <c r="M1491" s="6" t="s">
        <v>436</v>
      </c>
      <c r="N1491" s="6">
        <f>IF(OR($G1491="FCC",$G1491="Hydrocracker",$G1491="Reformer"),IF(COUNTIFS($D:$D,$D1491,$A:$A,$A1491,$B:$B,$B1491,$G:$G,"CDU",$J:$J,"PLANNED")&gt;0,"tied","standalone"),"")</f>
        <v/>
      </c>
    </row>
    <row r="1492" spans="1:14">
      <c r="A1492" s="6">
        <v>2023</v>
      </c>
      <c r="B1492" s="6">
        <v>6</v>
      </c>
      <c r="C1492" s="6" t="s">
        <v>65</v>
      </c>
      <c r="D1492" s="6" t="s">
        <v>501</v>
      </c>
      <c r="E1492" s="6" t="s">
        <v>502</v>
      </c>
      <c r="F1492" s="6" t="str">
        <f>IF($M1492="PADD I","PADD 1",IF($M1492="PADD II","PADD 2",IF($M1492="PADD III","PADD 3",IF($M1492="PADD IV","PADD 4",IF($M1492="PADD V","PADD 5","")))))</f>
        <v>PADD 2</v>
      </c>
      <c r="G1492" s="6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6" t="s">
        <v>44</v>
      </c>
      <c r="I1492" s="6" t="s">
        <v>946</v>
      </c>
      <c r="J1492" s="6" t="s">
        <v>394</v>
      </c>
      <c r="K1492" s="10">
        <v>3.5</v>
      </c>
      <c r="L1492" s="10">
        <v>35</v>
      </c>
      <c r="M1492" s="6" t="s">
        <v>425</v>
      </c>
      <c r="N1492" s="6">
        <f>IF(OR($G1492="FCC",$G1492="Hydrocracker",$G1492="Reformer"),IF(COUNTIFS($D:$D,$D1492,$A:$A,$A1492,$B:$B,$B1492,$G:$G,"CDU",$J:$J,"PLANNED")&gt;0,"tied","standalone"),"")</f>
        <v/>
      </c>
    </row>
    <row r="1493" spans="1:14">
      <c r="A1493" s="6">
        <v>2023</v>
      </c>
      <c r="B1493" s="6">
        <v>6</v>
      </c>
      <c r="C1493" s="6" t="s">
        <v>65</v>
      </c>
      <c r="D1493" s="6" t="s">
        <v>368</v>
      </c>
      <c r="E1493" s="6" t="s">
        <v>715</v>
      </c>
      <c r="F1493" s="6" t="str">
        <f>IF($M1493="PADD I","PADD 1",IF($M1493="PADD II","PADD 2",IF($M1493="PADD III","PADD 3",IF($M1493="PADD IV","PADD 4",IF($M1493="PADD V","PADD 5","")))))</f>
        <v>PADD 3</v>
      </c>
      <c r="G1493" s="6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6" t="s">
        <v>510</v>
      </c>
      <c r="I1493" s="6" t="s">
        <v>511</v>
      </c>
      <c r="J1493" s="6" t="s">
        <v>394</v>
      </c>
      <c r="K1493" s="10">
        <v>3.404</v>
      </c>
      <c r="L1493" s="10">
        <v>14.8</v>
      </c>
      <c r="M1493" s="6" t="s">
        <v>421</v>
      </c>
      <c r="N1493" s="6">
        <f>IF(OR($G1493="FCC",$G1493="Hydrocracker",$G1493="Reformer"),IF(COUNTIFS($D:$D,$D1493,$A:$A,$A1493,$B:$B,$B1493,$G:$G,"CDU",$J:$J,"PLANNED")&gt;0,"tied","standalone"),"")</f>
        <v/>
      </c>
    </row>
    <row r="1494" spans="1:14">
      <c r="A1494" s="6">
        <v>2023</v>
      </c>
      <c r="B1494" s="6">
        <v>6</v>
      </c>
      <c r="C1494" s="6" t="s">
        <v>65</v>
      </c>
      <c r="D1494" s="6" t="s">
        <v>518</v>
      </c>
      <c r="E1494" s="6" t="s">
        <v>419</v>
      </c>
      <c r="F1494" s="6" t="str">
        <f>IF($M1494="PADD I","PADD 1",IF($M1494="PADD II","PADD 2",IF($M1494="PADD III","PADD 3",IF($M1494="PADD IV","PADD 4",IF($M1494="PADD V","PADD 5","")))))</f>
        <v>PADD 3</v>
      </c>
      <c r="G1494" s="6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6" t="s">
        <v>471</v>
      </c>
      <c r="I1494" s="6" t="s">
        <v>908</v>
      </c>
      <c r="J1494" s="6" t="s">
        <v>394</v>
      </c>
      <c r="K1494" s="10">
        <v>3.4</v>
      </c>
      <c r="L1494" s="10">
        <v>20</v>
      </c>
      <c r="M1494" s="6" t="s">
        <v>421</v>
      </c>
      <c r="N1494" s="6" t="str">
        <f>IF(OR($G1494="FCC",$G1494="Hydrocracker",$G1494="Reformer"),IF(COUNTIFS($D:$D,$D1494,$A:$A,$A1494,$B:$B,$B1494,$G:$G,"CDU",$J:$J,"PLANNED")&gt;0,"tied","standalone"),"")</f>
        <v>standalone</v>
      </c>
    </row>
    <row r="1495" spans="1:14">
      <c r="A1495" s="6">
        <v>2023</v>
      </c>
      <c r="B1495" s="6">
        <v>6</v>
      </c>
      <c r="C1495" s="6" t="s">
        <v>65</v>
      </c>
      <c r="D1495" s="6" t="s">
        <v>383</v>
      </c>
      <c r="E1495" s="6" t="s">
        <v>602</v>
      </c>
      <c r="F1495" s="6" t="str">
        <f>IF($M1495="PADD I","PADD 1",IF($M1495="PADD II","PADD 2",IF($M1495="PADD III","PADD 3",IF($M1495="PADD IV","PADD 4",IF($M1495="PADD V","PADD 5","")))))</f>
        <v>PADD 3</v>
      </c>
      <c r="G1495" s="6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6" t="s">
        <v>471</v>
      </c>
      <c r="I1495" s="6" t="s">
        <v>642</v>
      </c>
      <c r="J1495" s="6" t="s">
        <v>394</v>
      </c>
      <c r="K1495" s="10">
        <v>3.2</v>
      </c>
      <c r="L1495" s="10">
        <v>16</v>
      </c>
      <c r="M1495" s="6" t="s">
        <v>421</v>
      </c>
      <c r="N1495" s="6" t="str">
        <f>IF(OR($G1495="FCC",$G1495="Hydrocracker",$G1495="Reformer"),IF(COUNTIFS($D:$D,$D1495,$A:$A,$A1495,$B:$B,$B1495,$G:$G,"CDU",$J:$J,"PLANNED")&gt;0,"tied","standalone"),"")</f>
        <v>standalone</v>
      </c>
    </row>
    <row r="1496" spans="1:14">
      <c r="A1496" s="6">
        <v>2023</v>
      </c>
      <c r="B1496" s="6">
        <v>6</v>
      </c>
      <c r="C1496" s="6" t="s">
        <v>65</v>
      </c>
      <c r="D1496" s="6" t="s">
        <v>383</v>
      </c>
      <c r="E1496" s="6" t="s">
        <v>602</v>
      </c>
      <c r="F1496" s="6" t="str">
        <f>IF($M1496="PADD I","PADD 1",IF($M1496="PADD II","PADD 2",IF($M1496="PADD III","PADD 3",IF($M1496="PADD IV","PADD 4",IF($M1496="PADD V","PADD 5","")))))</f>
        <v>PADD 3</v>
      </c>
      <c r="G1496" s="6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6" t="s">
        <v>44</v>
      </c>
      <c r="I1496" s="6" t="s">
        <v>551</v>
      </c>
      <c r="J1496" s="6" t="s">
        <v>394</v>
      </c>
      <c r="K1496" s="10">
        <v>3.105</v>
      </c>
      <c r="L1496" s="10">
        <v>13.5</v>
      </c>
      <c r="M1496" s="6" t="s">
        <v>421</v>
      </c>
      <c r="N1496" s="6">
        <f>IF(OR($G1496="FCC",$G1496="Hydrocracker",$G1496="Reformer"),IF(COUNTIFS($D:$D,$D1496,$A:$A,$A1496,$B:$B,$B1496,$G:$G,"CDU",$J:$J,"PLANNED")&gt;0,"tied","standalone"),"")</f>
        <v/>
      </c>
    </row>
    <row r="1497" spans="1:14">
      <c r="A1497" s="6">
        <v>2023</v>
      </c>
      <c r="B1497" s="6">
        <v>6</v>
      </c>
      <c r="C1497" s="6" t="s">
        <v>65</v>
      </c>
      <c r="D1497" s="6" t="s">
        <v>501</v>
      </c>
      <c r="E1497" s="6" t="s">
        <v>502</v>
      </c>
      <c r="F1497" s="6" t="str">
        <f>IF($M1497="PADD I","PADD 1",IF($M1497="PADD II","PADD 2",IF($M1497="PADD III","PADD 3",IF($M1497="PADD IV","PADD 4",IF($M1497="PADD V","PADD 5","")))))</f>
        <v>PADD 2</v>
      </c>
      <c r="G1497" s="6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6" t="s">
        <v>426</v>
      </c>
      <c r="I1497" s="6" t="s">
        <v>106</v>
      </c>
      <c r="J1497" s="6" t="s">
        <v>394</v>
      </c>
      <c r="K1497" s="10">
        <v>2.9</v>
      </c>
      <c r="L1497" s="10">
        <v>29</v>
      </c>
      <c r="M1497" s="6" t="s">
        <v>425</v>
      </c>
      <c r="N1497" s="6" t="str">
        <f>IF(OR($G1497="FCC",$G1497="Hydrocracker",$G1497="Reformer"),IF(COUNTIFS($D:$D,$D1497,$A:$A,$A1497,$B:$B,$B1497,$G:$G,"CDU",$J:$J,"PLANNED")&gt;0,"tied","standalone"),"")</f>
        <v>standalone</v>
      </c>
    </row>
    <row r="1498" spans="1:14">
      <c r="A1498" s="6">
        <v>2023</v>
      </c>
      <c r="B1498" s="6">
        <v>6</v>
      </c>
      <c r="C1498" s="6" t="s">
        <v>65</v>
      </c>
      <c r="D1498" s="6" t="s">
        <v>682</v>
      </c>
      <c r="E1498" s="6" t="s">
        <v>683</v>
      </c>
      <c r="F1498" s="6" t="str">
        <f>IF($M1498="PADD I","PADD 1",IF($M1498="PADD II","PADD 2",IF($M1498="PADD III","PADD 3",IF($M1498="PADD IV","PADD 4",IF($M1498="PADD V","PADD 5","")))))</f>
        <v>PADD 4</v>
      </c>
      <c r="G1498" s="6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6" t="s">
        <v>426</v>
      </c>
      <c r="I1498" s="6" t="s">
        <v>684</v>
      </c>
      <c r="J1498" s="6" t="s">
        <v>394</v>
      </c>
      <c r="K1498" s="10">
        <v>2.5</v>
      </c>
      <c r="L1498" s="10">
        <v>12.5</v>
      </c>
      <c r="M1498" s="6" t="s">
        <v>480</v>
      </c>
      <c r="N1498" s="6" t="str">
        <f>IF(OR($G1498="FCC",$G1498="Hydrocracker",$G1498="Reformer"),IF(COUNTIFS($D:$D,$D1498,$A:$A,$A1498,$B:$B,$B1498,$G:$G,"CDU",$J:$J,"PLANNED")&gt;0,"tied","standalone"),"")</f>
        <v>standalone</v>
      </c>
    </row>
    <row r="1499" spans="1:14">
      <c r="A1499" s="6">
        <v>2023</v>
      </c>
      <c r="B1499" s="6">
        <v>6</v>
      </c>
      <c r="C1499" s="6" t="s">
        <v>65</v>
      </c>
      <c r="D1499" s="6" t="s">
        <v>749</v>
      </c>
      <c r="E1499" s="6" t="s">
        <v>750</v>
      </c>
      <c r="F1499" s="6" t="str">
        <f>IF($M1499="PADD I","PADD 1",IF($M1499="PADD II","PADD 2",IF($M1499="PADD III","PADD 3",IF($M1499="PADD IV","PADD 4",IF($M1499="PADD V","PADD 5","")))))</f>
        <v>PADD 5</v>
      </c>
      <c r="G1499" s="6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6" t="s">
        <v>471</v>
      </c>
      <c r="I1499" s="6" t="s">
        <v>15</v>
      </c>
      <c r="J1499" s="6" t="s">
        <v>398</v>
      </c>
      <c r="K1499" s="10">
        <v>2.49</v>
      </c>
      <c r="L1499" s="10">
        <v>3</v>
      </c>
      <c r="M1499" s="6" t="s">
        <v>436</v>
      </c>
      <c r="N1499" s="6" t="str">
        <f>IF(OR($G1499="FCC",$G1499="Hydrocracker",$G1499="Reformer"),IF(COUNTIFS($D:$D,$D1499,$A:$A,$A1499,$B:$B,$B1499,$G:$G,"CDU",$J:$J,"PLANNED")&gt;0,"tied","standalone"),"")</f>
        <v>standalone</v>
      </c>
    </row>
    <row r="1500" spans="1:14">
      <c r="A1500" s="6">
        <v>2023</v>
      </c>
      <c r="B1500" s="6">
        <v>6</v>
      </c>
      <c r="C1500" s="6" t="s">
        <v>65</v>
      </c>
      <c r="D1500" s="6" t="s">
        <v>484</v>
      </c>
      <c r="E1500" s="6" t="s">
        <v>438</v>
      </c>
      <c r="F1500" s="6" t="str">
        <f>IF($M1500="PADD I","PADD 1",IF($M1500="PADD II","PADD 2",IF($M1500="PADD III","PADD 3",IF($M1500="PADD IV","PADD 4",IF($M1500="PADD V","PADD 5","")))))</f>
        <v>PADD 5</v>
      </c>
      <c r="G1500" s="6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6" t="s">
        <v>485</v>
      </c>
      <c r="I1500" s="6" t="s">
        <v>486</v>
      </c>
      <c r="J1500" s="6" t="s">
        <v>394</v>
      </c>
      <c r="K1500" s="10">
        <v>2.46</v>
      </c>
      <c r="L1500" s="10">
        <v>8.199999999999999</v>
      </c>
      <c r="M1500" s="6" t="s">
        <v>436</v>
      </c>
      <c r="N1500" s="6">
        <f>IF(OR($G1500="FCC",$G1500="Hydrocracker",$G1500="Reformer"),IF(COUNTIFS($D:$D,$D1500,$A:$A,$A1500,$B:$B,$B1500,$G:$G,"CDU",$J:$J,"PLANNED")&gt;0,"tied","standalone"),"")</f>
        <v/>
      </c>
    </row>
    <row r="1501" spans="1:14">
      <c r="A1501" s="6">
        <v>2023</v>
      </c>
      <c r="B1501" s="6">
        <v>6</v>
      </c>
      <c r="C1501" s="6" t="s">
        <v>65</v>
      </c>
      <c r="D1501" s="6" t="s">
        <v>487</v>
      </c>
      <c r="E1501" s="6" t="s">
        <v>488</v>
      </c>
      <c r="F1501" s="6" t="str">
        <f>IF($M1501="PADD I","PADD 1",IF($M1501="PADD II","PADD 2",IF($M1501="PADD III","PADD 3",IF($M1501="PADD IV","PADD 4",IF($M1501="PADD V","PADD 5","")))))</f>
        <v>PADD 4</v>
      </c>
      <c r="G1501" s="6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6" t="s">
        <v>44</v>
      </c>
      <c r="I1501" s="6" t="s">
        <v>543</v>
      </c>
      <c r="J1501" s="6" t="s">
        <v>398</v>
      </c>
      <c r="K1501" s="10">
        <v>2.3</v>
      </c>
      <c r="L1501" s="10">
        <v>10</v>
      </c>
      <c r="M1501" s="6" t="s">
        <v>480</v>
      </c>
      <c r="N1501" s="6">
        <f>IF(OR($G1501="FCC",$G1501="Hydrocracker",$G1501="Reformer"),IF(COUNTIFS($D:$D,$D1501,$A:$A,$A1501,$B:$B,$B1501,$G:$G,"CDU",$J:$J,"PLANNED")&gt;0,"tied","standalone"),"")</f>
        <v/>
      </c>
    </row>
    <row r="1502" spans="1:14">
      <c r="A1502" s="6">
        <v>2023</v>
      </c>
      <c r="B1502" s="6">
        <v>6</v>
      </c>
      <c r="C1502" s="6" t="s">
        <v>65</v>
      </c>
      <c r="D1502" s="6" t="s">
        <v>662</v>
      </c>
      <c r="E1502" s="6" t="s">
        <v>466</v>
      </c>
      <c r="F1502" s="6" t="str">
        <f>IF($M1502="PADD I","PADD 1",IF($M1502="PADD II","PADD 2",IF($M1502="PADD III","PADD 3",IF($M1502="PADD IV","PADD 4",IF($M1502="PADD V","PADD 5","")))))</f>
        <v>PADD 3</v>
      </c>
      <c r="G1502" s="6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6" t="s">
        <v>947</v>
      </c>
      <c r="I1502" s="6" t="s">
        <v>948</v>
      </c>
      <c r="J1502" s="6" t="s">
        <v>398</v>
      </c>
      <c r="K1502" s="10">
        <v>2.268</v>
      </c>
      <c r="L1502" s="10">
        <v>3.6</v>
      </c>
      <c r="M1502" s="6" t="s">
        <v>421</v>
      </c>
      <c r="N1502" s="6">
        <f>IF(OR($G1502="FCC",$G1502="Hydrocracker",$G1502="Reformer"),IF(COUNTIFS($D:$D,$D1502,$A:$A,$A1502,$B:$B,$B1502,$G:$G,"CDU",$J:$J,"PLANNED")&gt;0,"tied","standalone"),"")</f>
        <v/>
      </c>
    </row>
    <row r="1503" spans="1:14">
      <c r="A1503" s="6">
        <v>2023</v>
      </c>
      <c r="B1503" s="6">
        <v>6</v>
      </c>
      <c r="C1503" s="6" t="s">
        <v>65</v>
      </c>
      <c r="D1503" s="6" t="s">
        <v>820</v>
      </c>
      <c r="E1503" s="6" t="s">
        <v>710</v>
      </c>
      <c r="F1503" s="6" t="str">
        <f>IF($M1503="PADD I","PADD 1",IF($M1503="PADD II","PADD 2",IF($M1503="PADD III","PADD 3",IF($M1503="PADD IV","PADD 4",IF($M1503="PADD V","PADD 5","")))))</f>
        <v>PADD 3</v>
      </c>
      <c r="G1503" s="6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6" t="s">
        <v>485</v>
      </c>
      <c r="I1503" s="6" t="s">
        <v>491</v>
      </c>
      <c r="J1503" s="6" t="s">
        <v>398</v>
      </c>
      <c r="K1503" s="10">
        <v>2.24</v>
      </c>
      <c r="L1503" s="10">
        <v>32</v>
      </c>
      <c r="M1503" s="6" t="s">
        <v>421</v>
      </c>
      <c r="N1503" s="6">
        <f>IF(OR($G1503="FCC",$G1503="Hydrocracker",$G1503="Reformer"),IF(COUNTIFS($D:$D,$D1503,$A:$A,$A1503,$B:$B,$B1503,$G:$G,"CDU",$J:$J,"PLANNED")&gt;0,"tied","standalone"),"")</f>
        <v/>
      </c>
    </row>
    <row r="1504" spans="1:14">
      <c r="A1504" s="6">
        <v>2023</v>
      </c>
      <c r="B1504" s="6">
        <v>6</v>
      </c>
      <c r="C1504" s="6" t="s">
        <v>65</v>
      </c>
      <c r="D1504" s="6" t="s">
        <v>501</v>
      </c>
      <c r="E1504" s="6" t="s">
        <v>502</v>
      </c>
      <c r="F1504" s="6" t="str">
        <f>IF($M1504="PADD I","PADD 1",IF($M1504="PADD II","PADD 2",IF($M1504="PADD III","PADD 3",IF($M1504="PADD IV","PADD 4",IF($M1504="PADD V","PADD 5","")))))</f>
        <v>PADD 2</v>
      </c>
      <c r="G1504" s="6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6" t="s">
        <v>471</v>
      </c>
      <c r="I1504" s="6" t="s">
        <v>949</v>
      </c>
      <c r="J1504" s="6" t="s">
        <v>394</v>
      </c>
      <c r="K1504" s="10">
        <v>2.2</v>
      </c>
      <c r="L1504" s="10">
        <v>22</v>
      </c>
      <c r="M1504" s="6" t="s">
        <v>425</v>
      </c>
      <c r="N1504" s="6" t="str">
        <f>IF(OR($G1504="FCC",$G1504="Hydrocracker",$G1504="Reformer"),IF(COUNTIFS($D:$D,$D1504,$A:$A,$A1504,$B:$B,$B1504,$G:$G,"CDU",$J:$J,"PLANNED")&gt;0,"tied","standalone"),"")</f>
        <v>standalone</v>
      </c>
    </row>
    <row r="1505" spans="1:14">
      <c r="A1505" s="6">
        <v>2023</v>
      </c>
      <c r="B1505" s="6">
        <v>6</v>
      </c>
      <c r="C1505" s="6" t="s">
        <v>65</v>
      </c>
      <c r="D1505" s="6" t="s">
        <v>501</v>
      </c>
      <c r="E1505" s="6" t="s">
        <v>502</v>
      </c>
      <c r="F1505" s="6" t="str">
        <f>IF($M1505="PADD I","PADD 1",IF($M1505="PADD II","PADD 2",IF($M1505="PADD III","PADD 3",IF($M1505="PADD IV","PADD 4",IF($M1505="PADD V","PADD 5","")))))</f>
        <v>PADD 2</v>
      </c>
      <c r="G1505" s="6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6" t="s">
        <v>44</v>
      </c>
      <c r="I1505" s="6" t="s">
        <v>950</v>
      </c>
      <c r="J1505" s="6" t="s">
        <v>394</v>
      </c>
      <c r="K1505" s="10">
        <v>2.2</v>
      </c>
      <c r="L1505" s="10">
        <v>22</v>
      </c>
      <c r="M1505" s="6" t="s">
        <v>425</v>
      </c>
      <c r="N1505" s="6">
        <f>IF(OR($G1505="FCC",$G1505="Hydrocracker",$G1505="Reformer"),IF(COUNTIFS($D:$D,$D1505,$A:$A,$A1505,$B:$B,$B1505,$G:$G,"CDU",$J:$J,"PLANNED")&gt;0,"tied","standalone"),"")</f>
        <v/>
      </c>
    </row>
    <row r="1506" spans="1:14">
      <c r="A1506" s="6">
        <v>2023</v>
      </c>
      <c r="B1506" s="6">
        <v>6</v>
      </c>
      <c r="C1506" s="6" t="s">
        <v>65</v>
      </c>
      <c r="D1506" s="6" t="s">
        <v>487</v>
      </c>
      <c r="E1506" s="6" t="s">
        <v>488</v>
      </c>
      <c r="F1506" s="6" t="str">
        <f>IF($M1506="PADD I","PADD 1",IF($M1506="PADD II","PADD 2",IF($M1506="PADD III","PADD 3",IF($M1506="PADD IV","PADD 4",IF($M1506="PADD V","PADD 5","")))))</f>
        <v>PADD 4</v>
      </c>
      <c r="G1506" s="6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6" t="s">
        <v>471</v>
      </c>
      <c r="I1506" s="6" t="s">
        <v>607</v>
      </c>
      <c r="J1506" s="6" t="s">
        <v>394</v>
      </c>
      <c r="K1506" s="10">
        <v>2.2</v>
      </c>
      <c r="L1506" s="10">
        <v>5.5</v>
      </c>
      <c r="M1506" s="6" t="s">
        <v>480</v>
      </c>
      <c r="N1506" s="6" t="str">
        <f>IF(OR($G1506="FCC",$G1506="Hydrocracker",$G1506="Reformer"),IF(COUNTIFS($D:$D,$D1506,$A:$A,$A1506,$B:$B,$B1506,$G:$G,"CDU",$J:$J,"PLANNED")&gt;0,"tied","standalone"),"")</f>
        <v>tied</v>
      </c>
    </row>
    <row r="1507" spans="1:14">
      <c r="A1507" s="6">
        <v>2023</v>
      </c>
      <c r="B1507" s="6">
        <v>6</v>
      </c>
      <c r="C1507" s="6" t="s">
        <v>65</v>
      </c>
      <c r="D1507" s="6" t="s">
        <v>484</v>
      </c>
      <c r="E1507" s="6" t="s">
        <v>438</v>
      </c>
      <c r="F1507" s="6" t="str">
        <f>IF($M1507="PADD I","PADD 1",IF($M1507="PADD II","PADD 2",IF($M1507="PADD III","PADD 3",IF($M1507="PADD IV","PADD 4",IF($M1507="PADD V","PADD 5","")))))</f>
        <v>PADD 5</v>
      </c>
      <c r="G1507" s="6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6" t="s">
        <v>428</v>
      </c>
      <c r="I1507" s="6" t="s">
        <v>945</v>
      </c>
      <c r="J1507" s="6" t="s">
        <v>394</v>
      </c>
      <c r="K1507" s="10">
        <v>2.108</v>
      </c>
      <c r="L1507" s="10">
        <v>12.4</v>
      </c>
      <c r="M1507" s="6" t="s">
        <v>436</v>
      </c>
      <c r="N1507" s="6">
        <f>IF(OR($G1507="FCC",$G1507="Hydrocracker",$G1507="Reformer"),IF(COUNTIFS($D:$D,$D1507,$A:$A,$A1507,$B:$B,$B1507,$G:$G,"CDU",$J:$J,"PLANNED")&gt;0,"tied","standalone"),"")</f>
        <v/>
      </c>
    </row>
    <row r="1508" spans="1:14">
      <c r="A1508" s="6">
        <v>2023</v>
      </c>
      <c r="B1508" s="6">
        <v>6</v>
      </c>
      <c r="C1508" s="6" t="s">
        <v>65</v>
      </c>
      <c r="D1508" s="6" t="s">
        <v>383</v>
      </c>
      <c r="E1508" s="6" t="s">
        <v>602</v>
      </c>
      <c r="F1508" s="6" t="str">
        <f>IF($M1508="PADD I","PADD 1",IF($M1508="PADD II","PADD 2",IF($M1508="PADD III","PADD 3",IF($M1508="PADD IV","PADD 4",IF($M1508="PADD V","PADD 5","")))))</f>
        <v>PADD 3</v>
      </c>
      <c r="G1508" s="6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6" t="s">
        <v>44</v>
      </c>
      <c r="I1508" s="6" t="s">
        <v>644</v>
      </c>
      <c r="J1508" s="6" t="s">
        <v>394</v>
      </c>
      <c r="K1508" s="10">
        <v>2.1</v>
      </c>
      <c r="L1508" s="10">
        <v>30</v>
      </c>
      <c r="M1508" s="6" t="s">
        <v>421</v>
      </c>
      <c r="N1508" s="6">
        <f>IF(OR($G1508="FCC",$G1508="Hydrocracker",$G1508="Reformer"),IF(COUNTIFS($D:$D,$D1508,$A:$A,$A1508,$B:$B,$B1508,$G:$G,"CDU",$J:$J,"PLANNED")&gt;0,"tied","standalone"),"")</f>
        <v/>
      </c>
    </row>
    <row r="1509" spans="1:14">
      <c r="A1509" s="6">
        <v>2023</v>
      </c>
      <c r="B1509" s="6">
        <v>6</v>
      </c>
      <c r="C1509" s="6" t="s">
        <v>65</v>
      </c>
      <c r="D1509" s="6" t="s">
        <v>470</v>
      </c>
      <c r="E1509" s="6" t="s">
        <v>423</v>
      </c>
      <c r="F1509" s="6" t="str">
        <f>IF($M1509="PADD I","PADD 1",IF($M1509="PADD II","PADD 2",IF($M1509="PADD III","PADD 3",IF($M1509="PADD IV","PADD 4",IF($M1509="PADD V","PADD 5","")))))</f>
        <v>PADD 2</v>
      </c>
      <c r="G1509" s="6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6" t="s">
        <v>618</v>
      </c>
      <c r="I1509" s="6" t="s">
        <v>654</v>
      </c>
      <c r="J1509" s="6" t="s">
        <v>394</v>
      </c>
      <c r="K1509" s="10">
        <v>2</v>
      </c>
      <c r="L1509" s="10">
        <v>2</v>
      </c>
      <c r="M1509" s="6" t="s">
        <v>425</v>
      </c>
      <c r="N1509" s="6">
        <f>IF(OR($G1509="FCC",$G1509="Hydrocracker",$G1509="Reformer"),IF(COUNTIFS($D:$D,$D1509,$A:$A,$A1509,$B:$B,$B1509,$G:$G,"CDU",$J:$J,"PLANNED")&gt;0,"tied","standalone"),"")</f>
        <v/>
      </c>
    </row>
    <row r="1510" spans="1:14">
      <c r="A1510" s="6">
        <v>2023</v>
      </c>
      <c r="B1510" s="6">
        <v>6</v>
      </c>
      <c r="C1510" s="6" t="s">
        <v>65</v>
      </c>
      <c r="D1510" s="6" t="s">
        <v>487</v>
      </c>
      <c r="E1510" s="6" t="s">
        <v>488</v>
      </c>
      <c r="F1510" s="6" t="str">
        <f>IF($M1510="PADD I","PADD 1",IF($M1510="PADD II","PADD 2",IF($M1510="PADD III","PADD 3",IF($M1510="PADD IV","PADD 4",IF($M1510="PADD V","PADD 5","")))))</f>
        <v>PADD 4</v>
      </c>
      <c r="G1510" s="6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6" t="s">
        <v>426</v>
      </c>
      <c r="I1510" s="6" t="s">
        <v>478</v>
      </c>
      <c r="J1510" s="6" t="s">
        <v>398</v>
      </c>
      <c r="K1510" s="10">
        <v>1.955</v>
      </c>
      <c r="L1510" s="10">
        <v>8.5</v>
      </c>
      <c r="M1510" s="6" t="s">
        <v>480</v>
      </c>
      <c r="N1510" s="6" t="str">
        <f>IF(OR($G1510="FCC",$G1510="Hydrocracker",$G1510="Reformer"),IF(COUNTIFS($D:$D,$D1510,$A:$A,$A1510,$B:$B,$B1510,$G:$G,"CDU",$J:$J,"PLANNED")&gt;0,"tied","standalone"),"")</f>
        <v>tied</v>
      </c>
    </row>
    <row r="1511" spans="1:14">
      <c r="A1511" s="6">
        <v>2023</v>
      </c>
      <c r="B1511" s="6">
        <v>6</v>
      </c>
      <c r="C1511" s="6" t="s">
        <v>65</v>
      </c>
      <c r="D1511" s="6" t="s">
        <v>501</v>
      </c>
      <c r="E1511" s="6" t="s">
        <v>502</v>
      </c>
      <c r="F1511" s="6" t="str">
        <f>IF($M1511="PADD I","PADD 1",IF($M1511="PADD II","PADD 2",IF($M1511="PADD III","PADD 3",IF($M1511="PADD IV","PADD 4",IF($M1511="PADD V","PADD 5","")))))</f>
        <v>PADD 2</v>
      </c>
      <c r="G1511" s="6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6" t="s">
        <v>44</v>
      </c>
      <c r="I1511" s="6" t="s">
        <v>951</v>
      </c>
      <c r="J1511" s="6" t="s">
        <v>394</v>
      </c>
      <c r="K1511" s="10">
        <v>1.95</v>
      </c>
      <c r="L1511" s="10">
        <v>19.5</v>
      </c>
      <c r="M1511" s="6" t="s">
        <v>425</v>
      </c>
      <c r="N1511" s="6">
        <f>IF(OR($G1511="FCC",$G1511="Hydrocracker",$G1511="Reformer"),IF(COUNTIFS($D:$D,$D1511,$A:$A,$A1511,$B:$B,$B1511,$G:$G,"CDU",$J:$J,"PLANNED")&gt;0,"tied","standalone"),"")</f>
        <v/>
      </c>
    </row>
    <row r="1512" spans="1:14">
      <c r="A1512" s="6">
        <v>2023</v>
      </c>
      <c r="B1512" s="6">
        <v>6</v>
      </c>
      <c r="C1512" s="6" t="s">
        <v>65</v>
      </c>
      <c r="D1512" s="6" t="s">
        <v>383</v>
      </c>
      <c r="E1512" s="6" t="s">
        <v>602</v>
      </c>
      <c r="F1512" s="6" t="str">
        <f>IF($M1512="PADD I","PADD 1",IF($M1512="PADD II","PADD 2",IF($M1512="PADD III","PADD 3",IF($M1512="PADD IV","PADD 4",IF($M1512="PADD V","PADD 5","")))))</f>
        <v>PADD 3</v>
      </c>
      <c r="G1512" s="6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6" t="s">
        <v>44</v>
      </c>
      <c r="I1512" s="6" t="s">
        <v>669</v>
      </c>
      <c r="J1512" s="6" t="s">
        <v>394</v>
      </c>
      <c r="K1512" s="10">
        <v>1.84</v>
      </c>
      <c r="L1512" s="10">
        <v>8</v>
      </c>
      <c r="M1512" s="6" t="s">
        <v>421</v>
      </c>
      <c r="N1512" s="6">
        <f>IF(OR($G1512="FCC",$G1512="Hydrocracker",$G1512="Reformer"),IF(COUNTIFS($D:$D,$D1512,$A:$A,$A1512,$B:$B,$B1512,$G:$G,"CDU",$J:$J,"PLANNED")&gt;0,"tied","standalone"),"")</f>
        <v/>
      </c>
    </row>
    <row r="1513" spans="1:14">
      <c r="A1513" s="6">
        <v>2023</v>
      </c>
      <c r="B1513" s="6">
        <v>6</v>
      </c>
      <c r="C1513" s="6" t="s">
        <v>65</v>
      </c>
      <c r="D1513" s="6" t="s">
        <v>487</v>
      </c>
      <c r="E1513" s="6" t="s">
        <v>488</v>
      </c>
      <c r="F1513" s="6" t="str">
        <f>IF($M1513="PADD I","PADD 1",IF($M1513="PADD II","PADD 2",IF($M1513="PADD III","PADD 3",IF($M1513="PADD IV","PADD 4",IF($M1513="PADD V","PADD 5","")))))</f>
        <v>PADD 4</v>
      </c>
      <c r="G1513" s="6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6" t="s">
        <v>426</v>
      </c>
      <c r="I1513" s="6" t="s">
        <v>478</v>
      </c>
      <c r="J1513" s="6" t="s">
        <v>394</v>
      </c>
      <c r="K1513" s="10">
        <v>1.8275</v>
      </c>
      <c r="L1513" s="10">
        <v>4.25</v>
      </c>
      <c r="M1513" s="6" t="s">
        <v>480</v>
      </c>
      <c r="N1513" s="6" t="str">
        <f>IF(OR($G1513="FCC",$G1513="Hydrocracker",$G1513="Reformer"),IF(COUNTIFS($D:$D,$D1513,$A:$A,$A1513,$B:$B,$B1513,$G:$G,"CDU",$J:$J,"PLANNED")&gt;0,"tied","standalone"),"")</f>
        <v>tied</v>
      </c>
    </row>
    <row r="1514" spans="1:14">
      <c r="A1514" s="6">
        <v>2023</v>
      </c>
      <c r="B1514" s="6">
        <v>6</v>
      </c>
      <c r="C1514" s="6" t="s">
        <v>65</v>
      </c>
      <c r="D1514" s="6" t="s">
        <v>383</v>
      </c>
      <c r="E1514" s="6" t="s">
        <v>602</v>
      </c>
      <c r="F1514" s="6" t="str">
        <f>IF($M1514="PADD I","PADD 1",IF($M1514="PADD II","PADD 2",IF($M1514="PADD III","PADD 3",IF($M1514="PADD IV","PADD 4",IF($M1514="PADD V","PADD 5","")))))</f>
        <v>PADD 3</v>
      </c>
      <c r="G1514" s="6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6" t="s">
        <v>44</v>
      </c>
      <c r="I1514" s="6" t="s">
        <v>648</v>
      </c>
      <c r="J1514" s="6" t="s">
        <v>394</v>
      </c>
      <c r="K1514" s="10">
        <v>1.75</v>
      </c>
      <c r="L1514" s="10">
        <v>25</v>
      </c>
      <c r="M1514" s="6" t="s">
        <v>421</v>
      </c>
      <c r="N1514" s="6">
        <f>IF(OR($G1514="FCC",$G1514="Hydrocracker",$G1514="Reformer"),IF(COUNTIFS($D:$D,$D1514,$A:$A,$A1514,$B:$B,$B1514,$G:$G,"CDU",$J:$J,"PLANNED")&gt;0,"tied","standalone"),"")</f>
        <v/>
      </c>
    </row>
    <row r="1515" spans="1:14">
      <c r="A1515" s="6">
        <v>2023</v>
      </c>
      <c r="B1515" s="6">
        <v>6</v>
      </c>
      <c r="C1515" s="6" t="s">
        <v>65</v>
      </c>
      <c r="D1515" s="6" t="s">
        <v>501</v>
      </c>
      <c r="E1515" s="6" t="s">
        <v>502</v>
      </c>
      <c r="F1515" s="6" t="str">
        <f>IF($M1515="PADD I","PADD 1",IF($M1515="PADD II","PADD 2",IF($M1515="PADD III","PADD 3",IF($M1515="PADD IV","PADD 4",IF($M1515="PADD V","PADD 5","")))))</f>
        <v>PADD 2</v>
      </c>
      <c r="G1515" s="6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6" t="s">
        <v>44</v>
      </c>
      <c r="I1515" s="6" t="s">
        <v>952</v>
      </c>
      <c r="J1515" s="6" t="s">
        <v>394</v>
      </c>
      <c r="K1515" s="10">
        <v>1.6</v>
      </c>
      <c r="L1515" s="10">
        <v>16</v>
      </c>
      <c r="M1515" s="6" t="s">
        <v>425</v>
      </c>
      <c r="N1515" s="6">
        <f>IF(OR($G1515="FCC",$G1515="Hydrocracker",$G1515="Reformer"),IF(COUNTIFS($D:$D,$D1515,$A:$A,$A1515,$B:$B,$B1515,$G:$G,"CDU",$J:$J,"PLANNED")&gt;0,"tied","standalone"),"")</f>
        <v/>
      </c>
    </row>
    <row r="1516" spans="1:14">
      <c r="A1516" s="6">
        <v>2023</v>
      </c>
      <c r="B1516" s="6">
        <v>6</v>
      </c>
      <c r="C1516" s="6" t="s">
        <v>65</v>
      </c>
      <c r="D1516" s="6" t="s">
        <v>383</v>
      </c>
      <c r="E1516" s="6" t="s">
        <v>602</v>
      </c>
      <c r="F1516" s="6" t="str">
        <f>IF($M1516="PADD I","PADD 1",IF($M1516="PADD II","PADD 2",IF($M1516="PADD III","PADD 3",IF($M1516="PADD IV","PADD 4",IF($M1516="PADD V","PADD 5","")))))</f>
        <v>PADD 3</v>
      </c>
      <c r="G1516" s="6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6" t="s">
        <v>573</v>
      </c>
      <c r="I1516" s="6" t="s">
        <v>574</v>
      </c>
      <c r="J1516" s="6" t="s">
        <v>394</v>
      </c>
      <c r="K1516" s="10">
        <v>1.5939</v>
      </c>
      <c r="L1516" s="10">
        <v>6.93</v>
      </c>
      <c r="M1516" s="6" t="s">
        <v>421</v>
      </c>
      <c r="N1516" s="6">
        <f>IF(OR($G1516="FCC",$G1516="Hydrocracker",$G1516="Reformer"),IF(COUNTIFS($D:$D,$D1516,$A:$A,$A1516,$B:$B,$B1516,$G:$G,"CDU",$J:$J,"PLANNED")&gt;0,"tied","standalone"),"")</f>
        <v/>
      </c>
    </row>
    <row r="1517" spans="1:14">
      <c r="A1517" s="6">
        <v>2023</v>
      </c>
      <c r="B1517" s="6">
        <v>6</v>
      </c>
      <c r="C1517" s="6" t="s">
        <v>65</v>
      </c>
      <c r="D1517" s="6" t="s">
        <v>820</v>
      </c>
      <c r="E1517" s="6" t="s">
        <v>710</v>
      </c>
      <c r="F1517" s="6" t="str">
        <f>IF($M1517="PADD I","PADD 1",IF($M1517="PADD II","PADD 2",IF($M1517="PADD III","PADD 3",IF($M1517="PADD IV","PADD 4",IF($M1517="PADD V","PADD 5","")))))</f>
        <v>PADD 3</v>
      </c>
      <c r="G1517" s="6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6" t="s">
        <v>44</v>
      </c>
      <c r="I1517" s="6" t="s">
        <v>676</v>
      </c>
      <c r="J1517" s="6" t="s">
        <v>398</v>
      </c>
      <c r="K1517" s="10">
        <v>1.54</v>
      </c>
      <c r="L1517" s="10">
        <v>22</v>
      </c>
      <c r="M1517" s="6" t="s">
        <v>421</v>
      </c>
      <c r="N1517" s="6">
        <f>IF(OR($G1517="FCC",$G1517="Hydrocracker",$G1517="Reformer"),IF(COUNTIFS($D:$D,$D1517,$A:$A,$A1517,$B:$B,$B1517,$G:$G,"CDU",$J:$J,"PLANNED")&gt;0,"tied","standalone"),"")</f>
        <v/>
      </c>
    </row>
    <row r="1518" spans="1:14">
      <c r="A1518" s="6">
        <v>2023</v>
      </c>
      <c r="B1518" s="6">
        <v>6</v>
      </c>
      <c r="C1518" s="6" t="s">
        <v>65</v>
      </c>
      <c r="D1518" s="6" t="s">
        <v>820</v>
      </c>
      <c r="E1518" s="6" t="s">
        <v>710</v>
      </c>
      <c r="F1518" s="6" t="str">
        <f>IF($M1518="PADD I","PADD 1",IF($M1518="PADD II","PADD 2",IF($M1518="PADD III","PADD 3",IF($M1518="PADD IV","PADD 4",IF($M1518="PADD V","PADD 5","")))))</f>
        <v>PADD 3</v>
      </c>
      <c r="G1518" s="6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6" t="s">
        <v>44</v>
      </c>
      <c r="I1518" s="6" t="s">
        <v>831</v>
      </c>
      <c r="J1518" s="6" t="s">
        <v>398</v>
      </c>
      <c r="K1518" s="10">
        <v>1.54</v>
      </c>
      <c r="L1518" s="10">
        <v>22</v>
      </c>
      <c r="M1518" s="6" t="s">
        <v>421</v>
      </c>
      <c r="N1518" s="6">
        <f>IF(OR($G1518="FCC",$G1518="Hydrocracker",$G1518="Reformer"),IF(COUNTIFS($D:$D,$D1518,$A:$A,$A1518,$B:$B,$B1518,$G:$G,"CDU",$J:$J,"PLANNED")&gt;0,"tied","standalone"),"")</f>
        <v/>
      </c>
    </row>
    <row r="1519" spans="1:14">
      <c r="A1519" s="6">
        <v>2023</v>
      </c>
      <c r="B1519" s="6">
        <v>6</v>
      </c>
      <c r="C1519" s="6" t="s">
        <v>65</v>
      </c>
      <c r="D1519" s="6" t="s">
        <v>928</v>
      </c>
      <c r="E1519" s="6" t="s">
        <v>502</v>
      </c>
      <c r="F1519" s="6" t="str">
        <f>IF($M1519="PADD I","PADD 1",IF($M1519="PADD II","PADD 2",IF($M1519="PADD III","PADD 3",IF($M1519="PADD IV","PADD 4",IF($M1519="PADD V","PADD 5","")))))</f>
        <v>PADD 2</v>
      </c>
      <c r="G1519" s="6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6" t="s">
        <v>485</v>
      </c>
      <c r="I1519" s="6" t="s">
        <v>491</v>
      </c>
      <c r="J1519" s="6" t="s">
        <v>394</v>
      </c>
      <c r="K1519" s="10">
        <v>1.53</v>
      </c>
      <c r="L1519" s="10">
        <v>9</v>
      </c>
      <c r="M1519" s="6" t="s">
        <v>425</v>
      </c>
      <c r="N1519" s="6">
        <f>IF(OR($G1519="FCC",$G1519="Hydrocracker",$G1519="Reformer"),IF(COUNTIFS($D:$D,$D1519,$A:$A,$A1519,$B:$B,$B1519,$G:$G,"CDU",$J:$J,"PLANNED")&gt;0,"tied","standalone"),"")</f>
        <v/>
      </c>
    </row>
    <row r="1520" spans="1:14">
      <c r="A1520" s="6">
        <v>2023</v>
      </c>
      <c r="B1520" s="6">
        <v>6</v>
      </c>
      <c r="C1520" s="6" t="s">
        <v>65</v>
      </c>
      <c r="D1520" s="6" t="s">
        <v>484</v>
      </c>
      <c r="E1520" s="6" t="s">
        <v>438</v>
      </c>
      <c r="F1520" s="6" t="str">
        <f>IF($M1520="PADD I","PADD 1",IF($M1520="PADD II","PADD 2",IF($M1520="PADD III","PADD 3",IF($M1520="PADD IV","PADD 4",IF($M1520="PADD V","PADD 5","")))))</f>
        <v>PADD 5</v>
      </c>
      <c r="G1520" s="6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6" t="s">
        <v>44</v>
      </c>
      <c r="I1520" s="6" t="s">
        <v>953</v>
      </c>
      <c r="J1520" s="6" t="s">
        <v>394</v>
      </c>
      <c r="K1520" s="10">
        <v>1.5</v>
      </c>
      <c r="L1520" s="10">
        <v>5</v>
      </c>
      <c r="M1520" s="6" t="s">
        <v>436</v>
      </c>
      <c r="N1520" s="6">
        <f>IF(OR($G1520="FCC",$G1520="Hydrocracker",$G1520="Reformer"),IF(COUNTIFS($D:$D,$D1520,$A:$A,$A1520,$B:$B,$B1520,$G:$G,"CDU",$J:$J,"PLANNED")&gt;0,"tied","standalone"),"")</f>
        <v/>
      </c>
    </row>
    <row r="1521" spans="1:14">
      <c r="A1521" s="6">
        <v>2023</v>
      </c>
      <c r="B1521" s="6">
        <v>6</v>
      </c>
      <c r="C1521" s="6" t="s">
        <v>65</v>
      </c>
      <c r="D1521" s="6" t="s">
        <v>838</v>
      </c>
      <c r="E1521" s="6" t="s">
        <v>455</v>
      </c>
      <c r="F1521" s="6" t="str">
        <f>IF($M1521="PADD I","PADD 1",IF($M1521="PADD II","PADD 2",IF($M1521="PADD III","PADD 3",IF($M1521="PADD IV","PADD 4",IF($M1521="PADD V","PADD 5","")))))</f>
        <v>PADD 3</v>
      </c>
      <c r="G1521" s="6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6" t="s">
        <v>428</v>
      </c>
      <c r="I1521" s="6" t="s">
        <v>862</v>
      </c>
      <c r="J1521" s="6" t="s">
        <v>394</v>
      </c>
      <c r="K1521" s="10">
        <v>1.5</v>
      </c>
      <c r="L1521" s="10">
        <v>50</v>
      </c>
      <c r="M1521" s="6" t="s">
        <v>421</v>
      </c>
      <c r="N1521" s="6">
        <f>IF(OR($G1521="FCC",$G1521="Hydrocracker",$G1521="Reformer"),IF(COUNTIFS($D:$D,$D1521,$A:$A,$A1521,$B:$B,$B1521,$G:$G,"CDU",$J:$J,"PLANNED")&gt;0,"tied","standalone"),"")</f>
        <v/>
      </c>
    </row>
    <row r="1522" spans="1:14">
      <c r="A1522" s="6">
        <v>2023</v>
      </c>
      <c r="B1522" s="6">
        <v>6</v>
      </c>
      <c r="C1522" s="6" t="s">
        <v>65</v>
      </c>
      <c r="D1522" s="6" t="s">
        <v>484</v>
      </c>
      <c r="E1522" s="6" t="s">
        <v>438</v>
      </c>
      <c r="F1522" s="6" t="str">
        <f>IF($M1522="PADD I","PADD 1",IF($M1522="PADD II","PADD 2",IF($M1522="PADD III","PADD 3",IF($M1522="PADD IV","PADD 4",IF($M1522="PADD V","PADD 5","")))))</f>
        <v>PADD 5</v>
      </c>
      <c r="G1522" s="6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6" t="s">
        <v>485</v>
      </c>
      <c r="I1522" s="6" t="s">
        <v>486</v>
      </c>
      <c r="J1522" s="6" t="s">
        <v>394</v>
      </c>
      <c r="K1522" s="10">
        <v>1.394</v>
      </c>
      <c r="L1522" s="10">
        <v>8.199999999999999</v>
      </c>
      <c r="M1522" s="6" t="s">
        <v>436</v>
      </c>
      <c r="N1522" s="6">
        <f>IF(OR($G1522="FCC",$G1522="Hydrocracker",$G1522="Reformer"),IF(COUNTIFS($D:$D,$D1522,$A:$A,$A1522,$B:$B,$B1522,$G:$G,"CDU",$J:$J,"PLANNED")&gt;0,"tied","standalone"),"")</f>
        <v/>
      </c>
    </row>
    <row r="1523" spans="1:14">
      <c r="A1523" s="6">
        <v>2023</v>
      </c>
      <c r="B1523" s="6">
        <v>6</v>
      </c>
      <c r="C1523" s="6" t="s">
        <v>65</v>
      </c>
      <c r="D1523" s="6" t="s">
        <v>383</v>
      </c>
      <c r="E1523" s="6" t="s">
        <v>602</v>
      </c>
      <c r="F1523" s="6" t="str">
        <f>IF($M1523="PADD I","PADD 1",IF($M1523="PADD II","PADD 2",IF($M1523="PADD III","PADD 3",IF($M1523="PADD IV","PADD 4",IF($M1523="PADD V","PADD 5","")))))</f>
        <v>PADD 3</v>
      </c>
      <c r="G1523" s="6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6" t="s">
        <v>618</v>
      </c>
      <c r="I1523" s="6" t="s">
        <v>673</v>
      </c>
      <c r="J1523" s="6" t="s">
        <v>394</v>
      </c>
      <c r="K1523" s="10">
        <v>1.38</v>
      </c>
      <c r="L1523" s="10">
        <v>6</v>
      </c>
      <c r="M1523" s="6" t="s">
        <v>421</v>
      </c>
      <c r="N1523" s="6">
        <f>IF(OR($G1523="FCC",$G1523="Hydrocracker",$G1523="Reformer"),IF(COUNTIFS($D:$D,$D1523,$A:$A,$A1523,$B:$B,$B1523,$G:$G,"CDU",$J:$J,"PLANNED")&gt;0,"tied","standalone"),"")</f>
        <v/>
      </c>
    </row>
    <row r="1524" spans="1:14">
      <c r="A1524" s="6">
        <v>2023</v>
      </c>
      <c r="B1524" s="6">
        <v>6</v>
      </c>
      <c r="C1524" s="6" t="s">
        <v>65</v>
      </c>
      <c r="D1524" s="6" t="s">
        <v>383</v>
      </c>
      <c r="E1524" s="6" t="s">
        <v>602</v>
      </c>
      <c r="F1524" s="6" t="str">
        <f>IF($M1524="PADD I","PADD 1",IF($M1524="PADD II","PADD 2",IF($M1524="PADD III","PADD 3",IF($M1524="PADD IV","PADD 4",IF($M1524="PADD V","PADD 5","")))))</f>
        <v>PADD 3</v>
      </c>
      <c r="G1524" s="6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6" t="s">
        <v>44</v>
      </c>
      <c r="I1524" s="6" t="s">
        <v>657</v>
      </c>
      <c r="J1524" s="6" t="s">
        <v>394</v>
      </c>
      <c r="K1524" s="10">
        <v>1.323</v>
      </c>
      <c r="L1524" s="10">
        <v>18.9</v>
      </c>
      <c r="M1524" s="6" t="s">
        <v>421</v>
      </c>
      <c r="N1524" s="6">
        <f>IF(OR($G1524="FCC",$G1524="Hydrocracker",$G1524="Reformer"),IF(COUNTIFS($D:$D,$D1524,$A:$A,$A1524,$B:$B,$B1524,$G:$G,"CDU",$J:$J,"PLANNED")&gt;0,"tied","standalone"),"")</f>
        <v/>
      </c>
    </row>
    <row r="1525" spans="1:14">
      <c r="A1525" s="6">
        <v>2023</v>
      </c>
      <c r="B1525" s="6">
        <v>6</v>
      </c>
      <c r="C1525" s="6" t="s">
        <v>65</v>
      </c>
      <c r="D1525" s="6" t="s">
        <v>820</v>
      </c>
      <c r="E1525" s="6" t="s">
        <v>710</v>
      </c>
      <c r="F1525" s="6" t="str">
        <f>IF($M1525="PADD I","PADD 1",IF($M1525="PADD II","PADD 2",IF($M1525="PADD III","PADD 3",IF($M1525="PADD IV","PADD 4",IF($M1525="PADD V","PADD 5","")))))</f>
        <v>PADD 3</v>
      </c>
      <c r="G1525" s="6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6" t="s">
        <v>494</v>
      </c>
      <c r="I1525" s="6" t="s">
        <v>14</v>
      </c>
      <c r="J1525" s="6" t="s">
        <v>398</v>
      </c>
      <c r="K1525" s="10">
        <v>1.295</v>
      </c>
      <c r="L1525" s="10">
        <v>18.5</v>
      </c>
      <c r="M1525" s="6" t="s">
        <v>421</v>
      </c>
      <c r="N1525" s="6" t="str">
        <f>IF(OR($G1525="FCC",$G1525="Hydrocracker",$G1525="Reformer"),IF(COUNTIFS($D:$D,$D1525,$A:$A,$A1525,$B:$B,$B1525,$G:$G,"CDU",$J:$J,"PLANNED")&gt;0,"tied","standalone"),"")</f>
        <v>tied</v>
      </c>
    </row>
    <row r="1526" spans="1:14">
      <c r="A1526" s="6">
        <v>2023</v>
      </c>
      <c r="B1526" s="6">
        <v>6</v>
      </c>
      <c r="C1526" s="6" t="s">
        <v>65</v>
      </c>
      <c r="D1526" s="6" t="s">
        <v>422</v>
      </c>
      <c r="E1526" s="6" t="s">
        <v>423</v>
      </c>
      <c r="F1526" s="6" t="str">
        <f>IF($M1526="PADD I","PADD 1",IF($M1526="PADD II","PADD 2",IF($M1526="PADD III","PADD 3",IF($M1526="PADD IV","PADD 4",IF($M1526="PADD V","PADD 5","")))))</f>
        <v>PADD 2</v>
      </c>
      <c r="G1526" s="6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6" t="s">
        <v>510</v>
      </c>
      <c r="I1526" s="6" t="s">
        <v>591</v>
      </c>
      <c r="J1526" s="6" t="s">
        <v>394</v>
      </c>
      <c r="K1526" s="10">
        <v>1.29</v>
      </c>
      <c r="L1526" s="10">
        <v>3</v>
      </c>
      <c r="M1526" s="6" t="s">
        <v>425</v>
      </c>
      <c r="N1526" s="6">
        <f>IF(OR($G1526="FCC",$G1526="Hydrocracker",$G1526="Reformer"),IF(COUNTIFS($D:$D,$D1526,$A:$A,$A1526,$B:$B,$B1526,$G:$G,"CDU",$J:$J,"PLANNED")&gt;0,"tied","standalone"),"")</f>
        <v/>
      </c>
    </row>
    <row r="1527" spans="1:14">
      <c r="A1527" s="6">
        <v>2023</v>
      </c>
      <c r="B1527" s="6">
        <v>6</v>
      </c>
      <c r="C1527" s="6" t="s">
        <v>65</v>
      </c>
      <c r="D1527" s="6" t="s">
        <v>422</v>
      </c>
      <c r="E1527" s="6" t="s">
        <v>423</v>
      </c>
      <c r="F1527" s="6" t="str">
        <f>IF($M1527="PADD I","PADD 1",IF($M1527="PADD II","PADD 2",IF($M1527="PADD III","PADD 3",IF($M1527="PADD IV","PADD 4",IF($M1527="PADD V","PADD 5","")))))</f>
        <v>PADD 2</v>
      </c>
      <c r="G1527" s="6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6" t="s">
        <v>510</v>
      </c>
      <c r="I1527" s="6" t="s">
        <v>658</v>
      </c>
      <c r="J1527" s="6" t="s">
        <v>394</v>
      </c>
      <c r="K1527" s="10">
        <v>1.29</v>
      </c>
      <c r="L1527" s="10">
        <v>3</v>
      </c>
      <c r="M1527" s="6" t="s">
        <v>425</v>
      </c>
      <c r="N1527" s="6">
        <f>IF(OR($G1527="FCC",$G1527="Hydrocracker",$G1527="Reformer"),IF(COUNTIFS($D:$D,$D1527,$A:$A,$A1527,$B:$B,$B1527,$G:$G,"CDU",$J:$J,"PLANNED")&gt;0,"tied","standalone"),"")</f>
        <v/>
      </c>
    </row>
    <row r="1528" spans="1:14">
      <c r="A1528" s="6">
        <v>2023</v>
      </c>
      <c r="B1528" s="6">
        <v>6</v>
      </c>
      <c r="C1528" s="6" t="s">
        <v>65</v>
      </c>
      <c r="D1528" s="6" t="s">
        <v>928</v>
      </c>
      <c r="E1528" s="6" t="s">
        <v>502</v>
      </c>
      <c r="F1528" s="6" t="str">
        <f>IF($M1528="PADD I","PADD 1",IF($M1528="PADD II","PADD 2",IF($M1528="PADD III","PADD 3",IF($M1528="PADD IV","PADD 4",IF($M1528="PADD V","PADD 5","")))))</f>
        <v>PADD 2</v>
      </c>
      <c r="G1528" s="6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6" t="s">
        <v>44</v>
      </c>
      <c r="I1528" s="6" t="s">
        <v>954</v>
      </c>
      <c r="J1528" s="6" t="s">
        <v>394</v>
      </c>
      <c r="K1528" s="10">
        <v>1.275</v>
      </c>
      <c r="L1528" s="10">
        <v>7.5</v>
      </c>
      <c r="M1528" s="6" t="s">
        <v>425</v>
      </c>
      <c r="N1528" s="6">
        <f>IF(OR($G1528="FCC",$G1528="Hydrocracker",$G1528="Reformer"),IF(COUNTIFS($D:$D,$D1528,$A:$A,$A1528,$B:$B,$B1528,$G:$G,"CDU",$J:$J,"PLANNED")&gt;0,"tied","standalone"),"")</f>
        <v/>
      </c>
    </row>
    <row r="1529" spans="1:14">
      <c r="A1529" s="6">
        <v>2023</v>
      </c>
      <c r="B1529" s="6">
        <v>6</v>
      </c>
      <c r="C1529" s="6" t="s">
        <v>65</v>
      </c>
      <c r="D1529" s="6" t="s">
        <v>484</v>
      </c>
      <c r="E1529" s="6" t="s">
        <v>438</v>
      </c>
      <c r="F1529" s="6" t="str">
        <f>IF($M1529="PADD I","PADD 1",IF($M1529="PADD II","PADD 2",IF($M1529="PADD III","PADD 3",IF($M1529="PADD IV","PADD 4",IF($M1529="PADD V","PADD 5","")))))</f>
        <v>PADD 5</v>
      </c>
      <c r="G1529" s="6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6" t="s">
        <v>494</v>
      </c>
      <c r="I1529" s="6" t="s">
        <v>14</v>
      </c>
      <c r="J1529" s="6" t="s">
        <v>394</v>
      </c>
      <c r="K1529" s="10">
        <v>1.2512</v>
      </c>
      <c r="L1529" s="10">
        <v>7.36</v>
      </c>
      <c r="M1529" s="6" t="s">
        <v>436</v>
      </c>
      <c r="N1529" s="6" t="str">
        <f>IF(OR($G1529="FCC",$G1529="Hydrocracker",$G1529="Reformer"),IF(COUNTIFS($D:$D,$D1529,$A:$A,$A1529,$B:$B,$B1529,$G:$G,"CDU",$J:$J,"PLANNED")&gt;0,"tied","standalone"),"")</f>
        <v>standalone</v>
      </c>
    </row>
    <row r="1530" spans="1:14">
      <c r="A1530" s="6">
        <v>2023</v>
      </c>
      <c r="B1530" s="6">
        <v>6</v>
      </c>
      <c r="C1530" s="6" t="s">
        <v>65</v>
      </c>
      <c r="D1530" s="6" t="s">
        <v>820</v>
      </c>
      <c r="E1530" s="6" t="s">
        <v>710</v>
      </c>
      <c r="F1530" s="6" t="str">
        <f>IF($M1530="PADD I","PADD 1",IF($M1530="PADD II","PADD 2",IF($M1530="PADD III","PADD 3",IF($M1530="PADD IV","PADD 4",IF($M1530="PADD V","PADD 5","")))))</f>
        <v>PADD 3</v>
      </c>
      <c r="G1530" s="6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6" t="s">
        <v>471</v>
      </c>
      <c r="I1530" s="6" t="s">
        <v>833</v>
      </c>
      <c r="J1530" s="6" t="s">
        <v>398</v>
      </c>
      <c r="K1530" s="10">
        <v>1.12</v>
      </c>
      <c r="L1530" s="10">
        <v>16</v>
      </c>
      <c r="M1530" s="6" t="s">
        <v>421</v>
      </c>
      <c r="N1530" s="6" t="str">
        <f>IF(OR($G1530="FCC",$G1530="Hydrocracker",$G1530="Reformer"),IF(COUNTIFS($D:$D,$D1530,$A:$A,$A1530,$B:$B,$B1530,$G:$G,"CDU",$J:$J,"PLANNED")&gt;0,"tied","standalone"),"")</f>
        <v>tied</v>
      </c>
    </row>
    <row r="1531" spans="1:14">
      <c r="A1531" s="6">
        <v>2023</v>
      </c>
      <c r="B1531" s="6">
        <v>6</v>
      </c>
      <c r="C1531" s="6" t="s">
        <v>65</v>
      </c>
      <c r="D1531" s="6" t="s">
        <v>820</v>
      </c>
      <c r="E1531" s="6" t="s">
        <v>710</v>
      </c>
      <c r="F1531" s="6" t="str">
        <f>IF($M1531="PADD I","PADD 1",IF($M1531="PADD II","PADD 2",IF($M1531="PADD III","PADD 3",IF($M1531="PADD IV","PADD 4",IF($M1531="PADD V","PADD 5","")))))</f>
        <v>PADD 3</v>
      </c>
      <c r="G1531" s="6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6" t="s">
        <v>44</v>
      </c>
      <c r="I1531" s="6" t="s">
        <v>834</v>
      </c>
      <c r="J1531" s="6" t="s">
        <v>398</v>
      </c>
      <c r="K1531" s="10">
        <v>1.05</v>
      </c>
      <c r="L1531" s="10">
        <v>15</v>
      </c>
      <c r="M1531" s="6" t="s">
        <v>421</v>
      </c>
      <c r="N1531" s="6">
        <f>IF(OR($G1531="FCC",$G1531="Hydrocracker",$G1531="Reformer"),IF(COUNTIFS($D:$D,$D1531,$A:$A,$A1531,$B:$B,$B1531,$G:$G,"CDU",$J:$J,"PLANNED")&gt;0,"tied","standalone"),"")</f>
        <v/>
      </c>
    </row>
    <row r="1532" spans="1:14">
      <c r="A1532" s="6">
        <v>2023</v>
      </c>
      <c r="B1532" s="6">
        <v>6</v>
      </c>
      <c r="C1532" s="6" t="s">
        <v>65</v>
      </c>
      <c r="D1532" s="6" t="s">
        <v>820</v>
      </c>
      <c r="E1532" s="6" t="s">
        <v>710</v>
      </c>
      <c r="F1532" s="6" t="str">
        <f>IF($M1532="PADD I","PADD 1",IF($M1532="PADD II","PADD 2",IF($M1532="PADD III","PADD 3",IF($M1532="PADD IV","PADD 4",IF($M1532="PADD V","PADD 5","")))))</f>
        <v>PADD 3</v>
      </c>
      <c r="G1532" s="6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6" t="s">
        <v>428</v>
      </c>
      <c r="I1532" s="6" t="s">
        <v>481</v>
      </c>
      <c r="J1532" s="6" t="s">
        <v>398</v>
      </c>
      <c r="K1532" s="10">
        <v>1.05</v>
      </c>
      <c r="L1532" s="10">
        <v>15</v>
      </c>
      <c r="M1532" s="6" t="s">
        <v>421</v>
      </c>
      <c r="N1532" s="6">
        <f>IF(OR($G1532="FCC",$G1532="Hydrocracker",$G1532="Reformer"),IF(COUNTIFS($D:$D,$D1532,$A:$A,$A1532,$B:$B,$B1532,$G:$G,"CDU",$J:$J,"PLANNED")&gt;0,"tied","standalone"),"")</f>
        <v/>
      </c>
    </row>
    <row r="1533" spans="1:14">
      <c r="A1533" s="6">
        <v>2023</v>
      </c>
      <c r="B1533" s="6">
        <v>6</v>
      </c>
      <c r="C1533" s="6" t="s">
        <v>65</v>
      </c>
      <c r="D1533" s="6" t="s">
        <v>512</v>
      </c>
      <c r="E1533" s="6" t="s">
        <v>488</v>
      </c>
      <c r="F1533" s="6" t="str">
        <f>IF($M1533="PADD I","PADD 1",IF($M1533="PADD II","PADD 2",IF($M1533="PADD III","PADD 3",IF($M1533="PADD IV","PADD 4",IF($M1533="PADD V","PADD 5","")))))</f>
        <v>PADD 4</v>
      </c>
      <c r="G1533" s="6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6" t="s">
        <v>39</v>
      </c>
      <c r="I1533" s="6" t="s">
        <v>124</v>
      </c>
      <c r="J1533" s="6" t="s">
        <v>394</v>
      </c>
      <c r="K1533" s="10">
        <v>0.96</v>
      </c>
      <c r="L1533" s="10">
        <v>32</v>
      </c>
      <c r="M1533" s="6" t="s">
        <v>480</v>
      </c>
      <c r="N1533" s="6">
        <f>IF(OR($G1533="FCC",$G1533="Hydrocracker",$G1533="Reformer"),IF(COUNTIFS($D:$D,$D1533,$A:$A,$A1533,$B:$B,$B1533,$G:$G,"CDU",$J:$J,"PLANNED")&gt;0,"tied","standalone"),"")</f>
        <v/>
      </c>
    </row>
    <row r="1534" spans="1:14">
      <c r="A1534" s="6">
        <v>2023</v>
      </c>
      <c r="B1534" s="6">
        <v>6</v>
      </c>
      <c r="C1534" s="6" t="s">
        <v>65</v>
      </c>
      <c r="D1534" s="6" t="s">
        <v>838</v>
      </c>
      <c r="E1534" s="6" t="s">
        <v>455</v>
      </c>
      <c r="F1534" s="6" t="str">
        <f>IF($M1534="PADD I","PADD 1",IF($M1534="PADD II","PADD 2",IF($M1534="PADD III","PADD 3",IF($M1534="PADD IV","PADD 4",IF($M1534="PADD V","PADD 5","")))))</f>
        <v>PADD 3</v>
      </c>
      <c r="G1534" s="6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6" t="s">
        <v>471</v>
      </c>
      <c r="I1534" s="6" t="s">
        <v>832</v>
      </c>
      <c r="J1534" s="6" t="s">
        <v>394</v>
      </c>
      <c r="K1534" s="10">
        <v>0.96</v>
      </c>
      <c r="L1534" s="10">
        <v>32</v>
      </c>
      <c r="M1534" s="6" t="s">
        <v>421</v>
      </c>
      <c r="N1534" s="6" t="str">
        <f>IF(OR($G1534="FCC",$G1534="Hydrocracker",$G1534="Reformer"),IF(COUNTIFS($D:$D,$D1534,$A:$A,$A1534,$B:$B,$B1534,$G:$G,"CDU",$J:$J,"PLANNED")&gt;0,"tied","standalone"),"")</f>
        <v>standalone</v>
      </c>
    </row>
    <row r="1535" spans="1:14">
      <c r="A1535" s="6">
        <v>2023</v>
      </c>
      <c r="B1535" s="6">
        <v>6</v>
      </c>
      <c r="C1535" s="6" t="s">
        <v>65</v>
      </c>
      <c r="D1535" s="6" t="s">
        <v>383</v>
      </c>
      <c r="E1535" s="6" t="s">
        <v>602</v>
      </c>
      <c r="F1535" s="6" t="str">
        <f>IF($M1535="PADD I","PADD 1",IF($M1535="PADD II","PADD 2",IF($M1535="PADD III","PADD 3",IF($M1535="PADD IV","PADD 4",IF($M1535="PADD V","PADD 5","")))))</f>
        <v>PADD 3</v>
      </c>
      <c r="G1535" s="6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6" t="s">
        <v>44</v>
      </c>
      <c r="I1535" s="6" t="s">
        <v>551</v>
      </c>
      <c r="J1535" s="6" t="s">
        <v>394</v>
      </c>
      <c r="K1535" s="10">
        <v>0.945</v>
      </c>
      <c r="L1535" s="10">
        <v>13.5</v>
      </c>
      <c r="M1535" s="6" t="s">
        <v>421</v>
      </c>
      <c r="N1535" s="6">
        <f>IF(OR($G1535="FCC",$G1535="Hydrocracker",$G1535="Reformer"),IF(COUNTIFS($D:$D,$D1535,$A:$A,$A1535,$B:$B,$B1535,$G:$G,"CDU",$J:$J,"PLANNED")&gt;0,"tied","standalone"),"")</f>
        <v/>
      </c>
    </row>
    <row r="1536" spans="1:14">
      <c r="A1536" s="6">
        <v>2023</v>
      </c>
      <c r="B1536" s="6">
        <v>6</v>
      </c>
      <c r="C1536" s="6" t="s">
        <v>65</v>
      </c>
      <c r="D1536" s="6" t="s">
        <v>383</v>
      </c>
      <c r="E1536" s="6" t="s">
        <v>602</v>
      </c>
      <c r="F1536" s="6" t="str">
        <f>IF($M1536="PADD I","PADD 1",IF($M1536="PADD II","PADD 2",IF($M1536="PADD III","PADD 3",IF($M1536="PADD IV","PADD 4",IF($M1536="PADD V","PADD 5","")))))</f>
        <v>PADD 3</v>
      </c>
      <c r="G1536" s="6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6" t="s">
        <v>510</v>
      </c>
      <c r="I1536" s="6" t="s">
        <v>511</v>
      </c>
      <c r="J1536" s="6" t="s">
        <v>394</v>
      </c>
      <c r="K1536" s="10">
        <v>0.92</v>
      </c>
      <c r="L1536" s="10">
        <v>4</v>
      </c>
      <c r="M1536" s="6" t="s">
        <v>421</v>
      </c>
      <c r="N1536" s="6">
        <f>IF(OR($G1536="FCC",$G1536="Hydrocracker",$G1536="Reformer"),IF(COUNTIFS($D:$D,$D1536,$A:$A,$A1536,$B:$B,$B1536,$G:$G,"CDU",$J:$J,"PLANNED")&gt;0,"tied","standalone"),"")</f>
        <v/>
      </c>
    </row>
    <row r="1537" spans="1:14">
      <c r="A1537" s="6">
        <v>2023</v>
      </c>
      <c r="B1537" s="6">
        <v>6</v>
      </c>
      <c r="C1537" s="6" t="s">
        <v>65</v>
      </c>
      <c r="D1537" s="6" t="s">
        <v>484</v>
      </c>
      <c r="E1537" s="6" t="s">
        <v>438</v>
      </c>
      <c r="F1537" s="6" t="str">
        <f>IF($M1537="PADD I","PADD 1",IF($M1537="PADD II","PADD 2",IF($M1537="PADD III","PADD 3",IF($M1537="PADD IV","PADD 4",IF($M1537="PADD V","PADD 5","")))))</f>
        <v>PADD 5</v>
      </c>
      <c r="G1537" s="6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6" t="s">
        <v>471</v>
      </c>
      <c r="I1537" s="6" t="s">
        <v>721</v>
      </c>
      <c r="J1537" s="6" t="s">
        <v>394</v>
      </c>
      <c r="K1537" s="10">
        <v>0.9</v>
      </c>
      <c r="L1537" s="10">
        <v>3</v>
      </c>
      <c r="M1537" s="6" t="s">
        <v>436</v>
      </c>
      <c r="N1537" s="6" t="str">
        <f>IF(OR($G1537="FCC",$G1537="Hydrocracker",$G1537="Reformer"),IF(COUNTIFS($D:$D,$D1537,$A:$A,$A1537,$B:$B,$B1537,$G:$G,"CDU",$J:$J,"PLANNED")&gt;0,"tied","standalone"),"")</f>
        <v>standalone</v>
      </c>
    </row>
    <row r="1538" spans="1:14">
      <c r="A1538" s="6">
        <v>2023</v>
      </c>
      <c r="B1538" s="6">
        <v>6</v>
      </c>
      <c r="C1538" s="6" t="s">
        <v>65</v>
      </c>
      <c r="D1538" s="6" t="s">
        <v>484</v>
      </c>
      <c r="E1538" s="6" t="s">
        <v>438</v>
      </c>
      <c r="F1538" s="6" t="str">
        <f>IF($M1538="PADD I","PADD 1",IF($M1538="PADD II","PADD 2",IF($M1538="PADD III","PADD 3",IF($M1538="PADD IV","PADD 4",IF($M1538="PADD V","PADD 5","")))))</f>
        <v>PADD 5</v>
      </c>
      <c r="G1538" s="6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6" t="s">
        <v>44</v>
      </c>
      <c r="I1538" s="6" t="s">
        <v>955</v>
      </c>
      <c r="J1538" s="6" t="s">
        <v>394</v>
      </c>
      <c r="K1538" s="10">
        <v>0.9</v>
      </c>
      <c r="L1538" s="10">
        <v>3</v>
      </c>
      <c r="M1538" s="6" t="s">
        <v>436</v>
      </c>
      <c r="N1538" s="6">
        <f>IF(OR($G1538="FCC",$G1538="Hydrocracker",$G1538="Reformer"),IF(COUNTIFS($D:$D,$D1538,$A:$A,$A1538,$B:$B,$B1538,$G:$G,"CDU",$J:$J,"PLANNED")&gt;0,"tied","standalone"),"")</f>
        <v/>
      </c>
    </row>
    <row r="1539" spans="1:14">
      <c r="A1539" s="6">
        <v>2023</v>
      </c>
      <c r="B1539" s="6">
        <v>6</v>
      </c>
      <c r="C1539" s="6" t="s">
        <v>65</v>
      </c>
      <c r="D1539" s="6" t="s">
        <v>383</v>
      </c>
      <c r="E1539" s="6" t="s">
        <v>602</v>
      </c>
      <c r="F1539" s="6" t="str">
        <f>IF($M1539="PADD I","PADD 1",IF($M1539="PADD II","PADD 2",IF($M1539="PADD III","PADD 3",IF($M1539="PADD IV","PADD 4",IF($M1539="PADD V","PADD 5","")))))</f>
        <v>PADD 3</v>
      </c>
      <c r="G1539" s="6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6" t="s">
        <v>44</v>
      </c>
      <c r="I1539" s="6" t="s">
        <v>644</v>
      </c>
      <c r="J1539" s="6" t="s">
        <v>394</v>
      </c>
      <c r="K1539" s="10">
        <v>0.9</v>
      </c>
      <c r="L1539" s="10">
        <v>30</v>
      </c>
      <c r="M1539" s="6" t="s">
        <v>421</v>
      </c>
      <c r="N1539" s="6">
        <f>IF(OR($G1539="FCC",$G1539="Hydrocracker",$G1539="Reformer"),IF(COUNTIFS($D:$D,$D1539,$A:$A,$A1539,$B:$B,$B1539,$G:$G,"CDU",$J:$J,"PLANNED")&gt;0,"tied","standalone"),"")</f>
        <v/>
      </c>
    </row>
    <row r="1540" spans="1:14">
      <c r="A1540" s="6">
        <v>2023</v>
      </c>
      <c r="B1540" s="6">
        <v>6</v>
      </c>
      <c r="C1540" s="6" t="s">
        <v>65</v>
      </c>
      <c r="D1540" s="6" t="s">
        <v>518</v>
      </c>
      <c r="E1540" s="6" t="s">
        <v>419</v>
      </c>
      <c r="F1540" s="6" t="str">
        <f>IF($M1540="PADD I","PADD 1",IF($M1540="PADD II","PADD 2",IF($M1540="PADD III","PADD 3",IF($M1540="PADD IV","PADD 4",IF($M1540="PADD V","PADD 5","")))))</f>
        <v>PADD 3</v>
      </c>
      <c r="G1540" s="6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6" t="s">
        <v>426</v>
      </c>
      <c r="I1540" s="6" t="s">
        <v>519</v>
      </c>
      <c r="J1540" s="6" t="s">
        <v>394</v>
      </c>
      <c r="K1540" s="10">
        <v>0.9</v>
      </c>
      <c r="L1540" s="10">
        <v>30</v>
      </c>
      <c r="M1540" s="6" t="s">
        <v>421</v>
      </c>
      <c r="N1540" s="6" t="str">
        <f>IF(OR($G1540="FCC",$G1540="Hydrocracker",$G1540="Reformer"),IF(COUNTIFS($D:$D,$D1540,$A:$A,$A1540,$B:$B,$B1540,$G:$G,"CDU",$J:$J,"PLANNED")&gt;0,"tied","standalone"),"")</f>
        <v>standalone</v>
      </c>
    </row>
    <row r="1541" spans="1:14">
      <c r="A1541" s="6">
        <v>2023</v>
      </c>
      <c r="B1541" s="6">
        <v>6</v>
      </c>
      <c r="C1541" s="6" t="s">
        <v>65</v>
      </c>
      <c r="D1541" s="6" t="s">
        <v>682</v>
      </c>
      <c r="E1541" s="6" t="s">
        <v>683</v>
      </c>
      <c r="F1541" s="6" t="str">
        <f>IF($M1541="PADD I","PADD 1",IF($M1541="PADD II","PADD 2",IF($M1541="PADD III","PADD 3",IF($M1541="PADD IV","PADD 4",IF($M1541="PADD V","PADD 5","")))))</f>
        <v>PADD 4</v>
      </c>
      <c r="G1541" s="6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6" t="s">
        <v>426</v>
      </c>
      <c r="I1541" s="6" t="s">
        <v>684</v>
      </c>
      <c r="J1541" s="6" t="s">
        <v>394</v>
      </c>
      <c r="K1541" s="10">
        <v>0.875</v>
      </c>
      <c r="L1541" s="10">
        <v>12.5</v>
      </c>
      <c r="M1541" s="6" t="s">
        <v>480</v>
      </c>
      <c r="N1541" s="6" t="str">
        <f>IF(OR($G1541="FCC",$G1541="Hydrocracker",$G1541="Reformer"),IF(COUNTIFS($D:$D,$D1541,$A:$A,$A1541,$B:$B,$B1541,$G:$G,"CDU",$J:$J,"PLANNED")&gt;0,"tied","standalone"),"")</f>
        <v>standalone</v>
      </c>
    </row>
    <row r="1542" spans="1:14">
      <c r="A1542" s="6">
        <v>2023</v>
      </c>
      <c r="B1542" s="6">
        <v>6</v>
      </c>
      <c r="C1542" s="6" t="s">
        <v>65</v>
      </c>
      <c r="D1542" s="6" t="s">
        <v>484</v>
      </c>
      <c r="E1542" s="6" t="s">
        <v>438</v>
      </c>
      <c r="F1542" s="6" t="str">
        <f>IF($M1542="PADD I","PADD 1",IF($M1542="PADD II","PADD 2",IF($M1542="PADD III","PADD 3",IF($M1542="PADD IV","PADD 4",IF($M1542="PADD V","PADD 5","")))))</f>
        <v>PADD 5</v>
      </c>
      <c r="G1542" s="6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6" t="s">
        <v>44</v>
      </c>
      <c r="I1542" s="6" t="s">
        <v>953</v>
      </c>
      <c r="J1542" s="6" t="s">
        <v>394</v>
      </c>
      <c r="K1542" s="10">
        <v>0.85</v>
      </c>
      <c r="L1542" s="10">
        <v>5</v>
      </c>
      <c r="M1542" s="6" t="s">
        <v>436</v>
      </c>
      <c r="N1542" s="6">
        <f>IF(OR($G1542="FCC",$G1542="Hydrocracker",$G1542="Reformer"),IF(COUNTIFS($D:$D,$D1542,$A:$A,$A1542,$B:$B,$B1542,$G:$G,"CDU",$J:$J,"PLANNED")&gt;0,"tied","standalone"),"")</f>
        <v/>
      </c>
    </row>
    <row r="1543" spans="1:14">
      <c r="A1543" s="6">
        <v>2023</v>
      </c>
      <c r="B1543" s="6">
        <v>6</v>
      </c>
      <c r="C1543" s="6" t="s">
        <v>65</v>
      </c>
      <c r="D1543" s="6" t="s">
        <v>812</v>
      </c>
      <c r="E1543" s="6" t="s">
        <v>813</v>
      </c>
      <c r="F1543" s="6" t="str">
        <f>IF($M1543="PADD I","PADD 1",IF($M1543="PADD II","PADD 2",IF($M1543="PADD III","PADD 3",IF($M1543="PADD IV","PADD 4",IF($M1543="PADD V","PADD 5","")))))</f>
        <v>PADD 2</v>
      </c>
      <c r="G1543" s="6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6" t="s">
        <v>510</v>
      </c>
      <c r="I1543" s="6" t="s">
        <v>666</v>
      </c>
      <c r="J1543" s="6" t="s">
        <v>394</v>
      </c>
      <c r="K1543" s="10">
        <v>0.85</v>
      </c>
      <c r="L1543" s="10">
        <v>5</v>
      </c>
      <c r="M1543" s="6" t="s">
        <v>425</v>
      </c>
      <c r="N1543" s="6">
        <f>IF(OR($G1543="FCC",$G1543="Hydrocracker",$G1543="Reformer"),IF(COUNTIFS($D:$D,$D1543,$A:$A,$A1543,$B:$B,$B1543,$G:$G,"CDU",$J:$J,"PLANNED")&gt;0,"tied","standalone"),"")</f>
        <v/>
      </c>
    </row>
    <row r="1544" spans="1:14">
      <c r="A1544" s="6">
        <v>2023</v>
      </c>
      <c r="B1544" s="6">
        <v>6</v>
      </c>
      <c r="C1544" s="6" t="s">
        <v>65</v>
      </c>
      <c r="D1544" s="6" t="s">
        <v>820</v>
      </c>
      <c r="E1544" s="6" t="s">
        <v>710</v>
      </c>
      <c r="F1544" s="6" t="str">
        <f>IF($M1544="PADD I","PADD 1",IF($M1544="PADD II","PADD 2",IF($M1544="PADD III","PADD 3",IF($M1544="PADD IV","PADD 4",IF($M1544="PADD V","PADD 5","")))))</f>
        <v>PADD 3</v>
      </c>
      <c r="G1544" s="6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6" t="s">
        <v>44</v>
      </c>
      <c r="I1544" s="6" t="s">
        <v>843</v>
      </c>
      <c r="J1544" s="6" t="s">
        <v>398</v>
      </c>
      <c r="K1544" s="10">
        <v>0.84</v>
      </c>
      <c r="L1544" s="10">
        <v>12</v>
      </c>
      <c r="M1544" s="6" t="s">
        <v>421</v>
      </c>
      <c r="N1544" s="6">
        <f>IF(OR($G1544="FCC",$G1544="Hydrocracker",$G1544="Reformer"),IF(COUNTIFS($D:$D,$D1544,$A:$A,$A1544,$B:$B,$B1544,$G:$G,"CDU",$J:$J,"PLANNED")&gt;0,"tied","standalone"),"")</f>
        <v/>
      </c>
    </row>
    <row r="1545" spans="1:14">
      <c r="A1545" s="6">
        <v>2023</v>
      </c>
      <c r="B1545" s="6">
        <v>6</v>
      </c>
      <c r="C1545" s="6" t="s">
        <v>65</v>
      </c>
      <c r="D1545" s="6" t="s">
        <v>820</v>
      </c>
      <c r="E1545" s="6" t="s">
        <v>710</v>
      </c>
      <c r="F1545" s="6" t="str">
        <f>IF($M1545="PADD I","PADD 1",IF($M1545="PADD II","PADD 2",IF($M1545="PADD III","PADD 3",IF($M1545="PADD IV","PADD 4",IF($M1545="PADD V","PADD 5","")))))</f>
        <v>PADD 3</v>
      </c>
      <c r="G1545" s="6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6" t="s">
        <v>44</v>
      </c>
      <c r="I1545" s="6" t="s">
        <v>844</v>
      </c>
      <c r="J1545" s="6" t="s">
        <v>398</v>
      </c>
      <c r="K1545" s="10">
        <v>0.84</v>
      </c>
      <c r="L1545" s="10">
        <v>12</v>
      </c>
      <c r="M1545" s="6" t="s">
        <v>421</v>
      </c>
      <c r="N1545" s="6">
        <f>IF(OR($G1545="FCC",$G1545="Hydrocracker",$G1545="Reformer"),IF(COUNTIFS($D:$D,$D1545,$A:$A,$A1545,$B:$B,$B1545,$G:$G,"CDU",$J:$J,"PLANNED")&gt;0,"tied","standalone"),"")</f>
        <v/>
      </c>
    </row>
    <row r="1546" spans="1:14">
      <c r="A1546" s="6">
        <v>2023</v>
      </c>
      <c r="B1546" s="6">
        <v>6</v>
      </c>
      <c r="C1546" s="6" t="s">
        <v>65</v>
      </c>
      <c r="D1546" s="6" t="s">
        <v>484</v>
      </c>
      <c r="E1546" s="6" t="s">
        <v>438</v>
      </c>
      <c r="F1546" s="6" t="str">
        <f>IF($M1546="PADD I","PADD 1",IF($M1546="PADD II","PADD 2",IF($M1546="PADD III","PADD 3",IF($M1546="PADD IV","PADD 4",IF($M1546="PADD V","PADD 5","")))))</f>
        <v>PADD 5</v>
      </c>
      <c r="G1546" s="6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6" t="s">
        <v>471</v>
      </c>
      <c r="I1546" s="6" t="s">
        <v>956</v>
      </c>
      <c r="J1546" s="6" t="s">
        <v>394</v>
      </c>
      <c r="K1546" s="10">
        <v>0.78</v>
      </c>
      <c r="L1546" s="10">
        <v>2.6</v>
      </c>
      <c r="M1546" s="6" t="s">
        <v>436</v>
      </c>
      <c r="N1546" s="6" t="str">
        <f>IF(OR($G1546="FCC",$G1546="Hydrocracker",$G1546="Reformer"),IF(COUNTIFS($D:$D,$D1546,$A:$A,$A1546,$B:$B,$B1546,$G:$G,"CDU",$J:$J,"PLANNED")&gt;0,"tied","standalone"),"")</f>
        <v>standalone</v>
      </c>
    </row>
    <row r="1547" spans="1:14">
      <c r="A1547" s="6">
        <v>2023</v>
      </c>
      <c r="B1547" s="6">
        <v>6</v>
      </c>
      <c r="C1547" s="6" t="s">
        <v>65</v>
      </c>
      <c r="D1547" s="6" t="s">
        <v>820</v>
      </c>
      <c r="E1547" s="6" t="s">
        <v>710</v>
      </c>
      <c r="F1547" s="6" t="str">
        <f>IF($M1547="PADD I","PADD 1",IF($M1547="PADD II","PADD 2",IF($M1547="PADD III","PADD 3",IF($M1547="PADD IV","PADD 4",IF($M1547="PADD V","PADD 5","")))))</f>
        <v>PADD 3</v>
      </c>
      <c r="G1547" s="6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6" t="s">
        <v>44</v>
      </c>
      <c r="I1547" s="6" t="s">
        <v>846</v>
      </c>
      <c r="J1547" s="6" t="s">
        <v>398</v>
      </c>
      <c r="K1547" s="10">
        <v>0.77</v>
      </c>
      <c r="L1547" s="10">
        <v>11</v>
      </c>
      <c r="M1547" s="6" t="s">
        <v>421</v>
      </c>
      <c r="N1547" s="6">
        <f>IF(OR($G1547="FCC",$G1547="Hydrocracker",$G1547="Reformer"),IF(COUNTIFS($D:$D,$D1547,$A:$A,$A1547,$B:$B,$B1547,$G:$G,"CDU",$J:$J,"PLANNED")&gt;0,"tied","standalone"),"")</f>
        <v/>
      </c>
    </row>
    <row r="1548" spans="1:14">
      <c r="A1548" s="6">
        <v>2023</v>
      </c>
      <c r="B1548" s="6">
        <v>6</v>
      </c>
      <c r="C1548" s="6" t="s">
        <v>65</v>
      </c>
      <c r="D1548" s="6" t="s">
        <v>820</v>
      </c>
      <c r="E1548" s="6" t="s">
        <v>710</v>
      </c>
      <c r="F1548" s="6" t="str">
        <f>IF($M1548="PADD I","PADD 1",IF($M1548="PADD II","PADD 2",IF($M1548="PADD III","PADD 3",IF($M1548="PADD IV","PADD 4",IF($M1548="PADD V","PADD 5","")))))</f>
        <v>PADD 3</v>
      </c>
      <c r="G1548" s="6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6" t="s">
        <v>573</v>
      </c>
      <c r="I1548" s="6" t="s">
        <v>574</v>
      </c>
      <c r="J1548" s="6" t="s">
        <v>398</v>
      </c>
      <c r="K1548" s="10">
        <v>0.756</v>
      </c>
      <c r="L1548" s="10">
        <v>10.8</v>
      </c>
      <c r="M1548" s="6" t="s">
        <v>421</v>
      </c>
      <c r="N1548" s="6">
        <f>IF(OR($G1548="FCC",$G1548="Hydrocracker",$G1548="Reformer"),IF(COUNTIFS($D:$D,$D1548,$A:$A,$A1548,$B:$B,$B1548,$G:$G,"CDU",$J:$J,"PLANNED")&gt;0,"tied","standalone"),"")</f>
        <v/>
      </c>
    </row>
    <row r="1549" spans="1:14">
      <c r="A1549" s="6">
        <v>2023</v>
      </c>
      <c r="B1549" s="6">
        <v>6</v>
      </c>
      <c r="C1549" s="6" t="s">
        <v>65</v>
      </c>
      <c r="D1549" s="6" t="s">
        <v>383</v>
      </c>
      <c r="E1549" s="6" t="s">
        <v>602</v>
      </c>
      <c r="F1549" s="6" t="str">
        <f>IF($M1549="PADD I","PADD 1",IF($M1549="PADD II","PADD 2",IF($M1549="PADD III","PADD 3",IF($M1549="PADD IV","PADD 4",IF($M1549="PADD V","PADD 5","")))))</f>
        <v>PADD 3</v>
      </c>
      <c r="G1549" s="6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6" t="s">
        <v>44</v>
      </c>
      <c r="I1549" s="6" t="s">
        <v>648</v>
      </c>
      <c r="J1549" s="6" t="s">
        <v>394</v>
      </c>
      <c r="K1549" s="10">
        <v>0.75</v>
      </c>
      <c r="L1549" s="10">
        <v>25</v>
      </c>
      <c r="M1549" s="6" t="s">
        <v>421</v>
      </c>
      <c r="N1549" s="6">
        <f>IF(OR($G1549="FCC",$G1549="Hydrocracker",$G1549="Reformer"),IF(COUNTIFS($D:$D,$D1549,$A:$A,$A1549,$B:$B,$B1549,$G:$G,"CDU",$J:$J,"PLANNED")&gt;0,"tied","standalone"),"")</f>
        <v/>
      </c>
    </row>
    <row r="1550" spans="1:14">
      <c r="A1550" s="6">
        <v>2023</v>
      </c>
      <c r="B1550" s="6">
        <v>6</v>
      </c>
      <c r="C1550" s="6" t="s">
        <v>65</v>
      </c>
      <c r="D1550" s="6" t="s">
        <v>484</v>
      </c>
      <c r="E1550" s="6" t="s">
        <v>438</v>
      </c>
      <c r="F1550" s="6" t="str">
        <f>IF($M1550="PADD I","PADD 1",IF($M1550="PADD II","PADD 2",IF($M1550="PADD III","PADD 3",IF($M1550="PADD IV","PADD 4",IF($M1550="PADD V","PADD 5","")))))</f>
        <v>PADD 5</v>
      </c>
      <c r="G1550" s="6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6" t="s">
        <v>510</v>
      </c>
      <c r="I1550" s="6" t="s">
        <v>511</v>
      </c>
      <c r="J1550" s="6" t="s">
        <v>394</v>
      </c>
      <c r="K1550" s="10">
        <v>0.72</v>
      </c>
      <c r="L1550" s="10">
        <v>2.4</v>
      </c>
      <c r="M1550" s="6" t="s">
        <v>436</v>
      </c>
      <c r="N1550" s="6">
        <f>IF(OR($G1550="FCC",$G1550="Hydrocracker",$G1550="Reformer"),IF(COUNTIFS($D:$D,$D1550,$A:$A,$A1550,$B:$B,$B1550,$G:$G,"CDU",$J:$J,"PLANNED")&gt;0,"tied","standalone"),"")</f>
        <v/>
      </c>
    </row>
    <row r="1551" spans="1:14">
      <c r="A1551" s="6">
        <v>2023</v>
      </c>
      <c r="B1551" s="6">
        <v>6</v>
      </c>
      <c r="C1551" s="6" t="s">
        <v>65</v>
      </c>
      <c r="D1551" s="6" t="s">
        <v>484</v>
      </c>
      <c r="E1551" s="6" t="s">
        <v>438</v>
      </c>
      <c r="F1551" s="6" t="str">
        <f>IF($M1551="PADD I","PADD 1",IF($M1551="PADD II","PADD 2",IF($M1551="PADD III","PADD 3",IF($M1551="PADD IV","PADD 4",IF($M1551="PADD V","PADD 5","")))))</f>
        <v>PADD 5</v>
      </c>
      <c r="G1551" s="6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6" t="s">
        <v>44</v>
      </c>
      <c r="I1551" s="6" t="s">
        <v>957</v>
      </c>
      <c r="J1551" s="6" t="s">
        <v>394</v>
      </c>
      <c r="K1551" s="10">
        <v>0.66</v>
      </c>
      <c r="L1551" s="10">
        <v>2.2</v>
      </c>
      <c r="M1551" s="6" t="s">
        <v>436</v>
      </c>
      <c r="N1551" s="6">
        <f>IF(OR($G1551="FCC",$G1551="Hydrocracker",$G1551="Reformer"),IF(COUNTIFS($D:$D,$D1551,$A:$A,$A1551,$B:$B,$B1551,$G:$G,"CDU",$J:$J,"PLANNED")&gt;0,"tied","standalone"),"")</f>
        <v/>
      </c>
    </row>
    <row r="1552" spans="1:14">
      <c r="A1552" s="6">
        <v>2023</v>
      </c>
      <c r="B1552" s="6">
        <v>6</v>
      </c>
      <c r="C1552" s="6" t="s">
        <v>65</v>
      </c>
      <c r="D1552" s="6" t="s">
        <v>383</v>
      </c>
      <c r="E1552" s="6" t="s">
        <v>602</v>
      </c>
      <c r="F1552" s="6" t="str">
        <f>IF($M1552="PADD I","PADD 1",IF($M1552="PADD II","PADD 2",IF($M1552="PADD III","PADD 3",IF($M1552="PADD IV","PADD 4",IF($M1552="PADD V","PADD 5","")))))</f>
        <v>PADD 3</v>
      </c>
      <c r="G1552" s="6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6" t="s">
        <v>426</v>
      </c>
      <c r="I1552" s="6" t="s">
        <v>663</v>
      </c>
      <c r="J1552" s="6" t="s">
        <v>394</v>
      </c>
      <c r="K1552" s="10">
        <v>0.6</v>
      </c>
      <c r="L1552" s="10">
        <v>20</v>
      </c>
      <c r="M1552" s="6" t="s">
        <v>421</v>
      </c>
      <c r="N1552" s="6" t="str">
        <f>IF(OR($G1552="FCC",$G1552="Hydrocracker",$G1552="Reformer"),IF(COUNTIFS($D:$D,$D1552,$A:$A,$A1552,$B:$B,$B1552,$G:$G,"CDU",$J:$J,"PLANNED")&gt;0,"tied","standalone"),"")</f>
        <v>standalone</v>
      </c>
    </row>
    <row r="1553" spans="1:14">
      <c r="A1553" s="6">
        <v>2023</v>
      </c>
      <c r="B1553" s="6">
        <v>6</v>
      </c>
      <c r="C1553" s="6" t="s">
        <v>65</v>
      </c>
      <c r="D1553" s="6" t="s">
        <v>383</v>
      </c>
      <c r="E1553" s="6" t="s">
        <v>602</v>
      </c>
      <c r="F1553" s="6" t="str">
        <f>IF($M1553="PADD I","PADD 1",IF($M1553="PADD II","PADD 2",IF($M1553="PADD III","PADD 3",IF($M1553="PADD IV","PADD 4",IF($M1553="PADD V","PADD 5","")))))</f>
        <v>PADD 3</v>
      </c>
      <c r="G1553" s="6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6" t="s">
        <v>426</v>
      </c>
      <c r="I1553" s="6" t="s">
        <v>663</v>
      </c>
      <c r="J1553" s="6" t="s">
        <v>394</v>
      </c>
      <c r="K1553" s="10">
        <v>0.6</v>
      </c>
      <c r="L1553" s="10">
        <v>20</v>
      </c>
      <c r="M1553" s="6" t="s">
        <v>421</v>
      </c>
      <c r="N1553" s="6" t="str">
        <f>IF(OR($G1553="FCC",$G1553="Hydrocracker",$G1553="Reformer"),IF(COUNTIFS($D:$D,$D1553,$A:$A,$A1553,$B:$B,$B1553,$G:$G,"CDU",$J:$J,"PLANNED")&gt;0,"tied","standalone"),"")</f>
        <v>standalone</v>
      </c>
    </row>
    <row r="1554" spans="1:14">
      <c r="A1554" s="6">
        <v>2023</v>
      </c>
      <c r="B1554" s="6">
        <v>6</v>
      </c>
      <c r="C1554" s="6" t="s">
        <v>65</v>
      </c>
      <c r="D1554" s="6" t="s">
        <v>383</v>
      </c>
      <c r="E1554" s="6" t="s">
        <v>602</v>
      </c>
      <c r="F1554" s="6" t="str">
        <f>IF($M1554="PADD I","PADD 1",IF($M1554="PADD II","PADD 2",IF($M1554="PADD III","PADD 3",IF($M1554="PADD IV","PADD 4",IF($M1554="PADD V","PADD 5","")))))</f>
        <v>PADD 3</v>
      </c>
      <c r="G1554" s="6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6" t="s">
        <v>44</v>
      </c>
      <c r="I1554" s="6" t="s">
        <v>657</v>
      </c>
      <c r="J1554" s="6" t="s">
        <v>394</v>
      </c>
      <c r="K1554" s="10">
        <v>0.5669999999999999</v>
      </c>
      <c r="L1554" s="10">
        <v>18.9</v>
      </c>
      <c r="M1554" s="6" t="s">
        <v>421</v>
      </c>
      <c r="N1554" s="6">
        <f>IF(OR($G1554="FCC",$G1554="Hydrocracker",$G1554="Reformer"),IF(COUNTIFS($D:$D,$D1554,$A:$A,$A1554,$B:$B,$B1554,$G:$G,"CDU",$J:$J,"PLANNED")&gt;0,"tied","standalone"),"")</f>
        <v/>
      </c>
    </row>
    <row r="1555" spans="1:14">
      <c r="A1555" s="6">
        <v>2023</v>
      </c>
      <c r="B1555" s="6">
        <v>6</v>
      </c>
      <c r="C1555" s="6" t="s">
        <v>65</v>
      </c>
      <c r="D1555" s="6" t="s">
        <v>849</v>
      </c>
      <c r="E1555" s="6" t="s">
        <v>441</v>
      </c>
      <c r="F1555" s="6" t="str">
        <f>IF($M1555="PADD I","PADD 1",IF($M1555="PADD II","PADD 2",IF($M1555="PADD III","PADD 3",IF($M1555="PADD IV","PADD 4",IF($M1555="PADD V","PADD 5","")))))</f>
        <v>PADD 4</v>
      </c>
      <c r="G1555" s="6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6" t="s">
        <v>510</v>
      </c>
      <c r="I1555" s="6" t="s">
        <v>958</v>
      </c>
      <c r="J1555" s="6" t="s">
        <v>394</v>
      </c>
      <c r="K1555" s="10">
        <v>0.5600000000000001</v>
      </c>
      <c r="L1555" s="10">
        <v>5.6</v>
      </c>
      <c r="M1555" s="6" t="s">
        <v>480</v>
      </c>
      <c r="N1555" s="6">
        <f>IF(OR($G1555="FCC",$G1555="Hydrocracker",$G1555="Reformer"),IF(COUNTIFS($D:$D,$D1555,$A:$A,$A1555,$B:$B,$B1555,$G:$G,"CDU",$J:$J,"PLANNED")&gt;0,"tied","standalone"),"")</f>
        <v/>
      </c>
    </row>
    <row r="1556" spans="1:14">
      <c r="A1556" s="6">
        <v>2023</v>
      </c>
      <c r="B1556" s="6">
        <v>6</v>
      </c>
      <c r="C1556" s="6" t="s">
        <v>65</v>
      </c>
      <c r="D1556" s="6" t="s">
        <v>501</v>
      </c>
      <c r="E1556" s="6" t="s">
        <v>502</v>
      </c>
      <c r="F1556" s="6" t="str">
        <f>IF($M1556="PADD I","PADD 1",IF($M1556="PADD II","PADD 2",IF($M1556="PADD III","PADD 3",IF($M1556="PADD IV","PADD 4",IF($M1556="PADD V","PADD 5","")))))</f>
        <v>PADD 2</v>
      </c>
      <c r="G1556" s="6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6" t="s">
        <v>618</v>
      </c>
      <c r="I1556" s="6" t="s">
        <v>654</v>
      </c>
      <c r="J1556" s="6" t="s">
        <v>394</v>
      </c>
      <c r="K1556" s="10">
        <v>0.55</v>
      </c>
      <c r="L1556" s="10">
        <v>5.5</v>
      </c>
      <c r="M1556" s="6" t="s">
        <v>425</v>
      </c>
      <c r="N1556" s="6">
        <f>IF(OR($G1556="FCC",$G1556="Hydrocracker",$G1556="Reformer"),IF(COUNTIFS($D:$D,$D1556,$A:$A,$A1556,$B:$B,$B1556,$G:$G,"CDU",$J:$J,"PLANNED")&gt;0,"tied","standalone"),"")</f>
        <v/>
      </c>
    </row>
    <row r="1557" spans="1:14">
      <c r="A1557" s="6">
        <v>2023</v>
      </c>
      <c r="B1557" s="6">
        <v>6</v>
      </c>
      <c r="C1557" s="6" t="s">
        <v>65</v>
      </c>
      <c r="D1557" s="6" t="s">
        <v>484</v>
      </c>
      <c r="E1557" s="6" t="s">
        <v>438</v>
      </c>
      <c r="F1557" s="6" t="str">
        <f>IF($M1557="PADD I","PADD 1",IF($M1557="PADD II","PADD 2",IF($M1557="PADD III","PADD 3",IF($M1557="PADD IV","PADD 4",IF($M1557="PADD V","PADD 5","")))))</f>
        <v>PADD 5</v>
      </c>
      <c r="G1557" s="6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6" t="s">
        <v>471</v>
      </c>
      <c r="I1557" s="6" t="s">
        <v>721</v>
      </c>
      <c r="J1557" s="6" t="s">
        <v>394</v>
      </c>
      <c r="K1557" s="10">
        <v>0.51</v>
      </c>
      <c r="L1557" s="10">
        <v>3</v>
      </c>
      <c r="M1557" s="6" t="s">
        <v>436</v>
      </c>
      <c r="N1557" s="6" t="str">
        <f>IF(OR($G1557="FCC",$G1557="Hydrocracker",$G1557="Reformer"),IF(COUNTIFS($D:$D,$D1557,$A:$A,$A1557,$B:$B,$B1557,$G:$G,"CDU",$J:$J,"PLANNED")&gt;0,"tied","standalone"),"")</f>
        <v>standalone</v>
      </c>
    </row>
    <row r="1558" spans="1:14">
      <c r="A1558" s="6">
        <v>2023</v>
      </c>
      <c r="B1558" s="6">
        <v>6</v>
      </c>
      <c r="C1558" s="6" t="s">
        <v>65</v>
      </c>
      <c r="D1558" s="6" t="s">
        <v>484</v>
      </c>
      <c r="E1558" s="6" t="s">
        <v>438</v>
      </c>
      <c r="F1558" s="6" t="str">
        <f>IF($M1558="PADD I","PADD 1",IF($M1558="PADD II","PADD 2",IF($M1558="PADD III","PADD 3",IF($M1558="PADD IV","PADD 4",IF($M1558="PADD V","PADD 5","")))))</f>
        <v>PADD 5</v>
      </c>
      <c r="G1558" s="6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6" t="s">
        <v>44</v>
      </c>
      <c r="I1558" s="6" t="s">
        <v>955</v>
      </c>
      <c r="J1558" s="6" t="s">
        <v>394</v>
      </c>
      <c r="K1558" s="10">
        <v>0.51</v>
      </c>
      <c r="L1558" s="10">
        <v>3</v>
      </c>
      <c r="M1558" s="6" t="s">
        <v>436</v>
      </c>
      <c r="N1558" s="6">
        <f>IF(OR($G1558="FCC",$G1558="Hydrocracker",$G1558="Reformer"),IF(COUNTIFS($D:$D,$D1558,$A:$A,$A1558,$B:$B,$B1558,$G:$G,"CDU",$J:$J,"PLANNED")&gt;0,"tied","standalone"),"")</f>
        <v/>
      </c>
    </row>
    <row r="1559" spans="1:14">
      <c r="A1559" s="6">
        <v>2023</v>
      </c>
      <c r="B1559" s="6">
        <v>6</v>
      </c>
      <c r="C1559" s="6" t="s">
        <v>65</v>
      </c>
      <c r="D1559" s="6" t="s">
        <v>930</v>
      </c>
      <c r="E1559" s="6" t="s">
        <v>931</v>
      </c>
      <c r="F1559" s="6" t="str">
        <f>IF($M1559="PADD I","PADD 1",IF($M1559="PADD II","PADD 2",IF($M1559="PADD III","PADD 3",IF($M1559="PADD IV","PADD 4",IF($M1559="PADD V","PADD 5","")))))</f>
        <v>PADD 3</v>
      </c>
      <c r="G1559" s="6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6" t="s">
        <v>618</v>
      </c>
      <c r="I1559" s="6" t="s">
        <v>654</v>
      </c>
      <c r="J1559" s="6" t="s">
        <v>398</v>
      </c>
      <c r="K1559" s="10">
        <v>0.5</v>
      </c>
      <c r="L1559" s="10">
        <v>0.5</v>
      </c>
      <c r="M1559" s="6" t="s">
        <v>421</v>
      </c>
      <c r="N1559" s="6">
        <f>IF(OR($G1559="FCC",$G1559="Hydrocracker",$G1559="Reformer"),IF(COUNTIFS($D:$D,$D1559,$A:$A,$A1559,$B:$B,$B1559,$G:$G,"CDU",$J:$J,"PLANNED")&gt;0,"tied","standalone"),"")</f>
        <v/>
      </c>
    </row>
    <row r="1560" spans="1:14">
      <c r="A1560" s="6">
        <v>2023</v>
      </c>
      <c r="B1560" s="6">
        <v>6</v>
      </c>
      <c r="C1560" s="6" t="s">
        <v>65</v>
      </c>
      <c r="D1560" s="6" t="s">
        <v>712</v>
      </c>
      <c r="E1560" s="6" t="s">
        <v>602</v>
      </c>
      <c r="F1560" s="6" t="str">
        <f>IF($M1560="PADD I","PADD 1",IF($M1560="PADD II","PADD 2",IF($M1560="PADD III","PADD 3",IF($M1560="PADD IV","PADD 4",IF($M1560="PADD V","PADD 5","")))))</f>
        <v>PADD 3</v>
      </c>
      <c r="G1560" s="6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6" t="s">
        <v>44</v>
      </c>
      <c r="I1560" s="6" t="s">
        <v>894</v>
      </c>
      <c r="J1560" s="6" t="s">
        <v>398</v>
      </c>
      <c r="K1560" s="10">
        <v>0.5</v>
      </c>
      <c r="L1560" s="10">
        <v>5</v>
      </c>
      <c r="M1560" s="6" t="s">
        <v>421</v>
      </c>
      <c r="N1560" s="6">
        <f>IF(OR($G1560="FCC",$G1560="Hydrocracker",$G1560="Reformer"),IF(COUNTIFS($D:$D,$D1560,$A:$A,$A1560,$B:$B,$B1560,$G:$G,"CDU",$J:$J,"PLANNED")&gt;0,"tied","standalone"),"")</f>
        <v/>
      </c>
    </row>
    <row r="1561" spans="1:14">
      <c r="A1561" s="6">
        <v>2023</v>
      </c>
      <c r="B1561" s="6">
        <v>6</v>
      </c>
      <c r="C1561" s="6" t="s">
        <v>65</v>
      </c>
      <c r="D1561" s="6" t="s">
        <v>383</v>
      </c>
      <c r="E1561" s="6" t="s">
        <v>602</v>
      </c>
      <c r="F1561" s="6" t="str">
        <f>IF($M1561="PADD I","PADD 1",IF($M1561="PADD II","PADD 2",IF($M1561="PADD III","PADD 3",IF($M1561="PADD IV","PADD 4",IF($M1561="PADD V","PADD 5","")))))</f>
        <v>PADD 3</v>
      </c>
      <c r="G1561" s="6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6" t="s">
        <v>573</v>
      </c>
      <c r="I1561" s="6" t="s">
        <v>574</v>
      </c>
      <c r="J1561" s="6" t="s">
        <v>394</v>
      </c>
      <c r="K1561" s="10">
        <v>0.4851</v>
      </c>
      <c r="L1561" s="10">
        <v>6.93</v>
      </c>
      <c r="M1561" s="6" t="s">
        <v>421</v>
      </c>
      <c r="N1561" s="6">
        <f>IF(OR($G1561="FCC",$G1561="Hydrocracker",$G1561="Reformer"),IF(COUNTIFS($D:$D,$D1561,$A:$A,$A1561,$B:$B,$B1561,$G:$G,"CDU",$J:$J,"PLANNED")&gt;0,"tied","standalone"),"")</f>
        <v/>
      </c>
    </row>
    <row r="1562" spans="1:14">
      <c r="A1562" s="6">
        <v>2023</v>
      </c>
      <c r="B1562" s="6">
        <v>6</v>
      </c>
      <c r="C1562" s="6" t="s">
        <v>65</v>
      </c>
      <c r="D1562" s="6" t="s">
        <v>484</v>
      </c>
      <c r="E1562" s="6" t="s">
        <v>438</v>
      </c>
      <c r="F1562" s="6" t="str">
        <f>IF($M1562="PADD I","PADD 1",IF($M1562="PADD II","PADD 2",IF($M1562="PADD III","PADD 3",IF($M1562="PADD IV","PADD 4",IF($M1562="PADD V","PADD 5","")))))</f>
        <v>PADD 5</v>
      </c>
      <c r="G1562" s="6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6" t="s">
        <v>618</v>
      </c>
      <c r="I1562" s="6" t="s">
        <v>959</v>
      </c>
      <c r="J1562" s="6" t="s">
        <v>394</v>
      </c>
      <c r="K1562" s="10">
        <v>0.48</v>
      </c>
      <c r="L1562" s="10">
        <v>1.6</v>
      </c>
      <c r="M1562" s="6" t="s">
        <v>436</v>
      </c>
      <c r="N1562" s="6">
        <f>IF(OR($G1562="FCC",$G1562="Hydrocracker",$G1562="Reformer"),IF(COUNTIFS($D:$D,$D1562,$A:$A,$A1562,$B:$B,$B1562,$G:$G,"CDU",$J:$J,"PLANNED")&gt;0,"tied","standalone"),"")</f>
        <v/>
      </c>
    </row>
    <row r="1563" spans="1:14">
      <c r="A1563" s="6">
        <v>2023</v>
      </c>
      <c r="B1563" s="6">
        <v>6</v>
      </c>
      <c r="C1563" s="6" t="s">
        <v>65</v>
      </c>
      <c r="D1563" s="6" t="s">
        <v>820</v>
      </c>
      <c r="E1563" s="6" t="s">
        <v>710</v>
      </c>
      <c r="F1563" s="6" t="str">
        <f>IF($M1563="PADD I","PADD 1",IF($M1563="PADD II","PADD 2",IF($M1563="PADD III","PADD 3",IF($M1563="PADD IV","PADD 4",IF($M1563="PADD V","PADD 5","")))))</f>
        <v>PADD 3</v>
      </c>
      <c r="G1563" s="6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6" t="s">
        <v>471</v>
      </c>
      <c r="I1563" s="6" t="s">
        <v>860</v>
      </c>
      <c r="J1563" s="6" t="s">
        <v>398</v>
      </c>
      <c r="K1563" s="10">
        <v>0.448</v>
      </c>
      <c r="L1563" s="10">
        <v>6.4</v>
      </c>
      <c r="M1563" s="6" t="s">
        <v>421</v>
      </c>
      <c r="N1563" s="6" t="str">
        <f>IF(OR($G1563="FCC",$G1563="Hydrocracker",$G1563="Reformer"),IF(COUNTIFS($D:$D,$D1563,$A:$A,$A1563,$B:$B,$B1563,$G:$G,"CDU",$J:$J,"PLANNED")&gt;0,"tied","standalone"),"")</f>
        <v>tied</v>
      </c>
    </row>
    <row r="1564" spans="1:14">
      <c r="A1564" s="6">
        <v>2023</v>
      </c>
      <c r="B1564" s="6">
        <v>6</v>
      </c>
      <c r="C1564" s="6" t="s">
        <v>65</v>
      </c>
      <c r="D1564" s="6" t="s">
        <v>484</v>
      </c>
      <c r="E1564" s="6" t="s">
        <v>438</v>
      </c>
      <c r="F1564" s="6" t="str">
        <f>IF($M1564="PADD I","PADD 1",IF($M1564="PADD II","PADD 2",IF($M1564="PADD III","PADD 3",IF($M1564="PADD IV","PADD 4",IF($M1564="PADD V","PADD 5","")))))</f>
        <v>PADD 5</v>
      </c>
      <c r="G1564" s="6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6" t="s">
        <v>471</v>
      </c>
      <c r="I1564" s="6" t="s">
        <v>956</v>
      </c>
      <c r="J1564" s="6" t="s">
        <v>394</v>
      </c>
      <c r="K1564" s="10">
        <v>0.442</v>
      </c>
      <c r="L1564" s="10">
        <v>2.6</v>
      </c>
      <c r="M1564" s="6" t="s">
        <v>436</v>
      </c>
      <c r="N1564" s="6" t="str">
        <f>IF(OR($G1564="FCC",$G1564="Hydrocracker",$G1564="Reformer"),IF(COUNTIFS($D:$D,$D1564,$A:$A,$A1564,$B:$B,$B1564,$G:$G,"CDU",$J:$J,"PLANNED")&gt;0,"tied","standalone"),"")</f>
        <v>standalone</v>
      </c>
    </row>
    <row r="1565" spans="1:14">
      <c r="A1565" s="6">
        <v>2023</v>
      </c>
      <c r="B1565" s="6">
        <v>6</v>
      </c>
      <c r="C1565" s="6" t="s">
        <v>65</v>
      </c>
      <c r="D1565" s="6" t="s">
        <v>383</v>
      </c>
      <c r="E1565" s="6" t="s">
        <v>602</v>
      </c>
      <c r="F1565" s="6" t="str">
        <f>IF($M1565="PADD I","PADD 1",IF($M1565="PADD II","PADD 2",IF($M1565="PADD III","PADD 3",IF($M1565="PADD IV","PADD 4",IF($M1565="PADD V","PADD 5","")))))</f>
        <v>PADD 3</v>
      </c>
      <c r="G1565" s="6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6" t="s">
        <v>618</v>
      </c>
      <c r="I1565" s="6" t="s">
        <v>673</v>
      </c>
      <c r="J1565" s="6" t="s">
        <v>394</v>
      </c>
      <c r="K1565" s="10">
        <v>0.42</v>
      </c>
      <c r="L1565" s="10">
        <v>6</v>
      </c>
      <c r="M1565" s="6" t="s">
        <v>421</v>
      </c>
      <c r="N1565" s="6">
        <f>IF(OR($G1565="FCC",$G1565="Hydrocracker",$G1565="Reformer"),IF(COUNTIFS($D:$D,$D1565,$A:$A,$A1565,$B:$B,$B1565,$G:$G,"CDU",$J:$J,"PLANNED")&gt;0,"tied","standalone"),"")</f>
        <v/>
      </c>
    </row>
    <row r="1566" spans="1:14">
      <c r="A1566" s="6">
        <v>2023</v>
      </c>
      <c r="B1566" s="6">
        <v>6</v>
      </c>
      <c r="C1566" s="6" t="s">
        <v>65</v>
      </c>
      <c r="D1566" s="6" t="s">
        <v>484</v>
      </c>
      <c r="E1566" s="6" t="s">
        <v>438</v>
      </c>
      <c r="F1566" s="6" t="str">
        <f>IF($M1566="PADD I","PADD 1",IF($M1566="PADD II","PADD 2",IF($M1566="PADD III","PADD 3",IF($M1566="PADD IV","PADD 4",IF($M1566="PADD V","PADD 5","")))))</f>
        <v>PADD 5</v>
      </c>
      <c r="G1566" s="6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6" t="s">
        <v>510</v>
      </c>
      <c r="I1566" s="6" t="s">
        <v>511</v>
      </c>
      <c r="J1566" s="6" t="s">
        <v>394</v>
      </c>
      <c r="K1566" s="10">
        <v>0.408</v>
      </c>
      <c r="L1566" s="10">
        <v>2.4</v>
      </c>
      <c r="M1566" s="6" t="s">
        <v>436</v>
      </c>
      <c r="N1566" s="6">
        <f>IF(OR($G1566="FCC",$G1566="Hydrocracker",$G1566="Reformer"),IF(COUNTIFS($D:$D,$D1566,$A:$A,$A1566,$B:$B,$B1566,$G:$G,"CDU",$J:$J,"PLANNED")&gt;0,"tied","standalone"),"")</f>
        <v/>
      </c>
    </row>
    <row r="1567" spans="1:14">
      <c r="A1567" s="6">
        <v>2023</v>
      </c>
      <c r="B1567" s="6">
        <v>6</v>
      </c>
      <c r="C1567" s="6" t="s">
        <v>65</v>
      </c>
      <c r="D1567" s="6" t="s">
        <v>437</v>
      </c>
      <c r="E1567" s="6" t="s">
        <v>438</v>
      </c>
      <c r="F1567" s="6" t="str">
        <f>IF($M1567="PADD I","PADD 1",IF($M1567="PADD II","PADD 2",IF($M1567="PADD III","PADD 3",IF($M1567="PADD IV","PADD 4",IF($M1567="PADD V","PADD 5","")))))</f>
        <v>PADD 3</v>
      </c>
      <c r="G1567" s="6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6" t="s">
        <v>485</v>
      </c>
      <c r="I1567" s="6" t="s">
        <v>640</v>
      </c>
      <c r="J1567" s="6" t="s">
        <v>394</v>
      </c>
      <c r="K1567" s="10">
        <v>0.405</v>
      </c>
      <c r="L1567" s="10">
        <v>13.5</v>
      </c>
      <c r="M1567" s="6" t="s">
        <v>421</v>
      </c>
      <c r="N1567" s="6">
        <f>IF(OR($G1567="FCC",$G1567="Hydrocracker",$G1567="Reformer"),IF(COUNTIFS($D:$D,$D1567,$A:$A,$A1567,$B:$B,$B1567,$G:$G,"CDU",$J:$J,"PLANNED")&gt;0,"tied","standalone"),"")</f>
        <v/>
      </c>
    </row>
    <row r="1568" spans="1:14">
      <c r="A1568" s="6">
        <v>2023</v>
      </c>
      <c r="B1568" s="6">
        <v>6</v>
      </c>
      <c r="C1568" s="6" t="s">
        <v>65</v>
      </c>
      <c r="D1568" s="6" t="s">
        <v>383</v>
      </c>
      <c r="E1568" s="6" t="s">
        <v>602</v>
      </c>
      <c r="F1568" s="6" t="str">
        <f>IF($M1568="PADD I","PADD 1",IF($M1568="PADD II","PADD 2",IF($M1568="PADD III","PADD 3",IF($M1568="PADD IV","PADD 4",IF($M1568="PADD V","PADD 5","")))))</f>
        <v>PADD 3</v>
      </c>
      <c r="G1568" s="6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6" t="s">
        <v>44</v>
      </c>
      <c r="I1568" s="6" t="s">
        <v>551</v>
      </c>
      <c r="J1568" s="6" t="s">
        <v>394</v>
      </c>
      <c r="K1568" s="10">
        <v>0.405</v>
      </c>
      <c r="L1568" s="10">
        <v>13.5</v>
      </c>
      <c r="M1568" s="6" t="s">
        <v>421</v>
      </c>
      <c r="N1568" s="6">
        <f>IF(OR($G1568="FCC",$G1568="Hydrocracker",$G1568="Reformer"),IF(COUNTIFS($D:$D,$D1568,$A:$A,$A1568,$B:$B,$B1568,$G:$G,"CDU",$J:$J,"PLANNED")&gt;0,"tied","standalone"),"")</f>
        <v/>
      </c>
    </row>
    <row r="1569" spans="1:14">
      <c r="A1569" s="6">
        <v>2023</v>
      </c>
      <c r="B1569" s="6">
        <v>6</v>
      </c>
      <c r="C1569" s="6" t="s">
        <v>65</v>
      </c>
      <c r="D1569" s="6" t="s">
        <v>484</v>
      </c>
      <c r="E1569" s="6" t="s">
        <v>438</v>
      </c>
      <c r="F1569" s="6" t="str">
        <f>IF($M1569="PADD I","PADD 1",IF($M1569="PADD II","PADD 2",IF($M1569="PADD III","PADD 3",IF($M1569="PADD IV","PADD 4",IF($M1569="PADD V","PADD 5","")))))</f>
        <v>PADD 5</v>
      </c>
      <c r="G1569" s="6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6" t="s">
        <v>44</v>
      </c>
      <c r="I1569" s="6" t="s">
        <v>957</v>
      </c>
      <c r="J1569" s="6" t="s">
        <v>394</v>
      </c>
      <c r="K1569" s="10">
        <v>0.374</v>
      </c>
      <c r="L1569" s="10">
        <v>2.2</v>
      </c>
      <c r="M1569" s="6" t="s">
        <v>436</v>
      </c>
      <c r="N1569" s="6">
        <f>IF(OR($G1569="FCC",$G1569="Hydrocracker",$G1569="Reformer"),IF(COUNTIFS($D:$D,$D1569,$A:$A,$A1569,$B:$B,$B1569,$G:$G,"CDU",$J:$J,"PLANNED")&gt;0,"tied","standalone"),"")</f>
        <v/>
      </c>
    </row>
    <row r="1570" spans="1:14">
      <c r="A1570" s="6">
        <v>2023</v>
      </c>
      <c r="B1570" s="6">
        <v>6</v>
      </c>
      <c r="C1570" s="6" t="s">
        <v>65</v>
      </c>
      <c r="D1570" s="6" t="s">
        <v>820</v>
      </c>
      <c r="E1570" s="6" t="s">
        <v>710</v>
      </c>
      <c r="F1570" s="6" t="str">
        <f>IF($M1570="PADD I","PADD 1",IF($M1570="PADD II","PADD 2",IF($M1570="PADD III","PADD 3",IF($M1570="PADD IV","PADD 4",IF($M1570="PADD V","PADD 5","")))))</f>
        <v>PADD 3</v>
      </c>
      <c r="G1570" s="6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6" t="s">
        <v>618</v>
      </c>
      <c r="I1570" s="6" t="s">
        <v>654</v>
      </c>
      <c r="J1570" s="6" t="s">
        <v>398</v>
      </c>
      <c r="K1570" s="10">
        <v>0.315</v>
      </c>
      <c r="L1570" s="10">
        <v>4.5</v>
      </c>
      <c r="M1570" s="6" t="s">
        <v>421</v>
      </c>
      <c r="N1570" s="6">
        <f>IF(OR($G1570="FCC",$G1570="Hydrocracker",$G1570="Reformer"),IF(COUNTIFS($D:$D,$D1570,$A:$A,$A1570,$B:$B,$B1570,$G:$G,"CDU",$J:$J,"PLANNED")&gt;0,"tied","standalone"),"")</f>
        <v/>
      </c>
    </row>
    <row r="1571" spans="1:14">
      <c r="A1571" s="6">
        <v>2023</v>
      </c>
      <c r="B1571" s="6">
        <v>6</v>
      </c>
      <c r="C1571" s="6" t="s">
        <v>65</v>
      </c>
      <c r="D1571" s="6" t="s">
        <v>512</v>
      </c>
      <c r="E1571" s="6" t="s">
        <v>488</v>
      </c>
      <c r="F1571" s="6" t="str">
        <f>IF($M1571="PADD I","PADD 1",IF($M1571="PADD II","PADD 2",IF($M1571="PADD III","PADD 3",IF($M1571="PADD IV","PADD 4",IF($M1571="PADD V","PADD 5","")))))</f>
        <v>PADD 4</v>
      </c>
      <c r="G1571" s="6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6" t="s">
        <v>428</v>
      </c>
      <c r="I1571" s="6" t="s">
        <v>605</v>
      </c>
      <c r="J1571" s="6" t="s">
        <v>394</v>
      </c>
      <c r="K1571" s="10">
        <v>0.3</v>
      </c>
      <c r="L1571" s="10">
        <v>10</v>
      </c>
      <c r="M1571" s="6" t="s">
        <v>480</v>
      </c>
      <c r="N1571" s="6">
        <f>IF(OR($G1571="FCC",$G1571="Hydrocracker",$G1571="Reformer"),IF(COUNTIFS($D:$D,$D1571,$A:$A,$A1571,$B:$B,$B1571,$G:$G,"CDU",$J:$J,"PLANNED")&gt;0,"tied","standalone"),"")</f>
        <v/>
      </c>
    </row>
    <row r="1572" spans="1:14">
      <c r="A1572" s="6">
        <v>2023</v>
      </c>
      <c r="B1572" s="6">
        <v>6</v>
      </c>
      <c r="C1572" s="6" t="s">
        <v>65</v>
      </c>
      <c r="D1572" s="6" t="s">
        <v>501</v>
      </c>
      <c r="E1572" s="6" t="s">
        <v>502</v>
      </c>
      <c r="F1572" s="6" t="str">
        <f>IF($M1572="PADD I","PADD 1",IF($M1572="PADD II","PADD 2",IF($M1572="PADD III","PADD 3",IF($M1572="PADD IV","PADD 4",IF($M1572="PADD V","PADD 5","")))))</f>
        <v>PADD 2</v>
      </c>
      <c r="G1572" s="6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6" t="s">
        <v>510</v>
      </c>
      <c r="I1572" s="6" t="s">
        <v>511</v>
      </c>
      <c r="J1572" s="6" t="s">
        <v>394</v>
      </c>
      <c r="K1572" s="10">
        <v>0.3</v>
      </c>
      <c r="L1572" s="10">
        <v>3</v>
      </c>
      <c r="M1572" s="6" t="s">
        <v>425</v>
      </c>
      <c r="N1572" s="6">
        <f>IF(OR($G1572="FCC",$G1572="Hydrocracker",$G1572="Reformer"),IF(COUNTIFS($D:$D,$D1572,$A:$A,$A1572,$B:$B,$B1572,$G:$G,"CDU",$J:$J,"PLANNED")&gt;0,"tied","standalone"),"")</f>
        <v/>
      </c>
    </row>
    <row r="1573" spans="1:14">
      <c r="A1573" s="6">
        <v>2023</v>
      </c>
      <c r="B1573" s="6">
        <v>6</v>
      </c>
      <c r="C1573" s="6" t="s">
        <v>65</v>
      </c>
      <c r="D1573" s="6" t="s">
        <v>383</v>
      </c>
      <c r="E1573" s="6" t="s">
        <v>602</v>
      </c>
      <c r="F1573" s="6" t="str">
        <f>IF($M1573="PADD I","PADD 1",IF($M1573="PADD II","PADD 2",IF($M1573="PADD III","PADD 3",IF($M1573="PADD IV","PADD 4",IF($M1573="PADD V","PADD 5","")))))</f>
        <v>PADD 3</v>
      </c>
      <c r="G1573" s="6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6" t="s">
        <v>510</v>
      </c>
      <c r="I1573" s="6" t="s">
        <v>511</v>
      </c>
      <c r="J1573" s="6" t="s">
        <v>394</v>
      </c>
      <c r="K1573" s="10">
        <v>0.28</v>
      </c>
      <c r="L1573" s="10">
        <v>4</v>
      </c>
      <c r="M1573" s="6" t="s">
        <v>421</v>
      </c>
      <c r="N1573" s="6">
        <f>IF(OR($G1573="FCC",$G1573="Hydrocracker",$G1573="Reformer"),IF(COUNTIFS($D:$D,$D1573,$A:$A,$A1573,$B:$B,$B1573,$G:$G,"CDU",$J:$J,"PLANNED")&gt;0,"tied","standalone"),"")</f>
        <v/>
      </c>
    </row>
    <row r="1574" spans="1:14">
      <c r="A1574" s="6">
        <v>2023</v>
      </c>
      <c r="B1574" s="6">
        <v>6</v>
      </c>
      <c r="C1574" s="6" t="s">
        <v>65</v>
      </c>
      <c r="D1574" s="6" t="s">
        <v>484</v>
      </c>
      <c r="E1574" s="6" t="s">
        <v>438</v>
      </c>
      <c r="F1574" s="6" t="str">
        <f>IF($M1574="PADD I","PADD 1",IF($M1574="PADD II","PADD 2",IF($M1574="PADD III","PADD 3",IF($M1574="PADD IV","PADD 4",IF($M1574="PADD V","PADD 5","")))))</f>
        <v>PADD 5</v>
      </c>
      <c r="G1574" s="6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6" t="s">
        <v>618</v>
      </c>
      <c r="I1574" s="6" t="s">
        <v>959</v>
      </c>
      <c r="J1574" s="6" t="s">
        <v>394</v>
      </c>
      <c r="K1574" s="10">
        <v>0.272</v>
      </c>
      <c r="L1574" s="10">
        <v>1.6</v>
      </c>
      <c r="M1574" s="6" t="s">
        <v>436</v>
      </c>
      <c r="N1574" s="6">
        <f>IF(OR($G1574="FCC",$G1574="Hydrocracker",$G1574="Reformer"),IF(COUNTIFS($D:$D,$D1574,$A:$A,$A1574,$B:$B,$B1574,$G:$G,"CDU",$J:$J,"PLANNED")&gt;0,"tied","standalone"),"")</f>
        <v/>
      </c>
    </row>
    <row r="1575" spans="1:14">
      <c r="A1575" s="6">
        <v>2023</v>
      </c>
      <c r="B1575" s="6">
        <v>6</v>
      </c>
      <c r="C1575" s="6" t="s">
        <v>65</v>
      </c>
      <c r="D1575" s="6" t="s">
        <v>383</v>
      </c>
      <c r="E1575" s="6" t="s">
        <v>602</v>
      </c>
      <c r="F1575" s="6" t="str">
        <f>IF($M1575="PADD I","PADD 1",IF($M1575="PADD II","PADD 2",IF($M1575="PADD III","PADD 3",IF($M1575="PADD IV","PADD 4",IF($M1575="PADD V","PADD 5","")))))</f>
        <v>PADD 3</v>
      </c>
      <c r="G1575" s="6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6" t="s">
        <v>44</v>
      </c>
      <c r="I1575" s="6" t="s">
        <v>669</v>
      </c>
      <c r="J1575" s="6" t="s">
        <v>394</v>
      </c>
      <c r="K1575" s="10">
        <v>0.24</v>
      </c>
      <c r="L1575" s="10">
        <v>8</v>
      </c>
      <c r="M1575" s="6" t="s">
        <v>421</v>
      </c>
      <c r="N1575" s="6">
        <f>IF(OR($G1575="FCC",$G1575="Hydrocracker",$G1575="Reformer"),IF(COUNTIFS($D:$D,$D1575,$A:$A,$A1575,$B:$B,$B1575,$G:$G,"CDU",$J:$J,"PLANNED")&gt;0,"tied","standalone"),"")</f>
        <v/>
      </c>
    </row>
    <row r="1576" spans="1:14">
      <c r="A1576" s="6">
        <v>2023</v>
      </c>
      <c r="B1576" s="6">
        <v>6</v>
      </c>
      <c r="C1576" s="6" t="s">
        <v>65</v>
      </c>
      <c r="D1576" s="6" t="s">
        <v>383</v>
      </c>
      <c r="E1576" s="6" t="s">
        <v>602</v>
      </c>
      <c r="F1576" s="6" t="str">
        <f>IF($M1576="PADD I","PADD 1",IF($M1576="PADD II","PADD 2",IF($M1576="PADD III","PADD 3",IF($M1576="PADD IV","PADD 4",IF($M1576="PADD V","PADD 5","")))))</f>
        <v>PADD 3</v>
      </c>
      <c r="G1576" s="6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6" t="s">
        <v>573</v>
      </c>
      <c r="I1576" s="6" t="s">
        <v>574</v>
      </c>
      <c r="J1576" s="6" t="s">
        <v>394</v>
      </c>
      <c r="K1576" s="10">
        <v>0.2079</v>
      </c>
      <c r="L1576" s="10">
        <v>6.93</v>
      </c>
      <c r="M1576" s="6" t="s">
        <v>421</v>
      </c>
      <c r="N1576" s="6">
        <f>IF(OR($G1576="FCC",$G1576="Hydrocracker",$G1576="Reformer"),IF(COUNTIFS($D:$D,$D1576,$A:$A,$A1576,$B:$B,$B1576,$G:$G,"CDU",$J:$J,"PLANNED")&gt;0,"tied","standalone"),"")</f>
        <v/>
      </c>
    </row>
    <row r="1577" spans="1:14">
      <c r="A1577" s="6">
        <v>2023</v>
      </c>
      <c r="B1577" s="6">
        <v>6</v>
      </c>
      <c r="C1577" s="6" t="s">
        <v>65</v>
      </c>
      <c r="D1577" s="6" t="s">
        <v>383</v>
      </c>
      <c r="E1577" s="6" t="s">
        <v>602</v>
      </c>
      <c r="F1577" s="6" t="str">
        <f>IF($M1577="PADD I","PADD 1",IF($M1577="PADD II","PADD 2",IF($M1577="PADD III","PADD 3",IF($M1577="PADD IV","PADD 4",IF($M1577="PADD V","PADD 5","")))))</f>
        <v>PADD 3</v>
      </c>
      <c r="G1577" s="6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6" t="s">
        <v>618</v>
      </c>
      <c r="I1577" s="6" t="s">
        <v>673</v>
      </c>
      <c r="J1577" s="6" t="s">
        <v>394</v>
      </c>
      <c r="K1577" s="10">
        <v>0.18</v>
      </c>
      <c r="L1577" s="10">
        <v>6</v>
      </c>
      <c r="M1577" s="6" t="s">
        <v>421</v>
      </c>
      <c r="N1577" s="6">
        <f>IF(OR($G1577="FCC",$G1577="Hydrocracker",$G1577="Reformer"),IF(COUNTIFS($D:$D,$D1577,$A:$A,$A1577,$B:$B,$B1577,$G:$G,"CDU",$J:$J,"PLANNED")&gt;0,"tied","standalone"),"")</f>
        <v/>
      </c>
    </row>
    <row r="1578" spans="1:14">
      <c r="A1578" s="6">
        <v>2023</v>
      </c>
      <c r="B1578" s="6">
        <v>6</v>
      </c>
      <c r="C1578" s="6" t="s">
        <v>65</v>
      </c>
      <c r="D1578" s="6" t="s">
        <v>383</v>
      </c>
      <c r="E1578" s="6" t="s">
        <v>602</v>
      </c>
      <c r="F1578" s="6" t="str">
        <f>IF($M1578="PADD I","PADD 1",IF($M1578="PADD II","PADD 2",IF($M1578="PADD III","PADD 3",IF($M1578="PADD IV","PADD 4",IF($M1578="PADD V","PADD 5","")))))</f>
        <v>PADD 3</v>
      </c>
      <c r="G1578" s="6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6" t="s">
        <v>510</v>
      </c>
      <c r="I1578" s="6" t="s">
        <v>511</v>
      </c>
      <c r="J1578" s="6" t="s">
        <v>394</v>
      </c>
      <c r="K1578" s="10">
        <v>0.12</v>
      </c>
      <c r="L1578" s="10">
        <v>4</v>
      </c>
      <c r="M1578" s="6" t="s">
        <v>421</v>
      </c>
      <c r="N1578" s="6">
        <f>IF(OR($G1578="FCC",$G1578="Hydrocracker",$G1578="Reformer"),IF(COUNTIFS($D:$D,$D1578,$A:$A,$A1578,$B:$B,$B1578,$G:$G,"CDU",$J:$J,"PLANNED")&gt;0,"tied","standalone"),"")</f>
        <v/>
      </c>
    </row>
    <row r="1579" spans="1:14">
      <c r="A1579" s="6">
        <v>2023</v>
      </c>
      <c r="B1579" s="6">
        <v>7</v>
      </c>
      <c r="C1579" s="6" t="s">
        <v>66</v>
      </c>
      <c r="D1579" s="6" t="s">
        <v>461</v>
      </c>
      <c r="E1579" s="6" t="s">
        <v>419</v>
      </c>
      <c r="F1579" s="6" t="str">
        <f>IF($M1579="PADD I","PADD 1",IF($M1579="PADD II","PADD 2",IF($M1579="PADD III","PADD 3",IF($M1579="PADD IV","PADD 4",IF($M1579="PADD V","PADD 5","")))))</f>
        <v>PADD 1</v>
      </c>
      <c r="G1579" s="6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6" t="s">
        <v>426</v>
      </c>
      <c r="I1579" s="6" t="s">
        <v>106</v>
      </c>
      <c r="J1579" s="6" t="s">
        <v>394</v>
      </c>
      <c r="K1579" s="10">
        <v>87</v>
      </c>
      <c r="L1579" s="10">
        <v>150</v>
      </c>
      <c r="M1579" s="6" t="s">
        <v>463</v>
      </c>
      <c r="N1579" s="6" t="str">
        <f>IF(OR($G1579="FCC",$G1579="Hydrocracker",$G1579="Reformer"),IF(COUNTIFS($D:$D,$D1579,$A:$A,$A1579,$B:$B,$B1579,$G:$G,"CDU",$J:$J,"PLANNED")&gt;0,"tied","standalone"),"")</f>
        <v>standalone</v>
      </c>
    </row>
    <row r="1580" spans="1:14">
      <c r="A1580" s="6">
        <v>2023</v>
      </c>
      <c r="B1580" s="6">
        <v>7</v>
      </c>
      <c r="C1580" s="6" t="s">
        <v>66</v>
      </c>
      <c r="D1580" s="6" t="s">
        <v>437</v>
      </c>
      <c r="E1580" s="6" t="s">
        <v>438</v>
      </c>
      <c r="F1580" s="6" t="str">
        <f>IF($M1580="PADD I","PADD 1",IF($M1580="PADD II","PADD 2",IF($M1580="PADD III","PADD 3",IF($M1580="PADD IV","PADD 4",IF($M1580="PADD V","PADD 5","")))))</f>
        <v>PADD 3</v>
      </c>
      <c r="G1580" s="6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6" t="s">
        <v>471</v>
      </c>
      <c r="I1580" s="6" t="s">
        <v>493</v>
      </c>
      <c r="J1580" s="6" t="s">
        <v>394</v>
      </c>
      <c r="K1580" s="10">
        <v>77.5</v>
      </c>
      <c r="L1580" s="10">
        <v>77.5</v>
      </c>
      <c r="M1580" s="6" t="s">
        <v>421</v>
      </c>
      <c r="N1580" s="6" t="str">
        <f>IF(OR($G1580="FCC",$G1580="Hydrocracker",$G1580="Reformer"),IF(COUNTIFS($D:$D,$D1580,$A:$A,$A1580,$B:$B,$B1580,$G:$G,"CDU",$J:$J,"PLANNED")&gt;0,"tied","standalone"),"")</f>
        <v>standalone</v>
      </c>
    </row>
    <row r="1581" spans="1:14">
      <c r="A1581" s="6">
        <v>2023</v>
      </c>
      <c r="B1581" s="6">
        <v>7</v>
      </c>
      <c r="C1581" s="6" t="s">
        <v>66</v>
      </c>
      <c r="D1581" s="6" t="s">
        <v>901</v>
      </c>
      <c r="E1581" s="6" t="s">
        <v>902</v>
      </c>
      <c r="F1581" s="6" t="str">
        <f>IF($M1581="PADD I","PADD 1",IF($M1581="PADD II","PADD 2",IF($M1581="PADD III","PADD 3",IF($M1581="PADD IV","PADD 4",IF($M1581="PADD V","PADD 5","")))))</f>
        <v>PADD 3</v>
      </c>
      <c r="G1581" s="6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6" t="s">
        <v>39</v>
      </c>
      <c r="I1581" s="6" t="s">
        <v>904</v>
      </c>
      <c r="J1581" s="6" t="s">
        <v>394</v>
      </c>
      <c r="K1581" s="10">
        <v>73</v>
      </c>
      <c r="L1581" s="10">
        <v>73</v>
      </c>
      <c r="M1581" s="6" t="s">
        <v>421</v>
      </c>
      <c r="N1581" s="6">
        <f>IF(OR($G1581="FCC",$G1581="Hydrocracker",$G1581="Reformer"),IF(COUNTIFS($D:$D,$D1581,$A:$A,$A1581,$B:$B,$B1581,$G:$G,"CDU",$J:$J,"PLANNED")&gt;0,"tied","standalone"),"")</f>
        <v/>
      </c>
    </row>
    <row r="1582" spans="1:14">
      <c r="A1582" s="6">
        <v>2023</v>
      </c>
      <c r="B1582" s="6">
        <v>7</v>
      </c>
      <c r="C1582" s="6" t="s">
        <v>66</v>
      </c>
      <c r="D1582" s="6" t="s">
        <v>901</v>
      </c>
      <c r="E1582" s="6" t="s">
        <v>902</v>
      </c>
      <c r="F1582" s="6" t="str">
        <f>IF($M1582="PADD I","PADD 1",IF($M1582="PADD II","PADD 2",IF($M1582="PADD III","PADD 3",IF($M1582="PADD IV","PADD 4",IF($M1582="PADD V","PADD 5","")))))</f>
        <v>PADD 3</v>
      </c>
      <c r="G1582" s="6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6" t="s">
        <v>39</v>
      </c>
      <c r="I1582" s="6" t="s">
        <v>903</v>
      </c>
      <c r="J1582" s="6" t="s">
        <v>394</v>
      </c>
      <c r="K1582" s="10">
        <v>65</v>
      </c>
      <c r="L1582" s="10">
        <v>65</v>
      </c>
      <c r="M1582" s="6" t="s">
        <v>421</v>
      </c>
      <c r="N1582" s="6">
        <f>IF(OR($G1582="FCC",$G1582="Hydrocracker",$G1582="Reformer"),IF(COUNTIFS($D:$D,$D1582,$A:$A,$A1582,$B:$B,$B1582,$G:$G,"CDU",$J:$J,"PLANNED")&gt;0,"tied","standalone"),"")</f>
        <v/>
      </c>
    </row>
    <row r="1583" spans="1:14">
      <c r="A1583" s="6">
        <v>2023</v>
      </c>
      <c r="B1583" s="6">
        <v>7</v>
      </c>
      <c r="C1583" s="6" t="s">
        <v>66</v>
      </c>
      <c r="D1583" s="6" t="s">
        <v>901</v>
      </c>
      <c r="E1583" s="6" t="s">
        <v>902</v>
      </c>
      <c r="F1583" s="6" t="str">
        <f>IF($M1583="PADD I","PADD 1",IF($M1583="PADD II","PADD 2",IF($M1583="PADD III","PADD 3",IF($M1583="PADD IV","PADD 4",IF($M1583="PADD V","PADD 5","")))))</f>
        <v>PADD 3</v>
      </c>
      <c r="G1583" s="6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6" t="s">
        <v>39</v>
      </c>
      <c r="I1583" s="6" t="s">
        <v>904</v>
      </c>
      <c r="J1583" s="6" t="s">
        <v>394</v>
      </c>
      <c r="K1583" s="10">
        <v>65</v>
      </c>
      <c r="L1583" s="10">
        <v>65</v>
      </c>
      <c r="M1583" s="6" t="s">
        <v>421</v>
      </c>
      <c r="N1583" s="6">
        <f>IF(OR($G1583="FCC",$G1583="Hydrocracker",$G1583="Reformer"),IF(COUNTIFS($D:$D,$D1583,$A:$A,$A1583,$B:$B,$B1583,$G:$G,"CDU",$J:$J,"PLANNED")&gt;0,"tied","standalone"),"")</f>
        <v/>
      </c>
    </row>
    <row r="1584" spans="1:14">
      <c r="A1584" s="6">
        <v>2023</v>
      </c>
      <c r="B1584" s="6">
        <v>7</v>
      </c>
      <c r="C1584" s="6" t="s">
        <v>66</v>
      </c>
      <c r="D1584" s="6" t="s">
        <v>437</v>
      </c>
      <c r="E1584" s="6" t="s">
        <v>438</v>
      </c>
      <c r="F1584" s="6" t="str">
        <f>IF($M1584="PADD I","PADD 1",IF($M1584="PADD II","PADD 2",IF($M1584="PADD III","PADD 3",IF($M1584="PADD IV","PADD 4",IF($M1584="PADD V","PADD 5","")))))</f>
        <v>PADD 3</v>
      </c>
      <c r="G1584" s="6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6" t="s">
        <v>44</v>
      </c>
      <c r="I1584" s="6" t="s">
        <v>898</v>
      </c>
      <c r="J1584" s="6" t="s">
        <v>394</v>
      </c>
      <c r="K1584" s="10">
        <v>50</v>
      </c>
      <c r="L1584" s="10">
        <v>50</v>
      </c>
      <c r="M1584" s="6" t="s">
        <v>421</v>
      </c>
      <c r="N1584" s="6">
        <f>IF(OR($G1584="FCC",$G1584="Hydrocracker",$G1584="Reformer"),IF(COUNTIFS($D:$D,$D1584,$A:$A,$A1584,$B:$B,$B1584,$G:$G,"CDU",$J:$J,"PLANNED")&gt;0,"tied","standalone"),"")</f>
        <v/>
      </c>
    </row>
    <row r="1585" spans="1:14">
      <c r="A1585" s="6">
        <v>2023</v>
      </c>
      <c r="B1585" s="6">
        <v>7</v>
      </c>
      <c r="C1585" s="6" t="s">
        <v>66</v>
      </c>
      <c r="D1585" s="6" t="s">
        <v>465</v>
      </c>
      <c r="E1585" s="6" t="s">
        <v>466</v>
      </c>
      <c r="F1585" s="6" t="str">
        <f>IF($M1585="PADD I","PADD 1",IF($M1585="PADD II","PADD 2",IF($M1585="PADD III","PADD 3",IF($M1585="PADD IV","PADD 4",IF($M1585="PADD V","PADD 5","")))))</f>
        <v>PADD 3</v>
      </c>
      <c r="G1585" s="6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6" t="s">
        <v>428</v>
      </c>
      <c r="I1585" s="6" t="s">
        <v>467</v>
      </c>
      <c r="J1585" s="6" t="s">
        <v>394</v>
      </c>
      <c r="K1585" s="10">
        <v>50</v>
      </c>
      <c r="L1585" s="10">
        <v>50</v>
      </c>
      <c r="M1585" s="6" t="s">
        <v>421</v>
      </c>
      <c r="N1585" s="6">
        <f>IF(OR($G1585="FCC",$G1585="Hydrocracker",$G1585="Reformer"),IF(COUNTIFS($D:$D,$D1585,$A:$A,$A1585,$B:$B,$B1585,$G:$G,"CDU",$J:$J,"PLANNED")&gt;0,"tied","standalone"),"")</f>
        <v/>
      </c>
    </row>
    <row r="1586" spans="1:14">
      <c r="A1586" s="6">
        <v>2023</v>
      </c>
      <c r="B1586" s="6">
        <v>7</v>
      </c>
      <c r="C1586" s="6" t="s">
        <v>66</v>
      </c>
      <c r="D1586" s="6" t="s">
        <v>461</v>
      </c>
      <c r="E1586" s="6" t="s">
        <v>419</v>
      </c>
      <c r="F1586" s="6" t="str">
        <f>IF($M1586="PADD I","PADD 1",IF($M1586="PADD II","PADD 2",IF($M1586="PADD III","PADD 3",IF($M1586="PADD IV","PADD 4",IF($M1586="PADD V","PADD 5","")))))</f>
        <v>PADD 1</v>
      </c>
      <c r="G1586" s="6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6" t="s">
        <v>39</v>
      </c>
      <c r="I1586" s="6" t="s">
        <v>579</v>
      </c>
      <c r="J1586" s="6" t="s">
        <v>394</v>
      </c>
      <c r="K1586" s="10">
        <v>44.03</v>
      </c>
      <c r="L1586" s="10">
        <v>64.75</v>
      </c>
      <c r="M1586" s="6" t="s">
        <v>463</v>
      </c>
      <c r="N1586" s="6">
        <f>IF(OR($G1586="FCC",$G1586="Hydrocracker",$G1586="Reformer"),IF(COUNTIFS($D:$D,$D1586,$A:$A,$A1586,$B:$B,$B1586,$G:$G,"CDU",$J:$J,"PLANNED")&gt;0,"tied","standalone"),"")</f>
        <v/>
      </c>
    </row>
    <row r="1587" spans="1:14">
      <c r="A1587" s="6">
        <v>2023</v>
      </c>
      <c r="B1587" s="6">
        <v>7</v>
      </c>
      <c r="C1587" s="6" t="s">
        <v>66</v>
      </c>
      <c r="D1587" s="6" t="s">
        <v>461</v>
      </c>
      <c r="E1587" s="6" t="s">
        <v>419</v>
      </c>
      <c r="F1587" s="6" t="str">
        <f>IF($M1587="PADD I","PADD 1",IF($M1587="PADD II","PADD 2",IF($M1587="PADD III","PADD 3",IF($M1587="PADD IV","PADD 4",IF($M1587="PADD V","PADD 5","")))))</f>
        <v>PADD 1</v>
      </c>
      <c r="G1587" s="6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6" t="s">
        <v>39</v>
      </c>
      <c r="I1587" s="6" t="s">
        <v>462</v>
      </c>
      <c r="J1587" s="6" t="s">
        <v>394</v>
      </c>
      <c r="K1587" s="10">
        <v>43.86</v>
      </c>
      <c r="L1587" s="10">
        <v>64.5</v>
      </c>
      <c r="M1587" s="6" t="s">
        <v>463</v>
      </c>
      <c r="N1587" s="6">
        <f>IF(OR($G1587="FCC",$G1587="Hydrocracker",$G1587="Reformer"),IF(COUNTIFS($D:$D,$D1587,$A:$A,$A1587,$B:$B,$B1587,$G:$G,"CDU",$J:$J,"PLANNED")&gt;0,"tied","standalone"),"")</f>
        <v/>
      </c>
    </row>
    <row r="1588" spans="1:14">
      <c r="A1588" s="6">
        <v>2023</v>
      </c>
      <c r="B1588" s="6">
        <v>7</v>
      </c>
      <c r="C1588" s="6" t="s">
        <v>66</v>
      </c>
      <c r="D1588" s="6" t="s">
        <v>430</v>
      </c>
      <c r="E1588" s="6" t="s">
        <v>431</v>
      </c>
      <c r="F1588" s="6" t="str">
        <f>IF($M1588="PADD I","PADD 1",IF($M1588="PADD II","PADD 2",IF($M1588="PADD III","PADD 3",IF($M1588="PADD IV","PADD 4",IF($M1588="PADD V","PADD 5","")))))</f>
        <v>PADD 3</v>
      </c>
      <c r="G1588" s="6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6" t="s">
        <v>426</v>
      </c>
      <c r="I1588" s="6" t="s">
        <v>900</v>
      </c>
      <c r="J1588" s="6" t="s">
        <v>394</v>
      </c>
      <c r="K1588" s="10">
        <v>42.9</v>
      </c>
      <c r="L1588" s="10">
        <v>110</v>
      </c>
      <c r="M1588" s="6" t="s">
        <v>421</v>
      </c>
      <c r="N1588" s="6" t="str">
        <f>IF(OR($G1588="FCC",$G1588="Hydrocracker",$G1588="Reformer"),IF(COUNTIFS($D:$D,$D1588,$A:$A,$A1588,$B:$B,$B1588,$G:$G,"CDU",$J:$J,"PLANNED")&gt;0,"tied","standalone"),"")</f>
        <v>standalone</v>
      </c>
    </row>
    <row r="1589" spans="1:14">
      <c r="A1589" s="6">
        <v>2023</v>
      </c>
      <c r="B1589" s="6">
        <v>7</v>
      </c>
      <c r="C1589" s="6" t="s">
        <v>66</v>
      </c>
      <c r="D1589" s="6" t="s">
        <v>901</v>
      </c>
      <c r="E1589" s="6" t="s">
        <v>902</v>
      </c>
      <c r="F1589" s="6" t="str">
        <f>IF($M1589="PADD I","PADD 1",IF($M1589="PADD II","PADD 2",IF($M1589="PADD III","PADD 3",IF($M1589="PADD IV","PADD 4",IF($M1589="PADD V","PADD 5","")))))</f>
        <v>PADD 3</v>
      </c>
      <c r="G1589" s="6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6" t="s">
        <v>428</v>
      </c>
      <c r="I1589" s="6" t="s">
        <v>910</v>
      </c>
      <c r="J1589" s="6" t="s">
        <v>394</v>
      </c>
      <c r="K1589" s="10">
        <v>36</v>
      </c>
      <c r="L1589" s="10">
        <v>36</v>
      </c>
      <c r="M1589" s="6" t="s">
        <v>421</v>
      </c>
      <c r="N1589" s="6">
        <f>IF(OR($G1589="FCC",$G1589="Hydrocracker",$G1589="Reformer"),IF(COUNTIFS($D:$D,$D1589,$A:$A,$A1589,$B:$B,$B1589,$G:$G,"CDU",$J:$J,"PLANNED")&gt;0,"tied","standalone"),"")</f>
        <v/>
      </c>
    </row>
    <row r="1590" spans="1:14">
      <c r="A1590" s="6">
        <v>2023</v>
      </c>
      <c r="B1590" s="6">
        <v>7</v>
      </c>
      <c r="C1590" s="6" t="s">
        <v>66</v>
      </c>
      <c r="D1590" s="6" t="s">
        <v>496</v>
      </c>
      <c r="E1590" s="6" t="s">
        <v>441</v>
      </c>
      <c r="F1590" s="6" t="str">
        <f>IF($M1590="PADD I","PADD 1",IF($M1590="PADD II","PADD 2",IF($M1590="PADD III","PADD 3",IF($M1590="PADD IV","PADD 4",IF($M1590="PADD V","PADD 5","")))))</f>
        <v>PADD 3</v>
      </c>
      <c r="G1590" s="6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6" t="s">
        <v>44</v>
      </c>
      <c r="I1590" s="6" t="s">
        <v>497</v>
      </c>
      <c r="J1590" s="6" t="s">
        <v>398</v>
      </c>
      <c r="K1590" s="10">
        <v>35</v>
      </c>
      <c r="L1590" s="10">
        <v>35</v>
      </c>
      <c r="M1590" s="6" t="s">
        <v>421</v>
      </c>
      <c r="N1590" s="6">
        <f>IF(OR($G1590="FCC",$G1590="Hydrocracker",$G1590="Reformer"),IF(COUNTIFS($D:$D,$D1590,$A:$A,$A1590,$B:$B,$B1590,$G:$G,"CDU",$J:$J,"PLANNED")&gt;0,"tied","standalone"),"")</f>
        <v/>
      </c>
    </row>
    <row r="1591" spans="1:14">
      <c r="A1591" s="6">
        <v>2023</v>
      </c>
      <c r="B1591" s="6">
        <v>7</v>
      </c>
      <c r="C1591" s="6" t="s">
        <v>66</v>
      </c>
      <c r="D1591" s="6" t="s">
        <v>498</v>
      </c>
      <c r="E1591" s="6" t="s">
        <v>441</v>
      </c>
      <c r="F1591" s="6" t="str">
        <f>IF($M1591="PADD I","PADD 1",IF($M1591="PADD II","PADD 2",IF($M1591="PADD III","PADD 3",IF($M1591="PADD IV","PADD 4",IF($M1591="PADD V","PADD 5","")))))</f>
        <v>PADD 3</v>
      </c>
      <c r="G1591" s="6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6" t="s">
        <v>44</v>
      </c>
      <c r="I1591" s="6" t="s">
        <v>499</v>
      </c>
      <c r="J1591" s="6" t="s">
        <v>394</v>
      </c>
      <c r="K1591" s="10">
        <v>35</v>
      </c>
      <c r="L1591" s="10">
        <v>35</v>
      </c>
      <c r="M1591" s="6" t="s">
        <v>421</v>
      </c>
      <c r="N1591" s="6">
        <f>IF(OR($G1591="FCC",$G1591="Hydrocracker",$G1591="Reformer"),IF(COUNTIFS($D:$D,$D1591,$A:$A,$A1591,$B:$B,$B1591,$G:$G,"CDU",$J:$J,"PLANNED")&gt;0,"tied","standalone"),"")</f>
        <v/>
      </c>
    </row>
    <row r="1592" spans="1:14">
      <c r="A1592" s="6">
        <v>2023</v>
      </c>
      <c r="B1592" s="6">
        <v>7</v>
      </c>
      <c r="C1592" s="6" t="s">
        <v>66</v>
      </c>
      <c r="D1592" s="6" t="s">
        <v>445</v>
      </c>
      <c r="E1592" s="6" t="s">
        <v>446</v>
      </c>
      <c r="F1592" s="6" t="str">
        <f>IF($M1592="PADD I","PADD 1",IF($M1592="PADD II","PADD 2",IF($M1592="PADD III","PADD 3",IF($M1592="PADD IV","PADD 4",IF($M1592="PADD V","PADD 5","")))))</f>
        <v>PADD 3</v>
      </c>
      <c r="G1592" s="6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6" t="s">
        <v>428</v>
      </c>
      <c r="I1592" s="6" t="s">
        <v>625</v>
      </c>
      <c r="J1592" s="6" t="s">
        <v>394</v>
      </c>
      <c r="K1592" s="10">
        <v>35</v>
      </c>
      <c r="L1592" s="10">
        <v>35</v>
      </c>
      <c r="M1592" s="6" t="s">
        <v>421</v>
      </c>
      <c r="N1592" s="6">
        <f>IF(OR($G1592="FCC",$G1592="Hydrocracker",$G1592="Reformer"),IF(COUNTIFS($D:$D,$D1592,$A:$A,$A1592,$B:$B,$B1592,$G:$G,"CDU",$J:$J,"PLANNED")&gt;0,"tied","standalone"),"")</f>
        <v/>
      </c>
    </row>
    <row r="1593" spans="1:14">
      <c r="A1593" s="6">
        <v>2023</v>
      </c>
      <c r="B1593" s="6">
        <v>7</v>
      </c>
      <c r="C1593" s="6" t="s">
        <v>66</v>
      </c>
      <c r="D1593" s="6" t="s">
        <v>465</v>
      </c>
      <c r="E1593" s="6" t="s">
        <v>466</v>
      </c>
      <c r="F1593" s="6" t="str">
        <f>IF($M1593="PADD I","PADD 1",IF($M1593="PADD II","PADD 2",IF($M1593="PADD III","PADD 3",IF($M1593="PADD IV","PADD 4",IF($M1593="PADD V","PADD 5","")))))</f>
        <v>PADD 3</v>
      </c>
      <c r="G1593" s="6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6" t="s">
        <v>485</v>
      </c>
      <c r="I1593" s="6" t="s">
        <v>503</v>
      </c>
      <c r="J1593" s="6" t="s">
        <v>394</v>
      </c>
      <c r="K1593" s="10">
        <v>34</v>
      </c>
      <c r="L1593" s="10">
        <v>34</v>
      </c>
      <c r="M1593" s="6" t="s">
        <v>421</v>
      </c>
      <c r="N1593" s="6">
        <f>IF(OR($G1593="FCC",$G1593="Hydrocracker",$G1593="Reformer"),IF(COUNTIFS($D:$D,$D1593,$A:$A,$A1593,$B:$B,$B1593,$G:$G,"CDU",$J:$J,"PLANNED")&gt;0,"tied","standalone"),"")</f>
        <v/>
      </c>
    </row>
    <row r="1594" spans="1:14">
      <c r="A1594" s="6">
        <v>2023</v>
      </c>
      <c r="B1594" s="6">
        <v>7</v>
      </c>
      <c r="C1594" s="6" t="s">
        <v>66</v>
      </c>
      <c r="D1594" s="6" t="s">
        <v>465</v>
      </c>
      <c r="E1594" s="6" t="s">
        <v>466</v>
      </c>
      <c r="F1594" s="6" t="str">
        <f>IF($M1594="PADD I","PADD 1",IF($M1594="PADD II","PADD 2",IF($M1594="PADD III","PADD 3",IF($M1594="PADD IV","PADD 4",IF($M1594="PADD V","PADD 5","")))))</f>
        <v>PADD 3</v>
      </c>
      <c r="G1594" s="6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6" t="s">
        <v>485</v>
      </c>
      <c r="I1594" s="6" t="s">
        <v>503</v>
      </c>
      <c r="J1594" s="6" t="s">
        <v>394</v>
      </c>
      <c r="K1594" s="10">
        <v>34</v>
      </c>
      <c r="L1594" s="10">
        <v>34</v>
      </c>
      <c r="M1594" s="6" t="s">
        <v>421</v>
      </c>
      <c r="N1594" s="6">
        <f>IF(OR($G1594="FCC",$G1594="Hydrocracker",$G1594="Reformer"),IF(COUNTIFS($D:$D,$D1594,$A:$A,$A1594,$B:$B,$B1594,$G:$G,"CDU",$J:$J,"PLANNED")&gt;0,"tied","standalone"),"")</f>
        <v/>
      </c>
    </row>
    <row r="1595" spans="1:14">
      <c r="A1595" s="6">
        <v>2023</v>
      </c>
      <c r="B1595" s="6">
        <v>7</v>
      </c>
      <c r="C1595" s="6" t="s">
        <v>66</v>
      </c>
      <c r="D1595" s="6" t="s">
        <v>380</v>
      </c>
      <c r="E1595" s="6" t="s">
        <v>423</v>
      </c>
      <c r="F1595" s="6" t="str">
        <f>IF($M1595="PADD I","PADD 1",IF($M1595="PADD II","PADD 2",IF($M1595="PADD III","PADD 3",IF($M1595="PADD IV","PADD 4",IF($M1595="PADD V","PADD 5","")))))</f>
        <v>PADD 2</v>
      </c>
      <c r="G1595" s="6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6" t="s">
        <v>39</v>
      </c>
      <c r="I1595" s="6" t="s">
        <v>381</v>
      </c>
      <c r="J1595" s="6" t="s">
        <v>394</v>
      </c>
      <c r="K1595" s="10">
        <v>32.68</v>
      </c>
      <c r="L1595" s="10">
        <v>172</v>
      </c>
      <c r="M1595" s="6" t="s">
        <v>425</v>
      </c>
      <c r="N1595" s="6">
        <f>IF(OR($G1595="FCC",$G1595="Hydrocracker",$G1595="Reformer"),IF(COUNTIFS($D:$D,$D1595,$A:$A,$A1595,$B:$B,$B1595,$G:$G,"CDU",$J:$J,"PLANNED")&gt;0,"tied","standalone"),"")</f>
        <v/>
      </c>
    </row>
    <row r="1596" spans="1:14">
      <c r="A1596" s="6">
        <v>2023</v>
      </c>
      <c r="B1596" s="6">
        <v>7</v>
      </c>
      <c r="C1596" s="6" t="s">
        <v>66</v>
      </c>
      <c r="D1596" s="6" t="s">
        <v>461</v>
      </c>
      <c r="E1596" s="6" t="s">
        <v>419</v>
      </c>
      <c r="F1596" s="6" t="str">
        <f>IF($M1596="PADD I","PADD 1",IF($M1596="PADD II","PADD 2",IF($M1596="PADD III","PADD 3",IF($M1596="PADD IV","PADD 4",IF($M1596="PADD V","PADD 5","")))))</f>
        <v>PADD 1</v>
      </c>
      <c r="G1596" s="6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6" t="s">
        <v>44</v>
      </c>
      <c r="I1596" s="6" t="s">
        <v>508</v>
      </c>
      <c r="J1596" s="6" t="s">
        <v>394</v>
      </c>
      <c r="K1596" s="10">
        <v>28.9</v>
      </c>
      <c r="L1596" s="10">
        <v>42.5</v>
      </c>
      <c r="M1596" s="6" t="s">
        <v>463</v>
      </c>
      <c r="N1596" s="6">
        <f>IF(OR($G1596="FCC",$G1596="Hydrocracker",$G1596="Reformer"),IF(COUNTIFS($D:$D,$D1596,$A:$A,$A1596,$B:$B,$B1596,$G:$G,"CDU",$J:$J,"PLANNED")&gt;0,"tied","standalone"),"")</f>
        <v/>
      </c>
    </row>
    <row r="1597" spans="1:14">
      <c r="A1597" s="6">
        <v>2023</v>
      </c>
      <c r="B1597" s="6">
        <v>7</v>
      </c>
      <c r="C1597" s="6" t="s">
        <v>66</v>
      </c>
      <c r="D1597" s="6" t="s">
        <v>54</v>
      </c>
      <c r="E1597" s="6" t="s">
        <v>593</v>
      </c>
      <c r="F1597" s="6" t="str">
        <f>IF($M1597="PADD I","PADD 1",IF($M1597="PADD II","PADD 2",IF($M1597="PADD III","PADD 3",IF($M1597="PADD IV","PADD 4",IF($M1597="PADD V","PADD 5","")))))</f>
        <v>PADD 5</v>
      </c>
      <c r="G1597" s="6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6" t="s">
        <v>494</v>
      </c>
      <c r="I1597" s="6" t="s">
        <v>14</v>
      </c>
      <c r="J1597" s="6" t="s">
        <v>394</v>
      </c>
      <c r="K1597" s="10">
        <v>28.6</v>
      </c>
      <c r="L1597" s="10">
        <v>55</v>
      </c>
      <c r="M1597" s="6" t="s">
        <v>436</v>
      </c>
      <c r="N1597" s="6" t="str">
        <f>IF(OR($G1597="FCC",$G1597="Hydrocracker",$G1597="Reformer"),IF(COUNTIFS($D:$D,$D1597,$A:$A,$A1597,$B:$B,$B1597,$G:$G,"CDU",$J:$J,"PLANNED")&gt;0,"tied","standalone"),"")</f>
        <v>standalone</v>
      </c>
    </row>
    <row r="1598" spans="1:14">
      <c r="A1598" s="6">
        <v>2023</v>
      </c>
      <c r="B1598" s="6">
        <v>7</v>
      </c>
      <c r="C1598" s="6" t="s">
        <v>66</v>
      </c>
      <c r="D1598" s="6" t="s">
        <v>550</v>
      </c>
      <c r="E1598" s="6" t="s">
        <v>438</v>
      </c>
      <c r="F1598" s="6" t="str">
        <f>IF($M1598="PADD I","PADD 1",IF($M1598="PADD II","PADD 2",IF($M1598="PADD III","PADD 3",IF($M1598="PADD IV","PADD 4",IF($M1598="PADD V","PADD 5","")))))</f>
        <v>PADD 2</v>
      </c>
      <c r="G1598" s="6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6" t="s">
        <v>39</v>
      </c>
      <c r="I1598" s="6" t="s">
        <v>580</v>
      </c>
      <c r="J1598" s="6" t="s">
        <v>398</v>
      </c>
      <c r="K1598" s="10">
        <v>26.68</v>
      </c>
      <c r="L1598" s="10">
        <v>92</v>
      </c>
      <c r="M1598" s="6" t="s">
        <v>425</v>
      </c>
      <c r="N1598" s="6">
        <f>IF(OR($G1598="FCC",$G1598="Hydrocracker",$G1598="Reformer"),IF(COUNTIFS($D:$D,$D1598,$A:$A,$A1598,$B:$B,$B1598,$G:$G,"CDU",$J:$J,"PLANNED")&gt;0,"tied","standalone"),"")</f>
        <v/>
      </c>
    </row>
    <row r="1599" spans="1:14">
      <c r="A1599" s="6">
        <v>2023</v>
      </c>
      <c r="B1599" s="6">
        <v>7</v>
      </c>
      <c r="C1599" s="6" t="s">
        <v>66</v>
      </c>
      <c r="D1599" s="6" t="s">
        <v>461</v>
      </c>
      <c r="E1599" s="6" t="s">
        <v>419</v>
      </c>
      <c r="F1599" s="6" t="str">
        <f>IF($M1599="PADD I","PADD 1",IF($M1599="PADD II","PADD 2",IF($M1599="PADD III","PADD 3",IF($M1599="PADD IV","PADD 4",IF($M1599="PADD V","PADD 5","")))))</f>
        <v>PADD 1</v>
      </c>
      <c r="G1599" s="6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6" t="s">
        <v>428</v>
      </c>
      <c r="I1599" s="6" t="s">
        <v>481</v>
      </c>
      <c r="J1599" s="6" t="s">
        <v>394</v>
      </c>
      <c r="K1599" s="10">
        <v>25.5</v>
      </c>
      <c r="L1599" s="10">
        <v>37.5</v>
      </c>
      <c r="M1599" s="6" t="s">
        <v>463</v>
      </c>
      <c r="N1599" s="6">
        <f>IF(OR($G1599="FCC",$G1599="Hydrocracker",$G1599="Reformer"),IF(COUNTIFS($D:$D,$D1599,$A:$A,$A1599,$B:$B,$B1599,$G:$G,"CDU",$J:$J,"PLANNED")&gt;0,"tied","standalone"),"")</f>
        <v/>
      </c>
    </row>
    <row r="1600" spans="1:14">
      <c r="A1600" s="6">
        <v>2023</v>
      </c>
      <c r="B1600" s="6">
        <v>7</v>
      </c>
      <c r="C1600" s="6" t="s">
        <v>66</v>
      </c>
      <c r="D1600" s="6" t="s">
        <v>470</v>
      </c>
      <c r="E1600" s="6" t="s">
        <v>423</v>
      </c>
      <c r="F1600" s="6" t="str">
        <f>IF($M1600="PADD I","PADD 1",IF($M1600="PADD II","PADD 2",IF($M1600="PADD III","PADD 3",IF($M1600="PADD IV","PADD 4",IF($M1600="PADD V","PADD 5","")))))</f>
        <v>PADD 2</v>
      </c>
      <c r="G1600" s="6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6" t="s">
        <v>39</v>
      </c>
      <c r="I1600" s="6" t="s">
        <v>82</v>
      </c>
      <c r="J1600" s="6" t="s">
        <v>394</v>
      </c>
      <c r="K1600" s="10">
        <v>24.5</v>
      </c>
      <c r="L1600" s="10">
        <v>24.5</v>
      </c>
      <c r="M1600" s="6" t="s">
        <v>425</v>
      </c>
      <c r="N1600" s="6">
        <f>IF(OR($G1600="FCC",$G1600="Hydrocracker",$G1600="Reformer"),IF(COUNTIFS($D:$D,$D1600,$A:$A,$A1600,$B:$B,$B1600,$G:$G,"CDU",$J:$J,"PLANNED")&gt;0,"tied","standalone"),"")</f>
        <v/>
      </c>
    </row>
    <row r="1601" spans="1:14">
      <c r="A1601" s="6">
        <v>2023</v>
      </c>
      <c r="B1601" s="6">
        <v>7</v>
      </c>
      <c r="C1601" s="6" t="s">
        <v>66</v>
      </c>
      <c r="D1601" s="6" t="s">
        <v>437</v>
      </c>
      <c r="E1601" s="6" t="s">
        <v>438</v>
      </c>
      <c r="F1601" s="6" t="str">
        <f>IF($M1601="PADD I","PADD 1",IF($M1601="PADD II","PADD 2",IF($M1601="PADD III","PADD 3",IF($M1601="PADD IV","PADD 4",IF($M1601="PADD V","PADD 5","")))))</f>
        <v>PADD 3</v>
      </c>
      <c r="G1601" s="6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6" t="s">
        <v>426</v>
      </c>
      <c r="I1601" s="6" t="s">
        <v>522</v>
      </c>
      <c r="J1601" s="6" t="s">
        <v>394</v>
      </c>
      <c r="K1601" s="10">
        <v>22.4</v>
      </c>
      <c r="L1601" s="10">
        <v>140</v>
      </c>
      <c r="M1601" s="6" t="s">
        <v>421</v>
      </c>
      <c r="N1601" s="6" t="str">
        <f>IF(OR($G1601="FCC",$G1601="Hydrocracker",$G1601="Reformer"),IF(COUNTIFS($D:$D,$D1601,$A:$A,$A1601,$B:$B,$B1601,$G:$G,"CDU",$J:$J,"PLANNED")&gt;0,"tied","standalone"),"")</f>
        <v>standalone</v>
      </c>
    </row>
    <row r="1602" spans="1:14">
      <c r="A1602" s="6">
        <v>2023</v>
      </c>
      <c r="B1602" s="6">
        <v>7</v>
      </c>
      <c r="C1602" s="6" t="s">
        <v>66</v>
      </c>
      <c r="D1602" s="6" t="s">
        <v>470</v>
      </c>
      <c r="E1602" s="6" t="s">
        <v>423</v>
      </c>
      <c r="F1602" s="6" t="str">
        <f>IF($M1602="PADD I","PADD 1",IF($M1602="PADD II","PADD 2",IF($M1602="PADD III","PADD 3",IF($M1602="PADD IV","PADD 4",IF($M1602="PADD V","PADD 5","")))))</f>
        <v>PADD 2</v>
      </c>
      <c r="G1602" s="6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6" t="s">
        <v>428</v>
      </c>
      <c r="I1602" s="6" t="s">
        <v>481</v>
      </c>
      <c r="J1602" s="6" t="s">
        <v>394</v>
      </c>
      <c r="K1602" s="10">
        <v>20.5</v>
      </c>
      <c r="L1602" s="10">
        <v>20.5</v>
      </c>
      <c r="M1602" s="6" t="s">
        <v>425</v>
      </c>
      <c r="N1602" s="6">
        <f>IF(OR($G1602="FCC",$G1602="Hydrocracker",$G1602="Reformer"),IF(COUNTIFS($D:$D,$D1602,$A:$A,$A1602,$B:$B,$B1602,$G:$G,"CDU",$J:$J,"PLANNED")&gt;0,"tied","standalone"),"")</f>
        <v/>
      </c>
    </row>
    <row r="1603" spans="1:14">
      <c r="A1603" s="6">
        <v>2023</v>
      </c>
      <c r="B1603" s="6">
        <v>7</v>
      </c>
      <c r="C1603" s="6" t="s">
        <v>66</v>
      </c>
      <c r="D1603" s="6" t="s">
        <v>546</v>
      </c>
      <c r="E1603" s="6" t="s">
        <v>438</v>
      </c>
      <c r="F1603" s="6" t="str">
        <f>IF($M1603="PADD I","PADD 1",IF($M1603="PADD II","PADD 2",IF($M1603="PADD III","PADD 3",IF($M1603="PADD IV","PADD 4",IF($M1603="PADD V","PADD 5","")))))</f>
        <v>PADD 2</v>
      </c>
      <c r="G1603" s="6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6" t="s">
        <v>39</v>
      </c>
      <c r="I1603" s="6" t="s">
        <v>82</v>
      </c>
      <c r="J1603" s="6" t="s">
        <v>398</v>
      </c>
      <c r="K1603" s="10">
        <v>20</v>
      </c>
      <c r="L1603" s="10">
        <v>20</v>
      </c>
      <c r="M1603" s="6" t="s">
        <v>425</v>
      </c>
      <c r="N1603" s="6">
        <f>IF(OR($G1603="FCC",$G1603="Hydrocracker",$G1603="Reformer"),IF(COUNTIFS($D:$D,$D1603,$A:$A,$A1603,$B:$B,$B1603,$G:$G,"CDU",$J:$J,"PLANNED")&gt;0,"tied","standalone"),"")</f>
        <v/>
      </c>
    </row>
    <row r="1604" spans="1:14">
      <c r="A1604" s="6">
        <v>2023</v>
      </c>
      <c r="B1604" s="6">
        <v>7</v>
      </c>
      <c r="C1604" s="6" t="s">
        <v>66</v>
      </c>
      <c r="D1604" s="6" t="s">
        <v>720</v>
      </c>
      <c r="E1604" s="6" t="s">
        <v>455</v>
      </c>
      <c r="F1604" s="6" t="str">
        <f>IF($M1604="PADD I","PADD 1",IF($M1604="PADD II","PADD 2",IF($M1604="PADD III","PADD 3",IF($M1604="PADD IV","PADD 4",IF($M1604="PADD V","PADD 5","")))))</f>
        <v>PADD 2</v>
      </c>
      <c r="G1604" s="6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6" t="s">
        <v>39</v>
      </c>
      <c r="I1604" s="6" t="s">
        <v>108</v>
      </c>
      <c r="J1604" s="6" t="s">
        <v>394</v>
      </c>
      <c r="K1604" s="10">
        <v>19.95</v>
      </c>
      <c r="L1604" s="10">
        <v>105</v>
      </c>
      <c r="M1604" s="6" t="s">
        <v>425</v>
      </c>
      <c r="N1604" s="6">
        <f>IF(OR($G1604="FCC",$G1604="Hydrocracker",$G1604="Reformer"),IF(COUNTIFS($D:$D,$D1604,$A:$A,$A1604,$B:$B,$B1604,$G:$G,"CDU",$J:$J,"PLANNED")&gt;0,"tied","standalone"),"")</f>
        <v/>
      </c>
    </row>
    <row r="1605" spans="1:14">
      <c r="A1605" s="6">
        <v>2023</v>
      </c>
      <c r="B1605" s="6">
        <v>7</v>
      </c>
      <c r="C1605" s="6" t="s">
        <v>66</v>
      </c>
      <c r="D1605" s="6" t="s">
        <v>461</v>
      </c>
      <c r="E1605" s="6" t="s">
        <v>419</v>
      </c>
      <c r="F1605" s="6" t="str">
        <f>IF($M1605="PADD I","PADD 1",IF($M1605="PADD II","PADD 2",IF($M1605="PADD III","PADD 3",IF($M1605="PADD IV","PADD 4",IF($M1605="PADD V","PADD 5","")))))</f>
        <v>PADD 1</v>
      </c>
      <c r="G1605" s="6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6" t="s">
        <v>44</v>
      </c>
      <c r="I1605" s="6" t="s">
        <v>538</v>
      </c>
      <c r="J1605" s="6" t="s">
        <v>394</v>
      </c>
      <c r="K1605" s="10">
        <v>18.36</v>
      </c>
      <c r="L1605" s="10">
        <v>27</v>
      </c>
      <c r="M1605" s="6" t="s">
        <v>463</v>
      </c>
      <c r="N1605" s="6">
        <f>IF(OR($G1605="FCC",$G1605="Hydrocracker",$G1605="Reformer"),IF(COUNTIFS($D:$D,$D1605,$A:$A,$A1605,$B:$B,$B1605,$G:$G,"CDU",$J:$J,"PLANNED")&gt;0,"tied","standalone"),"")</f>
        <v/>
      </c>
    </row>
    <row r="1606" spans="1:14">
      <c r="A1606" s="6">
        <v>2023</v>
      </c>
      <c r="B1606" s="6">
        <v>7</v>
      </c>
      <c r="C1606" s="6" t="s">
        <v>66</v>
      </c>
      <c r="D1606" s="6" t="s">
        <v>384</v>
      </c>
      <c r="E1606" s="6" t="s">
        <v>419</v>
      </c>
      <c r="F1606" s="6" t="str">
        <f>IF($M1606="PADD I","PADD 1",IF($M1606="PADD II","PADD 2",IF($M1606="PADD III","PADD 3",IF($M1606="PADD IV","PADD 4",IF($M1606="PADD V","PADD 5","")))))</f>
        <v>PADD 3</v>
      </c>
      <c r="G1606" s="6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6" t="s">
        <v>426</v>
      </c>
      <c r="I1606" s="6" t="s">
        <v>522</v>
      </c>
      <c r="J1606" s="6" t="s">
        <v>394</v>
      </c>
      <c r="K1606" s="10">
        <v>16.5</v>
      </c>
      <c r="L1606" s="10">
        <v>30</v>
      </c>
      <c r="M1606" s="6" t="s">
        <v>421</v>
      </c>
      <c r="N1606" s="6" t="str">
        <f>IF(OR($G1606="FCC",$G1606="Hydrocracker",$G1606="Reformer"),IF(COUNTIFS($D:$D,$D1606,$A:$A,$A1606,$B:$B,$B1606,$G:$G,"CDU",$J:$J,"PLANNED")&gt;0,"tied","standalone"),"")</f>
        <v>standalone</v>
      </c>
    </row>
    <row r="1607" spans="1:14">
      <c r="A1607" s="6">
        <v>2023</v>
      </c>
      <c r="B1607" s="6">
        <v>7</v>
      </c>
      <c r="C1607" s="6" t="s">
        <v>66</v>
      </c>
      <c r="D1607" s="6" t="s">
        <v>695</v>
      </c>
      <c r="E1607" s="6" t="s">
        <v>438</v>
      </c>
      <c r="F1607" s="6" t="str">
        <f>IF($M1607="PADD I","PADD 1",IF($M1607="PADD II","PADD 2",IF($M1607="PADD III","PADD 3",IF($M1607="PADD IV","PADD 4",IF($M1607="PADD V","PADD 5","")))))</f>
        <v>PADD 3</v>
      </c>
      <c r="G1607" s="6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6" t="s">
        <v>44</v>
      </c>
      <c r="I1607" s="6" t="s">
        <v>499</v>
      </c>
      <c r="J1607" s="6" t="s">
        <v>394</v>
      </c>
      <c r="K1607" s="10">
        <v>15.2</v>
      </c>
      <c r="L1607" s="10">
        <v>80</v>
      </c>
      <c r="M1607" s="6" t="s">
        <v>421</v>
      </c>
      <c r="N1607" s="6">
        <f>IF(OR($G1607="FCC",$G1607="Hydrocracker",$G1607="Reformer"),IF(COUNTIFS($D:$D,$D1607,$A:$A,$A1607,$B:$B,$B1607,$G:$G,"CDU",$J:$J,"PLANNED")&gt;0,"tied","standalone"),"")</f>
        <v/>
      </c>
    </row>
    <row r="1608" spans="1:14">
      <c r="A1608" s="6">
        <v>2023</v>
      </c>
      <c r="B1608" s="6">
        <v>7</v>
      </c>
      <c r="C1608" s="6" t="s">
        <v>66</v>
      </c>
      <c r="D1608" s="6" t="s">
        <v>592</v>
      </c>
      <c r="E1608" s="6" t="s">
        <v>593</v>
      </c>
      <c r="F1608" s="6" t="str">
        <f>IF($M1608="PADD I","PADD 1",IF($M1608="PADD II","PADD 2",IF($M1608="PADD III","PADD 3",IF($M1608="PADD IV","PADD 4",IF($M1608="PADD V","PADD 5","")))))</f>
        <v>PADD 2</v>
      </c>
      <c r="G1608" s="6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6" t="s">
        <v>39</v>
      </c>
      <c r="I1608" s="6" t="s">
        <v>924</v>
      </c>
      <c r="J1608" s="6" t="s">
        <v>394</v>
      </c>
      <c r="K1608" s="10">
        <v>15</v>
      </c>
      <c r="L1608" s="10">
        <v>250</v>
      </c>
      <c r="M1608" s="6" t="s">
        <v>425</v>
      </c>
      <c r="N1608" s="6">
        <f>IF(OR($G1608="FCC",$G1608="Hydrocracker",$G1608="Reformer"),IF(COUNTIFS($D:$D,$D1608,$A:$A,$A1608,$B:$B,$B1608,$G:$G,"CDU",$J:$J,"PLANNED")&gt;0,"tied","standalone"),"")</f>
        <v/>
      </c>
    </row>
    <row r="1609" spans="1:14">
      <c r="A1609" s="6">
        <v>2023</v>
      </c>
      <c r="B1609" s="6">
        <v>7</v>
      </c>
      <c r="C1609" s="6" t="s">
        <v>66</v>
      </c>
      <c r="D1609" s="6" t="s">
        <v>382</v>
      </c>
      <c r="E1609" s="6" t="s">
        <v>431</v>
      </c>
      <c r="F1609" s="6" t="str">
        <f>IF($M1609="PADD I","PADD 1",IF($M1609="PADD II","PADD 2",IF($M1609="PADD III","PADD 3",IF($M1609="PADD IV","PADD 4",IF($M1609="PADD V","PADD 5","")))))</f>
        <v>PADD 3</v>
      </c>
      <c r="G1609" s="6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6" t="s">
        <v>39</v>
      </c>
      <c r="I1609" s="6" t="s">
        <v>729</v>
      </c>
      <c r="J1609" s="6" t="s">
        <v>394</v>
      </c>
      <c r="K1609" s="10">
        <v>15</v>
      </c>
      <c r="L1609" s="10">
        <v>250</v>
      </c>
      <c r="M1609" s="6" t="s">
        <v>421</v>
      </c>
      <c r="N1609" s="6">
        <f>IF(OR($G1609="FCC",$G1609="Hydrocracker",$G1609="Reformer"),IF(COUNTIFS($D:$D,$D1609,$A:$A,$A1609,$B:$B,$B1609,$G:$G,"CDU",$J:$J,"PLANNED")&gt;0,"tied","standalone"),"")</f>
        <v/>
      </c>
    </row>
    <row r="1610" spans="1:14">
      <c r="A1610" s="6">
        <v>2023</v>
      </c>
      <c r="B1610" s="6">
        <v>7</v>
      </c>
      <c r="C1610" s="6" t="s">
        <v>66</v>
      </c>
      <c r="D1610" s="6" t="s">
        <v>470</v>
      </c>
      <c r="E1610" s="6" t="s">
        <v>423</v>
      </c>
      <c r="F1610" s="6" t="str">
        <f>IF($M1610="PADD I","PADD 1",IF($M1610="PADD II","PADD 2",IF($M1610="PADD III","PADD 3",IF($M1610="PADD IV","PADD 4",IF($M1610="PADD V","PADD 5","")))))</f>
        <v>PADD 2</v>
      </c>
      <c r="G1610" s="6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6" t="s">
        <v>426</v>
      </c>
      <c r="I1610" s="6" t="s">
        <v>106</v>
      </c>
      <c r="J1610" s="6" t="s">
        <v>394</v>
      </c>
      <c r="K1610" s="10">
        <v>13</v>
      </c>
      <c r="L1610" s="10">
        <v>13</v>
      </c>
      <c r="M1610" s="6" t="s">
        <v>425</v>
      </c>
      <c r="N1610" s="6" t="str">
        <f>IF(OR($G1610="FCC",$G1610="Hydrocracker",$G1610="Reformer"),IF(COUNTIFS($D:$D,$D1610,$A:$A,$A1610,$B:$B,$B1610,$G:$G,"CDU",$J:$J,"PLANNED")&gt;0,"tied","standalone"),"")</f>
        <v>standalone</v>
      </c>
    </row>
    <row r="1611" spans="1:14">
      <c r="A1611" s="6">
        <v>2023</v>
      </c>
      <c r="B1611" s="6">
        <v>7</v>
      </c>
      <c r="C1611" s="6" t="s">
        <v>66</v>
      </c>
      <c r="D1611" s="6" t="s">
        <v>812</v>
      </c>
      <c r="E1611" s="6" t="s">
        <v>813</v>
      </c>
      <c r="F1611" s="6" t="str">
        <f>IF($M1611="PADD I","PADD 1",IF($M1611="PADD II","PADD 2",IF($M1611="PADD III","PADD 3",IF($M1611="PADD IV","PADD 4",IF($M1611="PADD V","PADD 5","")))))</f>
        <v>PADD 2</v>
      </c>
      <c r="G1611" s="6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6" t="s">
        <v>44</v>
      </c>
      <c r="I1611" s="6" t="s">
        <v>508</v>
      </c>
      <c r="J1611" s="6" t="s">
        <v>394</v>
      </c>
      <c r="K1611" s="10">
        <v>13</v>
      </c>
      <c r="L1611" s="10">
        <v>13</v>
      </c>
      <c r="M1611" s="6" t="s">
        <v>425</v>
      </c>
      <c r="N1611" s="6">
        <f>IF(OR($G1611="FCC",$G1611="Hydrocracker",$G1611="Reformer"),IF(COUNTIFS($D:$D,$D1611,$A:$A,$A1611,$B:$B,$B1611,$G:$G,"CDU",$J:$J,"PLANNED")&gt;0,"tied","standalone"),"")</f>
        <v/>
      </c>
    </row>
    <row r="1612" spans="1:14">
      <c r="A1612" s="6">
        <v>2023</v>
      </c>
      <c r="B1612" s="6">
        <v>7</v>
      </c>
      <c r="C1612" s="6" t="s">
        <v>66</v>
      </c>
      <c r="D1612" s="6" t="s">
        <v>720</v>
      </c>
      <c r="E1612" s="6" t="s">
        <v>455</v>
      </c>
      <c r="F1612" s="6" t="str">
        <f>IF($M1612="PADD I","PADD 1",IF($M1612="PADD II","PADD 2",IF($M1612="PADD III","PADD 3",IF($M1612="PADD IV","PADD 4",IF($M1612="PADD V","PADD 5","")))))</f>
        <v>PADD 2</v>
      </c>
      <c r="G1612" s="6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6" t="s">
        <v>39</v>
      </c>
      <c r="I1612" s="6" t="s">
        <v>139</v>
      </c>
      <c r="J1612" s="6" t="s">
        <v>394</v>
      </c>
      <c r="K1612" s="10">
        <v>12.8</v>
      </c>
      <c r="L1612" s="10">
        <v>80</v>
      </c>
      <c r="M1612" s="6" t="s">
        <v>425</v>
      </c>
      <c r="N1612" s="6">
        <f>IF(OR($G1612="FCC",$G1612="Hydrocracker",$G1612="Reformer"),IF(COUNTIFS($D:$D,$D1612,$A:$A,$A1612,$B:$B,$B1612,$G:$G,"CDU",$J:$J,"PLANNED")&gt;0,"tied","standalone"),"")</f>
        <v/>
      </c>
    </row>
    <row r="1613" spans="1:14">
      <c r="A1613" s="6">
        <v>2023</v>
      </c>
      <c r="B1613" s="6">
        <v>7</v>
      </c>
      <c r="C1613" s="6" t="s">
        <v>66</v>
      </c>
      <c r="D1613" s="6" t="s">
        <v>546</v>
      </c>
      <c r="E1613" s="6" t="s">
        <v>438</v>
      </c>
      <c r="F1613" s="6" t="str">
        <f>IF($M1613="PADD I","PADD 1",IF($M1613="PADD II","PADD 2",IF($M1613="PADD III","PADD 3",IF($M1613="PADD IV","PADD 4",IF($M1613="PADD V","PADD 5","")))))</f>
        <v>PADD 2</v>
      </c>
      <c r="G1613" s="6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6" t="s">
        <v>428</v>
      </c>
      <c r="I1613" s="6" t="s">
        <v>586</v>
      </c>
      <c r="J1613" s="6" t="s">
        <v>398</v>
      </c>
      <c r="K1613" s="10">
        <v>12</v>
      </c>
      <c r="L1613" s="10">
        <v>12</v>
      </c>
      <c r="M1613" s="6" t="s">
        <v>425</v>
      </c>
      <c r="N1613" s="6">
        <f>IF(OR($G1613="FCC",$G1613="Hydrocracker",$G1613="Reformer"),IF(COUNTIFS($D:$D,$D1613,$A:$A,$A1613,$B:$B,$B1613,$G:$G,"CDU",$J:$J,"PLANNED")&gt;0,"tied","standalone"),"")</f>
        <v/>
      </c>
    </row>
    <row r="1614" spans="1:14">
      <c r="A1614" s="6">
        <v>2023</v>
      </c>
      <c r="B1614" s="6">
        <v>7</v>
      </c>
      <c r="C1614" s="6" t="s">
        <v>66</v>
      </c>
      <c r="D1614" s="6" t="s">
        <v>380</v>
      </c>
      <c r="E1614" s="6" t="s">
        <v>423</v>
      </c>
      <c r="F1614" s="6" t="str">
        <f>IF($M1614="PADD I","PADD 1",IF($M1614="PADD II","PADD 2",IF($M1614="PADD III","PADD 3",IF($M1614="PADD IV","PADD 4",IF($M1614="PADD V","PADD 5","")))))</f>
        <v>PADD 2</v>
      </c>
      <c r="G1614" s="6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6" t="s">
        <v>44</v>
      </c>
      <c r="I1614" s="6" t="s">
        <v>960</v>
      </c>
      <c r="J1614" s="6" t="s">
        <v>394</v>
      </c>
      <c r="K1614" s="10">
        <v>11.97</v>
      </c>
      <c r="L1614" s="10">
        <v>63</v>
      </c>
      <c r="M1614" s="6" t="s">
        <v>425</v>
      </c>
      <c r="N1614" s="6">
        <f>IF(OR($G1614="FCC",$G1614="Hydrocracker",$G1614="Reformer"),IF(COUNTIFS($D:$D,$D1614,$A:$A,$A1614,$B:$B,$B1614,$G:$G,"CDU",$J:$J,"PLANNED")&gt;0,"tied","standalone"),"")</f>
        <v/>
      </c>
    </row>
    <row r="1615" spans="1:14">
      <c r="A1615" s="6">
        <v>2023</v>
      </c>
      <c r="B1615" s="6">
        <v>7</v>
      </c>
      <c r="C1615" s="6" t="s">
        <v>66</v>
      </c>
      <c r="D1615" s="6" t="s">
        <v>597</v>
      </c>
      <c r="E1615" s="6" t="s">
        <v>441</v>
      </c>
      <c r="F1615" s="6" t="str">
        <f>IF($M1615="PADD I","PADD 1",IF($M1615="PADD II","PADD 2",IF($M1615="PADD III","PADD 3",IF($M1615="PADD IV","PADD 4",IF($M1615="PADD V","PADD 5","")))))</f>
        <v>PADD 5</v>
      </c>
      <c r="G1615" s="6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6" t="s">
        <v>39</v>
      </c>
      <c r="I1615" s="6" t="s">
        <v>82</v>
      </c>
      <c r="J1615" s="6" t="s">
        <v>394</v>
      </c>
      <c r="K1615" s="10">
        <v>11.04</v>
      </c>
      <c r="L1615" s="10">
        <v>48</v>
      </c>
      <c r="M1615" s="6" t="s">
        <v>436</v>
      </c>
      <c r="N1615" s="6">
        <f>IF(OR($G1615="FCC",$G1615="Hydrocracker",$G1615="Reformer"),IF(COUNTIFS($D:$D,$D1615,$A:$A,$A1615,$B:$B,$B1615,$G:$G,"CDU",$J:$J,"PLANNED")&gt;0,"tied","standalone"),"")</f>
        <v/>
      </c>
    </row>
    <row r="1616" spans="1:14">
      <c r="A1616" s="6">
        <v>2023</v>
      </c>
      <c r="B1616" s="6">
        <v>7</v>
      </c>
      <c r="C1616" s="6" t="s">
        <v>66</v>
      </c>
      <c r="D1616" s="6" t="s">
        <v>470</v>
      </c>
      <c r="E1616" s="6" t="s">
        <v>423</v>
      </c>
      <c r="F1616" s="6" t="str">
        <f>IF($M1616="PADD I","PADD 1",IF($M1616="PADD II","PADD 2",IF($M1616="PADD III","PADD 3",IF($M1616="PADD IV","PADD 4",IF($M1616="PADD V","PADD 5","")))))</f>
        <v>PADD 2</v>
      </c>
      <c r="G1616" s="6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6" t="s">
        <v>44</v>
      </c>
      <c r="I1616" s="6" t="s">
        <v>596</v>
      </c>
      <c r="J1616" s="6" t="s">
        <v>394</v>
      </c>
      <c r="K1616" s="10">
        <v>11</v>
      </c>
      <c r="L1616" s="10">
        <v>11</v>
      </c>
      <c r="M1616" s="6" t="s">
        <v>425</v>
      </c>
      <c r="N1616" s="6">
        <f>IF(OR($G1616="FCC",$G1616="Hydrocracker",$G1616="Reformer"),IF(COUNTIFS($D:$D,$D1616,$A:$A,$A1616,$B:$B,$B1616,$G:$G,"CDU",$J:$J,"PLANNED")&gt;0,"tied","standalone"),"")</f>
        <v/>
      </c>
    </row>
    <row r="1617" spans="1:14">
      <c r="A1617" s="6">
        <v>2023</v>
      </c>
      <c r="B1617" s="6">
        <v>7</v>
      </c>
      <c r="C1617" s="6" t="s">
        <v>66</v>
      </c>
      <c r="D1617" s="6" t="s">
        <v>371</v>
      </c>
      <c r="E1617" s="6" t="s">
        <v>419</v>
      </c>
      <c r="F1617" s="6" t="str">
        <f>IF($M1617="PADD I","PADD 1",IF($M1617="PADD II","PADD 2",IF($M1617="PADD III","PADD 3",IF($M1617="PADD IV","PADD 4",IF($M1617="PADD V","PADD 5","")))))</f>
        <v>PADD 2</v>
      </c>
      <c r="G1617" s="6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6" t="s">
        <v>39</v>
      </c>
      <c r="I1617" s="6" t="s">
        <v>961</v>
      </c>
      <c r="J1617" s="6" t="s">
        <v>394</v>
      </c>
      <c r="K1617" s="10">
        <v>10.56</v>
      </c>
      <c r="L1617" s="10">
        <v>66</v>
      </c>
      <c r="M1617" s="6" t="s">
        <v>425</v>
      </c>
      <c r="N1617" s="6">
        <f>IF(OR($G1617="FCC",$G1617="Hydrocracker",$G1617="Reformer"),IF(COUNTIFS($D:$D,$D1617,$A:$A,$A1617,$B:$B,$B1617,$G:$G,"CDU",$J:$J,"PLANNED")&gt;0,"tied","standalone"),"")</f>
        <v/>
      </c>
    </row>
    <row r="1618" spans="1:14">
      <c r="A1618" s="6">
        <v>2023</v>
      </c>
      <c r="B1618" s="6">
        <v>7</v>
      </c>
      <c r="C1618" s="6" t="s">
        <v>66</v>
      </c>
      <c r="D1618" s="6" t="s">
        <v>720</v>
      </c>
      <c r="E1618" s="6" t="s">
        <v>455</v>
      </c>
      <c r="F1618" s="6" t="str">
        <f>IF($M1618="PADD I","PADD 1",IF($M1618="PADD II","PADD 2",IF($M1618="PADD III","PADD 3",IF($M1618="PADD IV","PADD 4",IF($M1618="PADD V","PADD 5","")))))</f>
        <v>PADD 2</v>
      </c>
      <c r="G1618" s="6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6" t="s">
        <v>426</v>
      </c>
      <c r="I1618" s="6" t="s">
        <v>106</v>
      </c>
      <c r="J1618" s="6" t="s">
        <v>394</v>
      </c>
      <c r="K1618" s="10">
        <v>10.4</v>
      </c>
      <c r="L1618" s="10">
        <v>65</v>
      </c>
      <c r="M1618" s="6" t="s">
        <v>425</v>
      </c>
      <c r="N1618" s="6" t="str">
        <f>IF(OR($G1618="FCC",$G1618="Hydrocracker",$G1618="Reformer"),IF(COUNTIFS($D:$D,$D1618,$A:$A,$A1618,$B:$B,$B1618,$G:$G,"CDU",$J:$J,"PLANNED")&gt;0,"tied","standalone"),"")</f>
        <v>standalone</v>
      </c>
    </row>
    <row r="1619" spans="1:14">
      <c r="A1619" s="6">
        <v>2023</v>
      </c>
      <c r="B1619" s="6">
        <v>7</v>
      </c>
      <c r="C1619" s="6" t="s">
        <v>66</v>
      </c>
      <c r="D1619" s="6" t="s">
        <v>720</v>
      </c>
      <c r="E1619" s="6" t="s">
        <v>455</v>
      </c>
      <c r="F1619" s="6" t="str">
        <f>IF($M1619="PADD I","PADD 1",IF($M1619="PADD II","PADD 2",IF($M1619="PADD III","PADD 3",IF($M1619="PADD IV","PADD 4",IF($M1619="PADD V","PADD 5","")))))</f>
        <v>PADD 2</v>
      </c>
      <c r="G1619" s="6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6" t="s">
        <v>44</v>
      </c>
      <c r="I1619" s="6" t="s">
        <v>962</v>
      </c>
      <c r="J1619" s="6" t="s">
        <v>394</v>
      </c>
      <c r="K1619" s="10">
        <v>10.07</v>
      </c>
      <c r="L1619" s="10">
        <v>53</v>
      </c>
      <c r="M1619" s="6" t="s">
        <v>425</v>
      </c>
      <c r="N1619" s="6">
        <f>IF(OR($G1619="FCC",$G1619="Hydrocracker",$G1619="Reformer"),IF(COUNTIFS($D:$D,$D1619,$A:$A,$A1619,$B:$B,$B1619,$G:$G,"CDU",$J:$J,"PLANNED")&gt;0,"tied","standalone"),"")</f>
        <v/>
      </c>
    </row>
    <row r="1620" spans="1:14">
      <c r="A1620" s="6">
        <v>2023</v>
      </c>
      <c r="B1620" s="6">
        <v>7</v>
      </c>
      <c r="C1620" s="6" t="s">
        <v>66</v>
      </c>
      <c r="D1620" s="6" t="s">
        <v>380</v>
      </c>
      <c r="E1620" s="6" t="s">
        <v>423</v>
      </c>
      <c r="F1620" s="6" t="str">
        <f>IF($M1620="PADD I","PADD 1",IF($M1620="PADD II","PADD 2",IF($M1620="PADD III","PADD 3",IF($M1620="PADD IV","PADD 4",IF($M1620="PADD V","PADD 5","")))))</f>
        <v>PADD 2</v>
      </c>
      <c r="G1620" s="6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6" t="s">
        <v>428</v>
      </c>
      <c r="I1620" s="6" t="s">
        <v>481</v>
      </c>
      <c r="J1620" s="6" t="s">
        <v>394</v>
      </c>
      <c r="K1620" s="10">
        <v>9.880000000000001</v>
      </c>
      <c r="L1620" s="10">
        <v>52</v>
      </c>
      <c r="M1620" s="6" t="s">
        <v>425</v>
      </c>
      <c r="N1620" s="6">
        <f>IF(OR($G1620="FCC",$G1620="Hydrocracker",$G1620="Reformer"),IF(COUNTIFS($D:$D,$D1620,$A:$A,$A1620,$B:$B,$B1620,$G:$G,"CDU",$J:$J,"PLANNED")&gt;0,"tied","standalone"),"")</f>
        <v/>
      </c>
    </row>
    <row r="1621" spans="1:14">
      <c r="A1621" s="6">
        <v>2023</v>
      </c>
      <c r="B1621" s="6">
        <v>7</v>
      </c>
      <c r="C1621" s="6" t="s">
        <v>66</v>
      </c>
      <c r="D1621" s="6" t="s">
        <v>461</v>
      </c>
      <c r="E1621" s="6" t="s">
        <v>419</v>
      </c>
      <c r="F1621" s="6" t="str">
        <f>IF($M1621="PADD I","PADD 1",IF($M1621="PADD II","PADD 2",IF($M1621="PADD III","PADD 3",IF($M1621="PADD IV","PADD 4",IF($M1621="PADD V","PADD 5","")))))</f>
        <v>PADD 1</v>
      </c>
      <c r="G1621" s="6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6" t="s">
        <v>44</v>
      </c>
      <c r="I1621" s="6" t="s">
        <v>934</v>
      </c>
      <c r="J1621" s="6" t="s">
        <v>394</v>
      </c>
      <c r="K1621" s="10">
        <v>9.859999999999999</v>
      </c>
      <c r="L1621" s="10">
        <v>14.5</v>
      </c>
      <c r="M1621" s="6" t="s">
        <v>463</v>
      </c>
      <c r="N1621" s="6">
        <f>IF(OR($G1621="FCC",$G1621="Hydrocracker",$G1621="Reformer"),IF(COUNTIFS($D:$D,$D1621,$A:$A,$A1621,$B:$B,$B1621,$G:$G,"CDU",$J:$J,"PLANNED")&gt;0,"tied","standalone"),"")</f>
        <v/>
      </c>
    </row>
    <row r="1622" spans="1:14">
      <c r="A1622" s="6">
        <v>2023</v>
      </c>
      <c r="B1622" s="6">
        <v>7</v>
      </c>
      <c r="C1622" s="6" t="s">
        <v>66</v>
      </c>
      <c r="D1622" s="6" t="s">
        <v>52</v>
      </c>
      <c r="E1622" s="6" t="s">
        <v>441</v>
      </c>
      <c r="F1622" s="6" t="str">
        <f>IF($M1622="PADD I","PADD 1",IF($M1622="PADD II","PADD 2",IF($M1622="PADD III","PADD 3",IF($M1622="PADD IV","PADD 4",IF($M1622="PADD V","PADD 5","")))))</f>
        <v>PADD 5</v>
      </c>
      <c r="G1622" s="6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6" t="s">
        <v>471</v>
      </c>
      <c r="I1622" s="6" t="s">
        <v>589</v>
      </c>
      <c r="J1622" s="6" t="s">
        <v>394</v>
      </c>
      <c r="K1622" s="10">
        <v>9.6</v>
      </c>
      <c r="L1622" s="10">
        <v>60</v>
      </c>
      <c r="M1622" s="6" t="s">
        <v>436</v>
      </c>
      <c r="N1622" s="6" t="str">
        <f>IF(OR($G1622="FCC",$G1622="Hydrocracker",$G1622="Reformer"),IF(COUNTIFS($D:$D,$D1622,$A:$A,$A1622,$B:$B,$B1622,$G:$G,"CDU",$J:$J,"PLANNED")&gt;0,"tied","standalone"),"")</f>
        <v>standalone</v>
      </c>
    </row>
    <row r="1623" spans="1:14">
      <c r="A1623" s="6">
        <v>2023</v>
      </c>
      <c r="B1623" s="6">
        <v>7</v>
      </c>
      <c r="C1623" s="6" t="s">
        <v>66</v>
      </c>
      <c r="D1623" s="6" t="s">
        <v>461</v>
      </c>
      <c r="E1623" s="6" t="s">
        <v>419</v>
      </c>
      <c r="F1623" s="6" t="str">
        <f>IF($M1623="PADD I","PADD 1",IF($M1623="PADD II","PADD 2",IF($M1623="PADD III","PADD 3",IF($M1623="PADD IV","PADD 4",IF($M1623="PADD V","PADD 5","")))))</f>
        <v>PADD 1</v>
      </c>
      <c r="G1623" s="6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6" t="s">
        <v>44</v>
      </c>
      <c r="I1623" s="6" t="s">
        <v>935</v>
      </c>
      <c r="J1623" s="6" t="s">
        <v>394</v>
      </c>
      <c r="K1623" s="10">
        <v>9.52</v>
      </c>
      <c r="L1623" s="10">
        <v>14</v>
      </c>
      <c r="M1623" s="6" t="s">
        <v>463</v>
      </c>
      <c r="N1623" s="6">
        <f>IF(OR($G1623="FCC",$G1623="Hydrocracker",$G1623="Reformer"),IF(COUNTIFS($D:$D,$D1623,$A:$A,$A1623,$B:$B,$B1623,$G:$G,"CDU",$J:$J,"PLANNED")&gt;0,"tied","standalone"),"")</f>
        <v/>
      </c>
    </row>
    <row r="1624" spans="1:14">
      <c r="A1624" s="6">
        <v>2023</v>
      </c>
      <c r="B1624" s="6">
        <v>7</v>
      </c>
      <c r="C1624" s="6" t="s">
        <v>66</v>
      </c>
      <c r="D1624" s="6" t="s">
        <v>592</v>
      </c>
      <c r="E1624" s="6" t="s">
        <v>593</v>
      </c>
      <c r="F1624" s="6" t="str">
        <f>IF($M1624="PADD I","PADD 1",IF($M1624="PADD II","PADD 2",IF($M1624="PADD III","PADD 3",IF($M1624="PADD IV","PADD 4",IF($M1624="PADD V","PADD 5","")))))</f>
        <v>PADD 2</v>
      </c>
      <c r="G1624" s="6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6" t="s">
        <v>44</v>
      </c>
      <c r="I1624" s="6" t="s">
        <v>963</v>
      </c>
      <c r="J1624" s="6" t="s">
        <v>394</v>
      </c>
      <c r="K1624" s="10">
        <v>8.880000000000001</v>
      </c>
      <c r="L1624" s="10">
        <v>55.5</v>
      </c>
      <c r="M1624" s="6" t="s">
        <v>425</v>
      </c>
      <c r="N1624" s="6">
        <f>IF(OR($G1624="FCC",$G1624="Hydrocracker",$G1624="Reformer"),IF(COUNTIFS($D:$D,$D1624,$A:$A,$A1624,$B:$B,$B1624,$G:$G,"CDU",$J:$J,"PLANNED")&gt;0,"tied","standalone"),"")</f>
        <v/>
      </c>
    </row>
    <row r="1625" spans="1:14">
      <c r="A1625" s="6">
        <v>2023</v>
      </c>
      <c r="B1625" s="6">
        <v>7</v>
      </c>
      <c r="C1625" s="6" t="s">
        <v>66</v>
      </c>
      <c r="D1625" s="6" t="s">
        <v>461</v>
      </c>
      <c r="E1625" s="6" t="s">
        <v>419</v>
      </c>
      <c r="F1625" s="6" t="str">
        <f>IF($M1625="PADD I","PADD 1",IF($M1625="PADD II","PADD 2",IF($M1625="PADD III","PADD 3",IF($M1625="PADD IV","PADD 4",IF($M1625="PADD V","PADD 5","")))))</f>
        <v>PADD 1</v>
      </c>
      <c r="G1625" s="6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6" t="s">
        <v>471</v>
      </c>
      <c r="I1625" s="6" t="s">
        <v>936</v>
      </c>
      <c r="J1625" s="6" t="s">
        <v>394</v>
      </c>
      <c r="K1625" s="10">
        <v>8.84</v>
      </c>
      <c r="L1625" s="10">
        <v>13</v>
      </c>
      <c r="M1625" s="6" t="s">
        <v>463</v>
      </c>
      <c r="N1625" s="6" t="str">
        <f>IF(OR($G1625="FCC",$G1625="Hydrocracker",$G1625="Reformer"),IF(COUNTIFS($D:$D,$D1625,$A:$A,$A1625,$B:$B,$B1625,$G:$G,"CDU",$J:$J,"PLANNED")&gt;0,"tied","standalone"),"")</f>
        <v>standalone</v>
      </c>
    </row>
    <row r="1626" spans="1:14">
      <c r="A1626" s="6">
        <v>2023</v>
      </c>
      <c r="B1626" s="6">
        <v>7</v>
      </c>
      <c r="C1626" s="6" t="s">
        <v>66</v>
      </c>
      <c r="D1626" s="6" t="s">
        <v>518</v>
      </c>
      <c r="E1626" s="6" t="s">
        <v>419</v>
      </c>
      <c r="F1626" s="6" t="str">
        <f>IF($M1626="PADD I","PADD 1",IF($M1626="PADD II","PADD 2",IF($M1626="PADD III","PADD 3",IF($M1626="PADD IV","PADD 4",IF($M1626="PADD V","PADD 5","")))))</f>
        <v>PADD 3</v>
      </c>
      <c r="G1626" s="6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6" t="s">
        <v>426</v>
      </c>
      <c r="I1626" s="6" t="s">
        <v>519</v>
      </c>
      <c r="J1626" s="6" t="s">
        <v>394</v>
      </c>
      <c r="K1626" s="10">
        <v>8.699999999999999</v>
      </c>
      <c r="L1626" s="10">
        <v>30</v>
      </c>
      <c r="M1626" s="6" t="s">
        <v>421</v>
      </c>
      <c r="N1626" s="6" t="str">
        <f>IF(OR($G1626="FCC",$G1626="Hydrocracker",$G1626="Reformer"),IF(COUNTIFS($D:$D,$D1626,$A:$A,$A1626,$B:$B,$B1626,$G:$G,"CDU",$J:$J,"PLANNED")&gt;0,"tied","standalone"),"")</f>
        <v>standalone</v>
      </c>
    </row>
    <row r="1627" spans="1:14">
      <c r="A1627" s="6">
        <v>2023</v>
      </c>
      <c r="B1627" s="6">
        <v>7</v>
      </c>
      <c r="C1627" s="6" t="s">
        <v>66</v>
      </c>
      <c r="D1627" s="6" t="s">
        <v>518</v>
      </c>
      <c r="E1627" s="6" t="s">
        <v>419</v>
      </c>
      <c r="F1627" s="6" t="str">
        <f>IF($M1627="PADD I","PADD 1",IF($M1627="PADD II","PADD 2",IF($M1627="PADD III","PADD 3",IF($M1627="PADD IV","PADD 4",IF($M1627="PADD V","PADD 5","")))))</f>
        <v>PADD 3</v>
      </c>
      <c r="G1627" s="6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6" t="s">
        <v>426</v>
      </c>
      <c r="I1627" s="6" t="s">
        <v>523</v>
      </c>
      <c r="J1627" s="6" t="s">
        <v>394</v>
      </c>
      <c r="K1627" s="10">
        <v>8.699999999999999</v>
      </c>
      <c r="L1627" s="10">
        <v>30</v>
      </c>
      <c r="M1627" s="6" t="s">
        <v>421</v>
      </c>
      <c r="N1627" s="6" t="str">
        <f>IF(OR($G1627="FCC",$G1627="Hydrocracker",$G1627="Reformer"),IF(COUNTIFS($D:$D,$D1627,$A:$A,$A1627,$B:$B,$B1627,$G:$G,"CDU",$J:$J,"PLANNED")&gt;0,"tied","standalone"),"")</f>
        <v>standalone</v>
      </c>
    </row>
    <row r="1628" spans="1:14">
      <c r="A1628" s="6">
        <v>2023</v>
      </c>
      <c r="B1628" s="6">
        <v>7</v>
      </c>
      <c r="C1628" s="6" t="s">
        <v>66</v>
      </c>
      <c r="D1628" s="6" t="s">
        <v>720</v>
      </c>
      <c r="E1628" s="6" t="s">
        <v>455</v>
      </c>
      <c r="F1628" s="6" t="str">
        <f>IF($M1628="PADD I","PADD 1",IF($M1628="PADD II","PADD 2",IF($M1628="PADD III","PADD 3",IF($M1628="PADD IV","PADD 4",IF($M1628="PADD V","PADD 5","")))))</f>
        <v>PADD 2</v>
      </c>
      <c r="G1628" s="6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6" t="s">
        <v>44</v>
      </c>
      <c r="I1628" s="6" t="s">
        <v>964</v>
      </c>
      <c r="J1628" s="6" t="s">
        <v>394</v>
      </c>
      <c r="K1628" s="10">
        <v>8.550000000000001</v>
      </c>
      <c r="L1628" s="10">
        <v>45</v>
      </c>
      <c r="M1628" s="6" t="s">
        <v>425</v>
      </c>
      <c r="N1628" s="6">
        <f>IF(OR($G1628="FCC",$G1628="Hydrocracker",$G1628="Reformer"),IF(COUNTIFS($D:$D,$D1628,$A:$A,$A1628,$B:$B,$B1628,$G:$G,"CDU",$J:$J,"PLANNED")&gt;0,"tied","standalone"),"")</f>
        <v/>
      </c>
    </row>
    <row r="1629" spans="1:14">
      <c r="A1629" s="6">
        <v>2023</v>
      </c>
      <c r="B1629" s="6">
        <v>7</v>
      </c>
      <c r="C1629" s="6" t="s">
        <v>66</v>
      </c>
      <c r="D1629" s="6" t="s">
        <v>550</v>
      </c>
      <c r="E1629" s="6" t="s">
        <v>438</v>
      </c>
      <c r="F1629" s="6" t="str">
        <f>IF($M1629="PADD I","PADD 1",IF($M1629="PADD II","PADD 2",IF($M1629="PADD III","PADD 3",IF($M1629="PADD IV","PADD 4",IF($M1629="PADD V","PADD 5","")))))</f>
        <v>PADD 2</v>
      </c>
      <c r="G1629" s="6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6" t="s">
        <v>428</v>
      </c>
      <c r="I1629" s="6" t="s">
        <v>481</v>
      </c>
      <c r="J1629" s="6" t="s">
        <v>398</v>
      </c>
      <c r="K1629" s="10">
        <v>8.32</v>
      </c>
      <c r="L1629" s="10">
        <v>32</v>
      </c>
      <c r="M1629" s="6" t="s">
        <v>425</v>
      </c>
      <c r="N1629" s="6">
        <f>IF(OR($G1629="FCC",$G1629="Hydrocracker",$G1629="Reformer"),IF(COUNTIFS($D:$D,$D1629,$A:$A,$A1629,$B:$B,$B1629,$G:$G,"CDU",$J:$J,"PLANNED")&gt;0,"tied","standalone"),"")</f>
        <v/>
      </c>
    </row>
    <row r="1630" spans="1:14">
      <c r="A1630" s="6">
        <v>2023</v>
      </c>
      <c r="B1630" s="6">
        <v>7</v>
      </c>
      <c r="C1630" s="6" t="s">
        <v>66</v>
      </c>
      <c r="D1630" s="6" t="s">
        <v>470</v>
      </c>
      <c r="E1630" s="6" t="s">
        <v>423</v>
      </c>
      <c r="F1630" s="6" t="str">
        <f>IF($M1630="PADD I","PADD 1",IF($M1630="PADD II","PADD 2",IF($M1630="PADD III","PADD 3",IF($M1630="PADD IV","PADD 4",IF($M1630="PADD V","PADD 5","")))))</f>
        <v>PADD 2</v>
      </c>
      <c r="G1630" s="6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6" t="s">
        <v>471</v>
      </c>
      <c r="I1630" s="6" t="s">
        <v>621</v>
      </c>
      <c r="J1630" s="6" t="s">
        <v>394</v>
      </c>
      <c r="K1630" s="10">
        <v>8</v>
      </c>
      <c r="L1630" s="10">
        <v>8</v>
      </c>
      <c r="M1630" s="6" t="s">
        <v>425</v>
      </c>
      <c r="N1630" s="6" t="str">
        <f>IF(OR($G1630="FCC",$G1630="Hydrocracker",$G1630="Reformer"),IF(COUNTIFS($D:$D,$D1630,$A:$A,$A1630,$B:$B,$B1630,$G:$G,"CDU",$J:$J,"PLANNED")&gt;0,"tied","standalone"),"")</f>
        <v>standalone</v>
      </c>
    </row>
    <row r="1631" spans="1:14">
      <c r="A1631" s="6">
        <v>2023</v>
      </c>
      <c r="B1631" s="6">
        <v>7</v>
      </c>
      <c r="C1631" s="6" t="s">
        <v>66</v>
      </c>
      <c r="D1631" s="6" t="s">
        <v>470</v>
      </c>
      <c r="E1631" s="6" t="s">
        <v>423</v>
      </c>
      <c r="F1631" s="6" t="str">
        <f>IF($M1631="PADD I","PADD 1",IF($M1631="PADD II","PADD 2",IF($M1631="PADD III","PADD 3",IF($M1631="PADD IV","PADD 4",IF($M1631="PADD V","PADD 5","")))))</f>
        <v>PADD 2</v>
      </c>
      <c r="G1631" s="6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6" t="s">
        <v>44</v>
      </c>
      <c r="I1631" s="6" t="s">
        <v>627</v>
      </c>
      <c r="J1631" s="6" t="s">
        <v>394</v>
      </c>
      <c r="K1631" s="10">
        <v>7.7</v>
      </c>
      <c r="L1631" s="10">
        <v>7.7</v>
      </c>
      <c r="M1631" s="6" t="s">
        <v>425</v>
      </c>
      <c r="N1631" s="6">
        <f>IF(OR($G1631="FCC",$G1631="Hydrocracker",$G1631="Reformer"),IF(COUNTIFS($D:$D,$D1631,$A:$A,$A1631,$B:$B,$B1631,$G:$G,"CDU",$J:$J,"PLANNED")&gt;0,"tied","standalone"),"")</f>
        <v/>
      </c>
    </row>
    <row r="1632" spans="1:14">
      <c r="A1632" s="6">
        <v>2023</v>
      </c>
      <c r="B1632" s="6">
        <v>7</v>
      </c>
      <c r="C1632" s="6" t="s">
        <v>66</v>
      </c>
      <c r="D1632" s="6" t="s">
        <v>720</v>
      </c>
      <c r="E1632" s="6" t="s">
        <v>455</v>
      </c>
      <c r="F1632" s="6" t="str">
        <f>IF($M1632="PADD I","PADD 1",IF($M1632="PADD II","PADD 2",IF($M1632="PADD III","PADD 3",IF($M1632="PADD IV","PADD 4",IF($M1632="PADD V","PADD 5","")))))</f>
        <v>PADD 2</v>
      </c>
      <c r="G1632" s="6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6" t="s">
        <v>44</v>
      </c>
      <c r="I1632" s="6" t="s">
        <v>508</v>
      </c>
      <c r="J1632" s="6" t="s">
        <v>394</v>
      </c>
      <c r="K1632" s="10">
        <v>7.6</v>
      </c>
      <c r="L1632" s="10">
        <v>40</v>
      </c>
      <c r="M1632" s="6" t="s">
        <v>425</v>
      </c>
      <c r="N1632" s="6">
        <f>IF(OR($G1632="FCC",$G1632="Hydrocracker",$G1632="Reformer"),IF(COUNTIFS($D:$D,$D1632,$A:$A,$A1632,$B:$B,$B1632,$G:$G,"CDU",$J:$J,"PLANNED")&gt;0,"tied","standalone"),"")</f>
        <v/>
      </c>
    </row>
    <row r="1633" spans="1:14">
      <c r="A1633" s="6">
        <v>2023</v>
      </c>
      <c r="B1633" s="6">
        <v>7</v>
      </c>
      <c r="C1633" s="6" t="s">
        <v>66</v>
      </c>
      <c r="D1633" s="6" t="s">
        <v>380</v>
      </c>
      <c r="E1633" s="6" t="s">
        <v>423</v>
      </c>
      <c r="F1633" s="6" t="str">
        <f>IF($M1633="PADD I","PADD 1",IF($M1633="PADD II","PADD 2",IF($M1633="PADD III","PADD 3",IF($M1633="PADD IV","PADD 4",IF($M1633="PADD V","PADD 5","")))))</f>
        <v>PADD 2</v>
      </c>
      <c r="G1633" s="6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6" t="s">
        <v>426</v>
      </c>
      <c r="I1633" s="6" t="s">
        <v>106</v>
      </c>
      <c r="J1633" s="6" t="s">
        <v>394</v>
      </c>
      <c r="K1633" s="10">
        <v>7.6</v>
      </c>
      <c r="L1633" s="10">
        <v>40</v>
      </c>
      <c r="M1633" s="6" t="s">
        <v>425</v>
      </c>
      <c r="N1633" s="6" t="str">
        <f>IF(OR($G1633="FCC",$G1633="Hydrocracker",$G1633="Reformer"),IF(COUNTIFS($D:$D,$D1633,$A:$A,$A1633,$B:$B,$B1633,$G:$G,"CDU",$J:$J,"PLANNED")&gt;0,"tied","standalone"),"")</f>
        <v>standalone</v>
      </c>
    </row>
    <row r="1634" spans="1:14">
      <c r="A1634" s="6">
        <v>2023</v>
      </c>
      <c r="B1634" s="6">
        <v>7</v>
      </c>
      <c r="C1634" s="6" t="s">
        <v>66</v>
      </c>
      <c r="D1634" s="6" t="s">
        <v>592</v>
      </c>
      <c r="E1634" s="6" t="s">
        <v>593</v>
      </c>
      <c r="F1634" s="6" t="str">
        <f>IF($M1634="PADD I","PADD 1",IF($M1634="PADD II","PADD 2",IF($M1634="PADD III","PADD 3",IF($M1634="PADD IV","PADD 4",IF($M1634="PADD V","PADD 5","")))))</f>
        <v>PADD 2</v>
      </c>
      <c r="G1634" s="6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6" t="s">
        <v>44</v>
      </c>
      <c r="I1634" s="6" t="s">
        <v>965</v>
      </c>
      <c r="J1634" s="6" t="s">
        <v>398</v>
      </c>
      <c r="K1634" s="10">
        <v>7.6</v>
      </c>
      <c r="L1634" s="10">
        <v>40</v>
      </c>
      <c r="M1634" s="6" t="s">
        <v>425</v>
      </c>
      <c r="N1634" s="6">
        <f>IF(OR($G1634="FCC",$G1634="Hydrocracker",$G1634="Reformer"),IF(COUNTIFS($D:$D,$D1634,$A:$A,$A1634,$B:$B,$B1634,$G:$G,"CDU",$J:$J,"PLANNED")&gt;0,"tied","standalone"),"")</f>
        <v/>
      </c>
    </row>
    <row r="1635" spans="1:14">
      <c r="A1635" s="6">
        <v>2023</v>
      </c>
      <c r="B1635" s="6">
        <v>7</v>
      </c>
      <c r="C1635" s="6" t="s">
        <v>66</v>
      </c>
      <c r="D1635" s="6" t="s">
        <v>380</v>
      </c>
      <c r="E1635" s="6" t="s">
        <v>423</v>
      </c>
      <c r="F1635" s="6" t="str">
        <f>IF($M1635="PADD I","PADD 1",IF($M1635="PADD II","PADD 2",IF($M1635="PADD III","PADD 3",IF($M1635="PADD IV","PADD 4",IF($M1635="PADD V","PADD 5","")))))</f>
        <v>PADD 2</v>
      </c>
      <c r="G1635" s="6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6" t="s">
        <v>471</v>
      </c>
      <c r="I1635" s="6" t="s">
        <v>966</v>
      </c>
      <c r="J1635" s="6" t="s">
        <v>394</v>
      </c>
      <c r="K1635" s="10">
        <v>7.6</v>
      </c>
      <c r="L1635" s="10">
        <v>40</v>
      </c>
      <c r="M1635" s="6" t="s">
        <v>425</v>
      </c>
      <c r="N1635" s="6" t="str">
        <f>IF(OR($G1635="FCC",$G1635="Hydrocracker",$G1635="Reformer"),IF(COUNTIFS($D:$D,$D1635,$A:$A,$A1635,$B:$B,$B1635,$G:$G,"CDU",$J:$J,"PLANNED")&gt;0,"tied","standalone"),"")</f>
        <v>standalone</v>
      </c>
    </row>
    <row r="1636" spans="1:14">
      <c r="A1636" s="6">
        <v>2023</v>
      </c>
      <c r="B1636" s="6">
        <v>7</v>
      </c>
      <c r="C1636" s="6" t="s">
        <v>66</v>
      </c>
      <c r="D1636" s="6" t="s">
        <v>550</v>
      </c>
      <c r="E1636" s="6" t="s">
        <v>438</v>
      </c>
      <c r="F1636" s="6" t="str">
        <f>IF($M1636="PADD I","PADD 1",IF($M1636="PADD II","PADD 2",IF($M1636="PADD III","PADD 3",IF($M1636="PADD IV","PADD 4",IF($M1636="PADD V","PADD 5","")))))</f>
        <v>PADD 2</v>
      </c>
      <c r="G1636" s="6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6" t="s">
        <v>426</v>
      </c>
      <c r="I1636" s="6" t="s">
        <v>106</v>
      </c>
      <c r="J1636" s="6" t="s">
        <v>398</v>
      </c>
      <c r="K1636" s="10">
        <v>7.54</v>
      </c>
      <c r="L1636" s="10">
        <v>26</v>
      </c>
      <c r="M1636" s="6" t="s">
        <v>425</v>
      </c>
      <c r="N1636" s="6" t="str">
        <f>IF(OR($G1636="FCC",$G1636="Hydrocracker",$G1636="Reformer"),IF(COUNTIFS($D:$D,$D1636,$A:$A,$A1636,$B:$B,$B1636,$G:$G,"CDU",$J:$J,"PLANNED")&gt;0,"tied","standalone"),"")</f>
        <v>tied</v>
      </c>
    </row>
    <row r="1637" spans="1:14">
      <c r="A1637" s="6">
        <v>2023</v>
      </c>
      <c r="B1637" s="6">
        <v>7</v>
      </c>
      <c r="C1637" s="6" t="s">
        <v>66</v>
      </c>
      <c r="D1637" s="6" t="s">
        <v>470</v>
      </c>
      <c r="E1637" s="6" t="s">
        <v>423</v>
      </c>
      <c r="F1637" s="6" t="str">
        <f>IF($M1637="PADD I","PADD 1",IF($M1637="PADD II","PADD 2",IF($M1637="PADD III","PADD 3",IF($M1637="PADD IV","PADD 4",IF($M1637="PADD V","PADD 5","")))))</f>
        <v>PADD 2</v>
      </c>
      <c r="G1637" s="6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6" t="s">
        <v>44</v>
      </c>
      <c r="I1637" s="6" t="s">
        <v>508</v>
      </c>
      <c r="J1637" s="6" t="s">
        <v>394</v>
      </c>
      <c r="K1637" s="10">
        <v>7.5</v>
      </c>
      <c r="L1637" s="10">
        <v>7.5</v>
      </c>
      <c r="M1637" s="6" t="s">
        <v>425</v>
      </c>
      <c r="N1637" s="6">
        <f>IF(OR($G1637="FCC",$G1637="Hydrocracker",$G1637="Reformer"),IF(COUNTIFS($D:$D,$D1637,$A:$A,$A1637,$B:$B,$B1637,$G:$G,"CDU",$J:$J,"PLANNED")&gt;0,"tied","standalone"),"")</f>
        <v/>
      </c>
    </row>
    <row r="1638" spans="1:14">
      <c r="A1638" s="6">
        <v>2023</v>
      </c>
      <c r="B1638" s="6">
        <v>7</v>
      </c>
      <c r="C1638" s="6" t="s">
        <v>66</v>
      </c>
      <c r="D1638" s="6" t="s">
        <v>461</v>
      </c>
      <c r="E1638" s="6" t="s">
        <v>419</v>
      </c>
      <c r="F1638" s="6" t="str">
        <f>IF($M1638="PADD I","PADD 1",IF($M1638="PADD II","PADD 2",IF($M1638="PADD III","PADD 3",IF($M1638="PADD IV","PADD 4",IF($M1638="PADD V","PADD 5","")))))</f>
        <v>PADD 1</v>
      </c>
      <c r="G1638" s="6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6" t="s">
        <v>510</v>
      </c>
      <c r="I1638" s="6" t="s">
        <v>616</v>
      </c>
      <c r="J1638" s="6" t="s">
        <v>394</v>
      </c>
      <c r="K1638" s="10">
        <v>7.48</v>
      </c>
      <c r="L1638" s="10">
        <v>11</v>
      </c>
      <c r="M1638" s="6" t="s">
        <v>463</v>
      </c>
      <c r="N1638" s="6">
        <f>IF(OR($G1638="FCC",$G1638="Hydrocracker",$G1638="Reformer"),IF(COUNTIFS($D:$D,$D1638,$A:$A,$A1638,$B:$B,$B1638,$G:$G,"CDU",$J:$J,"PLANNED")&gt;0,"tied","standalone"),"")</f>
        <v/>
      </c>
    </row>
    <row r="1639" spans="1:14">
      <c r="A1639" s="6">
        <v>2023</v>
      </c>
      <c r="B1639" s="6">
        <v>7</v>
      </c>
      <c r="C1639" s="6" t="s">
        <v>66</v>
      </c>
      <c r="D1639" s="6" t="s">
        <v>496</v>
      </c>
      <c r="E1639" s="6" t="s">
        <v>441</v>
      </c>
      <c r="F1639" s="6" t="str">
        <f>IF($M1639="PADD I","PADD 1",IF($M1639="PADD II","PADD 2",IF($M1639="PADD III","PADD 3",IF($M1639="PADD IV","PADD 4",IF($M1639="PADD V","PADD 5","")))))</f>
        <v>PADD 3</v>
      </c>
      <c r="G1639" s="6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6" t="s">
        <v>510</v>
      </c>
      <c r="I1639" s="6" t="s">
        <v>630</v>
      </c>
      <c r="J1639" s="6" t="s">
        <v>394</v>
      </c>
      <c r="K1639" s="10">
        <v>7.2</v>
      </c>
      <c r="L1639" s="10">
        <v>7.2</v>
      </c>
      <c r="M1639" s="6" t="s">
        <v>421</v>
      </c>
      <c r="N1639" s="6">
        <f>IF(OR($G1639="FCC",$G1639="Hydrocracker",$G1639="Reformer"),IF(COUNTIFS($D:$D,$D1639,$A:$A,$A1639,$B:$B,$B1639,$G:$G,"CDU",$J:$J,"PLANNED")&gt;0,"tied","standalone"),"")</f>
        <v/>
      </c>
    </row>
    <row r="1640" spans="1:14">
      <c r="A1640" s="6">
        <v>2023</v>
      </c>
      <c r="B1640" s="6">
        <v>7</v>
      </c>
      <c r="C1640" s="6" t="s">
        <v>66</v>
      </c>
      <c r="D1640" s="6" t="s">
        <v>915</v>
      </c>
      <c r="E1640" s="6" t="s">
        <v>419</v>
      </c>
      <c r="F1640" s="6" t="str">
        <f>IF($M1640="PADD I","PADD 1",IF($M1640="PADD II","PADD 2",IF($M1640="PADD III","PADD 3",IF($M1640="PADD IV","PADD 4",IF($M1640="PADD V","PADD 5","")))))</f>
        <v>PADD 4</v>
      </c>
      <c r="G1640" s="6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6" t="s">
        <v>39</v>
      </c>
      <c r="I1640" s="6" t="s">
        <v>916</v>
      </c>
      <c r="J1640" s="6" t="s">
        <v>394</v>
      </c>
      <c r="K1640" s="10">
        <v>7.2</v>
      </c>
      <c r="L1640" s="10">
        <v>45</v>
      </c>
      <c r="M1640" s="6" t="s">
        <v>480</v>
      </c>
      <c r="N1640" s="6">
        <f>IF(OR($G1640="FCC",$G1640="Hydrocracker",$G1640="Reformer"),IF(COUNTIFS($D:$D,$D1640,$A:$A,$A1640,$B:$B,$B1640,$G:$G,"CDU",$J:$J,"PLANNED")&gt;0,"tied","standalone"),"")</f>
        <v/>
      </c>
    </row>
    <row r="1641" spans="1:14">
      <c r="A1641" s="6">
        <v>2023</v>
      </c>
      <c r="B1641" s="6">
        <v>7</v>
      </c>
      <c r="C1641" s="6" t="s">
        <v>66</v>
      </c>
      <c r="D1641" s="6" t="s">
        <v>626</v>
      </c>
      <c r="E1641" s="6" t="s">
        <v>419</v>
      </c>
      <c r="F1641" s="6" t="str">
        <f>IF($M1641="PADD I","PADD 1",IF($M1641="PADD II","PADD 2",IF($M1641="PADD III","PADD 3",IF($M1641="PADD IV","PADD 4",IF($M1641="PADD V","PADD 5","")))))</f>
        <v>PADD 3</v>
      </c>
      <c r="G1641" s="6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6" t="s">
        <v>471</v>
      </c>
      <c r="I1641" s="6" t="s">
        <v>533</v>
      </c>
      <c r="J1641" s="6" t="s">
        <v>394</v>
      </c>
      <c r="K1641" s="10">
        <v>6.96</v>
      </c>
      <c r="L1641" s="10">
        <v>12</v>
      </c>
      <c r="M1641" s="6" t="s">
        <v>421</v>
      </c>
      <c r="N1641" s="6" t="str">
        <f>IF(OR($G1641="FCC",$G1641="Hydrocracker",$G1641="Reformer"),IF(COUNTIFS($D:$D,$D1641,$A:$A,$A1641,$B:$B,$B1641,$G:$G,"CDU",$J:$J,"PLANNED")&gt;0,"tied","standalone"),"")</f>
        <v>standalone</v>
      </c>
    </row>
    <row r="1642" spans="1:14">
      <c r="A1642" s="6">
        <v>2023</v>
      </c>
      <c r="B1642" s="6">
        <v>7</v>
      </c>
      <c r="C1642" s="6" t="s">
        <v>66</v>
      </c>
      <c r="D1642" s="6" t="s">
        <v>380</v>
      </c>
      <c r="E1642" s="6" t="s">
        <v>423</v>
      </c>
      <c r="F1642" s="6" t="str">
        <f>IF($M1642="PADD I","PADD 1",IF($M1642="PADD II","PADD 2",IF($M1642="PADD III","PADD 3",IF($M1642="PADD IV","PADD 4",IF($M1642="PADD V","PADD 5","")))))</f>
        <v>PADD 2</v>
      </c>
      <c r="G1642" s="6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6" t="s">
        <v>44</v>
      </c>
      <c r="I1642" s="6" t="s">
        <v>508</v>
      </c>
      <c r="J1642" s="6" t="s">
        <v>394</v>
      </c>
      <c r="K1642" s="10">
        <v>6.65</v>
      </c>
      <c r="L1642" s="10">
        <v>35</v>
      </c>
      <c r="M1642" s="6" t="s">
        <v>425</v>
      </c>
      <c r="N1642" s="6">
        <f>IF(OR($G1642="FCC",$G1642="Hydrocracker",$G1642="Reformer"),IF(COUNTIFS($D:$D,$D1642,$A:$A,$A1642,$B:$B,$B1642,$G:$G,"CDU",$J:$J,"PLANNED")&gt;0,"tied","standalone"),"")</f>
        <v/>
      </c>
    </row>
    <row r="1643" spans="1:14">
      <c r="A1643" s="6">
        <v>2023</v>
      </c>
      <c r="B1643" s="6">
        <v>7</v>
      </c>
      <c r="C1643" s="6" t="s">
        <v>66</v>
      </c>
      <c r="D1643" s="6" t="s">
        <v>915</v>
      </c>
      <c r="E1643" s="6" t="s">
        <v>419</v>
      </c>
      <c r="F1643" s="6" t="str">
        <f>IF($M1643="PADD I","PADD 1",IF($M1643="PADD II","PADD 2",IF($M1643="PADD III","PADD 3",IF($M1643="PADD IV","PADD 4",IF($M1643="PADD V","PADD 5","")))))</f>
        <v>PADD 4</v>
      </c>
      <c r="G1643" s="6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6" t="s">
        <v>39</v>
      </c>
      <c r="I1643" s="6" t="s">
        <v>916</v>
      </c>
      <c r="J1643" s="6" t="s">
        <v>394</v>
      </c>
      <c r="K1643" s="10">
        <v>6.65</v>
      </c>
      <c r="L1643" s="10">
        <v>35</v>
      </c>
      <c r="M1643" s="6" t="s">
        <v>480</v>
      </c>
      <c r="N1643" s="6">
        <f>IF(OR($G1643="FCC",$G1643="Hydrocracker",$G1643="Reformer"),IF(COUNTIFS($D:$D,$D1643,$A:$A,$A1643,$B:$B,$B1643,$G:$G,"CDU",$J:$J,"PLANNED")&gt;0,"tied","standalone"),"")</f>
        <v/>
      </c>
    </row>
    <row r="1644" spans="1:14">
      <c r="A1644" s="6">
        <v>2023</v>
      </c>
      <c r="B1644" s="6">
        <v>7</v>
      </c>
      <c r="C1644" s="6" t="s">
        <v>66</v>
      </c>
      <c r="D1644" s="6" t="s">
        <v>550</v>
      </c>
      <c r="E1644" s="6" t="s">
        <v>438</v>
      </c>
      <c r="F1644" s="6" t="str">
        <f>IF($M1644="PADD I","PADD 1",IF($M1644="PADD II","PADD 2",IF($M1644="PADD III","PADD 3",IF($M1644="PADD IV","PADD 4",IF($M1644="PADD V","PADD 5","")))))</f>
        <v>PADD 2</v>
      </c>
      <c r="G1644" s="6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6" t="s">
        <v>39</v>
      </c>
      <c r="I1644" s="6" t="s">
        <v>967</v>
      </c>
      <c r="J1644" s="6" t="s">
        <v>398</v>
      </c>
      <c r="K1644" s="10">
        <v>6.5</v>
      </c>
      <c r="L1644" s="10">
        <v>25</v>
      </c>
      <c r="M1644" s="6" t="s">
        <v>425</v>
      </c>
      <c r="N1644" s="6">
        <f>IF(OR($G1644="FCC",$G1644="Hydrocracker",$G1644="Reformer"),IF(COUNTIFS($D:$D,$D1644,$A:$A,$A1644,$B:$B,$B1644,$G:$G,"CDU",$J:$J,"PLANNED")&gt;0,"tied","standalone"),"")</f>
        <v/>
      </c>
    </row>
    <row r="1645" spans="1:14">
      <c r="A1645" s="6">
        <v>2023</v>
      </c>
      <c r="B1645" s="6">
        <v>7</v>
      </c>
      <c r="C1645" s="6" t="s">
        <v>66</v>
      </c>
      <c r="D1645" s="6" t="s">
        <v>550</v>
      </c>
      <c r="E1645" s="6" t="s">
        <v>438</v>
      </c>
      <c r="F1645" s="6" t="str">
        <f>IF($M1645="PADD I","PADD 1",IF($M1645="PADD II","PADD 2",IF($M1645="PADD III","PADD 3",IF($M1645="PADD IV","PADD 4",IF($M1645="PADD V","PADD 5","")))))</f>
        <v>PADD 2</v>
      </c>
      <c r="G1645" s="6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6" t="s">
        <v>44</v>
      </c>
      <c r="I1645" s="6" t="s">
        <v>968</v>
      </c>
      <c r="J1645" s="6" t="s">
        <v>398</v>
      </c>
      <c r="K1645" s="10">
        <v>6.5</v>
      </c>
      <c r="L1645" s="10">
        <v>25</v>
      </c>
      <c r="M1645" s="6" t="s">
        <v>425</v>
      </c>
      <c r="N1645" s="6">
        <f>IF(OR($G1645="FCC",$G1645="Hydrocracker",$G1645="Reformer"),IF(COUNTIFS($D:$D,$D1645,$A:$A,$A1645,$B:$B,$B1645,$G:$G,"CDU",$J:$J,"PLANNED")&gt;0,"tied","standalone"),"")</f>
        <v/>
      </c>
    </row>
    <row r="1646" spans="1:14">
      <c r="A1646" s="6">
        <v>2023</v>
      </c>
      <c r="B1646" s="6">
        <v>7</v>
      </c>
      <c r="C1646" s="6" t="s">
        <v>66</v>
      </c>
      <c r="D1646" s="6" t="s">
        <v>382</v>
      </c>
      <c r="E1646" s="6" t="s">
        <v>431</v>
      </c>
      <c r="F1646" s="6" t="str">
        <f>IF($M1646="PADD I","PADD 1",IF($M1646="PADD II","PADD 2",IF($M1646="PADD III","PADD 3",IF($M1646="PADD IV","PADD 4",IF($M1646="PADD V","PADD 5","")))))</f>
        <v>PADD 3</v>
      </c>
      <c r="G1646" s="6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6" t="s">
        <v>428</v>
      </c>
      <c r="I1646" s="6" t="s">
        <v>969</v>
      </c>
      <c r="J1646" s="6" t="s">
        <v>394</v>
      </c>
      <c r="K1646" s="10">
        <v>6</v>
      </c>
      <c r="L1646" s="10">
        <v>100</v>
      </c>
      <c r="M1646" s="6" t="s">
        <v>421</v>
      </c>
      <c r="N1646" s="6">
        <f>IF(OR($G1646="FCC",$G1646="Hydrocracker",$G1646="Reformer"),IF(COUNTIFS($D:$D,$D1646,$A:$A,$A1646,$B:$B,$B1646,$G:$G,"CDU",$J:$J,"PLANNED")&gt;0,"tied","standalone"),"")</f>
        <v/>
      </c>
    </row>
    <row r="1647" spans="1:14">
      <c r="A1647" s="6">
        <v>2023</v>
      </c>
      <c r="B1647" s="6">
        <v>7</v>
      </c>
      <c r="C1647" s="6" t="s">
        <v>66</v>
      </c>
      <c r="D1647" s="6" t="s">
        <v>380</v>
      </c>
      <c r="E1647" s="6" t="s">
        <v>423</v>
      </c>
      <c r="F1647" s="6" t="str">
        <f>IF($M1647="PADD I","PADD 1",IF($M1647="PADD II","PADD 2",IF($M1647="PADD III","PADD 3",IF($M1647="PADD IV","PADD 4",IF($M1647="PADD V","PADD 5","")))))</f>
        <v>PADD 2</v>
      </c>
      <c r="G1647" s="6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6" t="s">
        <v>485</v>
      </c>
      <c r="I1647" s="6" t="s">
        <v>491</v>
      </c>
      <c r="J1647" s="6" t="s">
        <v>394</v>
      </c>
      <c r="K1647" s="10">
        <v>5.947</v>
      </c>
      <c r="L1647" s="10">
        <v>31.3</v>
      </c>
      <c r="M1647" s="6" t="s">
        <v>425</v>
      </c>
      <c r="N1647" s="6">
        <f>IF(OR($G1647="FCC",$G1647="Hydrocracker",$G1647="Reformer"),IF(COUNTIFS($D:$D,$D1647,$A:$A,$A1647,$B:$B,$B1647,$G:$G,"CDU",$J:$J,"PLANNED")&gt;0,"tied","standalone"),"")</f>
        <v/>
      </c>
    </row>
    <row r="1648" spans="1:14">
      <c r="A1648" s="6">
        <v>2023</v>
      </c>
      <c r="B1648" s="6">
        <v>7</v>
      </c>
      <c r="C1648" s="6" t="s">
        <v>66</v>
      </c>
      <c r="D1648" s="6" t="s">
        <v>550</v>
      </c>
      <c r="E1648" s="6" t="s">
        <v>438</v>
      </c>
      <c r="F1648" s="6" t="str">
        <f>IF($M1648="PADD I","PADD 1",IF($M1648="PADD II","PADD 2",IF($M1648="PADD III","PADD 3",IF($M1648="PADD IV","PADD 4",IF($M1648="PADD V","PADD 5","")))))</f>
        <v>PADD 2</v>
      </c>
      <c r="G1648" s="6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6" t="s">
        <v>44</v>
      </c>
      <c r="I1648" s="6" t="s">
        <v>551</v>
      </c>
      <c r="J1648" s="6" t="s">
        <v>394</v>
      </c>
      <c r="K1648" s="10">
        <v>5.795</v>
      </c>
      <c r="L1648" s="10">
        <v>30.5</v>
      </c>
      <c r="M1648" s="6" t="s">
        <v>425</v>
      </c>
      <c r="N1648" s="6">
        <f>IF(OR($G1648="FCC",$G1648="Hydrocracker",$G1648="Reformer"),IF(COUNTIFS($D:$D,$D1648,$A:$A,$A1648,$B:$B,$B1648,$G:$G,"CDU",$J:$J,"PLANNED")&gt;0,"tied","standalone"),"")</f>
        <v/>
      </c>
    </row>
    <row r="1649" spans="1:14">
      <c r="A1649" s="6">
        <v>2023</v>
      </c>
      <c r="B1649" s="6">
        <v>7</v>
      </c>
      <c r="C1649" s="6" t="s">
        <v>66</v>
      </c>
      <c r="D1649" s="6" t="s">
        <v>720</v>
      </c>
      <c r="E1649" s="6" t="s">
        <v>455</v>
      </c>
      <c r="F1649" s="6" t="str">
        <f>IF($M1649="PADD I","PADD 1",IF($M1649="PADD II","PADD 2",IF($M1649="PADD III","PADD 3",IF($M1649="PADD IV","PADD 4",IF($M1649="PADD V","PADD 5","")))))</f>
        <v>PADD 2</v>
      </c>
      <c r="G1649" s="6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6" t="s">
        <v>471</v>
      </c>
      <c r="I1649" s="6" t="s">
        <v>240</v>
      </c>
      <c r="J1649" s="6" t="s">
        <v>394</v>
      </c>
      <c r="K1649" s="10">
        <v>5.76</v>
      </c>
      <c r="L1649" s="10">
        <v>36</v>
      </c>
      <c r="M1649" s="6" t="s">
        <v>425</v>
      </c>
      <c r="N1649" s="6" t="str">
        <f>IF(OR($G1649="FCC",$G1649="Hydrocracker",$G1649="Reformer"),IF(COUNTIFS($D:$D,$D1649,$A:$A,$A1649,$B:$B,$B1649,$G:$G,"CDU",$J:$J,"PLANNED")&gt;0,"tied","standalone"),"")</f>
        <v>standalone</v>
      </c>
    </row>
    <row r="1650" spans="1:14">
      <c r="A1650" s="6">
        <v>2023</v>
      </c>
      <c r="B1650" s="6">
        <v>7</v>
      </c>
      <c r="C1650" s="6" t="s">
        <v>66</v>
      </c>
      <c r="D1650" s="6" t="s">
        <v>380</v>
      </c>
      <c r="E1650" s="6" t="s">
        <v>423</v>
      </c>
      <c r="F1650" s="6" t="str">
        <f>IF($M1650="PADD I","PADD 1",IF($M1650="PADD II","PADD 2",IF($M1650="PADD III","PADD 3",IF($M1650="PADD IV","PADD 4",IF($M1650="PADD V","PADD 5","")))))</f>
        <v>PADD 2</v>
      </c>
      <c r="G1650" s="6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6" t="s">
        <v>44</v>
      </c>
      <c r="I1650" s="6" t="s">
        <v>970</v>
      </c>
      <c r="J1650" s="6" t="s">
        <v>394</v>
      </c>
      <c r="K1650" s="10">
        <v>5.7</v>
      </c>
      <c r="L1650" s="10">
        <v>30</v>
      </c>
      <c r="M1650" s="6" t="s">
        <v>425</v>
      </c>
      <c r="N1650" s="6">
        <f>IF(OR($G1650="FCC",$G1650="Hydrocracker",$G1650="Reformer"),IF(COUNTIFS($D:$D,$D1650,$A:$A,$A1650,$B:$B,$B1650,$G:$G,"CDU",$J:$J,"PLANNED")&gt;0,"tied","standalone"),"")</f>
        <v/>
      </c>
    </row>
    <row r="1651" spans="1:14">
      <c r="A1651" s="6">
        <v>2023</v>
      </c>
      <c r="B1651" s="6">
        <v>7</v>
      </c>
      <c r="C1651" s="6" t="s">
        <v>66</v>
      </c>
      <c r="D1651" s="6" t="s">
        <v>597</v>
      </c>
      <c r="E1651" s="6" t="s">
        <v>441</v>
      </c>
      <c r="F1651" s="6" t="str">
        <f>IF($M1651="PADD I","PADD 1",IF($M1651="PADD II","PADD 2",IF($M1651="PADD III","PADD 3",IF($M1651="PADD IV","PADD 4",IF($M1651="PADD V","PADD 5","")))))</f>
        <v>PADD 5</v>
      </c>
      <c r="G1651" s="6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6" t="s">
        <v>428</v>
      </c>
      <c r="I1651" s="6" t="s">
        <v>481</v>
      </c>
      <c r="J1651" s="6" t="s">
        <v>394</v>
      </c>
      <c r="K1651" s="10">
        <v>5.658</v>
      </c>
      <c r="L1651" s="10">
        <v>24.6</v>
      </c>
      <c r="M1651" s="6" t="s">
        <v>436</v>
      </c>
      <c r="N1651" s="6">
        <f>IF(OR($G1651="FCC",$G1651="Hydrocracker",$G1651="Reformer"),IF(COUNTIFS($D:$D,$D1651,$A:$A,$A1651,$B:$B,$B1651,$G:$G,"CDU",$J:$J,"PLANNED")&gt;0,"tied","standalone"),"")</f>
        <v/>
      </c>
    </row>
    <row r="1652" spans="1:14">
      <c r="A1652" s="6">
        <v>2023</v>
      </c>
      <c r="B1652" s="6">
        <v>7</v>
      </c>
      <c r="C1652" s="6" t="s">
        <v>66</v>
      </c>
      <c r="D1652" s="6" t="s">
        <v>915</v>
      </c>
      <c r="E1652" s="6" t="s">
        <v>419</v>
      </c>
      <c r="F1652" s="6" t="str">
        <f>IF($M1652="PADD I","PADD 1",IF($M1652="PADD II","PADD 2",IF($M1652="PADD III","PADD 3",IF($M1652="PADD IV","PADD 4",IF($M1652="PADD V","PADD 5","")))))</f>
        <v>PADD 4</v>
      </c>
      <c r="G1652" s="6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6" t="s">
        <v>428</v>
      </c>
      <c r="I1652" s="6" t="s">
        <v>917</v>
      </c>
      <c r="J1652" s="6" t="s">
        <v>394</v>
      </c>
      <c r="K1652" s="10">
        <v>5.6</v>
      </c>
      <c r="L1652" s="10">
        <v>35</v>
      </c>
      <c r="M1652" s="6" t="s">
        <v>480</v>
      </c>
      <c r="N1652" s="6">
        <f>IF(OR($G1652="FCC",$G1652="Hydrocracker",$G1652="Reformer"),IF(COUNTIFS($D:$D,$D1652,$A:$A,$A1652,$B:$B,$B1652,$G:$G,"CDU",$J:$J,"PLANNED")&gt;0,"tied","standalone"),"")</f>
        <v/>
      </c>
    </row>
    <row r="1653" spans="1:14">
      <c r="A1653" s="6">
        <v>2023</v>
      </c>
      <c r="B1653" s="6">
        <v>7</v>
      </c>
      <c r="C1653" s="6" t="s">
        <v>66</v>
      </c>
      <c r="D1653" s="6" t="s">
        <v>550</v>
      </c>
      <c r="E1653" s="6" t="s">
        <v>438</v>
      </c>
      <c r="F1653" s="6" t="str">
        <f>IF($M1653="PADD I","PADD 1",IF($M1653="PADD II","PADD 2",IF($M1653="PADD III","PADD 3",IF($M1653="PADD IV","PADD 4",IF($M1653="PADD V","PADD 5","")))))</f>
        <v>PADD 2</v>
      </c>
      <c r="G1653" s="6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6" t="s">
        <v>471</v>
      </c>
      <c r="I1653" s="6" t="s">
        <v>589</v>
      </c>
      <c r="J1653" s="6" t="s">
        <v>398</v>
      </c>
      <c r="K1653" s="10">
        <v>5.51</v>
      </c>
      <c r="L1653" s="10">
        <v>19</v>
      </c>
      <c r="M1653" s="6" t="s">
        <v>425</v>
      </c>
      <c r="N1653" s="6" t="str">
        <f>IF(OR($G1653="FCC",$G1653="Hydrocracker",$G1653="Reformer"),IF(COUNTIFS($D:$D,$D1653,$A:$A,$A1653,$B:$B,$B1653,$G:$G,"CDU",$J:$J,"PLANNED")&gt;0,"tied","standalone"),"")</f>
        <v>tied</v>
      </c>
    </row>
    <row r="1654" spans="1:14">
      <c r="A1654" s="6">
        <v>2023</v>
      </c>
      <c r="B1654" s="6">
        <v>7</v>
      </c>
      <c r="C1654" s="6" t="s">
        <v>66</v>
      </c>
      <c r="D1654" s="6" t="s">
        <v>470</v>
      </c>
      <c r="E1654" s="6" t="s">
        <v>423</v>
      </c>
      <c r="F1654" s="6" t="str">
        <f>IF($M1654="PADD I","PADD 1",IF($M1654="PADD II","PADD 2",IF($M1654="PADD III","PADD 3",IF($M1654="PADD IV","PADD 4",IF($M1654="PADD V","PADD 5","")))))</f>
        <v>PADD 2</v>
      </c>
      <c r="G1654" s="6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6" t="s">
        <v>44</v>
      </c>
      <c r="I1654" s="6" t="s">
        <v>638</v>
      </c>
      <c r="J1654" s="6" t="s">
        <v>394</v>
      </c>
      <c r="K1654" s="10">
        <v>5.5</v>
      </c>
      <c r="L1654" s="10">
        <v>5.5</v>
      </c>
      <c r="M1654" s="6" t="s">
        <v>425</v>
      </c>
      <c r="N1654" s="6">
        <f>IF(OR($G1654="FCC",$G1654="Hydrocracker",$G1654="Reformer"),IF(COUNTIFS($D:$D,$D1654,$A:$A,$A1654,$B:$B,$B1654,$G:$G,"CDU",$J:$J,"PLANNED")&gt;0,"tied","standalone"),"")</f>
        <v/>
      </c>
    </row>
    <row r="1655" spans="1:14">
      <c r="A1655" s="6">
        <v>2023</v>
      </c>
      <c r="B1655" s="6">
        <v>7</v>
      </c>
      <c r="C1655" s="6" t="s">
        <v>66</v>
      </c>
      <c r="D1655" s="6" t="s">
        <v>550</v>
      </c>
      <c r="E1655" s="6" t="s">
        <v>438</v>
      </c>
      <c r="F1655" s="6" t="str">
        <f>IF($M1655="PADD I","PADD 1",IF($M1655="PADD II","PADD 2",IF($M1655="PADD III","PADD 3",IF($M1655="PADD IV","PADD 4",IF($M1655="PADD V","PADD 5","")))))</f>
        <v>PADD 2</v>
      </c>
      <c r="G1655" s="6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6" t="s">
        <v>44</v>
      </c>
      <c r="I1655" s="6" t="s">
        <v>971</v>
      </c>
      <c r="J1655" s="6" t="s">
        <v>398</v>
      </c>
      <c r="K1655" s="10">
        <v>5.2</v>
      </c>
      <c r="L1655" s="10">
        <v>20</v>
      </c>
      <c r="M1655" s="6" t="s">
        <v>425</v>
      </c>
      <c r="N1655" s="6">
        <f>IF(OR($G1655="FCC",$G1655="Hydrocracker",$G1655="Reformer"),IF(COUNTIFS($D:$D,$D1655,$A:$A,$A1655,$B:$B,$B1655,$G:$G,"CDU",$J:$J,"PLANNED")&gt;0,"tied","standalone"),"")</f>
        <v/>
      </c>
    </row>
    <row r="1656" spans="1:14">
      <c r="A1656" s="6">
        <v>2023</v>
      </c>
      <c r="B1656" s="6">
        <v>7</v>
      </c>
      <c r="C1656" s="6" t="s">
        <v>66</v>
      </c>
      <c r="D1656" s="6" t="s">
        <v>880</v>
      </c>
      <c r="E1656" s="6" t="s">
        <v>438</v>
      </c>
      <c r="F1656" s="6" t="str">
        <f>IF($M1656="PADD I","PADD 1",IF($M1656="PADD II","PADD 2",IF($M1656="PADD III","PADD 3",IF($M1656="PADD IV","PADD 4",IF($M1656="PADD V","PADD 5","")))))</f>
        <v>PADD 2</v>
      </c>
      <c r="G1656" s="6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6" t="s">
        <v>44</v>
      </c>
      <c r="I1656" s="6" t="s">
        <v>535</v>
      </c>
      <c r="J1656" s="6" t="s">
        <v>394</v>
      </c>
      <c r="K1656" s="10">
        <v>5.04</v>
      </c>
      <c r="L1656" s="10">
        <v>6</v>
      </c>
      <c r="M1656" s="6" t="s">
        <v>425</v>
      </c>
      <c r="N1656" s="6">
        <f>IF(OR($G1656="FCC",$G1656="Hydrocracker",$G1656="Reformer"),IF(COUNTIFS($D:$D,$D1656,$A:$A,$A1656,$B:$B,$B1656,$G:$G,"CDU",$J:$J,"PLANNED")&gt;0,"tied","standalone"),"")</f>
        <v/>
      </c>
    </row>
    <row r="1657" spans="1:14">
      <c r="A1657" s="6">
        <v>2023</v>
      </c>
      <c r="B1657" s="6">
        <v>7</v>
      </c>
      <c r="C1657" s="6" t="s">
        <v>66</v>
      </c>
      <c r="D1657" s="6" t="s">
        <v>479</v>
      </c>
      <c r="E1657" s="6" t="s">
        <v>438</v>
      </c>
      <c r="F1657" s="6" t="str">
        <f>IF($M1657="PADD I","PADD 1",IF($M1657="PADD II","PADD 2",IF($M1657="PADD III","PADD 3",IF($M1657="PADD IV","PADD 4",IF($M1657="PADD V","PADD 5","")))))</f>
        <v>PADD 4</v>
      </c>
      <c r="G1657" s="6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6" t="s">
        <v>44</v>
      </c>
      <c r="I1657" s="6" t="s">
        <v>564</v>
      </c>
      <c r="J1657" s="6" t="s">
        <v>394</v>
      </c>
      <c r="K1657" s="10">
        <v>4.959</v>
      </c>
      <c r="L1657" s="10">
        <v>17.1</v>
      </c>
      <c r="M1657" s="6" t="s">
        <v>480</v>
      </c>
      <c r="N1657" s="6">
        <f>IF(OR($G1657="FCC",$G1657="Hydrocracker",$G1657="Reformer"),IF(COUNTIFS($D:$D,$D1657,$A:$A,$A1657,$B:$B,$B1657,$G:$G,"CDU",$J:$J,"PLANNED")&gt;0,"tied","standalone"),"")</f>
        <v/>
      </c>
    </row>
    <row r="1658" spans="1:14">
      <c r="A1658" s="6">
        <v>2023</v>
      </c>
      <c r="B1658" s="6">
        <v>7</v>
      </c>
      <c r="C1658" s="6" t="s">
        <v>66</v>
      </c>
      <c r="D1658" s="6" t="s">
        <v>380</v>
      </c>
      <c r="E1658" s="6" t="s">
        <v>423</v>
      </c>
      <c r="F1658" s="6" t="str">
        <f>IF($M1658="PADD I","PADD 1",IF($M1658="PADD II","PADD 2",IF($M1658="PADD III","PADD 3",IF($M1658="PADD IV","PADD 4",IF($M1658="PADD V","PADD 5","")))))</f>
        <v>PADD 2</v>
      </c>
      <c r="G1658" s="6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6" t="s">
        <v>494</v>
      </c>
      <c r="I1658" s="6" t="s">
        <v>495</v>
      </c>
      <c r="J1658" s="6" t="s">
        <v>394</v>
      </c>
      <c r="K1658" s="10">
        <v>4.94</v>
      </c>
      <c r="L1658" s="10">
        <v>26</v>
      </c>
      <c r="M1658" s="6" t="s">
        <v>425</v>
      </c>
      <c r="N1658" s="6" t="str">
        <f>IF(OR($G1658="FCC",$G1658="Hydrocracker",$G1658="Reformer"),IF(COUNTIFS($D:$D,$D1658,$A:$A,$A1658,$B:$B,$B1658,$G:$G,"CDU",$J:$J,"PLANNED")&gt;0,"tied","standalone"),"")</f>
        <v>standalone</v>
      </c>
    </row>
    <row r="1659" spans="1:14">
      <c r="A1659" s="6">
        <v>2023</v>
      </c>
      <c r="B1659" s="6">
        <v>7</v>
      </c>
      <c r="C1659" s="6" t="s">
        <v>66</v>
      </c>
      <c r="D1659" s="6" t="s">
        <v>972</v>
      </c>
      <c r="E1659" s="6" t="s">
        <v>502</v>
      </c>
      <c r="F1659" s="6" t="str">
        <f>IF($M1659="PADD I","PADD 1",IF($M1659="PADD II","PADD 2",IF($M1659="PADD III","PADD 3",IF($M1659="PADD IV","PADD 4",IF($M1659="PADD V","PADD 5","")))))</f>
        <v>PADD 4</v>
      </c>
      <c r="G1659" s="6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6" t="s">
        <v>39</v>
      </c>
      <c r="I1659" s="6" t="s">
        <v>973</v>
      </c>
      <c r="J1659" s="6" t="s">
        <v>398</v>
      </c>
      <c r="K1659" s="10">
        <v>4.75</v>
      </c>
      <c r="L1659" s="10">
        <v>25</v>
      </c>
      <c r="M1659" s="6" t="s">
        <v>480</v>
      </c>
      <c r="N1659" s="6">
        <f>IF(OR($G1659="FCC",$G1659="Hydrocracker",$G1659="Reformer"),IF(COUNTIFS($D:$D,$D1659,$A:$A,$A1659,$B:$B,$B1659,$G:$G,"CDU",$J:$J,"PLANNED")&gt;0,"tied","standalone"),"")</f>
        <v/>
      </c>
    </row>
    <row r="1660" spans="1:14">
      <c r="A1660" s="6">
        <v>2023</v>
      </c>
      <c r="B1660" s="6">
        <v>7</v>
      </c>
      <c r="C1660" s="6" t="s">
        <v>66</v>
      </c>
      <c r="D1660" s="6" t="s">
        <v>375</v>
      </c>
      <c r="E1660" s="6" t="s">
        <v>435</v>
      </c>
      <c r="F1660" s="6" t="str">
        <f>IF($M1660="PADD I","PADD 1",IF($M1660="PADD II","PADD 2",IF($M1660="PADD III","PADD 3",IF($M1660="PADD IV","PADD 4",IF($M1660="PADD V","PADD 5","")))))</f>
        <v>PADD 5</v>
      </c>
      <c r="G1660" s="6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6" t="s">
        <v>485</v>
      </c>
      <c r="I1660" s="6" t="s">
        <v>863</v>
      </c>
      <c r="J1660" s="6" t="s">
        <v>394</v>
      </c>
      <c r="K1660" s="10">
        <v>4.75</v>
      </c>
      <c r="L1660" s="10">
        <v>25</v>
      </c>
      <c r="M1660" s="6" t="s">
        <v>436</v>
      </c>
      <c r="N1660" s="6">
        <f>IF(OR($G1660="FCC",$G1660="Hydrocracker",$G1660="Reformer"),IF(COUNTIFS($D:$D,$D1660,$A:$A,$A1660,$B:$B,$B1660,$G:$G,"CDU",$J:$J,"PLANNED")&gt;0,"tied","standalone"),"")</f>
        <v/>
      </c>
    </row>
    <row r="1661" spans="1:14">
      <c r="A1661" s="6">
        <v>2023</v>
      </c>
      <c r="B1661" s="6">
        <v>7</v>
      </c>
      <c r="C1661" s="6" t="s">
        <v>66</v>
      </c>
      <c r="D1661" s="6" t="s">
        <v>828</v>
      </c>
      <c r="E1661" s="6" t="s">
        <v>829</v>
      </c>
      <c r="F1661" s="6" t="str">
        <f>IF($M1661="PADD I","PADD 1",IF($M1661="PADD II","PADD 2",IF($M1661="PADD III","PADD 3",IF($M1661="PADD IV","PADD 4",IF($M1661="PADD V","PADD 5","")))))</f>
        <v>PADD 3</v>
      </c>
      <c r="G1661" s="6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6" t="s">
        <v>39</v>
      </c>
      <c r="I1661" s="6" t="s">
        <v>855</v>
      </c>
      <c r="J1661" s="6" t="s">
        <v>394</v>
      </c>
      <c r="K1661" s="10">
        <v>4.5</v>
      </c>
      <c r="L1661" s="10">
        <v>75</v>
      </c>
      <c r="M1661" s="6" t="s">
        <v>421</v>
      </c>
      <c r="N1661" s="6">
        <f>IF(OR($G1661="FCC",$G1661="Hydrocracker",$G1661="Reformer"),IF(COUNTIFS($D:$D,$D1661,$A:$A,$A1661,$B:$B,$B1661,$G:$G,"CDU",$J:$J,"PLANNED")&gt;0,"tied","standalone"),"")</f>
        <v/>
      </c>
    </row>
    <row r="1662" spans="1:14">
      <c r="A1662" s="6">
        <v>2023</v>
      </c>
      <c r="B1662" s="6">
        <v>7</v>
      </c>
      <c r="C1662" s="6" t="s">
        <v>66</v>
      </c>
      <c r="D1662" s="6" t="s">
        <v>550</v>
      </c>
      <c r="E1662" s="6" t="s">
        <v>438</v>
      </c>
      <c r="F1662" s="6" t="str">
        <f>IF($M1662="PADD I","PADD 1",IF($M1662="PADD II","PADD 2",IF($M1662="PADD III","PADD 3",IF($M1662="PADD IV","PADD 4",IF($M1662="PADD V","PADD 5","")))))</f>
        <v>PADD 2</v>
      </c>
      <c r="G1662" s="6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6" t="s">
        <v>44</v>
      </c>
      <c r="I1662" s="6" t="s">
        <v>570</v>
      </c>
      <c r="J1662" s="6" t="s">
        <v>394</v>
      </c>
      <c r="K1662" s="10">
        <v>4.465</v>
      </c>
      <c r="L1662" s="10">
        <v>23.5</v>
      </c>
      <c r="M1662" s="6" t="s">
        <v>425</v>
      </c>
      <c r="N1662" s="6">
        <f>IF(OR($G1662="FCC",$G1662="Hydrocracker",$G1662="Reformer"),IF(COUNTIFS($D:$D,$D1662,$A:$A,$A1662,$B:$B,$B1662,$G:$G,"CDU",$J:$J,"PLANNED")&gt;0,"tied","standalone"),"")</f>
        <v/>
      </c>
    </row>
    <row r="1663" spans="1:14">
      <c r="A1663" s="6">
        <v>2023</v>
      </c>
      <c r="B1663" s="6">
        <v>7</v>
      </c>
      <c r="C1663" s="6" t="s">
        <v>66</v>
      </c>
      <c r="D1663" s="6" t="s">
        <v>550</v>
      </c>
      <c r="E1663" s="6" t="s">
        <v>438</v>
      </c>
      <c r="F1663" s="6" t="str">
        <f>IF($M1663="PADD I","PADD 1",IF($M1663="PADD II","PADD 2",IF($M1663="PADD III","PADD 3",IF($M1663="PADD IV","PADD 4",IF($M1663="PADD V","PADD 5","")))))</f>
        <v>PADD 2</v>
      </c>
      <c r="G1663" s="6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6" t="s">
        <v>44</v>
      </c>
      <c r="I1663" s="6" t="s">
        <v>974</v>
      </c>
      <c r="J1663" s="6" t="s">
        <v>398</v>
      </c>
      <c r="K1663" s="10">
        <v>3.9</v>
      </c>
      <c r="L1663" s="10">
        <v>15</v>
      </c>
      <c r="M1663" s="6" t="s">
        <v>425</v>
      </c>
      <c r="N1663" s="6">
        <f>IF(OR($G1663="FCC",$G1663="Hydrocracker",$G1663="Reformer"),IF(COUNTIFS($D:$D,$D1663,$A:$A,$A1663,$B:$B,$B1663,$G:$G,"CDU",$J:$J,"PLANNED")&gt;0,"tied","standalone"),"")</f>
        <v/>
      </c>
    </row>
    <row r="1664" spans="1:14">
      <c r="A1664" s="6">
        <v>2023</v>
      </c>
      <c r="B1664" s="6">
        <v>7</v>
      </c>
      <c r="C1664" s="6" t="s">
        <v>66</v>
      </c>
      <c r="D1664" s="6" t="s">
        <v>380</v>
      </c>
      <c r="E1664" s="6" t="s">
        <v>423</v>
      </c>
      <c r="F1664" s="6" t="str">
        <f>IF($M1664="PADD I","PADD 1",IF($M1664="PADD II","PADD 2",IF($M1664="PADD III","PADD 3",IF($M1664="PADD IV","PADD 4",IF($M1664="PADD V","PADD 5","")))))</f>
        <v>PADD 2</v>
      </c>
      <c r="G1664" s="6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6" t="s">
        <v>44</v>
      </c>
      <c r="I1664" s="6" t="s">
        <v>975</v>
      </c>
      <c r="J1664" s="6" t="s">
        <v>394</v>
      </c>
      <c r="K1664" s="10">
        <v>3.8</v>
      </c>
      <c r="L1664" s="10">
        <v>20</v>
      </c>
      <c r="M1664" s="6" t="s">
        <v>425</v>
      </c>
      <c r="N1664" s="6">
        <f>IF(OR($G1664="FCC",$G1664="Hydrocracker",$G1664="Reformer"),IF(COUNTIFS($D:$D,$D1664,$A:$A,$A1664,$B:$B,$B1664,$G:$G,"CDU",$J:$J,"PLANNED")&gt;0,"tied","standalone"),"")</f>
        <v/>
      </c>
    </row>
    <row r="1665" spans="1:14">
      <c r="A1665" s="6">
        <v>2023</v>
      </c>
      <c r="B1665" s="6">
        <v>7</v>
      </c>
      <c r="C1665" s="6" t="s">
        <v>66</v>
      </c>
      <c r="D1665" s="6" t="s">
        <v>597</v>
      </c>
      <c r="E1665" s="6" t="s">
        <v>441</v>
      </c>
      <c r="F1665" s="6" t="str">
        <f>IF($M1665="PADD I","PADD 1",IF($M1665="PADD II","PADD 2",IF($M1665="PADD III","PADD 3",IF($M1665="PADD IV","PADD 4",IF($M1665="PADD V","PADD 5","")))))</f>
        <v>PADD 5</v>
      </c>
      <c r="G1665" s="6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6" t="s">
        <v>426</v>
      </c>
      <c r="I1665" s="6" t="s">
        <v>106</v>
      </c>
      <c r="J1665" s="6" t="s">
        <v>394</v>
      </c>
      <c r="K1665" s="10">
        <v>3.68</v>
      </c>
      <c r="L1665" s="10">
        <v>16</v>
      </c>
      <c r="M1665" s="6" t="s">
        <v>436</v>
      </c>
      <c r="N1665" s="6" t="str">
        <f>IF(OR($G1665="FCC",$G1665="Hydrocracker",$G1665="Reformer"),IF(COUNTIFS($D:$D,$D1665,$A:$A,$A1665,$B:$B,$B1665,$G:$G,"CDU",$J:$J,"PLANNED")&gt;0,"tied","standalone"),"")</f>
        <v>standalone</v>
      </c>
    </row>
    <row r="1666" spans="1:14">
      <c r="A1666" s="6">
        <v>2023</v>
      </c>
      <c r="B1666" s="6">
        <v>7</v>
      </c>
      <c r="C1666" s="6" t="s">
        <v>66</v>
      </c>
      <c r="D1666" s="6" t="s">
        <v>597</v>
      </c>
      <c r="E1666" s="6" t="s">
        <v>441</v>
      </c>
      <c r="F1666" s="6" t="str">
        <f>IF($M1666="PADD I","PADD 1",IF($M1666="PADD II","PADD 2",IF($M1666="PADD III","PADD 3",IF($M1666="PADD IV","PADD 4",IF($M1666="PADD V","PADD 5","")))))</f>
        <v>PADD 5</v>
      </c>
      <c r="G1666" s="6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6" t="s">
        <v>44</v>
      </c>
      <c r="I1666" s="6" t="s">
        <v>976</v>
      </c>
      <c r="J1666" s="6" t="s">
        <v>394</v>
      </c>
      <c r="K1666" s="10">
        <v>3.68</v>
      </c>
      <c r="L1666" s="10">
        <v>16</v>
      </c>
      <c r="M1666" s="6" t="s">
        <v>436</v>
      </c>
      <c r="N1666" s="6">
        <f>IF(OR($G1666="FCC",$G1666="Hydrocracker",$G1666="Reformer"),IF(COUNTIFS($D:$D,$D1666,$A:$A,$A1666,$B:$B,$B1666,$G:$G,"CDU",$J:$J,"PLANNED")&gt;0,"tied","standalone"),"")</f>
        <v/>
      </c>
    </row>
    <row r="1667" spans="1:14">
      <c r="A1667" s="6">
        <v>2023</v>
      </c>
      <c r="B1667" s="6">
        <v>7</v>
      </c>
      <c r="C1667" s="6" t="s">
        <v>66</v>
      </c>
      <c r="D1667" s="6" t="s">
        <v>52</v>
      </c>
      <c r="E1667" s="6" t="s">
        <v>441</v>
      </c>
      <c r="F1667" s="6" t="str">
        <f>IF($M1667="PADD I","PADD 1",IF($M1667="PADD II","PADD 2",IF($M1667="PADD III","PADD 3",IF($M1667="PADD IV","PADD 4",IF($M1667="PADD V","PADD 5","")))))</f>
        <v>PADD 5</v>
      </c>
      <c r="G1667" s="6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6" t="s">
        <v>471</v>
      </c>
      <c r="I1667" s="6" t="s">
        <v>589</v>
      </c>
      <c r="J1667" s="6" t="s">
        <v>394</v>
      </c>
      <c r="K1667" s="10">
        <v>3.6</v>
      </c>
      <c r="L1667" s="10">
        <v>60</v>
      </c>
      <c r="M1667" s="6" t="s">
        <v>436</v>
      </c>
      <c r="N1667" s="6" t="str">
        <f>IF(OR($G1667="FCC",$G1667="Hydrocracker",$G1667="Reformer"),IF(COUNTIFS($D:$D,$D1667,$A:$A,$A1667,$B:$B,$B1667,$G:$G,"CDU",$J:$J,"PLANNED")&gt;0,"tied","standalone"),"")</f>
        <v>standalone</v>
      </c>
    </row>
    <row r="1668" spans="1:14">
      <c r="A1668" s="6">
        <v>2023</v>
      </c>
      <c r="B1668" s="6">
        <v>7</v>
      </c>
      <c r="C1668" s="6" t="s">
        <v>66</v>
      </c>
      <c r="D1668" s="6" t="s">
        <v>712</v>
      </c>
      <c r="E1668" s="6" t="s">
        <v>602</v>
      </c>
      <c r="F1668" s="6" t="str">
        <f>IF($M1668="PADD I","PADD 1",IF($M1668="PADD II","PADD 2",IF($M1668="PADD III","PADD 3",IF($M1668="PADD IV","PADD 4",IF($M1668="PADD V","PADD 5","")))))</f>
        <v>PADD 3</v>
      </c>
      <c r="G1668" s="6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6" t="s">
        <v>44</v>
      </c>
      <c r="I1668" s="6" t="s">
        <v>977</v>
      </c>
      <c r="J1668" s="6" t="s">
        <v>398</v>
      </c>
      <c r="K1668" s="10">
        <v>3.315</v>
      </c>
      <c r="L1668" s="10">
        <v>25.5</v>
      </c>
      <c r="M1668" s="6" t="s">
        <v>421</v>
      </c>
      <c r="N1668" s="6">
        <f>IF(OR($G1668="FCC",$G1668="Hydrocracker",$G1668="Reformer"),IF(COUNTIFS($D:$D,$D1668,$A:$A,$A1668,$B:$B,$B1668,$G:$G,"CDU",$J:$J,"PLANNED")&gt;0,"tied","standalone"),"")</f>
        <v/>
      </c>
    </row>
    <row r="1669" spans="1:14">
      <c r="A1669" s="6">
        <v>2023</v>
      </c>
      <c r="B1669" s="6">
        <v>7</v>
      </c>
      <c r="C1669" s="6" t="s">
        <v>66</v>
      </c>
      <c r="D1669" s="6" t="s">
        <v>490</v>
      </c>
      <c r="E1669" s="6" t="s">
        <v>419</v>
      </c>
      <c r="F1669" s="6" t="str">
        <f>IF($M1669="PADD I","PADD 1",IF($M1669="PADD II","PADD 2",IF($M1669="PADD III","PADD 3",IF($M1669="PADD IV","PADD 4",IF($M1669="PADD V","PADD 5","")))))</f>
        <v>PADD 5</v>
      </c>
      <c r="G1669" s="6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6" t="s">
        <v>485</v>
      </c>
      <c r="I1669" s="6" t="s">
        <v>491</v>
      </c>
      <c r="J1669" s="6" t="s">
        <v>394</v>
      </c>
      <c r="K1669" s="10">
        <v>3.18</v>
      </c>
      <c r="L1669" s="10">
        <v>53</v>
      </c>
      <c r="M1669" s="6" t="s">
        <v>436</v>
      </c>
      <c r="N1669" s="6">
        <f>IF(OR($G1669="FCC",$G1669="Hydrocracker",$G1669="Reformer"),IF(COUNTIFS($D:$D,$D1669,$A:$A,$A1669,$B:$B,$B1669,$G:$G,"CDU",$J:$J,"PLANNED")&gt;0,"tied","standalone"),"")</f>
        <v/>
      </c>
    </row>
    <row r="1670" spans="1:14">
      <c r="A1670" s="6">
        <v>2023</v>
      </c>
      <c r="B1670" s="6">
        <v>7</v>
      </c>
      <c r="C1670" s="6" t="s">
        <v>66</v>
      </c>
      <c r="D1670" s="6" t="s">
        <v>576</v>
      </c>
      <c r="E1670" s="6" t="s">
        <v>455</v>
      </c>
      <c r="F1670" s="6" t="str">
        <f>IF($M1670="PADD I","PADD 1",IF($M1670="PADD II","PADD 2",IF($M1670="PADD III","PADD 3",IF($M1670="PADD IV","PADD 4",IF($M1670="PADD V","PADD 5","")))))</f>
        <v>PADD 3</v>
      </c>
      <c r="G1670" s="6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6" t="s">
        <v>471</v>
      </c>
      <c r="I1670" s="6" t="s">
        <v>647</v>
      </c>
      <c r="J1670" s="6" t="s">
        <v>394</v>
      </c>
      <c r="K1670" s="10">
        <v>3.18</v>
      </c>
      <c r="L1670" s="10">
        <v>53</v>
      </c>
      <c r="M1670" s="6" t="s">
        <v>421</v>
      </c>
      <c r="N1670" s="6" t="str">
        <f>IF(OR($G1670="FCC",$G1670="Hydrocracker",$G1670="Reformer"),IF(COUNTIFS($D:$D,$D1670,$A:$A,$A1670,$B:$B,$B1670,$G:$G,"CDU",$J:$J,"PLANNED")&gt;0,"tied","standalone"),"")</f>
        <v>standalone</v>
      </c>
    </row>
    <row r="1671" spans="1:14">
      <c r="A1671" s="6">
        <v>2023</v>
      </c>
      <c r="B1671" s="6">
        <v>7</v>
      </c>
      <c r="C1671" s="6" t="s">
        <v>66</v>
      </c>
      <c r="D1671" s="6" t="s">
        <v>576</v>
      </c>
      <c r="E1671" s="6" t="s">
        <v>455</v>
      </c>
      <c r="F1671" s="6" t="str">
        <f>IF($M1671="PADD I","PADD 1",IF($M1671="PADD II","PADD 2",IF($M1671="PADD III","PADD 3",IF($M1671="PADD IV","PADD 4",IF($M1671="PADD V","PADD 5","")))))</f>
        <v>PADD 3</v>
      </c>
      <c r="G1671" s="6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6" t="s">
        <v>471</v>
      </c>
      <c r="I1671" s="6" t="s">
        <v>978</v>
      </c>
      <c r="J1671" s="6" t="s">
        <v>394</v>
      </c>
      <c r="K1671" s="10">
        <v>3</v>
      </c>
      <c r="L1671" s="10">
        <v>50</v>
      </c>
      <c r="M1671" s="6" t="s">
        <v>421</v>
      </c>
      <c r="N1671" s="6" t="str">
        <f>IF(OR($G1671="FCC",$G1671="Hydrocracker",$G1671="Reformer"),IF(COUNTIFS($D:$D,$D1671,$A:$A,$A1671,$B:$B,$B1671,$G:$G,"CDU",$J:$J,"PLANNED")&gt;0,"tied","standalone"),"")</f>
        <v>standalone</v>
      </c>
    </row>
    <row r="1672" spans="1:14">
      <c r="A1672" s="6">
        <v>2023</v>
      </c>
      <c r="B1672" s="6">
        <v>7</v>
      </c>
      <c r="C1672" s="6" t="s">
        <v>66</v>
      </c>
      <c r="D1672" s="6" t="s">
        <v>592</v>
      </c>
      <c r="E1672" s="6" t="s">
        <v>593</v>
      </c>
      <c r="F1672" s="6" t="str">
        <f>IF($M1672="PADD I","PADD 1",IF($M1672="PADD II","PADD 2",IF($M1672="PADD III","PADD 3",IF($M1672="PADD IV","PADD 4",IF($M1672="PADD V","PADD 5","")))))</f>
        <v>PADD 2</v>
      </c>
      <c r="G1672" s="6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6" t="s">
        <v>44</v>
      </c>
      <c r="I1672" s="6" t="s">
        <v>601</v>
      </c>
      <c r="J1672" s="6" t="s">
        <v>394</v>
      </c>
      <c r="K1672" s="10">
        <v>3</v>
      </c>
      <c r="L1672" s="10">
        <v>100</v>
      </c>
      <c r="M1672" s="6" t="s">
        <v>425</v>
      </c>
      <c r="N1672" s="6">
        <f>IF(OR($G1672="FCC",$G1672="Hydrocracker",$G1672="Reformer"),IF(COUNTIFS($D:$D,$D1672,$A:$A,$A1672,$B:$B,$B1672,$G:$G,"CDU",$J:$J,"PLANNED")&gt;0,"tied","standalone"),"")</f>
        <v/>
      </c>
    </row>
    <row r="1673" spans="1:14">
      <c r="A1673" s="6">
        <v>2023</v>
      </c>
      <c r="B1673" s="6">
        <v>7</v>
      </c>
      <c r="C1673" s="6" t="s">
        <v>66</v>
      </c>
      <c r="D1673" s="6" t="s">
        <v>568</v>
      </c>
      <c r="E1673" s="6" t="s">
        <v>419</v>
      </c>
      <c r="F1673" s="6" t="str">
        <f>IF($M1673="PADD I","PADD 1",IF($M1673="PADD II","PADD 2",IF($M1673="PADD III","PADD 3",IF($M1673="PADD IV","PADD 4",IF($M1673="PADD V","PADD 5","")))))</f>
        <v>PADD 5</v>
      </c>
      <c r="G1673" s="6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6" t="s">
        <v>494</v>
      </c>
      <c r="I1673" s="6" t="s">
        <v>632</v>
      </c>
      <c r="J1673" s="6" t="s">
        <v>394</v>
      </c>
      <c r="K1673" s="10">
        <v>2.99</v>
      </c>
      <c r="L1673" s="10">
        <v>23</v>
      </c>
      <c r="M1673" s="6" t="s">
        <v>436</v>
      </c>
      <c r="N1673" s="6" t="str">
        <f>IF(OR($G1673="FCC",$G1673="Hydrocracker",$G1673="Reformer"),IF(COUNTIFS($D:$D,$D1673,$A:$A,$A1673,$B:$B,$B1673,$G:$G,"CDU",$J:$J,"PLANNED")&gt;0,"tied","standalone"),"")</f>
        <v>standalone</v>
      </c>
    </row>
    <row r="1674" spans="1:14">
      <c r="A1674" s="6">
        <v>2023</v>
      </c>
      <c r="B1674" s="6">
        <v>7</v>
      </c>
      <c r="C1674" s="6" t="s">
        <v>66</v>
      </c>
      <c r="D1674" s="6" t="s">
        <v>712</v>
      </c>
      <c r="E1674" s="6" t="s">
        <v>602</v>
      </c>
      <c r="F1674" s="6" t="str">
        <f>IF($M1674="PADD I","PADD 1",IF($M1674="PADD II","PADD 2",IF($M1674="PADD III","PADD 3",IF($M1674="PADD IV","PADD 4",IF($M1674="PADD V","PADD 5","")))))</f>
        <v>PADD 3</v>
      </c>
      <c r="G1674" s="6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6" t="s">
        <v>44</v>
      </c>
      <c r="I1674" s="6" t="s">
        <v>785</v>
      </c>
      <c r="J1674" s="6" t="s">
        <v>398</v>
      </c>
      <c r="K1674" s="10">
        <v>2.99</v>
      </c>
      <c r="L1674" s="10">
        <v>23</v>
      </c>
      <c r="M1674" s="6" t="s">
        <v>421</v>
      </c>
      <c r="N1674" s="6">
        <f>IF(OR($G1674="FCC",$G1674="Hydrocracker",$G1674="Reformer"),IF(COUNTIFS($D:$D,$D1674,$A:$A,$A1674,$B:$B,$B1674,$G:$G,"CDU",$J:$J,"PLANNED")&gt;0,"tied","standalone"),"")</f>
        <v/>
      </c>
    </row>
    <row r="1675" spans="1:14">
      <c r="A1675" s="6">
        <v>2023</v>
      </c>
      <c r="B1675" s="6">
        <v>7</v>
      </c>
      <c r="C1675" s="6" t="s">
        <v>66</v>
      </c>
      <c r="D1675" s="6" t="s">
        <v>597</v>
      </c>
      <c r="E1675" s="6" t="s">
        <v>441</v>
      </c>
      <c r="F1675" s="6" t="str">
        <f>IF($M1675="PADD I","PADD 1",IF($M1675="PADD II","PADD 2",IF($M1675="PADD III","PADD 3",IF($M1675="PADD IV","PADD 4",IF($M1675="PADD V","PADD 5","")))))</f>
        <v>PADD 5</v>
      </c>
      <c r="G1675" s="6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6" t="s">
        <v>44</v>
      </c>
      <c r="I1675" s="6" t="s">
        <v>979</v>
      </c>
      <c r="J1675" s="6" t="s">
        <v>394</v>
      </c>
      <c r="K1675" s="10">
        <v>2.9808</v>
      </c>
      <c r="L1675" s="10">
        <v>12.96</v>
      </c>
      <c r="M1675" s="6" t="s">
        <v>436</v>
      </c>
      <c r="N1675" s="6">
        <f>IF(OR($G1675="FCC",$G1675="Hydrocracker",$G1675="Reformer"),IF(COUNTIFS($D:$D,$D1675,$A:$A,$A1675,$B:$B,$B1675,$G:$G,"CDU",$J:$J,"PLANNED")&gt;0,"tied","standalone"),"")</f>
        <v/>
      </c>
    </row>
    <row r="1676" spans="1:14">
      <c r="A1676" s="6">
        <v>2023</v>
      </c>
      <c r="B1676" s="6">
        <v>7</v>
      </c>
      <c r="C1676" s="6" t="s">
        <v>66</v>
      </c>
      <c r="D1676" s="6" t="s">
        <v>368</v>
      </c>
      <c r="E1676" s="6" t="s">
        <v>715</v>
      </c>
      <c r="F1676" s="6" t="str">
        <f>IF($M1676="PADD I","PADD 1",IF($M1676="PADD II","PADD 2",IF($M1676="PADD III","PADD 3",IF($M1676="PADD IV","PADD 4",IF($M1676="PADD V","PADD 5","")))))</f>
        <v>PADD 3</v>
      </c>
      <c r="G1676" s="6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6" t="s">
        <v>485</v>
      </c>
      <c r="I1676" s="6" t="s">
        <v>491</v>
      </c>
      <c r="J1676" s="6" t="s">
        <v>394</v>
      </c>
      <c r="K1676" s="10">
        <v>2.7794</v>
      </c>
      <c r="L1676" s="10">
        <v>21.38</v>
      </c>
      <c r="M1676" s="6" t="s">
        <v>421</v>
      </c>
      <c r="N1676" s="6">
        <f>IF(OR($G1676="FCC",$G1676="Hydrocracker",$G1676="Reformer"),IF(COUNTIFS($D:$D,$D1676,$A:$A,$A1676,$B:$B,$B1676,$G:$G,"CDU",$J:$J,"PLANNED")&gt;0,"tied","standalone"),"")</f>
        <v/>
      </c>
    </row>
    <row r="1677" spans="1:14">
      <c r="A1677" s="6">
        <v>2023</v>
      </c>
      <c r="B1677" s="6">
        <v>7</v>
      </c>
      <c r="C1677" s="6" t="s">
        <v>66</v>
      </c>
      <c r="D1677" s="6" t="s">
        <v>597</v>
      </c>
      <c r="E1677" s="6" t="s">
        <v>441</v>
      </c>
      <c r="F1677" s="6" t="str">
        <f>IF($M1677="PADD I","PADD 1",IF($M1677="PADD II","PADD 2",IF($M1677="PADD III","PADD 3",IF($M1677="PADD IV","PADD 4",IF($M1677="PADD V","PADD 5","")))))</f>
        <v>PADD 5</v>
      </c>
      <c r="G1677" s="6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6" t="s">
        <v>494</v>
      </c>
      <c r="I1677" s="6" t="s">
        <v>784</v>
      </c>
      <c r="J1677" s="6" t="s">
        <v>394</v>
      </c>
      <c r="K1677" s="10">
        <v>2.76</v>
      </c>
      <c r="L1677" s="10">
        <v>12</v>
      </c>
      <c r="M1677" s="6" t="s">
        <v>436</v>
      </c>
      <c r="N1677" s="6" t="str">
        <f>IF(OR($G1677="FCC",$G1677="Hydrocracker",$G1677="Reformer"),IF(COUNTIFS($D:$D,$D1677,$A:$A,$A1677,$B:$B,$B1677,$G:$G,"CDU",$J:$J,"PLANNED")&gt;0,"tied","standalone"),"")</f>
        <v>standalone</v>
      </c>
    </row>
    <row r="1678" spans="1:14">
      <c r="A1678" s="6">
        <v>2023</v>
      </c>
      <c r="B1678" s="6">
        <v>7</v>
      </c>
      <c r="C1678" s="6" t="s">
        <v>66</v>
      </c>
      <c r="D1678" s="6" t="s">
        <v>597</v>
      </c>
      <c r="E1678" s="6" t="s">
        <v>441</v>
      </c>
      <c r="F1678" s="6" t="str">
        <f>IF($M1678="PADD I","PADD 1",IF($M1678="PADD II","PADD 2",IF($M1678="PADD III","PADD 3",IF($M1678="PADD IV","PADD 4",IF($M1678="PADD V","PADD 5","")))))</f>
        <v>PADD 5</v>
      </c>
      <c r="G1678" s="6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6" t="s">
        <v>44</v>
      </c>
      <c r="I1678" s="6" t="s">
        <v>980</v>
      </c>
      <c r="J1678" s="6" t="s">
        <v>394</v>
      </c>
      <c r="K1678" s="10">
        <v>2.714</v>
      </c>
      <c r="L1678" s="10">
        <v>11.8</v>
      </c>
      <c r="M1678" s="6" t="s">
        <v>436</v>
      </c>
      <c r="N1678" s="6">
        <f>IF(OR($G1678="FCC",$G1678="Hydrocracker",$G1678="Reformer"),IF(COUNTIFS($D:$D,$D1678,$A:$A,$A1678,$B:$B,$B1678,$G:$G,"CDU",$J:$J,"PLANNED")&gt;0,"tied","standalone"),"")</f>
        <v/>
      </c>
    </row>
    <row r="1679" spans="1:14">
      <c r="A1679" s="6">
        <v>2023</v>
      </c>
      <c r="B1679" s="6">
        <v>7</v>
      </c>
      <c r="C1679" s="6" t="s">
        <v>66</v>
      </c>
      <c r="D1679" s="6" t="s">
        <v>597</v>
      </c>
      <c r="E1679" s="6" t="s">
        <v>441</v>
      </c>
      <c r="F1679" s="6" t="str">
        <f>IF($M1679="PADD I","PADD 1",IF($M1679="PADD II","PADD 2",IF($M1679="PADD III","PADD 3",IF($M1679="PADD IV","PADD 4",IF($M1679="PADD V","PADD 5","")))))</f>
        <v>PADD 5</v>
      </c>
      <c r="G1679" s="6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6" t="s">
        <v>44</v>
      </c>
      <c r="I1679" s="6" t="s">
        <v>981</v>
      </c>
      <c r="J1679" s="6" t="s">
        <v>394</v>
      </c>
      <c r="K1679" s="10">
        <v>2.6496</v>
      </c>
      <c r="L1679" s="10">
        <v>11.52</v>
      </c>
      <c r="M1679" s="6" t="s">
        <v>436</v>
      </c>
      <c r="N1679" s="6">
        <f>IF(OR($G1679="FCC",$G1679="Hydrocracker",$G1679="Reformer"),IF(COUNTIFS($D:$D,$D1679,$A:$A,$A1679,$B:$B,$B1679,$G:$G,"CDU",$J:$J,"PLANNED")&gt;0,"tied","standalone"),"")</f>
        <v/>
      </c>
    </row>
    <row r="1680" spans="1:14">
      <c r="A1680" s="6">
        <v>2023</v>
      </c>
      <c r="B1680" s="6">
        <v>7</v>
      </c>
      <c r="C1680" s="6" t="s">
        <v>66</v>
      </c>
      <c r="D1680" s="6" t="s">
        <v>972</v>
      </c>
      <c r="E1680" s="6" t="s">
        <v>502</v>
      </c>
      <c r="F1680" s="6" t="str">
        <f>IF($M1680="PADD I","PADD 1",IF($M1680="PADD II","PADD 2",IF($M1680="PADD III","PADD 3",IF($M1680="PADD IV","PADD 4",IF($M1680="PADD V","PADD 5","")))))</f>
        <v>PADD 4</v>
      </c>
      <c r="G1680" s="6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6" t="s">
        <v>426</v>
      </c>
      <c r="I1680" s="6" t="s">
        <v>106</v>
      </c>
      <c r="J1680" s="6" t="s">
        <v>398</v>
      </c>
      <c r="K1680" s="10">
        <v>2.47</v>
      </c>
      <c r="L1680" s="10">
        <v>13</v>
      </c>
      <c r="M1680" s="6" t="s">
        <v>480</v>
      </c>
      <c r="N1680" s="6" t="str">
        <f>IF(OR($G1680="FCC",$G1680="Hydrocracker",$G1680="Reformer"),IF(COUNTIFS($D:$D,$D1680,$A:$A,$A1680,$B:$B,$B1680,$G:$G,"CDU",$J:$J,"PLANNED")&gt;0,"tied","standalone"),"")</f>
        <v>tied</v>
      </c>
    </row>
    <row r="1681" spans="1:14">
      <c r="A1681" s="6">
        <v>2023</v>
      </c>
      <c r="B1681" s="6">
        <v>7</v>
      </c>
      <c r="C1681" s="6" t="s">
        <v>66</v>
      </c>
      <c r="D1681" s="6" t="s">
        <v>695</v>
      </c>
      <c r="E1681" s="6" t="s">
        <v>438</v>
      </c>
      <c r="F1681" s="6" t="str">
        <f>IF($M1681="PADD I","PADD 1",IF($M1681="PADD II","PADD 2",IF($M1681="PADD III","PADD 3",IF($M1681="PADD IV","PADD 4",IF($M1681="PADD V","PADD 5","")))))</f>
        <v>PADD 3</v>
      </c>
      <c r="G1681" s="6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6" t="s">
        <v>44</v>
      </c>
      <c r="I1681" s="6" t="s">
        <v>499</v>
      </c>
      <c r="J1681" s="6" t="s">
        <v>394</v>
      </c>
      <c r="K1681" s="10">
        <v>2.4</v>
      </c>
      <c r="L1681" s="10">
        <v>80</v>
      </c>
      <c r="M1681" s="6" t="s">
        <v>421</v>
      </c>
      <c r="N1681" s="6">
        <f>IF(OR($G1681="FCC",$G1681="Hydrocracker",$G1681="Reformer"),IF(COUNTIFS($D:$D,$D1681,$A:$A,$A1681,$B:$B,$B1681,$G:$G,"CDU",$J:$J,"PLANNED")&gt;0,"tied","standalone"),"")</f>
        <v/>
      </c>
    </row>
    <row r="1682" spans="1:14">
      <c r="A1682" s="6">
        <v>2023</v>
      </c>
      <c r="B1682" s="6">
        <v>7</v>
      </c>
      <c r="C1682" s="6" t="s">
        <v>66</v>
      </c>
      <c r="D1682" s="6" t="s">
        <v>720</v>
      </c>
      <c r="E1682" s="6" t="s">
        <v>455</v>
      </c>
      <c r="F1682" s="6" t="str">
        <f>IF($M1682="PADD I","PADD 1",IF($M1682="PADD II","PADD 2",IF($M1682="PADD III","PADD 3",IF($M1682="PADD IV","PADD 4",IF($M1682="PADD V","PADD 5","")))))</f>
        <v>PADD 2</v>
      </c>
      <c r="G1682" s="6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6" t="s">
        <v>510</v>
      </c>
      <c r="I1682" s="6" t="s">
        <v>666</v>
      </c>
      <c r="J1682" s="6" t="s">
        <v>394</v>
      </c>
      <c r="K1682" s="10">
        <v>2.28</v>
      </c>
      <c r="L1682" s="10">
        <v>12</v>
      </c>
      <c r="M1682" s="6" t="s">
        <v>425</v>
      </c>
      <c r="N1682" s="6">
        <f>IF(OR($G1682="FCC",$G1682="Hydrocracker",$G1682="Reformer"),IF(COUNTIFS($D:$D,$D1682,$A:$A,$A1682,$B:$B,$B1682,$G:$G,"CDU",$J:$J,"PLANNED")&gt;0,"tied","standalone"),"")</f>
        <v/>
      </c>
    </row>
    <row r="1683" spans="1:14">
      <c r="A1683" s="6">
        <v>2023</v>
      </c>
      <c r="B1683" s="6">
        <v>7</v>
      </c>
      <c r="C1683" s="6" t="s">
        <v>66</v>
      </c>
      <c r="D1683" s="6" t="s">
        <v>470</v>
      </c>
      <c r="E1683" s="6" t="s">
        <v>423</v>
      </c>
      <c r="F1683" s="6" t="str">
        <f>IF($M1683="PADD I","PADD 1",IF($M1683="PADD II","PADD 2",IF($M1683="PADD III","PADD 3",IF($M1683="PADD IV","PADD 4",IF($M1683="PADD V","PADD 5","")))))</f>
        <v>PADD 2</v>
      </c>
      <c r="G1683" s="6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6" t="s">
        <v>618</v>
      </c>
      <c r="I1683" s="6" t="s">
        <v>654</v>
      </c>
      <c r="J1683" s="6" t="s">
        <v>394</v>
      </c>
      <c r="K1683" s="10">
        <v>2</v>
      </c>
      <c r="L1683" s="10">
        <v>2</v>
      </c>
      <c r="M1683" s="6" t="s">
        <v>425</v>
      </c>
      <c r="N1683" s="6">
        <f>IF(OR($G1683="FCC",$G1683="Hydrocracker",$G1683="Reformer"),IF(COUNTIFS($D:$D,$D1683,$A:$A,$A1683,$B:$B,$B1683,$G:$G,"CDU",$J:$J,"PLANNED")&gt;0,"tied","standalone"),"")</f>
        <v/>
      </c>
    </row>
    <row r="1684" spans="1:14">
      <c r="A1684" s="6">
        <v>2023</v>
      </c>
      <c r="B1684" s="6">
        <v>7</v>
      </c>
      <c r="C1684" s="6" t="s">
        <v>66</v>
      </c>
      <c r="D1684" s="6" t="s">
        <v>597</v>
      </c>
      <c r="E1684" s="6" t="s">
        <v>441</v>
      </c>
      <c r="F1684" s="6" t="str">
        <f>IF($M1684="PADD I","PADD 1",IF($M1684="PADD II","PADD 2",IF($M1684="PADD III","PADD 3",IF($M1684="PADD IV","PADD 4",IF($M1684="PADD V","PADD 5","")))))</f>
        <v>PADD 5</v>
      </c>
      <c r="G1684" s="6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6" t="s">
        <v>471</v>
      </c>
      <c r="I1684" s="6" t="s">
        <v>982</v>
      </c>
      <c r="J1684" s="6" t="s">
        <v>394</v>
      </c>
      <c r="K1684" s="10">
        <v>1.84</v>
      </c>
      <c r="L1684" s="10">
        <v>8</v>
      </c>
      <c r="M1684" s="6" t="s">
        <v>436</v>
      </c>
      <c r="N1684" s="6" t="str">
        <f>IF(OR($G1684="FCC",$G1684="Hydrocracker",$G1684="Reformer"),IF(COUNTIFS($D:$D,$D1684,$A:$A,$A1684,$B:$B,$B1684,$G:$G,"CDU",$J:$J,"PLANNED")&gt;0,"tied","standalone"),"")</f>
        <v>standalone</v>
      </c>
    </row>
    <row r="1685" spans="1:14">
      <c r="A1685" s="6">
        <v>2023</v>
      </c>
      <c r="B1685" s="6">
        <v>7</v>
      </c>
      <c r="C1685" s="6" t="s">
        <v>66</v>
      </c>
      <c r="D1685" s="6" t="s">
        <v>518</v>
      </c>
      <c r="E1685" s="6" t="s">
        <v>419</v>
      </c>
      <c r="F1685" s="6" t="str">
        <f>IF($M1685="PADD I","PADD 1",IF($M1685="PADD II","PADD 2",IF($M1685="PADD III","PADD 3",IF($M1685="PADD IV","PADD 4",IF($M1685="PADD V","PADD 5","")))))</f>
        <v>PADD 3</v>
      </c>
      <c r="G1685" s="6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6" t="s">
        <v>510</v>
      </c>
      <c r="I1685" s="6" t="s">
        <v>940</v>
      </c>
      <c r="J1685" s="6" t="s">
        <v>394</v>
      </c>
      <c r="K1685" s="10">
        <v>1.82</v>
      </c>
      <c r="L1685" s="10">
        <v>14</v>
      </c>
      <c r="M1685" s="6" t="s">
        <v>421</v>
      </c>
      <c r="N1685" s="6">
        <f>IF(OR($G1685="FCC",$G1685="Hydrocracker",$G1685="Reformer"),IF(COUNTIFS($D:$D,$D1685,$A:$A,$A1685,$B:$B,$B1685,$G:$G,"CDU",$J:$J,"PLANNED")&gt;0,"tied","standalone"),"")</f>
        <v/>
      </c>
    </row>
    <row r="1686" spans="1:14">
      <c r="A1686" s="6">
        <v>2023</v>
      </c>
      <c r="B1686" s="6">
        <v>7</v>
      </c>
      <c r="C1686" s="6" t="s">
        <v>66</v>
      </c>
      <c r="D1686" s="6" t="s">
        <v>972</v>
      </c>
      <c r="E1686" s="6" t="s">
        <v>502</v>
      </c>
      <c r="F1686" s="6" t="str">
        <f>IF($M1686="PADD I","PADD 1",IF($M1686="PADD II","PADD 2",IF($M1686="PADD III","PADD 3",IF($M1686="PADD IV","PADD 4",IF($M1686="PADD V","PADD 5","")))))</f>
        <v>PADD 4</v>
      </c>
      <c r="G1686" s="6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6" t="s">
        <v>44</v>
      </c>
      <c r="I1686" s="6" t="s">
        <v>983</v>
      </c>
      <c r="J1686" s="6" t="s">
        <v>398</v>
      </c>
      <c r="K1686" s="10">
        <v>1.805</v>
      </c>
      <c r="L1686" s="10">
        <v>9.5</v>
      </c>
      <c r="M1686" s="6" t="s">
        <v>480</v>
      </c>
      <c r="N1686" s="6">
        <f>IF(OR($G1686="FCC",$G1686="Hydrocracker",$G1686="Reformer"),IF(COUNTIFS($D:$D,$D1686,$A:$A,$A1686,$B:$B,$B1686,$G:$G,"CDU",$J:$J,"PLANNED")&gt;0,"tied","standalone"),"")</f>
        <v/>
      </c>
    </row>
    <row r="1687" spans="1:14">
      <c r="A1687" s="6">
        <v>2023</v>
      </c>
      <c r="B1687" s="6">
        <v>7</v>
      </c>
      <c r="C1687" s="6" t="s">
        <v>66</v>
      </c>
      <c r="D1687" s="6" t="s">
        <v>52</v>
      </c>
      <c r="E1687" s="6" t="s">
        <v>441</v>
      </c>
      <c r="F1687" s="6" t="str">
        <f>IF($M1687="PADD I","PADD 1",IF($M1687="PADD II","PADD 2",IF($M1687="PADD III","PADD 3",IF($M1687="PADD IV","PADD 4",IF($M1687="PADD V","PADD 5","")))))</f>
        <v>PADD 5</v>
      </c>
      <c r="G1687" s="6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6" t="s">
        <v>471</v>
      </c>
      <c r="I1687" s="6" t="s">
        <v>589</v>
      </c>
      <c r="J1687" s="6" t="s">
        <v>394</v>
      </c>
      <c r="K1687" s="10">
        <v>1.8</v>
      </c>
      <c r="L1687" s="10">
        <v>60</v>
      </c>
      <c r="M1687" s="6" t="s">
        <v>436</v>
      </c>
      <c r="N1687" s="6" t="str">
        <f>IF(OR($G1687="FCC",$G1687="Hydrocracker",$G1687="Reformer"),IF(COUNTIFS($D:$D,$D1687,$A:$A,$A1687,$B:$B,$B1687,$G:$G,"CDU",$J:$J,"PLANNED")&gt;0,"tied","standalone"),"")</f>
        <v>standalone</v>
      </c>
    </row>
    <row r="1688" spans="1:14">
      <c r="A1688" s="6">
        <v>2023</v>
      </c>
      <c r="B1688" s="6">
        <v>7</v>
      </c>
      <c r="C1688" s="6" t="s">
        <v>66</v>
      </c>
      <c r="D1688" s="6" t="s">
        <v>984</v>
      </c>
      <c r="E1688" s="6" t="s">
        <v>438</v>
      </c>
      <c r="F1688" s="6" t="str">
        <f>IF($M1688="PADD I","PADD 1",IF($M1688="PADD II","PADD 2",IF($M1688="PADD III","PADD 3",IF($M1688="PADD IV","PADD 4",IF($M1688="PADD V","PADD 5","")))))</f>
        <v>PADD 3</v>
      </c>
      <c r="G1688" s="6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6" t="s">
        <v>426</v>
      </c>
      <c r="I1688" s="6" t="s">
        <v>106</v>
      </c>
      <c r="J1688" s="6" t="s">
        <v>398</v>
      </c>
      <c r="K1688" s="10">
        <v>1.77</v>
      </c>
      <c r="L1688" s="10">
        <v>29.5</v>
      </c>
      <c r="M1688" s="6" t="s">
        <v>421</v>
      </c>
      <c r="N1688" s="6" t="str">
        <f>IF(OR($G1688="FCC",$G1688="Hydrocracker",$G1688="Reformer"),IF(COUNTIFS($D:$D,$D1688,$A:$A,$A1688,$B:$B,$B1688,$G:$G,"CDU",$J:$J,"PLANNED")&gt;0,"tied","standalone"),"")</f>
        <v>standalone</v>
      </c>
    </row>
    <row r="1689" spans="1:14">
      <c r="A1689" s="6">
        <v>2023</v>
      </c>
      <c r="B1689" s="6">
        <v>7</v>
      </c>
      <c r="C1689" s="6" t="s">
        <v>66</v>
      </c>
      <c r="D1689" s="6" t="s">
        <v>972</v>
      </c>
      <c r="E1689" s="6" t="s">
        <v>502</v>
      </c>
      <c r="F1689" s="6" t="str">
        <f>IF($M1689="PADD I","PADD 1",IF($M1689="PADD II","PADD 2",IF($M1689="PADD III","PADD 3",IF($M1689="PADD IV","PADD 4",IF($M1689="PADD V","PADD 5","")))))</f>
        <v>PADD 4</v>
      </c>
      <c r="G1689" s="6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6" t="s">
        <v>44</v>
      </c>
      <c r="I1689" s="6" t="s">
        <v>776</v>
      </c>
      <c r="J1689" s="6" t="s">
        <v>398</v>
      </c>
      <c r="K1689" s="10">
        <v>1.71</v>
      </c>
      <c r="L1689" s="10">
        <v>9</v>
      </c>
      <c r="M1689" s="6" t="s">
        <v>480</v>
      </c>
      <c r="N1689" s="6">
        <f>IF(OR($G1689="FCC",$G1689="Hydrocracker",$G1689="Reformer"),IF(COUNTIFS($D:$D,$D1689,$A:$A,$A1689,$B:$B,$B1689,$G:$G,"CDU",$J:$J,"PLANNED")&gt;0,"tied","standalone"),"")</f>
        <v/>
      </c>
    </row>
    <row r="1690" spans="1:14">
      <c r="A1690" s="6">
        <v>2023</v>
      </c>
      <c r="B1690" s="6">
        <v>7</v>
      </c>
      <c r="C1690" s="6" t="s">
        <v>66</v>
      </c>
      <c r="D1690" s="6" t="s">
        <v>849</v>
      </c>
      <c r="E1690" s="6" t="s">
        <v>441</v>
      </c>
      <c r="F1690" s="6" t="str">
        <f>IF($M1690="PADD I","PADD 1",IF($M1690="PADD II","PADD 2",IF($M1690="PADD III","PADD 3",IF($M1690="PADD IV","PADD 4",IF($M1690="PADD V","PADD 5","")))))</f>
        <v>PADD 4</v>
      </c>
      <c r="G1690" s="6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6" t="s">
        <v>428</v>
      </c>
      <c r="I1690" s="6" t="s">
        <v>429</v>
      </c>
      <c r="J1690" s="6" t="s">
        <v>394</v>
      </c>
      <c r="K1690" s="10">
        <v>1.65</v>
      </c>
      <c r="L1690" s="10">
        <v>27.5</v>
      </c>
      <c r="M1690" s="6" t="s">
        <v>480</v>
      </c>
      <c r="N1690" s="6">
        <f>IF(OR($G1690="FCC",$G1690="Hydrocracker",$G1690="Reformer"),IF(COUNTIFS($D:$D,$D1690,$A:$A,$A1690,$B:$B,$B1690,$G:$G,"CDU",$J:$J,"PLANNED")&gt;0,"tied","standalone"),"")</f>
        <v/>
      </c>
    </row>
    <row r="1691" spans="1:14">
      <c r="A1691" s="6">
        <v>2023</v>
      </c>
      <c r="B1691" s="6">
        <v>7</v>
      </c>
      <c r="C1691" s="6" t="s">
        <v>66</v>
      </c>
      <c r="D1691" s="6" t="s">
        <v>550</v>
      </c>
      <c r="E1691" s="6" t="s">
        <v>438</v>
      </c>
      <c r="F1691" s="6" t="str">
        <f>IF($M1691="PADD I","PADD 1",IF($M1691="PADD II","PADD 2",IF($M1691="PADD III","PADD 3",IF($M1691="PADD IV","PADD 4",IF($M1691="PADD V","PADD 5","")))))</f>
        <v>PADD 2</v>
      </c>
      <c r="G1691" s="6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6" t="s">
        <v>510</v>
      </c>
      <c r="I1691" s="6" t="s">
        <v>666</v>
      </c>
      <c r="J1691" s="6" t="s">
        <v>398</v>
      </c>
      <c r="K1691" s="10">
        <v>1.56</v>
      </c>
      <c r="L1691" s="10">
        <v>6</v>
      </c>
      <c r="M1691" s="6" t="s">
        <v>425</v>
      </c>
      <c r="N1691" s="6">
        <f>IF(OR($G1691="FCC",$G1691="Hydrocracker",$G1691="Reformer"),IF(COUNTIFS($D:$D,$D1691,$A:$A,$A1691,$B:$B,$B1691,$G:$G,"CDU",$J:$J,"PLANNED")&gt;0,"tied","standalone"),"")</f>
        <v/>
      </c>
    </row>
    <row r="1692" spans="1:14">
      <c r="A1692" s="6">
        <v>2023</v>
      </c>
      <c r="B1692" s="6">
        <v>7</v>
      </c>
      <c r="C1692" s="6" t="s">
        <v>66</v>
      </c>
      <c r="D1692" s="6" t="s">
        <v>712</v>
      </c>
      <c r="E1692" s="6" t="s">
        <v>602</v>
      </c>
      <c r="F1692" s="6" t="str">
        <f>IF($M1692="PADD I","PADD 1",IF($M1692="PADD II","PADD 2",IF($M1692="PADD III","PADD 3",IF($M1692="PADD IV","PADD 4",IF($M1692="PADD V","PADD 5","")))))</f>
        <v>PADD 3</v>
      </c>
      <c r="G1692" s="6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6" t="s">
        <v>44</v>
      </c>
      <c r="I1692" s="6" t="s">
        <v>878</v>
      </c>
      <c r="J1692" s="6" t="s">
        <v>398</v>
      </c>
      <c r="K1692" s="10">
        <v>1.56</v>
      </c>
      <c r="L1692" s="10">
        <v>12</v>
      </c>
      <c r="M1692" s="6" t="s">
        <v>421</v>
      </c>
      <c r="N1692" s="6">
        <f>IF(OR($G1692="FCC",$G1692="Hydrocracker",$G1692="Reformer"),IF(COUNTIFS($D:$D,$D1692,$A:$A,$A1692,$B:$B,$B1692,$G:$G,"CDU",$J:$J,"PLANNED")&gt;0,"tied","standalone"),"")</f>
        <v/>
      </c>
    </row>
    <row r="1693" spans="1:14">
      <c r="A1693" s="6">
        <v>2023</v>
      </c>
      <c r="B1693" s="6">
        <v>7</v>
      </c>
      <c r="C1693" s="6" t="s">
        <v>66</v>
      </c>
      <c r="D1693" s="6" t="s">
        <v>622</v>
      </c>
      <c r="E1693" s="6" t="s">
        <v>623</v>
      </c>
      <c r="F1693" s="6" t="str">
        <f>IF($M1693="PADD I","PADD 1",IF($M1693="PADD II","PADD 2",IF($M1693="PADD III","PADD 3",IF($M1693="PADD IV","PADD 4",IF($M1693="PADD V","PADD 5","")))))</f>
        <v>PADD 3</v>
      </c>
      <c r="G1693" s="6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6" t="s">
        <v>39</v>
      </c>
      <c r="I1693" s="6" t="s">
        <v>624</v>
      </c>
      <c r="J1693" s="6" t="s">
        <v>394</v>
      </c>
      <c r="K1693" s="10">
        <v>1.5</v>
      </c>
      <c r="L1693" s="10">
        <v>50</v>
      </c>
      <c r="M1693" s="6" t="s">
        <v>421</v>
      </c>
      <c r="N1693" s="6">
        <f>IF(OR($G1693="FCC",$G1693="Hydrocracker",$G1693="Reformer"),IF(COUNTIFS($D:$D,$D1693,$A:$A,$A1693,$B:$B,$B1693,$G:$G,"CDU",$J:$J,"PLANNED")&gt;0,"tied","standalone"),"")</f>
        <v/>
      </c>
    </row>
    <row r="1694" spans="1:14">
      <c r="A1694" s="6">
        <v>2023</v>
      </c>
      <c r="B1694" s="6">
        <v>7</v>
      </c>
      <c r="C1694" s="6" t="s">
        <v>66</v>
      </c>
      <c r="D1694" s="6" t="s">
        <v>972</v>
      </c>
      <c r="E1694" s="6" t="s">
        <v>502</v>
      </c>
      <c r="F1694" s="6" t="str">
        <f>IF($M1694="PADD I","PADD 1",IF($M1694="PADD II","PADD 2",IF($M1694="PADD III","PADD 3",IF($M1694="PADD IV","PADD 4",IF($M1694="PADD V","PADD 5","")))))</f>
        <v>PADD 4</v>
      </c>
      <c r="G1694" s="6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6" t="s">
        <v>428</v>
      </c>
      <c r="I1694" s="6" t="s">
        <v>985</v>
      </c>
      <c r="J1694" s="6" t="s">
        <v>398</v>
      </c>
      <c r="K1694" s="10">
        <v>1.482</v>
      </c>
      <c r="L1694" s="10">
        <v>7.8</v>
      </c>
      <c r="M1694" s="6" t="s">
        <v>480</v>
      </c>
      <c r="N1694" s="6">
        <f>IF(OR($G1694="FCC",$G1694="Hydrocracker",$G1694="Reformer"),IF(COUNTIFS($D:$D,$D1694,$A:$A,$A1694,$B:$B,$B1694,$G:$G,"CDU",$J:$J,"PLANNED")&gt;0,"tied","standalone"),"")</f>
        <v/>
      </c>
    </row>
    <row r="1695" spans="1:14">
      <c r="A1695" s="6">
        <v>2023</v>
      </c>
      <c r="B1695" s="6">
        <v>7</v>
      </c>
      <c r="C1695" s="6" t="s">
        <v>66</v>
      </c>
      <c r="D1695" s="6" t="s">
        <v>972</v>
      </c>
      <c r="E1695" s="6" t="s">
        <v>502</v>
      </c>
      <c r="F1695" s="6" t="str">
        <f>IF($M1695="PADD I","PADD 1",IF($M1695="PADD II","PADD 2",IF($M1695="PADD III","PADD 3",IF($M1695="PADD IV","PADD 4",IF($M1695="PADD V","PADD 5","")))))</f>
        <v>PADD 4</v>
      </c>
      <c r="G1695" s="6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6" t="s">
        <v>471</v>
      </c>
      <c r="I1695" s="6" t="s">
        <v>15</v>
      </c>
      <c r="J1695" s="6" t="s">
        <v>398</v>
      </c>
      <c r="K1695" s="10">
        <v>1.425</v>
      </c>
      <c r="L1695" s="10">
        <v>7.5</v>
      </c>
      <c r="M1695" s="6" t="s">
        <v>480</v>
      </c>
      <c r="N1695" s="6" t="str">
        <f>IF(OR($G1695="FCC",$G1695="Hydrocracker",$G1695="Reformer"),IF(COUNTIFS($D:$D,$D1695,$A:$A,$A1695,$B:$B,$B1695,$G:$G,"CDU",$J:$J,"PLANNED")&gt;0,"tied","standalone"),"")</f>
        <v>tied</v>
      </c>
    </row>
    <row r="1696" spans="1:14">
      <c r="A1696" s="6">
        <v>2023</v>
      </c>
      <c r="B1696" s="6">
        <v>7</v>
      </c>
      <c r="C1696" s="6" t="s">
        <v>66</v>
      </c>
      <c r="D1696" s="6" t="s">
        <v>484</v>
      </c>
      <c r="E1696" s="6" t="s">
        <v>438</v>
      </c>
      <c r="F1696" s="6" t="str">
        <f>IF($M1696="PADD I","PADD 1",IF($M1696="PADD II","PADD 2",IF($M1696="PADD III","PADD 3",IF($M1696="PADD IV","PADD 4",IF($M1696="PADD V","PADD 5","")))))</f>
        <v>PADD 5</v>
      </c>
      <c r="G1696" s="6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6" t="s">
        <v>494</v>
      </c>
      <c r="I1696" s="6" t="s">
        <v>14</v>
      </c>
      <c r="J1696" s="6" t="s">
        <v>394</v>
      </c>
      <c r="K1696" s="10">
        <v>1.3984</v>
      </c>
      <c r="L1696" s="10">
        <v>7.36</v>
      </c>
      <c r="M1696" s="6" t="s">
        <v>436</v>
      </c>
      <c r="N1696" s="6" t="str">
        <f>IF(OR($G1696="FCC",$G1696="Hydrocracker",$G1696="Reformer"),IF(COUNTIFS($D:$D,$D1696,$A:$A,$A1696,$B:$B,$B1696,$G:$G,"CDU",$J:$J,"PLANNED")&gt;0,"tied","standalone"),"")</f>
        <v>standalone</v>
      </c>
    </row>
    <row r="1697" spans="1:14">
      <c r="A1697" s="6">
        <v>2023</v>
      </c>
      <c r="B1697" s="6">
        <v>7</v>
      </c>
      <c r="C1697" s="6" t="s">
        <v>66</v>
      </c>
      <c r="D1697" s="6" t="s">
        <v>828</v>
      </c>
      <c r="E1697" s="6" t="s">
        <v>829</v>
      </c>
      <c r="F1697" s="6" t="str">
        <f>IF($M1697="PADD I","PADD 1",IF($M1697="PADD II","PADD 2",IF($M1697="PADD III","PADD 3",IF($M1697="PADD IV","PADD 4",IF($M1697="PADD V","PADD 5","")))))</f>
        <v>PADD 3</v>
      </c>
      <c r="G1697" s="6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6" t="s">
        <v>428</v>
      </c>
      <c r="I1697" s="6" t="s">
        <v>847</v>
      </c>
      <c r="J1697" s="6" t="s">
        <v>394</v>
      </c>
      <c r="K1697" s="10">
        <v>1.38</v>
      </c>
      <c r="L1697" s="10">
        <v>23</v>
      </c>
      <c r="M1697" s="6" t="s">
        <v>421</v>
      </c>
      <c r="N1697" s="6">
        <f>IF(OR($G1697="FCC",$G1697="Hydrocracker",$G1697="Reformer"),IF(COUNTIFS($D:$D,$D1697,$A:$A,$A1697,$B:$B,$B1697,$G:$G,"CDU",$J:$J,"PLANNED")&gt;0,"tied","standalone"),"")</f>
        <v/>
      </c>
    </row>
    <row r="1698" spans="1:14">
      <c r="A1698" s="6">
        <v>2023</v>
      </c>
      <c r="B1698" s="6">
        <v>7</v>
      </c>
      <c r="C1698" s="6" t="s">
        <v>66</v>
      </c>
      <c r="D1698" s="6" t="s">
        <v>518</v>
      </c>
      <c r="E1698" s="6" t="s">
        <v>419</v>
      </c>
      <c r="F1698" s="6" t="str">
        <f>IF($M1698="PADD I","PADD 1",IF($M1698="PADD II","PADD 2",IF($M1698="PADD III","PADD 3",IF($M1698="PADD IV","PADD 4",IF($M1698="PADD V","PADD 5","")))))</f>
        <v>PADD 3</v>
      </c>
      <c r="G1698" s="6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6" t="s">
        <v>471</v>
      </c>
      <c r="I1698" s="6" t="s">
        <v>685</v>
      </c>
      <c r="J1698" s="6" t="s">
        <v>394</v>
      </c>
      <c r="K1698" s="10">
        <v>1.33</v>
      </c>
      <c r="L1698" s="10">
        <v>7</v>
      </c>
      <c r="M1698" s="6" t="s">
        <v>421</v>
      </c>
      <c r="N1698" s="6" t="str">
        <f>IF(OR($G1698="FCC",$G1698="Hydrocracker",$G1698="Reformer"),IF(COUNTIFS($D:$D,$D1698,$A:$A,$A1698,$B:$B,$B1698,$G:$G,"CDU",$J:$J,"PLANNED")&gt;0,"tied","standalone"),"")</f>
        <v>standalone</v>
      </c>
    </row>
    <row r="1699" spans="1:14">
      <c r="A1699" s="6">
        <v>2023</v>
      </c>
      <c r="B1699" s="6">
        <v>7</v>
      </c>
      <c r="C1699" s="6" t="s">
        <v>66</v>
      </c>
      <c r="D1699" s="6" t="s">
        <v>597</v>
      </c>
      <c r="E1699" s="6" t="s">
        <v>441</v>
      </c>
      <c r="F1699" s="6" t="str">
        <f>IF($M1699="PADD I","PADD 1",IF($M1699="PADD II","PADD 2",IF($M1699="PADD III","PADD 3",IF($M1699="PADD IV","PADD 4",IF($M1699="PADD V","PADD 5","")))))</f>
        <v>PADD 5</v>
      </c>
      <c r="G1699" s="6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6" t="s">
        <v>471</v>
      </c>
      <c r="I1699" s="6" t="s">
        <v>986</v>
      </c>
      <c r="J1699" s="6" t="s">
        <v>394</v>
      </c>
      <c r="K1699" s="10">
        <v>1.288</v>
      </c>
      <c r="L1699" s="10">
        <v>5.6</v>
      </c>
      <c r="M1699" s="6" t="s">
        <v>436</v>
      </c>
      <c r="N1699" s="6" t="str">
        <f>IF(OR($G1699="FCC",$G1699="Hydrocracker",$G1699="Reformer"),IF(COUNTIFS($D:$D,$D1699,$A:$A,$A1699,$B:$B,$B1699,$G:$G,"CDU",$J:$J,"PLANNED")&gt;0,"tied","standalone"),"")</f>
        <v>standalone</v>
      </c>
    </row>
    <row r="1700" spans="1:14">
      <c r="A1700" s="6">
        <v>2023</v>
      </c>
      <c r="B1700" s="6">
        <v>7</v>
      </c>
      <c r="C1700" s="6" t="s">
        <v>66</v>
      </c>
      <c r="D1700" s="6" t="s">
        <v>597</v>
      </c>
      <c r="E1700" s="6" t="s">
        <v>441</v>
      </c>
      <c r="F1700" s="6" t="str">
        <f>IF($M1700="PADD I","PADD 1",IF($M1700="PADD II","PADD 2",IF($M1700="PADD III","PADD 3",IF($M1700="PADD IV","PADD 4",IF($M1700="PADD V","PADD 5","")))))</f>
        <v>PADD 5</v>
      </c>
      <c r="G1700" s="6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6" t="s">
        <v>44</v>
      </c>
      <c r="I1700" s="6" t="s">
        <v>954</v>
      </c>
      <c r="J1700" s="6" t="s">
        <v>394</v>
      </c>
      <c r="K1700" s="10">
        <v>1.242</v>
      </c>
      <c r="L1700" s="10">
        <v>5.4</v>
      </c>
      <c r="M1700" s="6" t="s">
        <v>436</v>
      </c>
      <c r="N1700" s="6">
        <f>IF(OR($G1700="FCC",$G1700="Hydrocracker",$G1700="Reformer"),IF(COUNTIFS($D:$D,$D1700,$A:$A,$A1700,$B:$B,$B1700,$G:$G,"CDU",$J:$J,"PLANNED")&gt;0,"tied","standalone"),"")</f>
        <v/>
      </c>
    </row>
    <row r="1701" spans="1:14">
      <c r="A1701" s="6">
        <v>2023</v>
      </c>
      <c r="B1701" s="6">
        <v>7</v>
      </c>
      <c r="C1701" s="6" t="s">
        <v>66</v>
      </c>
      <c r="D1701" s="6" t="s">
        <v>49</v>
      </c>
      <c r="E1701" s="6" t="s">
        <v>438</v>
      </c>
      <c r="F1701" s="6" t="str">
        <f>IF($M1701="PADD I","PADD 1",IF($M1701="PADD II","PADD 2",IF($M1701="PADD III","PADD 3",IF($M1701="PADD IV","PADD 4",IF($M1701="PADD V","PADD 5","")))))</f>
        <v>PADD 2</v>
      </c>
      <c r="G1701" s="6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6" t="s">
        <v>485</v>
      </c>
      <c r="I1701" s="6" t="s">
        <v>681</v>
      </c>
      <c r="J1701" s="6" t="s">
        <v>394</v>
      </c>
      <c r="K1701" s="10">
        <v>1.2</v>
      </c>
      <c r="L1701" s="10">
        <v>12</v>
      </c>
      <c r="M1701" s="6" t="s">
        <v>425</v>
      </c>
      <c r="N1701" s="6">
        <f>IF(OR($G1701="FCC",$G1701="Hydrocracker",$G1701="Reformer"),IF(COUNTIFS($D:$D,$D1701,$A:$A,$A1701,$B:$B,$B1701,$G:$G,"CDU",$J:$J,"PLANNED")&gt;0,"tied","standalone"),"")</f>
        <v/>
      </c>
    </row>
    <row r="1702" spans="1:14">
      <c r="A1702" s="6">
        <v>2023</v>
      </c>
      <c r="B1702" s="6">
        <v>7</v>
      </c>
      <c r="C1702" s="6" t="s">
        <v>66</v>
      </c>
      <c r="D1702" s="6" t="s">
        <v>972</v>
      </c>
      <c r="E1702" s="6" t="s">
        <v>502</v>
      </c>
      <c r="F1702" s="6" t="str">
        <f>IF($M1702="PADD I","PADD 1",IF($M1702="PADD II","PADD 2",IF($M1702="PADD III","PADD 3",IF($M1702="PADD IV","PADD 4",IF($M1702="PADD V","PADD 5","")))))</f>
        <v>PADD 4</v>
      </c>
      <c r="G1702" s="6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6" t="s">
        <v>44</v>
      </c>
      <c r="I1702" s="6" t="s">
        <v>987</v>
      </c>
      <c r="J1702" s="6" t="s">
        <v>398</v>
      </c>
      <c r="K1702" s="10">
        <v>0.95</v>
      </c>
      <c r="L1702" s="10">
        <v>5</v>
      </c>
      <c r="M1702" s="6" t="s">
        <v>480</v>
      </c>
      <c r="N1702" s="6">
        <f>IF(OR($G1702="FCC",$G1702="Hydrocracker",$G1702="Reformer"),IF(COUNTIFS($D:$D,$D1702,$A:$A,$A1702,$B:$B,$B1702,$G:$G,"CDU",$J:$J,"PLANNED")&gt;0,"tied","standalone"),"")</f>
        <v/>
      </c>
    </row>
    <row r="1703" spans="1:14">
      <c r="A1703" s="6">
        <v>2023</v>
      </c>
      <c r="B1703" s="6">
        <v>7</v>
      </c>
      <c r="C1703" s="6" t="s">
        <v>66</v>
      </c>
      <c r="D1703" s="6" t="s">
        <v>597</v>
      </c>
      <c r="E1703" s="6" t="s">
        <v>441</v>
      </c>
      <c r="F1703" s="6" t="str">
        <f>IF($M1703="PADD I","PADD 1",IF($M1703="PADD II","PADD 2",IF($M1703="PADD III","PADD 3",IF($M1703="PADD IV","PADD 4",IF($M1703="PADD V","PADD 5","")))))</f>
        <v>PADD 5</v>
      </c>
      <c r="G1703" s="6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6" t="s">
        <v>510</v>
      </c>
      <c r="I1703" s="6" t="s">
        <v>511</v>
      </c>
      <c r="J1703" s="6" t="s">
        <v>394</v>
      </c>
      <c r="K1703" s="10">
        <v>0.92</v>
      </c>
      <c r="L1703" s="10">
        <v>4</v>
      </c>
      <c r="M1703" s="6" t="s">
        <v>436</v>
      </c>
      <c r="N1703" s="6">
        <f>IF(OR($G1703="FCC",$G1703="Hydrocracker",$G1703="Reformer"),IF(COUNTIFS($D:$D,$D1703,$A:$A,$A1703,$B:$B,$B1703,$G:$G,"CDU",$J:$J,"PLANNED")&gt;0,"tied","standalone"),"")</f>
        <v/>
      </c>
    </row>
    <row r="1704" spans="1:14">
      <c r="A1704" s="6">
        <v>2023</v>
      </c>
      <c r="B1704" s="6">
        <v>7</v>
      </c>
      <c r="C1704" s="6" t="s">
        <v>66</v>
      </c>
      <c r="D1704" s="6" t="s">
        <v>712</v>
      </c>
      <c r="E1704" s="6" t="s">
        <v>602</v>
      </c>
      <c r="F1704" s="6" t="str">
        <f>IF($M1704="PADD I","PADD 1",IF($M1704="PADD II","PADD 2",IF($M1704="PADD III","PADD 3",IF($M1704="PADD IV","PADD 4",IF($M1704="PADD V","PADD 5","")))))</f>
        <v>PADD 3</v>
      </c>
      <c r="G1704" s="6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6" t="s">
        <v>44</v>
      </c>
      <c r="I1704" s="6" t="s">
        <v>894</v>
      </c>
      <c r="J1704" s="6" t="s">
        <v>398</v>
      </c>
      <c r="K1704" s="10">
        <v>0.8</v>
      </c>
      <c r="L1704" s="10">
        <v>5</v>
      </c>
      <c r="M1704" s="6" t="s">
        <v>421</v>
      </c>
      <c r="N1704" s="6">
        <f>IF(OR($G1704="FCC",$G1704="Hydrocracker",$G1704="Reformer"),IF(COUNTIFS($D:$D,$D1704,$A:$A,$A1704,$B:$B,$B1704,$G:$G,"CDU",$J:$J,"PLANNED")&gt;0,"tied","standalone"),"")</f>
        <v/>
      </c>
    </row>
    <row r="1705" spans="1:14">
      <c r="A1705" s="6">
        <v>2023</v>
      </c>
      <c r="B1705" s="6">
        <v>7</v>
      </c>
      <c r="C1705" s="6" t="s">
        <v>66</v>
      </c>
      <c r="D1705" s="6" t="s">
        <v>720</v>
      </c>
      <c r="E1705" s="6" t="s">
        <v>455</v>
      </c>
      <c r="F1705" s="6" t="str">
        <f>IF($M1705="PADD I","PADD 1",IF($M1705="PADD II","PADD 2",IF($M1705="PADD III","PADD 3",IF($M1705="PADD IV","PADD 4",IF($M1705="PADD V","PADD 5","")))))</f>
        <v>PADD 2</v>
      </c>
      <c r="G1705" s="6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6" t="s">
        <v>618</v>
      </c>
      <c r="I1705" s="6" t="s">
        <v>654</v>
      </c>
      <c r="J1705" s="6" t="s">
        <v>394</v>
      </c>
      <c r="K1705" s="10">
        <v>0.76</v>
      </c>
      <c r="L1705" s="10">
        <v>4</v>
      </c>
      <c r="M1705" s="6" t="s">
        <v>425</v>
      </c>
      <c r="N1705" s="6">
        <f>IF(OR($G1705="FCC",$G1705="Hydrocracker",$G1705="Reformer"),IF(COUNTIFS($D:$D,$D1705,$A:$A,$A1705,$B:$B,$B1705,$G:$G,"CDU",$J:$J,"PLANNED")&gt;0,"tied","standalone"),"")</f>
        <v/>
      </c>
    </row>
    <row r="1706" spans="1:14">
      <c r="A1706" s="6">
        <v>2023</v>
      </c>
      <c r="B1706" s="6">
        <v>7</v>
      </c>
      <c r="C1706" s="6" t="s">
        <v>66</v>
      </c>
      <c r="D1706" s="6" t="s">
        <v>984</v>
      </c>
      <c r="E1706" s="6" t="s">
        <v>438</v>
      </c>
      <c r="F1706" s="6" t="str">
        <f>IF($M1706="PADD I","PADD 1",IF($M1706="PADD II","PADD 2",IF($M1706="PADD III","PADD 3",IF($M1706="PADD IV","PADD 4",IF($M1706="PADD V","PADD 5","")))))</f>
        <v>PADD 3</v>
      </c>
      <c r="G1706" s="6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6" t="s">
        <v>510</v>
      </c>
      <c r="I1706" s="6" t="s">
        <v>511</v>
      </c>
      <c r="J1706" s="6" t="s">
        <v>398</v>
      </c>
      <c r="K1706" s="10">
        <v>0.6</v>
      </c>
      <c r="L1706" s="10">
        <v>10</v>
      </c>
      <c r="M1706" s="6" t="s">
        <v>421</v>
      </c>
      <c r="N1706" s="6">
        <f>IF(OR($G1706="FCC",$G1706="Hydrocracker",$G1706="Reformer"),IF(COUNTIFS($D:$D,$D1706,$A:$A,$A1706,$B:$B,$B1706,$G:$G,"CDU",$J:$J,"PLANNED")&gt;0,"tied","standalone"),"")</f>
        <v/>
      </c>
    </row>
    <row r="1707" spans="1:14">
      <c r="A1707" s="6">
        <v>2023</v>
      </c>
      <c r="B1707" s="6">
        <v>7</v>
      </c>
      <c r="C1707" s="6" t="s">
        <v>66</v>
      </c>
      <c r="D1707" s="6" t="s">
        <v>880</v>
      </c>
      <c r="E1707" s="6" t="s">
        <v>438</v>
      </c>
      <c r="F1707" s="6" t="str">
        <f>IF($M1707="PADD I","PADD 1",IF($M1707="PADD II","PADD 2",IF($M1707="PADD III","PADD 3",IF($M1707="PADD IV","PADD 4",IF($M1707="PADD V","PADD 5","")))))</f>
        <v>PADD 2</v>
      </c>
      <c r="G1707" s="6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6" t="s">
        <v>44</v>
      </c>
      <c r="I1707" s="6" t="s">
        <v>535</v>
      </c>
      <c r="J1707" s="6" t="s">
        <v>394</v>
      </c>
      <c r="K1707" s="10">
        <v>0.6</v>
      </c>
      <c r="L1707" s="10">
        <v>6</v>
      </c>
      <c r="M1707" s="6" t="s">
        <v>425</v>
      </c>
      <c r="N1707" s="6">
        <f>IF(OR($G1707="FCC",$G1707="Hydrocracker",$G1707="Reformer"),IF(COUNTIFS($D:$D,$D1707,$A:$A,$A1707,$B:$B,$B1707,$G:$G,"CDU",$J:$J,"PLANNED")&gt;0,"tied","standalone"),"")</f>
        <v/>
      </c>
    </row>
    <row r="1708" spans="1:14">
      <c r="A1708" s="6">
        <v>2023</v>
      </c>
      <c r="B1708" s="6">
        <v>7</v>
      </c>
      <c r="C1708" s="6" t="s">
        <v>66</v>
      </c>
      <c r="D1708" s="6" t="s">
        <v>806</v>
      </c>
      <c r="E1708" s="6" t="s">
        <v>807</v>
      </c>
      <c r="F1708" s="6" t="str">
        <f>IF($M1708="PADD I","PADD 1",IF($M1708="PADD II","PADD 2",IF($M1708="PADD III","PADD 3",IF($M1708="PADD IV","PADD 4",IF($M1708="PADD V","PADD 5","")))))</f>
        <v>PADD 3</v>
      </c>
      <c r="G1708" s="6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6" t="s">
        <v>39</v>
      </c>
      <c r="I1708" s="6" t="s">
        <v>82</v>
      </c>
      <c r="J1708" s="6" t="s">
        <v>394</v>
      </c>
      <c r="K1708" s="10">
        <v>0.45</v>
      </c>
      <c r="L1708" s="10">
        <v>15</v>
      </c>
      <c r="M1708" s="6" t="s">
        <v>421</v>
      </c>
      <c r="N1708" s="6">
        <f>IF(OR($G1708="FCC",$G1708="Hydrocracker",$G1708="Reformer"),IF(COUNTIFS($D:$D,$D1708,$A:$A,$A1708,$B:$B,$B1708,$G:$G,"CDU",$J:$J,"PLANNED")&gt;0,"tied","standalone"),"")</f>
        <v/>
      </c>
    </row>
    <row r="1709" spans="1:14">
      <c r="A1709" s="6">
        <v>2023</v>
      </c>
      <c r="B1709" s="6">
        <v>7</v>
      </c>
      <c r="C1709" s="6" t="s">
        <v>66</v>
      </c>
      <c r="D1709" s="6" t="s">
        <v>597</v>
      </c>
      <c r="E1709" s="6" t="s">
        <v>441</v>
      </c>
      <c r="F1709" s="6" t="str">
        <f>IF($M1709="PADD I","PADD 1",IF($M1709="PADD II","PADD 2",IF($M1709="PADD III","PADD 3",IF($M1709="PADD IV","PADD 4",IF($M1709="PADD V","PADD 5","")))))</f>
        <v>PADD 5</v>
      </c>
      <c r="G1709" s="6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6" t="s">
        <v>618</v>
      </c>
      <c r="I1709" s="6" t="s">
        <v>988</v>
      </c>
      <c r="J1709" s="6" t="s">
        <v>394</v>
      </c>
      <c r="K1709" s="10">
        <v>0.3956</v>
      </c>
      <c r="L1709" s="10">
        <v>1.72</v>
      </c>
      <c r="M1709" s="6" t="s">
        <v>436</v>
      </c>
      <c r="N1709" s="6">
        <f>IF(OR($G1709="FCC",$G1709="Hydrocracker",$G1709="Reformer"),IF(COUNTIFS($D:$D,$D1709,$A:$A,$A1709,$B:$B,$B1709,$G:$G,"CDU",$J:$J,"PLANNED")&gt;0,"tied","standalone"),"")</f>
        <v/>
      </c>
    </row>
    <row r="1710" spans="1:14">
      <c r="A1710" s="6">
        <v>2023</v>
      </c>
      <c r="B1710" s="6">
        <v>7</v>
      </c>
      <c r="C1710" s="6" t="s">
        <v>66</v>
      </c>
      <c r="D1710" s="6" t="s">
        <v>518</v>
      </c>
      <c r="E1710" s="6" t="s">
        <v>419</v>
      </c>
      <c r="F1710" s="6" t="str">
        <f>IF($M1710="PADD I","PADD 1",IF($M1710="PADD II","PADD 2",IF($M1710="PADD III","PADD 3",IF($M1710="PADD IV","PADD 4",IF($M1710="PADD V","PADD 5","")))))</f>
        <v>PADD 3</v>
      </c>
      <c r="G1710" s="6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6" t="s">
        <v>485</v>
      </c>
      <c r="I1710" s="6" t="s">
        <v>989</v>
      </c>
      <c r="J1710" s="6" t="s">
        <v>394</v>
      </c>
      <c r="K1710" s="10">
        <v>0.375</v>
      </c>
      <c r="L1710" s="10">
        <v>12.5</v>
      </c>
      <c r="M1710" s="6" t="s">
        <v>421</v>
      </c>
      <c r="N1710" s="6">
        <f>IF(OR($G1710="FCC",$G1710="Hydrocracker",$G1710="Reformer"),IF(COUNTIFS($D:$D,$D1710,$A:$A,$A1710,$B:$B,$B1710,$G:$G,"CDU",$J:$J,"PLANNED")&gt;0,"tied","standalone"),"")</f>
        <v/>
      </c>
    </row>
    <row r="1711" spans="1:14">
      <c r="A1711" s="6">
        <v>2023</v>
      </c>
      <c r="B1711" s="6">
        <v>8</v>
      </c>
      <c r="C1711" s="6" t="s">
        <v>67</v>
      </c>
      <c r="D1711" s="6" t="s">
        <v>437</v>
      </c>
      <c r="E1711" s="6" t="s">
        <v>438</v>
      </c>
      <c r="F1711" s="6" t="str">
        <f>IF($M1711="PADD I","PADD 1",IF($M1711="PADD II","PADD 2",IF($M1711="PADD III","PADD 3",IF($M1711="PADD IV","PADD 4",IF($M1711="PADD V","PADD 5","")))))</f>
        <v>PADD 3</v>
      </c>
      <c r="G1711" s="6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6" t="s">
        <v>471</v>
      </c>
      <c r="I1711" s="6" t="s">
        <v>493</v>
      </c>
      <c r="J1711" s="6" t="s">
        <v>394</v>
      </c>
      <c r="K1711" s="10">
        <v>77.5</v>
      </c>
      <c r="L1711" s="10">
        <v>77.5</v>
      </c>
      <c r="M1711" s="6" t="s">
        <v>421</v>
      </c>
      <c r="N1711" s="6" t="str">
        <f>IF(OR($G1711="FCC",$G1711="Hydrocracker",$G1711="Reformer"),IF(COUNTIFS($D:$D,$D1711,$A:$A,$A1711,$B:$B,$B1711,$G:$G,"CDU",$J:$J,"PLANNED")&gt;0,"tied","standalone"),"")</f>
        <v>standalone</v>
      </c>
    </row>
    <row r="1712" spans="1:14">
      <c r="A1712" s="6">
        <v>2023</v>
      </c>
      <c r="B1712" s="6">
        <v>8</v>
      </c>
      <c r="C1712" s="6" t="s">
        <v>67</v>
      </c>
      <c r="D1712" s="6" t="s">
        <v>458</v>
      </c>
      <c r="E1712" s="6" t="s">
        <v>459</v>
      </c>
      <c r="F1712" s="6" t="str">
        <f>IF($M1712="PADD I","PADD 1",IF($M1712="PADD II","PADD 2",IF($M1712="PADD III","PADD 3",IF($M1712="PADD IV","PADD 4",IF($M1712="PADD V","PADD 5","")))))</f>
        <v>PADD 3</v>
      </c>
      <c r="G1712" s="6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6" t="s">
        <v>39</v>
      </c>
      <c r="I1712" s="6" t="s">
        <v>460</v>
      </c>
      <c r="J1712" s="6" t="s">
        <v>394</v>
      </c>
      <c r="K1712" s="10">
        <v>75.2</v>
      </c>
      <c r="L1712" s="10">
        <v>80</v>
      </c>
      <c r="M1712" s="6" t="s">
        <v>421</v>
      </c>
      <c r="N1712" s="6">
        <f>IF(OR($G1712="FCC",$G1712="Hydrocracker",$G1712="Reformer"),IF(COUNTIFS($D:$D,$D1712,$A:$A,$A1712,$B:$B,$B1712,$G:$G,"CDU",$J:$J,"PLANNED")&gt;0,"tied","standalone"),"")</f>
        <v/>
      </c>
    </row>
    <row r="1713" spans="1:14">
      <c r="A1713" s="6">
        <v>2023</v>
      </c>
      <c r="B1713" s="6">
        <v>8</v>
      </c>
      <c r="C1713" s="6" t="s">
        <v>67</v>
      </c>
      <c r="D1713" s="6" t="s">
        <v>901</v>
      </c>
      <c r="E1713" s="6" t="s">
        <v>902</v>
      </c>
      <c r="F1713" s="6" t="str">
        <f>IF($M1713="PADD I","PADD 1",IF($M1713="PADD II","PADD 2",IF($M1713="PADD III","PADD 3",IF($M1713="PADD IV","PADD 4",IF($M1713="PADD V","PADD 5","")))))</f>
        <v>PADD 3</v>
      </c>
      <c r="G1713" s="6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6" t="s">
        <v>39</v>
      </c>
      <c r="I1713" s="6" t="s">
        <v>904</v>
      </c>
      <c r="J1713" s="6" t="s">
        <v>394</v>
      </c>
      <c r="K1713" s="10">
        <v>73</v>
      </c>
      <c r="L1713" s="10">
        <v>73</v>
      </c>
      <c r="M1713" s="6" t="s">
        <v>421</v>
      </c>
      <c r="N1713" s="6">
        <f>IF(OR($G1713="FCC",$G1713="Hydrocracker",$G1713="Reformer"),IF(COUNTIFS($D:$D,$D1713,$A:$A,$A1713,$B:$B,$B1713,$G:$G,"CDU",$J:$J,"PLANNED")&gt;0,"tied","standalone"),"")</f>
        <v/>
      </c>
    </row>
    <row r="1714" spans="1:14">
      <c r="A1714" s="6">
        <v>2023</v>
      </c>
      <c r="B1714" s="6">
        <v>8</v>
      </c>
      <c r="C1714" s="6" t="s">
        <v>67</v>
      </c>
      <c r="D1714" s="6" t="s">
        <v>458</v>
      </c>
      <c r="E1714" s="6" t="s">
        <v>459</v>
      </c>
      <c r="F1714" s="6" t="str">
        <f>IF($M1714="PADD I","PADD 1",IF($M1714="PADD II","PADD 2",IF($M1714="PADD III","PADD 3",IF($M1714="PADD IV","PADD 4",IF($M1714="PADD V","PADD 5","")))))</f>
        <v>PADD 3</v>
      </c>
      <c r="G1714" s="6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6" t="s">
        <v>39</v>
      </c>
      <c r="I1714" s="6" t="s">
        <v>460</v>
      </c>
      <c r="J1714" s="6" t="s">
        <v>394</v>
      </c>
      <c r="K1714" s="10">
        <v>67.5</v>
      </c>
      <c r="L1714" s="10">
        <v>150</v>
      </c>
      <c r="M1714" s="6" t="s">
        <v>421</v>
      </c>
      <c r="N1714" s="6">
        <f>IF(OR($G1714="FCC",$G1714="Hydrocracker",$G1714="Reformer"),IF(COUNTIFS($D:$D,$D1714,$A:$A,$A1714,$B:$B,$B1714,$G:$G,"CDU",$J:$J,"PLANNED")&gt;0,"tied","standalone"),"")</f>
        <v/>
      </c>
    </row>
    <row r="1715" spans="1:14">
      <c r="A1715" s="6">
        <v>2023</v>
      </c>
      <c r="B1715" s="6">
        <v>8</v>
      </c>
      <c r="C1715" s="6" t="s">
        <v>67</v>
      </c>
      <c r="D1715" s="6" t="s">
        <v>373</v>
      </c>
      <c r="E1715" s="6" t="s">
        <v>438</v>
      </c>
      <c r="F1715" s="6" t="str">
        <f>IF($M1715="PADD I","PADD 1",IF($M1715="PADD II","PADD 2",IF($M1715="PADD III","PADD 3",IF($M1715="PADD IV","PADD 4",IF($M1715="PADD V","PADD 5","")))))</f>
        <v>PADD 3</v>
      </c>
      <c r="G1715" s="6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6" t="s">
        <v>39</v>
      </c>
      <c r="I1715" s="6" t="s">
        <v>100</v>
      </c>
      <c r="J1715" s="6" t="s">
        <v>394</v>
      </c>
      <c r="K1715" s="10">
        <v>52.25</v>
      </c>
      <c r="L1715" s="10">
        <v>275</v>
      </c>
      <c r="M1715" s="6" t="s">
        <v>421</v>
      </c>
      <c r="N1715" s="6">
        <f>IF(OR($G1715="FCC",$G1715="Hydrocracker",$G1715="Reformer"),IF(COUNTIFS($D:$D,$D1715,$A:$A,$A1715,$B:$B,$B1715,$G:$G,"CDU",$J:$J,"PLANNED")&gt;0,"tied","standalone"),"")</f>
        <v/>
      </c>
    </row>
    <row r="1716" spans="1:14">
      <c r="A1716" s="6">
        <v>2023</v>
      </c>
      <c r="B1716" s="6">
        <v>8</v>
      </c>
      <c r="C1716" s="6" t="s">
        <v>67</v>
      </c>
      <c r="D1716" s="6" t="s">
        <v>437</v>
      </c>
      <c r="E1716" s="6" t="s">
        <v>438</v>
      </c>
      <c r="F1716" s="6" t="str">
        <f>IF($M1716="PADD I","PADD 1",IF($M1716="PADD II","PADD 2",IF($M1716="PADD III","PADD 3",IF($M1716="PADD IV","PADD 4",IF($M1716="PADD V","PADD 5","")))))</f>
        <v>PADD 3</v>
      </c>
      <c r="G1716" s="6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6" t="s">
        <v>44</v>
      </c>
      <c r="I1716" s="6" t="s">
        <v>898</v>
      </c>
      <c r="J1716" s="6" t="s">
        <v>394</v>
      </c>
      <c r="K1716" s="10">
        <v>50</v>
      </c>
      <c r="L1716" s="10">
        <v>50</v>
      </c>
      <c r="M1716" s="6" t="s">
        <v>421</v>
      </c>
      <c r="N1716" s="6">
        <f>IF(OR($G1716="FCC",$G1716="Hydrocracker",$G1716="Reformer"),IF(COUNTIFS($D:$D,$D1716,$A:$A,$A1716,$B:$B,$B1716,$G:$G,"CDU",$J:$J,"PLANNED")&gt;0,"tied","standalone"),"")</f>
        <v/>
      </c>
    </row>
    <row r="1717" spans="1:14">
      <c r="A1717" s="6">
        <v>2023</v>
      </c>
      <c r="B1717" s="6">
        <v>8</v>
      </c>
      <c r="C1717" s="6" t="s">
        <v>67</v>
      </c>
      <c r="D1717" s="6" t="s">
        <v>465</v>
      </c>
      <c r="E1717" s="6" t="s">
        <v>466</v>
      </c>
      <c r="F1717" s="6" t="str">
        <f>IF($M1717="PADD I","PADD 1",IF($M1717="PADD II","PADD 2",IF($M1717="PADD III","PADD 3",IF($M1717="PADD IV","PADD 4",IF($M1717="PADD V","PADD 5","")))))</f>
        <v>PADD 3</v>
      </c>
      <c r="G1717" s="6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6" t="s">
        <v>428</v>
      </c>
      <c r="I1717" s="6" t="s">
        <v>467</v>
      </c>
      <c r="J1717" s="6" t="s">
        <v>394</v>
      </c>
      <c r="K1717" s="10">
        <v>50</v>
      </c>
      <c r="L1717" s="10">
        <v>50</v>
      </c>
      <c r="M1717" s="6" t="s">
        <v>421</v>
      </c>
      <c r="N1717" s="6">
        <f>IF(OR($G1717="FCC",$G1717="Hydrocracker",$G1717="Reformer"),IF(COUNTIFS($D:$D,$D1717,$A:$A,$A1717,$B:$B,$B1717,$G:$G,"CDU",$J:$J,"PLANNED")&gt;0,"tied","standalone"),"")</f>
        <v/>
      </c>
    </row>
    <row r="1718" spans="1:14">
      <c r="A1718" s="6">
        <v>2023</v>
      </c>
      <c r="B1718" s="6">
        <v>8</v>
      </c>
      <c r="C1718" s="6" t="s">
        <v>67</v>
      </c>
      <c r="D1718" s="6" t="s">
        <v>458</v>
      </c>
      <c r="E1718" s="6" t="s">
        <v>459</v>
      </c>
      <c r="F1718" s="6" t="str">
        <f>IF($M1718="PADD I","PADD 1",IF($M1718="PADD II","PADD 2",IF($M1718="PADD III","PADD 3",IF($M1718="PADD IV","PADD 4",IF($M1718="PADD V","PADD 5","")))))</f>
        <v>PADD 3</v>
      </c>
      <c r="G1718" s="6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6" t="s">
        <v>428</v>
      </c>
      <c r="I1718" s="6" t="s">
        <v>556</v>
      </c>
      <c r="J1718" s="6" t="s">
        <v>394</v>
      </c>
      <c r="K1718" s="10">
        <v>48.88</v>
      </c>
      <c r="L1718" s="10">
        <v>52</v>
      </c>
      <c r="M1718" s="6" t="s">
        <v>421</v>
      </c>
      <c r="N1718" s="6">
        <f>IF(OR($G1718="FCC",$G1718="Hydrocracker",$G1718="Reformer"),IF(COUNTIFS($D:$D,$D1718,$A:$A,$A1718,$B:$B,$B1718,$G:$G,"CDU",$J:$J,"PLANNED")&gt;0,"tied","standalone"),"")</f>
        <v/>
      </c>
    </row>
    <row r="1719" spans="1:14">
      <c r="A1719" s="6">
        <v>2023</v>
      </c>
      <c r="B1719" s="6">
        <v>8</v>
      </c>
      <c r="C1719" s="6" t="s">
        <v>67</v>
      </c>
      <c r="D1719" s="6" t="s">
        <v>901</v>
      </c>
      <c r="E1719" s="6" t="s">
        <v>902</v>
      </c>
      <c r="F1719" s="6" t="str">
        <f>IF($M1719="PADD I","PADD 1",IF($M1719="PADD II","PADD 2",IF($M1719="PADD III","PADD 3",IF($M1719="PADD IV","PADD 4",IF($M1719="PADD V","PADD 5","")))))</f>
        <v>PADD 3</v>
      </c>
      <c r="G1719" s="6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6" t="s">
        <v>39</v>
      </c>
      <c r="I1719" s="6" t="s">
        <v>903</v>
      </c>
      <c r="J1719" s="6" t="s">
        <v>394</v>
      </c>
      <c r="K1719" s="10">
        <v>46.15</v>
      </c>
      <c r="L1719" s="10">
        <v>65</v>
      </c>
      <c r="M1719" s="6" t="s">
        <v>421</v>
      </c>
      <c r="N1719" s="6">
        <f>IF(OR($G1719="FCC",$G1719="Hydrocracker",$G1719="Reformer"),IF(COUNTIFS($D:$D,$D1719,$A:$A,$A1719,$B:$B,$B1719,$G:$G,"CDU",$J:$J,"PLANNED")&gt;0,"tied","standalone"),"")</f>
        <v/>
      </c>
    </row>
    <row r="1720" spans="1:14">
      <c r="A1720" s="6">
        <v>2023</v>
      </c>
      <c r="B1720" s="6">
        <v>8</v>
      </c>
      <c r="C1720" s="6" t="s">
        <v>67</v>
      </c>
      <c r="D1720" s="6" t="s">
        <v>901</v>
      </c>
      <c r="E1720" s="6" t="s">
        <v>902</v>
      </c>
      <c r="F1720" s="6" t="str">
        <f>IF($M1720="PADD I","PADD 1",IF($M1720="PADD II","PADD 2",IF($M1720="PADD III","PADD 3",IF($M1720="PADD IV","PADD 4",IF($M1720="PADD V","PADD 5","")))))</f>
        <v>PADD 3</v>
      </c>
      <c r="G1720" s="6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6" t="s">
        <v>39</v>
      </c>
      <c r="I1720" s="6" t="s">
        <v>904</v>
      </c>
      <c r="J1720" s="6" t="s">
        <v>394</v>
      </c>
      <c r="K1720" s="10">
        <v>46.15</v>
      </c>
      <c r="L1720" s="10">
        <v>65</v>
      </c>
      <c r="M1720" s="6" t="s">
        <v>421</v>
      </c>
      <c r="N1720" s="6">
        <f>IF(OR($G1720="FCC",$G1720="Hydrocracker",$G1720="Reformer"),IF(COUNTIFS($D:$D,$D1720,$A:$A,$A1720,$B:$B,$B1720,$G:$G,"CDU",$J:$J,"PLANNED")&gt;0,"tied","standalone"),"")</f>
        <v/>
      </c>
    </row>
    <row r="1721" spans="1:14">
      <c r="A1721" s="6">
        <v>2023</v>
      </c>
      <c r="B1721" s="6">
        <v>8</v>
      </c>
      <c r="C1721" s="6" t="s">
        <v>67</v>
      </c>
      <c r="D1721" s="6" t="s">
        <v>465</v>
      </c>
      <c r="E1721" s="6" t="s">
        <v>466</v>
      </c>
      <c r="F1721" s="6" t="str">
        <f>IF($M1721="PADD I","PADD 1",IF($M1721="PADD II","PADD 2",IF($M1721="PADD III","PADD 3",IF($M1721="PADD IV","PADD 4",IF($M1721="PADD V","PADD 5","")))))</f>
        <v>PADD 3</v>
      </c>
      <c r="G1721" s="6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6" t="s">
        <v>494</v>
      </c>
      <c r="I1721" s="6" t="s">
        <v>990</v>
      </c>
      <c r="J1721" s="6" t="s">
        <v>394</v>
      </c>
      <c r="K1721" s="10">
        <v>37.888</v>
      </c>
      <c r="L1721" s="10">
        <v>51.2</v>
      </c>
      <c r="M1721" s="6" t="s">
        <v>421</v>
      </c>
      <c r="N1721" s="6" t="str">
        <f>IF(OR($G1721="FCC",$G1721="Hydrocracker",$G1721="Reformer"),IF(COUNTIFS($D:$D,$D1721,$A:$A,$A1721,$B:$B,$B1721,$G:$G,"CDU",$J:$J,"PLANNED")&gt;0,"tied","standalone"),"")</f>
        <v>standalone</v>
      </c>
    </row>
    <row r="1722" spans="1:14">
      <c r="A1722" s="6">
        <v>2023</v>
      </c>
      <c r="B1722" s="6">
        <v>8</v>
      </c>
      <c r="C1722" s="6" t="s">
        <v>67</v>
      </c>
      <c r="D1722" s="6" t="s">
        <v>382</v>
      </c>
      <c r="E1722" s="6" t="s">
        <v>431</v>
      </c>
      <c r="F1722" s="6" t="str">
        <f>IF($M1722="PADD I","PADD 1",IF($M1722="PADD II","PADD 2",IF($M1722="PADD III","PADD 3",IF($M1722="PADD IV","PADD 4",IF($M1722="PADD V","PADD 5","")))))</f>
        <v>PADD 3</v>
      </c>
      <c r="G1722" s="6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6" t="s">
        <v>471</v>
      </c>
      <c r="I1722" s="6" t="s">
        <v>991</v>
      </c>
      <c r="J1722" s="6" t="s">
        <v>398</v>
      </c>
      <c r="K1722" s="10">
        <v>36</v>
      </c>
      <c r="L1722" s="10">
        <v>80</v>
      </c>
      <c r="M1722" s="6" t="s">
        <v>421</v>
      </c>
      <c r="N1722" s="6" t="str">
        <f>IF(OR($G1722="FCC",$G1722="Hydrocracker",$G1722="Reformer"),IF(COUNTIFS($D:$D,$D1722,$A:$A,$A1722,$B:$B,$B1722,$G:$G,"CDU",$J:$J,"PLANNED")&gt;0,"tied","standalone"),"")</f>
        <v>standalone</v>
      </c>
    </row>
    <row r="1723" spans="1:14">
      <c r="A1723" s="6">
        <v>2023</v>
      </c>
      <c r="B1723" s="6">
        <v>8</v>
      </c>
      <c r="C1723" s="6" t="s">
        <v>67</v>
      </c>
      <c r="D1723" s="6" t="s">
        <v>496</v>
      </c>
      <c r="E1723" s="6" t="s">
        <v>441</v>
      </c>
      <c r="F1723" s="6" t="str">
        <f>IF($M1723="PADD I","PADD 1",IF($M1723="PADD II","PADD 2",IF($M1723="PADD III","PADD 3",IF($M1723="PADD IV","PADD 4",IF($M1723="PADD V","PADD 5","")))))</f>
        <v>PADD 3</v>
      </c>
      <c r="G1723" s="6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6" t="s">
        <v>44</v>
      </c>
      <c r="I1723" s="6" t="s">
        <v>497</v>
      </c>
      <c r="J1723" s="6" t="s">
        <v>398</v>
      </c>
      <c r="K1723" s="10">
        <v>35</v>
      </c>
      <c r="L1723" s="10">
        <v>35</v>
      </c>
      <c r="M1723" s="6" t="s">
        <v>421</v>
      </c>
      <c r="N1723" s="6">
        <f>IF(OR($G1723="FCC",$G1723="Hydrocracker",$G1723="Reformer"),IF(COUNTIFS($D:$D,$D1723,$A:$A,$A1723,$B:$B,$B1723,$G:$G,"CDU",$J:$J,"PLANNED")&gt;0,"tied","standalone"),"")</f>
        <v/>
      </c>
    </row>
    <row r="1724" spans="1:14">
      <c r="A1724" s="6">
        <v>2023</v>
      </c>
      <c r="B1724" s="6">
        <v>8</v>
      </c>
      <c r="C1724" s="6" t="s">
        <v>67</v>
      </c>
      <c r="D1724" s="6" t="s">
        <v>498</v>
      </c>
      <c r="E1724" s="6" t="s">
        <v>441</v>
      </c>
      <c r="F1724" s="6" t="str">
        <f>IF($M1724="PADD I","PADD 1",IF($M1724="PADD II","PADD 2",IF($M1724="PADD III","PADD 3",IF($M1724="PADD IV","PADD 4",IF($M1724="PADD V","PADD 5","")))))</f>
        <v>PADD 3</v>
      </c>
      <c r="G1724" s="6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6" t="s">
        <v>44</v>
      </c>
      <c r="I1724" s="6" t="s">
        <v>499</v>
      </c>
      <c r="J1724" s="6" t="s">
        <v>394</v>
      </c>
      <c r="K1724" s="10">
        <v>35</v>
      </c>
      <c r="L1724" s="10">
        <v>35</v>
      </c>
      <c r="M1724" s="6" t="s">
        <v>421</v>
      </c>
      <c r="N1724" s="6">
        <f>IF(OR($G1724="FCC",$G1724="Hydrocracker",$G1724="Reformer"),IF(COUNTIFS($D:$D,$D1724,$A:$A,$A1724,$B:$B,$B1724,$G:$G,"CDU",$J:$J,"PLANNED")&gt;0,"tied","standalone"),"")</f>
        <v/>
      </c>
    </row>
    <row r="1725" spans="1:14">
      <c r="A1725" s="6">
        <v>2023</v>
      </c>
      <c r="B1725" s="6">
        <v>8</v>
      </c>
      <c r="C1725" s="6" t="s">
        <v>67</v>
      </c>
      <c r="D1725" s="6" t="s">
        <v>458</v>
      </c>
      <c r="E1725" s="6" t="s">
        <v>459</v>
      </c>
      <c r="F1725" s="6" t="str">
        <f>IF($M1725="PADD I","PADD 1",IF($M1725="PADD II","PADD 2",IF($M1725="PADD III","PADD 3",IF($M1725="PADD IV","PADD 4",IF($M1725="PADD V","PADD 5","")))))</f>
        <v>PADD 3</v>
      </c>
      <c r="G1725" s="6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6" t="s">
        <v>426</v>
      </c>
      <c r="I1725" s="6" t="s">
        <v>476</v>
      </c>
      <c r="J1725" s="6" t="s">
        <v>398</v>
      </c>
      <c r="K1725" s="10">
        <v>34.2</v>
      </c>
      <c r="L1725" s="10">
        <v>76</v>
      </c>
      <c r="M1725" s="6" t="s">
        <v>421</v>
      </c>
      <c r="N1725" s="6" t="str">
        <f>IF(OR($G1725="FCC",$G1725="Hydrocracker",$G1725="Reformer"),IF(COUNTIFS($D:$D,$D1725,$A:$A,$A1725,$B:$B,$B1725,$G:$G,"CDU",$J:$J,"PLANNED")&gt;0,"tied","standalone"),"")</f>
        <v>tied</v>
      </c>
    </row>
    <row r="1726" spans="1:14">
      <c r="A1726" s="6">
        <v>2023</v>
      </c>
      <c r="B1726" s="6">
        <v>8</v>
      </c>
      <c r="C1726" s="6" t="s">
        <v>67</v>
      </c>
      <c r="D1726" s="6" t="s">
        <v>465</v>
      </c>
      <c r="E1726" s="6" t="s">
        <v>466</v>
      </c>
      <c r="F1726" s="6" t="str">
        <f>IF($M1726="PADD I","PADD 1",IF($M1726="PADD II","PADD 2",IF($M1726="PADD III","PADD 3",IF($M1726="PADD IV","PADD 4",IF($M1726="PADD V","PADD 5","")))))</f>
        <v>PADD 3</v>
      </c>
      <c r="G1726" s="6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6" t="s">
        <v>485</v>
      </c>
      <c r="I1726" s="6" t="s">
        <v>503</v>
      </c>
      <c r="J1726" s="6" t="s">
        <v>394</v>
      </c>
      <c r="K1726" s="10">
        <v>34</v>
      </c>
      <c r="L1726" s="10">
        <v>34</v>
      </c>
      <c r="M1726" s="6" t="s">
        <v>421</v>
      </c>
      <c r="N1726" s="6">
        <f>IF(OR($G1726="FCC",$G1726="Hydrocracker",$G1726="Reformer"),IF(COUNTIFS($D:$D,$D1726,$A:$A,$A1726,$B:$B,$B1726,$G:$G,"CDU",$J:$J,"PLANNED")&gt;0,"tied","standalone"),"")</f>
        <v/>
      </c>
    </row>
    <row r="1727" spans="1:14">
      <c r="A1727" s="6">
        <v>2023</v>
      </c>
      <c r="B1727" s="6">
        <v>8</v>
      </c>
      <c r="C1727" s="6" t="s">
        <v>67</v>
      </c>
      <c r="D1727" s="6" t="s">
        <v>465</v>
      </c>
      <c r="E1727" s="6" t="s">
        <v>466</v>
      </c>
      <c r="F1727" s="6" t="str">
        <f>IF($M1727="PADD I","PADD 1",IF($M1727="PADD II","PADD 2",IF($M1727="PADD III","PADD 3",IF($M1727="PADD IV","PADD 4",IF($M1727="PADD V","PADD 5","")))))</f>
        <v>PADD 3</v>
      </c>
      <c r="G1727" s="6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6" t="s">
        <v>485</v>
      </c>
      <c r="I1727" s="6" t="s">
        <v>503</v>
      </c>
      <c r="J1727" s="6" t="s">
        <v>394</v>
      </c>
      <c r="K1727" s="10">
        <v>34</v>
      </c>
      <c r="L1727" s="10">
        <v>34</v>
      </c>
      <c r="M1727" s="6" t="s">
        <v>421</v>
      </c>
      <c r="N1727" s="6">
        <f>IF(OR($G1727="FCC",$G1727="Hydrocracker",$G1727="Reformer"),IF(COUNTIFS($D:$D,$D1727,$A:$A,$A1727,$B:$B,$B1727,$G:$G,"CDU",$J:$J,"PLANNED")&gt;0,"tied","standalone"),"")</f>
        <v/>
      </c>
    </row>
    <row r="1728" spans="1:14">
      <c r="A1728" s="6">
        <v>2023</v>
      </c>
      <c r="B1728" s="6">
        <v>8</v>
      </c>
      <c r="C1728" s="6" t="s">
        <v>67</v>
      </c>
      <c r="D1728" s="6" t="s">
        <v>382</v>
      </c>
      <c r="E1728" s="6" t="s">
        <v>431</v>
      </c>
      <c r="F1728" s="6" t="str">
        <f>IF($M1728="PADD I","PADD 1",IF($M1728="PADD II","PADD 2",IF($M1728="PADD III","PADD 3",IF($M1728="PADD IV","PADD 4",IF($M1728="PADD V","PADD 5","")))))</f>
        <v>PADD 3</v>
      </c>
      <c r="G1728" s="6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6" t="s">
        <v>471</v>
      </c>
      <c r="I1728" s="6" t="s">
        <v>598</v>
      </c>
      <c r="J1728" s="6" t="s">
        <v>394</v>
      </c>
      <c r="K1728" s="10">
        <v>31.2</v>
      </c>
      <c r="L1728" s="10">
        <v>80</v>
      </c>
      <c r="M1728" s="6" t="s">
        <v>421</v>
      </c>
      <c r="N1728" s="6" t="str">
        <f>IF(OR($G1728="FCC",$G1728="Hydrocracker",$G1728="Reformer"),IF(COUNTIFS($D:$D,$D1728,$A:$A,$A1728,$B:$B,$B1728,$G:$G,"CDU",$J:$J,"PLANNED")&gt;0,"tied","standalone"),"")</f>
        <v>standalone</v>
      </c>
    </row>
    <row r="1729" spans="1:14">
      <c r="A1729" s="6">
        <v>2023</v>
      </c>
      <c r="B1729" s="6">
        <v>8</v>
      </c>
      <c r="C1729" s="6" t="s">
        <v>67</v>
      </c>
      <c r="D1729" s="6" t="s">
        <v>445</v>
      </c>
      <c r="E1729" s="6" t="s">
        <v>446</v>
      </c>
      <c r="F1729" s="6" t="str">
        <f>IF($M1729="PADD I","PADD 1",IF($M1729="PADD II","PADD 2",IF($M1729="PADD III","PADD 3",IF($M1729="PADD IV","PADD 4",IF($M1729="PADD V","PADD 5","")))))</f>
        <v>PADD 3</v>
      </c>
      <c r="G1729" s="6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6" t="s">
        <v>428</v>
      </c>
      <c r="I1729" s="6" t="s">
        <v>625</v>
      </c>
      <c r="J1729" s="6" t="s">
        <v>394</v>
      </c>
      <c r="K1729" s="10">
        <v>30.45</v>
      </c>
      <c r="L1729" s="10">
        <v>35</v>
      </c>
      <c r="M1729" s="6" t="s">
        <v>421</v>
      </c>
      <c r="N1729" s="6">
        <f>IF(OR($G1729="FCC",$G1729="Hydrocracker",$G1729="Reformer"),IF(COUNTIFS($D:$D,$D1729,$A:$A,$A1729,$B:$B,$B1729,$G:$G,"CDU",$J:$J,"PLANNED")&gt;0,"tied","standalone"),"")</f>
        <v/>
      </c>
    </row>
    <row r="1730" spans="1:14">
      <c r="A1730" s="6">
        <v>2023</v>
      </c>
      <c r="B1730" s="6">
        <v>8</v>
      </c>
      <c r="C1730" s="6" t="s">
        <v>67</v>
      </c>
      <c r="D1730" s="6" t="s">
        <v>52</v>
      </c>
      <c r="E1730" s="6" t="s">
        <v>441</v>
      </c>
      <c r="F1730" s="6" t="str">
        <f>IF($M1730="PADD I","PADD 1",IF($M1730="PADD II","PADD 2",IF($M1730="PADD III","PADD 3",IF($M1730="PADD IV","PADD 4",IF($M1730="PADD V","PADD 5","")))))</f>
        <v>PADD 5</v>
      </c>
      <c r="G1730" s="6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6" t="s">
        <v>471</v>
      </c>
      <c r="I1730" s="6" t="s">
        <v>589</v>
      </c>
      <c r="J1730" s="6" t="s">
        <v>394</v>
      </c>
      <c r="K1730" s="10">
        <v>28.8</v>
      </c>
      <c r="L1730" s="10">
        <v>60</v>
      </c>
      <c r="M1730" s="6" t="s">
        <v>436</v>
      </c>
      <c r="N1730" s="6" t="str">
        <f>IF(OR($G1730="FCC",$G1730="Hydrocracker",$G1730="Reformer"),IF(COUNTIFS($D:$D,$D1730,$A:$A,$A1730,$B:$B,$B1730,$G:$G,"CDU",$J:$J,"PLANNED")&gt;0,"tied","standalone"),"")</f>
        <v>standalone</v>
      </c>
    </row>
    <row r="1731" spans="1:14">
      <c r="A1731" s="6">
        <v>2023</v>
      </c>
      <c r="B1731" s="6">
        <v>8</v>
      </c>
      <c r="C1731" s="6" t="s">
        <v>67</v>
      </c>
      <c r="D1731" s="6" t="s">
        <v>373</v>
      </c>
      <c r="E1731" s="6" t="s">
        <v>438</v>
      </c>
      <c r="F1731" s="6" t="str">
        <f>IF($M1731="PADD I","PADD 1",IF($M1731="PADD II","PADD 2",IF($M1731="PADD III","PADD 3",IF($M1731="PADD IV","PADD 4",IF($M1731="PADD V","PADD 5","")))))</f>
        <v>PADD 3</v>
      </c>
      <c r="G1731" s="6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6" t="s">
        <v>428</v>
      </c>
      <c r="I1731" s="6" t="s">
        <v>992</v>
      </c>
      <c r="J1731" s="6" t="s">
        <v>394</v>
      </c>
      <c r="K1731" s="10">
        <v>28.215</v>
      </c>
      <c r="L1731" s="10">
        <v>148.5</v>
      </c>
      <c r="M1731" s="6" t="s">
        <v>421</v>
      </c>
      <c r="N1731" s="6">
        <f>IF(OR($G1731="FCC",$G1731="Hydrocracker",$G1731="Reformer"),IF(COUNTIFS($D:$D,$D1731,$A:$A,$A1731,$B:$B,$B1731,$G:$G,"CDU",$J:$J,"PLANNED")&gt;0,"tied","standalone"),"")</f>
        <v/>
      </c>
    </row>
    <row r="1732" spans="1:14">
      <c r="A1732" s="6">
        <v>2023</v>
      </c>
      <c r="B1732" s="6">
        <v>8</v>
      </c>
      <c r="C1732" s="6" t="s">
        <v>67</v>
      </c>
      <c r="D1732" s="6" t="s">
        <v>373</v>
      </c>
      <c r="E1732" s="6" t="s">
        <v>438</v>
      </c>
      <c r="F1732" s="6" t="str">
        <f>IF($M1732="PADD I","PADD 1",IF($M1732="PADD II","PADD 2",IF($M1732="PADD III","PADD 3",IF($M1732="PADD IV","PADD 4",IF($M1732="PADD V","PADD 5","")))))</f>
        <v>PADD 3</v>
      </c>
      <c r="G1732" s="6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6" t="s">
        <v>39</v>
      </c>
      <c r="I1732" s="6" t="s">
        <v>97</v>
      </c>
      <c r="J1732" s="6" t="s">
        <v>394</v>
      </c>
      <c r="K1732" s="10">
        <v>27.55</v>
      </c>
      <c r="L1732" s="10">
        <v>145</v>
      </c>
      <c r="M1732" s="6" t="s">
        <v>421</v>
      </c>
      <c r="N1732" s="6">
        <f>IF(OR($G1732="FCC",$G1732="Hydrocracker",$G1732="Reformer"),IF(COUNTIFS($D:$D,$D1732,$A:$A,$A1732,$B:$B,$B1732,$G:$G,"CDU",$J:$J,"PLANNED")&gt;0,"tied","standalone"),"")</f>
        <v/>
      </c>
    </row>
    <row r="1733" spans="1:14">
      <c r="A1733" s="6">
        <v>2023</v>
      </c>
      <c r="B1733" s="6">
        <v>8</v>
      </c>
      <c r="C1733" s="6" t="s">
        <v>67</v>
      </c>
      <c r="D1733" s="6" t="s">
        <v>458</v>
      </c>
      <c r="E1733" s="6" t="s">
        <v>459</v>
      </c>
      <c r="F1733" s="6" t="str">
        <f>IF($M1733="PADD I","PADD 1",IF($M1733="PADD II","PADD 2",IF($M1733="PADD III","PADD 3",IF($M1733="PADD IV","PADD 4",IF($M1733="PADD V","PADD 5","")))))</f>
        <v>PADD 3</v>
      </c>
      <c r="G1733" s="6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6" t="s">
        <v>428</v>
      </c>
      <c r="I1733" s="6" t="s">
        <v>539</v>
      </c>
      <c r="J1733" s="6" t="s">
        <v>398</v>
      </c>
      <c r="K1733" s="10">
        <v>27</v>
      </c>
      <c r="L1733" s="10">
        <v>60</v>
      </c>
      <c r="M1733" s="6" t="s">
        <v>421</v>
      </c>
      <c r="N1733" s="6">
        <f>IF(OR($G1733="FCC",$G1733="Hydrocracker",$G1733="Reformer"),IF(COUNTIFS($D:$D,$D1733,$A:$A,$A1733,$B:$B,$B1733,$G:$G,"CDU",$J:$J,"PLANNED")&gt;0,"tied","standalone"),"")</f>
        <v/>
      </c>
    </row>
    <row r="1734" spans="1:14">
      <c r="A1734" s="6">
        <v>2023</v>
      </c>
      <c r="B1734" s="6">
        <v>8</v>
      </c>
      <c r="C1734" s="6" t="s">
        <v>67</v>
      </c>
      <c r="D1734" s="6" t="s">
        <v>382</v>
      </c>
      <c r="E1734" s="6" t="s">
        <v>431</v>
      </c>
      <c r="F1734" s="6" t="str">
        <f>IF($M1734="PADD I","PADD 1",IF($M1734="PADD II","PADD 2",IF($M1734="PADD III","PADD 3",IF($M1734="PADD IV","PADD 4",IF($M1734="PADD V","PADD 5","")))))</f>
        <v>PADD 3</v>
      </c>
      <c r="G1734" s="6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6" t="s">
        <v>44</v>
      </c>
      <c r="I1734" s="6" t="s">
        <v>993</v>
      </c>
      <c r="J1734" s="6" t="s">
        <v>394</v>
      </c>
      <c r="K1734" s="10">
        <v>26</v>
      </c>
      <c r="L1734" s="10">
        <v>40</v>
      </c>
      <c r="M1734" s="6" t="s">
        <v>421</v>
      </c>
      <c r="N1734" s="6">
        <f>IF(OR($G1734="FCC",$G1734="Hydrocracker",$G1734="Reformer"),IF(COUNTIFS($D:$D,$D1734,$A:$A,$A1734,$B:$B,$B1734,$G:$G,"CDU",$J:$J,"PLANNED")&gt;0,"tied","standalone"),"")</f>
        <v/>
      </c>
    </row>
    <row r="1735" spans="1:14">
      <c r="A1735" s="6">
        <v>2023</v>
      </c>
      <c r="B1735" s="6">
        <v>8</v>
      </c>
      <c r="C1735" s="6" t="s">
        <v>67</v>
      </c>
      <c r="D1735" s="6" t="s">
        <v>901</v>
      </c>
      <c r="E1735" s="6" t="s">
        <v>902</v>
      </c>
      <c r="F1735" s="6" t="str">
        <f>IF($M1735="PADD I","PADD 1",IF($M1735="PADD II","PADD 2",IF($M1735="PADD III","PADD 3",IF($M1735="PADD IV","PADD 4",IF($M1735="PADD V","PADD 5","")))))</f>
        <v>PADD 3</v>
      </c>
      <c r="G1735" s="6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6" t="s">
        <v>428</v>
      </c>
      <c r="I1735" s="6" t="s">
        <v>910</v>
      </c>
      <c r="J1735" s="6" t="s">
        <v>394</v>
      </c>
      <c r="K1735" s="10">
        <v>25.56</v>
      </c>
      <c r="L1735" s="10">
        <v>36</v>
      </c>
      <c r="M1735" s="6" t="s">
        <v>421</v>
      </c>
      <c r="N1735" s="6">
        <f>IF(OR($G1735="FCC",$G1735="Hydrocracker",$G1735="Reformer"),IF(COUNTIFS($D:$D,$D1735,$A:$A,$A1735,$B:$B,$B1735,$G:$G,"CDU",$J:$J,"PLANNED")&gt;0,"tied","standalone"),"")</f>
        <v/>
      </c>
    </row>
    <row r="1736" spans="1:14">
      <c r="A1736" s="6">
        <v>2023</v>
      </c>
      <c r="B1736" s="6">
        <v>8</v>
      </c>
      <c r="C1736" s="6" t="s">
        <v>67</v>
      </c>
      <c r="D1736" s="6" t="s">
        <v>972</v>
      </c>
      <c r="E1736" s="6" t="s">
        <v>502</v>
      </c>
      <c r="F1736" s="6" t="str">
        <f>IF($M1736="PADD I","PADD 1",IF($M1736="PADD II","PADD 2",IF($M1736="PADD III","PADD 3",IF($M1736="PADD IV","PADD 4",IF($M1736="PADD V","PADD 5","")))))</f>
        <v>PADD 4</v>
      </c>
      <c r="G1736" s="6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6" t="s">
        <v>39</v>
      </c>
      <c r="I1736" s="6" t="s">
        <v>973</v>
      </c>
      <c r="J1736" s="6" t="s">
        <v>398</v>
      </c>
      <c r="K1736" s="10">
        <v>25</v>
      </c>
      <c r="L1736" s="10">
        <v>25</v>
      </c>
      <c r="M1736" s="6" t="s">
        <v>480</v>
      </c>
      <c r="N1736" s="6">
        <f>IF(OR($G1736="FCC",$G1736="Hydrocracker",$G1736="Reformer"),IF(COUNTIFS($D:$D,$D1736,$A:$A,$A1736,$B:$B,$B1736,$G:$G,"CDU",$J:$J,"PLANNED")&gt;0,"tied","standalone"),"")</f>
        <v/>
      </c>
    </row>
    <row r="1737" spans="1:14">
      <c r="A1737" s="6">
        <v>2023</v>
      </c>
      <c r="B1737" s="6">
        <v>8</v>
      </c>
      <c r="C1737" s="6" t="s">
        <v>67</v>
      </c>
      <c r="D1737" s="6" t="s">
        <v>470</v>
      </c>
      <c r="E1737" s="6" t="s">
        <v>423</v>
      </c>
      <c r="F1737" s="6" t="str">
        <f>IF($M1737="PADD I","PADD 1",IF($M1737="PADD II","PADD 2",IF($M1737="PADD III","PADD 3",IF($M1737="PADD IV","PADD 4",IF($M1737="PADD V","PADD 5","")))))</f>
        <v>PADD 2</v>
      </c>
      <c r="G1737" s="6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6" t="s">
        <v>39</v>
      </c>
      <c r="I1737" s="6" t="s">
        <v>82</v>
      </c>
      <c r="J1737" s="6" t="s">
        <v>394</v>
      </c>
      <c r="K1737" s="10">
        <v>24.5</v>
      </c>
      <c r="L1737" s="10">
        <v>24.5</v>
      </c>
      <c r="M1737" s="6" t="s">
        <v>425</v>
      </c>
      <c r="N1737" s="6">
        <f>IF(OR($G1737="FCC",$G1737="Hydrocracker",$G1737="Reformer"),IF(COUNTIFS($D:$D,$D1737,$A:$A,$A1737,$B:$B,$B1737,$G:$G,"CDU",$J:$J,"PLANNED")&gt;0,"tied","standalone"),"")</f>
        <v/>
      </c>
    </row>
    <row r="1738" spans="1:14">
      <c r="A1738" s="6">
        <v>2023</v>
      </c>
      <c r="B1738" s="6">
        <v>8</v>
      </c>
      <c r="C1738" s="6" t="s">
        <v>67</v>
      </c>
      <c r="D1738" s="6" t="s">
        <v>458</v>
      </c>
      <c r="E1738" s="6" t="s">
        <v>459</v>
      </c>
      <c r="F1738" s="6" t="str">
        <f>IF($M1738="PADD I","PADD 1",IF($M1738="PADD II","PADD 2",IF($M1738="PADD III","PADD 3",IF($M1738="PADD IV","PADD 4",IF($M1738="PADD V","PADD 5","")))))</f>
        <v>PADD 3</v>
      </c>
      <c r="G1738" s="6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6" t="s">
        <v>428</v>
      </c>
      <c r="I1738" s="6" t="s">
        <v>556</v>
      </c>
      <c r="J1738" s="6" t="s">
        <v>394</v>
      </c>
      <c r="K1738" s="10">
        <v>22.95</v>
      </c>
      <c r="L1738" s="10">
        <v>51</v>
      </c>
      <c r="M1738" s="6" t="s">
        <v>421</v>
      </c>
      <c r="N1738" s="6">
        <f>IF(OR($G1738="FCC",$G1738="Hydrocracker",$G1738="Reformer"),IF(COUNTIFS($D:$D,$D1738,$A:$A,$A1738,$B:$B,$B1738,$G:$G,"CDU",$J:$J,"PLANNED")&gt;0,"tied","standalone"),"")</f>
        <v/>
      </c>
    </row>
    <row r="1739" spans="1:14">
      <c r="A1739" s="6">
        <v>2023</v>
      </c>
      <c r="B1739" s="6">
        <v>8</v>
      </c>
      <c r="C1739" s="6" t="s">
        <v>67</v>
      </c>
      <c r="D1739" s="6" t="s">
        <v>52</v>
      </c>
      <c r="E1739" s="6" t="s">
        <v>441</v>
      </c>
      <c r="F1739" s="6" t="str">
        <f>IF($M1739="PADD I","PADD 1",IF($M1739="PADD II","PADD 2",IF($M1739="PADD III","PADD 3",IF($M1739="PADD IV","PADD 4",IF($M1739="PADD V","PADD 5","")))))</f>
        <v>PADD 5</v>
      </c>
      <c r="G1739" s="6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6" t="s">
        <v>44</v>
      </c>
      <c r="I1739" s="6" t="s">
        <v>909</v>
      </c>
      <c r="J1739" s="6" t="s">
        <v>398</v>
      </c>
      <c r="K1739" s="10">
        <v>20.8</v>
      </c>
      <c r="L1739" s="10">
        <v>40</v>
      </c>
      <c r="M1739" s="6" t="s">
        <v>436</v>
      </c>
      <c r="N1739" s="6">
        <f>IF(OR($G1739="FCC",$G1739="Hydrocracker",$G1739="Reformer"),IF(COUNTIFS($D:$D,$D1739,$A:$A,$A1739,$B:$B,$B1739,$G:$G,"CDU",$J:$J,"PLANNED")&gt;0,"tied","standalone"),"")</f>
        <v/>
      </c>
    </row>
    <row r="1740" spans="1:14">
      <c r="A1740" s="6">
        <v>2023</v>
      </c>
      <c r="B1740" s="6">
        <v>8</v>
      </c>
      <c r="C1740" s="6" t="s">
        <v>67</v>
      </c>
      <c r="D1740" s="6" t="s">
        <v>470</v>
      </c>
      <c r="E1740" s="6" t="s">
        <v>423</v>
      </c>
      <c r="F1740" s="6" t="str">
        <f>IF($M1740="PADD I","PADD 1",IF($M1740="PADD II","PADD 2",IF($M1740="PADD III","PADD 3",IF($M1740="PADD IV","PADD 4",IF($M1740="PADD V","PADD 5","")))))</f>
        <v>PADD 2</v>
      </c>
      <c r="G1740" s="6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6" t="s">
        <v>428</v>
      </c>
      <c r="I1740" s="6" t="s">
        <v>481</v>
      </c>
      <c r="J1740" s="6" t="s">
        <v>394</v>
      </c>
      <c r="K1740" s="10">
        <v>20.5</v>
      </c>
      <c r="L1740" s="10">
        <v>20.5</v>
      </c>
      <c r="M1740" s="6" t="s">
        <v>425</v>
      </c>
      <c r="N1740" s="6">
        <f>IF(OR($G1740="FCC",$G1740="Hydrocracker",$G1740="Reformer"),IF(COUNTIFS($D:$D,$D1740,$A:$A,$A1740,$B:$B,$B1740,$G:$G,"CDU",$J:$J,"PLANNED")&gt;0,"tied","standalone"),"")</f>
        <v/>
      </c>
    </row>
    <row r="1741" spans="1:14">
      <c r="A1741" s="6">
        <v>2023</v>
      </c>
      <c r="B1741" s="6">
        <v>8</v>
      </c>
      <c r="C1741" s="6" t="s">
        <v>67</v>
      </c>
      <c r="D1741" s="6" t="s">
        <v>546</v>
      </c>
      <c r="E1741" s="6" t="s">
        <v>438</v>
      </c>
      <c r="F1741" s="6" t="str">
        <f>IF($M1741="PADD I","PADD 1",IF($M1741="PADD II","PADD 2",IF($M1741="PADD III","PADD 3",IF($M1741="PADD IV","PADD 4",IF($M1741="PADD V","PADD 5","")))))</f>
        <v>PADD 2</v>
      </c>
      <c r="G1741" s="6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6" t="s">
        <v>39</v>
      </c>
      <c r="I1741" s="6" t="s">
        <v>82</v>
      </c>
      <c r="J1741" s="6" t="s">
        <v>398</v>
      </c>
      <c r="K1741" s="10">
        <v>20</v>
      </c>
      <c r="L1741" s="10">
        <v>20</v>
      </c>
      <c r="M1741" s="6" t="s">
        <v>425</v>
      </c>
      <c r="N1741" s="6">
        <f>IF(OR($G1741="FCC",$G1741="Hydrocracker",$G1741="Reformer"),IF(COUNTIFS($D:$D,$D1741,$A:$A,$A1741,$B:$B,$B1741,$G:$G,"CDU",$J:$J,"PLANNED")&gt;0,"tied","standalone"),"")</f>
        <v/>
      </c>
    </row>
    <row r="1742" spans="1:14">
      <c r="A1742" s="6">
        <v>2023</v>
      </c>
      <c r="B1742" s="6">
        <v>8</v>
      </c>
      <c r="C1742" s="6" t="s">
        <v>67</v>
      </c>
      <c r="D1742" s="6" t="s">
        <v>458</v>
      </c>
      <c r="E1742" s="6" t="s">
        <v>459</v>
      </c>
      <c r="F1742" s="6" t="str">
        <f>IF($M1742="PADD I","PADD 1",IF($M1742="PADD II","PADD 2",IF($M1742="PADD III","PADD 3",IF($M1742="PADD IV","PADD 4",IF($M1742="PADD V","PADD 5","")))))</f>
        <v>PADD 3</v>
      </c>
      <c r="G1742" s="6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6" t="s">
        <v>39</v>
      </c>
      <c r="I1742" s="6" t="s">
        <v>572</v>
      </c>
      <c r="J1742" s="6" t="s">
        <v>398</v>
      </c>
      <c r="K1742" s="10">
        <v>18</v>
      </c>
      <c r="L1742" s="10">
        <v>40</v>
      </c>
      <c r="M1742" s="6" t="s">
        <v>421</v>
      </c>
      <c r="N1742" s="6">
        <f>IF(OR($G1742="FCC",$G1742="Hydrocracker",$G1742="Reformer"),IF(COUNTIFS($D:$D,$D1742,$A:$A,$A1742,$B:$B,$B1742,$G:$G,"CDU",$J:$J,"PLANNED")&gt;0,"tied","standalone"),"")</f>
        <v/>
      </c>
    </row>
    <row r="1743" spans="1:14">
      <c r="A1743" s="6">
        <v>2023</v>
      </c>
      <c r="B1743" s="6">
        <v>8</v>
      </c>
      <c r="C1743" s="6" t="s">
        <v>67</v>
      </c>
      <c r="D1743" s="6" t="s">
        <v>430</v>
      </c>
      <c r="E1743" s="6" t="s">
        <v>431</v>
      </c>
      <c r="F1743" s="6" t="str">
        <f>IF($M1743="PADD I","PADD 1",IF($M1743="PADD II","PADD 2",IF($M1743="PADD III","PADD 3",IF($M1743="PADD IV","PADD 4",IF($M1743="PADD V","PADD 5","")))))</f>
        <v>PADD 3</v>
      </c>
      <c r="G1743" s="6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6" t="s">
        <v>426</v>
      </c>
      <c r="I1743" s="6" t="s">
        <v>900</v>
      </c>
      <c r="J1743" s="6" t="s">
        <v>394</v>
      </c>
      <c r="K1743" s="10">
        <v>17.6</v>
      </c>
      <c r="L1743" s="10">
        <v>110</v>
      </c>
      <c r="M1743" s="6" t="s">
        <v>421</v>
      </c>
      <c r="N1743" s="6" t="str">
        <f>IF(OR($G1743="FCC",$G1743="Hydrocracker",$G1743="Reformer"),IF(COUNTIFS($D:$D,$D1743,$A:$A,$A1743,$B:$B,$B1743,$G:$G,"CDU",$J:$J,"PLANNED")&gt;0,"tied","standalone"),"")</f>
        <v>standalone</v>
      </c>
    </row>
    <row r="1744" spans="1:14">
      <c r="A1744" s="6">
        <v>2023</v>
      </c>
      <c r="B1744" s="6">
        <v>8</v>
      </c>
      <c r="C1744" s="6" t="s">
        <v>67</v>
      </c>
      <c r="D1744" s="6" t="s">
        <v>540</v>
      </c>
      <c r="E1744" s="6" t="s">
        <v>541</v>
      </c>
      <c r="F1744" s="6" t="str">
        <f>IF($M1744="PADD I","PADD 1",IF($M1744="PADD II","PADD 2",IF($M1744="PADD III","PADD 3",IF($M1744="PADD IV","PADD 4",IF($M1744="PADD V","PADD 5","")))))</f>
        <v>PADD 3</v>
      </c>
      <c r="G1744" s="6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6" t="s">
        <v>485</v>
      </c>
      <c r="I1744" s="6" t="s">
        <v>693</v>
      </c>
      <c r="J1744" s="6" t="s">
        <v>394</v>
      </c>
      <c r="K1744" s="10">
        <v>17.6</v>
      </c>
      <c r="L1744" s="10">
        <v>110</v>
      </c>
      <c r="M1744" s="6" t="s">
        <v>421</v>
      </c>
      <c r="N1744" s="6">
        <f>IF(OR($G1744="FCC",$G1744="Hydrocracker",$G1744="Reformer"),IF(COUNTIFS($D:$D,$D1744,$A:$A,$A1744,$B:$B,$B1744,$G:$G,"CDU",$J:$J,"PLANNED")&gt;0,"tied","standalone"),"")</f>
        <v/>
      </c>
    </row>
    <row r="1745" spans="1:14">
      <c r="A1745" s="6">
        <v>2023</v>
      </c>
      <c r="B1745" s="6">
        <v>8</v>
      </c>
      <c r="C1745" s="6" t="s">
        <v>67</v>
      </c>
      <c r="D1745" s="6" t="s">
        <v>373</v>
      </c>
      <c r="E1745" s="6" t="s">
        <v>438</v>
      </c>
      <c r="F1745" s="6" t="str">
        <f>IF($M1745="PADD I","PADD 1",IF($M1745="PADD II","PADD 2",IF($M1745="PADD III","PADD 3",IF($M1745="PADD IV","PADD 4",IF($M1745="PADD V","PADD 5","")))))</f>
        <v>PADD 3</v>
      </c>
      <c r="G1745" s="6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6" t="s">
        <v>426</v>
      </c>
      <c r="I1745" s="6" t="s">
        <v>994</v>
      </c>
      <c r="J1745" s="6" t="s">
        <v>394</v>
      </c>
      <c r="K1745" s="10">
        <v>13.4</v>
      </c>
      <c r="L1745" s="10">
        <v>134</v>
      </c>
      <c r="M1745" s="6" t="s">
        <v>421</v>
      </c>
      <c r="N1745" s="6" t="str">
        <f>IF(OR($G1745="FCC",$G1745="Hydrocracker",$G1745="Reformer"),IF(COUNTIFS($D:$D,$D1745,$A:$A,$A1745,$B:$B,$B1745,$G:$G,"CDU",$J:$J,"PLANNED")&gt;0,"tied","standalone"),"")</f>
        <v>standalone</v>
      </c>
    </row>
    <row r="1746" spans="1:14">
      <c r="A1746" s="6">
        <v>2023</v>
      </c>
      <c r="B1746" s="6">
        <v>8</v>
      </c>
      <c r="C1746" s="6" t="s">
        <v>67</v>
      </c>
      <c r="D1746" s="6" t="s">
        <v>972</v>
      </c>
      <c r="E1746" s="6" t="s">
        <v>502</v>
      </c>
      <c r="F1746" s="6" t="str">
        <f>IF($M1746="PADD I","PADD 1",IF($M1746="PADD II","PADD 2",IF($M1746="PADD III","PADD 3",IF($M1746="PADD IV","PADD 4",IF($M1746="PADD V","PADD 5","")))))</f>
        <v>PADD 4</v>
      </c>
      <c r="G1746" s="6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6" t="s">
        <v>426</v>
      </c>
      <c r="I1746" s="6" t="s">
        <v>106</v>
      </c>
      <c r="J1746" s="6" t="s">
        <v>398</v>
      </c>
      <c r="K1746" s="10">
        <v>13</v>
      </c>
      <c r="L1746" s="10">
        <v>13</v>
      </c>
      <c r="M1746" s="6" t="s">
        <v>480</v>
      </c>
      <c r="N1746" s="6" t="str">
        <f>IF(OR($G1746="FCC",$G1746="Hydrocracker",$G1746="Reformer"),IF(COUNTIFS($D:$D,$D1746,$A:$A,$A1746,$B:$B,$B1746,$G:$G,"CDU",$J:$J,"PLANNED")&gt;0,"tied","standalone"),"")</f>
        <v>tied</v>
      </c>
    </row>
    <row r="1747" spans="1:14">
      <c r="A1747" s="6">
        <v>2023</v>
      </c>
      <c r="B1747" s="6">
        <v>8</v>
      </c>
      <c r="C1747" s="6" t="s">
        <v>67</v>
      </c>
      <c r="D1747" s="6" t="s">
        <v>470</v>
      </c>
      <c r="E1747" s="6" t="s">
        <v>423</v>
      </c>
      <c r="F1747" s="6" t="str">
        <f>IF($M1747="PADD I","PADD 1",IF($M1747="PADD II","PADD 2",IF($M1747="PADD III","PADD 3",IF($M1747="PADD IV","PADD 4",IF($M1747="PADD V","PADD 5","")))))</f>
        <v>PADD 2</v>
      </c>
      <c r="G1747" s="6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6" t="s">
        <v>426</v>
      </c>
      <c r="I1747" s="6" t="s">
        <v>106</v>
      </c>
      <c r="J1747" s="6" t="s">
        <v>394</v>
      </c>
      <c r="K1747" s="10">
        <v>13</v>
      </c>
      <c r="L1747" s="10">
        <v>13</v>
      </c>
      <c r="M1747" s="6" t="s">
        <v>425</v>
      </c>
      <c r="N1747" s="6" t="str">
        <f>IF(OR($G1747="FCC",$G1747="Hydrocracker",$G1747="Reformer"),IF(COUNTIFS($D:$D,$D1747,$A:$A,$A1747,$B:$B,$B1747,$G:$G,"CDU",$J:$J,"PLANNED")&gt;0,"tied","standalone"),"")</f>
        <v>standalone</v>
      </c>
    </row>
    <row r="1748" spans="1:14">
      <c r="A1748" s="6">
        <v>2023</v>
      </c>
      <c r="B1748" s="6">
        <v>8</v>
      </c>
      <c r="C1748" s="6" t="s">
        <v>67</v>
      </c>
      <c r="D1748" s="6" t="s">
        <v>581</v>
      </c>
      <c r="E1748" s="6" t="s">
        <v>582</v>
      </c>
      <c r="F1748" s="6" t="str">
        <f>IF($M1748="PADD I","PADD 1",IF($M1748="PADD II","PADD 2",IF($M1748="PADD III","PADD 3",IF($M1748="PADD IV","PADD 4",IF($M1748="PADD V","PADD 5","")))))</f>
        <v>PADD 5</v>
      </c>
      <c r="G1748" s="6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6" t="s">
        <v>485</v>
      </c>
      <c r="I1748" s="6" t="s">
        <v>649</v>
      </c>
      <c r="J1748" s="6" t="s">
        <v>394</v>
      </c>
      <c r="K1748" s="10">
        <v>13</v>
      </c>
      <c r="L1748" s="10">
        <v>25</v>
      </c>
      <c r="M1748" s="6" t="s">
        <v>436</v>
      </c>
      <c r="N1748" s="6">
        <f>IF(OR($G1748="FCC",$G1748="Hydrocracker",$G1748="Reformer"),IF(COUNTIFS($D:$D,$D1748,$A:$A,$A1748,$B:$B,$B1748,$G:$G,"CDU",$J:$J,"PLANNED")&gt;0,"tied","standalone"),"")</f>
        <v/>
      </c>
    </row>
    <row r="1749" spans="1:14">
      <c r="A1749" s="6">
        <v>2023</v>
      </c>
      <c r="B1749" s="6">
        <v>8</v>
      </c>
      <c r="C1749" s="6" t="s">
        <v>67</v>
      </c>
      <c r="D1749" s="6" t="s">
        <v>540</v>
      </c>
      <c r="E1749" s="6" t="s">
        <v>541</v>
      </c>
      <c r="F1749" s="6" t="str">
        <f>IF($M1749="PADD I","PADD 1",IF($M1749="PADD II","PADD 2",IF($M1749="PADD III","PADD 3",IF($M1749="PADD IV","PADD 4",IF($M1749="PADD V","PADD 5","")))))</f>
        <v>PADD 3</v>
      </c>
      <c r="G1749" s="6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6" t="s">
        <v>426</v>
      </c>
      <c r="I1749" s="6" t="s">
        <v>522</v>
      </c>
      <c r="J1749" s="6" t="s">
        <v>394</v>
      </c>
      <c r="K1749" s="10">
        <v>12.96</v>
      </c>
      <c r="L1749" s="10">
        <v>81</v>
      </c>
      <c r="M1749" s="6" t="s">
        <v>421</v>
      </c>
      <c r="N1749" s="6" t="str">
        <f>IF(OR($G1749="FCC",$G1749="Hydrocracker",$G1749="Reformer"),IF(COUNTIFS($D:$D,$D1749,$A:$A,$A1749,$B:$B,$B1749,$G:$G,"CDU",$J:$J,"PLANNED")&gt;0,"tied","standalone"),"")</f>
        <v>standalone</v>
      </c>
    </row>
    <row r="1750" spans="1:14">
      <c r="A1750" s="6">
        <v>2023</v>
      </c>
      <c r="B1750" s="6">
        <v>8</v>
      </c>
      <c r="C1750" s="6" t="s">
        <v>67</v>
      </c>
      <c r="D1750" s="6" t="s">
        <v>490</v>
      </c>
      <c r="E1750" s="6" t="s">
        <v>419</v>
      </c>
      <c r="F1750" s="6" t="str">
        <f>IF($M1750="PADD I","PADD 1",IF($M1750="PADD II","PADD 2",IF($M1750="PADD III","PADD 3",IF($M1750="PADD IV","PADD 4",IF($M1750="PADD V","PADD 5","")))))</f>
        <v>PADD 5</v>
      </c>
      <c r="G1750" s="6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6" t="s">
        <v>485</v>
      </c>
      <c r="I1750" s="6" t="s">
        <v>491</v>
      </c>
      <c r="J1750" s="6" t="s">
        <v>394</v>
      </c>
      <c r="K1750" s="10">
        <v>12.19</v>
      </c>
      <c r="L1750" s="10">
        <v>53</v>
      </c>
      <c r="M1750" s="6" t="s">
        <v>436</v>
      </c>
      <c r="N1750" s="6">
        <f>IF(OR($G1750="FCC",$G1750="Hydrocracker",$G1750="Reformer"),IF(COUNTIFS($D:$D,$D1750,$A:$A,$A1750,$B:$B,$B1750,$G:$G,"CDU",$J:$J,"PLANNED")&gt;0,"tied","standalone"),"")</f>
        <v/>
      </c>
    </row>
    <row r="1751" spans="1:14">
      <c r="A1751" s="6">
        <v>2023</v>
      </c>
      <c r="B1751" s="6">
        <v>8</v>
      </c>
      <c r="C1751" s="6" t="s">
        <v>67</v>
      </c>
      <c r="D1751" s="6" t="s">
        <v>764</v>
      </c>
      <c r="E1751" s="6" t="s">
        <v>455</v>
      </c>
      <c r="F1751" s="6" t="str">
        <f>IF($M1751="PADD I","PADD 1",IF($M1751="PADD II","PADD 2",IF($M1751="PADD III","PADD 3",IF($M1751="PADD IV","PADD 4",IF($M1751="PADD V","PADD 5","")))))</f>
        <v>PADD 3</v>
      </c>
      <c r="G1751" s="6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6" t="s">
        <v>426</v>
      </c>
      <c r="I1751" s="6" t="s">
        <v>106</v>
      </c>
      <c r="J1751" s="6" t="s">
        <v>394</v>
      </c>
      <c r="K1751" s="10">
        <v>12.16</v>
      </c>
      <c r="L1751" s="10">
        <v>76</v>
      </c>
      <c r="M1751" s="6" t="s">
        <v>421</v>
      </c>
      <c r="N1751" s="6" t="str">
        <f>IF(OR($G1751="FCC",$G1751="Hydrocracker",$G1751="Reformer"),IF(COUNTIFS($D:$D,$D1751,$A:$A,$A1751,$B:$B,$B1751,$G:$G,"CDU",$J:$J,"PLANNED")&gt;0,"tied","standalone"),"")</f>
        <v>standalone</v>
      </c>
    </row>
    <row r="1752" spans="1:14">
      <c r="A1752" s="6">
        <v>2023</v>
      </c>
      <c r="B1752" s="6">
        <v>8</v>
      </c>
      <c r="C1752" s="6" t="s">
        <v>67</v>
      </c>
      <c r="D1752" s="6" t="s">
        <v>546</v>
      </c>
      <c r="E1752" s="6" t="s">
        <v>438</v>
      </c>
      <c r="F1752" s="6" t="str">
        <f>IF($M1752="PADD I","PADD 1",IF($M1752="PADD II","PADD 2",IF($M1752="PADD III","PADD 3",IF($M1752="PADD IV","PADD 4",IF($M1752="PADD V","PADD 5","")))))</f>
        <v>PADD 2</v>
      </c>
      <c r="G1752" s="6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6" t="s">
        <v>428</v>
      </c>
      <c r="I1752" s="6" t="s">
        <v>586</v>
      </c>
      <c r="J1752" s="6" t="s">
        <v>398</v>
      </c>
      <c r="K1752" s="10">
        <v>12</v>
      </c>
      <c r="L1752" s="10">
        <v>12</v>
      </c>
      <c r="M1752" s="6" t="s">
        <v>425</v>
      </c>
      <c r="N1752" s="6">
        <f>IF(OR($G1752="FCC",$G1752="Hydrocracker",$G1752="Reformer"),IF(COUNTIFS($D:$D,$D1752,$A:$A,$A1752,$B:$B,$B1752,$G:$G,"CDU",$J:$J,"PLANNED")&gt;0,"tied","standalone"),"")</f>
        <v/>
      </c>
    </row>
    <row r="1753" spans="1:14">
      <c r="A1753" s="6">
        <v>2023</v>
      </c>
      <c r="B1753" s="6">
        <v>8</v>
      </c>
      <c r="C1753" s="6" t="s">
        <v>67</v>
      </c>
      <c r="D1753" s="6" t="s">
        <v>373</v>
      </c>
      <c r="E1753" s="6" t="s">
        <v>438</v>
      </c>
      <c r="F1753" s="6" t="str">
        <f>IF($M1753="PADD I","PADD 1",IF($M1753="PADD II","PADD 2",IF($M1753="PADD III","PADD 3",IF($M1753="PADD IV","PADD 4",IF($M1753="PADD V","PADD 5","")))))</f>
        <v>PADD 3</v>
      </c>
      <c r="G1753" s="6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6" t="s">
        <v>494</v>
      </c>
      <c r="I1753" s="6" t="s">
        <v>995</v>
      </c>
      <c r="J1753" s="6" t="s">
        <v>394</v>
      </c>
      <c r="K1753" s="10">
        <v>11</v>
      </c>
      <c r="L1753" s="10">
        <v>110</v>
      </c>
      <c r="M1753" s="6" t="s">
        <v>421</v>
      </c>
      <c r="N1753" s="6" t="str">
        <f>IF(OR($G1753="FCC",$G1753="Hydrocracker",$G1753="Reformer"),IF(COUNTIFS($D:$D,$D1753,$A:$A,$A1753,$B:$B,$B1753,$G:$G,"CDU",$J:$J,"PLANNED")&gt;0,"tied","standalone"),"")</f>
        <v>standalone</v>
      </c>
    </row>
    <row r="1754" spans="1:14">
      <c r="A1754" s="6">
        <v>2023</v>
      </c>
      <c r="B1754" s="6">
        <v>8</v>
      </c>
      <c r="C1754" s="6" t="s">
        <v>67</v>
      </c>
      <c r="D1754" s="6" t="s">
        <v>470</v>
      </c>
      <c r="E1754" s="6" t="s">
        <v>423</v>
      </c>
      <c r="F1754" s="6" t="str">
        <f>IF($M1754="PADD I","PADD 1",IF($M1754="PADD II","PADD 2",IF($M1754="PADD III","PADD 3",IF($M1754="PADD IV","PADD 4",IF($M1754="PADD V","PADD 5","")))))</f>
        <v>PADD 2</v>
      </c>
      <c r="G1754" s="6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6" t="s">
        <v>44</v>
      </c>
      <c r="I1754" s="6" t="s">
        <v>596</v>
      </c>
      <c r="J1754" s="6" t="s">
        <v>394</v>
      </c>
      <c r="K1754" s="10">
        <v>11</v>
      </c>
      <c r="L1754" s="10">
        <v>11</v>
      </c>
      <c r="M1754" s="6" t="s">
        <v>425</v>
      </c>
      <c r="N1754" s="6">
        <f>IF(OR($G1754="FCC",$G1754="Hydrocracker",$G1754="Reformer"),IF(COUNTIFS($D:$D,$D1754,$A:$A,$A1754,$B:$B,$B1754,$G:$G,"CDU",$J:$J,"PLANNED")&gt;0,"tied","standalone"),"")</f>
        <v/>
      </c>
    </row>
    <row r="1755" spans="1:14">
      <c r="A1755" s="6">
        <v>2023</v>
      </c>
      <c r="B1755" s="6">
        <v>8</v>
      </c>
      <c r="C1755" s="6" t="s">
        <v>67</v>
      </c>
      <c r="D1755" s="6" t="s">
        <v>515</v>
      </c>
      <c r="E1755" s="6" t="s">
        <v>419</v>
      </c>
      <c r="F1755" s="6" t="str">
        <f>IF($M1755="PADD I","PADD 1",IF($M1755="PADD II","PADD 2",IF($M1755="PADD III","PADD 3",IF($M1755="PADD IV","PADD 4",IF($M1755="PADD V","PADD 5","")))))</f>
        <v>PADD 5</v>
      </c>
      <c r="G1755" s="6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6" t="s">
        <v>44</v>
      </c>
      <c r="I1755" s="6" t="s">
        <v>719</v>
      </c>
      <c r="J1755" s="6" t="s">
        <v>398</v>
      </c>
      <c r="K1755" s="10">
        <v>10.45</v>
      </c>
      <c r="L1755" s="10">
        <v>19</v>
      </c>
      <c r="M1755" s="6" t="s">
        <v>436</v>
      </c>
      <c r="N1755" s="6">
        <f>IF(OR($G1755="FCC",$G1755="Hydrocracker",$G1755="Reformer"),IF(COUNTIFS($D:$D,$D1755,$A:$A,$A1755,$B:$B,$B1755,$G:$G,"CDU",$J:$J,"PLANNED")&gt;0,"tied","standalone"),"")</f>
        <v/>
      </c>
    </row>
    <row r="1756" spans="1:14">
      <c r="A1756" s="6">
        <v>2023</v>
      </c>
      <c r="B1756" s="6">
        <v>8</v>
      </c>
      <c r="C1756" s="6" t="s">
        <v>67</v>
      </c>
      <c r="D1756" s="6" t="s">
        <v>996</v>
      </c>
      <c r="E1756" s="6" t="s">
        <v>455</v>
      </c>
      <c r="F1756" s="6" t="str">
        <f>IF($M1756="PADD I","PADD 1",IF($M1756="PADD II","PADD 2",IF($M1756="PADD III","PADD 3",IF($M1756="PADD IV","PADD 4",IF($M1756="PADD V","PADD 5","")))))</f>
        <v>PADD 5</v>
      </c>
      <c r="G1756" s="6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6" t="s">
        <v>426</v>
      </c>
      <c r="I1756" s="6" t="s">
        <v>997</v>
      </c>
      <c r="J1756" s="6" t="s">
        <v>394</v>
      </c>
      <c r="K1756" s="10">
        <v>10.26</v>
      </c>
      <c r="L1756" s="10">
        <v>54</v>
      </c>
      <c r="M1756" s="6" t="s">
        <v>436</v>
      </c>
      <c r="N1756" s="6" t="str">
        <f>IF(OR($G1756="FCC",$G1756="Hydrocracker",$G1756="Reformer"),IF(COUNTIFS($D:$D,$D1756,$A:$A,$A1756,$B:$B,$B1756,$G:$G,"CDU",$J:$J,"PLANNED")&gt;0,"tied","standalone"),"")</f>
        <v>standalone</v>
      </c>
    </row>
    <row r="1757" spans="1:14">
      <c r="A1757" s="6">
        <v>2023</v>
      </c>
      <c r="B1757" s="6">
        <v>8</v>
      </c>
      <c r="C1757" s="6" t="s">
        <v>67</v>
      </c>
      <c r="D1757" s="6" t="s">
        <v>660</v>
      </c>
      <c r="E1757" s="6" t="s">
        <v>661</v>
      </c>
      <c r="F1757" s="6" t="str">
        <f>IF($M1757="PADD I","PADD 1",IF($M1757="PADD II","PADD 2",IF($M1757="PADD III","PADD 3",IF($M1757="PADD IV","PADD 4",IF($M1757="PADD V","PADD 5","")))))</f>
        <v>PADD 2</v>
      </c>
      <c r="G1757" s="6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6" t="s">
        <v>39</v>
      </c>
      <c r="I1757" s="6" t="s">
        <v>424</v>
      </c>
      <c r="J1757" s="6" t="s">
        <v>394</v>
      </c>
      <c r="K1757" s="10">
        <v>9.75</v>
      </c>
      <c r="L1757" s="10">
        <v>75</v>
      </c>
      <c r="M1757" s="6" t="s">
        <v>425</v>
      </c>
      <c r="N1757" s="6">
        <f>IF(OR($G1757="FCC",$G1757="Hydrocracker",$G1757="Reformer"),IF(COUNTIFS($D:$D,$D1757,$A:$A,$A1757,$B:$B,$B1757,$G:$G,"CDU",$J:$J,"PLANNED")&gt;0,"tied","standalone"),"")</f>
        <v/>
      </c>
    </row>
    <row r="1758" spans="1:14">
      <c r="A1758" s="6">
        <v>2023</v>
      </c>
      <c r="B1758" s="6">
        <v>8</v>
      </c>
      <c r="C1758" s="6" t="s">
        <v>67</v>
      </c>
      <c r="D1758" s="6" t="s">
        <v>984</v>
      </c>
      <c r="E1758" s="6" t="s">
        <v>438</v>
      </c>
      <c r="F1758" s="6" t="str">
        <f>IF($M1758="PADD I","PADD 1",IF($M1758="PADD II","PADD 2",IF($M1758="PADD III","PADD 3",IF($M1758="PADD IV","PADD 4",IF($M1758="PADD V","PADD 5","")))))</f>
        <v>PADD 3</v>
      </c>
      <c r="G1758" s="6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6" t="s">
        <v>39</v>
      </c>
      <c r="I1758" s="6" t="s">
        <v>136</v>
      </c>
      <c r="J1758" s="6" t="s">
        <v>394</v>
      </c>
      <c r="K1758" s="10">
        <v>9.75</v>
      </c>
      <c r="L1758" s="10">
        <v>75</v>
      </c>
      <c r="M1758" s="6" t="s">
        <v>421</v>
      </c>
      <c r="N1758" s="6">
        <f>IF(OR($G1758="FCC",$G1758="Hydrocracker",$G1758="Reformer"),IF(COUNTIFS($D:$D,$D1758,$A:$A,$A1758,$B:$B,$B1758,$G:$G,"CDU",$J:$J,"PLANNED")&gt;0,"tied","standalone"),"")</f>
        <v/>
      </c>
    </row>
    <row r="1759" spans="1:14">
      <c r="A1759" s="6">
        <v>2023</v>
      </c>
      <c r="B1759" s="6">
        <v>8</v>
      </c>
      <c r="C1759" s="6" t="s">
        <v>67</v>
      </c>
      <c r="D1759" s="6" t="s">
        <v>972</v>
      </c>
      <c r="E1759" s="6" t="s">
        <v>502</v>
      </c>
      <c r="F1759" s="6" t="str">
        <f>IF($M1759="PADD I","PADD 1",IF($M1759="PADD II","PADD 2",IF($M1759="PADD III","PADD 3",IF($M1759="PADD IV","PADD 4",IF($M1759="PADD V","PADD 5","")))))</f>
        <v>PADD 4</v>
      </c>
      <c r="G1759" s="6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6" t="s">
        <v>44</v>
      </c>
      <c r="I1759" s="6" t="s">
        <v>983</v>
      </c>
      <c r="J1759" s="6" t="s">
        <v>398</v>
      </c>
      <c r="K1759" s="10">
        <v>9.5</v>
      </c>
      <c r="L1759" s="10">
        <v>9.5</v>
      </c>
      <c r="M1759" s="6" t="s">
        <v>480</v>
      </c>
      <c r="N1759" s="6">
        <f>IF(OR($G1759="FCC",$G1759="Hydrocracker",$G1759="Reformer"),IF(COUNTIFS($D:$D,$D1759,$A:$A,$A1759,$B:$B,$B1759,$G:$G,"CDU",$J:$J,"PLANNED")&gt;0,"tied","standalone"),"")</f>
        <v/>
      </c>
    </row>
    <row r="1760" spans="1:14">
      <c r="A1760" s="6">
        <v>2023</v>
      </c>
      <c r="B1760" s="6">
        <v>8</v>
      </c>
      <c r="C1760" s="6" t="s">
        <v>67</v>
      </c>
      <c r="D1760" s="6" t="s">
        <v>518</v>
      </c>
      <c r="E1760" s="6" t="s">
        <v>419</v>
      </c>
      <c r="F1760" s="6" t="str">
        <f>IF($M1760="PADD I","PADD 1",IF($M1760="PADD II","PADD 2",IF($M1760="PADD III","PADD 3",IF($M1760="PADD IV","PADD 4",IF($M1760="PADD V","PADD 5","")))))</f>
        <v>PADD 3</v>
      </c>
      <c r="G1760" s="6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6" t="s">
        <v>44</v>
      </c>
      <c r="I1760" s="6" t="s">
        <v>899</v>
      </c>
      <c r="J1760" s="6" t="s">
        <v>394</v>
      </c>
      <c r="K1760" s="10">
        <v>9.49</v>
      </c>
      <c r="L1760" s="10">
        <v>73</v>
      </c>
      <c r="M1760" s="6" t="s">
        <v>421</v>
      </c>
      <c r="N1760" s="6">
        <f>IF(OR($G1760="FCC",$G1760="Hydrocracker",$G1760="Reformer"),IF(COUNTIFS($D:$D,$D1760,$A:$A,$A1760,$B:$B,$B1760,$G:$G,"CDU",$J:$J,"PLANNED")&gt;0,"tied","standalone"),"")</f>
        <v/>
      </c>
    </row>
    <row r="1761" spans="1:14">
      <c r="A1761" s="6">
        <v>2023</v>
      </c>
      <c r="B1761" s="6">
        <v>8</v>
      </c>
      <c r="C1761" s="6" t="s">
        <v>67</v>
      </c>
      <c r="D1761" s="6" t="s">
        <v>373</v>
      </c>
      <c r="E1761" s="6" t="s">
        <v>438</v>
      </c>
      <c r="F1761" s="6" t="str">
        <f>IF($M1761="PADD I","PADD 1",IF($M1761="PADD II","PADD 2",IF($M1761="PADD III","PADD 3",IF($M1761="PADD IV","PADD 4",IF($M1761="PADD V","PADD 5","")))))</f>
        <v>PADD 3</v>
      </c>
      <c r="G1761" s="6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6" t="s">
        <v>44</v>
      </c>
      <c r="I1761" s="6" t="s">
        <v>998</v>
      </c>
      <c r="J1761" s="6" t="s">
        <v>394</v>
      </c>
      <c r="K1761" s="10">
        <v>9.4</v>
      </c>
      <c r="L1761" s="10">
        <v>94</v>
      </c>
      <c r="M1761" s="6" t="s">
        <v>421</v>
      </c>
      <c r="N1761" s="6">
        <f>IF(OR($G1761="FCC",$G1761="Hydrocracker",$G1761="Reformer"),IF(COUNTIFS($D:$D,$D1761,$A:$A,$A1761,$B:$B,$B1761,$G:$G,"CDU",$J:$J,"PLANNED")&gt;0,"tied","standalone"),"")</f>
        <v/>
      </c>
    </row>
    <row r="1762" spans="1:14">
      <c r="A1762" s="6">
        <v>2023</v>
      </c>
      <c r="B1762" s="6">
        <v>8</v>
      </c>
      <c r="C1762" s="6" t="s">
        <v>67</v>
      </c>
      <c r="D1762" s="6" t="s">
        <v>972</v>
      </c>
      <c r="E1762" s="6" t="s">
        <v>502</v>
      </c>
      <c r="F1762" s="6" t="str">
        <f>IF($M1762="PADD I","PADD 1",IF($M1762="PADD II","PADD 2",IF($M1762="PADD III","PADD 3",IF($M1762="PADD IV","PADD 4",IF($M1762="PADD V","PADD 5","")))))</f>
        <v>PADD 4</v>
      </c>
      <c r="G1762" s="6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6" t="s">
        <v>44</v>
      </c>
      <c r="I1762" s="6" t="s">
        <v>776</v>
      </c>
      <c r="J1762" s="6" t="s">
        <v>398</v>
      </c>
      <c r="K1762" s="10">
        <v>9</v>
      </c>
      <c r="L1762" s="10">
        <v>9</v>
      </c>
      <c r="M1762" s="6" t="s">
        <v>480</v>
      </c>
      <c r="N1762" s="6">
        <f>IF(OR($G1762="FCC",$G1762="Hydrocracker",$G1762="Reformer"),IF(COUNTIFS($D:$D,$D1762,$A:$A,$A1762,$B:$B,$B1762,$G:$G,"CDU",$J:$J,"PLANNED")&gt;0,"tied","standalone"),"")</f>
        <v/>
      </c>
    </row>
    <row r="1763" spans="1:14">
      <c r="A1763" s="6">
        <v>2023</v>
      </c>
      <c r="B1763" s="6">
        <v>8</v>
      </c>
      <c r="C1763" s="6" t="s">
        <v>67</v>
      </c>
      <c r="D1763" s="6" t="s">
        <v>515</v>
      </c>
      <c r="E1763" s="6" t="s">
        <v>419</v>
      </c>
      <c r="F1763" s="6" t="str">
        <f>IF($M1763="PADD I","PADD 1",IF($M1763="PADD II","PADD 2",IF($M1763="PADD III","PADD 3",IF($M1763="PADD IV","PADD 4",IF($M1763="PADD V","PADD 5","")))))</f>
        <v>PADD 5</v>
      </c>
      <c r="G1763" s="6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6" t="s">
        <v>471</v>
      </c>
      <c r="I1763" s="6" t="s">
        <v>723</v>
      </c>
      <c r="J1763" s="6" t="s">
        <v>398</v>
      </c>
      <c r="K1763" s="10">
        <v>8.800000000000001</v>
      </c>
      <c r="L1763" s="10">
        <v>16</v>
      </c>
      <c r="M1763" s="6" t="s">
        <v>436</v>
      </c>
      <c r="N1763" s="6" t="str">
        <f>IF(OR($G1763="FCC",$G1763="Hydrocracker",$G1763="Reformer"),IF(COUNTIFS($D:$D,$D1763,$A:$A,$A1763,$B:$B,$B1763,$G:$G,"CDU",$J:$J,"PLANNED")&gt;0,"tied","standalone"),"")</f>
        <v>standalone</v>
      </c>
    </row>
    <row r="1764" spans="1:14">
      <c r="A1764" s="6">
        <v>2023</v>
      </c>
      <c r="B1764" s="6">
        <v>8</v>
      </c>
      <c r="C1764" s="6" t="s">
        <v>67</v>
      </c>
      <c r="D1764" s="6" t="s">
        <v>373</v>
      </c>
      <c r="E1764" s="6" t="s">
        <v>438</v>
      </c>
      <c r="F1764" s="6" t="str">
        <f>IF($M1764="PADD I","PADD 1",IF($M1764="PADD II","PADD 2",IF($M1764="PADD III","PADD 3",IF($M1764="PADD IV","PADD 4",IF($M1764="PADD V","PADD 5","")))))</f>
        <v>PADD 3</v>
      </c>
      <c r="G1764" s="6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6" t="s">
        <v>44</v>
      </c>
      <c r="I1764" s="6" t="s">
        <v>999</v>
      </c>
      <c r="J1764" s="6" t="s">
        <v>394</v>
      </c>
      <c r="K1764" s="10">
        <v>8.699999999999999</v>
      </c>
      <c r="L1764" s="10">
        <v>87</v>
      </c>
      <c r="M1764" s="6" t="s">
        <v>421</v>
      </c>
      <c r="N1764" s="6">
        <f>IF(OR($G1764="FCC",$G1764="Hydrocracker",$G1764="Reformer"),IF(COUNTIFS($D:$D,$D1764,$A:$A,$A1764,$B:$B,$B1764,$G:$G,"CDU",$J:$J,"PLANNED")&gt;0,"tied","standalone"),"")</f>
        <v/>
      </c>
    </row>
    <row r="1765" spans="1:14">
      <c r="A1765" s="6">
        <v>2023</v>
      </c>
      <c r="B1765" s="6">
        <v>8</v>
      </c>
      <c r="C1765" s="6" t="s">
        <v>67</v>
      </c>
      <c r="D1765" s="6" t="s">
        <v>540</v>
      </c>
      <c r="E1765" s="6" t="s">
        <v>541</v>
      </c>
      <c r="F1765" s="6" t="str">
        <f>IF($M1765="PADD I","PADD 1",IF($M1765="PADD II","PADD 2",IF($M1765="PADD III","PADD 3",IF($M1765="PADD IV","PADD 4",IF($M1765="PADD V","PADD 5","")))))</f>
        <v>PADD 3</v>
      </c>
      <c r="G1765" s="6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6" t="s">
        <v>485</v>
      </c>
      <c r="I1765" s="6" t="s">
        <v>737</v>
      </c>
      <c r="J1765" s="6" t="s">
        <v>394</v>
      </c>
      <c r="K1765" s="10">
        <v>8.640000000000001</v>
      </c>
      <c r="L1765" s="10">
        <v>54</v>
      </c>
      <c r="M1765" s="6" t="s">
        <v>421</v>
      </c>
      <c r="N1765" s="6">
        <f>IF(OR($G1765="FCC",$G1765="Hydrocracker",$G1765="Reformer"),IF(COUNTIFS($D:$D,$D1765,$A:$A,$A1765,$B:$B,$B1765,$G:$G,"CDU",$J:$J,"PLANNED")&gt;0,"tied","standalone"),"")</f>
        <v/>
      </c>
    </row>
    <row r="1766" spans="1:14">
      <c r="A1766" s="6">
        <v>2023</v>
      </c>
      <c r="B1766" s="6">
        <v>8</v>
      </c>
      <c r="C1766" s="6" t="s">
        <v>67</v>
      </c>
      <c r="D1766" s="6" t="s">
        <v>373</v>
      </c>
      <c r="E1766" s="6" t="s">
        <v>438</v>
      </c>
      <c r="F1766" s="6" t="str">
        <f>IF($M1766="PADD I","PADD 1",IF($M1766="PADD II","PADD 2",IF($M1766="PADD III","PADD 3",IF($M1766="PADD IV","PADD 4",IF($M1766="PADD V","PADD 5","")))))</f>
        <v>PADD 3</v>
      </c>
      <c r="G1766" s="6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6" t="s">
        <v>44</v>
      </c>
      <c r="I1766" s="6" t="s">
        <v>732</v>
      </c>
      <c r="J1766" s="6" t="s">
        <v>394</v>
      </c>
      <c r="K1766" s="10">
        <v>8.6</v>
      </c>
      <c r="L1766" s="10">
        <v>86</v>
      </c>
      <c r="M1766" s="6" t="s">
        <v>421</v>
      </c>
      <c r="N1766" s="6">
        <f>IF(OR($G1766="FCC",$G1766="Hydrocracker",$G1766="Reformer"),IF(COUNTIFS($D:$D,$D1766,$A:$A,$A1766,$B:$B,$B1766,$G:$G,"CDU",$J:$J,"PLANNED")&gt;0,"tied","standalone"),"")</f>
        <v/>
      </c>
    </row>
    <row r="1767" spans="1:14">
      <c r="A1767" s="6">
        <v>2023</v>
      </c>
      <c r="B1767" s="6">
        <v>8</v>
      </c>
      <c r="C1767" s="6" t="s">
        <v>67</v>
      </c>
      <c r="D1767" s="6" t="s">
        <v>51</v>
      </c>
      <c r="E1767" s="6" t="s">
        <v>431</v>
      </c>
      <c r="F1767" s="6" t="str">
        <f>IF($M1767="PADD I","PADD 1",IF($M1767="PADD II","PADD 2",IF($M1767="PADD III","PADD 3",IF($M1767="PADD IV","PADD 4",IF($M1767="PADD V","PADD 5","")))))</f>
        <v>PADD 3</v>
      </c>
      <c r="G1767" s="6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6" t="s">
        <v>471</v>
      </c>
      <c r="I1767" s="6" t="s">
        <v>942</v>
      </c>
      <c r="J1767" s="6" t="s">
        <v>394</v>
      </c>
      <c r="K1767" s="10">
        <v>8.449999999999999</v>
      </c>
      <c r="L1767" s="10">
        <v>65</v>
      </c>
      <c r="M1767" s="6" t="s">
        <v>421</v>
      </c>
      <c r="N1767" s="6" t="str">
        <f>IF(OR($G1767="FCC",$G1767="Hydrocracker",$G1767="Reformer"),IF(COUNTIFS($D:$D,$D1767,$A:$A,$A1767,$B:$B,$B1767,$G:$G,"CDU",$J:$J,"PLANNED")&gt;0,"tied","standalone"),"")</f>
        <v>standalone</v>
      </c>
    </row>
    <row r="1768" spans="1:14">
      <c r="A1768" s="6">
        <v>2023</v>
      </c>
      <c r="B1768" s="6">
        <v>8</v>
      </c>
      <c r="C1768" s="6" t="s">
        <v>67</v>
      </c>
      <c r="D1768" s="6" t="s">
        <v>550</v>
      </c>
      <c r="E1768" s="6" t="s">
        <v>438</v>
      </c>
      <c r="F1768" s="6" t="str">
        <f>IF($M1768="PADD I","PADD 1",IF($M1768="PADD II","PADD 2",IF($M1768="PADD III","PADD 3",IF($M1768="PADD IV","PADD 4",IF($M1768="PADD V","PADD 5","")))))</f>
        <v>PADD 2</v>
      </c>
      <c r="G1768" s="6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6" t="s">
        <v>44</v>
      </c>
      <c r="I1768" s="6" t="s">
        <v>570</v>
      </c>
      <c r="J1768" s="6" t="s">
        <v>394</v>
      </c>
      <c r="K1768" s="10">
        <v>8.225</v>
      </c>
      <c r="L1768" s="10">
        <v>23.5</v>
      </c>
      <c r="M1768" s="6" t="s">
        <v>425</v>
      </c>
      <c r="N1768" s="6">
        <f>IF(OR($G1768="FCC",$G1768="Hydrocracker",$G1768="Reformer"),IF(COUNTIFS($D:$D,$D1768,$A:$A,$A1768,$B:$B,$B1768,$G:$G,"CDU",$J:$J,"PLANNED")&gt;0,"tied","standalone"),"")</f>
        <v/>
      </c>
    </row>
    <row r="1769" spans="1:14">
      <c r="A1769" s="6">
        <v>2023</v>
      </c>
      <c r="B1769" s="6">
        <v>8</v>
      </c>
      <c r="C1769" s="6" t="s">
        <v>67</v>
      </c>
      <c r="D1769" s="6" t="s">
        <v>470</v>
      </c>
      <c r="E1769" s="6" t="s">
        <v>423</v>
      </c>
      <c r="F1769" s="6" t="str">
        <f>IF($M1769="PADD I","PADD 1",IF($M1769="PADD II","PADD 2",IF($M1769="PADD III","PADD 3",IF($M1769="PADD IV","PADD 4",IF($M1769="PADD V","PADD 5","")))))</f>
        <v>PADD 2</v>
      </c>
      <c r="G1769" s="6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6" t="s">
        <v>471</v>
      </c>
      <c r="I1769" s="6" t="s">
        <v>621</v>
      </c>
      <c r="J1769" s="6" t="s">
        <v>394</v>
      </c>
      <c r="K1769" s="10">
        <v>8</v>
      </c>
      <c r="L1769" s="10">
        <v>8</v>
      </c>
      <c r="M1769" s="6" t="s">
        <v>425</v>
      </c>
      <c r="N1769" s="6" t="str">
        <f>IF(OR($G1769="FCC",$G1769="Hydrocracker",$G1769="Reformer"),IF(COUNTIFS($D:$D,$D1769,$A:$A,$A1769,$B:$B,$B1769,$G:$G,"CDU",$J:$J,"PLANNED")&gt;0,"tied","standalone"),"")</f>
        <v>standalone</v>
      </c>
    </row>
    <row r="1770" spans="1:14">
      <c r="A1770" s="6">
        <v>2023</v>
      </c>
      <c r="B1770" s="6">
        <v>8</v>
      </c>
      <c r="C1770" s="6" t="s">
        <v>67</v>
      </c>
      <c r="D1770" s="6" t="s">
        <v>540</v>
      </c>
      <c r="E1770" s="6" t="s">
        <v>541</v>
      </c>
      <c r="F1770" s="6" t="str">
        <f>IF($M1770="PADD I","PADD 1",IF($M1770="PADD II","PADD 2",IF($M1770="PADD III","PADD 3",IF($M1770="PADD IV","PADD 4",IF($M1770="PADD V","PADD 5","")))))</f>
        <v>PADD 3</v>
      </c>
      <c r="G1770" s="6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6" t="s">
        <v>471</v>
      </c>
      <c r="I1770" s="6" t="s">
        <v>1000</v>
      </c>
      <c r="J1770" s="6" t="s">
        <v>394</v>
      </c>
      <c r="K1770" s="10">
        <v>7.84</v>
      </c>
      <c r="L1770" s="10">
        <v>49</v>
      </c>
      <c r="M1770" s="6" t="s">
        <v>421</v>
      </c>
      <c r="N1770" s="6" t="str">
        <f>IF(OR($G1770="FCC",$G1770="Hydrocracker",$G1770="Reformer"),IF(COUNTIFS($D:$D,$D1770,$A:$A,$A1770,$B:$B,$B1770,$G:$G,"CDU",$J:$J,"PLANNED")&gt;0,"tied","standalone"),"")</f>
        <v>standalone</v>
      </c>
    </row>
    <row r="1771" spans="1:14">
      <c r="A1771" s="6">
        <v>2023</v>
      </c>
      <c r="B1771" s="6">
        <v>8</v>
      </c>
      <c r="C1771" s="6" t="s">
        <v>67</v>
      </c>
      <c r="D1771" s="6" t="s">
        <v>972</v>
      </c>
      <c r="E1771" s="6" t="s">
        <v>502</v>
      </c>
      <c r="F1771" s="6" t="str">
        <f>IF($M1771="PADD I","PADD 1",IF($M1771="PADD II","PADD 2",IF($M1771="PADD III","PADD 3",IF($M1771="PADD IV","PADD 4",IF($M1771="PADD V","PADD 5","")))))</f>
        <v>PADD 4</v>
      </c>
      <c r="G1771" s="6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6" t="s">
        <v>428</v>
      </c>
      <c r="I1771" s="6" t="s">
        <v>985</v>
      </c>
      <c r="J1771" s="6" t="s">
        <v>398</v>
      </c>
      <c r="K1771" s="10">
        <v>7.8</v>
      </c>
      <c r="L1771" s="10">
        <v>7.8</v>
      </c>
      <c r="M1771" s="6" t="s">
        <v>480</v>
      </c>
      <c r="N1771" s="6">
        <f>IF(OR($G1771="FCC",$G1771="Hydrocracker",$G1771="Reformer"),IF(COUNTIFS($D:$D,$D1771,$A:$A,$A1771,$B:$B,$B1771,$G:$G,"CDU",$J:$J,"PLANNED")&gt;0,"tied","standalone"),"")</f>
        <v/>
      </c>
    </row>
    <row r="1772" spans="1:14">
      <c r="A1772" s="6">
        <v>2023</v>
      </c>
      <c r="B1772" s="6">
        <v>8</v>
      </c>
      <c r="C1772" s="6" t="s">
        <v>67</v>
      </c>
      <c r="D1772" s="6" t="s">
        <v>597</v>
      </c>
      <c r="E1772" s="6" t="s">
        <v>441</v>
      </c>
      <c r="F1772" s="6" t="str">
        <f>IF($M1772="PADD I","PADD 1",IF($M1772="PADD II","PADD 2",IF($M1772="PADD III","PADD 3",IF($M1772="PADD IV","PADD 4",IF($M1772="PADD V","PADD 5","")))))</f>
        <v>PADD 5</v>
      </c>
      <c r="G1772" s="6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6" t="s">
        <v>494</v>
      </c>
      <c r="I1772" s="6" t="s">
        <v>784</v>
      </c>
      <c r="J1772" s="6" t="s">
        <v>394</v>
      </c>
      <c r="K1772" s="10">
        <v>7.8</v>
      </c>
      <c r="L1772" s="10">
        <v>60</v>
      </c>
      <c r="M1772" s="6" t="s">
        <v>436</v>
      </c>
      <c r="N1772" s="6" t="str">
        <f>IF(OR($G1772="FCC",$G1772="Hydrocracker",$G1772="Reformer"),IF(COUNTIFS($D:$D,$D1772,$A:$A,$A1772,$B:$B,$B1772,$G:$G,"CDU",$J:$J,"PLANNED")&gt;0,"tied","standalone"),"")</f>
        <v>standalone</v>
      </c>
    </row>
    <row r="1773" spans="1:14">
      <c r="A1773" s="6">
        <v>2023</v>
      </c>
      <c r="B1773" s="6">
        <v>8</v>
      </c>
      <c r="C1773" s="6" t="s">
        <v>67</v>
      </c>
      <c r="D1773" s="6" t="s">
        <v>470</v>
      </c>
      <c r="E1773" s="6" t="s">
        <v>423</v>
      </c>
      <c r="F1773" s="6" t="str">
        <f>IF($M1773="PADD I","PADD 1",IF($M1773="PADD II","PADD 2",IF($M1773="PADD III","PADD 3",IF($M1773="PADD IV","PADD 4",IF($M1773="PADD V","PADD 5","")))))</f>
        <v>PADD 2</v>
      </c>
      <c r="G1773" s="6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6" t="s">
        <v>44</v>
      </c>
      <c r="I1773" s="6" t="s">
        <v>627</v>
      </c>
      <c r="J1773" s="6" t="s">
        <v>394</v>
      </c>
      <c r="K1773" s="10">
        <v>7.7</v>
      </c>
      <c r="L1773" s="10">
        <v>7.7</v>
      </c>
      <c r="M1773" s="6" t="s">
        <v>425</v>
      </c>
      <c r="N1773" s="6">
        <f>IF(OR($G1773="FCC",$G1773="Hydrocracker",$G1773="Reformer"),IF(COUNTIFS($D:$D,$D1773,$A:$A,$A1773,$B:$B,$B1773,$G:$G,"CDU",$J:$J,"PLANNED")&gt;0,"tied","standalone"),"")</f>
        <v/>
      </c>
    </row>
    <row r="1774" spans="1:14">
      <c r="A1774" s="6">
        <v>2023</v>
      </c>
      <c r="B1774" s="6">
        <v>8</v>
      </c>
      <c r="C1774" s="6" t="s">
        <v>67</v>
      </c>
      <c r="D1774" s="6" t="s">
        <v>373</v>
      </c>
      <c r="E1774" s="6" t="s">
        <v>438</v>
      </c>
      <c r="F1774" s="6" t="str">
        <f>IF($M1774="PADD I","PADD 1",IF($M1774="PADD II","PADD 2",IF($M1774="PADD III","PADD 3",IF($M1774="PADD IV","PADD 4",IF($M1774="PADD V","PADD 5","")))))</f>
        <v>PADD 3</v>
      </c>
      <c r="G1774" s="6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6" t="s">
        <v>44</v>
      </c>
      <c r="I1774" s="6" t="s">
        <v>1001</v>
      </c>
      <c r="J1774" s="6" t="s">
        <v>394</v>
      </c>
      <c r="K1774" s="10">
        <v>7.54</v>
      </c>
      <c r="L1774" s="10">
        <v>58</v>
      </c>
      <c r="M1774" s="6" t="s">
        <v>421</v>
      </c>
      <c r="N1774" s="6">
        <f>IF(OR($G1774="FCC",$G1774="Hydrocracker",$G1774="Reformer"),IF(COUNTIFS($D:$D,$D1774,$A:$A,$A1774,$B:$B,$B1774,$G:$G,"CDU",$J:$J,"PLANNED")&gt;0,"tied","standalone"),"")</f>
        <v/>
      </c>
    </row>
    <row r="1775" spans="1:14">
      <c r="A1775" s="6">
        <v>2023</v>
      </c>
      <c r="B1775" s="6">
        <v>8</v>
      </c>
      <c r="C1775" s="6" t="s">
        <v>67</v>
      </c>
      <c r="D1775" s="6" t="s">
        <v>972</v>
      </c>
      <c r="E1775" s="6" t="s">
        <v>502</v>
      </c>
      <c r="F1775" s="6" t="str">
        <f>IF($M1775="PADD I","PADD 1",IF($M1775="PADD II","PADD 2",IF($M1775="PADD III","PADD 3",IF($M1775="PADD IV","PADD 4",IF($M1775="PADD V","PADD 5","")))))</f>
        <v>PADD 4</v>
      </c>
      <c r="G1775" s="6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6" t="s">
        <v>471</v>
      </c>
      <c r="I1775" s="6" t="s">
        <v>15</v>
      </c>
      <c r="J1775" s="6" t="s">
        <v>398</v>
      </c>
      <c r="K1775" s="10">
        <v>7.5</v>
      </c>
      <c r="L1775" s="10">
        <v>7.5</v>
      </c>
      <c r="M1775" s="6" t="s">
        <v>480</v>
      </c>
      <c r="N1775" s="6" t="str">
        <f>IF(OR($G1775="FCC",$G1775="Hydrocracker",$G1775="Reformer"),IF(COUNTIFS($D:$D,$D1775,$A:$A,$A1775,$B:$B,$B1775,$G:$G,"CDU",$J:$J,"PLANNED")&gt;0,"tied","standalone"),"")</f>
        <v>tied</v>
      </c>
    </row>
    <row r="1776" spans="1:14">
      <c r="A1776" s="6">
        <v>2023</v>
      </c>
      <c r="B1776" s="6">
        <v>8</v>
      </c>
      <c r="C1776" s="6" t="s">
        <v>67</v>
      </c>
      <c r="D1776" s="6" t="s">
        <v>470</v>
      </c>
      <c r="E1776" s="6" t="s">
        <v>423</v>
      </c>
      <c r="F1776" s="6" t="str">
        <f>IF($M1776="PADD I","PADD 1",IF($M1776="PADD II","PADD 2",IF($M1776="PADD III","PADD 3",IF($M1776="PADD IV","PADD 4",IF($M1776="PADD V","PADD 5","")))))</f>
        <v>PADD 2</v>
      </c>
      <c r="G1776" s="6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6" t="s">
        <v>44</v>
      </c>
      <c r="I1776" s="6" t="s">
        <v>508</v>
      </c>
      <c r="J1776" s="6" t="s">
        <v>394</v>
      </c>
      <c r="K1776" s="10">
        <v>7.5</v>
      </c>
      <c r="L1776" s="10">
        <v>7.5</v>
      </c>
      <c r="M1776" s="6" t="s">
        <v>425</v>
      </c>
      <c r="N1776" s="6">
        <f>IF(OR($G1776="FCC",$G1776="Hydrocracker",$G1776="Reformer"),IF(COUNTIFS($D:$D,$D1776,$A:$A,$A1776,$B:$B,$B1776,$G:$G,"CDU",$J:$J,"PLANNED")&gt;0,"tied","standalone"),"")</f>
        <v/>
      </c>
    </row>
    <row r="1777" spans="1:14">
      <c r="A1777" s="6">
        <v>2023</v>
      </c>
      <c r="B1777" s="6">
        <v>8</v>
      </c>
      <c r="C1777" s="6" t="s">
        <v>67</v>
      </c>
      <c r="D1777" s="6" t="s">
        <v>712</v>
      </c>
      <c r="E1777" s="6" t="s">
        <v>602</v>
      </c>
      <c r="F1777" s="6" t="str">
        <f>IF($M1777="PADD I","PADD 1",IF($M1777="PADD II","PADD 2",IF($M1777="PADD III","PADD 3",IF($M1777="PADD IV","PADD 4",IF($M1777="PADD V","PADD 5","")))))</f>
        <v>PADD 3</v>
      </c>
      <c r="G1777" s="6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6" t="s">
        <v>426</v>
      </c>
      <c r="I1777" s="6" t="s">
        <v>106</v>
      </c>
      <c r="J1777" s="6" t="s">
        <v>394</v>
      </c>
      <c r="K1777" s="10">
        <v>7.25</v>
      </c>
      <c r="L1777" s="10">
        <v>25</v>
      </c>
      <c r="M1777" s="6" t="s">
        <v>421</v>
      </c>
      <c r="N1777" s="6" t="str">
        <f>IF(OR($G1777="FCC",$G1777="Hydrocracker",$G1777="Reformer"),IF(COUNTIFS($D:$D,$D1777,$A:$A,$A1777,$B:$B,$B1777,$G:$G,"CDU",$J:$J,"PLANNED")&gt;0,"tied","standalone"),"")</f>
        <v>standalone</v>
      </c>
    </row>
    <row r="1778" spans="1:14">
      <c r="A1778" s="6">
        <v>2023</v>
      </c>
      <c r="B1778" s="6">
        <v>8</v>
      </c>
      <c r="C1778" s="6" t="s">
        <v>67</v>
      </c>
      <c r="D1778" s="6" t="s">
        <v>496</v>
      </c>
      <c r="E1778" s="6" t="s">
        <v>441</v>
      </c>
      <c r="F1778" s="6" t="str">
        <f>IF($M1778="PADD I","PADD 1",IF($M1778="PADD II","PADD 2",IF($M1778="PADD III","PADD 3",IF($M1778="PADD IV","PADD 4",IF($M1778="PADD V","PADD 5","")))))</f>
        <v>PADD 3</v>
      </c>
      <c r="G1778" s="6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6" t="s">
        <v>510</v>
      </c>
      <c r="I1778" s="6" t="s">
        <v>630</v>
      </c>
      <c r="J1778" s="6" t="s">
        <v>394</v>
      </c>
      <c r="K1778" s="10">
        <v>7.2</v>
      </c>
      <c r="L1778" s="10">
        <v>7.2</v>
      </c>
      <c r="M1778" s="6" t="s">
        <v>421</v>
      </c>
      <c r="N1778" s="6">
        <f>IF(OR($G1778="FCC",$G1778="Hydrocracker",$G1778="Reformer"),IF(COUNTIFS($D:$D,$D1778,$A:$A,$A1778,$B:$B,$B1778,$G:$G,"CDU",$J:$J,"PLANNED")&gt;0,"tied","standalone"),"")</f>
        <v/>
      </c>
    </row>
    <row r="1779" spans="1:14">
      <c r="A1779" s="6">
        <v>2023</v>
      </c>
      <c r="B1779" s="6">
        <v>8</v>
      </c>
      <c r="C1779" s="6" t="s">
        <v>67</v>
      </c>
      <c r="D1779" s="6" t="s">
        <v>518</v>
      </c>
      <c r="E1779" s="6" t="s">
        <v>419</v>
      </c>
      <c r="F1779" s="6" t="str">
        <f>IF($M1779="PADD I","PADD 1",IF($M1779="PADD II","PADD 2",IF($M1779="PADD III","PADD 3",IF($M1779="PADD IV","PADD 4",IF($M1779="PADD V","PADD 5","")))))</f>
        <v>PADD 3</v>
      </c>
      <c r="G1779" s="6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6" t="s">
        <v>471</v>
      </c>
      <c r="I1779" s="6" t="s">
        <v>685</v>
      </c>
      <c r="J1779" s="6" t="s">
        <v>394</v>
      </c>
      <c r="K1779" s="10">
        <v>6.79</v>
      </c>
      <c r="L1779" s="10">
        <v>7</v>
      </c>
      <c r="M1779" s="6" t="s">
        <v>421</v>
      </c>
      <c r="N1779" s="6" t="str">
        <f>IF(OR($G1779="FCC",$G1779="Hydrocracker",$G1779="Reformer"),IF(COUNTIFS($D:$D,$D1779,$A:$A,$A1779,$B:$B,$B1779,$G:$G,"CDU",$J:$J,"PLANNED")&gt;0,"tied","standalone"),"")</f>
        <v>standalone</v>
      </c>
    </row>
    <row r="1780" spans="1:14">
      <c r="A1780" s="6">
        <v>2023</v>
      </c>
      <c r="B1780" s="6">
        <v>8</v>
      </c>
      <c r="C1780" s="6" t="s">
        <v>67</v>
      </c>
      <c r="D1780" s="6" t="s">
        <v>368</v>
      </c>
      <c r="E1780" s="6" t="s">
        <v>715</v>
      </c>
      <c r="F1780" s="6" t="str">
        <f>IF($M1780="PADD I","PADD 1",IF($M1780="PADD II","PADD 2",IF($M1780="PADD III","PADD 3",IF($M1780="PADD IV","PADD 4",IF($M1780="PADD V","PADD 5","")))))</f>
        <v>PADD 3</v>
      </c>
      <c r="G1780" s="6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6" t="s">
        <v>426</v>
      </c>
      <c r="I1780" s="6" t="s">
        <v>925</v>
      </c>
      <c r="J1780" s="6" t="s">
        <v>394</v>
      </c>
      <c r="K1780" s="10">
        <v>6.72</v>
      </c>
      <c r="L1780" s="10">
        <v>112</v>
      </c>
      <c r="M1780" s="6" t="s">
        <v>421</v>
      </c>
      <c r="N1780" s="6" t="str">
        <f>IF(OR($G1780="FCC",$G1780="Hydrocracker",$G1780="Reformer"),IF(COUNTIFS($D:$D,$D1780,$A:$A,$A1780,$B:$B,$B1780,$G:$G,"CDU",$J:$J,"PLANNED")&gt;0,"tied","standalone"),"")</f>
        <v>standalone</v>
      </c>
    </row>
    <row r="1781" spans="1:14">
      <c r="A1781" s="6">
        <v>2023</v>
      </c>
      <c r="B1781" s="6">
        <v>8</v>
      </c>
      <c r="C1781" s="6" t="s">
        <v>67</v>
      </c>
      <c r="D1781" s="6" t="s">
        <v>373</v>
      </c>
      <c r="E1781" s="6" t="s">
        <v>438</v>
      </c>
      <c r="F1781" s="6" t="str">
        <f>IF($M1781="PADD I","PADD 1",IF($M1781="PADD II","PADD 2",IF($M1781="PADD III","PADD 3",IF($M1781="PADD IV","PADD 4",IF($M1781="PADD V","PADD 5","")))))</f>
        <v>PADD 3</v>
      </c>
      <c r="G1781" s="6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6" t="s">
        <v>471</v>
      </c>
      <c r="I1781" s="6" t="s">
        <v>692</v>
      </c>
      <c r="J1781" s="6" t="s">
        <v>394</v>
      </c>
      <c r="K1781" s="10">
        <v>6.5</v>
      </c>
      <c r="L1781" s="10">
        <v>65</v>
      </c>
      <c r="M1781" s="6" t="s">
        <v>421</v>
      </c>
      <c r="N1781" s="6" t="str">
        <f>IF(OR($G1781="FCC",$G1781="Hydrocracker",$G1781="Reformer"),IF(COUNTIFS($D:$D,$D1781,$A:$A,$A1781,$B:$B,$B1781,$G:$G,"CDU",$J:$J,"PLANNED")&gt;0,"tied","standalone"),"")</f>
        <v>standalone</v>
      </c>
    </row>
    <row r="1782" spans="1:14">
      <c r="A1782" s="6">
        <v>2023</v>
      </c>
      <c r="B1782" s="6">
        <v>8</v>
      </c>
      <c r="C1782" s="6" t="s">
        <v>67</v>
      </c>
      <c r="D1782" s="6" t="s">
        <v>720</v>
      </c>
      <c r="E1782" s="6" t="s">
        <v>455</v>
      </c>
      <c r="F1782" s="6" t="str">
        <f>IF($M1782="PADD I","PADD 1",IF($M1782="PADD II","PADD 2",IF($M1782="PADD III","PADD 3",IF($M1782="PADD IV","PADD 4",IF($M1782="PADD V","PADD 5","")))))</f>
        <v>PADD 2</v>
      </c>
      <c r="G1782" s="6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6" t="s">
        <v>39</v>
      </c>
      <c r="I1782" s="6" t="s">
        <v>108</v>
      </c>
      <c r="J1782" s="6" t="s">
        <v>394</v>
      </c>
      <c r="K1782" s="10">
        <v>6.3</v>
      </c>
      <c r="L1782" s="10">
        <v>105</v>
      </c>
      <c r="M1782" s="6" t="s">
        <v>425</v>
      </c>
      <c r="N1782" s="6">
        <f>IF(OR($G1782="FCC",$G1782="Hydrocracker",$G1782="Reformer"),IF(COUNTIFS($D:$D,$D1782,$A:$A,$A1782,$B:$B,$B1782,$G:$G,"CDU",$J:$J,"PLANNED")&gt;0,"tied","standalone"),"")</f>
        <v/>
      </c>
    </row>
    <row r="1783" spans="1:14">
      <c r="A1783" s="6">
        <v>2023</v>
      </c>
      <c r="B1783" s="6">
        <v>8</v>
      </c>
      <c r="C1783" s="6" t="s">
        <v>67</v>
      </c>
      <c r="D1783" s="6" t="s">
        <v>373</v>
      </c>
      <c r="E1783" s="6" t="s">
        <v>438</v>
      </c>
      <c r="F1783" s="6" t="str">
        <f>IF($M1783="PADD I","PADD 1",IF($M1783="PADD II","PADD 2",IF($M1783="PADD III","PADD 3",IF($M1783="PADD IV","PADD 4",IF($M1783="PADD V","PADD 5","")))))</f>
        <v>PADD 3</v>
      </c>
      <c r="G1783" s="6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6" t="s">
        <v>44</v>
      </c>
      <c r="I1783" s="6" t="s">
        <v>694</v>
      </c>
      <c r="J1783" s="6" t="s">
        <v>394</v>
      </c>
      <c r="K1783" s="10">
        <v>6</v>
      </c>
      <c r="L1783" s="10">
        <v>60</v>
      </c>
      <c r="M1783" s="6" t="s">
        <v>421</v>
      </c>
      <c r="N1783" s="6">
        <f>IF(OR($G1783="FCC",$G1783="Hydrocracker",$G1783="Reformer"),IF(COUNTIFS($D:$D,$D1783,$A:$A,$A1783,$B:$B,$B1783,$G:$G,"CDU",$J:$J,"PLANNED")&gt;0,"tied","standalone"),"")</f>
        <v/>
      </c>
    </row>
    <row r="1784" spans="1:14">
      <c r="A1784" s="6">
        <v>2023</v>
      </c>
      <c r="B1784" s="6">
        <v>8</v>
      </c>
      <c r="C1784" s="6" t="s">
        <v>67</v>
      </c>
      <c r="D1784" s="6" t="s">
        <v>458</v>
      </c>
      <c r="E1784" s="6" t="s">
        <v>459</v>
      </c>
      <c r="F1784" s="6" t="str">
        <f>IF($M1784="PADD I","PADD 1",IF($M1784="PADD II","PADD 2",IF($M1784="PADD III","PADD 3",IF($M1784="PADD IV","PADD 4",IF($M1784="PADD V","PADD 5","")))))</f>
        <v>PADD 3</v>
      </c>
      <c r="G1784" s="6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6" t="s">
        <v>471</v>
      </c>
      <c r="I1784" s="6" t="s">
        <v>583</v>
      </c>
      <c r="J1784" s="6" t="s">
        <v>394</v>
      </c>
      <c r="K1784" s="10">
        <v>5.6</v>
      </c>
      <c r="L1784" s="10">
        <v>35</v>
      </c>
      <c r="M1784" s="6" t="s">
        <v>421</v>
      </c>
      <c r="N1784" s="6" t="str">
        <f>IF(OR($G1784="FCC",$G1784="Hydrocracker",$G1784="Reformer"),IF(COUNTIFS($D:$D,$D1784,$A:$A,$A1784,$B:$B,$B1784,$G:$G,"CDU",$J:$J,"PLANNED")&gt;0,"tied","standalone"),"")</f>
        <v>tied</v>
      </c>
    </row>
    <row r="1785" spans="1:14">
      <c r="A1785" s="6">
        <v>2023</v>
      </c>
      <c r="B1785" s="6">
        <v>8</v>
      </c>
      <c r="C1785" s="6" t="s">
        <v>67</v>
      </c>
      <c r="D1785" s="6" t="s">
        <v>470</v>
      </c>
      <c r="E1785" s="6" t="s">
        <v>423</v>
      </c>
      <c r="F1785" s="6" t="str">
        <f>IF($M1785="PADD I","PADD 1",IF($M1785="PADD II","PADD 2",IF($M1785="PADD III","PADD 3",IF($M1785="PADD IV","PADD 4",IF($M1785="PADD V","PADD 5","")))))</f>
        <v>PADD 2</v>
      </c>
      <c r="G1785" s="6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6" t="s">
        <v>44</v>
      </c>
      <c r="I1785" s="6" t="s">
        <v>638</v>
      </c>
      <c r="J1785" s="6" t="s">
        <v>394</v>
      </c>
      <c r="K1785" s="10">
        <v>5.5</v>
      </c>
      <c r="L1785" s="10">
        <v>5.5</v>
      </c>
      <c r="M1785" s="6" t="s">
        <v>425</v>
      </c>
      <c r="N1785" s="6">
        <f>IF(OR($G1785="FCC",$G1785="Hydrocracker",$G1785="Reformer"),IF(COUNTIFS($D:$D,$D1785,$A:$A,$A1785,$B:$B,$B1785,$G:$G,"CDU",$J:$J,"PLANNED")&gt;0,"tied","standalone"),"")</f>
        <v/>
      </c>
    </row>
    <row r="1786" spans="1:14">
      <c r="A1786" s="6">
        <v>2023</v>
      </c>
      <c r="B1786" s="6">
        <v>8</v>
      </c>
      <c r="C1786" s="6" t="s">
        <v>67</v>
      </c>
      <c r="D1786" s="6" t="s">
        <v>996</v>
      </c>
      <c r="E1786" s="6" t="s">
        <v>455</v>
      </c>
      <c r="F1786" s="6" t="str">
        <f>IF($M1786="PADD I","PADD 1",IF($M1786="PADD II","PADD 2",IF($M1786="PADD III","PADD 3",IF($M1786="PADD IV","PADD 4",IF($M1786="PADD V","PADD 5","")))))</f>
        <v>PADD 5</v>
      </c>
      <c r="G1786" s="6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6" t="s">
        <v>510</v>
      </c>
      <c r="I1786" s="6" t="s">
        <v>1002</v>
      </c>
      <c r="J1786" s="6" t="s">
        <v>394</v>
      </c>
      <c r="K1786" s="10">
        <v>5.06</v>
      </c>
      <c r="L1786" s="10">
        <v>22</v>
      </c>
      <c r="M1786" s="6" t="s">
        <v>436</v>
      </c>
      <c r="N1786" s="6">
        <f>IF(OR($G1786="FCC",$G1786="Hydrocracker",$G1786="Reformer"),IF(COUNTIFS($D:$D,$D1786,$A:$A,$A1786,$B:$B,$B1786,$G:$G,"CDU",$J:$J,"PLANNED")&gt;0,"tied","standalone"),"")</f>
        <v/>
      </c>
    </row>
    <row r="1787" spans="1:14">
      <c r="A1787" s="6">
        <v>2023</v>
      </c>
      <c r="B1787" s="6">
        <v>8</v>
      </c>
      <c r="C1787" s="6" t="s">
        <v>67</v>
      </c>
      <c r="D1787" s="6" t="s">
        <v>1003</v>
      </c>
      <c r="E1787" s="6" t="s">
        <v>783</v>
      </c>
      <c r="F1787" s="6" t="str">
        <f>IF($M1787="PADD I","PADD 1",IF($M1787="PADD II","PADD 2",IF($M1787="PADD III","PADD 3",IF($M1787="PADD IV","PADD 4",IF($M1787="PADD V","PADD 5","")))))</f>
        <v>PADD 2</v>
      </c>
      <c r="G1787" s="6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6" t="s">
        <v>494</v>
      </c>
      <c r="I1787" s="6" t="s">
        <v>14</v>
      </c>
      <c r="J1787" s="6" t="s">
        <v>394</v>
      </c>
      <c r="K1787" s="10">
        <v>5.005</v>
      </c>
      <c r="L1787" s="10">
        <v>38.5</v>
      </c>
      <c r="M1787" s="6" t="s">
        <v>425</v>
      </c>
      <c r="N1787" s="6" t="str">
        <f>IF(OR($G1787="FCC",$G1787="Hydrocracker",$G1787="Reformer"),IF(COUNTIFS($D:$D,$D1787,$A:$A,$A1787,$B:$B,$B1787,$G:$G,"CDU",$J:$J,"PLANNED")&gt;0,"tied","standalone"),"")</f>
        <v>standalone</v>
      </c>
    </row>
    <row r="1788" spans="1:14">
      <c r="A1788" s="6">
        <v>2023</v>
      </c>
      <c r="B1788" s="6">
        <v>8</v>
      </c>
      <c r="C1788" s="6" t="s">
        <v>67</v>
      </c>
      <c r="D1788" s="6" t="s">
        <v>518</v>
      </c>
      <c r="E1788" s="6" t="s">
        <v>419</v>
      </c>
      <c r="F1788" s="6" t="str">
        <f>IF($M1788="PADD I","PADD 1",IF($M1788="PADD II","PADD 2",IF($M1788="PADD III","PADD 3",IF($M1788="PADD IV","PADD 4",IF($M1788="PADD V","PADD 5","")))))</f>
        <v>PADD 3</v>
      </c>
      <c r="G1788" s="6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6" t="s">
        <v>44</v>
      </c>
      <c r="I1788" s="6" t="s">
        <v>532</v>
      </c>
      <c r="J1788" s="6" t="s">
        <v>394</v>
      </c>
      <c r="K1788" s="10">
        <v>5</v>
      </c>
      <c r="L1788" s="10">
        <v>50</v>
      </c>
      <c r="M1788" s="6" t="s">
        <v>421</v>
      </c>
      <c r="N1788" s="6">
        <f>IF(OR($G1788="FCC",$G1788="Hydrocracker",$G1788="Reformer"),IF(COUNTIFS($D:$D,$D1788,$A:$A,$A1788,$B:$B,$B1788,$G:$G,"CDU",$J:$J,"PLANNED")&gt;0,"tied","standalone"),"")</f>
        <v/>
      </c>
    </row>
    <row r="1789" spans="1:14">
      <c r="A1789" s="6">
        <v>2023</v>
      </c>
      <c r="B1789" s="6">
        <v>8</v>
      </c>
      <c r="C1789" s="6" t="s">
        <v>67</v>
      </c>
      <c r="D1789" s="6" t="s">
        <v>576</v>
      </c>
      <c r="E1789" s="6" t="s">
        <v>455</v>
      </c>
      <c r="F1789" s="6" t="str">
        <f>IF($M1789="PADD I","PADD 1",IF($M1789="PADD II","PADD 2",IF($M1789="PADD III","PADD 3",IF($M1789="PADD IV","PADD 4",IF($M1789="PADD V","PADD 5","")))))</f>
        <v>PADD 3</v>
      </c>
      <c r="G1789" s="6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6" t="s">
        <v>485</v>
      </c>
      <c r="I1789" s="6" t="s">
        <v>1004</v>
      </c>
      <c r="J1789" s="6" t="s">
        <v>394</v>
      </c>
      <c r="K1789" s="10">
        <v>5</v>
      </c>
      <c r="L1789" s="10">
        <v>50</v>
      </c>
      <c r="M1789" s="6" t="s">
        <v>421</v>
      </c>
      <c r="N1789" s="6">
        <f>IF(OR($G1789="FCC",$G1789="Hydrocracker",$G1789="Reformer"),IF(COUNTIFS($D:$D,$D1789,$A:$A,$A1789,$B:$B,$B1789,$G:$G,"CDU",$J:$J,"PLANNED")&gt;0,"tied","standalone"),"")</f>
        <v/>
      </c>
    </row>
    <row r="1790" spans="1:14">
      <c r="A1790" s="6">
        <v>2023</v>
      </c>
      <c r="B1790" s="6">
        <v>8</v>
      </c>
      <c r="C1790" s="6" t="s">
        <v>67</v>
      </c>
      <c r="D1790" s="6" t="s">
        <v>972</v>
      </c>
      <c r="E1790" s="6" t="s">
        <v>502</v>
      </c>
      <c r="F1790" s="6" t="str">
        <f>IF($M1790="PADD I","PADD 1",IF($M1790="PADD II","PADD 2",IF($M1790="PADD III","PADD 3",IF($M1790="PADD IV","PADD 4",IF($M1790="PADD V","PADD 5","")))))</f>
        <v>PADD 4</v>
      </c>
      <c r="G1790" s="6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6" t="s">
        <v>44</v>
      </c>
      <c r="I1790" s="6" t="s">
        <v>987</v>
      </c>
      <c r="J1790" s="6" t="s">
        <v>398</v>
      </c>
      <c r="K1790" s="10">
        <v>5</v>
      </c>
      <c r="L1790" s="10">
        <v>5</v>
      </c>
      <c r="M1790" s="6" t="s">
        <v>480</v>
      </c>
      <c r="N1790" s="6">
        <f>IF(OR($G1790="FCC",$G1790="Hydrocracker",$G1790="Reformer"),IF(COUNTIFS($D:$D,$D1790,$A:$A,$A1790,$B:$B,$B1790,$G:$G,"CDU",$J:$J,"PLANNED")&gt;0,"tied","standalone"),"")</f>
        <v/>
      </c>
    </row>
    <row r="1791" spans="1:14">
      <c r="A1791" s="6">
        <v>2023</v>
      </c>
      <c r="B1791" s="6">
        <v>8</v>
      </c>
      <c r="C1791" s="6" t="s">
        <v>67</v>
      </c>
      <c r="D1791" s="6" t="s">
        <v>662</v>
      </c>
      <c r="E1791" s="6" t="s">
        <v>466</v>
      </c>
      <c r="F1791" s="6" t="str">
        <f>IF($M1791="PADD I","PADD 1",IF($M1791="PADD II","PADD 2",IF($M1791="PADD III","PADD 3",IF($M1791="PADD IV","PADD 4",IF($M1791="PADD V","PADD 5","")))))</f>
        <v>PADD 3</v>
      </c>
      <c r="G1791" s="6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6" t="s">
        <v>39</v>
      </c>
      <c r="I1791" s="6" t="s">
        <v>82</v>
      </c>
      <c r="J1791" s="6" t="s">
        <v>394</v>
      </c>
      <c r="K1791" s="10">
        <v>4.95</v>
      </c>
      <c r="L1791" s="10">
        <v>165</v>
      </c>
      <c r="M1791" s="6" t="s">
        <v>421</v>
      </c>
      <c r="N1791" s="6">
        <f>IF(OR($G1791="FCC",$G1791="Hydrocracker",$G1791="Reformer"),IF(COUNTIFS($D:$D,$D1791,$A:$A,$A1791,$B:$B,$B1791,$G:$G,"CDU",$J:$J,"PLANNED")&gt;0,"tied","standalone"),"")</f>
        <v/>
      </c>
    </row>
    <row r="1792" spans="1:14">
      <c r="A1792" s="6">
        <v>2023</v>
      </c>
      <c r="B1792" s="6">
        <v>8</v>
      </c>
      <c r="C1792" s="6" t="s">
        <v>67</v>
      </c>
      <c r="D1792" s="6" t="s">
        <v>730</v>
      </c>
      <c r="E1792" s="6" t="s">
        <v>731</v>
      </c>
      <c r="F1792" s="6" t="str">
        <f>IF($M1792="PADD I","PADD 1",IF($M1792="PADD II","PADD 2",IF($M1792="PADD III","PADD 3",IF($M1792="PADD IV","PADD 4",IF($M1792="PADD V","PADD 5","")))))</f>
        <v>PADD 3</v>
      </c>
      <c r="G1792" s="6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6" t="s">
        <v>426</v>
      </c>
      <c r="I1792" s="6" t="s">
        <v>106</v>
      </c>
      <c r="J1792" s="6" t="s">
        <v>394</v>
      </c>
      <c r="K1792" s="10">
        <v>4.75</v>
      </c>
      <c r="L1792" s="10">
        <v>25</v>
      </c>
      <c r="M1792" s="6" t="s">
        <v>421</v>
      </c>
      <c r="N1792" s="6" t="str">
        <f>IF(OR($G1792="FCC",$G1792="Hydrocracker",$G1792="Reformer"),IF(COUNTIFS($D:$D,$D1792,$A:$A,$A1792,$B:$B,$B1792,$G:$G,"CDU",$J:$J,"PLANNED")&gt;0,"tied","standalone"),"")</f>
        <v>standalone</v>
      </c>
    </row>
    <row r="1793" spans="1:14">
      <c r="A1793" s="6">
        <v>2023</v>
      </c>
      <c r="B1793" s="6">
        <v>8</v>
      </c>
      <c r="C1793" s="6" t="s">
        <v>67</v>
      </c>
      <c r="D1793" s="6" t="s">
        <v>984</v>
      </c>
      <c r="E1793" s="6" t="s">
        <v>438</v>
      </c>
      <c r="F1793" s="6" t="str">
        <f>IF($M1793="PADD I","PADD 1",IF($M1793="PADD II","PADD 2",IF($M1793="PADD III","PADD 3",IF($M1793="PADD IV","PADD 4",IF($M1793="PADD V","PADD 5","")))))</f>
        <v>PADD 3</v>
      </c>
      <c r="G1793" s="6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6" t="s">
        <v>426</v>
      </c>
      <c r="I1793" s="6" t="s">
        <v>106</v>
      </c>
      <c r="J1793" s="6" t="s">
        <v>398</v>
      </c>
      <c r="K1793" s="10">
        <v>4.72</v>
      </c>
      <c r="L1793" s="10">
        <v>29.5</v>
      </c>
      <c r="M1793" s="6" t="s">
        <v>421</v>
      </c>
      <c r="N1793" s="6" t="str">
        <f>IF(OR($G1793="FCC",$G1793="Hydrocracker",$G1793="Reformer"),IF(COUNTIFS($D:$D,$D1793,$A:$A,$A1793,$B:$B,$B1793,$G:$G,"CDU",$J:$J,"PLANNED")&gt;0,"tied","standalone"),"")</f>
        <v>standalone</v>
      </c>
    </row>
    <row r="1794" spans="1:14">
      <c r="A1794" s="6">
        <v>2023</v>
      </c>
      <c r="B1794" s="6">
        <v>8</v>
      </c>
      <c r="C1794" s="6" t="s">
        <v>67</v>
      </c>
      <c r="D1794" s="6" t="s">
        <v>546</v>
      </c>
      <c r="E1794" s="6" t="s">
        <v>438</v>
      </c>
      <c r="F1794" s="6" t="str">
        <f>IF($M1794="PADD I","PADD 1",IF($M1794="PADD II","PADD 2",IF($M1794="PADD III","PADD 3",IF($M1794="PADD IV","PADD 4",IF($M1794="PADD V","PADD 5","")))))</f>
        <v>PADD 2</v>
      </c>
      <c r="G1794" s="6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6" t="s">
        <v>44</v>
      </c>
      <c r="I1794" s="6" t="s">
        <v>1005</v>
      </c>
      <c r="J1794" s="6" t="s">
        <v>398</v>
      </c>
      <c r="K1794" s="10">
        <v>4.44</v>
      </c>
      <c r="L1794" s="10">
        <v>6</v>
      </c>
      <c r="M1794" s="6" t="s">
        <v>425</v>
      </c>
      <c r="N1794" s="6">
        <f>IF(OR($G1794="FCC",$G1794="Hydrocracker",$G1794="Reformer"),IF(COUNTIFS($D:$D,$D1794,$A:$A,$A1794,$B:$B,$B1794,$G:$G,"CDU",$J:$J,"PLANNED")&gt;0,"tied","standalone"),"")</f>
        <v/>
      </c>
    </row>
    <row r="1795" spans="1:14">
      <c r="A1795" s="6">
        <v>2023</v>
      </c>
      <c r="B1795" s="6">
        <v>8</v>
      </c>
      <c r="C1795" s="6" t="s">
        <v>67</v>
      </c>
      <c r="D1795" s="6" t="s">
        <v>373</v>
      </c>
      <c r="E1795" s="6" t="s">
        <v>438</v>
      </c>
      <c r="F1795" s="6" t="str">
        <f>IF($M1795="PADD I","PADD 1",IF($M1795="PADD II","PADD 2",IF($M1795="PADD III","PADD 3",IF($M1795="PADD IV","PADD 4",IF($M1795="PADD V","PADD 5","")))))</f>
        <v>PADD 3</v>
      </c>
      <c r="G1795" s="6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6" t="s">
        <v>485</v>
      </c>
      <c r="I1795" s="6" t="s">
        <v>1006</v>
      </c>
      <c r="J1795" s="6" t="s">
        <v>394</v>
      </c>
      <c r="K1795" s="10">
        <v>4.4</v>
      </c>
      <c r="L1795" s="10">
        <v>44</v>
      </c>
      <c r="M1795" s="6" t="s">
        <v>421</v>
      </c>
      <c r="N1795" s="6">
        <f>IF(OR($G1795="FCC",$G1795="Hydrocracker",$G1795="Reformer"),IF(COUNTIFS($D:$D,$D1795,$A:$A,$A1795,$B:$B,$B1795,$G:$G,"CDU",$J:$J,"PLANNED")&gt;0,"tied","standalone"),"")</f>
        <v/>
      </c>
    </row>
    <row r="1796" spans="1:14">
      <c r="A1796" s="6">
        <v>2023</v>
      </c>
      <c r="B1796" s="6">
        <v>8</v>
      </c>
      <c r="C1796" s="6" t="s">
        <v>67</v>
      </c>
      <c r="D1796" s="6" t="s">
        <v>373</v>
      </c>
      <c r="E1796" s="6" t="s">
        <v>438</v>
      </c>
      <c r="F1796" s="6" t="str">
        <f>IF($M1796="PADD I","PADD 1",IF($M1796="PADD II","PADD 2",IF($M1796="PADD III","PADD 3",IF($M1796="PADD IV","PADD 4",IF($M1796="PADD V","PADD 5","")))))</f>
        <v>PADD 3</v>
      </c>
      <c r="G1796" s="6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6" t="s">
        <v>44</v>
      </c>
      <c r="I1796" s="6" t="s">
        <v>743</v>
      </c>
      <c r="J1796" s="6" t="s">
        <v>394</v>
      </c>
      <c r="K1796" s="10">
        <v>4.3</v>
      </c>
      <c r="L1796" s="10">
        <v>43</v>
      </c>
      <c r="M1796" s="6" t="s">
        <v>421</v>
      </c>
      <c r="N1796" s="6">
        <f>IF(OR($G1796="FCC",$G1796="Hydrocracker",$G1796="Reformer"),IF(COUNTIFS($D:$D,$D1796,$A:$A,$A1796,$B:$B,$B1796,$G:$G,"CDU",$J:$J,"PLANNED")&gt;0,"tied","standalone"),"")</f>
        <v/>
      </c>
    </row>
    <row r="1797" spans="1:14">
      <c r="A1797" s="6">
        <v>2023</v>
      </c>
      <c r="B1797" s="6">
        <v>8</v>
      </c>
      <c r="C1797" s="6" t="s">
        <v>67</v>
      </c>
      <c r="D1797" s="6" t="s">
        <v>540</v>
      </c>
      <c r="E1797" s="6" t="s">
        <v>541</v>
      </c>
      <c r="F1797" s="6" t="str">
        <f>IF($M1797="PADD I","PADD 1",IF($M1797="PADD II","PADD 2",IF($M1797="PADD III","PADD 3",IF($M1797="PADD IV","PADD 4",IF($M1797="PADD V","PADD 5","")))))</f>
        <v>PADD 3</v>
      </c>
      <c r="G1797" s="6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6" t="s">
        <v>44</v>
      </c>
      <c r="I1797" s="6" t="s">
        <v>1007</v>
      </c>
      <c r="J1797" s="6" t="s">
        <v>394</v>
      </c>
      <c r="K1797" s="10">
        <v>4.032</v>
      </c>
      <c r="L1797" s="10">
        <v>25.2</v>
      </c>
      <c r="M1797" s="6" t="s">
        <v>421</v>
      </c>
      <c r="N1797" s="6">
        <f>IF(OR($G1797="FCC",$G1797="Hydrocracker",$G1797="Reformer"),IF(COUNTIFS($D:$D,$D1797,$A:$A,$A1797,$B:$B,$B1797,$G:$G,"CDU",$J:$J,"PLANNED")&gt;0,"tied","standalone"),"")</f>
        <v/>
      </c>
    </row>
    <row r="1798" spans="1:14">
      <c r="A1798" s="6">
        <v>2023</v>
      </c>
      <c r="B1798" s="6">
        <v>8</v>
      </c>
      <c r="C1798" s="6" t="s">
        <v>67</v>
      </c>
      <c r="D1798" s="6" t="s">
        <v>373</v>
      </c>
      <c r="E1798" s="6" t="s">
        <v>438</v>
      </c>
      <c r="F1798" s="6" t="str">
        <f>IF($M1798="PADD I","PADD 1",IF($M1798="PADD II","PADD 2",IF($M1798="PADD III","PADD 3",IF($M1798="PADD IV","PADD 4",IF($M1798="PADD V","PADD 5","")))))</f>
        <v>PADD 3</v>
      </c>
      <c r="G1798" s="6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6" t="s">
        <v>44</v>
      </c>
      <c r="I1798" s="6" t="s">
        <v>1008</v>
      </c>
      <c r="J1798" s="6" t="s">
        <v>394</v>
      </c>
      <c r="K1798" s="10">
        <v>4</v>
      </c>
      <c r="L1798" s="10">
        <v>40</v>
      </c>
      <c r="M1798" s="6" t="s">
        <v>421</v>
      </c>
      <c r="N1798" s="6">
        <f>IF(OR($G1798="FCC",$G1798="Hydrocracker",$G1798="Reformer"),IF(COUNTIFS($D:$D,$D1798,$A:$A,$A1798,$B:$B,$B1798,$G:$G,"CDU",$J:$J,"PLANNED")&gt;0,"tied","standalone"),"")</f>
        <v/>
      </c>
    </row>
    <row r="1799" spans="1:14">
      <c r="A1799" s="6">
        <v>2023</v>
      </c>
      <c r="B1799" s="6">
        <v>8</v>
      </c>
      <c r="C1799" s="6" t="s">
        <v>67</v>
      </c>
      <c r="D1799" s="6" t="s">
        <v>373</v>
      </c>
      <c r="E1799" s="6" t="s">
        <v>438</v>
      </c>
      <c r="F1799" s="6" t="str">
        <f>IF($M1799="PADD I","PADD 1",IF($M1799="PADD II","PADD 2",IF($M1799="PADD III","PADD 3",IF($M1799="PADD IV","PADD 4",IF($M1799="PADD V","PADD 5","")))))</f>
        <v>PADD 3</v>
      </c>
      <c r="G1799" s="6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6" t="s">
        <v>510</v>
      </c>
      <c r="I1799" s="6" t="s">
        <v>1009</v>
      </c>
      <c r="J1799" s="6" t="s">
        <v>394</v>
      </c>
      <c r="K1799" s="10">
        <v>3.96</v>
      </c>
      <c r="L1799" s="10">
        <v>39.6</v>
      </c>
      <c r="M1799" s="6" t="s">
        <v>421</v>
      </c>
      <c r="N1799" s="6">
        <f>IF(OR($G1799="FCC",$G1799="Hydrocracker",$G1799="Reformer"),IF(COUNTIFS($D:$D,$D1799,$A:$A,$A1799,$B:$B,$B1799,$G:$G,"CDU",$J:$J,"PLANNED")&gt;0,"tied","standalone"),"")</f>
        <v/>
      </c>
    </row>
    <row r="1800" spans="1:14">
      <c r="A1800" s="6">
        <v>2023</v>
      </c>
      <c r="B1800" s="6">
        <v>8</v>
      </c>
      <c r="C1800" s="6" t="s">
        <v>67</v>
      </c>
      <c r="D1800" s="6" t="s">
        <v>984</v>
      </c>
      <c r="E1800" s="6" t="s">
        <v>438</v>
      </c>
      <c r="F1800" s="6" t="str">
        <f>IF($M1800="PADD I","PADD 1",IF($M1800="PADD II","PADD 2",IF($M1800="PADD III","PADD 3",IF($M1800="PADD IV","PADD 4",IF($M1800="PADD V","PADD 5","")))))</f>
        <v>PADD 3</v>
      </c>
      <c r="G1800" s="6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6" t="s">
        <v>426</v>
      </c>
      <c r="I1800" s="6" t="s">
        <v>106</v>
      </c>
      <c r="J1800" s="6" t="s">
        <v>394</v>
      </c>
      <c r="K1800" s="10">
        <v>3.835</v>
      </c>
      <c r="L1800" s="10">
        <v>29.5</v>
      </c>
      <c r="M1800" s="6" t="s">
        <v>421</v>
      </c>
      <c r="N1800" s="6" t="str">
        <f>IF(OR($G1800="FCC",$G1800="Hydrocracker",$G1800="Reformer"),IF(COUNTIFS($D:$D,$D1800,$A:$A,$A1800,$B:$B,$B1800,$G:$G,"CDU",$J:$J,"PLANNED")&gt;0,"tied","standalone"),"")</f>
        <v>standalone</v>
      </c>
    </row>
    <row r="1801" spans="1:14">
      <c r="A1801" s="6">
        <v>2023</v>
      </c>
      <c r="B1801" s="6">
        <v>8</v>
      </c>
      <c r="C1801" s="6" t="s">
        <v>67</v>
      </c>
      <c r="D1801" s="6" t="s">
        <v>812</v>
      </c>
      <c r="E1801" s="6" t="s">
        <v>813</v>
      </c>
      <c r="F1801" s="6" t="str">
        <f>IF($M1801="PADD I","PADD 1",IF($M1801="PADD II","PADD 2",IF($M1801="PADD III","PADD 3",IF($M1801="PADD IV","PADD 4",IF($M1801="PADD V","PADD 5","")))))</f>
        <v>PADD 2</v>
      </c>
      <c r="G1801" s="6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6" t="s">
        <v>44</v>
      </c>
      <c r="I1801" s="6" t="s">
        <v>508</v>
      </c>
      <c r="J1801" s="6" t="s">
        <v>394</v>
      </c>
      <c r="K1801" s="10">
        <v>3.77</v>
      </c>
      <c r="L1801" s="10">
        <v>13</v>
      </c>
      <c r="M1801" s="6" t="s">
        <v>425</v>
      </c>
      <c r="N1801" s="6">
        <f>IF(OR($G1801="FCC",$G1801="Hydrocracker",$G1801="Reformer"),IF(COUNTIFS($D:$D,$D1801,$A:$A,$A1801,$B:$B,$B1801,$G:$G,"CDU",$J:$J,"PLANNED")&gt;0,"tied","standalone"),"")</f>
        <v/>
      </c>
    </row>
    <row r="1802" spans="1:14">
      <c r="A1802" s="6">
        <v>2023</v>
      </c>
      <c r="B1802" s="6">
        <v>8</v>
      </c>
      <c r="C1802" s="6" t="s">
        <v>67</v>
      </c>
      <c r="D1802" s="6" t="s">
        <v>1010</v>
      </c>
      <c r="E1802" s="6" t="s">
        <v>931</v>
      </c>
      <c r="F1802" s="6" t="str">
        <f>IF($M1802="PADD I","PADD 1",IF($M1802="PADD II","PADD 2",IF($M1802="PADD III","PADD 3",IF($M1802="PADD IV","PADD 4",IF($M1802="PADD V","PADD 5","")))))</f>
        <v>PADD 3</v>
      </c>
      <c r="G1802" s="6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6" t="s">
        <v>44</v>
      </c>
      <c r="I1802" s="6" t="s">
        <v>1011</v>
      </c>
      <c r="J1802" s="6" t="s">
        <v>394</v>
      </c>
      <c r="K1802" s="10">
        <v>3.6</v>
      </c>
      <c r="L1802" s="10">
        <v>8</v>
      </c>
      <c r="M1802" s="6" t="s">
        <v>421</v>
      </c>
      <c r="N1802" s="6">
        <f>IF(OR($G1802="FCC",$G1802="Hydrocracker",$G1802="Reformer"),IF(COUNTIFS($D:$D,$D1802,$A:$A,$A1802,$B:$B,$B1802,$G:$G,"CDU",$J:$J,"PLANNED")&gt;0,"tied","standalone"),"")</f>
        <v/>
      </c>
    </row>
    <row r="1803" spans="1:14">
      <c r="A1803" s="6">
        <v>2023</v>
      </c>
      <c r="B1803" s="6">
        <v>8</v>
      </c>
      <c r="C1803" s="6" t="s">
        <v>67</v>
      </c>
      <c r="D1803" s="6" t="s">
        <v>373</v>
      </c>
      <c r="E1803" s="6" t="s">
        <v>438</v>
      </c>
      <c r="F1803" s="6" t="str">
        <f>IF($M1803="PADD I","PADD 1",IF($M1803="PADD II","PADD 2",IF($M1803="PADD III","PADD 3",IF($M1803="PADD IV","PADD 4",IF($M1803="PADD V","PADD 5","")))))</f>
        <v>PADD 3</v>
      </c>
      <c r="G1803" s="6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6" t="s">
        <v>485</v>
      </c>
      <c r="I1803" s="6" t="s">
        <v>1012</v>
      </c>
      <c r="J1803" s="6" t="s">
        <v>394</v>
      </c>
      <c r="K1803" s="10">
        <v>3.45</v>
      </c>
      <c r="L1803" s="10">
        <v>34.5</v>
      </c>
      <c r="M1803" s="6" t="s">
        <v>421</v>
      </c>
      <c r="N1803" s="6">
        <f>IF(OR($G1803="FCC",$G1803="Hydrocracker",$G1803="Reformer"),IF(COUNTIFS($D:$D,$D1803,$A:$A,$A1803,$B:$B,$B1803,$G:$G,"CDU",$J:$J,"PLANNED")&gt;0,"tied","standalone"),"")</f>
        <v/>
      </c>
    </row>
    <row r="1804" spans="1:14">
      <c r="A1804" s="6">
        <v>2023</v>
      </c>
      <c r="B1804" s="6">
        <v>8</v>
      </c>
      <c r="C1804" s="6" t="s">
        <v>67</v>
      </c>
      <c r="D1804" s="6" t="s">
        <v>518</v>
      </c>
      <c r="E1804" s="6" t="s">
        <v>419</v>
      </c>
      <c r="F1804" s="6" t="str">
        <f>IF($M1804="PADD I","PADD 1",IF($M1804="PADD II","PADD 2",IF($M1804="PADD III","PADD 3",IF($M1804="PADD IV","PADD 4",IF($M1804="PADD V","PADD 5","")))))</f>
        <v>PADD 3</v>
      </c>
      <c r="G1804" s="6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6" t="s">
        <v>485</v>
      </c>
      <c r="I1804" s="6" t="s">
        <v>989</v>
      </c>
      <c r="J1804" s="6" t="s">
        <v>394</v>
      </c>
      <c r="K1804" s="10">
        <v>3.25</v>
      </c>
      <c r="L1804" s="10">
        <v>12.5</v>
      </c>
      <c r="M1804" s="6" t="s">
        <v>421</v>
      </c>
      <c r="N1804" s="6">
        <f>IF(OR($G1804="FCC",$G1804="Hydrocracker",$G1804="Reformer"),IF(COUNTIFS($D:$D,$D1804,$A:$A,$A1804,$B:$B,$B1804,$G:$G,"CDU",$J:$J,"PLANNED")&gt;0,"tied","standalone"),"")</f>
        <v/>
      </c>
    </row>
    <row r="1805" spans="1:14">
      <c r="A1805" s="6">
        <v>2023</v>
      </c>
      <c r="B1805" s="6">
        <v>8</v>
      </c>
      <c r="C1805" s="6" t="s">
        <v>67</v>
      </c>
      <c r="D1805" s="6" t="s">
        <v>984</v>
      </c>
      <c r="E1805" s="6" t="s">
        <v>438</v>
      </c>
      <c r="F1805" s="6" t="str">
        <f>IF($M1805="PADD I","PADD 1",IF($M1805="PADD II","PADD 2",IF($M1805="PADD III","PADD 3",IF($M1805="PADD IV","PADD 4",IF($M1805="PADD V","PADD 5","")))))</f>
        <v>PADD 3</v>
      </c>
      <c r="G1805" s="6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6" t="s">
        <v>44</v>
      </c>
      <c r="I1805" s="6" t="s">
        <v>508</v>
      </c>
      <c r="J1805" s="6" t="s">
        <v>394</v>
      </c>
      <c r="K1805" s="10">
        <v>3.25</v>
      </c>
      <c r="L1805" s="10">
        <v>25</v>
      </c>
      <c r="M1805" s="6" t="s">
        <v>421</v>
      </c>
      <c r="N1805" s="6">
        <f>IF(OR($G1805="FCC",$G1805="Hydrocracker",$G1805="Reformer"),IF(COUNTIFS($D:$D,$D1805,$A:$A,$A1805,$B:$B,$B1805,$G:$G,"CDU",$J:$J,"PLANNED")&gt;0,"tied","standalone"),"")</f>
        <v/>
      </c>
    </row>
    <row r="1806" spans="1:14">
      <c r="A1806" s="6">
        <v>2023</v>
      </c>
      <c r="B1806" s="6">
        <v>8</v>
      </c>
      <c r="C1806" s="6" t="s">
        <v>67</v>
      </c>
      <c r="D1806" s="6" t="s">
        <v>660</v>
      </c>
      <c r="E1806" s="6" t="s">
        <v>661</v>
      </c>
      <c r="F1806" s="6" t="str">
        <f>IF($M1806="PADD I","PADD 1",IF($M1806="PADD II","PADD 2",IF($M1806="PADD III","PADD 3",IF($M1806="PADD IV","PADD 4",IF($M1806="PADD V","PADD 5","")))))</f>
        <v>PADD 2</v>
      </c>
      <c r="G1806" s="6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6" t="s">
        <v>428</v>
      </c>
      <c r="I1806" s="6" t="s">
        <v>544</v>
      </c>
      <c r="J1806" s="6" t="s">
        <v>394</v>
      </c>
      <c r="K1806" s="10">
        <v>2.86</v>
      </c>
      <c r="L1806" s="10">
        <v>22</v>
      </c>
      <c r="M1806" s="6" t="s">
        <v>425</v>
      </c>
      <c r="N1806" s="6">
        <f>IF(OR($G1806="FCC",$G1806="Hydrocracker",$G1806="Reformer"),IF(COUNTIFS($D:$D,$D1806,$A:$A,$A1806,$B:$B,$B1806,$G:$G,"CDU",$J:$J,"PLANNED")&gt;0,"tied","standalone"),"")</f>
        <v/>
      </c>
    </row>
    <row r="1807" spans="1:14">
      <c r="A1807" s="6">
        <v>2023</v>
      </c>
      <c r="B1807" s="6">
        <v>8</v>
      </c>
      <c r="C1807" s="6" t="s">
        <v>67</v>
      </c>
      <c r="D1807" s="6" t="s">
        <v>597</v>
      </c>
      <c r="E1807" s="6" t="s">
        <v>441</v>
      </c>
      <c r="F1807" s="6" t="str">
        <f>IF($M1807="PADD I","PADD 1",IF($M1807="PADD II","PADD 2",IF($M1807="PADD III","PADD 3",IF($M1807="PADD IV","PADD 4",IF($M1807="PADD V","PADD 5","")))))</f>
        <v>PADD 5</v>
      </c>
      <c r="G1807" s="6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6" t="s">
        <v>471</v>
      </c>
      <c r="I1807" s="6" t="s">
        <v>598</v>
      </c>
      <c r="J1807" s="6" t="s">
        <v>394</v>
      </c>
      <c r="K1807" s="10">
        <v>2.8</v>
      </c>
      <c r="L1807" s="10">
        <v>28</v>
      </c>
      <c r="M1807" s="6" t="s">
        <v>436</v>
      </c>
      <c r="N1807" s="6" t="str">
        <f>IF(OR($G1807="FCC",$G1807="Hydrocracker",$G1807="Reformer"),IF(COUNTIFS($D:$D,$D1807,$A:$A,$A1807,$B:$B,$B1807,$G:$G,"CDU",$J:$J,"PLANNED")&gt;0,"tied","standalone"),"")</f>
        <v>standalone</v>
      </c>
    </row>
    <row r="1808" spans="1:14">
      <c r="A1808" s="6">
        <v>2023</v>
      </c>
      <c r="B1808" s="6">
        <v>8</v>
      </c>
      <c r="C1808" s="6" t="s">
        <v>67</v>
      </c>
      <c r="D1808" s="6" t="s">
        <v>41</v>
      </c>
      <c r="E1808" s="6" t="s">
        <v>786</v>
      </c>
      <c r="F1808" s="6" t="str">
        <f>IF($M1808="PADD I","PADD 1",IF($M1808="PADD II","PADD 2",IF($M1808="PADD III","PADD 3",IF($M1808="PADD IV","PADD 4",IF($M1808="PADD V","PADD 5","")))))</f>
        <v>PADD 1</v>
      </c>
      <c r="G1808" s="6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6" t="s">
        <v>428</v>
      </c>
      <c r="I1808" s="6" t="s">
        <v>1013</v>
      </c>
      <c r="J1808" s="6" t="s">
        <v>394</v>
      </c>
      <c r="K1808" s="10">
        <v>2.6</v>
      </c>
      <c r="L1808" s="10">
        <v>26</v>
      </c>
      <c r="M1808" s="6" t="s">
        <v>463</v>
      </c>
      <c r="N1808" s="6">
        <f>IF(OR($G1808="FCC",$G1808="Hydrocracker",$G1808="Reformer"),IF(COUNTIFS($D:$D,$D1808,$A:$A,$A1808,$B:$B,$B1808,$G:$G,"CDU",$J:$J,"PLANNED")&gt;0,"tied","standalone"),"")</f>
        <v/>
      </c>
    </row>
    <row r="1809" spans="1:14">
      <c r="A1809" s="6">
        <v>2023</v>
      </c>
      <c r="B1809" s="6">
        <v>8</v>
      </c>
      <c r="C1809" s="6" t="s">
        <v>67</v>
      </c>
      <c r="D1809" s="6" t="s">
        <v>662</v>
      </c>
      <c r="E1809" s="6" t="s">
        <v>466</v>
      </c>
      <c r="F1809" s="6" t="str">
        <f>IF($M1809="PADD I","PADD 1",IF($M1809="PADD II","PADD 2",IF($M1809="PADD III","PADD 3",IF($M1809="PADD IV","PADD 4",IF($M1809="PADD V","PADD 5","")))))</f>
        <v>PADD 3</v>
      </c>
      <c r="G1809" s="6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6" t="s">
        <v>428</v>
      </c>
      <c r="I1809" s="6" t="s">
        <v>481</v>
      </c>
      <c r="J1809" s="6" t="s">
        <v>394</v>
      </c>
      <c r="K1809" s="10">
        <v>2.559</v>
      </c>
      <c r="L1809" s="10">
        <v>85.3</v>
      </c>
      <c r="M1809" s="6" t="s">
        <v>421</v>
      </c>
      <c r="N1809" s="6">
        <f>IF(OR($G1809="FCC",$G1809="Hydrocracker",$G1809="Reformer"),IF(COUNTIFS($D:$D,$D1809,$A:$A,$A1809,$B:$B,$B1809,$G:$G,"CDU",$J:$J,"PLANNED")&gt;0,"tied","standalone"),"")</f>
        <v/>
      </c>
    </row>
    <row r="1810" spans="1:14">
      <c r="A1810" s="6">
        <v>2023</v>
      </c>
      <c r="B1810" s="6">
        <v>8</v>
      </c>
      <c r="C1810" s="6" t="s">
        <v>67</v>
      </c>
      <c r="D1810" s="6" t="s">
        <v>937</v>
      </c>
      <c r="E1810" s="6" t="s">
        <v>455</v>
      </c>
      <c r="F1810" s="6" t="str">
        <f>IF($M1810="PADD I","PADD 1",IF($M1810="PADD II","PADD 2",IF($M1810="PADD III","PADD 3",IF($M1810="PADD IV","PADD 4",IF($M1810="PADD V","PADD 5","")))))</f>
        <v>PADD 3</v>
      </c>
      <c r="G1810" s="6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6" t="s">
        <v>426</v>
      </c>
      <c r="I1810" s="6" t="s">
        <v>856</v>
      </c>
      <c r="J1810" s="6" t="s">
        <v>394</v>
      </c>
      <c r="K1810" s="10">
        <v>2.4</v>
      </c>
      <c r="L1810" s="10">
        <v>24</v>
      </c>
      <c r="M1810" s="6" t="s">
        <v>421</v>
      </c>
      <c r="N1810" s="6" t="str">
        <f>IF(OR($G1810="FCC",$G1810="Hydrocracker",$G1810="Reformer"),IF(COUNTIFS($D:$D,$D1810,$A:$A,$A1810,$B:$B,$B1810,$G:$G,"CDU",$J:$J,"PLANNED")&gt;0,"tied","standalone"),"")</f>
        <v>standalone</v>
      </c>
    </row>
    <row r="1811" spans="1:14">
      <c r="A1811" s="6">
        <v>2023</v>
      </c>
      <c r="B1811" s="6">
        <v>8</v>
      </c>
      <c r="C1811" s="6" t="s">
        <v>67</v>
      </c>
      <c r="D1811" s="6" t="s">
        <v>458</v>
      </c>
      <c r="E1811" s="6" t="s">
        <v>459</v>
      </c>
      <c r="F1811" s="6" t="str">
        <f>IF($M1811="PADD I","PADD 1",IF($M1811="PADD II","PADD 2",IF($M1811="PADD III","PADD 3",IF($M1811="PADD IV","PADD 4",IF($M1811="PADD V","PADD 5","")))))</f>
        <v>PADD 3</v>
      </c>
      <c r="G1811" s="6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6" t="s">
        <v>510</v>
      </c>
      <c r="I1811" s="6" t="s">
        <v>656</v>
      </c>
      <c r="J1811" s="6" t="s">
        <v>398</v>
      </c>
      <c r="K1811" s="10">
        <v>2.25</v>
      </c>
      <c r="L1811" s="10">
        <v>5</v>
      </c>
      <c r="M1811" s="6" t="s">
        <v>421</v>
      </c>
      <c r="N1811" s="6">
        <f>IF(OR($G1811="FCC",$G1811="Hydrocracker",$G1811="Reformer"),IF(COUNTIFS($D:$D,$D1811,$A:$A,$A1811,$B:$B,$B1811,$G:$G,"CDU",$J:$J,"PLANNED")&gt;0,"tied","standalone"),"")</f>
        <v/>
      </c>
    </row>
    <row r="1812" spans="1:14">
      <c r="A1812" s="6">
        <v>2023</v>
      </c>
      <c r="B1812" s="6">
        <v>8</v>
      </c>
      <c r="C1812" s="6" t="s">
        <v>67</v>
      </c>
      <c r="D1812" s="6" t="s">
        <v>984</v>
      </c>
      <c r="E1812" s="6" t="s">
        <v>438</v>
      </c>
      <c r="F1812" s="6" t="str">
        <f>IF($M1812="PADD I","PADD 1",IF($M1812="PADD II","PADD 2",IF($M1812="PADD III","PADD 3",IF($M1812="PADD IV","PADD 4",IF($M1812="PADD V","PADD 5","")))))</f>
        <v>PADD 3</v>
      </c>
      <c r="G1812" s="6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6" t="s">
        <v>428</v>
      </c>
      <c r="I1812" s="6" t="s">
        <v>1014</v>
      </c>
      <c r="J1812" s="6" t="s">
        <v>394</v>
      </c>
      <c r="K1812" s="10">
        <v>2.21</v>
      </c>
      <c r="L1812" s="10">
        <v>17</v>
      </c>
      <c r="M1812" s="6" t="s">
        <v>421</v>
      </c>
      <c r="N1812" s="6">
        <f>IF(OR($G1812="FCC",$G1812="Hydrocracker",$G1812="Reformer"),IF(COUNTIFS($D:$D,$D1812,$A:$A,$A1812,$B:$B,$B1812,$G:$G,"CDU",$J:$J,"PLANNED")&gt;0,"tied","standalone"),"")</f>
        <v/>
      </c>
    </row>
    <row r="1813" spans="1:14">
      <c r="A1813" s="6">
        <v>2023</v>
      </c>
      <c r="B1813" s="6">
        <v>8</v>
      </c>
      <c r="C1813" s="6" t="s">
        <v>67</v>
      </c>
      <c r="D1813" s="6" t="s">
        <v>470</v>
      </c>
      <c r="E1813" s="6" t="s">
        <v>423</v>
      </c>
      <c r="F1813" s="6" t="str">
        <f>IF($M1813="PADD I","PADD 1",IF($M1813="PADD II","PADD 2",IF($M1813="PADD III","PADD 3",IF($M1813="PADD IV","PADD 4",IF($M1813="PADD V","PADD 5","")))))</f>
        <v>PADD 2</v>
      </c>
      <c r="G1813" s="6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6" t="s">
        <v>618</v>
      </c>
      <c r="I1813" s="6" t="s">
        <v>654</v>
      </c>
      <c r="J1813" s="6" t="s">
        <v>394</v>
      </c>
      <c r="K1813" s="10">
        <v>2</v>
      </c>
      <c r="L1813" s="10">
        <v>2</v>
      </c>
      <c r="M1813" s="6" t="s">
        <v>425</v>
      </c>
      <c r="N1813" s="6">
        <f>IF(OR($G1813="FCC",$G1813="Hydrocracker",$G1813="Reformer"),IF(COUNTIFS($D:$D,$D1813,$A:$A,$A1813,$B:$B,$B1813,$G:$G,"CDU",$J:$J,"PLANNED")&gt;0,"tied","standalone"),"")</f>
        <v/>
      </c>
    </row>
    <row r="1814" spans="1:14">
      <c r="A1814" s="6">
        <v>2023</v>
      </c>
      <c r="B1814" s="6">
        <v>8</v>
      </c>
      <c r="C1814" s="6" t="s">
        <v>67</v>
      </c>
      <c r="D1814" s="6" t="s">
        <v>996</v>
      </c>
      <c r="E1814" s="6" t="s">
        <v>455</v>
      </c>
      <c r="F1814" s="6" t="str">
        <f>IF($M1814="PADD I","PADD 1",IF($M1814="PADD II","PADD 2",IF($M1814="PADD III","PADD 3",IF($M1814="PADD IV","PADD 4",IF($M1814="PADD V","PADD 5","")))))</f>
        <v>PADD 5</v>
      </c>
      <c r="G1814" s="6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6" t="s">
        <v>44</v>
      </c>
      <c r="I1814" s="6" t="s">
        <v>1015</v>
      </c>
      <c r="J1814" s="6" t="s">
        <v>394</v>
      </c>
      <c r="K1814" s="10">
        <v>1.92</v>
      </c>
      <c r="L1814" s="10">
        <v>64</v>
      </c>
      <c r="M1814" s="6" t="s">
        <v>436</v>
      </c>
      <c r="N1814" s="6">
        <f>IF(OR($G1814="FCC",$G1814="Hydrocracker",$G1814="Reformer"),IF(COUNTIFS($D:$D,$D1814,$A:$A,$A1814,$B:$B,$B1814,$G:$G,"CDU",$J:$J,"PLANNED")&gt;0,"tied","standalone"),"")</f>
        <v/>
      </c>
    </row>
    <row r="1815" spans="1:14">
      <c r="A1815" s="6">
        <v>2023</v>
      </c>
      <c r="B1815" s="6">
        <v>8</v>
      </c>
      <c r="C1815" s="6" t="s">
        <v>67</v>
      </c>
      <c r="D1815" s="6" t="s">
        <v>380</v>
      </c>
      <c r="E1815" s="6" t="s">
        <v>423</v>
      </c>
      <c r="F1815" s="6" t="str">
        <f>IF($M1815="PADD I","PADD 1",IF($M1815="PADD II","PADD 2",IF($M1815="PADD III","PADD 3",IF($M1815="PADD IV","PADD 4",IF($M1815="PADD V","PADD 5","")))))</f>
        <v>PADD 2</v>
      </c>
      <c r="G1815" s="6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6" t="s">
        <v>44</v>
      </c>
      <c r="I1815" s="6" t="s">
        <v>960</v>
      </c>
      <c r="J1815" s="6" t="s">
        <v>394</v>
      </c>
      <c r="K1815" s="10">
        <v>1.89</v>
      </c>
      <c r="L1815" s="10">
        <v>63</v>
      </c>
      <c r="M1815" s="6" t="s">
        <v>425</v>
      </c>
      <c r="N1815" s="6">
        <f>IF(OR($G1815="FCC",$G1815="Hydrocracker",$G1815="Reformer"),IF(COUNTIFS($D:$D,$D1815,$A:$A,$A1815,$B:$B,$B1815,$G:$G,"CDU",$J:$J,"PLANNED")&gt;0,"tied","standalone"),"")</f>
        <v/>
      </c>
    </row>
    <row r="1816" spans="1:14">
      <c r="A1816" s="6">
        <v>2023</v>
      </c>
      <c r="B1816" s="6">
        <v>8</v>
      </c>
      <c r="C1816" s="6" t="s">
        <v>67</v>
      </c>
      <c r="D1816" s="6" t="s">
        <v>368</v>
      </c>
      <c r="E1816" s="6" t="s">
        <v>715</v>
      </c>
      <c r="F1816" s="6" t="str">
        <f>IF($M1816="PADD I","PADD 1",IF($M1816="PADD II","PADD 2",IF($M1816="PADD III","PADD 3",IF($M1816="PADD IV","PADD 4",IF($M1816="PADD V","PADD 5","")))))</f>
        <v>PADD 3</v>
      </c>
      <c r="G1816" s="6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6" t="s">
        <v>494</v>
      </c>
      <c r="I1816" s="6" t="s">
        <v>14</v>
      </c>
      <c r="J1816" s="6" t="s">
        <v>394</v>
      </c>
      <c r="K1816" s="10">
        <v>1.84</v>
      </c>
      <c r="L1816" s="10">
        <v>8</v>
      </c>
      <c r="M1816" s="6" t="s">
        <v>421</v>
      </c>
      <c r="N1816" s="6" t="str">
        <f>IF(OR($G1816="FCC",$G1816="Hydrocracker",$G1816="Reformer"),IF(COUNTIFS($D:$D,$D1816,$A:$A,$A1816,$B:$B,$B1816,$G:$G,"CDU",$J:$J,"PLANNED")&gt;0,"tied","standalone"),"")</f>
        <v>standalone</v>
      </c>
    </row>
    <row r="1817" spans="1:14">
      <c r="A1817" s="6">
        <v>2023</v>
      </c>
      <c r="B1817" s="6">
        <v>8</v>
      </c>
      <c r="C1817" s="6" t="s">
        <v>67</v>
      </c>
      <c r="D1817" s="6" t="s">
        <v>518</v>
      </c>
      <c r="E1817" s="6" t="s">
        <v>419</v>
      </c>
      <c r="F1817" s="6" t="str">
        <f>IF($M1817="PADD I","PADD 1",IF($M1817="PADD II","PADD 2",IF($M1817="PADD III","PADD 3",IF($M1817="PADD IV","PADD 4",IF($M1817="PADD V","PADD 5","")))))</f>
        <v>PADD 3</v>
      </c>
      <c r="G1817" s="6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6" t="s">
        <v>426</v>
      </c>
      <c r="I1817" s="6" t="s">
        <v>523</v>
      </c>
      <c r="J1817" s="6" t="s">
        <v>394</v>
      </c>
      <c r="K1817" s="10">
        <v>1.8</v>
      </c>
      <c r="L1817" s="10">
        <v>30</v>
      </c>
      <c r="M1817" s="6" t="s">
        <v>421</v>
      </c>
      <c r="N1817" s="6" t="str">
        <f>IF(OR($G1817="FCC",$G1817="Hydrocracker",$G1817="Reformer"),IF(COUNTIFS($D:$D,$D1817,$A:$A,$A1817,$B:$B,$B1817,$G:$G,"CDU",$J:$J,"PLANNED")&gt;0,"tied","standalone"),"")</f>
        <v>standalone</v>
      </c>
    </row>
    <row r="1818" spans="1:14">
      <c r="A1818" s="6">
        <v>2023</v>
      </c>
      <c r="B1818" s="6">
        <v>8</v>
      </c>
      <c r="C1818" s="6" t="s">
        <v>67</v>
      </c>
      <c r="D1818" s="6" t="s">
        <v>518</v>
      </c>
      <c r="E1818" s="6" t="s">
        <v>419</v>
      </c>
      <c r="F1818" s="6" t="str">
        <f>IF($M1818="PADD I","PADD 1",IF($M1818="PADD II","PADD 2",IF($M1818="PADD III","PADD 3",IF($M1818="PADD IV","PADD 4",IF($M1818="PADD V","PADD 5","")))))</f>
        <v>PADD 3</v>
      </c>
      <c r="G1818" s="6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6" t="s">
        <v>426</v>
      </c>
      <c r="I1818" s="6" t="s">
        <v>519</v>
      </c>
      <c r="J1818" s="6" t="s">
        <v>394</v>
      </c>
      <c r="K1818" s="10">
        <v>1.8</v>
      </c>
      <c r="L1818" s="10">
        <v>30</v>
      </c>
      <c r="M1818" s="6" t="s">
        <v>421</v>
      </c>
      <c r="N1818" s="6" t="str">
        <f>IF(OR($G1818="FCC",$G1818="Hydrocracker",$G1818="Reformer"),IF(COUNTIFS($D:$D,$D1818,$A:$A,$A1818,$B:$B,$B1818,$G:$G,"CDU",$J:$J,"PLANNED")&gt;0,"tied","standalone"),"")</f>
        <v>standalone</v>
      </c>
    </row>
    <row r="1819" spans="1:14">
      <c r="A1819" s="6">
        <v>2023</v>
      </c>
      <c r="B1819" s="6">
        <v>8</v>
      </c>
      <c r="C1819" s="6" t="s">
        <v>67</v>
      </c>
      <c r="D1819" s="6" t="s">
        <v>984</v>
      </c>
      <c r="E1819" s="6" t="s">
        <v>438</v>
      </c>
      <c r="F1819" s="6" t="str">
        <f>IF($M1819="PADD I","PADD 1",IF($M1819="PADD II","PADD 2",IF($M1819="PADD III","PADD 3",IF($M1819="PADD IV","PADD 4",IF($M1819="PADD V","PADD 5","")))))</f>
        <v>PADD 3</v>
      </c>
      <c r="G1819" s="6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6" t="s">
        <v>510</v>
      </c>
      <c r="I1819" s="6" t="s">
        <v>511</v>
      </c>
      <c r="J1819" s="6" t="s">
        <v>398</v>
      </c>
      <c r="K1819" s="10">
        <v>1.6</v>
      </c>
      <c r="L1819" s="10">
        <v>10</v>
      </c>
      <c r="M1819" s="6" t="s">
        <v>421</v>
      </c>
      <c r="N1819" s="6">
        <f>IF(OR($G1819="FCC",$G1819="Hydrocracker",$G1819="Reformer"),IF(COUNTIFS($D:$D,$D1819,$A:$A,$A1819,$B:$B,$B1819,$G:$G,"CDU",$J:$J,"PLANNED")&gt;0,"tied","standalone"),"")</f>
        <v/>
      </c>
    </row>
    <row r="1820" spans="1:14">
      <c r="A1820" s="6">
        <v>2023</v>
      </c>
      <c r="B1820" s="6">
        <v>8</v>
      </c>
      <c r="C1820" s="6" t="s">
        <v>67</v>
      </c>
      <c r="D1820" s="6" t="s">
        <v>373</v>
      </c>
      <c r="E1820" s="6" t="s">
        <v>438</v>
      </c>
      <c r="F1820" s="6" t="str">
        <f>IF($M1820="PADD I","PADD 1",IF($M1820="PADD II","PADD 2",IF($M1820="PADD III","PADD 3",IF($M1820="PADD IV","PADD 4",IF($M1820="PADD V","PADD 5","")))))</f>
        <v>PADD 3</v>
      </c>
      <c r="G1820" s="6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6" t="s">
        <v>44</v>
      </c>
      <c r="I1820" s="6" t="s">
        <v>1016</v>
      </c>
      <c r="J1820" s="6" t="s">
        <v>394</v>
      </c>
      <c r="K1820" s="10">
        <v>1.6</v>
      </c>
      <c r="L1820" s="10">
        <v>16</v>
      </c>
      <c r="M1820" s="6" t="s">
        <v>421</v>
      </c>
      <c r="N1820" s="6">
        <f>IF(OR($G1820="FCC",$G1820="Hydrocracker",$G1820="Reformer"),IF(COUNTIFS($D:$D,$D1820,$A:$A,$A1820,$B:$B,$B1820,$G:$G,"CDU",$J:$J,"PLANNED")&gt;0,"tied","standalone"),"")</f>
        <v/>
      </c>
    </row>
    <row r="1821" spans="1:14">
      <c r="A1821" s="6">
        <v>2023</v>
      </c>
      <c r="B1821" s="6">
        <v>8</v>
      </c>
      <c r="C1821" s="6" t="s">
        <v>67</v>
      </c>
      <c r="D1821" s="6" t="s">
        <v>518</v>
      </c>
      <c r="E1821" s="6" t="s">
        <v>419</v>
      </c>
      <c r="F1821" s="6" t="str">
        <f>IF($M1821="PADD I","PADD 1",IF($M1821="PADD II","PADD 2",IF($M1821="PADD III","PADD 3",IF($M1821="PADD IV","PADD 4",IF($M1821="PADD V","PADD 5","")))))</f>
        <v>PADD 3</v>
      </c>
      <c r="G1821" s="6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6" t="s">
        <v>485</v>
      </c>
      <c r="I1821" s="6" t="s">
        <v>989</v>
      </c>
      <c r="J1821" s="6" t="s">
        <v>394</v>
      </c>
      <c r="K1821" s="10">
        <v>1.5</v>
      </c>
      <c r="L1821" s="10">
        <v>25</v>
      </c>
      <c r="M1821" s="6" t="s">
        <v>421</v>
      </c>
      <c r="N1821" s="6">
        <f>IF(OR($G1821="FCC",$G1821="Hydrocracker",$G1821="Reformer"),IF(COUNTIFS($D:$D,$D1821,$A:$A,$A1821,$B:$B,$B1821,$G:$G,"CDU",$J:$J,"PLANNED")&gt;0,"tied","standalone"),"")</f>
        <v/>
      </c>
    </row>
    <row r="1822" spans="1:14">
      <c r="A1822" s="6">
        <v>2023</v>
      </c>
      <c r="B1822" s="6">
        <v>8</v>
      </c>
      <c r="C1822" s="6" t="s">
        <v>67</v>
      </c>
      <c r="D1822" s="6" t="s">
        <v>568</v>
      </c>
      <c r="E1822" s="6" t="s">
        <v>419</v>
      </c>
      <c r="F1822" s="6" t="str">
        <f>IF($M1822="PADD I","PADD 1",IF($M1822="PADD II","PADD 2",IF($M1822="PADD III","PADD 3",IF($M1822="PADD IV","PADD 4",IF($M1822="PADD V","PADD 5","")))))</f>
        <v>PADD 5</v>
      </c>
      <c r="G1822" s="6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6" t="s">
        <v>44</v>
      </c>
      <c r="I1822" s="6" t="s">
        <v>629</v>
      </c>
      <c r="J1822" s="6" t="s">
        <v>398</v>
      </c>
      <c r="K1822" s="10">
        <v>1.5</v>
      </c>
      <c r="L1822" s="10">
        <v>25</v>
      </c>
      <c r="M1822" s="6" t="s">
        <v>436</v>
      </c>
      <c r="N1822" s="6">
        <f>IF(OR($G1822="FCC",$G1822="Hydrocracker",$G1822="Reformer"),IF(COUNTIFS($D:$D,$D1822,$A:$A,$A1822,$B:$B,$B1822,$G:$G,"CDU",$J:$J,"PLANNED")&gt;0,"tied","standalone"),"")</f>
        <v/>
      </c>
    </row>
    <row r="1823" spans="1:14">
      <c r="A1823" s="6">
        <v>2023</v>
      </c>
      <c r="B1823" s="6">
        <v>8</v>
      </c>
      <c r="C1823" s="6" t="s">
        <v>67</v>
      </c>
      <c r="D1823" s="6" t="s">
        <v>806</v>
      </c>
      <c r="E1823" s="6" t="s">
        <v>807</v>
      </c>
      <c r="F1823" s="6" t="str">
        <f>IF($M1823="PADD I","PADD 1",IF($M1823="PADD II","PADD 2",IF($M1823="PADD III","PADD 3",IF($M1823="PADD IV","PADD 4",IF($M1823="PADD V","PADD 5","")))))</f>
        <v>PADD 3</v>
      </c>
      <c r="G1823" s="6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6" t="s">
        <v>39</v>
      </c>
      <c r="I1823" s="6" t="s">
        <v>82</v>
      </c>
      <c r="J1823" s="6" t="s">
        <v>394</v>
      </c>
      <c r="K1823" s="10">
        <v>1.5</v>
      </c>
      <c r="L1823" s="10">
        <v>15</v>
      </c>
      <c r="M1823" s="6" t="s">
        <v>421</v>
      </c>
      <c r="N1823" s="6">
        <f>IF(OR($G1823="FCC",$G1823="Hydrocracker",$G1823="Reformer"),IF(COUNTIFS($D:$D,$D1823,$A:$A,$A1823,$B:$B,$B1823,$G:$G,"CDU",$J:$J,"PLANNED")&gt;0,"tied","standalone"),"")</f>
        <v/>
      </c>
    </row>
    <row r="1824" spans="1:14">
      <c r="A1824" s="6">
        <v>2023</v>
      </c>
      <c r="B1824" s="6">
        <v>8</v>
      </c>
      <c r="C1824" s="6" t="s">
        <v>67</v>
      </c>
      <c r="D1824" s="6" t="s">
        <v>984</v>
      </c>
      <c r="E1824" s="6" t="s">
        <v>438</v>
      </c>
      <c r="F1824" s="6" t="str">
        <f>IF($M1824="PADD I","PADD 1",IF($M1824="PADD II","PADD 2",IF($M1824="PADD III","PADD 3",IF($M1824="PADD IV","PADD 4",IF($M1824="PADD V","PADD 5","")))))</f>
        <v>PADD 3</v>
      </c>
      <c r="G1824" s="6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6" t="s">
        <v>510</v>
      </c>
      <c r="I1824" s="6" t="s">
        <v>511</v>
      </c>
      <c r="J1824" s="6" t="s">
        <v>394</v>
      </c>
      <c r="K1824" s="10">
        <v>1.3</v>
      </c>
      <c r="L1824" s="10">
        <v>10</v>
      </c>
      <c r="M1824" s="6" t="s">
        <v>421</v>
      </c>
      <c r="N1824" s="6">
        <f>IF(OR($G1824="FCC",$G1824="Hydrocracker",$G1824="Reformer"),IF(COUNTIFS($D:$D,$D1824,$A:$A,$A1824,$B:$B,$B1824,$G:$G,"CDU",$J:$J,"PLANNED")&gt;0,"tied","standalone"),"")</f>
        <v/>
      </c>
    </row>
    <row r="1825" spans="1:14">
      <c r="A1825" s="6">
        <v>2023</v>
      </c>
      <c r="B1825" s="6">
        <v>8</v>
      </c>
      <c r="C1825" s="6" t="s">
        <v>67</v>
      </c>
      <c r="D1825" s="6" t="s">
        <v>49</v>
      </c>
      <c r="E1825" s="6" t="s">
        <v>438</v>
      </c>
      <c r="F1825" s="6" t="str">
        <f>IF($M1825="PADD I","PADD 1",IF($M1825="PADD II","PADD 2",IF($M1825="PADD III","PADD 3",IF($M1825="PADD IV","PADD 4",IF($M1825="PADD V","PADD 5","")))))</f>
        <v>PADD 2</v>
      </c>
      <c r="G1825" s="6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6" t="s">
        <v>510</v>
      </c>
      <c r="I1825" s="6" t="s">
        <v>666</v>
      </c>
      <c r="J1825" s="6" t="s">
        <v>394</v>
      </c>
      <c r="K1825" s="10">
        <v>1.25</v>
      </c>
      <c r="L1825" s="10">
        <v>12.5</v>
      </c>
      <c r="M1825" s="6" t="s">
        <v>425</v>
      </c>
      <c r="N1825" s="6">
        <f>IF(OR($G1825="FCC",$G1825="Hydrocracker",$G1825="Reformer"),IF(COUNTIFS($D:$D,$D1825,$A:$A,$A1825,$B:$B,$B1825,$G:$G,"CDU",$J:$J,"PLANNED")&gt;0,"tied","standalone"),"")</f>
        <v/>
      </c>
    </row>
    <row r="1826" spans="1:14">
      <c r="A1826" s="6">
        <v>2023</v>
      </c>
      <c r="B1826" s="6">
        <v>8</v>
      </c>
      <c r="C1826" s="6" t="s">
        <v>67</v>
      </c>
      <c r="D1826" s="6" t="s">
        <v>445</v>
      </c>
      <c r="E1826" s="6" t="s">
        <v>446</v>
      </c>
      <c r="F1826" s="6" t="str">
        <f>IF($M1826="PADD I","PADD 1",IF($M1826="PADD II","PADD 2",IF($M1826="PADD III","PADD 3",IF($M1826="PADD IV","PADD 4",IF($M1826="PADD V","PADD 5","")))))</f>
        <v>PADD 3</v>
      </c>
      <c r="G1826" s="6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6" t="s">
        <v>44</v>
      </c>
      <c r="I1826" s="6" t="s">
        <v>600</v>
      </c>
      <c r="J1826" s="6" t="s">
        <v>394</v>
      </c>
      <c r="K1826" s="10">
        <v>1.233</v>
      </c>
      <c r="L1826" s="10">
        <v>41.1</v>
      </c>
      <c r="M1826" s="6" t="s">
        <v>421</v>
      </c>
      <c r="N1826" s="6">
        <f>IF(OR($G1826="FCC",$G1826="Hydrocracker",$G1826="Reformer"),IF(COUNTIFS($D:$D,$D1826,$A:$A,$A1826,$B:$B,$B1826,$G:$G,"CDU",$J:$J,"PLANNED")&gt;0,"tied","standalone"),"")</f>
        <v/>
      </c>
    </row>
    <row r="1827" spans="1:14">
      <c r="A1827" s="6">
        <v>2023</v>
      </c>
      <c r="B1827" s="6">
        <v>8</v>
      </c>
      <c r="C1827" s="6" t="s">
        <v>67</v>
      </c>
      <c r="D1827" s="6" t="s">
        <v>380</v>
      </c>
      <c r="E1827" s="6" t="s">
        <v>423</v>
      </c>
      <c r="F1827" s="6" t="str">
        <f>IF($M1827="PADD I","PADD 1",IF($M1827="PADD II","PADD 2",IF($M1827="PADD III","PADD 3",IF($M1827="PADD IV","PADD 4",IF($M1827="PADD V","PADD 5","")))))</f>
        <v>PADD 2</v>
      </c>
      <c r="G1827" s="6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6" t="s">
        <v>426</v>
      </c>
      <c r="I1827" s="6" t="s">
        <v>106</v>
      </c>
      <c r="J1827" s="6" t="s">
        <v>394</v>
      </c>
      <c r="K1827" s="10">
        <v>1.2</v>
      </c>
      <c r="L1827" s="10">
        <v>40</v>
      </c>
      <c r="M1827" s="6" t="s">
        <v>425</v>
      </c>
      <c r="N1827" s="6" t="str">
        <f>IF(OR($G1827="FCC",$G1827="Hydrocracker",$G1827="Reformer"),IF(COUNTIFS($D:$D,$D1827,$A:$A,$A1827,$B:$B,$B1827,$G:$G,"CDU",$J:$J,"PLANNED")&gt;0,"tied","standalone"),"")</f>
        <v>standalone</v>
      </c>
    </row>
    <row r="1828" spans="1:14">
      <c r="A1828" s="6">
        <v>2023</v>
      </c>
      <c r="B1828" s="6">
        <v>8</v>
      </c>
      <c r="C1828" s="6" t="s">
        <v>67</v>
      </c>
      <c r="D1828" s="6" t="s">
        <v>996</v>
      </c>
      <c r="E1828" s="6" t="s">
        <v>455</v>
      </c>
      <c r="F1828" s="6" t="str">
        <f>IF($M1828="PADD I","PADD 1",IF($M1828="PADD II","PADD 2",IF($M1828="PADD III","PADD 3",IF($M1828="PADD IV","PADD 4",IF($M1828="PADD V","PADD 5","")))))</f>
        <v>PADD 5</v>
      </c>
      <c r="G1828" s="6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6" t="s">
        <v>39</v>
      </c>
      <c r="I1828" s="6" t="s">
        <v>1017</v>
      </c>
      <c r="J1828" s="6" t="s">
        <v>394</v>
      </c>
      <c r="K1828" s="10">
        <v>1.2</v>
      </c>
      <c r="L1828" s="10">
        <v>40</v>
      </c>
      <c r="M1828" s="6" t="s">
        <v>436</v>
      </c>
      <c r="N1828" s="6">
        <f>IF(OR($G1828="FCC",$G1828="Hydrocracker",$G1828="Reformer"),IF(COUNTIFS($D:$D,$D1828,$A:$A,$A1828,$B:$B,$B1828,$G:$G,"CDU",$J:$J,"PLANNED")&gt;0,"tied","standalone"),"")</f>
        <v/>
      </c>
    </row>
    <row r="1829" spans="1:14">
      <c r="A1829" s="6">
        <v>2023</v>
      </c>
      <c r="B1829" s="6">
        <v>8</v>
      </c>
      <c r="C1829" s="6" t="s">
        <v>67</v>
      </c>
      <c r="D1829" s="6" t="s">
        <v>996</v>
      </c>
      <c r="E1829" s="6" t="s">
        <v>455</v>
      </c>
      <c r="F1829" s="6" t="str">
        <f>IF($M1829="PADD I","PADD 1",IF($M1829="PADD II","PADD 2",IF($M1829="PADD III","PADD 3",IF($M1829="PADD IV","PADD 4",IF($M1829="PADD V","PADD 5","")))))</f>
        <v>PADD 5</v>
      </c>
      <c r="G1829" s="6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6" t="s">
        <v>39</v>
      </c>
      <c r="I1829" s="6" t="s">
        <v>1018</v>
      </c>
      <c r="J1829" s="6" t="s">
        <v>394</v>
      </c>
      <c r="K1829" s="10">
        <v>1.2</v>
      </c>
      <c r="L1829" s="10">
        <v>40</v>
      </c>
      <c r="M1829" s="6" t="s">
        <v>436</v>
      </c>
      <c r="N1829" s="6">
        <f>IF(OR($G1829="FCC",$G1829="Hydrocracker",$G1829="Reformer"),IF(COUNTIFS($D:$D,$D1829,$A:$A,$A1829,$B:$B,$B1829,$G:$G,"CDU",$J:$J,"PLANNED")&gt;0,"tied","standalone"),"")</f>
        <v/>
      </c>
    </row>
    <row r="1830" spans="1:14">
      <c r="A1830" s="6">
        <v>2023</v>
      </c>
      <c r="B1830" s="6">
        <v>8</v>
      </c>
      <c r="C1830" s="6" t="s">
        <v>67</v>
      </c>
      <c r="D1830" s="6" t="s">
        <v>380</v>
      </c>
      <c r="E1830" s="6" t="s">
        <v>423</v>
      </c>
      <c r="F1830" s="6" t="str">
        <f>IF($M1830="PADD I","PADD 1",IF($M1830="PADD II","PADD 2",IF($M1830="PADD III","PADD 3",IF($M1830="PADD IV","PADD 4",IF($M1830="PADD V","PADD 5","")))))</f>
        <v>PADD 2</v>
      </c>
      <c r="G1830" s="6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6" t="s">
        <v>471</v>
      </c>
      <c r="I1830" s="6" t="s">
        <v>966</v>
      </c>
      <c r="J1830" s="6" t="s">
        <v>394</v>
      </c>
      <c r="K1830" s="10">
        <v>1.2</v>
      </c>
      <c r="L1830" s="10">
        <v>40</v>
      </c>
      <c r="M1830" s="6" t="s">
        <v>425</v>
      </c>
      <c r="N1830" s="6" t="str">
        <f>IF(OR($G1830="FCC",$G1830="Hydrocracker",$G1830="Reformer"),IF(COUNTIFS($D:$D,$D1830,$A:$A,$A1830,$B:$B,$B1830,$G:$G,"CDU",$J:$J,"PLANNED")&gt;0,"tied","standalone"),"")</f>
        <v>standalone</v>
      </c>
    </row>
    <row r="1831" spans="1:14">
      <c r="A1831" s="6">
        <v>2023</v>
      </c>
      <c r="B1831" s="6">
        <v>8</v>
      </c>
      <c r="C1831" s="6" t="s">
        <v>67</v>
      </c>
      <c r="D1831" s="6" t="s">
        <v>712</v>
      </c>
      <c r="E1831" s="6" t="s">
        <v>602</v>
      </c>
      <c r="F1831" s="6" t="str">
        <f>IF($M1831="PADD I","PADD 1",IF($M1831="PADD II","PADD 2",IF($M1831="PADD III","PADD 3",IF($M1831="PADD IV","PADD 4",IF($M1831="PADD V","PADD 5","")))))</f>
        <v>PADD 3</v>
      </c>
      <c r="G1831" s="6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6" t="s">
        <v>44</v>
      </c>
      <c r="I1831" s="6" t="s">
        <v>878</v>
      </c>
      <c r="J1831" s="6" t="s">
        <v>398</v>
      </c>
      <c r="K1831" s="10">
        <v>1.2</v>
      </c>
      <c r="L1831" s="10">
        <v>12</v>
      </c>
      <c r="M1831" s="6" t="s">
        <v>421</v>
      </c>
      <c r="N1831" s="6">
        <f>IF(OR($G1831="FCC",$G1831="Hydrocracker",$G1831="Reformer"),IF(COUNTIFS($D:$D,$D1831,$A:$A,$A1831,$B:$B,$B1831,$G:$G,"CDU",$J:$J,"PLANNED")&gt;0,"tied","standalone"),"")</f>
        <v/>
      </c>
    </row>
    <row r="1832" spans="1:14">
      <c r="A1832" s="6">
        <v>2023</v>
      </c>
      <c r="B1832" s="6">
        <v>8</v>
      </c>
      <c r="C1832" s="6" t="s">
        <v>67</v>
      </c>
      <c r="D1832" s="6" t="s">
        <v>996</v>
      </c>
      <c r="E1832" s="6" t="s">
        <v>455</v>
      </c>
      <c r="F1832" s="6" t="str">
        <f>IF($M1832="PADD I","PADD 1",IF($M1832="PADD II","PADD 2",IF($M1832="PADD III","PADD 3",IF($M1832="PADD IV","PADD 4",IF($M1832="PADD V","PADD 5","")))))</f>
        <v>PADD 5</v>
      </c>
      <c r="G1832" s="6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6" t="s">
        <v>428</v>
      </c>
      <c r="I1832" s="6" t="s">
        <v>1019</v>
      </c>
      <c r="J1832" s="6" t="s">
        <v>394</v>
      </c>
      <c r="K1832" s="10">
        <v>1.17</v>
      </c>
      <c r="L1832" s="10">
        <v>39</v>
      </c>
      <c r="M1832" s="6" t="s">
        <v>436</v>
      </c>
      <c r="N1832" s="6">
        <f>IF(OR($G1832="FCC",$G1832="Hydrocracker",$G1832="Reformer"),IF(COUNTIFS($D:$D,$D1832,$A:$A,$A1832,$B:$B,$B1832,$G:$G,"CDU",$J:$J,"PLANNED")&gt;0,"tied","standalone"),"")</f>
        <v/>
      </c>
    </row>
    <row r="1833" spans="1:14">
      <c r="A1833" s="6">
        <v>2023</v>
      </c>
      <c r="B1833" s="6">
        <v>8</v>
      </c>
      <c r="C1833" s="6" t="s">
        <v>67</v>
      </c>
      <c r="D1833" s="6" t="s">
        <v>880</v>
      </c>
      <c r="E1833" s="6" t="s">
        <v>438</v>
      </c>
      <c r="F1833" s="6" t="str">
        <f>IF($M1833="PADD I","PADD 1",IF($M1833="PADD II","PADD 2",IF($M1833="PADD III","PADD 3",IF($M1833="PADD IV","PADD 4",IF($M1833="PADD V","PADD 5","")))))</f>
        <v>PADD 2</v>
      </c>
      <c r="G1833" s="6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6" t="s">
        <v>44</v>
      </c>
      <c r="I1833" s="6" t="s">
        <v>535</v>
      </c>
      <c r="J1833" s="6" t="s">
        <v>394</v>
      </c>
      <c r="K1833" s="10">
        <v>1.14</v>
      </c>
      <c r="L1833" s="10">
        <v>6</v>
      </c>
      <c r="M1833" s="6" t="s">
        <v>425</v>
      </c>
      <c r="N1833" s="6">
        <f>IF(OR($G1833="FCC",$G1833="Hydrocracker",$G1833="Reformer"),IF(COUNTIFS($D:$D,$D1833,$A:$A,$A1833,$B:$B,$B1833,$G:$G,"CDU",$J:$J,"PLANNED")&gt;0,"tied","standalone"),"")</f>
        <v/>
      </c>
    </row>
    <row r="1834" spans="1:14">
      <c r="A1834" s="6">
        <v>2023</v>
      </c>
      <c r="B1834" s="6">
        <v>8</v>
      </c>
      <c r="C1834" s="6" t="s">
        <v>67</v>
      </c>
      <c r="D1834" s="6" t="s">
        <v>380</v>
      </c>
      <c r="E1834" s="6" t="s">
        <v>423</v>
      </c>
      <c r="F1834" s="6" t="str">
        <f>IF($M1834="PADD I","PADD 1",IF($M1834="PADD II","PADD 2",IF($M1834="PADD III","PADD 3",IF($M1834="PADD IV","PADD 4",IF($M1834="PADD V","PADD 5","")))))</f>
        <v>PADD 2</v>
      </c>
      <c r="G1834" s="6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6" t="s">
        <v>44</v>
      </c>
      <c r="I1834" s="6" t="s">
        <v>508</v>
      </c>
      <c r="J1834" s="6" t="s">
        <v>394</v>
      </c>
      <c r="K1834" s="10">
        <v>1.05</v>
      </c>
      <c r="L1834" s="10">
        <v>35</v>
      </c>
      <c r="M1834" s="6" t="s">
        <v>425</v>
      </c>
      <c r="N1834" s="6">
        <f>IF(OR($G1834="FCC",$G1834="Hydrocracker",$G1834="Reformer"),IF(COUNTIFS($D:$D,$D1834,$A:$A,$A1834,$B:$B,$B1834,$G:$G,"CDU",$J:$J,"PLANNED")&gt;0,"tied","standalone"),"")</f>
        <v/>
      </c>
    </row>
    <row r="1835" spans="1:14">
      <c r="A1835" s="6">
        <v>2023</v>
      </c>
      <c r="B1835" s="6">
        <v>8</v>
      </c>
      <c r="C1835" s="6" t="s">
        <v>67</v>
      </c>
      <c r="D1835" s="6" t="s">
        <v>996</v>
      </c>
      <c r="E1835" s="6" t="s">
        <v>455</v>
      </c>
      <c r="F1835" s="6" t="str">
        <f>IF($M1835="PADD I","PADD 1",IF($M1835="PADD II","PADD 2",IF($M1835="PADD III","PADD 3",IF($M1835="PADD IV","PADD 4",IF($M1835="PADD V","PADD 5","")))))</f>
        <v>PADD 5</v>
      </c>
      <c r="G1835" s="6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6" t="s">
        <v>44</v>
      </c>
      <c r="I1835" s="6" t="s">
        <v>1020</v>
      </c>
      <c r="J1835" s="6" t="s">
        <v>394</v>
      </c>
      <c r="K1835" s="10">
        <v>0.99</v>
      </c>
      <c r="L1835" s="10">
        <v>33</v>
      </c>
      <c r="M1835" s="6" t="s">
        <v>436</v>
      </c>
      <c r="N1835" s="6">
        <f>IF(OR($G1835="FCC",$G1835="Hydrocracker",$G1835="Reformer"),IF(COUNTIFS($D:$D,$D1835,$A:$A,$A1835,$B:$B,$B1835,$G:$G,"CDU",$J:$J,"PLANNED")&gt;0,"tied","standalone"),"")</f>
        <v/>
      </c>
    </row>
    <row r="1836" spans="1:14">
      <c r="A1836" s="6">
        <v>2023</v>
      </c>
      <c r="B1836" s="6">
        <v>8</v>
      </c>
      <c r="C1836" s="6" t="s">
        <v>67</v>
      </c>
      <c r="D1836" s="6" t="s">
        <v>380</v>
      </c>
      <c r="E1836" s="6" t="s">
        <v>423</v>
      </c>
      <c r="F1836" s="6" t="str">
        <f>IF($M1836="PADD I","PADD 1",IF($M1836="PADD II","PADD 2",IF($M1836="PADD III","PADD 3",IF($M1836="PADD IV","PADD 4",IF($M1836="PADD V","PADD 5","")))))</f>
        <v>PADD 2</v>
      </c>
      <c r="G1836" s="6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6" t="s">
        <v>485</v>
      </c>
      <c r="I1836" s="6" t="s">
        <v>491</v>
      </c>
      <c r="J1836" s="6" t="s">
        <v>394</v>
      </c>
      <c r="K1836" s="10">
        <v>0.9389999999999999</v>
      </c>
      <c r="L1836" s="10">
        <v>31.3</v>
      </c>
      <c r="M1836" s="6" t="s">
        <v>425</v>
      </c>
      <c r="N1836" s="6">
        <f>IF(OR($G1836="FCC",$G1836="Hydrocracker",$G1836="Reformer"),IF(COUNTIFS($D:$D,$D1836,$A:$A,$A1836,$B:$B,$B1836,$G:$G,"CDU",$J:$J,"PLANNED")&gt;0,"tied","standalone"),"")</f>
        <v/>
      </c>
    </row>
    <row r="1837" spans="1:14">
      <c r="A1837" s="6">
        <v>2023</v>
      </c>
      <c r="B1837" s="6">
        <v>8</v>
      </c>
      <c r="C1837" s="6" t="s">
        <v>67</v>
      </c>
      <c r="D1837" s="6" t="s">
        <v>380</v>
      </c>
      <c r="E1837" s="6" t="s">
        <v>423</v>
      </c>
      <c r="F1837" s="6" t="str">
        <f>IF($M1837="PADD I","PADD 1",IF($M1837="PADD II","PADD 2",IF($M1837="PADD III","PADD 3",IF($M1837="PADD IV","PADD 4",IF($M1837="PADD V","PADD 5","")))))</f>
        <v>PADD 2</v>
      </c>
      <c r="G1837" s="6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6" t="s">
        <v>44</v>
      </c>
      <c r="I1837" s="6" t="s">
        <v>970</v>
      </c>
      <c r="J1837" s="6" t="s">
        <v>394</v>
      </c>
      <c r="K1837" s="10">
        <v>0.9</v>
      </c>
      <c r="L1837" s="10">
        <v>30</v>
      </c>
      <c r="M1837" s="6" t="s">
        <v>425</v>
      </c>
      <c r="N1837" s="6">
        <f>IF(OR($G1837="FCC",$G1837="Hydrocracker",$G1837="Reformer"),IF(COUNTIFS($D:$D,$D1837,$A:$A,$A1837,$B:$B,$B1837,$G:$G,"CDU",$J:$J,"PLANNED")&gt;0,"tied","standalone"),"")</f>
        <v/>
      </c>
    </row>
    <row r="1838" spans="1:14">
      <c r="A1838" s="6">
        <v>2023</v>
      </c>
      <c r="B1838" s="6">
        <v>8</v>
      </c>
      <c r="C1838" s="6" t="s">
        <v>67</v>
      </c>
      <c r="D1838" s="6" t="s">
        <v>996</v>
      </c>
      <c r="E1838" s="6" t="s">
        <v>455</v>
      </c>
      <c r="F1838" s="6" t="str">
        <f>IF($M1838="PADD I","PADD 1",IF($M1838="PADD II","PADD 2",IF($M1838="PADD III","PADD 3",IF($M1838="PADD IV","PADD 4",IF($M1838="PADD V","PADD 5","")))))</f>
        <v>PADD 5</v>
      </c>
      <c r="G1838" s="6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6" t="s">
        <v>44</v>
      </c>
      <c r="I1838" s="6" t="s">
        <v>1021</v>
      </c>
      <c r="J1838" s="6" t="s">
        <v>394</v>
      </c>
      <c r="K1838" s="10">
        <v>0.9</v>
      </c>
      <c r="L1838" s="10">
        <v>30</v>
      </c>
      <c r="M1838" s="6" t="s">
        <v>436</v>
      </c>
      <c r="N1838" s="6">
        <f>IF(OR($G1838="FCC",$G1838="Hydrocracker",$G1838="Reformer"),IF(COUNTIFS($D:$D,$D1838,$A:$A,$A1838,$B:$B,$B1838,$G:$G,"CDU",$J:$J,"PLANNED")&gt;0,"tied","standalone"),"")</f>
        <v/>
      </c>
    </row>
    <row r="1839" spans="1:14">
      <c r="A1839" s="6">
        <v>2023</v>
      </c>
      <c r="B1839" s="6">
        <v>8</v>
      </c>
      <c r="C1839" s="6" t="s">
        <v>67</v>
      </c>
      <c r="D1839" s="6" t="s">
        <v>712</v>
      </c>
      <c r="E1839" s="6" t="s">
        <v>602</v>
      </c>
      <c r="F1839" s="6" t="str">
        <f>IF($M1839="PADD I","PADD 1",IF($M1839="PADD II","PADD 2",IF($M1839="PADD III","PADD 3",IF($M1839="PADD IV","PADD 4",IF($M1839="PADD V","PADD 5","")))))</f>
        <v>PADD 3</v>
      </c>
      <c r="G1839" s="6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6" t="s">
        <v>44</v>
      </c>
      <c r="I1839" s="6" t="s">
        <v>894</v>
      </c>
      <c r="J1839" s="6" t="s">
        <v>398</v>
      </c>
      <c r="K1839" s="10">
        <v>0.8</v>
      </c>
      <c r="L1839" s="10">
        <v>5</v>
      </c>
      <c r="M1839" s="6" t="s">
        <v>421</v>
      </c>
      <c r="N1839" s="6">
        <f>IF(OR($G1839="FCC",$G1839="Hydrocracker",$G1839="Reformer"),IF(COUNTIFS($D:$D,$D1839,$A:$A,$A1839,$B:$B,$B1839,$G:$G,"CDU",$J:$J,"PLANNED")&gt;0,"tied","standalone"),"")</f>
        <v/>
      </c>
    </row>
    <row r="1840" spans="1:14">
      <c r="A1840" s="6">
        <v>2023</v>
      </c>
      <c r="B1840" s="6">
        <v>8</v>
      </c>
      <c r="C1840" s="6" t="s">
        <v>67</v>
      </c>
      <c r="D1840" s="6" t="s">
        <v>380</v>
      </c>
      <c r="E1840" s="6" t="s">
        <v>423</v>
      </c>
      <c r="F1840" s="6" t="str">
        <f>IF($M1840="PADD I","PADD 1",IF($M1840="PADD II","PADD 2",IF($M1840="PADD III","PADD 3",IF($M1840="PADD IV","PADD 4",IF($M1840="PADD V","PADD 5","")))))</f>
        <v>PADD 2</v>
      </c>
      <c r="G1840" s="6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6" t="s">
        <v>494</v>
      </c>
      <c r="I1840" s="6" t="s">
        <v>495</v>
      </c>
      <c r="J1840" s="6" t="s">
        <v>394</v>
      </c>
      <c r="K1840" s="10">
        <v>0.78</v>
      </c>
      <c r="L1840" s="10">
        <v>26</v>
      </c>
      <c r="M1840" s="6" t="s">
        <v>425</v>
      </c>
      <c r="N1840" s="6" t="str">
        <f>IF(OR($G1840="FCC",$G1840="Hydrocracker",$G1840="Reformer"),IF(COUNTIFS($D:$D,$D1840,$A:$A,$A1840,$B:$B,$B1840,$G:$G,"CDU",$J:$J,"PLANNED")&gt;0,"tied","standalone"),"")</f>
        <v>standalone</v>
      </c>
    </row>
    <row r="1841" spans="1:14">
      <c r="A1841" s="6">
        <v>2023</v>
      </c>
      <c r="B1841" s="6">
        <v>8</v>
      </c>
      <c r="C1841" s="6" t="s">
        <v>67</v>
      </c>
      <c r="D1841" s="6" t="s">
        <v>780</v>
      </c>
      <c r="E1841" s="6" t="s">
        <v>781</v>
      </c>
      <c r="F1841" s="6" t="str">
        <f>IF($M1841="PADD I","PADD 1",IF($M1841="PADD II","PADD 2",IF($M1841="PADD III","PADD 3",IF($M1841="PADD IV","PADD 4",IF($M1841="PADD V","PADD 5","")))))</f>
        <v>PADD 3</v>
      </c>
      <c r="G1841" s="6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6" t="s">
        <v>471</v>
      </c>
      <c r="I1841" s="6" t="s">
        <v>15</v>
      </c>
      <c r="J1841" s="6" t="s">
        <v>394</v>
      </c>
      <c r="K1841" s="10">
        <v>0.66</v>
      </c>
      <c r="L1841" s="10">
        <v>11</v>
      </c>
      <c r="M1841" s="6" t="s">
        <v>421</v>
      </c>
      <c r="N1841" s="6" t="str">
        <f>IF(OR($G1841="FCC",$G1841="Hydrocracker",$G1841="Reformer"),IF(COUNTIFS($D:$D,$D1841,$A:$A,$A1841,$B:$B,$B1841,$G:$G,"CDU",$J:$J,"PLANNED")&gt;0,"tied","standalone"),"")</f>
        <v>standalone</v>
      </c>
    </row>
    <row r="1842" spans="1:14">
      <c r="A1842" s="6">
        <v>2023</v>
      </c>
      <c r="B1842" s="6">
        <v>8</v>
      </c>
      <c r="C1842" s="6" t="s">
        <v>67</v>
      </c>
      <c r="D1842" s="6" t="s">
        <v>380</v>
      </c>
      <c r="E1842" s="6" t="s">
        <v>423</v>
      </c>
      <c r="F1842" s="6" t="str">
        <f>IF($M1842="PADD I","PADD 1",IF($M1842="PADD II","PADD 2",IF($M1842="PADD III","PADD 3",IF($M1842="PADD IV","PADD 4",IF($M1842="PADD V","PADD 5","")))))</f>
        <v>PADD 2</v>
      </c>
      <c r="G1842" s="6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6" t="s">
        <v>44</v>
      </c>
      <c r="I1842" s="6" t="s">
        <v>975</v>
      </c>
      <c r="J1842" s="6" t="s">
        <v>394</v>
      </c>
      <c r="K1842" s="10">
        <v>0.6</v>
      </c>
      <c r="L1842" s="10">
        <v>20</v>
      </c>
      <c r="M1842" s="6" t="s">
        <v>425</v>
      </c>
      <c r="N1842" s="6">
        <f>IF(OR($G1842="FCC",$G1842="Hydrocracker",$G1842="Reformer"),IF(COUNTIFS($D:$D,$D1842,$A:$A,$A1842,$B:$B,$B1842,$G:$G,"CDU",$J:$J,"PLANNED")&gt;0,"tied","standalone"),"")</f>
        <v/>
      </c>
    </row>
    <row r="1843" spans="1:14">
      <c r="A1843" s="6">
        <v>2023</v>
      </c>
      <c r="B1843" s="6">
        <v>8</v>
      </c>
      <c r="C1843" s="6" t="s">
        <v>67</v>
      </c>
      <c r="D1843" s="6" t="s">
        <v>996</v>
      </c>
      <c r="E1843" s="6" t="s">
        <v>455</v>
      </c>
      <c r="F1843" s="6" t="str">
        <f>IF($M1843="PADD I","PADD 1",IF($M1843="PADD II","PADD 2",IF($M1843="PADD III","PADD 3",IF($M1843="PADD IV","PADD 4",IF($M1843="PADD V","PADD 5","")))))</f>
        <v>PADD 5</v>
      </c>
      <c r="G1843" s="6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6" t="s">
        <v>485</v>
      </c>
      <c r="I1843" s="6" t="s">
        <v>1022</v>
      </c>
      <c r="J1843" s="6" t="s">
        <v>394</v>
      </c>
      <c r="K1843" s="10">
        <v>0.54</v>
      </c>
      <c r="L1843" s="10">
        <v>18</v>
      </c>
      <c r="M1843" s="6" t="s">
        <v>436</v>
      </c>
      <c r="N1843" s="6">
        <f>IF(OR($G1843="FCC",$G1843="Hydrocracker",$G1843="Reformer"),IF(COUNTIFS($D:$D,$D1843,$A:$A,$A1843,$B:$B,$B1843,$G:$G,"CDU",$J:$J,"PLANNED")&gt;0,"tied","standalone"),"")</f>
        <v/>
      </c>
    </row>
    <row r="1844" spans="1:14">
      <c r="A1844" s="6">
        <v>2023</v>
      </c>
      <c r="B1844" s="6">
        <v>8</v>
      </c>
      <c r="C1844" s="6" t="s">
        <v>67</v>
      </c>
      <c r="D1844" s="6" t="s">
        <v>996</v>
      </c>
      <c r="E1844" s="6" t="s">
        <v>455</v>
      </c>
      <c r="F1844" s="6" t="str">
        <f>IF($M1844="PADD I","PADD 1",IF($M1844="PADD II","PADD 2",IF($M1844="PADD III","PADD 3",IF($M1844="PADD IV","PADD 4",IF($M1844="PADD V","PADD 5","")))))</f>
        <v>PADD 5</v>
      </c>
      <c r="G1844" s="6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6" t="s">
        <v>471</v>
      </c>
      <c r="I1844" s="6" t="s">
        <v>1023</v>
      </c>
      <c r="J1844" s="6" t="s">
        <v>394</v>
      </c>
      <c r="K1844" s="10">
        <v>0.54</v>
      </c>
      <c r="L1844" s="10">
        <v>18</v>
      </c>
      <c r="M1844" s="6" t="s">
        <v>436</v>
      </c>
      <c r="N1844" s="6" t="str">
        <f>IF(OR($G1844="FCC",$G1844="Hydrocracker",$G1844="Reformer"),IF(COUNTIFS($D:$D,$D1844,$A:$A,$A1844,$B:$B,$B1844,$G:$G,"CDU",$J:$J,"PLANNED")&gt;0,"tied","standalone"),"")</f>
        <v>standalone</v>
      </c>
    </row>
    <row r="1845" spans="1:14">
      <c r="A1845" s="6">
        <v>2023</v>
      </c>
      <c r="B1845" s="6">
        <v>8</v>
      </c>
      <c r="C1845" s="6" t="s">
        <v>67</v>
      </c>
      <c r="D1845" s="6" t="s">
        <v>996</v>
      </c>
      <c r="E1845" s="6" t="s">
        <v>455</v>
      </c>
      <c r="F1845" s="6" t="str">
        <f>IF($M1845="PADD I","PADD 1",IF($M1845="PADD II","PADD 2",IF($M1845="PADD III","PADD 3",IF($M1845="PADD IV","PADD 4",IF($M1845="PADD V","PADD 5","")))))</f>
        <v>PADD 5</v>
      </c>
      <c r="G1845" s="6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6" t="s">
        <v>618</v>
      </c>
      <c r="I1845" s="6" t="s">
        <v>1024</v>
      </c>
      <c r="J1845" s="6" t="s">
        <v>394</v>
      </c>
      <c r="K1845" s="10">
        <v>0.51</v>
      </c>
      <c r="L1845" s="10">
        <v>17</v>
      </c>
      <c r="M1845" s="6" t="s">
        <v>436</v>
      </c>
      <c r="N1845" s="6">
        <f>IF(OR($G1845="FCC",$G1845="Hydrocracker",$G1845="Reformer"),IF(COUNTIFS($D:$D,$D1845,$A:$A,$A1845,$B:$B,$B1845,$G:$G,"CDU",$J:$J,"PLANNED")&gt;0,"tied","standalone"),"")</f>
        <v/>
      </c>
    </row>
    <row r="1846" spans="1:14">
      <c r="A1846" s="6">
        <v>2023</v>
      </c>
      <c r="B1846" s="6">
        <v>8</v>
      </c>
      <c r="C1846" s="6" t="s">
        <v>67</v>
      </c>
      <c r="D1846" s="6" t="s">
        <v>996</v>
      </c>
      <c r="E1846" s="6" t="s">
        <v>455</v>
      </c>
      <c r="F1846" s="6" t="str">
        <f>IF($M1846="PADD I","PADD 1",IF($M1846="PADD II","PADD 2",IF($M1846="PADD III","PADD 3",IF($M1846="PADD IV","PADD 4",IF($M1846="PADD V","PADD 5","")))))</f>
        <v>PADD 5</v>
      </c>
      <c r="G1846" s="6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6" t="s">
        <v>485</v>
      </c>
      <c r="I1846" s="6" t="s">
        <v>1025</v>
      </c>
      <c r="J1846" s="6" t="s">
        <v>394</v>
      </c>
      <c r="K1846" s="10">
        <v>0.48</v>
      </c>
      <c r="L1846" s="10">
        <v>16</v>
      </c>
      <c r="M1846" s="6" t="s">
        <v>436</v>
      </c>
      <c r="N1846" s="6">
        <f>IF(OR($G1846="FCC",$G1846="Hydrocracker",$G1846="Reformer"),IF(COUNTIFS($D:$D,$D1846,$A:$A,$A1846,$B:$B,$B1846,$G:$G,"CDU",$J:$J,"PLANNED")&gt;0,"tied","standalone"),"")</f>
        <v/>
      </c>
    </row>
    <row r="1847" spans="1:14">
      <c r="A1847" s="6">
        <v>2023</v>
      </c>
      <c r="B1847" s="6">
        <v>8</v>
      </c>
      <c r="C1847" s="6" t="s">
        <v>67</v>
      </c>
      <c r="D1847" s="6" t="s">
        <v>984</v>
      </c>
      <c r="E1847" s="6" t="s">
        <v>438</v>
      </c>
      <c r="F1847" s="6" t="str">
        <f>IF($M1847="PADD I","PADD 1",IF($M1847="PADD II","PADD 2",IF($M1847="PADD III","PADD 3",IF($M1847="PADD IV","PADD 4",IF($M1847="PADD V","PADD 5","")))))</f>
        <v>PADD 3</v>
      </c>
      <c r="G1847" s="6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6" t="s">
        <v>618</v>
      </c>
      <c r="I1847" s="6" t="s">
        <v>1026</v>
      </c>
      <c r="J1847" s="6" t="s">
        <v>394</v>
      </c>
      <c r="K1847" s="10">
        <v>0.325</v>
      </c>
      <c r="L1847" s="10">
        <v>2.5</v>
      </c>
      <c r="M1847" s="6" t="s">
        <v>421</v>
      </c>
      <c r="N1847" s="6">
        <f>IF(OR($G1847="FCC",$G1847="Hydrocracker",$G1847="Reformer"),IF(COUNTIFS($D:$D,$D1847,$A:$A,$A1847,$B:$B,$B1847,$G:$G,"CDU",$J:$J,"PLANNED")&gt;0,"tied","standalone"),"")</f>
        <v/>
      </c>
    </row>
    <row r="1848" spans="1:14">
      <c r="A1848" s="6">
        <v>2023</v>
      </c>
      <c r="B1848" s="6">
        <v>8</v>
      </c>
      <c r="C1848" s="6" t="s">
        <v>67</v>
      </c>
      <c r="D1848" s="6" t="s">
        <v>768</v>
      </c>
      <c r="E1848" s="6" t="s">
        <v>455</v>
      </c>
      <c r="F1848" s="6" t="str">
        <f>IF($M1848="PADD I","PADD 1",IF($M1848="PADD II","PADD 2",IF($M1848="PADD III","PADD 3",IF($M1848="PADD IV","PADD 4",IF($M1848="PADD V","PADD 5","")))))</f>
        <v>PADD 5</v>
      </c>
      <c r="G1848" s="6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6" t="s">
        <v>39</v>
      </c>
      <c r="I1848" s="6" t="s">
        <v>82</v>
      </c>
      <c r="J1848" s="6" t="s">
        <v>394</v>
      </c>
      <c r="K1848" s="10">
        <v>0.18</v>
      </c>
      <c r="L1848" s="10">
        <v>6</v>
      </c>
      <c r="M1848" s="6" t="s">
        <v>436</v>
      </c>
      <c r="N1848" s="6">
        <f>IF(OR($G1848="FCC",$G1848="Hydrocracker",$G1848="Reformer"),IF(COUNTIFS($D:$D,$D1848,$A:$A,$A1848,$B:$B,$B1848,$G:$G,"CDU",$J:$J,"PLANNED")&gt;0,"tied","standalone"),"")</f>
        <v/>
      </c>
    </row>
    <row r="1849" spans="1:14">
      <c r="A1849" s="6">
        <v>2023</v>
      </c>
      <c r="B1849" s="6">
        <v>8</v>
      </c>
      <c r="C1849" s="6" t="s">
        <v>67</v>
      </c>
      <c r="D1849" s="6" t="s">
        <v>768</v>
      </c>
      <c r="E1849" s="6" t="s">
        <v>455</v>
      </c>
      <c r="F1849" s="6" t="str">
        <f>IF($M1849="PADD I","PADD 1",IF($M1849="PADD II","PADD 2",IF($M1849="PADD III","PADD 3",IF($M1849="PADD IV","PADD 4",IF($M1849="PADD V","PADD 5","")))))</f>
        <v>PADD 5</v>
      </c>
      <c r="G1849" s="6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6" t="s">
        <v>428</v>
      </c>
      <c r="I1849" s="6" t="s">
        <v>481</v>
      </c>
      <c r="J1849" s="6" t="s">
        <v>394</v>
      </c>
      <c r="K1849" s="10">
        <v>0.15</v>
      </c>
      <c r="L1849" s="10">
        <v>5</v>
      </c>
      <c r="M1849" s="6" t="s">
        <v>436</v>
      </c>
      <c r="N1849" s="6">
        <f>IF(OR($G1849="FCC",$G1849="Hydrocracker",$G1849="Reformer"),IF(COUNTIFS($D:$D,$D1849,$A:$A,$A1849,$B:$B,$B1849,$G:$G,"CDU",$J:$J,"PLANNED")&gt;0,"tied","standalone"),"")</f>
        <v/>
      </c>
    </row>
    <row r="1850" spans="1:14">
      <c r="A1850" s="6">
        <v>2023</v>
      </c>
      <c r="B1850" s="6">
        <v>8</v>
      </c>
      <c r="C1850" s="6" t="s">
        <v>67</v>
      </c>
      <c r="D1850" s="6" t="s">
        <v>768</v>
      </c>
      <c r="E1850" s="6" t="s">
        <v>455</v>
      </c>
      <c r="F1850" s="6" t="str">
        <f>IF($M1850="PADD I","PADD 1",IF($M1850="PADD II","PADD 2",IF($M1850="PADD III","PADD 3",IF($M1850="PADD IV","PADD 4",IF($M1850="PADD V","PADD 5","")))))</f>
        <v>PADD 5</v>
      </c>
      <c r="G1850" s="6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6" t="s">
        <v>573</v>
      </c>
      <c r="I1850" s="6" t="s">
        <v>574</v>
      </c>
      <c r="J1850" s="6" t="s">
        <v>394</v>
      </c>
      <c r="K1850" s="10">
        <v>0.105</v>
      </c>
      <c r="L1850" s="10">
        <v>3.5</v>
      </c>
      <c r="M1850" s="6" t="s">
        <v>436</v>
      </c>
      <c r="N1850" s="6">
        <f>IF(OR($G1850="FCC",$G1850="Hydrocracker",$G1850="Reformer"),IF(COUNTIFS($D:$D,$D1850,$A:$A,$A1850,$B:$B,$B1850,$G:$G,"CDU",$J:$J,"PLANNED")&gt;0,"tied","standalone"),"")</f>
        <v/>
      </c>
    </row>
    <row r="1851" spans="1:14">
      <c r="A1851" s="6">
        <v>2023</v>
      </c>
      <c r="B1851" s="6">
        <v>9</v>
      </c>
      <c r="C1851" s="6" t="s">
        <v>68</v>
      </c>
      <c r="D1851" s="6" t="s">
        <v>51</v>
      </c>
      <c r="E1851" s="6" t="s">
        <v>431</v>
      </c>
      <c r="F1851" s="6" t="str">
        <f>IF($M1851="PADD I","PADD 1",IF($M1851="PADD II","PADD 2",IF($M1851="PADD III","PADD 3",IF($M1851="PADD IV","PADD 4",IF($M1851="PADD V","PADD 5","")))))</f>
        <v>PADD 3</v>
      </c>
      <c r="G1851" s="6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6" t="s">
        <v>39</v>
      </c>
      <c r="I1851" s="6" t="s">
        <v>819</v>
      </c>
      <c r="J1851" s="6" t="s">
        <v>398</v>
      </c>
      <c r="K1851" s="10">
        <v>135.02</v>
      </c>
      <c r="L1851" s="10">
        <v>314</v>
      </c>
      <c r="M1851" s="6" t="s">
        <v>421</v>
      </c>
      <c r="N1851" s="6">
        <f>IF(OR($G1851="FCC",$G1851="Hydrocracker",$G1851="Reformer"),IF(COUNTIFS($D:$D,$D1851,$A:$A,$A1851,$B:$B,$B1851,$G:$G,"CDU",$J:$J,"PLANNED")&gt;0,"tied","standalone"),"")</f>
        <v/>
      </c>
    </row>
    <row r="1852" spans="1:14">
      <c r="A1852" s="6">
        <v>2023</v>
      </c>
      <c r="B1852" s="6">
        <v>9</v>
      </c>
      <c r="C1852" s="6" t="s">
        <v>68</v>
      </c>
      <c r="D1852" s="6" t="s">
        <v>851</v>
      </c>
      <c r="E1852" s="6" t="s">
        <v>829</v>
      </c>
      <c r="F1852" s="6" t="str">
        <f>IF($M1852="PADD I","PADD 1",IF($M1852="PADD II","PADD 2",IF($M1852="PADD III","PADD 3",IF($M1852="PADD IV","PADD 4",IF($M1852="PADD V","PADD 5","")))))</f>
        <v>PADD 2</v>
      </c>
      <c r="G1852" s="6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6" t="s">
        <v>39</v>
      </c>
      <c r="I1852" s="6" t="s">
        <v>1027</v>
      </c>
      <c r="J1852" s="6" t="s">
        <v>398</v>
      </c>
      <c r="K1852" s="10">
        <v>103.95</v>
      </c>
      <c r="L1852" s="10">
        <v>135</v>
      </c>
      <c r="M1852" s="6" t="s">
        <v>425</v>
      </c>
      <c r="N1852" s="6">
        <f>IF(OR($G1852="FCC",$G1852="Hydrocracker",$G1852="Reformer"),IF(COUNTIFS($D:$D,$D1852,$A:$A,$A1852,$B:$B,$B1852,$G:$G,"CDU",$J:$J,"PLANNED")&gt;0,"tied","standalone"),"")</f>
        <v/>
      </c>
    </row>
    <row r="1853" spans="1:14">
      <c r="A1853" s="6">
        <v>2023</v>
      </c>
      <c r="B1853" s="6">
        <v>9</v>
      </c>
      <c r="C1853" s="6" t="s">
        <v>68</v>
      </c>
      <c r="D1853" s="6" t="s">
        <v>437</v>
      </c>
      <c r="E1853" s="6" t="s">
        <v>438</v>
      </c>
      <c r="F1853" s="6" t="str">
        <f>IF($M1853="PADD I","PADD 1",IF($M1853="PADD II","PADD 2",IF($M1853="PADD III","PADD 3",IF($M1853="PADD IV","PADD 4",IF($M1853="PADD V","PADD 5","")))))</f>
        <v>PADD 3</v>
      </c>
      <c r="G1853" s="6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6" t="s">
        <v>426</v>
      </c>
      <c r="I1853" s="6" t="s">
        <v>522</v>
      </c>
      <c r="J1853" s="6" t="s">
        <v>394</v>
      </c>
      <c r="K1853" s="10">
        <v>98</v>
      </c>
      <c r="L1853" s="10">
        <v>140</v>
      </c>
      <c r="M1853" s="6" t="s">
        <v>421</v>
      </c>
      <c r="N1853" s="6" t="str">
        <f>IF(OR($G1853="FCC",$G1853="Hydrocracker",$G1853="Reformer"),IF(COUNTIFS($D:$D,$D1853,$A:$A,$A1853,$B:$B,$B1853,$G:$G,"CDU",$J:$J,"PLANNED")&gt;0,"tied","standalone"),"")</f>
        <v>standalone</v>
      </c>
    </row>
    <row r="1854" spans="1:14">
      <c r="A1854" s="6">
        <v>2023</v>
      </c>
      <c r="B1854" s="6">
        <v>9</v>
      </c>
      <c r="C1854" s="6" t="s">
        <v>68</v>
      </c>
      <c r="D1854" s="6" t="s">
        <v>458</v>
      </c>
      <c r="E1854" s="6" t="s">
        <v>459</v>
      </c>
      <c r="F1854" s="6" t="str">
        <f>IF($M1854="PADD I","PADD 1",IF($M1854="PADD II","PADD 2",IF($M1854="PADD III","PADD 3",IF($M1854="PADD IV","PADD 4",IF($M1854="PADD V","PADD 5","")))))</f>
        <v>PADD 3</v>
      </c>
      <c r="G1854" s="6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6" t="s">
        <v>39</v>
      </c>
      <c r="I1854" s="6" t="s">
        <v>460</v>
      </c>
      <c r="J1854" s="6" t="s">
        <v>394</v>
      </c>
      <c r="K1854" s="10">
        <v>80</v>
      </c>
      <c r="L1854" s="10">
        <v>80</v>
      </c>
      <c r="M1854" s="6" t="s">
        <v>421</v>
      </c>
      <c r="N1854" s="6">
        <f>IF(OR($G1854="FCC",$G1854="Hydrocracker",$G1854="Reformer"),IF(COUNTIFS($D:$D,$D1854,$A:$A,$A1854,$B:$B,$B1854,$G:$G,"CDU",$J:$J,"PLANNED")&gt;0,"tied","standalone"),"")</f>
        <v/>
      </c>
    </row>
    <row r="1855" spans="1:14">
      <c r="A1855" s="6">
        <v>2023</v>
      </c>
      <c r="B1855" s="6">
        <v>9</v>
      </c>
      <c r="C1855" s="6" t="s">
        <v>68</v>
      </c>
      <c r="D1855" s="6" t="s">
        <v>458</v>
      </c>
      <c r="E1855" s="6" t="s">
        <v>459</v>
      </c>
      <c r="F1855" s="6" t="str">
        <f>IF($M1855="PADD I","PADD 1",IF($M1855="PADD II","PADD 2",IF($M1855="PADD III","PADD 3",IF($M1855="PADD IV","PADD 4",IF($M1855="PADD V","PADD 5","")))))</f>
        <v>PADD 3</v>
      </c>
      <c r="G1855" s="6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6" t="s">
        <v>39</v>
      </c>
      <c r="I1855" s="6" t="s">
        <v>460</v>
      </c>
      <c r="J1855" s="6" t="s">
        <v>394</v>
      </c>
      <c r="K1855" s="10">
        <v>79.5</v>
      </c>
      <c r="L1855" s="10">
        <v>150</v>
      </c>
      <c r="M1855" s="6" t="s">
        <v>421</v>
      </c>
      <c r="N1855" s="6">
        <f>IF(OR($G1855="FCC",$G1855="Hydrocracker",$G1855="Reformer"),IF(COUNTIFS($D:$D,$D1855,$A:$A,$A1855,$B:$B,$B1855,$G:$G,"CDU",$J:$J,"PLANNED")&gt;0,"tied","standalone"),"")</f>
        <v/>
      </c>
    </row>
    <row r="1856" spans="1:14">
      <c r="A1856" s="6">
        <v>2023</v>
      </c>
      <c r="B1856" s="6">
        <v>9</v>
      </c>
      <c r="C1856" s="6" t="s">
        <v>68</v>
      </c>
      <c r="D1856" s="6" t="s">
        <v>430</v>
      </c>
      <c r="E1856" s="6" t="s">
        <v>431</v>
      </c>
      <c r="F1856" s="6" t="str">
        <f>IF($M1856="PADD I","PADD 1",IF($M1856="PADD II","PADD 2",IF($M1856="PADD III","PADD 3",IF($M1856="PADD IV","PADD 4",IF($M1856="PADD V","PADD 5","")))))</f>
        <v>PADD 3</v>
      </c>
      <c r="G1856" s="6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6" t="s">
        <v>39</v>
      </c>
      <c r="I1856" s="6" t="s">
        <v>1028</v>
      </c>
      <c r="J1856" s="6" t="s">
        <v>398</v>
      </c>
      <c r="K1856" s="10">
        <v>78.3</v>
      </c>
      <c r="L1856" s="10">
        <v>90</v>
      </c>
      <c r="M1856" s="6" t="s">
        <v>421</v>
      </c>
      <c r="N1856" s="6">
        <f>IF(OR($G1856="FCC",$G1856="Hydrocracker",$G1856="Reformer"),IF(COUNTIFS($D:$D,$D1856,$A:$A,$A1856,$B:$B,$B1856,$G:$G,"CDU",$J:$J,"PLANNED")&gt;0,"tied","standalone"),"")</f>
        <v/>
      </c>
    </row>
    <row r="1857" spans="1:14">
      <c r="A1857" s="6">
        <v>2023</v>
      </c>
      <c r="B1857" s="6">
        <v>9</v>
      </c>
      <c r="C1857" s="6" t="s">
        <v>68</v>
      </c>
      <c r="D1857" s="6" t="s">
        <v>437</v>
      </c>
      <c r="E1857" s="6" t="s">
        <v>438</v>
      </c>
      <c r="F1857" s="6" t="str">
        <f>IF($M1857="PADD I","PADD 1",IF($M1857="PADD II","PADD 2",IF($M1857="PADD III","PADD 3",IF($M1857="PADD IV","PADD 4",IF($M1857="PADD V","PADD 5","")))))</f>
        <v>PADD 3</v>
      </c>
      <c r="G1857" s="6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6" t="s">
        <v>471</v>
      </c>
      <c r="I1857" s="6" t="s">
        <v>493</v>
      </c>
      <c r="J1857" s="6" t="s">
        <v>394</v>
      </c>
      <c r="K1857" s="10">
        <v>77.5</v>
      </c>
      <c r="L1857" s="10">
        <v>77.5</v>
      </c>
      <c r="M1857" s="6" t="s">
        <v>421</v>
      </c>
      <c r="N1857" s="6" t="str">
        <f>IF(OR($G1857="FCC",$G1857="Hydrocracker",$G1857="Reformer"),IF(COUNTIFS($D:$D,$D1857,$A:$A,$A1857,$B:$B,$B1857,$G:$G,"CDU",$J:$J,"PLANNED")&gt;0,"tied","standalone"),"")</f>
        <v>standalone</v>
      </c>
    </row>
    <row r="1858" spans="1:14">
      <c r="A1858" s="6">
        <v>2023</v>
      </c>
      <c r="B1858" s="6">
        <v>9</v>
      </c>
      <c r="C1858" s="6" t="s">
        <v>68</v>
      </c>
      <c r="D1858" s="6" t="s">
        <v>458</v>
      </c>
      <c r="E1858" s="6" t="s">
        <v>459</v>
      </c>
      <c r="F1858" s="6" t="str">
        <f>IF($M1858="PADD I","PADD 1",IF($M1858="PADD II","PADD 2",IF($M1858="PADD III","PADD 3",IF($M1858="PADD IV","PADD 4",IF($M1858="PADD V","PADD 5","")))))</f>
        <v>PADD 3</v>
      </c>
      <c r="G1858" s="6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6" t="s">
        <v>426</v>
      </c>
      <c r="I1858" s="6" t="s">
        <v>476</v>
      </c>
      <c r="J1858" s="6" t="s">
        <v>398</v>
      </c>
      <c r="K1858" s="10">
        <v>76</v>
      </c>
      <c r="L1858" s="10">
        <v>76</v>
      </c>
      <c r="M1858" s="6" t="s">
        <v>421</v>
      </c>
      <c r="N1858" s="6" t="str">
        <f>IF(OR($G1858="FCC",$G1858="Hydrocracker",$G1858="Reformer"),IF(COUNTIFS($D:$D,$D1858,$A:$A,$A1858,$B:$B,$B1858,$G:$G,"CDU",$J:$J,"PLANNED")&gt;0,"tied","standalone"),"")</f>
        <v>tied</v>
      </c>
    </row>
    <row r="1859" spans="1:14">
      <c r="A1859" s="6">
        <v>2023</v>
      </c>
      <c r="B1859" s="6">
        <v>9</v>
      </c>
      <c r="C1859" s="6" t="s">
        <v>68</v>
      </c>
      <c r="D1859" s="6" t="s">
        <v>373</v>
      </c>
      <c r="E1859" s="6" t="s">
        <v>438</v>
      </c>
      <c r="F1859" s="6" t="str">
        <f>IF($M1859="PADD I","PADD 1",IF($M1859="PADD II","PADD 2",IF($M1859="PADD III","PADD 3",IF($M1859="PADD IV","PADD 4",IF($M1859="PADD V","PADD 5","")))))</f>
        <v>PADD 3</v>
      </c>
      <c r="G1859" s="6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6" t="s">
        <v>39</v>
      </c>
      <c r="I1859" s="6" t="s">
        <v>99</v>
      </c>
      <c r="J1859" s="6" t="s">
        <v>398</v>
      </c>
      <c r="K1859" s="10">
        <v>68.15000000000001</v>
      </c>
      <c r="L1859" s="10">
        <v>145</v>
      </c>
      <c r="M1859" s="6" t="s">
        <v>421</v>
      </c>
      <c r="N1859" s="6">
        <f>IF(OR($G1859="FCC",$G1859="Hydrocracker",$G1859="Reformer"),IF(COUNTIFS($D:$D,$D1859,$A:$A,$A1859,$B:$B,$B1859,$G:$G,"CDU",$J:$J,"PLANNED")&gt;0,"tied","standalone"),"")</f>
        <v/>
      </c>
    </row>
    <row r="1860" spans="1:14">
      <c r="A1860" s="6">
        <v>2023</v>
      </c>
      <c r="B1860" s="6">
        <v>9</v>
      </c>
      <c r="C1860" s="6" t="s">
        <v>68</v>
      </c>
      <c r="D1860" s="6" t="s">
        <v>851</v>
      </c>
      <c r="E1860" s="6" t="s">
        <v>829</v>
      </c>
      <c r="F1860" s="6" t="str">
        <f>IF($M1860="PADD I","PADD 1",IF($M1860="PADD II","PADD 2",IF($M1860="PADD III","PADD 3",IF($M1860="PADD IV","PADD 4",IF($M1860="PADD V","PADD 5","")))))</f>
        <v>PADD 2</v>
      </c>
      <c r="G1860" s="6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6" t="s">
        <v>426</v>
      </c>
      <c r="I1860" s="6" t="s">
        <v>106</v>
      </c>
      <c r="J1860" s="6" t="s">
        <v>398</v>
      </c>
      <c r="K1860" s="10">
        <v>68</v>
      </c>
      <c r="L1860" s="10">
        <v>85</v>
      </c>
      <c r="M1860" s="6" t="s">
        <v>425</v>
      </c>
      <c r="N1860" s="6" t="str">
        <f>IF(OR($G1860="FCC",$G1860="Hydrocracker",$G1860="Reformer"),IF(COUNTIFS($D:$D,$D1860,$A:$A,$A1860,$B:$B,$B1860,$G:$G,"CDU",$J:$J,"PLANNED")&gt;0,"tied","standalone"),"")</f>
        <v>tied</v>
      </c>
    </row>
    <row r="1861" spans="1:14">
      <c r="A1861" s="6">
        <v>2023</v>
      </c>
      <c r="B1861" s="6">
        <v>9</v>
      </c>
      <c r="C1861" s="6" t="s">
        <v>68</v>
      </c>
      <c r="D1861" s="6" t="s">
        <v>851</v>
      </c>
      <c r="E1861" s="6" t="s">
        <v>829</v>
      </c>
      <c r="F1861" s="6" t="str">
        <f>IF($M1861="PADD I","PADD 1",IF($M1861="PADD II","PADD 2",IF($M1861="PADD III","PADD 3",IF($M1861="PADD IV","PADD 4",IF($M1861="PADD V","PADD 5","")))))</f>
        <v>PADD 2</v>
      </c>
      <c r="G1861" s="6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6" t="s">
        <v>39</v>
      </c>
      <c r="I1861" s="6" t="s">
        <v>1029</v>
      </c>
      <c r="J1861" s="6" t="s">
        <v>398</v>
      </c>
      <c r="K1861" s="10">
        <v>63.525</v>
      </c>
      <c r="L1861" s="10">
        <v>82.5</v>
      </c>
      <c r="M1861" s="6" t="s">
        <v>425</v>
      </c>
      <c r="N1861" s="6">
        <f>IF(OR($G1861="FCC",$G1861="Hydrocracker",$G1861="Reformer"),IF(COUNTIFS($D:$D,$D1861,$A:$A,$A1861,$B:$B,$B1861,$G:$G,"CDU",$J:$J,"PLANNED")&gt;0,"tied","standalone"),"")</f>
        <v/>
      </c>
    </row>
    <row r="1862" spans="1:14">
      <c r="A1862" s="6">
        <v>2023</v>
      </c>
      <c r="B1862" s="6">
        <v>9</v>
      </c>
      <c r="C1862" s="6" t="s">
        <v>68</v>
      </c>
      <c r="D1862" s="6" t="s">
        <v>901</v>
      </c>
      <c r="E1862" s="6" t="s">
        <v>902</v>
      </c>
      <c r="F1862" s="6" t="str">
        <f>IF($M1862="PADD I","PADD 1",IF($M1862="PADD II","PADD 2",IF($M1862="PADD III","PADD 3",IF($M1862="PADD IV","PADD 4",IF($M1862="PADD V","PADD 5","")))))</f>
        <v>PADD 3</v>
      </c>
      <c r="G1862" s="6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6" t="s">
        <v>39</v>
      </c>
      <c r="I1862" s="6" t="s">
        <v>904</v>
      </c>
      <c r="J1862" s="6" t="s">
        <v>394</v>
      </c>
      <c r="K1862" s="10">
        <v>63.51</v>
      </c>
      <c r="L1862" s="10">
        <v>73</v>
      </c>
      <c r="M1862" s="6" t="s">
        <v>421</v>
      </c>
      <c r="N1862" s="6">
        <f>IF(OR($G1862="FCC",$G1862="Hydrocracker",$G1862="Reformer"),IF(COUNTIFS($D:$D,$D1862,$A:$A,$A1862,$B:$B,$B1862,$G:$G,"CDU",$J:$J,"PLANNED")&gt;0,"tied","standalone"),"")</f>
        <v/>
      </c>
    </row>
    <row r="1863" spans="1:14">
      <c r="A1863" s="6">
        <v>2023</v>
      </c>
      <c r="B1863" s="6">
        <v>9</v>
      </c>
      <c r="C1863" s="6" t="s">
        <v>68</v>
      </c>
      <c r="D1863" s="6" t="s">
        <v>592</v>
      </c>
      <c r="E1863" s="6" t="s">
        <v>593</v>
      </c>
      <c r="F1863" s="6" t="str">
        <f>IF($M1863="PADD I","PADD 1",IF($M1863="PADD II","PADD 2",IF($M1863="PADD III","PADD 3",IF($M1863="PADD IV","PADD 4",IF($M1863="PADD V","PADD 5","")))))</f>
        <v>PADD 2</v>
      </c>
      <c r="G1863" s="6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6" t="s">
        <v>39</v>
      </c>
      <c r="I1863" s="6" t="s">
        <v>740</v>
      </c>
      <c r="J1863" s="6" t="s">
        <v>398</v>
      </c>
      <c r="K1863" s="10">
        <v>60.3</v>
      </c>
      <c r="L1863" s="10">
        <v>90</v>
      </c>
      <c r="M1863" s="6" t="s">
        <v>425</v>
      </c>
      <c r="N1863" s="6">
        <f>IF(OR($G1863="FCC",$G1863="Hydrocracker",$G1863="Reformer"),IF(COUNTIFS($D:$D,$D1863,$A:$A,$A1863,$B:$B,$B1863,$G:$G,"CDU",$J:$J,"PLANNED")&gt;0,"tied","standalone"),"")</f>
        <v/>
      </c>
    </row>
    <row r="1864" spans="1:14">
      <c r="A1864" s="6">
        <v>2023</v>
      </c>
      <c r="B1864" s="6">
        <v>9</v>
      </c>
      <c r="C1864" s="6" t="s">
        <v>68</v>
      </c>
      <c r="D1864" s="6" t="s">
        <v>458</v>
      </c>
      <c r="E1864" s="6" t="s">
        <v>459</v>
      </c>
      <c r="F1864" s="6" t="str">
        <f>IF($M1864="PADD I","PADD 1",IF($M1864="PADD II","PADD 2",IF($M1864="PADD III","PADD 3",IF($M1864="PADD IV","PADD 4",IF($M1864="PADD V","PADD 5","")))))</f>
        <v>PADD 3</v>
      </c>
      <c r="G1864" s="6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6" t="s">
        <v>428</v>
      </c>
      <c r="I1864" s="6" t="s">
        <v>539</v>
      </c>
      <c r="J1864" s="6" t="s">
        <v>398</v>
      </c>
      <c r="K1864" s="10">
        <v>60</v>
      </c>
      <c r="L1864" s="10">
        <v>60</v>
      </c>
      <c r="M1864" s="6" t="s">
        <v>421</v>
      </c>
      <c r="N1864" s="6">
        <f>IF(OR($G1864="FCC",$G1864="Hydrocracker",$G1864="Reformer"),IF(COUNTIFS($D:$D,$D1864,$A:$A,$A1864,$B:$B,$B1864,$G:$G,"CDU",$J:$J,"PLANNED")&gt;0,"tied","standalone"),"")</f>
        <v/>
      </c>
    </row>
    <row r="1865" spans="1:14">
      <c r="A1865" s="6">
        <v>2023</v>
      </c>
      <c r="B1865" s="6">
        <v>9</v>
      </c>
      <c r="C1865" s="6" t="s">
        <v>68</v>
      </c>
      <c r="D1865" s="6" t="s">
        <v>928</v>
      </c>
      <c r="E1865" s="6" t="s">
        <v>502</v>
      </c>
      <c r="F1865" s="6" t="str">
        <f>IF($M1865="PADD I","PADD 1",IF($M1865="PADD II","PADD 2",IF($M1865="PADD III","PADD 3",IF($M1865="PADD IV","PADD 4",IF($M1865="PADD V","PADD 5","")))))</f>
        <v>PADD 2</v>
      </c>
      <c r="G1865" s="6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6" t="s">
        <v>39</v>
      </c>
      <c r="I1865" s="6" t="s">
        <v>929</v>
      </c>
      <c r="J1865" s="6" t="s">
        <v>398</v>
      </c>
      <c r="K1865" s="10">
        <v>59.5</v>
      </c>
      <c r="L1865" s="10">
        <v>85</v>
      </c>
      <c r="M1865" s="6" t="s">
        <v>425</v>
      </c>
      <c r="N1865" s="6">
        <f>IF(OR($G1865="FCC",$G1865="Hydrocracker",$G1865="Reformer"),IF(COUNTIFS($D:$D,$D1865,$A:$A,$A1865,$B:$B,$B1865,$G:$G,"CDU",$J:$J,"PLANNED")&gt;0,"tied","standalone"),"")</f>
        <v/>
      </c>
    </row>
    <row r="1866" spans="1:14">
      <c r="A1866" s="6">
        <v>2023</v>
      </c>
      <c r="B1866" s="6">
        <v>9</v>
      </c>
      <c r="C1866" s="6" t="s">
        <v>68</v>
      </c>
      <c r="D1866" s="6" t="s">
        <v>373</v>
      </c>
      <c r="E1866" s="6" t="s">
        <v>438</v>
      </c>
      <c r="F1866" s="6" t="str">
        <f>IF($M1866="PADD I","PADD 1",IF($M1866="PADD II","PADD 2",IF($M1866="PADD III","PADD 3",IF($M1866="PADD IV","PADD 4",IF($M1866="PADD V","PADD 5","")))))</f>
        <v>PADD 3</v>
      </c>
      <c r="G1866" s="6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6" t="s">
        <v>428</v>
      </c>
      <c r="I1866" s="6" t="s">
        <v>992</v>
      </c>
      <c r="J1866" s="6" t="s">
        <v>394</v>
      </c>
      <c r="K1866" s="10">
        <v>59.4</v>
      </c>
      <c r="L1866" s="10">
        <v>148.5</v>
      </c>
      <c r="M1866" s="6" t="s">
        <v>421</v>
      </c>
      <c r="N1866" s="6">
        <f>IF(OR($G1866="FCC",$G1866="Hydrocracker",$G1866="Reformer"),IF(COUNTIFS($D:$D,$D1866,$A:$A,$A1866,$B:$B,$B1866,$G:$G,"CDU",$J:$J,"PLANNED")&gt;0,"tied","standalone"),"")</f>
        <v/>
      </c>
    </row>
    <row r="1867" spans="1:14">
      <c r="A1867" s="6">
        <v>2023</v>
      </c>
      <c r="B1867" s="6">
        <v>9</v>
      </c>
      <c r="C1867" s="6" t="s">
        <v>68</v>
      </c>
      <c r="D1867" s="6" t="s">
        <v>592</v>
      </c>
      <c r="E1867" s="6" t="s">
        <v>593</v>
      </c>
      <c r="F1867" s="6" t="str">
        <f>IF($M1867="PADD I","PADD 1",IF($M1867="PADD II","PADD 2",IF($M1867="PADD III","PADD 3",IF($M1867="PADD IV","PADD 4",IF($M1867="PADD V","PADD 5","")))))</f>
        <v>PADD 2</v>
      </c>
      <c r="G1867" s="6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6" t="s">
        <v>44</v>
      </c>
      <c r="I1867" s="6" t="s">
        <v>601</v>
      </c>
      <c r="J1867" s="6" t="s">
        <v>394</v>
      </c>
      <c r="K1867" s="10">
        <v>57</v>
      </c>
      <c r="L1867" s="10">
        <v>100</v>
      </c>
      <c r="M1867" s="6" t="s">
        <v>425</v>
      </c>
      <c r="N1867" s="6">
        <f>IF(OR($G1867="FCC",$G1867="Hydrocracker",$G1867="Reformer"),IF(COUNTIFS($D:$D,$D1867,$A:$A,$A1867,$B:$B,$B1867,$G:$G,"CDU",$J:$J,"PLANNED")&gt;0,"tied","standalone"),"")</f>
        <v/>
      </c>
    </row>
    <row r="1868" spans="1:14">
      <c r="A1868" s="6">
        <v>2023</v>
      </c>
      <c r="B1868" s="6">
        <v>9</v>
      </c>
      <c r="C1868" s="6" t="s">
        <v>68</v>
      </c>
      <c r="D1868" s="6" t="s">
        <v>592</v>
      </c>
      <c r="E1868" s="6" t="s">
        <v>593</v>
      </c>
      <c r="F1868" s="6" t="str">
        <f>IF($M1868="PADD I","PADD 1",IF($M1868="PADD II","PADD 2",IF($M1868="PADD III","PADD 3",IF($M1868="PADD IV","PADD 4",IF($M1868="PADD V","PADD 5","")))))</f>
        <v>PADD 2</v>
      </c>
      <c r="G1868" s="6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6" t="s">
        <v>44</v>
      </c>
      <c r="I1868" s="6" t="s">
        <v>963</v>
      </c>
      <c r="J1868" s="6" t="s">
        <v>398</v>
      </c>
      <c r="K1868" s="10">
        <v>55.65</v>
      </c>
      <c r="L1868" s="10">
        <v>105</v>
      </c>
      <c r="M1868" s="6" t="s">
        <v>425</v>
      </c>
      <c r="N1868" s="6">
        <f>IF(OR($G1868="FCC",$G1868="Hydrocracker",$G1868="Reformer"),IF(COUNTIFS($D:$D,$D1868,$A:$A,$A1868,$B:$B,$B1868,$G:$G,"CDU",$J:$J,"PLANNED")&gt;0,"tied","standalone"),"")</f>
        <v/>
      </c>
    </row>
    <row r="1869" spans="1:14">
      <c r="A1869" s="6">
        <v>2023</v>
      </c>
      <c r="B1869" s="6">
        <v>9</v>
      </c>
      <c r="C1869" s="6" t="s">
        <v>68</v>
      </c>
      <c r="D1869" s="6" t="s">
        <v>41</v>
      </c>
      <c r="E1869" s="6" t="s">
        <v>786</v>
      </c>
      <c r="F1869" s="6" t="str">
        <f>IF($M1869="PADD I","PADD 1",IF($M1869="PADD II","PADD 2",IF($M1869="PADD III","PADD 3",IF($M1869="PADD IV","PADD 4",IF($M1869="PADD V","PADD 5","")))))</f>
        <v>PADD 1</v>
      </c>
      <c r="G1869" s="6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6" t="s">
        <v>39</v>
      </c>
      <c r="I1869" s="6" t="s">
        <v>1030</v>
      </c>
      <c r="J1869" s="6" t="s">
        <v>398</v>
      </c>
      <c r="K1869" s="10">
        <v>52.725</v>
      </c>
      <c r="L1869" s="10">
        <v>92.5</v>
      </c>
      <c r="M1869" s="6" t="s">
        <v>463</v>
      </c>
      <c r="N1869" s="6">
        <f>IF(OR($G1869="FCC",$G1869="Hydrocracker",$G1869="Reformer"),IF(COUNTIFS($D:$D,$D1869,$A:$A,$A1869,$B:$B,$B1869,$G:$G,"CDU",$J:$J,"PLANNED")&gt;0,"tied","standalone"),"")</f>
        <v/>
      </c>
    </row>
    <row r="1870" spans="1:14">
      <c r="A1870" s="6">
        <v>2023</v>
      </c>
      <c r="B1870" s="6">
        <v>9</v>
      </c>
      <c r="C1870" s="6" t="s">
        <v>68</v>
      </c>
      <c r="D1870" s="6" t="s">
        <v>458</v>
      </c>
      <c r="E1870" s="6" t="s">
        <v>459</v>
      </c>
      <c r="F1870" s="6" t="str">
        <f>IF($M1870="PADD I","PADD 1",IF($M1870="PADD II","PADD 2",IF($M1870="PADD III","PADD 3",IF($M1870="PADD IV","PADD 4",IF($M1870="PADD V","PADD 5","")))))</f>
        <v>PADD 3</v>
      </c>
      <c r="G1870" s="6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6" t="s">
        <v>428</v>
      </c>
      <c r="I1870" s="6" t="s">
        <v>556</v>
      </c>
      <c r="J1870" s="6" t="s">
        <v>394</v>
      </c>
      <c r="K1870" s="10">
        <v>52</v>
      </c>
      <c r="L1870" s="10">
        <v>52</v>
      </c>
      <c r="M1870" s="6" t="s">
        <v>421</v>
      </c>
      <c r="N1870" s="6">
        <f>IF(OR($G1870="FCC",$G1870="Hydrocracker",$G1870="Reformer"),IF(COUNTIFS($D:$D,$D1870,$A:$A,$A1870,$B:$B,$B1870,$G:$G,"CDU",$J:$J,"PLANNED")&gt;0,"tied","standalone"),"")</f>
        <v/>
      </c>
    </row>
    <row r="1871" spans="1:14">
      <c r="A1871" s="6">
        <v>2023</v>
      </c>
      <c r="B1871" s="6">
        <v>9</v>
      </c>
      <c r="C1871" s="6" t="s">
        <v>68</v>
      </c>
      <c r="D1871" s="6" t="s">
        <v>465</v>
      </c>
      <c r="E1871" s="6" t="s">
        <v>466</v>
      </c>
      <c r="F1871" s="6" t="str">
        <f>IF($M1871="PADD I","PADD 1",IF($M1871="PADD II","PADD 2",IF($M1871="PADD III","PADD 3",IF($M1871="PADD IV","PADD 4",IF($M1871="PADD V","PADD 5","")))))</f>
        <v>PADD 3</v>
      </c>
      <c r="G1871" s="6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6" t="s">
        <v>44</v>
      </c>
      <c r="I1871" s="6" t="s">
        <v>570</v>
      </c>
      <c r="J1871" s="6" t="s">
        <v>398</v>
      </c>
      <c r="K1871" s="10">
        <v>50.35</v>
      </c>
      <c r="L1871" s="10">
        <v>95</v>
      </c>
      <c r="M1871" s="6" t="s">
        <v>421</v>
      </c>
      <c r="N1871" s="6">
        <f>IF(OR($G1871="FCC",$G1871="Hydrocracker",$G1871="Reformer"),IF(COUNTIFS($D:$D,$D1871,$A:$A,$A1871,$B:$B,$B1871,$G:$G,"CDU",$J:$J,"PLANNED")&gt;0,"tied","standalone"),"")</f>
        <v/>
      </c>
    </row>
    <row r="1872" spans="1:14">
      <c r="A1872" s="6">
        <v>2023</v>
      </c>
      <c r="B1872" s="6">
        <v>9</v>
      </c>
      <c r="C1872" s="6" t="s">
        <v>68</v>
      </c>
      <c r="D1872" s="6" t="s">
        <v>437</v>
      </c>
      <c r="E1872" s="6" t="s">
        <v>438</v>
      </c>
      <c r="F1872" s="6" t="str">
        <f>IF($M1872="PADD I","PADD 1",IF($M1872="PADD II","PADD 2",IF($M1872="PADD III","PADD 3",IF($M1872="PADD IV","PADD 4",IF($M1872="PADD V","PADD 5","")))))</f>
        <v>PADD 3</v>
      </c>
      <c r="G1872" s="6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6" t="s">
        <v>44</v>
      </c>
      <c r="I1872" s="6" t="s">
        <v>898</v>
      </c>
      <c r="J1872" s="6" t="s">
        <v>394</v>
      </c>
      <c r="K1872" s="10">
        <v>50</v>
      </c>
      <c r="L1872" s="10">
        <v>50</v>
      </c>
      <c r="M1872" s="6" t="s">
        <v>421</v>
      </c>
      <c r="N1872" s="6">
        <f>IF(OR($G1872="FCC",$G1872="Hydrocracker",$G1872="Reformer"),IF(COUNTIFS($D:$D,$D1872,$A:$A,$A1872,$B:$B,$B1872,$G:$G,"CDU",$J:$J,"PLANNED")&gt;0,"tied","standalone"),"")</f>
        <v/>
      </c>
    </row>
    <row r="1873" spans="1:14">
      <c r="A1873" s="6">
        <v>2023</v>
      </c>
      <c r="B1873" s="6">
        <v>9</v>
      </c>
      <c r="C1873" s="6" t="s">
        <v>68</v>
      </c>
      <c r="D1873" s="6" t="s">
        <v>465</v>
      </c>
      <c r="E1873" s="6" t="s">
        <v>466</v>
      </c>
      <c r="F1873" s="6" t="str">
        <f>IF($M1873="PADD I","PADD 1",IF($M1873="PADD II","PADD 2",IF($M1873="PADD III","PADD 3",IF($M1873="PADD IV","PADD 4",IF($M1873="PADD V","PADD 5","")))))</f>
        <v>PADD 3</v>
      </c>
      <c r="G1873" s="6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6" t="s">
        <v>428</v>
      </c>
      <c r="I1873" s="6" t="s">
        <v>467</v>
      </c>
      <c r="J1873" s="6" t="s">
        <v>394</v>
      </c>
      <c r="K1873" s="10">
        <v>50</v>
      </c>
      <c r="L1873" s="10">
        <v>50</v>
      </c>
      <c r="M1873" s="6" t="s">
        <v>421</v>
      </c>
      <c r="N1873" s="6">
        <f>IF(OR($G1873="FCC",$G1873="Hydrocracker",$G1873="Reformer"),IF(COUNTIFS($D:$D,$D1873,$A:$A,$A1873,$B:$B,$B1873,$G:$G,"CDU",$J:$J,"PLANNED")&gt;0,"tied","standalone"),"")</f>
        <v/>
      </c>
    </row>
    <row r="1874" spans="1:14">
      <c r="A1874" s="6">
        <v>2023</v>
      </c>
      <c r="B1874" s="6">
        <v>9</v>
      </c>
      <c r="C1874" s="6" t="s">
        <v>68</v>
      </c>
      <c r="D1874" s="6" t="s">
        <v>835</v>
      </c>
      <c r="E1874" s="6" t="s">
        <v>829</v>
      </c>
      <c r="F1874" s="6" t="str">
        <f>IF($M1874="PADD I","PADD 1",IF($M1874="PADD II","PADD 2",IF($M1874="PADD III","PADD 3",IF($M1874="PADD IV","PADD 4",IF($M1874="PADD V","PADD 5","")))))</f>
        <v>PADD 2</v>
      </c>
      <c r="G1874" s="6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6" t="s">
        <v>428</v>
      </c>
      <c r="I1874" s="6" t="s">
        <v>836</v>
      </c>
      <c r="J1874" s="6" t="s">
        <v>394</v>
      </c>
      <c r="K1874" s="10">
        <v>47.971</v>
      </c>
      <c r="L1874" s="10">
        <v>62.3</v>
      </c>
      <c r="M1874" s="6" t="s">
        <v>425</v>
      </c>
      <c r="N1874" s="6">
        <f>IF(OR($G1874="FCC",$G1874="Hydrocracker",$G1874="Reformer"),IF(COUNTIFS($D:$D,$D1874,$A:$A,$A1874,$B:$B,$B1874,$G:$G,"CDU",$J:$J,"PLANNED")&gt;0,"tied","standalone"),"")</f>
        <v/>
      </c>
    </row>
    <row r="1875" spans="1:14">
      <c r="A1875" s="6">
        <v>2023</v>
      </c>
      <c r="B1875" s="6">
        <v>9</v>
      </c>
      <c r="C1875" s="6" t="s">
        <v>68</v>
      </c>
      <c r="D1875" s="6" t="s">
        <v>373</v>
      </c>
      <c r="E1875" s="6" t="s">
        <v>438</v>
      </c>
      <c r="F1875" s="6" t="str">
        <f>IF($M1875="PADD I","PADD 1",IF($M1875="PADD II","PADD 2",IF($M1875="PADD III","PADD 3",IF($M1875="PADD IV","PADD 4",IF($M1875="PADD V","PADD 5","")))))</f>
        <v>PADD 3</v>
      </c>
      <c r="G1875" s="6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6" t="s">
        <v>44</v>
      </c>
      <c r="I1875" s="6" t="s">
        <v>998</v>
      </c>
      <c r="J1875" s="6" t="s">
        <v>398</v>
      </c>
      <c r="K1875" s="10">
        <v>47</v>
      </c>
      <c r="L1875" s="10">
        <v>94</v>
      </c>
      <c r="M1875" s="6" t="s">
        <v>421</v>
      </c>
      <c r="N1875" s="6">
        <f>IF(OR($G1875="FCC",$G1875="Hydrocracker",$G1875="Reformer"),IF(COUNTIFS($D:$D,$D1875,$A:$A,$A1875,$B:$B,$B1875,$G:$G,"CDU",$J:$J,"PLANNED")&gt;0,"tied","standalone"),"")</f>
        <v/>
      </c>
    </row>
    <row r="1876" spans="1:14">
      <c r="A1876" s="6">
        <v>2023</v>
      </c>
      <c r="B1876" s="6">
        <v>9</v>
      </c>
      <c r="C1876" s="6" t="s">
        <v>68</v>
      </c>
      <c r="D1876" s="6" t="s">
        <v>851</v>
      </c>
      <c r="E1876" s="6" t="s">
        <v>829</v>
      </c>
      <c r="F1876" s="6" t="str">
        <f>IF($M1876="PADD I","PADD 1",IF($M1876="PADD II","PADD 2",IF($M1876="PADD III","PADD 3",IF($M1876="PADD IV","PADD 4",IF($M1876="PADD V","PADD 5","")))))</f>
        <v>PADD 2</v>
      </c>
      <c r="G1876" s="6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6" t="s">
        <v>44</v>
      </c>
      <c r="I1876" s="6" t="s">
        <v>1031</v>
      </c>
      <c r="J1876" s="6" t="s">
        <v>398</v>
      </c>
      <c r="K1876" s="10">
        <v>43.2</v>
      </c>
      <c r="L1876" s="10">
        <v>54</v>
      </c>
      <c r="M1876" s="6" t="s">
        <v>425</v>
      </c>
      <c r="N1876" s="6">
        <f>IF(OR($G1876="FCC",$G1876="Hydrocracker",$G1876="Reformer"),IF(COUNTIFS($D:$D,$D1876,$A:$A,$A1876,$B:$B,$B1876,$G:$G,"CDU",$J:$J,"PLANNED")&gt;0,"tied","standalone"),"")</f>
        <v/>
      </c>
    </row>
    <row r="1877" spans="1:14">
      <c r="A1877" s="6">
        <v>2023</v>
      </c>
      <c r="B1877" s="6">
        <v>9</v>
      </c>
      <c r="C1877" s="6" t="s">
        <v>68</v>
      </c>
      <c r="D1877" s="6" t="s">
        <v>851</v>
      </c>
      <c r="E1877" s="6" t="s">
        <v>829</v>
      </c>
      <c r="F1877" s="6" t="str">
        <f>IF($M1877="PADD I","PADD 1",IF($M1877="PADD II","PADD 2",IF($M1877="PADD III","PADD 3",IF($M1877="PADD IV","PADD 4",IF($M1877="PADD V","PADD 5","")))))</f>
        <v>PADD 2</v>
      </c>
      <c r="G1877" s="6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6" t="s">
        <v>39</v>
      </c>
      <c r="I1877" s="6" t="s">
        <v>1032</v>
      </c>
      <c r="J1877" s="6" t="s">
        <v>398</v>
      </c>
      <c r="K1877" s="10">
        <v>42.35</v>
      </c>
      <c r="L1877" s="10">
        <v>55</v>
      </c>
      <c r="M1877" s="6" t="s">
        <v>425</v>
      </c>
      <c r="N1877" s="6">
        <f>IF(OR($G1877="FCC",$G1877="Hydrocracker",$G1877="Reformer"),IF(COUNTIFS($D:$D,$D1877,$A:$A,$A1877,$B:$B,$B1877,$G:$G,"CDU",$J:$J,"PLANNED")&gt;0,"tied","standalone"),"")</f>
        <v/>
      </c>
    </row>
    <row r="1878" spans="1:14">
      <c r="A1878" s="6">
        <v>2023</v>
      </c>
      <c r="B1878" s="6">
        <v>9</v>
      </c>
      <c r="C1878" s="6" t="s">
        <v>68</v>
      </c>
      <c r="D1878" s="6" t="s">
        <v>626</v>
      </c>
      <c r="E1878" s="6" t="s">
        <v>419</v>
      </c>
      <c r="F1878" s="6" t="str">
        <f>IF($M1878="PADD I","PADD 1",IF($M1878="PADD II","PADD 2",IF($M1878="PADD III","PADD 3",IF($M1878="PADD IV","PADD 4",IF($M1878="PADD V","PADD 5","")))))</f>
        <v>PADD 3</v>
      </c>
      <c r="G1878" s="6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6" t="s">
        <v>44</v>
      </c>
      <c r="I1878" s="6" t="s">
        <v>1033</v>
      </c>
      <c r="J1878" s="6" t="s">
        <v>398</v>
      </c>
      <c r="K1878" s="10">
        <v>42.35</v>
      </c>
      <c r="L1878" s="10">
        <v>55</v>
      </c>
      <c r="M1878" s="6" t="s">
        <v>421</v>
      </c>
      <c r="N1878" s="6">
        <f>IF(OR($G1878="FCC",$G1878="Hydrocracker",$G1878="Reformer"),IF(COUNTIFS($D:$D,$D1878,$A:$A,$A1878,$B:$B,$B1878,$G:$G,"CDU",$J:$J,"PLANNED")&gt;0,"tied","standalone"),"")</f>
        <v/>
      </c>
    </row>
    <row r="1879" spans="1:14">
      <c r="A1879" s="6">
        <v>2023</v>
      </c>
      <c r="B1879" s="6">
        <v>9</v>
      </c>
      <c r="C1879" s="6" t="s">
        <v>68</v>
      </c>
      <c r="D1879" s="6" t="s">
        <v>626</v>
      </c>
      <c r="E1879" s="6" t="s">
        <v>419</v>
      </c>
      <c r="F1879" s="6" t="str">
        <f>IF($M1879="PADD I","PADD 1",IF($M1879="PADD II","PADD 2",IF($M1879="PADD III","PADD 3",IF($M1879="PADD IV","PADD 4",IF($M1879="PADD V","PADD 5","")))))</f>
        <v>PADD 3</v>
      </c>
      <c r="G1879" s="6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6" t="s">
        <v>485</v>
      </c>
      <c r="I1879" s="6" t="s">
        <v>1034</v>
      </c>
      <c r="J1879" s="6" t="s">
        <v>398</v>
      </c>
      <c r="K1879" s="10">
        <v>41.58</v>
      </c>
      <c r="L1879" s="10">
        <v>54</v>
      </c>
      <c r="M1879" s="6" t="s">
        <v>421</v>
      </c>
      <c r="N1879" s="6">
        <f>IF(OR($G1879="FCC",$G1879="Hydrocracker",$G1879="Reformer"),IF(COUNTIFS($D:$D,$D1879,$A:$A,$A1879,$B:$B,$B1879,$G:$G,"CDU",$J:$J,"PLANNED")&gt;0,"tied","standalone"),"")</f>
        <v/>
      </c>
    </row>
    <row r="1880" spans="1:14">
      <c r="A1880" s="6">
        <v>2023</v>
      </c>
      <c r="B1880" s="6">
        <v>9</v>
      </c>
      <c r="C1880" s="6" t="s">
        <v>68</v>
      </c>
      <c r="D1880" s="6" t="s">
        <v>368</v>
      </c>
      <c r="E1880" s="6" t="s">
        <v>715</v>
      </c>
      <c r="F1880" s="6" t="str">
        <f>IF($M1880="PADD I","PADD 1",IF($M1880="PADD II","PADD 2",IF($M1880="PADD III","PADD 3",IF($M1880="PADD IV","PADD 4",IF($M1880="PADD V","PADD 5","")))))</f>
        <v>PADD 3</v>
      </c>
      <c r="G1880" s="6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6" t="s">
        <v>39</v>
      </c>
      <c r="I1880" s="6" t="s">
        <v>87</v>
      </c>
      <c r="J1880" s="6" t="s">
        <v>398</v>
      </c>
      <c r="K1880" s="10">
        <v>40.8</v>
      </c>
      <c r="L1880" s="10">
        <v>240</v>
      </c>
      <c r="M1880" s="6" t="s">
        <v>421</v>
      </c>
      <c r="N1880" s="6">
        <f>IF(OR($G1880="FCC",$G1880="Hydrocracker",$G1880="Reformer"),IF(COUNTIFS($D:$D,$D1880,$A:$A,$A1880,$B:$B,$B1880,$G:$G,"CDU",$J:$J,"PLANNED")&gt;0,"tied","standalone"),"")</f>
        <v/>
      </c>
    </row>
    <row r="1881" spans="1:14">
      <c r="A1881" s="6">
        <v>2023</v>
      </c>
      <c r="B1881" s="6">
        <v>9</v>
      </c>
      <c r="C1881" s="6" t="s">
        <v>68</v>
      </c>
      <c r="D1881" s="6" t="s">
        <v>1035</v>
      </c>
      <c r="E1881" s="6" t="s">
        <v>593</v>
      </c>
      <c r="F1881" s="6" t="str">
        <f>IF($M1881="PADD I","PADD 1",IF($M1881="PADD II","PADD 2",IF($M1881="PADD III","PADD 3",IF($M1881="PADD IV","PADD 4",IF($M1881="PADD V","PADD 5","")))))</f>
        <v>PADD 2</v>
      </c>
      <c r="G1881" s="6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6" t="s">
        <v>428</v>
      </c>
      <c r="I1881" s="6" t="s">
        <v>836</v>
      </c>
      <c r="J1881" s="6" t="s">
        <v>394</v>
      </c>
      <c r="K1881" s="10">
        <v>40.4211</v>
      </c>
      <c r="L1881" s="10">
        <v>60.33</v>
      </c>
      <c r="M1881" s="6" t="s">
        <v>425</v>
      </c>
      <c r="N1881" s="6">
        <f>IF(OR($G1881="FCC",$G1881="Hydrocracker",$G1881="Reformer"),IF(COUNTIFS($D:$D,$D1881,$A:$A,$A1881,$B:$B,$B1881,$G:$G,"CDU",$J:$J,"PLANNED")&gt;0,"tied","standalone"),"")</f>
        <v/>
      </c>
    </row>
    <row r="1882" spans="1:14">
      <c r="A1882" s="6">
        <v>2023</v>
      </c>
      <c r="B1882" s="6">
        <v>9</v>
      </c>
      <c r="C1882" s="6" t="s">
        <v>68</v>
      </c>
      <c r="D1882" s="6" t="s">
        <v>851</v>
      </c>
      <c r="E1882" s="6" t="s">
        <v>829</v>
      </c>
      <c r="F1882" s="6" t="str">
        <f>IF($M1882="PADD I","PADD 1",IF($M1882="PADD II","PADD 2",IF($M1882="PADD III","PADD 3",IF($M1882="PADD IV","PADD 4",IF($M1882="PADD V","PADD 5","")))))</f>
        <v>PADD 2</v>
      </c>
      <c r="G1882" s="6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6" t="s">
        <v>44</v>
      </c>
      <c r="I1882" s="6" t="s">
        <v>809</v>
      </c>
      <c r="J1882" s="6" t="s">
        <v>398</v>
      </c>
      <c r="K1882" s="10">
        <v>40</v>
      </c>
      <c r="L1882" s="10">
        <v>50</v>
      </c>
      <c r="M1882" s="6" t="s">
        <v>425</v>
      </c>
      <c r="N1882" s="6">
        <f>IF(OR($G1882="FCC",$G1882="Hydrocracker",$G1882="Reformer"),IF(COUNTIFS($D:$D,$D1882,$A:$A,$A1882,$B:$B,$B1882,$G:$G,"CDU",$J:$J,"PLANNED")&gt;0,"tied","standalone"),"")</f>
        <v/>
      </c>
    </row>
    <row r="1883" spans="1:14">
      <c r="A1883" s="6">
        <v>2023</v>
      </c>
      <c r="B1883" s="6">
        <v>9</v>
      </c>
      <c r="C1883" s="6" t="s">
        <v>68</v>
      </c>
      <c r="D1883" s="6" t="s">
        <v>458</v>
      </c>
      <c r="E1883" s="6" t="s">
        <v>459</v>
      </c>
      <c r="F1883" s="6" t="str">
        <f>IF($M1883="PADD I","PADD 1",IF($M1883="PADD II","PADD 2",IF($M1883="PADD III","PADD 3",IF($M1883="PADD IV","PADD 4",IF($M1883="PADD V","PADD 5","")))))</f>
        <v>PADD 3</v>
      </c>
      <c r="G1883" s="6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6" t="s">
        <v>39</v>
      </c>
      <c r="I1883" s="6" t="s">
        <v>572</v>
      </c>
      <c r="J1883" s="6" t="s">
        <v>398</v>
      </c>
      <c r="K1883" s="10">
        <v>40</v>
      </c>
      <c r="L1883" s="10">
        <v>40</v>
      </c>
      <c r="M1883" s="6" t="s">
        <v>421</v>
      </c>
      <c r="N1883" s="6">
        <f>IF(OR($G1883="FCC",$G1883="Hydrocracker",$G1883="Reformer"),IF(COUNTIFS($D:$D,$D1883,$A:$A,$A1883,$B:$B,$B1883,$G:$G,"CDU",$J:$J,"PLANNED")&gt;0,"tied","standalone"),"")</f>
        <v/>
      </c>
    </row>
    <row r="1884" spans="1:14">
      <c r="A1884" s="6">
        <v>2023</v>
      </c>
      <c r="B1884" s="6">
        <v>9</v>
      </c>
      <c r="C1884" s="6" t="s">
        <v>68</v>
      </c>
      <c r="D1884" s="6" t="s">
        <v>430</v>
      </c>
      <c r="E1884" s="6" t="s">
        <v>431</v>
      </c>
      <c r="F1884" s="6" t="str">
        <f>IF($M1884="PADD I","PADD 1",IF($M1884="PADD II","PADD 2",IF($M1884="PADD III","PADD 3",IF($M1884="PADD IV","PADD 4",IF($M1884="PADD V","PADD 5","")))))</f>
        <v>PADD 3</v>
      </c>
      <c r="G1884" s="6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6" t="s">
        <v>485</v>
      </c>
      <c r="I1884" s="6" t="s">
        <v>1036</v>
      </c>
      <c r="J1884" s="6" t="s">
        <v>398</v>
      </c>
      <c r="K1884" s="10">
        <v>39.15</v>
      </c>
      <c r="L1884" s="10">
        <v>45</v>
      </c>
      <c r="M1884" s="6" t="s">
        <v>421</v>
      </c>
      <c r="N1884" s="6">
        <f>IF(OR($G1884="FCC",$G1884="Hydrocracker",$G1884="Reformer"),IF(COUNTIFS($D:$D,$D1884,$A:$A,$A1884,$B:$B,$B1884,$G:$G,"CDU",$J:$J,"PLANNED")&gt;0,"tied","standalone"),"")</f>
        <v/>
      </c>
    </row>
    <row r="1885" spans="1:14">
      <c r="A1885" s="6">
        <v>2023</v>
      </c>
      <c r="B1885" s="6">
        <v>9</v>
      </c>
      <c r="C1885" s="6" t="s">
        <v>68</v>
      </c>
      <c r="D1885" s="6" t="s">
        <v>430</v>
      </c>
      <c r="E1885" s="6" t="s">
        <v>431</v>
      </c>
      <c r="F1885" s="6" t="str">
        <f>IF($M1885="PADD I","PADD 1",IF($M1885="PADD II","PADD 2",IF($M1885="PADD III","PADD 3",IF($M1885="PADD IV","PADD 4",IF($M1885="PADD V","PADD 5","")))))</f>
        <v>PADD 3</v>
      </c>
      <c r="G1885" s="6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6" t="s">
        <v>428</v>
      </c>
      <c r="I1885" s="6" t="s">
        <v>1037</v>
      </c>
      <c r="J1885" s="6" t="s">
        <v>394</v>
      </c>
      <c r="K1885" s="10">
        <v>38.28</v>
      </c>
      <c r="L1885" s="10">
        <v>44</v>
      </c>
      <c r="M1885" s="6" t="s">
        <v>421</v>
      </c>
      <c r="N1885" s="6">
        <f>IF(OR($G1885="FCC",$G1885="Hydrocracker",$G1885="Reformer"),IF(COUNTIFS($D:$D,$D1885,$A:$A,$A1885,$B:$B,$B1885,$G:$G,"CDU",$J:$J,"PLANNED")&gt;0,"tied","standalone"),"")</f>
        <v/>
      </c>
    </row>
    <row r="1886" spans="1:14">
      <c r="A1886" s="6">
        <v>2023</v>
      </c>
      <c r="B1886" s="6">
        <v>9</v>
      </c>
      <c r="C1886" s="6" t="s">
        <v>68</v>
      </c>
      <c r="D1886" s="6" t="s">
        <v>851</v>
      </c>
      <c r="E1886" s="6" t="s">
        <v>829</v>
      </c>
      <c r="F1886" s="6" t="str">
        <f>IF($M1886="PADD I","PADD 1",IF($M1886="PADD II","PADD 2",IF($M1886="PADD III","PADD 3",IF($M1886="PADD IV","PADD 4",IF($M1886="PADD V","PADD 5","")))))</f>
        <v>PADD 2</v>
      </c>
      <c r="G1886" s="6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6" t="s">
        <v>44</v>
      </c>
      <c r="I1886" s="6" t="s">
        <v>1038</v>
      </c>
      <c r="J1886" s="6" t="s">
        <v>398</v>
      </c>
      <c r="K1886" s="10">
        <v>37.6</v>
      </c>
      <c r="L1886" s="10">
        <v>47</v>
      </c>
      <c r="M1886" s="6" t="s">
        <v>425</v>
      </c>
      <c r="N1886" s="6">
        <f>IF(OR($G1886="FCC",$G1886="Hydrocracker",$G1886="Reformer"),IF(COUNTIFS($D:$D,$D1886,$A:$A,$A1886,$B:$B,$B1886,$G:$G,"CDU",$J:$J,"PLANNED")&gt;0,"tied","standalone"),"")</f>
        <v/>
      </c>
    </row>
    <row r="1887" spans="1:14">
      <c r="A1887" s="6">
        <v>2023</v>
      </c>
      <c r="B1887" s="6">
        <v>9</v>
      </c>
      <c r="C1887" s="6" t="s">
        <v>68</v>
      </c>
      <c r="D1887" s="6" t="s">
        <v>41</v>
      </c>
      <c r="E1887" s="6" t="s">
        <v>786</v>
      </c>
      <c r="F1887" s="6" t="str">
        <f>IF($M1887="PADD I","PADD 1",IF($M1887="PADD II","PADD 2",IF($M1887="PADD III","PADD 3",IF($M1887="PADD IV","PADD 4",IF($M1887="PADD V","PADD 5","")))))</f>
        <v>PADD 1</v>
      </c>
      <c r="G1887" s="6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6" t="s">
        <v>39</v>
      </c>
      <c r="I1887" s="6" t="s">
        <v>1039</v>
      </c>
      <c r="J1887" s="6" t="s">
        <v>398</v>
      </c>
      <c r="K1887" s="10">
        <v>37</v>
      </c>
      <c r="L1887" s="10">
        <v>92.5</v>
      </c>
      <c r="M1887" s="6" t="s">
        <v>463</v>
      </c>
      <c r="N1887" s="6">
        <f>IF(OR($G1887="FCC",$G1887="Hydrocracker",$G1887="Reformer"),IF(COUNTIFS($D:$D,$D1887,$A:$A,$A1887,$B:$B,$B1887,$G:$G,"CDU",$J:$J,"PLANNED")&gt;0,"tied","standalone"),"")</f>
        <v/>
      </c>
    </row>
    <row r="1888" spans="1:14">
      <c r="A1888" s="6">
        <v>2023</v>
      </c>
      <c r="B1888" s="6">
        <v>9</v>
      </c>
      <c r="C1888" s="6" t="s">
        <v>68</v>
      </c>
      <c r="D1888" s="6" t="s">
        <v>41</v>
      </c>
      <c r="E1888" s="6" t="s">
        <v>786</v>
      </c>
      <c r="F1888" s="6" t="str">
        <f>IF($M1888="PADD I","PADD 1",IF($M1888="PADD II","PADD 2",IF($M1888="PADD III","PADD 3",IF($M1888="PADD IV","PADD 4",IF($M1888="PADD V","PADD 5","")))))</f>
        <v>PADD 1</v>
      </c>
      <c r="G1888" s="6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6" t="s">
        <v>426</v>
      </c>
      <c r="I1888" s="6" t="s">
        <v>787</v>
      </c>
      <c r="J1888" s="6" t="s">
        <v>398</v>
      </c>
      <c r="K1888" s="10">
        <v>36.04</v>
      </c>
      <c r="L1888" s="10">
        <v>68</v>
      </c>
      <c r="M1888" s="6" t="s">
        <v>463</v>
      </c>
      <c r="N1888" s="6" t="str">
        <f>IF(OR($G1888="FCC",$G1888="Hydrocracker",$G1888="Reformer"),IF(COUNTIFS($D:$D,$D1888,$A:$A,$A1888,$B:$B,$B1888,$G:$G,"CDU",$J:$J,"PLANNED")&gt;0,"tied","standalone"),"")</f>
        <v>tied</v>
      </c>
    </row>
    <row r="1889" spans="1:14">
      <c r="A1889" s="6">
        <v>2023</v>
      </c>
      <c r="B1889" s="6">
        <v>9</v>
      </c>
      <c r="C1889" s="6" t="s">
        <v>68</v>
      </c>
      <c r="D1889" s="6" t="s">
        <v>851</v>
      </c>
      <c r="E1889" s="6" t="s">
        <v>829</v>
      </c>
      <c r="F1889" s="6" t="str">
        <f>IF($M1889="PADD I","PADD 1",IF($M1889="PADD II","PADD 2",IF($M1889="PADD III","PADD 3",IF($M1889="PADD IV","PADD 4",IF($M1889="PADD V","PADD 5","")))))</f>
        <v>PADD 2</v>
      </c>
      <c r="G1889" s="6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6" t="s">
        <v>44</v>
      </c>
      <c r="I1889" s="6" t="s">
        <v>1040</v>
      </c>
      <c r="J1889" s="6" t="s">
        <v>398</v>
      </c>
      <c r="K1889" s="10">
        <v>36</v>
      </c>
      <c r="L1889" s="10">
        <v>45</v>
      </c>
      <c r="M1889" s="6" t="s">
        <v>425</v>
      </c>
      <c r="N1889" s="6">
        <f>IF(OR($G1889="FCC",$G1889="Hydrocracker",$G1889="Reformer"),IF(COUNTIFS($D:$D,$D1889,$A:$A,$A1889,$B:$B,$B1889,$G:$G,"CDU",$J:$J,"PLANNED")&gt;0,"tied","standalone"),"")</f>
        <v/>
      </c>
    </row>
    <row r="1890" spans="1:14">
      <c r="A1890" s="6">
        <v>2023</v>
      </c>
      <c r="B1890" s="6">
        <v>9</v>
      </c>
      <c r="C1890" s="6" t="s">
        <v>68</v>
      </c>
      <c r="D1890" s="6" t="s">
        <v>851</v>
      </c>
      <c r="E1890" s="6" t="s">
        <v>829</v>
      </c>
      <c r="F1890" s="6" t="str">
        <f>IF($M1890="PADD I","PADD 1",IF($M1890="PADD II","PADD 2",IF($M1890="PADD III","PADD 3",IF($M1890="PADD IV","PADD 4",IF($M1890="PADD V","PADD 5","")))))</f>
        <v>PADD 2</v>
      </c>
      <c r="G1890" s="6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6" t="s">
        <v>44</v>
      </c>
      <c r="I1890" s="6" t="s">
        <v>1041</v>
      </c>
      <c r="J1890" s="6" t="s">
        <v>398</v>
      </c>
      <c r="K1890" s="10">
        <v>36</v>
      </c>
      <c r="L1890" s="10">
        <v>45</v>
      </c>
      <c r="M1890" s="6" t="s">
        <v>425</v>
      </c>
      <c r="N1890" s="6">
        <f>IF(OR($G1890="FCC",$G1890="Hydrocracker",$G1890="Reformer"),IF(COUNTIFS($D:$D,$D1890,$A:$A,$A1890,$B:$B,$B1890,$G:$G,"CDU",$J:$J,"PLANNED")&gt;0,"tied","standalone"),"")</f>
        <v/>
      </c>
    </row>
    <row r="1891" spans="1:14">
      <c r="A1891" s="6">
        <v>2023</v>
      </c>
      <c r="B1891" s="6">
        <v>9</v>
      </c>
      <c r="C1891" s="6" t="s">
        <v>68</v>
      </c>
      <c r="D1891" s="6" t="s">
        <v>851</v>
      </c>
      <c r="E1891" s="6" t="s">
        <v>829</v>
      </c>
      <c r="F1891" s="6" t="str">
        <f>IF($M1891="PADD I","PADD 1",IF($M1891="PADD II","PADD 2",IF($M1891="PADD III","PADD 3",IF($M1891="PADD IV","PADD 4",IF($M1891="PADD V","PADD 5","")))))</f>
        <v>PADD 2</v>
      </c>
      <c r="G1891" s="6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6" t="s">
        <v>494</v>
      </c>
      <c r="I1891" s="6" t="s">
        <v>1042</v>
      </c>
      <c r="J1891" s="6" t="s">
        <v>398</v>
      </c>
      <c r="K1891" s="10">
        <v>35.2</v>
      </c>
      <c r="L1891" s="10">
        <v>44</v>
      </c>
      <c r="M1891" s="6" t="s">
        <v>425</v>
      </c>
      <c r="N1891" s="6" t="str">
        <f>IF(OR($G1891="FCC",$G1891="Hydrocracker",$G1891="Reformer"),IF(COUNTIFS($D:$D,$D1891,$A:$A,$A1891,$B:$B,$B1891,$G:$G,"CDU",$J:$J,"PLANNED")&gt;0,"tied","standalone"),"")</f>
        <v>tied</v>
      </c>
    </row>
    <row r="1892" spans="1:14">
      <c r="A1892" s="6">
        <v>2023</v>
      </c>
      <c r="B1892" s="6">
        <v>9</v>
      </c>
      <c r="C1892" s="6" t="s">
        <v>68</v>
      </c>
      <c r="D1892" s="6" t="s">
        <v>652</v>
      </c>
      <c r="E1892" s="6" t="s">
        <v>419</v>
      </c>
      <c r="F1892" s="6" t="str">
        <f>IF($M1892="PADD I","PADD 1",IF($M1892="PADD II","PADD 2",IF($M1892="PADD III","PADD 3",IF($M1892="PADD IV","PADD 4",IF($M1892="PADD V","PADD 5","")))))</f>
        <v>PADD 2</v>
      </c>
      <c r="G1892" s="6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6" t="s">
        <v>44</v>
      </c>
      <c r="I1892" s="6" t="s">
        <v>1043</v>
      </c>
      <c r="J1892" s="6" t="s">
        <v>398</v>
      </c>
      <c r="K1892" s="10">
        <v>35</v>
      </c>
      <c r="L1892" s="10">
        <v>35</v>
      </c>
      <c r="M1892" s="6" t="s">
        <v>425</v>
      </c>
      <c r="N1892" s="6">
        <f>IF(OR($G1892="FCC",$G1892="Hydrocracker",$G1892="Reformer"),IF(COUNTIFS($D:$D,$D1892,$A:$A,$A1892,$B:$B,$B1892,$G:$G,"CDU",$J:$J,"PLANNED")&gt;0,"tied","standalone"),"")</f>
        <v/>
      </c>
    </row>
    <row r="1893" spans="1:14">
      <c r="A1893" s="6">
        <v>2023</v>
      </c>
      <c r="B1893" s="6">
        <v>9</v>
      </c>
      <c r="C1893" s="6" t="s">
        <v>68</v>
      </c>
      <c r="D1893" s="6" t="s">
        <v>496</v>
      </c>
      <c r="E1893" s="6" t="s">
        <v>441</v>
      </c>
      <c r="F1893" s="6" t="str">
        <f>IF($M1893="PADD I","PADD 1",IF($M1893="PADD II","PADD 2",IF($M1893="PADD III","PADD 3",IF($M1893="PADD IV","PADD 4",IF($M1893="PADD V","PADD 5","")))))</f>
        <v>PADD 3</v>
      </c>
      <c r="G1893" s="6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6" t="s">
        <v>44</v>
      </c>
      <c r="I1893" s="6" t="s">
        <v>497</v>
      </c>
      <c r="J1893" s="6" t="s">
        <v>398</v>
      </c>
      <c r="K1893" s="10">
        <v>35</v>
      </c>
      <c r="L1893" s="10">
        <v>35</v>
      </c>
      <c r="M1893" s="6" t="s">
        <v>421</v>
      </c>
      <c r="N1893" s="6">
        <f>IF(OR($G1893="FCC",$G1893="Hydrocracker",$G1893="Reformer"),IF(COUNTIFS($D:$D,$D1893,$A:$A,$A1893,$B:$B,$B1893,$G:$G,"CDU",$J:$J,"PLANNED")&gt;0,"tied","standalone"),"")</f>
        <v/>
      </c>
    </row>
    <row r="1894" spans="1:14">
      <c r="A1894" s="6">
        <v>2023</v>
      </c>
      <c r="B1894" s="6">
        <v>9</v>
      </c>
      <c r="C1894" s="6" t="s">
        <v>68</v>
      </c>
      <c r="D1894" s="6" t="s">
        <v>498</v>
      </c>
      <c r="E1894" s="6" t="s">
        <v>441</v>
      </c>
      <c r="F1894" s="6" t="str">
        <f>IF($M1894="PADD I","PADD 1",IF($M1894="PADD II","PADD 2",IF($M1894="PADD III","PADD 3",IF($M1894="PADD IV","PADD 4",IF($M1894="PADD V","PADD 5","")))))</f>
        <v>PADD 3</v>
      </c>
      <c r="G1894" s="6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6" t="s">
        <v>44</v>
      </c>
      <c r="I1894" s="6" t="s">
        <v>499</v>
      </c>
      <c r="J1894" s="6" t="s">
        <v>394</v>
      </c>
      <c r="K1894" s="10">
        <v>35</v>
      </c>
      <c r="L1894" s="10">
        <v>35</v>
      </c>
      <c r="M1894" s="6" t="s">
        <v>421</v>
      </c>
      <c r="N1894" s="6">
        <f>IF(OR($G1894="FCC",$G1894="Hydrocracker",$G1894="Reformer"),IF(COUNTIFS($D:$D,$D1894,$A:$A,$A1894,$B:$B,$B1894,$G:$G,"CDU",$J:$J,"PLANNED")&gt;0,"tied","standalone"),"")</f>
        <v/>
      </c>
    </row>
    <row r="1895" spans="1:14">
      <c r="A1895" s="6">
        <v>2023</v>
      </c>
      <c r="B1895" s="6">
        <v>9</v>
      </c>
      <c r="C1895" s="6" t="s">
        <v>68</v>
      </c>
      <c r="D1895" s="6" t="s">
        <v>581</v>
      </c>
      <c r="E1895" s="6" t="s">
        <v>582</v>
      </c>
      <c r="F1895" s="6" t="str">
        <f>IF($M1895="PADD I","PADD 1",IF($M1895="PADD II","PADD 2",IF($M1895="PADD III","PADD 3",IF($M1895="PADD IV","PADD 4",IF($M1895="PADD V","PADD 5","")))))</f>
        <v>PADD 5</v>
      </c>
      <c r="G1895" s="6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6" t="s">
        <v>44</v>
      </c>
      <c r="I1895" s="6" t="s">
        <v>617</v>
      </c>
      <c r="J1895" s="6" t="s">
        <v>398</v>
      </c>
      <c r="K1895" s="10">
        <v>34.65</v>
      </c>
      <c r="L1895" s="10">
        <v>105</v>
      </c>
      <c r="M1895" s="6" t="s">
        <v>436</v>
      </c>
      <c r="N1895" s="6">
        <f>IF(OR($G1895="FCC",$G1895="Hydrocracker",$G1895="Reformer"),IF(COUNTIFS($D:$D,$D1895,$A:$A,$A1895,$B:$B,$B1895,$G:$G,"CDU",$J:$J,"PLANNED")&gt;0,"tied","standalone"),"")</f>
        <v/>
      </c>
    </row>
    <row r="1896" spans="1:14">
      <c r="A1896" s="6">
        <v>2023</v>
      </c>
      <c r="B1896" s="6">
        <v>9</v>
      </c>
      <c r="C1896" s="6" t="s">
        <v>68</v>
      </c>
      <c r="D1896" s="6" t="s">
        <v>41</v>
      </c>
      <c r="E1896" s="6" t="s">
        <v>786</v>
      </c>
      <c r="F1896" s="6" t="str">
        <f>IF($M1896="PADD I","PADD 1",IF($M1896="PADD II","PADD 2",IF($M1896="PADD III","PADD 3",IF($M1896="PADD IV","PADD 4",IF($M1896="PADD V","PADD 5","")))))</f>
        <v>PADD 1</v>
      </c>
      <c r="G1896" s="6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6" t="s">
        <v>44</v>
      </c>
      <c r="I1896" s="6" t="s">
        <v>1044</v>
      </c>
      <c r="J1896" s="6" t="s">
        <v>398</v>
      </c>
      <c r="K1896" s="10">
        <v>34.45</v>
      </c>
      <c r="L1896" s="10">
        <v>65</v>
      </c>
      <c r="M1896" s="6" t="s">
        <v>463</v>
      </c>
      <c r="N1896" s="6">
        <f>IF(OR($G1896="FCC",$G1896="Hydrocracker",$G1896="Reformer"),IF(COUNTIFS($D:$D,$D1896,$A:$A,$A1896,$B:$B,$B1896,$G:$G,"CDU",$J:$J,"PLANNED")&gt;0,"tied","standalone"),"")</f>
        <v/>
      </c>
    </row>
    <row r="1897" spans="1:14">
      <c r="A1897" s="6">
        <v>2023</v>
      </c>
      <c r="B1897" s="6">
        <v>9</v>
      </c>
      <c r="C1897" s="6" t="s">
        <v>68</v>
      </c>
      <c r="D1897" s="6" t="s">
        <v>465</v>
      </c>
      <c r="E1897" s="6" t="s">
        <v>466</v>
      </c>
      <c r="F1897" s="6" t="str">
        <f>IF($M1897="PADD I","PADD 1",IF($M1897="PADD II","PADD 2",IF($M1897="PADD III","PADD 3",IF($M1897="PADD IV","PADD 4",IF($M1897="PADD V","PADD 5","")))))</f>
        <v>PADD 3</v>
      </c>
      <c r="G1897" s="6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6" t="s">
        <v>485</v>
      </c>
      <c r="I1897" s="6" t="s">
        <v>503</v>
      </c>
      <c r="J1897" s="6" t="s">
        <v>394</v>
      </c>
      <c r="K1897" s="10">
        <v>34</v>
      </c>
      <c r="L1897" s="10">
        <v>34</v>
      </c>
      <c r="M1897" s="6" t="s">
        <v>421</v>
      </c>
      <c r="N1897" s="6">
        <f>IF(OR($G1897="FCC",$G1897="Hydrocracker",$G1897="Reformer"),IF(COUNTIFS($D:$D,$D1897,$A:$A,$A1897,$B:$B,$B1897,$G:$G,"CDU",$J:$J,"PLANNED")&gt;0,"tied","standalone"),"")</f>
        <v/>
      </c>
    </row>
    <row r="1898" spans="1:14">
      <c r="A1898" s="6">
        <v>2023</v>
      </c>
      <c r="B1898" s="6">
        <v>9</v>
      </c>
      <c r="C1898" s="6" t="s">
        <v>68</v>
      </c>
      <c r="D1898" s="6" t="s">
        <v>465</v>
      </c>
      <c r="E1898" s="6" t="s">
        <v>466</v>
      </c>
      <c r="F1898" s="6" t="str">
        <f>IF($M1898="PADD I","PADD 1",IF($M1898="PADD II","PADD 2",IF($M1898="PADD III","PADD 3",IF($M1898="PADD IV","PADD 4",IF($M1898="PADD V","PADD 5","")))))</f>
        <v>PADD 3</v>
      </c>
      <c r="G1898" s="6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6" t="s">
        <v>485</v>
      </c>
      <c r="I1898" s="6" t="s">
        <v>503</v>
      </c>
      <c r="J1898" s="6" t="s">
        <v>394</v>
      </c>
      <c r="K1898" s="10">
        <v>34</v>
      </c>
      <c r="L1898" s="10">
        <v>34</v>
      </c>
      <c r="M1898" s="6" t="s">
        <v>421</v>
      </c>
      <c r="N1898" s="6">
        <f>IF(OR($G1898="FCC",$G1898="Hydrocracker",$G1898="Reformer"),IF(COUNTIFS($D:$D,$D1898,$A:$A,$A1898,$B:$B,$B1898,$G:$G,"CDU",$J:$J,"PLANNED")&gt;0,"tied","standalone"),"")</f>
        <v/>
      </c>
    </row>
    <row r="1899" spans="1:14">
      <c r="A1899" s="6">
        <v>2023</v>
      </c>
      <c r="B1899" s="6">
        <v>9</v>
      </c>
      <c r="C1899" s="6" t="s">
        <v>68</v>
      </c>
      <c r="D1899" s="6" t="s">
        <v>465</v>
      </c>
      <c r="E1899" s="6" t="s">
        <v>466</v>
      </c>
      <c r="F1899" s="6" t="str">
        <f>IF($M1899="PADD I","PADD 1",IF($M1899="PADD II","PADD 2",IF($M1899="PADD III","PADD 3",IF($M1899="PADD IV","PADD 4",IF($M1899="PADD V","PADD 5","")))))</f>
        <v>PADD 3</v>
      </c>
      <c r="G1899" s="6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6" t="s">
        <v>426</v>
      </c>
      <c r="I1899" s="6" t="s">
        <v>1045</v>
      </c>
      <c r="J1899" s="6" t="s">
        <v>394</v>
      </c>
      <c r="K1899" s="10">
        <v>32.34</v>
      </c>
      <c r="L1899" s="10">
        <v>42</v>
      </c>
      <c r="M1899" s="6" t="s">
        <v>421</v>
      </c>
      <c r="N1899" s="6" t="str">
        <f>IF(OR($G1899="FCC",$G1899="Hydrocracker",$G1899="Reformer"),IF(COUNTIFS($D:$D,$D1899,$A:$A,$A1899,$B:$B,$B1899,$G:$G,"CDU",$J:$J,"PLANNED")&gt;0,"tied","standalone"),"")</f>
        <v>standalone</v>
      </c>
    </row>
    <row r="1900" spans="1:14">
      <c r="A1900" s="6">
        <v>2023</v>
      </c>
      <c r="B1900" s="6">
        <v>9</v>
      </c>
      <c r="C1900" s="6" t="s">
        <v>68</v>
      </c>
      <c r="D1900" s="6" t="s">
        <v>851</v>
      </c>
      <c r="E1900" s="6" t="s">
        <v>829</v>
      </c>
      <c r="F1900" s="6" t="str">
        <f>IF($M1900="PADD I","PADD 1",IF($M1900="PADD II","PADD 2",IF($M1900="PADD III","PADD 3",IF($M1900="PADD IV","PADD 4",IF($M1900="PADD V","PADD 5","")))))</f>
        <v>PADD 2</v>
      </c>
      <c r="G1900" s="6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6" t="s">
        <v>44</v>
      </c>
      <c r="I1900" s="6" t="s">
        <v>1046</v>
      </c>
      <c r="J1900" s="6" t="s">
        <v>398</v>
      </c>
      <c r="K1900" s="10">
        <v>32</v>
      </c>
      <c r="L1900" s="10">
        <v>40</v>
      </c>
      <c r="M1900" s="6" t="s">
        <v>425</v>
      </c>
      <c r="N1900" s="6">
        <f>IF(OR($G1900="FCC",$G1900="Hydrocracker",$G1900="Reformer"),IF(COUNTIFS($D:$D,$D1900,$A:$A,$A1900,$B:$B,$B1900,$G:$G,"CDU",$J:$J,"PLANNED")&gt;0,"tied","standalone"),"")</f>
        <v/>
      </c>
    </row>
    <row r="1901" spans="1:14">
      <c r="A1901" s="6">
        <v>2023</v>
      </c>
      <c r="B1901" s="6">
        <v>9</v>
      </c>
      <c r="C1901" s="6" t="s">
        <v>68</v>
      </c>
      <c r="D1901" s="6" t="s">
        <v>1047</v>
      </c>
      <c r="E1901" s="6" t="s">
        <v>419</v>
      </c>
      <c r="F1901" s="6" t="str">
        <f>IF($M1901="PADD I","PADD 1",IF($M1901="PADD II","PADD 2",IF($M1901="PADD III","PADD 3",IF($M1901="PADD IV","PADD 4",IF($M1901="PADD V","PADD 5","")))))</f>
        <v>PADD 2</v>
      </c>
      <c r="G1901" s="6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6" t="s">
        <v>428</v>
      </c>
      <c r="I1901" s="6" t="s">
        <v>836</v>
      </c>
      <c r="J1901" s="6" t="s">
        <v>394</v>
      </c>
      <c r="K1901" s="10">
        <v>30.03</v>
      </c>
      <c r="L1901" s="10">
        <v>39</v>
      </c>
      <c r="M1901" s="6" t="s">
        <v>425</v>
      </c>
      <c r="N1901" s="6">
        <f>IF(OR($G1901="FCC",$G1901="Hydrocracker",$G1901="Reformer"),IF(COUNTIFS($D:$D,$D1901,$A:$A,$A1901,$B:$B,$B1901,$G:$G,"CDU",$J:$J,"PLANNED")&gt;0,"tied","standalone"),"")</f>
        <v/>
      </c>
    </row>
    <row r="1902" spans="1:14">
      <c r="A1902" s="6">
        <v>2023</v>
      </c>
      <c r="B1902" s="6">
        <v>9</v>
      </c>
      <c r="C1902" s="6" t="s">
        <v>68</v>
      </c>
      <c r="D1902" s="6" t="s">
        <v>652</v>
      </c>
      <c r="E1902" s="6" t="s">
        <v>419</v>
      </c>
      <c r="F1902" s="6" t="str">
        <f>IF($M1902="PADD I","PADD 1",IF($M1902="PADD II","PADD 2",IF($M1902="PADD III","PADD 3",IF($M1902="PADD IV","PADD 4",IF($M1902="PADD V","PADD 5","")))))</f>
        <v>PADD 2</v>
      </c>
      <c r="G1902" s="6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6" t="s">
        <v>44</v>
      </c>
      <c r="I1902" s="6" t="s">
        <v>1048</v>
      </c>
      <c r="J1902" s="6" t="s">
        <v>398</v>
      </c>
      <c r="K1902" s="10">
        <v>30</v>
      </c>
      <c r="L1902" s="10">
        <v>30</v>
      </c>
      <c r="M1902" s="6" t="s">
        <v>425</v>
      </c>
      <c r="N1902" s="6">
        <f>IF(OR($G1902="FCC",$G1902="Hydrocracker",$G1902="Reformer"),IF(COUNTIFS($D:$D,$D1902,$A:$A,$A1902,$B:$B,$B1902,$G:$G,"CDU",$J:$J,"PLANNED")&gt;0,"tied","standalone"),"")</f>
        <v/>
      </c>
    </row>
    <row r="1903" spans="1:14">
      <c r="A1903" s="6">
        <v>2023</v>
      </c>
      <c r="B1903" s="6">
        <v>9</v>
      </c>
      <c r="C1903" s="6" t="s">
        <v>68</v>
      </c>
      <c r="D1903" s="6" t="s">
        <v>652</v>
      </c>
      <c r="E1903" s="6" t="s">
        <v>419</v>
      </c>
      <c r="F1903" s="6" t="str">
        <f>IF($M1903="PADD I","PADD 1",IF($M1903="PADD II","PADD 2",IF($M1903="PADD III","PADD 3",IF($M1903="PADD IV","PADD 4",IF($M1903="PADD V","PADD 5","")))))</f>
        <v>PADD 2</v>
      </c>
      <c r="G1903" s="6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6" t="s">
        <v>44</v>
      </c>
      <c r="I1903" s="6" t="s">
        <v>1049</v>
      </c>
      <c r="J1903" s="6" t="s">
        <v>398</v>
      </c>
      <c r="K1903" s="10">
        <v>30</v>
      </c>
      <c r="L1903" s="10">
        <v>30</v>
      </c>
      <c r="M1903" s="6" t="s">
        <v>425</v>
      </c>
      <c r="N1903" s="6">
        <f>IF(OR($G1903="FCC",$G1903="Hydrocracker",$G1903="Reformer"),IF(COUNTIFS($D:$D,$D1903,$A:$A,$A1903,$B:$B,$B1903,$G:$G,"CDU",$J:$J,"PLANNED")&gt;0,"tied","standalone"),"")</f>
        <v/>
      </c>
    </row>
    <row r="1904" spans="1:14">
      <c r="A1904" s="6">
        <v>2023</v>
      </c>
      <c r="B1904" s="6">
        <v>9</v>
      </c>
      <c r="C1904" s="6" t="s">
        <v>68</v>
      </c>
      <c r="D1904" s="6" t="s">
        <v>851</v>
      </c>
      <c r="E1904" s="6" t="s">
        <v>829</v>
      </c>
      <c r="F1904" s="6" t="str">
        <f>IF($M1904="PADD I","PADD 1",IF($M1904="PADD II","PADD 2",IF($M1904="PADD III","PADD 3",IF($M1904="PADD IV","PADD 4",IF($M1904="PADD V","PADD 5","")))))</f>
        <v>PADD 2</v>
      </c>
      <c r="G1904" s="6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6" t="s">
        <v>471</v>
      </c>
      <c r="I1904" s="6" t="s">
        <v>1050</v>
      </c>
      <c r="J1904" s="6" t="s">
        <v>398</v>
      </c>
      <c r="K1904" s="10">
        <v>29.6</v>
      </c>
      <c r="L1904" s="10">
        <v>37</v>
      </c>
      <c r="M1904" s="6" t="s">
        <v>425</v>
      </c>
      <c r="N1904" s="6" t="str">
        <f>IF(OR($G1904="FCC",$G1904="Hydrocracker",$G1904="Reformer"),IF(COUNTIFS($D:$D,$D1904,$A:$A,$A1904,$B:$B,$B1904,$G:$G,"CDU",$J:$J,"PLANNED")&gt;0,"tied","standalone"),"")</f>
        <v>tied</v>
      </c>
    </row>
    <row r="1905" spans="1:14">
      <c r="A1905" s="6">
        <v>2023</v>
      </c>
      <c r="B1905" s="6">
        <v>9</v>
      </c>
      <c r="C1905" s="6" t="s">
        <v>68</v>
      </c>
      <c r="D1905" s="6" t="s">
        <v>458</v>
      </c>
      <c r="E1905" s="6" t="s">
        <v>459</v>
      </c>
      <c r="F1905" s="6" t="str">
        <f>IF($M1905="PADD I","PADD 1",IF($M1905="PADD II","PADD 2",IF($M1905="PADD III","PADD 3",IF($M1905="PADD IV","PADD 4",IF($M1905="PADD V","PADD 5","")))))</f>
        <v>PADD 3</v>
      </c>
      <c r="G1905" s="6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6" t="s">
        <v>428</v>
      </c>
      <c r="I1905" s="6" t="s">
        <v>556</v>
      </c>
      <c r="J1905" s="6" t="s">
        <v>394</v>
      </c>
      <c r="K1905" s="10">
        <v>27.03</v>
      </c>
      <c r="L1905" s="10">
        <v>51</v>
      </c>
      <c r="M1905" s="6" t="s">
        <v>421</v>
      </c>
      <c r="N1905" s="6">
        <f>IF(OR($G1905="FCC",$G1905="Hydrocracker",$G1905="Reformer"),IF(COUNTIFS($D:$D,$D1905,$A:$A,$A1905,$B:$B,$B1905,$G:$G,"CDU",$J:$J,"PLANNED")&gt;0,"tied","standalone"),"")</f>
        <v/>
      </c>
    </row>
    <row r="1906" spans="1:14">
      <c r="A1906" s="6">
        <v>2023</v>
      </c>
      <c r="B1906" s="6">
        <v>9</v>
      </c>
      <c r="C1906" s="6" t="s">
        <v>68</v>
      </c>
      <c r="D1906" s="6" t="s">
        <v>41</v>
      </c>
      <c r="E1906" s="6" t="s">
        <v>786</v>
      </c>
      <c r="F1906" s="6" t="str">
        <f>IF($M1906="PADD I","PADD 1",IF($M1906="PADD II","PADD 2",IF($M1906="PADD III","PADD 3",IF($M1906="PADD IV","PADD 4",IF($M1906="PADD V","PADD 5","")))))</f>
        <v>PADD 1</v>
      </c>
      <c r="G1906" s="6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6" t="s">
        <v>44</v>
      </c>
      <c r="I1906" s="6" t="s">
        <v>543</v>
      </c>
      <c r="J1906" s="6" t="s">
        <v>398</v>
      </c>
      <c r="K1906" s="10">
        <v>25.8</v>
      </c>
      <c r="L1906" s="10">
        <v>60</v>
      </c>
      <c r="M1906" s="6" t="s">
        <v>463</v>
      </c>
      <c r="N1906" s="6">
        <f>IF(OR($G1906="FCC",$G1906="Hydrocracker",$G1906="Reformer"),IF(COUNTIFS($D:$D,$D1906,$A:$A,$A1906,$B:$B,$B1906,$G:$G,"CDU",$J:$J,"PLANNED")&gt;0,"tied","standalone"),"")</f>
        <v/>
      </c>
    </row>
    <row r="1907" spans="1:14">
      <c r="A1907" s="6">
        <v>2023</v>
      </c>
      <c r="B1907" s="6">
        <v>9</v>
      </c>
      <c r="C1907" s="6" t="s">
        <v>68</v>
      </c>
      <c r="D1907" s="6" t="s">
        <v>652</v>
      </c>
      <c r="E1907" s="6" t="s">
        <v>419</v>
      </c>
      <c r="F1907" s="6" t="str">
        <f>IF($M1907="PADD I","PADD 1",IF($M1907="PADD II","PADD 2",IF($M1907="PADD III","PADD 3",IF($M1907="PADD IV","PADD 4",IF($M1907="PADD V","PADD 5","")))))</f>
        <v>PADD 2</v>
      </c>
      <c r="G1907" s="6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6" t="s">
        <v>44</v>
      </c>
      <c r="I1907" s="6" t="s">
        <v>1051</v>
      </c>
      <c r="J1907" s="6" t="s">
        <v>398</v>
      </c>
      <c r="K1907" s="10">
        <v>25</v>
      </c>
      <c r="L1907" s="10">
        <v>25</v>
      </c>
      <c r="M1907" s="6" t="s">
        <v>425</v>
      </c>
      <c r="N1907" s="6">
        <f>IF(OR($G1907="FCC",$G1907="Hydrocracker",$G1907="Reformer"),IF(COUNTIFS($D:$D,$D1907,$A:$A,$A1907,$B:$B,$B1907,$G:$G,"CDU",$J:$J,"PLANNED")&gt;0,"tied","standalone"),"")</f>
        <v/>
      </c>
    </row>
    <row r="1908" spans="1:14">
      <c r="A1908" s="6">
        <v>2023</v>
      </c>
      <c r="B1908" s="6">
        <v>9</v>
      </c>
      <c r="C1908" s="6" t="s">
        <v>68</v>
      </c>
      <c r="D1908" s="6" t="s">
        <v>470</v>
      </c>
      <c r="E1908" s="6" t="s">
        <v>423</v>
      </c>
      <c r="F1908" s="6" t="str">
        <f>IF($M1908="PADD I","PADD 1",IF($M1908="PADD II","PADD 2",IF($M1908="PADD III","PADD 3",IF($M1908="PADD IV","PADD 4",IF($M1908="PADD V","PADD 5","")))))</f>
        <v>PADD 2</v>
      </c>
      <c r="G1908" s="6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6" t="s">
        <v>39</v>
      </c>
      <c r="I1908" s="6" t="s">
        <v>82</v>
      </c>
      <c r="J1908" s="6" t="s">
        <v>394</v>
      </c>
      <c r="K1908" s="10">
        <v>24.5</v>
      </c>
      <c r="L1908" s="10">
        <v>24.5</v>
      </c>
      <c r="M1908" s="6" t="s">
        <v>425</v>
      </c>
      <c r="N1908" s="6">
        <f>IF(OR($G1908="FCC",$G1908="Hydrocracker",$G1908="Reformer"),IF(COUNTIFS($D:$D,$D1908,$A:$A,$A1908,$B:$B,$B1908,$G:$G,"CDU",$J:$J,"PLANNED")&gt;0,"tied","standalone"),"")</f>
        <v/>
      </c>
    </row>
    <row r="1909" spans="1:14">
      <c r="A1909" s="6">
        <v>2023</v>
      </c>
      <c r="B1909" s="6">
        <v>9</v>
      </c>
      <c r="C1909" s="6" t="s">
        <v>68</v>
      </c>
      <c r="D1909" s="6" t="s">
        <v>652</v>
      </c>
      <c r="E1909" s="6" t="s">
        <v>419</v>
      </c>
      <c r="F1909" s="6" t="str">
        <f>IF($M1909="PADD I","PADD 1",IF($M1909="PADD II","PADD 2",IF($M1909="PADD III","PADD 3",IF($M1909="PADD IV","PADD 4",IF($M1909="PADD V","PADD 5","")))))</f>
        <v>PADD 2</v>
      </c>
      <c r="G1909" s="6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6" t="s">
        <v>44</v>
      </c>
      <c r="I1909" s="6" t="s">
        <v>1052</v>
      </c>
      <c r="J1909" s="6" t="s">
        <v>398</v>
      </c>
      <c r="K1909" s="10">
        <v>24</v>
      </c>
      <c r="L1909" s="10">
        <v>24</v>
      </c>
      <c r="M1909" s="6" t="s">
        <v>425</v>
      </c>
      <c r="N1909" s="6">
        <f>IF(OR($G1909="FCC",$G1909="Hydrocracker",$G1909="Reformer"),IF(COUNTIFS($D:$D,$D1909,$A:$A,$A1909,$B:$B,$B1909,$G:$G,"CDU",$J:$J,"PLANNED")&gt;0,"tied","standalone"),"")</f>
        <v/>
      </c>
    </row>
    <row r="1910" spans="1:14">
      <c r="A1910" s="6">
        <v>2023</v>
      </c>
      <c r="B1910" s="6">
        <v>9</v>
      </c>
      <c r="C1910" s="6" t="s">
        <v>68</v>
      </c>
      <c r="D1910" s="6" t="s">
        <v>41</v>
      </c>
      <c r="E1910" s="6" t="s">
        <v>786</v>
      </c>
      <c r="F1910" s="6" t="str">
        <f>IF($M1910="PADD I","PADD 1",IF($M1910="PADD II","PADD 2",IF($M1910="PADD III","PADD 3",IF($M1910="PADD IV","PADD 4",IF($M1910="PADD V","PADD 5","")))))</f>
        <v>PADD 1</v>
      </c>
      <c r="G1910" s="6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6" t="s">
        <v>471</v>
      </c>
      <c r="I1910" s="6" t="s">
        <v>832</v>
      </c>
      <c r="J1910" s="6" t="s">
        <v>398</v>
      </c>
      <c r="K1910" s="10">
        <v>24</v>
      </c>
      <c r="L1910" s="10">
        <v>60</v>
      </c>
      <c r="M1910" s="6" t="s">
        <v>463</v>
      </c>
      <c r="N1910" s="6" t="str">
        <f>IF(OR($G1910="FCC",$G1910="Hydrocracker",$G1910="Reformer"),IF(COUNTIFS($D:$D,$D1910,$A:$A,$A1910,$B:$B,$B1910,$G:$G,"CDU",$J:$J,"PLANNED")&gt;0,"tied","standalone"),"")</f>
        <v>tied</v>
      </c>
    </row>
    <row r="1911" spans="1:14">
      <c r="A1911" s="6">
        <v>2023</v>
      </c>
      <c r="B1911" s="6">
        <v>9</v>
      </c>
      <c r="C1911" s="6" t="s">
        <v>68</v>
      </c>
      <c r="D1911" s="6" t="s">
        <v>851</v>
      </c>
      <c r="E1911" s="6" t="s">
        <v>829</v>
      </c>
      <c r="F1911" s="6" t="str">
        <f>IF($M1911="PADD I","PADD 1",IF($M1911="PADD II","PADD 2",IF($M1911="PADD III","PADD 3",IF($M1911="PADD IV","PADD 4",IF($M1911="PADD V","PADD 5","")))))</f>
        <v>PADD 2</v>
      </c>
      <c r="G1911" s="6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6" t="s">
        <v>471</v>
      </c>
      <c r="I1911" s="6" t="s">
        <v>832</v>
      </c>
      <c r="J1911" s="6" t="s">
        <v>398</v>
      </c>
      <c r="K1911" s="10">
        <v>23.8</v>
      </c>
      <c r="L1911" s="10">
        <v>34</v>
      </c>
      <c r="M1911" s="6" t="s">
        <v>425</v>
      </c>
      <c r="N1911" s="6" t="str">
        <f>IF(OR($G1911="FCC",$G1911="Hydrocracker",$G1911="Reformer"),IF(COUNTIFS($D:$D,$D1911,$A:$A,$A1911,$B:$B,$B1911,$G:$G,"CDU",$J:$J,"PLANNED")&gt;0,"tied","standalone"),"")</f>
        <v>tied</v>
      </c>
    </row>
    <row r="1912" spans="1:14">
      <c r="A1912" s="6">
        <v>2023</v>
      </c>
      <c r="B1912" s="6">
        <v>9</v>
      </c>
      <c r="C1912" s="6" t="s">
        <v>68</v>
      </c>
      <c r="D1912" s="6" t="s">
        <v>581</v>
      </c>
      <c r="E1912" s="6" t="s">
        <v>582</v>
      </c>
      <c r="F1912" s="6" t="str">
        <f>IF($M1912="PADD I","PADD 1",IF($M1912="PADD II","PADD 2",IF($M1912="PADD III","PADD 3",IF($M1912="PADD IV","PADD 4",IF($M1912="PADD V","PADD 5","")))))</f>
        <v>PADD 5</v>
      </c>
      <c r="G1912" s="6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6" t="s">
        <v>426</v>
      </c>
      <c r="I1912" s="6" t="s">
        <v>106</v>
      </c>
      <c r="J1912" s="6" t="s">
        <v>398</v>
      </c>
      <c r="K1912" s="10">
        <v>23</v>
      </c>
      <c r="L1912" s="10">
        <v>100</v>
      </c>
      <c r="M1912" s="6" t="s">
        <v>436</v>
      </c>
      <c r="N1912" s="6" t="str">
        <f>IF(OR($G1912="FCC",$G1912="Hydrocracker",$G1912="Reformer"),IF(COUNTIFS($D:$D,$D1912,$A:$A,$A1912,$B:$B,$B1912,$G:$G,"CDU",$J:$J,"PLANNED")&gt;0,"tied","standalone"),"")</f>
        <v>standalone</v>
      </c>
    </row>
    <row r="1913" spans="1:14">
      <c r="A1913" s="6">
        <v>2023</v>
      </c>
      <c r="B1913" s="6">
        <v>9</v>
      </c>
      <c r="C1913" s="6" t="s">
        <v>68</v>
      </c>
      <c r="D1913" s="6" t="s">
        <v>41</v>
      </c>
      <c r="E1913" s="6" t="s">
        <v>786</v>
      </c>
      <c r="F1913" s="6" t="str">
        <f>IF($M1913="PADD I","PADD 1",IF($M1913="PADD II","PADD 2",IF($M1913="PADD III","PADD 3",IF($M1913="PADD IV","PADD 4",IF($M1913="PADD V","PADD 5","")))))</f>
        <v>PADD 1</v>
      </c>
      <c r="G1913" s="6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6" t="s">
        <v>44</v>
      </c>
      <c r="I1913" s="6" t="s">
        <v>1053</v>
      </c>
      <c r="J1913" s="6" t="s">
        <v>398</v>
      </c>
      <c r="K1913" s="10">
        <v>22.8</v>
      </c>
      <c r="L1913" s="10">
        <v>40</v>
      </c>
      <c r="M1913" s="6" t="s">
        <v>463</v>
      </c>
      <c r="N1913" s="6">
        <f>IF(OR($G1913="FCC",$G1913="Hydrocracker",$G1913="Reformer"),IF(COUNTIFS($D:$D,$D1913,$A:$A,$A1913,$B:$B,$B1913,$G:$G,"CDU",$J:$J,"PLANNED")&gt;0,"tied","standalone"),"")</f>
        <v/>
      </c>
    </row>
    <row r="1914" spans="1:14">
      <c r="A1914" s="6">
        <v>2023</v>
      </c>
      <c r="B1914" s="6">
        <v>9</v>
      </c>
      <c r="C1914" s="6" t="s">
        <v>68</v>
      </c>
      <c r="D1914" s="6" t="s">
        <v>928</v>
      </c>
      <c r="E1914" s="6" t="s">
        <v>502</v>
      </c>
      <c r="F1914" s="6" t="str">
        <f>IF($M1914="PADD I","PADD 1",IF($M1914="PADD II","PADD 2",IF($M1914="PADD III","PADD 3",IF($M1914="PADD IV","PADD 4",IF($M1914="PADD V","PADD 5","")))))</f>
        <v>PADD 2</v>
      </c>
      <c r="G1914" s="6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6" t="s">
        <v>428</v>
      </c>
      <c r="I1914" s="6" t="s">
        <v>586</v>
      </c>
      <c r="J1914" s="6" t="s">
        <v>398</v>
      </c>
      <c r="K1914" s="10">
        <v>22.4</v>
      </c>
      <c r="L1914" s="10">
        <v>32</v>
      </c>
      <c r="M1914" s="6" t="s">
        <v>425</v>
      </c>
      <c r="N1914" s="6">
        <f>IF(OR($G1914="FCC",$G1914="Hydrocracker",$G1914="Reformer"),IF(COUNTIFS($D:$D,$D1914,$A:$A,$A1914,$B:$B,$B1914,$G:$G,"CDU",$J:$J,"PLANNED")&gt;0,"tied","standalone"),"")</f>
        <v/>
      </c>
    </row>
    <row r="1915" spans="1:14">
      <c r="A1915" s="6">
        <v>2023</v>
      </c>
      <c r="B1915" s="6">
        <v>9</v>
      </c>
      <c r="C1915" s="6" t="s">
        <v>68</v>
      </c>
      <c r="D1915" s="6" t="s">
        <v>458</v>
      </c>
      <c r="E1915" s="6" t="s">
        <v>459</v>
      </c>
      <c r="F1915" s="6" t="str">
        <f>IF($M1915="PADD I","PADD 1",IF($M1915="PADD II","PADD 2",IF($M1915="PADD III","PADD 3",IF($M1915="PADD IV","PADD 4",IF($M1915="PADD V","PADD 5","")))))</f>
        <v>PADD 3</v>
      </c>
      <c r="G1915" s="6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6" t="s">
        <v>485</v>
      </c>
      <c r="I1915" s="6" t="s">
        <v>509</v>
      </c>
      <c r="J1915" s="6" t="s">
        <v>394</v>
      </c>
      <c r="K1915" s="10">
        <v>22.2</v>
      </c>
      <c r="L1915" s="10">
        <v>60</v>
      </c>
      <c r="M1915" s="6" t="s">
        <v>421</v>
      </c>
      <c r="N1915" s="6">
        <f>IF(OR($G1915="FCC",$G1915="Hydrocracker",$G1915="Reformer"),IF(COUNTIFS($D:$D,$D1915,$A:$A,$A1915,$B:$B,$B1915,$G:$G,"CDU",$J:$J,"PLANNED")&gt;0,"tied","standalone"),"")</f>
        <v/>
      </c>
    </row>
    <row r="1916" spans="1:14">
      <c r="A1916" s="6">
        <v>2023</v>
      </c>
      <c r="B1916" s="6">
        <v>9</v>
      </c>
      <c r="C1916" s="6" t="s">
        <v>68</v>
      </c>
      <c r="D1916" s="6" t="s">
        <v>1054</v>
      </c>
      <c r="E1916" s="6" t="s">
        <v>431</v>
      </c>
      <c r="F1916" s="6" t="str">
        <f>IF($M1916="PADD I","PADD 1",IF($M1916="PADD II","PADD 2",IF($M1916="PADD III","PADD 3",IF($M1916="PADD IV","PADD 4",IF($M1916="PADD V","PADD 5","")))))</f>
        <v>PADD 3</v>
      </c>
      <c r="G1916" s="6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6" t="s">
        <v>428</v>
      </c>
      <c r="I1916" s="6" t="s">
        <v>836</v>
      </c>
      <c r="J1916" s="6" t="s">
        <v>394</v>
      </c>
      <c r="K1916" s="10">
        <v>21.46</v>
      </c>
      <c r="L1916" s="10">
        <v>58</v>
      </c>
      <c r="M1916" s="6" t="s">
        <v>421</v>
      </c>
      <c r="N1916" s="6">
        <f>IF(OR($G1916="FCC",$G1916="Hydrocracker",$G1916="Reformer"),IF(COUNTIFS($D:$D,$D1916,$A:$A,$A1916,$B:$B,$B1916,$G:$G,"CDU",$J:$J,"PLANNED")&gt;0,"tied","standalone"),"")</f>
        <v/>
      </c>
    </row>
    <row r="1917" spans="1:14">
      <c r="A1917" s="6">
        <v>2023</v>
      </c>
      <c r="B1917" s="6">
        <v>9</v>
      </c>
      <c r="C1917" s="6" t="s">
        <v>68</v>
      </c>
      <c r="D1917" s="6" t="s">
        <v>470</v>
      </c>
      <c r="E1917" s="6" t="s">
        <v>423</v>
      </c>
      <c r="F1917" s="6" t="str">
        <f>IF($M1917="PADD I","PADD 1",IF($M1917="PADD II","PADD 2",IF($M1917="PADD III","PADD 3",IF($M1917="PADD IV","PADD 4",IF($M1917="PADD V","PADD 5","")))))</f>
        <v>PADD 2</v>
      </c>
      <c r="G1917" s="6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6" t="s">
        <v>428</v>
      </c>
      <c r="I1917" s="6" t="s">
        <v>481</v>
      </c>
      <c r="J1917" s="6" t="s">
        <v>394</v>
      </c>
      <c r="K1917" s="10">
        <v>20.5</v>
      </c>
      <c r="L1917" s="10">
        <v>20.5</v>
      </c>
      <c r="M1917" s="6" t="s">
        <v>425</v>
      </c>
      <c r="N1917" s="6">
        <f>IF(OR($G1917="FCC",$G1917="Hydrocracker",$G1917="Reformer"),IF(COUNTIFS($D:$D,$D1917,$A:$A,$A1917,$B:$B,$B1917,$G:$G,"CDU",$J:$J,"PLANNED")&gt;0,"tied","standalone"),"")</f>
        <v/>
      </c>
    </row>
    <row r="1918" spans="1:14">
      <c r="A1918" s="6">
        <v>2023</v>
      </c>
      <c r="B1918" s="6">
        <v>9</v>
      </c>
      <c r="C1918" s="6" t="s">
        <v>68</v>
      </c>
      <c r="D1918" s="6" t="s">
        <v>853</v>
      </c>
      <c r="E1918" s="6" t="s">
        <v>438</v>
      </c>
      <c r="F1918" s="6" t="str">
        <f>IF($M1918="PADD I","PADD 1",IF($M1918="PADD II","PADD 2",IF($M1918="PADD III","PADD 3",IF($M1918="PADD IV","PADD 4",IF($M1918="PADD V","PADD 5","")))))</f>
        <v>PADD 2</v>
      </c>
      <c r="G1918" s="6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6" t="s">
        <v>44</v>
      </c>
      <c r="I1918" s="6" t="s">
        <v>570</v>
      </c>
      <c r="J1918" s="6" t="s">
        <v>394</v>
      </c>
      <c r="K1918" s="10">
        <v>20.44</v>
      </c>
      <c r="L1918" s="10">
        <v>28</v>
      </c>
      <c r="M1918" s="6" t="s">
        <v>425</v>
      </c>
      <c r="N1918" s="6">
        <f>IF(OR($G1918="FCC",$G1918="Hydrocracker",$G1918="Reformer"),IF(COUNTIFS($D:$D,$D1918,$A:$A,$A1918,$B:$B,$B1918,$G:$G,"CDU",$J:$J,"PLANNED")&gt;0,"tied","standalone"),"")</f>
        <v/>
      </c>
    </row>
    <row r="1919" spans="1:14">
      <c r="A1919" s="6">
        <v>2023</v>
      </c>
      <c r="B1919" s="6">
        <v>9</v>
      </c>
      <c r="C1919" s="6" t="s">
        <v>68</v>
      </c>
      <c r="D1919" s="6" t="s">
        <v>465</v>
      </c>
      <c r="E1919" s="6" t="s">
        <v>466</v>
      </c>
      <c r="F1919" s="6" t="str">
        <f>IF($M1919="PADD I","PADD 1",IF($M1919="PADD II","PADD 2",IF($M1919="PADD III","PADD 3",IF($M1919="PADD IV","PADD 4",IF($M1919="PADD V","PADD 5","")))))</f>
        <v>PADD 3</v>
      </c>
      <c r="G1919" s="6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6" t="s">
        <v>44</v>
      </c>
      <c r="I1919" s="6" t="s">
        <v>1055</v>
      </c>
      <c r="J1919" s="6" t="s">
        <v>398</v>
      </c>
      <c r="K1919" s="10">
        <v>20.14</v>
      </c>
      <c r="L1919" s="10">
        <v>38</v>
      </c>
      <c r="M1919" s="6" t="s">
        <v>421</v>
      </c>
      <c r="N1919" s="6">
        <f>IF(OR($G1919="FCC",$G1919="Hydrocracker",$G1919="Reformer"),IF(COUNTIFS($D:$D,$D1919,$A:$A,$A1919,$B:$B,$B1919,$G:$G,"CDU",$J:$J,"PLANNED")&gt;0,"tied","standalone"),"")</f>
        <v/>
      </c>
    </row>
    <row r="1920" spans="1:14">
      <c r="A1920" s="6">
        <v>2023</v>
      </c>
      <c r="B1920" s="6">
        <v>9</v>
      </c>
      <c r="C1920" s="6" t="s">
        <v>68</v>
      </c>
      <c r="D1920" s="6" t="s">
        <v>518</v>
      </c>
      <c r="E1920" s="6" t="s">
        <v>419</v>
      </c>
      <c r="F1920" s="6" t="str">
        <f>IF($M1920="PADD I","PADD 1",IF($M1920="PADD II","PADD 2",IF($M1920="PADD III","PADD 3",IF($M1920="PADD IV","PADD 4",IF($M1920="PADD V","PADD 5","")))))</f>
        <v>PADD 3</v>
      </c>
      <c r="G1920" s="6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6" t="s">
        <v>426</v>
      </c>
      <c r="I1920" s="6" t="s">
        <v>523</v>
      </c>
      <c r="J1920" s="6" t="s">
        <v>398</v>
      </c>
      <c r="K1920" s="10">
        <v>20.1</v>
      </c>
      <c r="L1920" s="10">
        <v>30</v>
      </c>
      <c r="M1920" s="6" t="s">
        <v>421</v>
      </c>
      <c r="N1920" s="6" t="str">
        <f>IF(OR($G1920="FCC",$G1920="Hydrocracker",$G1920="Reformer"),IF(COUNTIFS($D:$D,$D1920,$A:$A,$A1920,$B:$B,$B1920,$G:$G,"CDU",$J:$J,"PLANNED")&gt;0,"tied","standalone"),"")</f>
        <v>standalone</v>
      </c>
    </row>
    <row r="1921" spans="1:14">
      <c r="A1921" s="6">
        <v>2023</v>
      </c>
      <c r="B1921" s="6">
        <v>9</v>
      </c>
      <c r="C1921" s="6" t="s">
        <v>68</v>
      </c>
      <c r="D1921" s="6" t="s">
        <v>652</v>
      </c>
      <c r="E1921" s="6" t="s">
        <v>419</v>
      </c>
      <c r="F1921" s="6" t="str">
        <f>IF($M1921="PADD I","PADD 1",IF($M1921="PADD II","PADD 2",IF($M1921="PADD III","PADD 3",IF($M1921="PADD IV","PADD 4",IF($M1921="PADD V","PADD 5","")))))</f>
        <v>PADD 2</v>
      </c>
      <c r="G1921" s="6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6" t="s">
        <v>471</v>
      </c>
      <c r="I1921" s="6" t="s">
        <v>747</v>
      </c>
      <c r="J1921" s="6" t="s">
        <v>398</v>
      </c>
      <c r="K1921" s="10">
        <v>20</v>
      </c>
      <c r="L1921" s="10">
        <v>20</v>
      </c>
      <c r="M1921" s="6" t="s">
        <v>425</v>
      </c>
      <c r="N1921" s="6" t="str">
        <f>IF(OR($G1921="FCC",$G1921="Hydrocracker",$G1921="Reformer"),IF(COUNTIFS($D:$D,$D1921,$A:$A,$A1921,$B:$B,$B1921,$G:$G,"CDU",$J:$J,"PLANNED")&gt;0,"tied","standalone"),"")</f>
        <v>standalone</v>
      </c>
    </row>
    <row r="1922" spans="1:14">
      <c r="A1922" s="6">
        <v>2023</v>
      </c>
      <c r="B1922" s="6">
        <v>9</v>
      </c>
      <c r="C1922" s="6" t="s">
        <v>68</v>
      </c>
      <c r="D1922" s="6" t="s">
        <v>592</v>
      </c>
      <c r="E1922" s="6" t="s">
        <v>593</v>
      </c>
      <c r="F1922" s="6" t="str">
        <f>IF($M1922="PADD I","PADD 1",IF($M1922="PADD II","PADD 2",IF($M1922="PADD III","PADD 3",IF($M1922="PADD IV","PADD 4",IF($M1922="PADD V","PADD 5","")))))</f>
        <v>PADD 2</v>
      </c>
      <c r="G1922" s="6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6" t="s">
        <v>44</v>
      </c>
      <c r="I1922" s="6" t="s">
        <v>1056</v>
      </c>
      <c r="J1922" s="6" t="s">
        <v>398</v>
      </c>
      <c r="K1922" s="10">
        <v>19.08</v>
      </c>
      <c r="L1922" s="10">
        <v>36</v>
      </c>
      <c r="M1922" s="6" t="s">
        <v>425</v>
      </c>
      <c r="N1922" s="6">
        <f>IF(OR($G1922="FCC",$G1922="Hydrocracker",$G1922="Reformer"),IF(COUNTIFS($D:$D,$D1922,$A:$A,$A1922,$B:$B,$B1922,$G:$G,"CDU",$J:$J,"PLANNED")&gt;0,"tied","standalone"),"")</f>
        <v/>
      </c>
    </row>
    <row r="1923" spans="1:14">
      <c r="A1923" s="6">
        <v>2023</v>
      </c>
      <c r="B1923" s="6">
        <v>9</v>
      </c>
      <c r="C1923" s="6" t="s">
        <v>68</v>
      </c>
      <c r="D1923" s="6" t="s">
        <v>851</v>
      </c>
      <c r="E1923" s="6" t="s">
        <v>829</v>
      </c>
      <c r="F1923" s="6" t="str">
        <f>IF($M1923="PADD I","PADD 1",IF($M1923="PADD II","PADD 2",IF($M1923="PADD III","PADD 3",IF($M1923="PADD IV","PADD 4",IF($M1923="PADD V","PADD 5","")))))</f>
        <v>PADD 2</v>
      </c>
      <c r="G1923" s="6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6" t="s">
        <v>485</v>
      </c>
      <c r="I1923" s="6" t="s">
        <v>852</v>
      </c>
      <c r="J1923" s="6" t="s">
        <v>394</v>
      </c>
      <c r="K1923" s="10">
        <v>18.48</v>
      </c>
      <c r="L1923" s="10">
        <v>24</v>
      </c>
      <c r="M1923" s="6" t="s">
        <v>425</v>
      </c>
      <c r="N1923" s="6">
        <f>IF(OR($G1923="FCC",$G1923="Hydrocracker",$G1923="Reformer"),IF(COUNTIFS($D:$D,$D1923,$A:$A,$A1923,$B:$B,$B1923,$G:$G,"CDU",$J:$J,"PLANNED")&gt;0,"tied","standalone"),"")</f>
        <v/>
      </c>
    </row>
    <row r="1924" spans="1:14">
      <c r="A1924" s="6">
        <v>2023</v>
      </c>
      <c r="B1924" s="6">
        <v>9</v>
      </c>
      <c r="C1924" s="6" t="s">
        <v>68</v>
      </c>
      <c r="D1924" s="6" t="s">
        <v>652</v>
      </c>
      <c r="E1924" s="6" t="s">
        <v>419</v>
      </c>
      <c r="F1924" s="6" t="str">
        <f>IF($M1924="PADD I","PADD 1",IF($M1924="PADD II","PADD 2",IF($M1924="PADD III","PADD 3",IF($M1924="PADD IV","PADD 4",IF($M1924="PADD V","PADD 5","")))))</f>
        <v>PADD 2</v>
      </c>
      <c r="G1924" s="6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6" t="s">
        <v>44</v>
      </c>
      <c r="I1924" s="6" t="s">
        <v>1057</v>
      </c>
      <c r="J1924" s="6" t="s">
        <v>398</v>
      </c>
      <c r="K1924" s="10">
        <v>18</v>
      </c>
      <c r="L1924" s="10">
        <v>18</v>
      </c>
      <c r="M1924" s="6" t="s">
        <v>425</v>
      </c>
      <c r="N1924" s="6">
        <f>IF(OR($G1924="FCC",$G1924="Hydrocracker",$G1924="Reformer"),IF(COUNTIFS($D:$D,$D1924,$A:$A,$A1924,$B:$B,$B1924,$G:$G,"CDU",$J:$J,"PLANNED")&gt;0,"tied","standalone"),"")</f>
        <v/>
      </c>
    </row>
    <row r="1925" spans="1:14">
      <c r="A1925" s="6">
        <v>2023</v>
      </c>
      <c r="B1925" s="6">
        <v>9</v>
      </c>
      <c r="C1925" s="6" t="s">
        <v>68</v>
      </c>
      <c r="D1925" s="6" t="s">
        <v>592</v>
      </c>
      <c r="E1925" s="6" t="s">
        <v>593</v>
      </c>
      <c r="F1925" s="6" t="str">
        <f>IF($M1925="PADD I","PADD 1",IF($M1925="PADD II","PADD 2",IF($M1925="PADD III","PADD 3",IF($M1925="PADD IV","PADD 4",IF($M1925="PADD V","PADD 5","")))))</f>
        <v>PADD 2</v>
      </c>
      <c r="G1925" s="6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6" t="s">
        <v>485</v>
      </c>
      <c r="I1925" s="6" t="s">
        <v>491</v>
      </c>
      <c r="J1925" s="6" t="s">
        <v>398</v>
      </c>
      <c r="K1925" s="10">
        <v>17.8398</v>
      </c>
      <c r="L1925" s="10">
        <v>33.66</v>
      </c>
      <c r="M1925" s="6" t="s">
        <v>425</v>
      </c>
      <c r="N1925" s="6">
        <f>IF(OR($G1925="FCC",$G1925="Hydrocracker",$G1925="Reformer"),IF(COUNTIFS($D:$D,$D1925,$A:$A,$A1925,$B:$B,$B1925,$G:$G,"CDU",$J:$J,"PLANNED")&gt;0,"tied","standalone"),"")</f>
        <v/>
      </c>
    </row>
    <row r="1926" spans="1:14">
      <c r="A1926" s="6">
        <v>2023</v>
      </c>
      <c r="B1926" s="6">
        <v>9</v>
      </c>
      <c r="C1926" s="6" t="s">
        <v>68</v>
      </c>
      <c r="D1926" s="6" t="s">
        <v>534</v>
      </c>
      <c r="E1926" s="6" t="s">
        <v>459</v>
      </c>
      <c r="F1926" s="6" t="str">
        <f>IF($M1926="PADD I","PADD 1",IF($M1926="PADD II","PADD 2",IF($M1926="PADD III","PADD 3",IF($M1926="PADD IV","PADD 4",IF($M1926="PADD V","PADD 5","")))))</f>
        <v>PADD 3</v>
      </c>
      <c r="G1926" s="6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6" t="s">
        <v>44</v>
      </c>
      <c r="I1926" s="6" t="s">
        <v>535</v>
      </c>
      <c r="J1926" s="6" t="s">
        <v>394</v>
      </c>
      <c r="K1926" s="10">
        <v>17.82</v>
      </c>
      <c r="L1926" s="10">
        <v>66</v>
      </c>
      <c r="M1926" s="6" t="s">
        <v>421</v>
      </c>
      <c r="N1926" s="6">
        <f>IF(OR($G1926="FCC",$G1926="Hydrocracker",$G1926="Reformer"),IF(COUNTIFS($D:$D,$D1926,$A:$A,$A1926,$B:$B,$B1926,$G:$G,"CDU",$J:$J,"PLANNED")&gt;0,"tied","standalone"),"")</f>
        <v/>
      </c>
    </row>
    <row r="1927" spans="1:14">
      <c r="A1927" s="6">
        <v>2023</v>
      </c>
      <c r="B1927" s="6">
        <v>9</v>
      </c>
      <c r="C1927" s="6" t="s">
        <v>68</v>
      </c>
      <c r="D1927" s="6" t="s">
        <v>652</v>
      </c>
      <c r="E1927" s="6" t="s">
        <v>419</v>
      </c>
      <c r="F1927" s="6" t="str">
        <f>IF($M1927="PADD I","PADD 1",IF($M1927="PADD II","PADD 2",IF($M1927="PADD III","PADD 3",IF($M1927="PADD IV","PADD 4",IF($M1927="PADD V","PADD 5","")))))</f>
        <v>PADD 2</v>
      </c>
      <c r="G1927" s="6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6" t="s">
        <v>510</v>
      </c>
      <c r="I1927" s="6" t="s">
        <v>666</v>
      </c>
      <c r="J1927" s="6" t="s">
        <v>394</v>
      </c>
      <c r="K1927" s="10">
        <v>17.71</v>
      </c>
      <c r="L1927" s="10">
        <v>23</v>
      </c>
      <c r="M1927" s="6" t="s">
        <v>425</v>
      </c>
      <c r="N1927" s="6">
        <f>IF(OR($G1927="FCC",$G1927="Hydrocracker",$G1927="Reformer"),IF(COUNTIFS($D:$D,$D1927,$A:$A,$A1927,$B:$B,$B1927,$G:$G,"CDU",$J:$J,"PLANNED")&gt;0,"tied","standalone"),"")</f>
        <v/>
      </c>
    </row>
    <row r="1928" spans="1:14">
      <c r="A1928" s="6">
        <v>2023</v>
      </c>
      <c r="B1928" s="6">
        <v>9</v>
      </c>
      <c r="C1928" s="6" t="s">
        <v>68</v>
      </c>
      <c r="D1928" s="6" t="s">
        <v>928</v>
      </c>
      <c r="E1928" s="6" t="s">
        <v>502</v>
      </c>
      <c r="F1928" s="6" t="str">
        <f>IF($M1928="PADD I","PADD 1",IF($M1928="PADD II","PADD 2",IF($M1928="PADD III","PADD 3",IF($M1928="PADD IV","PADD 4",IF($M1928="PADD V","PADD 5","")))))</f>
        <v>PADD 2</v>
      </c>
      <c r="G1928" s="6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6" t="s">
        <v>44</v>
      </c>
      <c r="I1928" s="6" t="s">
        <v>943</v>
      </c>
      <c r="J1928" s="6" t="s">
        <v>398</v>
      </c>
      <c r="K1928" s="10">
        <v>16.8</v>
      </c>
      <c r="L1928" s="10">
        <v>24</v>
      </c>
      <c r="M1928" s="6" t="s">
        <v>425</v>
      </c>
      <c r="N1928" s="6">
        <f>IF(OR($G1928="FCC",$G1928="Hydrocracker",$G1928="Reformer"),IF(COUNTIFS($D:$D,$D1928,$A:$A,$A1928,$B:$B,$B1928,$G:$G,"CDU",$J:$J,"PLANNED")&gt;0,"tied","standalone"),"")</f>
        <v/>
      </c>
    </row>
    <row r="1929" spans="1:14">
      <c r="A1929" s="6">
        <v>2023</v>
      </c>
      <c r="B1929" s="6">
        <v>9</v>
      </c>
      <c r="C1929" s="6" t="s">
        <v>68</v>
      </c>
      <c r="D1929" s="6" t="s">
        <v>652</v>
      </c>
      <c r="E1929" s="6" t="s">
        <v>419</v>
      </c>
      <c r="F1929" s="6" t="str">
        <f>IF($M1929="PADD I","PADD 1",IF($M1929="PADD II","PADD 2",IF($M1929="PADD III","PADD 3",IF($M1929="PADD IV","PADD 4",IF($M1929="PADD V","PADD 5","")))))</f>
        <v>PADD 2</v>
      </c>
      <c r="G1929" s="6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6" t="s">
        <v>485</v>
      </c>
      <c r="I1929" s="6" t="s">
        <v>491</v>
      </c>
      <c r="J1929" s="6" t="s">
        <v>398</v>
      </c>
      <c r="K1929" s="10">
        <v>16.43</v>
      </c>
      <c r="L1929" s="10">
        <v>31</v>
      </c>
      <c r="M1929" s="6" t="s">
        <v>425</v>
      </c>
      <c r="N1929" s="6">
        <f>IF(OR($G1929="FCC",$G1929="Hydrocracker",$G1929="Reformer"),IF(COUNTIFS($D:$D,$D1929,$A:$A,$A1929,$B:$B,$B1929,$G:$G,"CDU",$J:$J,"PLANNED")&gt;0,"tied","standalone"),"")</f>
        <v/>
      </c>
    </row>
    <row r="1930" spans="1:14">
      <c r="A1930" s="6">
        <v>2023</v>
      </c>
      <c r="B1930" s="6">
        <v>9</v>
      </c>
      <c r="C1930" s="6" t="s">
        <v>68</v>
      </c>
      <c r="D1930" s="6" t="s">
        <v>373</v>
      </c>
      <c r="E1930" s="6" t="s">
        <v>438</v>
      </c>
      <c r="F1930" s="6" t="str">
        <f>IF($M1930="PADD I","PADD 1",IF($M1930="PADD II","PADD 2",IF($M1930="PADD III","PADD 3",IF($M1930="PADD IV","PADD 4",IF($M1930="PADD V","PADD 5","")))))</f>
        <v>PADD 3</v>
      </c>
      <c r="G1930" s="6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6" t="s">
        <v>44</v>
      </c>
      <c r="I1930" s="6" t="s">
        <v>743</v>
      </c>
      <c r="J1930" s="6" t="s">
        <v>394</v>
      </c>
      <c r="K1930" s="10">
        <v>16.2</v>
      </c>
      <c r="L1930" s="10">
        <v>40.5</v>
      </c>
      <c r="M1930" s="6" t="s">
        <v>421</v>
      </c>
      <c r="N1930" s="6">
        <f>IF(OR($G1930="FCC",$G1930="Hydrocracker",$G1930="Reformer"),IF(COUNTIFS($D:$D,$D1930,$A:$A,$A1930,$B:$B,$B1930,$G:$G,"CDU",$J:$J,"PLANNED")&gt;0,"tied","standalone"),"")</f>
        <v/>
      </c>
    </row>
    <row r="1931" spans="1:14">
      <c r="A1931" s="6">
        <v>2023</v>
      </c>
      <c r="B1931" s="6">
        <v>9</v>
      </c>
      <c r="C1931" s="6" t="s">
        <v>68</v>
      </c>
      <c r="D1931" s="6" t="s">
        <v>540</v>
      </c>
      <c r="E1931" s="6" t="s">
        <v>541</v>
      </c>
      <c r="F1931" s="6" t="str">
        <f>IF($M1931="PADD I","PADD 1",IF($M1931="PADD II","PADD 2",IF($M1931="PADD III","PADD 3",IF($M1931="PADD IV","PADD 4",IF($M1931="PADD V","PADD 5","")))))</f>
        <v>PADD 3</v>
      </c>
      <c r="G1931" s="6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6" t="s">
        <v>39</v>
      </c>
      <c r="I1931" s="6" t="s">
        <v>1058</v>
      </c>
      <c r="J1931" s="6" t="s">
        <v>398</v>
      </c>
      <c r="K1931" s="10">
        <v>15.3</v>
      </c>
      <c r="L1931" s="10">
        <v>90</v>
      </c>
      <c r="M1931" s="6" t="s">
        <v>421</v>
      </c>
      <c r="N1931" s="6">
        <f>IF(OR($G1931="FCC",$G1931="Hydrocracker",$G1931="Reformer"),IF(COUNTIFS($D:$D,$D1931,$A:$A,$A1931,$B:$B,$B1931,$G:$G,"CDU",$J:$J,"PLANNED")&gt;0,"tied","standalone"),"")</f>
        <v/>
      </c>
    </row>
    <row r="1932" spans="1:14">
      <c r="A1932" s="6">
        <v>2023</v>
      </c>
      <c r="B1932" s="6">
        <v>9</v>
      </c>
      <c r="C1932" s="6" t="s">
        <v>68</v>
      </c>
      <c r="D1932" s="6" t="s">
        <v>41</v>
      </c>
      <c r="E1932" s="6" t="s">
        <v>786</v>
      </c>
      <c r="F1932" s="6" t="str">
        <f>IF($M1932="PADD I","PADD 1",IF($M1932="PADD II","PADD 2",IF($M1932="PADD III","PADD 3",IF($M1932="PADD IV","PADD 4",IF($M1932="PADD V","PADD 5","")))))</f>
        <v>PADD 1</v>
      </c>
      <c r="G1932" s="6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6" t="s">
        <v>428</v>
      </c>
      <c r="I1932" s="6" t="s">
        <v>1059</v>
      </c>
      <c r="J1932" s="6" t="s">
        <v>394</v>
      </c>
      <c r="K1932" s="10">
        <v>14.82</v>
      </c>
      <c r="L1932" s="10">
        <v>26</v>
      </c>
      <c r="M1932" s="6" t="s">
        <v>463</v>
      </c>
      <c r="N1932" s="6">
        <f>IF(OR($G1932="FCC",$G1932="Hydrocracker",$G1932="Reformer"),IF(COUNTIFS($D:$D,$D1932,$A:$A,$A1932,$B:$B,$B1932,$G:$G,"CDU",$J:$J,"PLANNED")&gt;0,"tied","standalone"),"")</f>
        <v/>
      </c>
    </row>
    <row r="1933" spans="1:14">
      <c r="A1933" s="6">
        <v>2023</v>
      </c>
      <c r="B1933" s="6">
        <v>9</v>
      </c>
      <c r="C1933" s="6" t="s">
        <v>68</v>
      </c>
      <c r="D1933" s="6" t="s">
        <v>41</v>
      </c>
      <c r="E1933" s="6" t="s">
        <v>786</v>
      </c>
      <c r="F1933" s="6" t="str">
        <f>IF($M1933="PADD I","PADD 1",IF($M1933="PADD II","PADD 2",IF($M1933="PADD III","PADD 3",IF($M1933="PADD IV","PADD 4",IF($M1933="PADD V","PADD 5","")))))</f>
        <v>PADD 1</v>
      </c>
      <c r="G1933" s="6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6" t="s">
        <v>428</v>
      </c>
      <c r="I1933" s="6" t="s">
        <v>1013</v>
      </c>
      <c r="J1933" s="6" t="s">
        <v>398</v>
      </c>
      <c r="K1933" s="10">
        <v>13.8681</v>
      </c>
      <c r="L1933" s="10">
        <v>24.33</v>
      </c>
      <c r="M1933" s="6" t="s">
        <v>463</v>
      </c>
      <c r="N1933" s="6">
        <f>IF(OR($G1933="FCC",$G1933="Hydrocracker",$G1933="Reformer"),IF(COUNTIFS($D:$D,$D1933,$A:$A,$A1933,$B:$B,$B1933,$G:$G,"CDU",$J:$J,"PLANNED")&gt;0,"tied","standalone"),"")</f>
        <v/>
      </c>
    </row>
    <row r="1934" spans="1:14">
      <c r="A1934" s="6">
        <v>2023</v>
      </c>
      <c r="B1934" s="6">
        <v>9</v>
      </c>
      <c r="C1934" s="6" t="s">
        <v>68</v>
      </c>
      <c r="D1934" s="6" t="s">
        <v>41</v>
      </c>
      <c r="E1934" s="6" t="s">
        <v>786</v>
      </c>
      <c r="F1934" s="6" t="str">
        <f>IF($M1934="PADD I","PADD 1",IF($M1934="PADD II","PADD 2",IF($M1934="PADD III","PADD 3",IF($M1934="PADD IV","PADD 4",IF($M1934="PADD V","PADD 5","")))))</f>
        <v>PADD 1</v>
      </c>
      <c r="G1934" s="6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6" t="s">
        <v>428</v>
      </c>
      <c r="I1934" s="6" t="s">
        <v>1060</v>
      </c>
      <c r="J1934" s="6" t="s">
        <v>398</v>
      </c>
      <c r="K1934" s="10">
        <v>13.8681</v>
      </c>
      <c r="L1934" s="10">
        <v>24.33</v>
      </c>
      <c r="M1934" s="6" t="s">
        <v>463</v>
      </c>
      <c r="N1934" s="6">
        <f>IF(OR($G1934="FCC",$G1934="Hydrocracker",$G1934="Reformer"),IF(COUNTIFS($D:$D,$D1934,$A:$A,$A1934,$B:$B,$B1934,$G:$G,"CDU",$J:$J,"PLANNED")&gt;0,"tied","standalone"),"")</f>
        <v/>
      </c>
    </row>
    <row r="1935" spans="1:14">
      <c r="A1935" s="6">
        <v>2023</v>
      </c>
      <c r="B1935" s="6">
        <v>9</v>
      </c>
      <c r="C1935" s="6" t="s">
        <v>68</v>
      </c>
      <c r="D1935" s="6" t="s">
        <v>41</v>
      </c>
      <c r="E1935" s="6" t="s">
        <v>786</v>
      </c>
      <c r="F1935" s="6" t="str">
        <f>IF($M1935="PADD I","PADD 1",IF($M1935="PADD II","PADD 2",IF($M1935="PADD III","PADD 3",IF($M1935="PADD IV","PADD 4",IF($M1935="PADD V","PADD 5","")))))</f>
        <v>PADD 1</v>
      </c>
      <c r="G1935" s="6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6" t="s">
        <v>44</v>
      </c>
      <c r="I1935" s="6" t="s">
        <v>1061</v>
      </c>
      <c r="J1935" s="6" t="s">
        <v>398</v>
      </c>
      <c r="K1935" s="10">
        <v>13.78</v>
      </c>
      <c r="L1935" s="10">
        <v>26</v>
      </c>
      <c r="M1935" s="6" t="s">
        <v>463</v>
      </c>
      <c r="N1935" s="6">
        <f>IF(OR($G1935="FCC",$G1935="Hydrocracker",$G1935="Reformer"),IF(COUNTIFS($D:$D,$D1935,$A:$A,$A1935,$B:$B,$B1935,$G:$G,"CDU",$J:$J,"PLANNED")&gt;0,"tied","standalone"),"")</f>
        <v/>
      </c>
    </row>
    <row r="1936" spans="1:14">
      <c r="A1936" s="6">
        <v>2023</v>
      </c>
      <c r="B1936" s="6">
        <v>9</v>
      </c>
      <c r="C1936" s="6" t="s">
        <v>68</v>
      </c>
      <c r="D1936" s="6" t="s">
        <v>448</v>
      </c>
      <c r="E1936" s="6" t="s">
        <v>449</v>
      </c>
      <c r="F1936" s="6" t="str">
        <f>IF($M1936="PADD I","PADD 1",IF($M1936="PADD II","PADD 2",IF($M1936="PADD III","PADD 3",IF($M1936="PADD IV","PADD 4",IF($M1936="PADD V","PADD 5","")))))</f>
        <v>PADD 3</v>
      </c>
      <c r="G1936" s="6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6" t="s">
        <v>44</v>
      </c>
      <c r="I1936" s="6" t="s">
        <v>1062</v>
      </c>
      <c r="J1936" s="6" t="s">
        <v>398</v>
      </c>
      <c r="K1936" s="10">
        <v>13.5</v>
      </c>
      <c r="L1936" s="10">
        <v>50</v>
      </c>
      <c r="M1936" s="6" t="s">
        <v>421</v>
      </c>
      <c r="N1936" s="6">
        <f>IF(OR($G1936="FCC",$G1936="Hydrocracker",$G1936="Reformer"),IF(COUNTIFS($D:$D,$D1936,$A:$A,$A1936,$B:$B,$B1936,$G:$G,"CDU",$J:$J,"PLANNED")&gt;0,"tied","standalone"),"")</f>
        <v/>
      </c>
    </row>
    <row r="1937" spans="1:14">
      <c r="A1937" s="6">
        <v>2023</v>
      </c>
      <c r="B1937" s="6">
        <v>9</v>
      </c>
      <c r="C1937" s="6" t="s">
        <v>68</v>
      </c>
      <c r="D1937" s="6" t="s">
        <v>368</v>
      </c>
      <c r="E1937" s="6" t="s">
        <v>715</v>
      </c>
      <c r="F1937" s="6" t="str">
        <f>IF($M1937="PADD I","PADD 1",IF($M1937="PADD II","PADD 2",IF($M1937="PADD III","PADD 3",IF($M1937="PADD IV","PADD 4",IF($M1937="PADD V","PADD 5","")))))</f>
        <v>PADD 3</v>
      </c>
      <c r="G1937" s="6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6" t="s">
        <v>428</v>
      </c>
      <c r="I1937" s="6" t="s">
        <v>927</v>
      </c>
      <c r="J1937" s="6" t="s">
        <v>394</v>
      </c>
      <c r="K1937" s="10">
        <v>13.26</v>
      </c>
      <c r="L1937" s="10">
        <v>78</v>
      </c>
      <c r="M1937" s="6" t="s">
        <v>421</v>
      </c>
      <c r="N1937" s="6">
        <f>IF(OR($G1937="FCC",$G1937="Hydrocracker",$G1937="Reformer"),IF(COUNTIFS($D:$D,$D1937,$A:$A,$A1937,$B:$B,$B1937,$G:$G,"CDU",$J:$J,"PLANNED")&gt;0,"tied","standalone"),"")</f>
        <v/>
      </c>
    </row>
    <row r="1938" spans="1:14">
      <c r="A1938" s="6">
        <v>2023</v>
      </c>
      <c r="B1938" s="6">
        <v>9</v>
      </c>
      <c r="C1938" s="6" t="s">
        <v>68</v>
      </c>
      <c r="D1938" s="6" t="s">
        <v>505</v>
      </c>
      <c r="E1938" s="6" t="s">
        <v>455</v>
      </c>
      <c r="F1938" s="6" t="str">
        <f>IF($M1938="PADD I","PADD 1",IF($M1938="PADD II","PADD 2",IF($M1938="PADD III","PADD 3",IF($M1938="PADD IV","PADD 4",IF($M1938="PADD V","PADD 5","")))))</f>
        <v>PADD 3</v>
      </c>
      <c r="G1938" s="6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6" t="s">
        <v>494</v>
      </c>
      <c r="I1938" s="6" t="s">
        <v>1063</v>
      </c>
      <c r="J1938" s="6" t="s">
        <v>394</v>
      </c>
      <c r="K1938" s="10">
        <v>13.11</v>
      </c>
      <c r="L1938" s="10">
        <v>57</v>
      </c>
      <c r="M1938" s="6" t="s">
        <v>421</v>
      </c>
      <c r="N1938" s="6" t="str">
        <f>IF(OR($G1938="FCC",$G1938="Hydrocracker",$G1938="Reformer"),IF(COUNTIFS($D:$D,$D1938,$A:$A,$A1938,$B:$B,$B1938,$G:$G,"CDU",$J:$J,"PLANNED")&gt;0,"tied","standalone"),"")</f>
        <v>standalone</v>
      </c>
    </row>
    <row r="1939" spans="1:14">
      <c r="A1939" s="6">
        <v>2023</v>
      </c>
      <c r="B1939" s="6">
        <v>9</v>
      </c>
      <c r="C1939" s="6" t="s">
        <v>68</v>
      </c>
      <c r="D1939" s="6" t="s">
        <v>41</v>
      </c>
      <c r="E1939" s="6" t="s">
        <v>786</v>
      </c>
      <c r="F1939" s="6" t="str">
        <f>IF($M1939="PADD I","PADD 1",IF($M1939="PADD II","PADD 2",IF($M1939="PADD III","PADD 3",IF($M1939="PADD IV","PADD 4",IF($M1939="PADD V","PADD 5","")))))</f>
        <v>PADD 1</v>
      </c>
      <c r="G1939" s="6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6" t="s">
        <v>494</v>
      </c>
      <c r="I1939" s="6" t="s">
        <v>495</v>
      </c>
      <c r="J1939" s="6" t="s">
        <v>394</v>
      </c>
      <c r="K1939" s="10">
        <v>13.11</v>
      </c>
      <c r="L1939" s="10">
        <v>23</v>
      </c>
      <c r="M1939" s="6" t="s">
        <v>463</v>
      </c>
      <c r="N1939" s="6" t="str">
        <f>IF(OR($G1939="FCC",$G1939="Hydrocracker",$G1939="Reformer"),IF(COUNTIFS($D:$D,$D1939,$A:$A,$A1939,$B:$B,$B1939,$G:$G,"CDU",$J:$J,"PLANNED")&gt;0,"tied","standalone"),"")</f>
        <v>tied</v>
      </c>
    </row>
    <row r="1940" spans="1:14">
      <c r="A1940" s="6">
        <v>2023</v>
      </c>
      <c r="B1940" s="6">
        <v>9</v>
      </c>
      <c r="C1940" s="6" t="s">
        <v>68</v>
      </c>
      <c r="D1940" s="6" t="s">
        <v>470</v>
      </c>
      <c r="E1940" s="6" t="s">
        <v>423</v>
      </c>
      <c r="F1940" s="6" t="str">
        <f>IF($M1940="PADD I","PADD 1",IF($M1940="PADD II","PADD 2",IF($M1940="PADD III","PADD 3",IF($M1940="PADD IV","PADD 4",IF($M1940="PADD V","PADD 5","")))))</f>
        <v>PADD 2</v>
      </c>
      <c r="G1940" s="6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6" t="s">
        <v>426</v>
      </c>
      <c r="I1940" s="6" t="s">
        <v>106</v>
      </c>
      <c r="J1940" s="6" t="s">
        <v>394</v>
      </c>
      <c r="K1940" s="10">
        <v>13</v>
      </c>
      <c r="L1940" s="10">
        <v>13</v>
      </c>
      <c r="M1940" s="6" t="s">
        <v>425</v>
      </c>
      <c r="N1940" s="6" t="str">
        <f>IF(OR($G1940="FCC",$G1940="Hydrocracker",$G1940="Reformer"),IF(COUNTIFS($D:$D,$D1940,$A:$A,$A1940,$B:$B,$B1940,$G:$G,"CDU",$J:$J,"PLANNED")&gt;0,"tied","standalone"),"")</f>
        <v>standalone</v>
      </c>
    </row>
    <row r="1941" spans="1:14">
      <c r="A1941" s="6">
        <v>2023</v>
      </c>
      <c r="B1941" s="6">
        <v>9</v>
      </c>
      <c r="C1941" s="6" t="s">
        <v>68</v>
      </c>
      <c r="D1941" s="6" t="s">
        <v>851</v>
      </c>
      <c r="E1941" s="6" t="s">
        <v>829</v>
      </c>
      <c r="F1941" s="6" t="str">
        <f>IF($M1941="PADD I","PADD 1",IF($M1941="PADD II","PADD 2",IF($M1941="PADD III","PADD 3",IF($M1941="PADD IV","PADD 4",IF($M1941="PADD V","PADD 5","")))))</f>
        <v>PADD 2</v>
      </c>
      <c r="G1941" s="6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6" t="s">
        <v>485</v>
      </c>
      <c r="I1941" s="6" t="s">
        <v>944</v>
      </c>
      <c r="J1941" s="6" t="s">
        <v>398</v>
      </c>
      <c r="K1941" s="10">
        <v>12.705</v>
      </c>
      <c r="L1941" s="10">
        <v>16.5</v>
      </c>
      <c r="M1941" s="6" t="s">
        <v>425</v>
      </c>
      <c r="N1941" s="6">
        <f>IF(OR($G1941="FCC",$G1941="Hydrocracker",$G1941="Reformer"),IF(COUNTIFS($D:$D,$D1941,$A:$A,$A1941,$B:$B,$B1941,$G:$G,"CDU",$J:$J,"PLANNED")&gt;0,"tied","standalone"),"")</f>
        <v/>
      </c>
    </row>
    <row r="1942" spans="1:14">
      <c r="A1942" s="6">
        <v>2023</v>
      </c>
      <c r="B1942" s="6">
        <v>9</v>
      </c>
      <c r="C1942" s="6" t="s">
        <v>68</v>
      </c>
      <c r="D1942" s="6" t="s">
        <v>41</v>
      </c>
      <c r="E1942" s="6" t="s">
        <v>786</v>
      </c>
      <c r="F1942" s="6" t="str">
        <f>IF($M1942="PADD I","PADD 1",IF($M1942="PADD II","PADD 2",IF($M1942="PADD III","PADD 3",IF($M1942="PADD IV","PADD 4",IF($M1942="PADD V","PADD 5","")))))</f>
        <v>PADD 1</v>
      </c>
      <c r="G1942" s="6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6" t="s">
        <v>44</v>
      </c>
      <c r="I1942" s="6" t="s">
        <v>1064</v>
      </c>
      <c r="J1942" s="6" t="s">
        <v>398</v>
      </c>
      <c r="K1942" s="10">
        <v>12.04</v>
      </c>
      <c r="L1942" s="10">
        <v>28</v>
      </c>
      <c r="M1942" s="6" t="s">
        <v>463</v>
      </c>
      <c r="N1942" s="6">
        <f>IF(OR($G1942="FCC",$G1942="Hydrocracker",$G1942="Reformer"),IF(COUNTIFS($D:$D,$D1942,$A:$A,$A1942,$B:$B,$B1942,$G:$G,"CDU",$J:$J,"PLANNED")&gt;0,"tied","standalone"),"")</f>
        <v/>
      </c>
    </row>
    <row r="1943" spans="1:14">
      <c r="A1943" s="6">
        <v>2023</v>
      </c>
      <c r="B1943" s="6">
        <v>9</v>
      </c>
      <c r="C1943" s="6" t="s">
        <v>68</v>
      </c>
      <c r="D1943" s="6" t="s">
        <v>652</v>
      </c>
      <c r="E1943" s="6" t="s">
        <v>419</v>
      </c>
      <c r="F1943" s="6" t="str">
        <f>IF($M1943="PADD I","PADD 1",IF($M1943="PADD II","PADD 2",IF($M1943="PADD III","PADD 3",IF($M1943="PADD IV","PADD 4",IF($M1943="PADD V","PADD 5","")))))</f>
        <v>PADD 2</v>
      </c>
      <c r="G1943" s="6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6" t="s">
        <v>618</v>
      </c>
      <c r="I1943" s="6" t="s">
        <v>1065</v>
      </c>
      <c r="J1943" s="6" t="s">
        <v>398</v>
      </c>
      <c r="K1943" s="10">
        <v>12</v>
      </c>
      <c r="L1943" s="10">
        <v>12</v>
      </c>
      <c r="M1943" s="6" t="s">
        <v>425</v>
      </c>
      <c r="N1943" s="6">
        <f>IF(OR($G1943="FCC",$G1943="Hydrocracker",$G1943="Reformer"),IF(COUNTIFS($D:$D,$D1943,$A:$A,$A1943,$B:$B,$B1943,$G:$G,"CDU",$J:$J,"PLANNED")&gt;0,"tied","standalone"),"")</f>
        <v/>
      </c>
    </row>
    <row r="1944" spans="1:14">
      <c r="A1944" s="6">
        <v>2023</v>
      </c>
      <c r="B1944" s="6">
        <v>9</v>
      </c>
      <c r="C1944" s="6" t="s">
        <v>68</v>
      </c>
      <c r="D1944" s="6" t="s">
        <v>380</v>
      </c>
      <c r="E1944" s="6" t="s">
        <v>423</v>
      </c>
      <c r="F1944" s="6" t="str">
        <f>IF($M1944="PADD I","PADD 1",IF($M1944="PADD II","PADD 2",IF($M1944="PADD III","PADD 3",IF($M1944="PADD IV","PADD 4",IF($M1944="PADD V","PADD 5","")))))</f>
        <v>PADD 2</v>
      </c>
      <c r="G1944" s="6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6" t="s">
        <v>471</v>
      </c>
      <c r="I1944" s="6" t="s">
        <v>966</v>
      </c>
      <c r="J1944" s="6" t="s">
        <v>394</v>
      </c>
      <c r="K1944" s="10">
        <v>12</v>
      </c>
      <c r="L1944" s="10">
        <v>40</v>
      </c>
      <c r="M1944" s="6" t="s">
        <v>425</v>
      </c>
      <c r="N1944" s="6" t="str">
        <f>IF(OR($G1944="FCC",$G1944="Hydrocracker",$G1944="Reformer"),IF(COUNTIFS($D:$D,$D1944,$A:$A,$A1944,$B:$B,$B1944,$G:$G,"CDU",$J:$J,"PLANNED")&gt;0,"tied","standalone"),"")</f>
        <v>standalone</v>
      </c>
    </row>
    <row r="1945" spans="1:14">
      <c r="A1945" s="6">
        <v>2023</v>
      </c>
      <c r="B1945" s="6">
        <v>9</v>
      </c>
      <c r="C1945" s="6" t="s">
        <v>68</v>
      </c>
      <c r="D1945" s="6" t="s">
        <v>448</v>
      </c>
      <c r="E1945" s="6" t="s">
        <v>449</v>
      </c>
      <c r="F1945" s="6" t="str">
        <f>IF($M1945="PADD I","PADD 1",IF($M1945="PADD II","PADD 2",IF($M1945="PADD III","PADD 3",IF($M1945="PADD IV","PADD 4",IF($M1945="PADD V","PADD 5","")))))</f>
        <v>PADD 3</v>
      </c>
      <c r="G1945" s="6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6" t="s">
        <v>44</v>
      </c>
      <c r="I1945" s="6" t="s">
        <v>1066</v>
      </c>
      <c r="J1945" s="6" t="s">
        <v>398</v>
      </c>
      <c r="K1945" s="10">
        <v>11.61</v>
      </c>
      <c r="L1945" s="10">
        <v>43</v>
      </c>
      <c r="M1945" s="6" t="s">
        <v>421</v>
      </c>
      <c r="N1945" s="6">
        <f>IF(OR($G1945="FCC",$G1945="Hydrocracker",$G1945="Reformer"),IF(COUNTIFS($D:$D,$D1945,$A:$A,$A1945,$B:$B,$B1945,$G:$G,"CDU",$J:$J,"PLANNED")&gt;0,"tied","standalone"),"")</f>
        <v/>
      </c>
    </row>
    <row r="1946" spans="1:14">
      <c r="A1946" s="6">
        <v>2023</v>
      </c>
      <c r="B1946" s="6">
        <v>9</v>
      </c>
      <c r="C1946" s="6" t="s">
        <v>68</v>
      </c>
      <c r="D1946" s="6" t="s">
        <v>662</v>
      </c>
      <c r="E1946" s="6" t="s">
        <v>466</v>
      </c>
      <c r="F1946" s="6" t="str">
        <f>IF($M1946="PADD I","PADD 1",IF($M1946="PADD II","PADD 2",IF($M1946="PADD III","PADD 3",IF($M1946="PADD IV","PADD 4",IF($M1946="PADD V","PADD 5","")))))</f>
        <v>PADD 3</v>
      </c>
      <c r="G1946" s="6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6" t="s">
        <v>39</v>
      </c>
      <c r="I1946" s="6" t="s">
        <v>82</v>
      </c>
      <c r="J1946" s="6" t="s">
        <v>394</v>
      </c>
      <c r="K1946" s="10">
        <v>11.55</v>
      </c>
      <c r="L1946" s="10">
        <v>165</v>
      </c>
      <c r="M1946" s="6" t="s">
        <v>421</v>
      </c>
      <c r="N1946" s="6">
        <f>IF(OR($G1946="FCC",$G1946="Hydrocracker",$G1946="Reformer"),IF(COUNTIFS($D:$D,$D1946,$A:$A,$A1946,$B:$B,$B1946,$G:$G,"CDU",$J:$J,"PLANNED")&gt;0,"tied","standalone"),"")</f>
        <v/>
      </c>
    </row>
    <row r="1947" spans="1:14">
      <c r="A1947" s="6">
        <v>2023</v>
      </c>
      <c r="B1947" s="6">
        <v>9</v>
      </c>
      <c r="C1947" s="6" t="s">
        <v>68</v>
      </c>
      <c r="D1947" s="6" t="s">
        <v>622</v>
      </c>
      <c r="E1947" s="6" t="s">
        <v>623</v>
      </c>
      <c r="F1947" s="6" t="str">
        <f>IF($M1947="PADD I","PADD 1",IF($M1947="PADD II","PADD 2",IF($M1947="PADD III","PADD 3",IF($M1947="PADD IV","PADD 4",IF($M1947="PADD V","PADD 5","")))))</f>
        <v>PADD 3</v>
      </c>
      <c r="G1947" s="6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6" t="s">
        <v>39</v>
      </c>
      <c r="I1947" s="6" t="s">
        <v>624</v>
      </c>
      <c r="J1947" s="6" t="s">
        <v>398</v>
      </c>
      <c r="K1947" s="10">
        <v>11.5</v>
      </c>
      <c r="L1947" s="10">
        <v>50</v>
      </c>
      <c r="M1947" s="6" t="s">
        <v>421</v>
      </c>
      <c r="N1947" s="6">
        <f>IF(OR($G1947="FCC",$G1947="Hydrocracker",$G1947="Reformer"),IF(COUNTIFS($D:$D,$D1947,$A:$A,$A1947,$B:$B,$B1947,$G:$G,"CDU",$J:$J,"PLANNED")&gt;0,"tied","standalone"),"")</f>
        <v/>
      </c>
    </row>
    <row r="1948" spans="1:14">
      <c r="A1948" s="6">
        <v>2023</v>
      </c>
      <c r="B1948" s="6">
        <v>9</v>
      </c>
      <c r="C1948" s="6" t="s">
        <v>68</v>
      </c>
      <c r="D1948" s="6" t="s">
        <v>368</v>
      </c>
      <c r="E1948" s="6" t="s">
        <v>715</v>
      </c>
      <c r="F1948" s="6" t="str">
        <f>IF($M1948="PADD I","PADD 1",IF($M1948="PADD II","PADD 2",IF($M1948="PADD III","PADD 3",IF($M1948="PADD IV","PADD 4",IF($M1948="PADD V","PADD 5","")))))</f>
        <v>PADD 3</v>
      </c>
      <c r="G1948" s="6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6" t="s">
        <v>426</v>
      </c>
      <c r="I1948" s="6" t="s">
        <v>925</v>
      </c>
      <c r="J1948" s="6" t="s">
        <v>394</v>
      </c>
      <c r="K1948" s="10">
        <v>11.2</v>
      </c>
      <c r="L1948" s="10">
        <v>112</v>
      </c>
      <c r="M1948" s="6" t="s">
        <v>421</v>
      </c>
      <c r="N1948" s="6" t="str">
        <f>IF(OR($G1948="FCC",$G1948="Hydrocracker",$G1948="Reformer"),IF(COUNTIFS($D:$D,$D1948,$A:$A,$A1948,$B:$B,$B1948,$G:$G,"CDU",$J:$J,"PLANNED")&gt;0,"tied","standalone"),"")</f>
        <v>tied</v>
      </c>
    </row>
    <row r="1949" spans="1:14">
      <c r="A1949" s="6">
        <v>2023</v>
      </c>
      <c r="B1949" s="6">
        <v>9</v>
      </c>
      <c r="C1949" s="6" t="s">
        <v>68</v>
      </c>
      <c r="D1949" s="6" t="s">
        <v>726</v>
      </c>
      <c r="E1949" s="6" t="s">
        <v>727</v>
      </c>
      <c r="F1949" s="6" t="str">
        <f>IF($M1949="PADD I","PADD 1",IF($M1949="PADD II","PADD 2",IF($M1949="PADD III","PADD 3",IF($M1949="PADD IV","PADD 4",IF($M1949="PADD V","PADD 5","")))))</f>
        <v>PADD 1</v>
      </c>
      <c r="G1949" s="6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6" t="s">
        <v>39</v>
      </c>
      <c r="I1949" s="6" t="s">
        <v>728</v>
      </c>
      <c r="J1949" s="6" t="s">
        <v>394</v>
      </c>
      <c r="K1949" s="10">
        <v>11</v>
      </c>
      <c r="L1949" s="10">
        <v>110</v>
      </c>
      <c r="M1949" s="6" t="s">
        <v>463</v>
      </c>
      <c r="N1949" s="6">
        <f>IF(OR($G1949="FCC",$G1949="Hydrocracker",$G1949="Reformer"),IF(COUNTIFS($D:$D,$D1949,$A:$A,$A1949,$B:$B,$B1949,$G:$G,"CDU",$J:$J,"PLANNED")&gt;0,"tied","standalone"),"")</f>
        <v/>
      </c>
    </row>
    <row r="1950" spans="1:14">
      <c r="A1950" s="6">
        <v>2023</v>
      </c>
      <c r="B1950" s="6">
        <v>9</v>
      </c>
      <c r="C1950" s="6" t="s">
        <v>68</v>
      </c>
      <c r="D1950" s="6" t="s">
        <v>470</v>
      </c>
      <c r="E1950" s="6" t="s">
        <v>423</v>
      </c>
      <c r="F1950" s="6" t="str">
        <f>IF($M1950="PADD I","PADD 1",IF($M1950="PADD II","PADD 2",IF($M1950="PADD III","PADD 3",IF($M1950="PADD IV","PADD 4",IF($M1950="PADD V","PADD 5","")))))</f>
        <v>PADD 2</v>
      </c>
      <c r="G1950" s="6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6" t="s">
        <v>44</v>
      </c>
      <c r="I1950" s="6" t="s">
        <v>596</v>
      </c>
      <c r="J1950" s="6" t="s">
        <v>394</v>
      </c>
      <c r="K1950" s="10">
        <v>11</v>
      </c>
      <c r="L1950" s="10">
        <v>11</v>
      </c>
      <c r="M1950" s="6" t="s">
        <v>425</v>
      </c>
      <c r="N1950" s="6">
        <f>IF(OR($G1950="FCC",$G1950="Hydrocracker",$G1950="Reformer"),IF(COUNTIFS($D:$D,$D1950,$A:$A,$A1950,$B:$B,$B1950,$G:$G,"CDU",$J:$J,"PLANNED")&gt;0,"tied","standalone"),"")</f>
        <v/>
      </c>
    </row>
    <row r="1951" spans="1:14">
      <c r="A1951" s="6">
        <v>2023</v>
      </c>
      <c r="B1951" s="6">
        <v>9</v>
      </c>
      <c r="C1951" s="6" t="s">
        <v>68</v>
      </c>
      <c r="D1951" s="6" t="s">
        <v>373</v>
      </c>
      <c r="E1951" s="6" t="s">
        <v>438</v>
      </c>
      <c r="F1951" s="6" t="str">
        <f>IF($M1951="PADD I","PADD 1",IF($M1951="PADD II","PADD 2",IF($M1951="PADD III","PADD 3",IF($M1951="PADD IV","PADD 4",IF($M1951="PADD V","PADD 5","")))))</f>
        <v>PADD 3</v>
      </c>
      <c r="G1951" s="6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6" t="s">
        <v>44</v>
      </c>
      <c r="I1951" s="6" t="s">
        <v>732</v>
      </c>
      <c r="J1951" s="6" t="s">
        <v>394</v>
      </c>
      <c r="K1951" s="10">
        <v>10.6</v>
      </c>
      <c r="L1951" s="10">
        <v>106</v>
      </c>
      <c r="M1951" s="6" t="s">
        <v>421</v>
      </c>
      <c r="N1951" s="6">
        <f>IF(OR($G1951="FCC",$G1951="Hydrocracker",$G1951="Reformer"),IF(COUNTIFS($D:$D,$D1951,$A:$A,$A1951,$B:$B,$B1951,$G:$G,"CDU",$J:$J,"PLANNED")&gt;0,"tied","standalone"),"")</f>
        <v/>
      </c>
    </row>
    <row r="1952" spans="1:14">
      <c r="A1952" s="6">
        <v>2023</v>
      </c>
      <c r="B1952" s="6">
        <v>9</v>
      </c>
      <c r="C1952" s="6" t="s">
        <v>68</v>
      </c>
      <c r="D1952" s="6" t="s">
        <v>377</v>
      </c>
      <c r="E1952" s="6" t="s">
        <v>466</v>
      </c>
      <c r="F1952" s="6" t="str">
        <f>IF($M1952="PADD I","PADD 1",IF($M1952="PADD II","PADD 2",IF($M1952="PADD III","PADD 3",IF($M1952="PADD IV","PADD 4",IF($M1952="PADD V","PADD 5","")))))</f>
        <v>PADD 2</v>
      </c>
      <c r="G1952" s="6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6" t="s">
        <v>44</v>
      </c>
      <c r="I1952" s="6" t="s">
        <v>570</v>
      </c>
      <c r="J1952" s="6" t="s">
        <v>398</v>
      </c>
      <c r="K1952" s="10">
        <v>10.35</v>
      </c>
      <c r="L1952" s="10">
        <v>45</v>
      </c>
      <c r="M1952" s="6" t="s">
        <v>425</v>
      </c>
      <c r="N1952" s="6">
        <f>IF(OR($G1952="FCC",$G1952="Hydrocracker",$G1952="Reformer"),IF(COUNTIFS($D:$D,$D1952,$A:$A,$A1952,$B:$B,$B1952,$G:$G,"CDU",$J:$J,"PLANNED")&gt;0,"tied","standalone"),"")</f>
        <v/>
      </c>
    </row>
    <row r="1953" spans="1:14">
      <c r="A1953" s="6">
        <v>2023</v>
      </c>
      <c r="B1953" s="6">
        <v>9</v>
      </c>
      <c r="C1953" s="6" t="s">
        <v>68</v>
      </c>
      <c r="D1953" s="6" t="s">
        <v>377</v>
      </c>
      <c r="E1953" s="6" t="s">
        <v>466</v>
      </c>
      <c r="F1953" s="6" t="str">
        <f>IF($M1953="PADD I","PADD 1",IF($M1953="PADD II","PADD 2",IF($M1953="PADD III","PADD 3",IF($M1953="PADD IV","PADD 4",IF($M1953="PADD V","PADD 5","")))))</f>
        <v>PADD 2</v>
      </c>
      <c r="G1953" s="6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6" t="s">
        <v>39</v>
      </c>
      <c r="I1953" s="6" t="s">
        <v>92</v>
      </c>
      <c r="J1953" s="6" t="s">
        <v>398</v>
      </c>
      <c r="K1953" s="10">
        <v>10.0625</v>
      </c>
      <c r="L1953" s="10">
        <v>43.75</v>
      </c>
      <c r="M1953" s="6" t="s">
        <v>425</v>
      </c>
      <c r="N1953" s="6">
        <f>IF(OR($G1953="FCC",$G1953="Hydrocracker",$G1953="Reformer"),IF(COUNTIFS($D:$D,$D1953,$A:$A,$A1953,$B:$B,$B1953,$G:$G,"CDU",$J:$J,"PLANNED")&gt;0,"tied","standalone"),"")</f>
        <v/>
      </c>
    </row>
    <row r="1954" spans="1:14">
      <c r="A1954" s="6">
        <v>2023</v>
      </c>
      <c r="B1954" s="6">
        <v>9</v>
      </c>
      <c r="C1954" s="6" t="s">
        <v>68</v>
      </c>
      <c r="D1954" s="6" t="s">
        <v>41</v>
      </c>
      <c r="E1954" s="6" t="s">
        <v>786</v>
      </c>
      <c r="F1954" s="6" t="str">
        <f>IF($M1954="PADD I","PADD 1",IF($M1954="PADD II","PADD 2",IF($M1954="PADD III","PADD 3",IF($M1954="PADD IV","PADD 4",IF($M1954="PADD V","PADD 5","")))))</f>
        <v>PADD 1</v>
      </c>
      <c r="G1954" s="6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6" t="s">
        <v>428</v>
      </c>
      <c r="I1954" s="6" t="s">
        <v>1059</v>
      </c>
      <c r="J1954" s="6" t="s">
        <v>398</v>
      </c>
      <c r="K1954" s="10">
        <v>9.731999999999999</v>
      </c>
      <c r="L1954" s="10">
        <v>24.33</v>
      </c>
      <c r="M1954" s="6" t="s">
        <v>463</v>
      </c>
      <c r="N1954" s="6">
        <f>IF(OR($G1954="FCC",$G1954="Hydrocracker",$G1954="Reformer"),IF(COUNTIFS($D:$D,$D1954,$A:$A,$A1954,$B:$B,$B1954,$G:$G,"CDU",$J:$J,"PLANNED")&gt;0,"tied","standalone"),"")</f>
        <v/>
      </c>
    </row>
    <row r="1955" spans="1:14">
      <c r="A1955" s="6">
        <v>2023</v>
      </c>
      <c r="B1955" s="6">
        <v>9</v>
      </c>
      <c r="C1955" s="6" t="s">
        <v>68</v>
      </c>
      <c r="D1955" s="6" t="s">
        <v>458</v>
      </c>
      <c r="E1955" s="6" t="s">
        <v>459</v>
      </c>
      <c r="F1955" s="6" t="str">
        <f>IF($M1955="PADD I","PADD 1",IF($M1955="PADD II","PADD 2",IF($M1955="PADD III","PADD 3",IF($M1955="PADD IV","PADD 4",IF($M1955="PADD V","PADD 5","")))))</f>
        <v>PADD 3</v>
      </c>
      <c r="G1955" s="6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6" t="s">
        <v>471</v>
      </c>
      <c r="I1955" s="6" t="s">
        <v>583</v>
      </c>
      <c r="J1955" s="6" t="s">
        <v>394</v>
      </c>
      <c r="K1955" s="10">
        <v>9.449999999999999</v>
      </c>
      <c r="L1955" s="10">
        <v>35</v>
      </c>
      <c r="M1955" s="6" t="s">
        <v>421</v>
      </c>
      <c r="N1955" s="6" t="str">
        <f>IF(OR($G1955="FCC",$G1955="Hydrocracker",$G1955="Reformer"),IF(COUNTIFS($D:$D,$D1955,$A:$A,$A1955,$B:$B,$B1955,$G:$G,"CDU",$J:$J,"PLANNED")&gt;0,"tied","standalone"),"")</f>
        <v>tied</v>
      </c>
    </row>
    <row r="1956" spans="1:14">
      <c r="A1956" s="6">
        <v>2023</v>
      </c>
      <c r="B1956" s="6">
        <v>9</v>
      </c>
      <c r="C1956" s="6" t="s">
        <v>68</v>
      </c>
      <c r="D1956" s="6" t="s">
        <v>52</v>
      </c>
      <c r="E1956" s="6" t="s">
        <v>441</v>
      </c>
      <c r="F1956" s="6" t="str">
        <f>IF($M1956="PADD I","PADD 1",IF($M1956="PADD II","PADD 2",IF($M1956="PADD III","PADD 3",IF($M1956="PADD IV","PADD 4",IF($M1956="PADD V","PADD 5","")))))</f>
        <v>PADD 5</v>
      </c>
      <c r="G1956" s="6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6" t="s">
        <v>426</v>
      </c>
      <c r="I1956" s="6" t="s">
        <v>106</v>
      </c>
      <c r="J1956" s="6" t="s">
        <v>394</v>
      </c>
      <c r="K1956" s="10">
        <v>9.425000000000001</v>
      </c>
      <c r="L1956" s="10">
        <v>72.5</v>
      </c>
      <c r="M1956" s="6" t="s">
        <v>436</v>
      </c>
      <c r="N1956" s="6" t="str">
        <f>IF(OR($G1956="FCC",$G1956="Hydrocracker",$G1956="Reformer"),IF(COUNTIFS($D:$D,$D1956,$A:$A,$A1956,$B:$B,$B1956,$G:$G,"CDU",$J:$J,"PLANNED")&gt;0,"tied","standalone"),"")</f>
        <v>standalone</v>
      </c>
    </row>
    <row r="1957" spans="1:14">
      <c r="A1957" s="6">
        <v>2023</v>
      </c>
      <c r="B1957" s="6">
        <v>9</v>
      </c>
      <c r="C1957" s="6" t="s">
        <v>68</v>
      </c>
      <c r="D1957" s="6" t="s">
        <v>726</v>
      </c>
      <c r="E1957" s="6" t="s">
        <v>727</v>
      </c>
      <c r="F1957" s="6" t="str">
        <f>IF($M1957="PADD I","PADD 1",IF($M1957="PADD II","PADD 2",IF($M1957="PADD III","PADD 3",IF($M1957="PADD IV","PADD 4",IF($M1957="PADD V","PADD 5","")))))</f>
        <v>PADD 1</v>
      </c>
      <c r="G1957" s="6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6" t="s">
        <v>44</v>
      </c>
      <c r="I1957" s="6" t="s">
        <v>1067</v>
      </c>
      <c r="J1957" s="6" t="s">
        <v>394</v>
      </c>
      <c r="K1957" s="10">
        <v>9.045</v>
      </c>
      <c r="L1957" s="10">
        <v>13.5</v>
      </c>
      <c r="M1957" s="6" t="s">
        <v>463</v>
      </c>
      <c r="N1957" s="6">
        <f>IF(OR($G1957="FCC",$G1957="Hydrocracker",$G1957="Reformer"),IF(COUNTIFS($D:$D,$D1957,$A:$A,$A1957,$B:$B,$B1957,$G:$G,"CDU",$J:$J,"PLANNED")&gt;0,"tied","standalone"),"")</f>
        <v/>
      </c>
    </row>
    <row r="1958" spans="1:14">
      <c r="A1958" s="6">
        <v>2023</v>
      </c>
      <c r="B1958" s="6">
        <v>9</v>
      </c>
      <c r="C1958" s="6" t="s">
        <v>68</v>
      </c>
      <c r="D1958" s="6" t="s">
        <v>652</v>
      </c>
      <c r="E1958" s="6" t="s">
        <v>419</v>
      </c>
      <c r="F1958" s="6" t="str">
        <f>IF($M1958="PADD I","PADD 1",IF($M1958="PADD II","PADD 2",IF($M1958="PADD III","PADD 3",IF($M1958="PADD IV","PADD 4",IF($M1958="PADD V","PADD 5","")))))</f>
        <v>PADD 2</v>
      </c>
      <c r="G1958" s="6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6" t="s">
        <v>618</v>
      </c>
      <c r="I1958" s="6" t="s">
        <v>654</v>
      </c>
      <c r="J1958" s="6" t="s">
        <v>398</v>
      </c>
      <c r="K1958" s="10">
        <v>9</v>
      </c>
      <c r="L1958" s="10">
        <v>9</v>
      </c>
      <c r="M1958" s="6" t="s">
        <v>425</v>
      </c>
      <c r="N1958" s="6">
        <f>IF(OR($G1958="FCC",$G1958="Hydrocracker",$G1958="Reformer"),IF(COUNTIFS($D:$D,$D1958,$A:$A,$A1958,$B:$B,$B1958,$G:$G,"CDU",$J:$J,"PLANNED")&gt;0,"tied","standalone"),"")</f>
        <v/>
      </c>
    </row>
    <row r="1959" spans="1:14">
      <c r="A1959" s="6">
        <v>2023</v>
      </c>
      <c r="B1959" s="6">
        <v>9</v>
      </c>
      <c r="C1959" s="6" t="s">
        <v>68</v>
      </c>
      <c r="D1959" s="6" t="s">
        <v>458</v>
      </c>
      <c r="E1959" s="6" t="s">
        <v>459</v>
      </c>
      <c r="F1959" s="6" t="str">
        <f>IF($M1959="PADD I","PADD 1",IF($M1959="PADD II","PADD 2",IF($M1959="PADD III","PADD 3",IF($M1959="PADD IV","PADD 4",IF($M1959="PADD V","PADD 5","")))))</f>
        <v>PADD 3</v>
      </c>
      <c r="G1959" s="6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6" t="s">
        <v>44</v>
      </c>
      <c r="I1959" s="6" t="s">
        <v>552</v>
      </c>
      <c r="J1959" s="6" t="s">
        <v>394</v>
      </c>
      <c r="K1959" s="10">
        <v>9</v>
      </c>
      <c r="L1959" s="10">
        <v>30</v>
      </c>
      <c r="M1959" s="6" t="s">
        <v>421</v>
      </c>
      <c r="N1959" s="6">
        <f>IF(OR($G1959="FCC",$G1959="Hydrocracker",$G1959="Reformer"),IF(COUNTIFS($D:$D,$D1959,$A:$A,$A1959,$B:$B,$B1959,$G:$G,"CDU",$J:$J,"PLANNED")&gt;0,"tied","standalone"),"")</f>
        <v/>
      </c>
    </row>
    <row r="1960" spans="1:14">
      <c r="A1960" s="6">
        <v>2023</v>
      </c>
      <c r="B1960" s="6">
        <v>9</v>
      </c>
      <c r="C1960" s="6" t="s">
        <v>68</v>
      </c>
      <c r="D1960" s="6" t="s">
        <v>458</v>
      </c>
      <c r="E1960" s="6" t="s">
        <v>459</v>
      </c>
      <c r="F1960" s="6" t="str">
        <f>IF($M1960="PADD I","PADD 1",IF($M1960="PADD II","PADD 2",IF($M1960="PADD III","PADD 3",IF($M1960="PADD IV","PADD 4",IF($M1960="PADD V","PADD 5","")))))</f>
        <v>PADD 3</v>
      </c>
      <c r="G1960" s="6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6" t="s">
        <v>44</v>
      </c>
      <c r="I1960" s="6" t="s">
        <v>553</v>
      </c>
      <c r="J1960" s="6" t="s">
        <v>394</v>
      </c>
      <c r="K1960" s="10">
        <v>9</v>
      </c>
      <c r="L1960" s="10">
        <v>30</v>
      </c>
      <c r="M1960" s="6" t="s">
        <v>421</v>
      </c>
      <c r="N1960" s="6">
        <f>IF(OR($G1960="FCC",$G1960="Hydrocracker",$G1960="Reformer"),IF(COUNTIFS($D:$D,$D1960,$A:$A,$A1960,$B:$B,$B1960,$G:$G,"CDU",$J:$J,"PLANNED")&gt;0,"tied","standalone"),"")</f>
        <v/>
      </c>
    </row>
    <row r="1961" spans="1:14">
      <c r="A1961" s="6">
        <v>2023</v>
      </c>
      <c r="B1961" s="6">
        <v>9</v>
      </c>
      <c r="C1961" s="6" t="s">
        <v>68</v>
      </c>
      <c r="D1961" s="6" t="s">
        <v>838</v>
      </c>
      <c r="E1961" s="6" t="s">
        <v>455</v>
      </c>
      <c r="F1961" s="6" t="str">
        <f>IF($M1961="PADD I","PADD 1",IF($M1961="PADD II","PADD 2",IF($M1961="PADD III","PADD 3",IF($M1961="PADD IV","PADD 4",IF($M1961="PADD V","PADD 5","")))))</f>
        <v>PADD 3</v>
      </c>
      <c r="G1961" s="6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6" t="s">
        <v>471</v>
      </c>
      <c r="I1961" s="6" t="s">
        <v>832</v>
      </c>
      <c r="J1961" s="6" t="s">
        <v>394</v>
      </c>
      <c r="K1961" s="10">
        <v>8.640000000000001</v>
      </c>
      <c r="L1961" s="10">
        <v>32</v>
      </c>
      <c r="M1961" s="6" t="s">
        <v>421</v>
      </c>
      <c r="N1961" s="6" t="str">
        <f>IF(OR($G1961="FCC",$G1961="Hydrocracker",$G1961="Reformer"),IF(COUNTIFS($D:$D,$D1961,$A:$A,$A1961,$B:$B,$B1961,$G:$G,"CDU",$J:$J,"PLANNED")&gt;0,"tied","standalone"),"")</f>
        <v>standalone</v>
      </c>
    </row>
    <row r="1962" spans="1:14">
      <c r="A1962" s="6">
        <v>2023</v>
      </c>
      <c r="B1962" s="6">
        <v>9</v>
      </c>
      <c r="C1962" s="6" t="s">
        <v>68</v>
      </c>
      <c r="D1962" s="6" t="s">
        <v>377</v>
      </c>
      <c r="E1962" s="6" t="s">
        <v>466</v>
      </c>
      <c r="F1962" s="6" t="str">
        <f>IF($M1962="PADD I","PADD 1",IF($M1962="PADD II","PADD 2",IF($M1962="PADD III","PADD 3",IF($M1962="PADD IV","PADD 4",IF($M1962="PADD V","PADD 5","")))))</f>
        <v>PADD 2</v>
      </c>
      <c r="G1962" s="6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6" t="s">
        <v>44</v>
      </c>
      <c r="I1962" s="6" t="s">
        <v>1068</v>
      </c>
      <c r="J1962" s="6" t="s">
        <v>398</v>
      </c>
      <c r="K1962" s="10">
        <v>8.050000000000001</v>
      </c>
      <c r="L1962" s="10">
        <v>35</v>
      </c>
      <c r="M1962" s="6" t="s">
        <v>425</v>
      </c>
      <c r="N1962" s="6">
        <f>IF(OR($G1962="FCC",$G1962="Hydrocracker",$G1962="Reformer"),IF(COUNTIFS($D:$D,$D1962,$A:$A,$A1962,$B:$B,$B1962,$G:$G,"CDU",$J:$J,"PLANNED")&gt;0,"tied","standalone"),"")</f>
        <v/>
      </c>
    </row>
    <row r="1963" spans="1:14">
      <c r="A1963" s="6">
        <v>2023</v>
      </c>
      <c r="B1963" s="6">
        <v>9</v>
      </c>
      <c r="C1963" s="6" t="s">
        <v>68</v>
      </c>
      <c r="D1963" s="6" t="s">
        <v>470</v>
      </c>
      <c r="E1963" s="6" t="s">
        <v>423</v>
      </c>
      <c r="F1963" s="6" t="str">
        <f>IF($M1963="PADD I","PADD 1",IF($M1963="PADD II","PADD 2",IF($M1963="PADD III","PADD 3",IF($M1963="PADD IV","PADD 4",IF($M1963="PADD V","PADD 5","")))))</f>
        <v>PADD 2</v>
      </c>
      <c r="G1963" s="6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6" t="s">
        <v>471</v>
      </c>
      <c r="I1963" s="6" t="s">
        <v>621</v>
      </c>
      <c r="J1963" s="6" t="s">
        <v>394</v>
      </c>
      <c r="K1963" s="10">
        <v>8</v>
      </c>
      <c r="L1963" s="10">
        <v>8</v>
      </c>
      <c r="M1963" s="6" t="s">
        <v>425</v>
      </c>
      <c r="N1963" s="6" t="str">
        <f>IF(OR($G1963="FCC",$G1963="Hydrocracker",$G1963="Reformer"),IF(COUNTIFS($D:$D,$D1963,$A:$A,$A1963,$B:$B,$B1963,$G:$G,"CDU",$J:$J,"PLANNED")&gt;0,"tied","standalone"),"")</f>
        <v>standalone</v>
      </c>
    </row>
    <row r="1964" spans="1:14">
      <c r="A1964" s="6">
        <v>2023</v>
      </c>
      <c r="B1964" s="6">
        <v>9</v>
      </c>
      <c r="C1964" s="6" t="s">
        <v>68</v>
      </c>
      <c r="D1964" s="6" t="s">
        <v>470</v>
      </c>
      <c r="E1964" s="6" t="s">
        <v>423</v>
      </c>
      <c r="F1964" s="6" t="str">
        <f>IF($M1964="PADD I","PADD 1",IF($M1964="PADD II","PADD 2",IF($M1964="PADD III","PADD 3",IF($M1964="PADD IV","PADD 4",IF($M1964="PADD V","PADD 5","")))))</f>
        <v>PADD 2</v>
      </c>
      <c r="G1964" s="6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6" t="s">
        <v>44</v>
      </c>
      <c r="I1964" s="6" t="s">
        <v>627</v>
      </c>
      <c r="J1964" s="6" t="s">
        <v>394</v>
      </c>
      <c r="K1964" s="10">
        <v>7.7</v>
      </c>
      <c r="L1964" s="10">
        <v>7.7</v>
      </c>
      <c r="M1964" s="6" t="s">
        <v>425</v>
      </c>
      <c r="N1964" s="6">
        <f>IF(OR($G1964="FCC",$G1964="Hydrocracker",$G1964="Reformer"),IF(COUNTIFS($D:$D,$D1964,$A:$A,$A1964,$B:$B,$B1964,$G:$G,"CDU",$J:$J,"PLANNED")&gt;0,"tied","standalone"),"")</f>
        <v/>
      </c>
    </row>
    <row r="1965" spans="1:14">
      <c r="A1965" s="6">
        <v>2023</v>
      </c>
      <c r="B1965" s="6">
        <v>9</v>
      </c>
      <c r="C1965" s="6" t="s">
        <v>68</v>
      </c>
      <c r="D1965" s="6" t="s">
        <v>470</v>
      </c>
      <c r="E1965" s="6" t="s">
        <v>423</v>
      </c>
      <c r="F1965" s="6" t="str">
        <f>IF($M1965="PADD I","PADD 1",IF($M1965="PADD II","PADD 2",IF($M1965="PADD III","PADD 3",IF($M1965="PADD IV","PADD 4",IF($M1965="PADD V","PADD 5","")))))</f>
        <v>PADD 2</v>
      </c>
      <c r="G1965" s="6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6" t="s">
        <v>44</v>
      </c>
      <c r="I1965" s="6" t="s">
        <v>508</v>
      </c>
      <c r="J1965" s="6" t="s">
        <v>394</v>
      </c>
      <c r="K1965" s="10">
        <v>7.5</v>
      </c>
      <c r="L1965" s="10">
        <v>7.5</v>
      </c>
      <c r="M1965" s="6" t="s">
        <v>425</v>
      </c>
      <c r="N1965" s="6">
        <f>IF(OR($G1965="FCC",$G1965="Hydrocracker",$G1965="Reformer"),IF(COUNTIFS($D:$D,$D1965,$A:$A,$A1965,$B:$B,$B1965,$G:$G,"CDU",$J:$J,"PLANNED")&gt;0,"tied","standalone"),"")</f>
        <v/>
      </c>
    </row>
    <row r="1966" spans="1:14">
      <c r="A1966" s="6">
        <v>2023</v>
      </c>
      <c r="B1966" s="6">
        <v>9</v>
      </c>
      <c r="C1966" s="6" t="s">
        <v>68</v>
      </c>
      <c r="D1966" s="6" t="s">
        <v>41</v>
      </c>
      <c r="E1966" s="6" t="s">
        <v>786</v>
      </c>
      <c r="F1966" s="6" t="str">
        <f>IF($M1966="PADD I","PADD 1",IF($M1966="PADD II","PADD 2",IF($M1966="PADD III","PADD 3",IF($M1966="PADD IV","PADD 4",IF($M1966="PADD V","PADD 5","")))))</f>
        <v>PADD 1</v>
      </c>
      <c r="G1966" s="6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6" t="s">
        <v>687</v>
      </c>
      <c r="I1966" s="6" t="s">
        <v>1069</v>
      </c>
      <c r="J1966" s="6" t="s">
        <v>398</v>
      </c>
      <c r="K1966" s="10">
        <v>7.42</v>
      </c>
      <c r="L1966" s="10">
        <v>14</v>
      </c>
      <c r="M1966" s="6" t="s">
        <v>463</v>
      </c>
      <c r="N1966" s="6">
        <f>IF(OR($G1966="FCC",$G1966="Hydrocracker",$G1966="Reformer"),IF(COUNTIFS($D:$D,$D1966,$A:$A,$A1966,$B:$B,$B1966,$G:$G,"CDU",$J:$J,"PLANNED")&gt;0,"tied","standalone"),"")</f>
        <v/>
      </c>
    </row>
    <row r="1967" spans="1:14">
      <c r="A1967" s="6">
        <v>2023</v>
      </c>
      <c r="B1967" s="6">
        <v>9</v>
      </c>
      <c r="C1967" s="6" t="s">
        <v>68</v>
      </c>
      <c r="D1967" s="6" t="s">
        <v>581</v>
      </c>
      <c r="E1967" s="6" t="s">
        <v>582</v>
      </c>
      <c r="F1967" s="6" t="str">
        <f>IF($M1967="PADD I","PADD 1",IF($M1967="PADD II","PADD 2",IF($M1967="PADD III","PADD 3",IF($M1967="PADD IV","PADD 4",IF($M1967="PADD V","PADD 5","")))))</f>
        <v>PADD 5</v>
      </c>
      <c r="G1967" s="6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6" t="s">
        <v>485</v>
      </c>
      <c r="I1967" s="6" t="s">
        <v>664</v>
      </c>
      <c r="J1967" s="6" t="s">
        <v>394</v>
      </c>
      <c r="K1967" s="10">
        <v>7.29</v>
      </c>
      <c r="L1967" s="10">
        <v>27</v>
      </c>
      <c r="M1967" s="6" t="s">
        <v>436</v>
      </c>
      <c r="N1967" s="6">
        <f>IF(OR($G1967="FCC",$G1967="Hydrocracker",$G1967="Reformer"),IF(COUNTIFS($D:$D,$D1967,$A:$A,$A1967,$B:$B,$B1967,$G:$G,"CDU",$J:$J,"PLANNED")&gt;0,"tied","standalone"),"")</f>
        <v/>
      </c>
    </row>
    <row r="1968" spans="1:14">
      <c r="A1968" s="6">
        <v>2023</v>
      </c>
      <c r="B1968" s="6">
        <v>9</v>
      </c>
      <c r="C1968" s="6" t="s">
        <v>68</v>
      </c>
      <c r="D1968" s="6" t="s">
        <v>496</v>
      </c>
      <c r="E1968" s="6" t="s">
        <v>441</v>
      </c>
      <c r="F1968" s="6" t="str">
        <f>IF($M1968="PADD I","PADD 1",IF($M1968="PADD II","PADD 2",IF($M1968="PADD III","PADD 3",IF($M1968="PADD IV","PADD 4",IF($M1968="PADD V","PADD 5","")))))</f>
        <v>PADD 3</v>
      </c>
      <c r="G1968" s="6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6" t="s">
        <v>510</v>
      </c>
      <c r="I1968" s="6" t="s">
        <v>630</v>
      </c>
      <c r="J1968" s="6" t="s">
        <v>394</v>
      </c>
      <c r="K1968" s="10">
        <v>7.2</v>
      </c>
      <c r="L1968" s="10">
        <v>7.2</v>
      </c>
      <c r="M1968" s="6" t="s">
        <v>421</v>
      </c>
      <c r="N1968" s="6">
        <f>IF(OR($G1968="FCC",$G1968="Hydrocracker",$G1968="Reformer"),IF(COUNTIFS($D:$D,$D1968,$A:$A,$A1968,$B:$B,$B1968,$G:$G,"CDU",$J:$J,"PLANNED")&gt;0,"tied","standalone"),"")</f>
        <v/>
      </c>
    </row>
    <row r="1969" spans="1:14">
      <c r="A1969" s="6">
        <v>2023</v>
      </c>
      <c r="B1969" s="6">
        <v>9</v>
      </c>
      <c r="C1969" s="6" t="s">
        <v>68</v>
      </c>
      <c r="D1969" s="6" t="s">
        <v>726</v>
      </c>
      <c r="E1969" s="6" t="s">
        <v>727</v>
      </c>
      <c r="F1969" s="6" t="str">
        <f>IF($M1969="PADD I","PADD 1",IF($M1969="PADD II","PADD 2",IF($M1969="PADD III","PADD 3",IF($M1969="PADD IV","PADD 4",IF($M1969="PADD V","PADD 5","")))))</f>
        <v>PADD 1</v>
      </c>
      <c r="G1969" s="6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6" t="s">
        <v>44</v>
      </c>
      <c r="I1969" s="6" t="s">
        <v>508</v>
      </c>
      <c r="J1969" s="6" t="s">
        <v>394</v>
      </c>
      <c r="K1969" s="10">
        <v>7.035</v>
      </c>
      <c r="L1969" s="10">
        <v>10.5</v>
      </c>
      <c r="M1969" s="6" t="s">
        <v>463</v>
      </c>
      <c r="N1969" s="6">
        <f>IF(OR($G1969="FCC",$G1969="Hydrocracker",$G1969="Reformer"),IF(COUNTIFS($D:$D,$D1969,$A:$A,$A1969,$B:$B,$B1969,$G:$G,"CDU",$J:$J,"PLANNED")&gt;0,"tied","standalone"),"")</f>
        <v/>
      </c>
    </row>
    <row r="1970" spans="1:14">
      <c r="A1970" s="6">
        <v>2023</v>
      </c>
      <c r="B1970" s="6">
        <v>9</v>
      </c>
      <c r="C1970" s="6" t="s">
        <v>68</v>
      </c>
      <c r="D1970" s="6" t="s">
        <v>726</v>
      </c>
      <c r="E1970" s="6" t="s">
        <v>727</v>
      </c>
      <c r="F1970" s="6" t="str">
        <f>IF($M1970="PADD I","PADD 1",IF($M1970="PADD II","PADD 2",IF($M1970="PADD III","PADD 3",IF($M1970="PADD IV","PADD 4",IF($M1970="PADD V","PADD 5","")))))</f>
        <v>PADD 1</v>
      </c>
      <c r="G1970" s="6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6" t="s">
        <v>44</v>
      </c>
      <c r="I1970" s="6" t="s">
        <v>809</v>
      </c>
      <c r="J1970" s="6" t="s">
        <v>394</v>
      </c>
      <c r="K1970" s="10">
        <v>7.035</v>
      </c>
      <c r="L1970" s="10">
        <v>10.5</v>
      </c>
      <c r="M1970" s="6" t="s">
        <v>463</v>
      </c>
      <c r="N1970" s="6">
        <f>IF(OR($G1970="FCC",$G1970="Hydrocracker",$G1970="Reformer"),IF(COUNTIFS($D:$D,$D1970,$A:$A,$A1970,$B:$B,$B1970,$G:$G,"CDU",$J:$J,"PLANNED")&gt;0,"tied","standalone"),"")</f>
        <v/>
      </c>
    </row>
    <row r="1971" spans="1:14">
      <c r="A1971" s="6">
        <v>2023</v>
      </c>
      <c r="B1971" s="6">
        <v>9</v>
      </c>
      <c r="C1971" s="6" t="s">
        <v>68</v>
      </c>
      <c r="D1971" s="6" t="s">
        <v>518</v>
      </c>
      <c r="E1971" s="6" t="s">
        <v>419</v>
      </c>
      <c r="F1971" s="6" t="str">
        <f>IF($M1971="PADD I","PADD 1",IF($M1971="PADD II","PADD 2",IF($M1971="PADD III","PADD 3",IF($M1971="PADD IV","PADD 4",IF($M1971="PADD V","PADD 5","")))))</f>
        <v>PADD 3</v>
      </c>
      <c r="G1971" s="6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6" t="s">
        <v>471</v>
      </c>
      <c r="I1971" s="6" t="s">
        <v>685</v>
      </c>
      <c r="J1971" s="6" t="s">
        <v>394</v>
      </c>
      <c r="K1971" s="10">
        <v>7</v>
      </c>
      <c r="L1971" s="10">
        <v>7</v>
      </c>
      <c r="M1971" s="6" t="s">
        <v>421</v>
      </c>
      <c r="N1971" s="6" t="str">
        <f>IF(OR($G1971="FCC",$G1971="Hydrocracker",$G1971="Reformer"),IF(COUNTIFS($D:$D,$D1971,$A:$A,$A1971,$B:$B,$B1971,$G:$G,"CDU",$J:$J,"PLANNED")&gt;0,"tied","standalone"),"")</f>
        <v>standalone</v>
      </c>
    </row>
    <row r="1972" spans="1:14">
      <c r="A1972" s="6">
        <v>2023</v>
      </c>
      <c r="B1972" s="6">
        <v>9</v>
      </c>
      <c r="C1972" s="6" t="s">
        <v>68</v>
      </c>
      <c r="D1972" s="6" t="s">
        <v>540</v>
      </c>
      <c r="E1972" s="6" t="s">
        <v>541</v>
      </c>
      <c r="F1972" s="6" t="str">
        <f>IF($M1972="PADD I","PADD 1",IF($M1972="PADD II","PADD 2",IF($M1972="PADD III","PADD 3",IF($M1972="PADD IV","PADD 4",IF($M1972="PADD V","PADD 5","")))))</f>
        <v>PADD 3</v>
      </c>
      <c r="G1972" s="6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6" t="s">
        <v>428</v>
      </c>
      <c r="I1972" s="6" t="s">
        <v>1070</v>
      </c>
      <c r="J1972" s="6" t="s">
        <v>398</v>
      </c>
      <c r="K1972" s="10">
        <v>6.8</v>
      </c>
      <c r="L1972" s="10">
        <v>40</v>
      </c>
      <c r="M1972" s="6" t="s">
        <v>421</v>
      </c>
      <c r="N1972" s="6">
        <f>IF(OR($G1972="FCC",$G1972="Hydrocracker",$G1972="Reformer"),IF(COUNTIFS($D:$D,$D1972,$A:$A,$A1972,$B:$B,$B1972,$G:$G,"CDU",$J:$J,"PLANNED")&gt;0,"tied","standalone"),"")</f>
        <v/>
      </c>
    </row>
    <row r="1973" spans="1:14">
      <c r="A1973" s="6">
        <v>2023</v>
      </c>
      <c r="B1973" s="6">
        <v>9</v>
      </c>
      <c r="C1973" s="6" t="s">
        <v>68</v>
      </c>
      <c r="D1973" s="6" t="s">
        <v>1003</v>
      </c>
      <c r="E1973" s="6" t="s">
        <v>783</v>
      </c>
      <c r="F1973" s="6" t="str">
        <f>IF($M1973="PADD I","PADD 1",IF($M1973="PADD II","PADD 2",IF($M1973="PADD III","PADD 3",IF($M1973="PADD IV","PADD 4",IF($M1973="PADD V","PADD 5","")))))</f>
        <v>PADD 2</v>
      </c>
      <c r="G1973" s="6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6" t="s">
        <v>494</v>
      </c>
      <c r="I1973" s="6" t="s">
        <v>14</v>
      </c>
      <c r="J1973" s="6" t="s">
        <v>394</v>
      </c>
      <c r="K1973" s="10">
        <v>6.545</v>
      </c>
      <c r="L1973" s="10">
        <v>38.5</v>
      </c>
      <c r="M1973" s="6" t="s">
        <v>425</v>
      </c>
      <c r="N1973" s="6" t="str">
        <f>IF(OR($G1973="FCC",$G1973="Hydrocracker",$G1973="Reformer"),IF(COUNTIFS($D:$D,$D1973,$A:$A,$A1973,$B:$B,$B1973,$G:$G,"CDU",$J:$J,"PLANNED")&gt;0,"tied","standalone"),"")</f>
        <v>standalone</v>
      </c>
    </row>
    <row r="1974" spans="1:14">
      <c r="A1974" s="6">
        <v>2023</v>
      </c>
      <c r="B1974" s="6">
        <v>9</v>
      </c>
      <c r="C1974" s="6" t="s">
        <v>68</v>
      </c>
      <c r="D1974" s="6" t="s">
        <v>726</v>
      </c>
      <c r="E1974" s="6" t="s">
        <v>727</v>
      </c>
      <c r="F1974" s="6" t="str">
        <f>IF($M1974="PADD I","PADD 1",IF($M1974="PADD II","PADD 2",IF($M1974="PADD III","PADD 3",IF($M1974="PADD IV","PADD 4",IF($M1974="PADD V","PADD 5","")))))</f>
        <v>PADD 1</v>
      </c>
      <c r="G1974" s="6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6" t="s">
        <v>471</v>
      </c>
      <c r="I1974" s="6" t="s">
        <v>949</v>
      </c>
      <c r="J1974" s="6" t="s">
        <v>394</v>
      </c>
      <c r="K1974" s="10">
        <v>6.432</v>
      </c>
      <c r="L1974" s="10">
        <v>9.6</v>
      </c>
      <c r="M1974" s="6" t="s">
        <v>463</v>
      </c>
      <c r="N1974" s="6" t="str">
        <f>IF(OR($G1974="FCC",$G1974="Hydrocracker",$G1974="Reformer"),IF(COUNTIFS($D:$D,$D1974,$A:$A,$A1974,$B:$B,$B1974,$G:$G,"CDU",$J:$J,"PLANNED")&gt;0,"tied","standalone"),"")</f>
        <v>standalone</v>
      </c>
    </row>
    <row r="1975" spans="1:14">
      <c r="A1975" s="6">
        <v>2023</v>
      </c>
      <c r="B1975" s="6">
        <v>9</v>
      </c>
      <c r="C1975" s="6" t="s">
        <v>68</v>
      </c>
      <c r="D1975" s="6" t="s">
        <v>41</v>
      </c>
      <c r="E1975" s="6" t="s">
        <v>786</v>
      </c>
      <c r="F1975" s="6" t="str">
        <f>IF($M1975="PADD I","PADD 1",IF($M1975="PADD II","PADD 2",IF($M1975="PADD III","PADD 3",IF($M1975="PADD IV","PADD 4",IF($M1975="PADD V","PADD 5","")))))</f>
        <v>PADD 1</v>
      </c>
      <c r="G1975" s="6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6" t="s">
        <v>510</v>
      </c>
      <c r="I1975" s="6" t="s">
        <v>810</v>
      </c>
      <c r="J1975" s="6" t="s">
        <v>398</v>
      </c>
      <c r="K1975" s="10">
        <v>6.36</v>
      </c>
      <c r="L1975" s="10">
        <v>12</v>
      </c>
      <c r="M1975" s="6" t="s">
        <v>463</v>
      </c>
      <c r="N1975" s="6">
        <f>IF(OR($G1975="FCC",$G1975="Hydrocracker",$G1975="Reformer"),IF(COUNTIFS($D:$D,$D1975,$A:$A,$A1975,$B:$B,$B1975,$G:$G,"CDU",$J:$J,"PLANNED")&gt;0,"tied","standalone"),"")</f>
        <v/>
      </c>
    </row>
    <row r="1976" spans="1:14">
      <c r="A1976" s="6">
        <v>2023</v>
      </c>
      <c r="B1976" s="6">
        <v>9</v>
      </c>
      <c r="C1976" s="6" t="s">
        <v>68</v>
      </c>
      <c r="D1976" s="6" t="s">
        <v>41</v>
      </c>
      <c r="E1976" s="6" t="s">
        <v>786</v>
      </c>
      <c r="F1976" s="6" t="str">
        <f>IF($M1976="PADD I","PADD 1",IF($M1976="PADD II","PADD 2",IF($M1976="PADD III","PADD 3",IF($M1976="PADD IV","PADD 4",IF($M1976="PADD V","PADD 5","")))))</f>
        <v>PADD 1</v>
      </c>
      <c r="G1976" s="6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6" t="s">
        <v>44</v>
      </c>
      <c r="I1976" s="6" t="s">
        <v>1071</v>
      </c>
      <c r="J1976" s="6" t="s">
        <v>398</v>
      </c>
      <c r="K1976" s="10">
        <v>6.095</v>
      </c>
      <c r="L1976" s="10">
        <v>11.5</v>
      </c>
      <c r="M1976" s="6" t="s">
        <v>463</v>
      </c>
      <c r="N1976" s="6">
        <f>IF(OR($G1976="FCC",$G1976="Hydrocracker",$G1976="Reformer"),IF(COUNTIFS($D:$D,$D1976,$A:$A,$A1976,$B:$B,$B1976,$G:$G,"CDU",$J:$J,"PLANNED")&gt;0,"tied","standalone"),"")</f>
        <v/>
      </c>
    </row>
    <row r="1977" spans="1:14">
      <c r="A1977" s="6">
        <v>2023</v>
      </c>
      <c r="B1977" s="6">
        <v>9</v>
      </c>
      <c r="C1977" s="6" t="s">
        <v>68</v>
      </c>
      <c r="D1977" s="6" t="s">
        <v>937</v>
      </c>
      <c r="E1977" s="6" t="s">
        <v>455</v>
      </c>
      <c r="F1977" s="6" t="str">
        <f>IF($M1977="PADD I","PADD 1",IF($M1977="PADD II","PADD 2",IF($M1977="PADD III","PADD 3",IF($M1977="PADD IV","PADD 4",IF($M1977="PADD V","PADD 5","")))))</f>
        <v>PADD 3</v>
      </c>
      <c r="G1977" s="6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6" t="s">
        <v>494</v>
      </c>
      <c r="I1977" s="6" t="s">
        <v>1072</v>
      </c>
      <c r="J1977" s="6" t="s">
        <v>398</v>
      </c>
      <c r="K1977" s="10">
        <v>6</v>
      </c>
      <c r="L1977" s="10">
        <v>30</v>
      </c>
      <c r="M1977" s="6" t="s">
        <v>421</v>
      </c>
      <c r="N1977" s="6" t="str">
        <f>IF(OR($G1977="FCC",$G1977="Hydrocracker",$G1977="Reformer"),IF(COUNTIFS($D:$D,$D1977,$A:$A,$A1977,$B:$B,$B1977,$G:$G,"CDU",$J:$J,"PLANNED")&gt;0,"tied","standalone"),"")</f>
        <v>standalone</v>
      </c>
    </row>
    <row r="1978" spans="1:14">
      <c r="A1978" s="6">
        <v>2023</v>
      </c>
      <c r="B1978" s="6">
        <v>9</v>
      </c>
      <c r="C1978" s="6" t="s">
        <v>68</v>
      </c>
      <c r="D1978" s="6" t="s">
        <v>546</v>
      </c>
      <c r="E1978" s="6" t="s">
        <v>438</v>
      </c>
      <c r="F1978" s="6" t="str">
        <f>IF($M1978="PADD I","PADD 1",IF($M1978="PADD II","PADD 2",IF($M1978="PADD III","PADD 3",IF($M1978="PADD IV","PADD 4",IF($M1978="PADD V","PADD 5","")))))</f>
        <v>PADD 2</v>
      </c>
      <c r="G1978" s="6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6" t="s">
        <v>44</v>
      </c>
      <c r="I1978" s="6" t="s">
        <v>1005</v>
      </c>
      <c r="J1978" s="6" t="s">
        <v>398</v>
      </c>
      <c r="K1978" s="10">
        <v>6</v>
      </c>
      <c r="L1978" s="10">
        <v>6</v>
      </c>
      <c r="M1978" s="6" t="s">
        <v>425</v>
      </c>
      <c r="N1978" s="6">
        <f>IF(OR($G1978="FCC",$G1978="Hydrocracker",$G1978="Reformer"),IF(COUNTIFS($D:$D,$D1978,$A:$A,$A1978,$B:$B,$B1978,$G:$G,"CDU",$J:$J,"PLANNED")&gt;0,"tied","standalone"),"")</f>
        <v/>
      </c>
    </row>
    <row r="1979" spans="1:14">
      <c r="A1979" s="6">
        <v>2023</v>
      </c>
      <c r="B1979" s="6">
        <v>9</v>
      </c>
      <c r="C1979" s="6" t="s">
        <v>68</v>
      </c>
      <c r="D1979" s="6" t="s">
        <v>505</v>
      </c>
      <c r="E1979" s="6" t="s">
        <v>455</v>
      </c>
      <c r="F1979" s="6" t="str">
        <f>IF($M1979="PADD I","PADD 1",IF($M1979="PADD II","PADD 2",IF($M1979="PADD III","PADD 3",IF($M1979="PADD IV","PADD 4",IF($M1979="PADD V","PADD 5","")))))</f>
        <v>PADD 3</v>
      </c>
      <c r="G1979" s="6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6" t="s">
        <v>494</v>
      </c>
      <c r="I1979" s="6" t="s">
        <v>506</v>
      </c>
      <c r="J1979" s="6" t="s">
        <v>394</v>
      </c>
      <c r="K1979" s="10">
        <v>6</v>
      </c>
      <c r="L1979" s="10">
        <v>60</v>
      </c>
      <c r="M1979" s="6" t="s">
        <v>421</v>
      </c>
      <c r="N1979" s="6" t="str">
        <f>IF(OR($G1979="FCC",$G1979="Hydrocracker",$G1979="Reformer"),IF(COUNTIFS($D:$D,$D1979,$A:$A,$A1979,$B:$B,$B1979,$G:$G,"CDU",$J:$J,"PLANNED")&gt;0,"tied","standalone"),"")</f>
        <v>standalone</v>
      </c>
    </row>
    <row r="1980" spans="1:14">
      <c r="A1980" s="6">
        <v>2023</v>
      </c>
      <c r="B1980" s="6">
        <v>9</v>
      </c>
      <c r="C1980" s="6" t="s">
        <v>68</v>
      </c>
      <c r="D1980" s="6" t="s">
        <v>662</v>
      </c>
      <c r="E1980" s="6" t="s">
        <v>466</v>
      </c>
      <c r="F1980" s="6" t="str">
        <f>IF($M1980="PADD I","PADD 1",IF($M1980="PADD II","PADD 2",IF($M1980="PADD III","PADD 3",IF($M1980="PADD IV","PADD 4",IF($M1980="PADD V","PADD 5","")))))</f>
        <v>PADD 3</v>
      </c>
      <c r="G1980" s="6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6" t="s">
        <v>428</v>
      </c>
      <c r="I1980" s="6" t="s">
        <v>481</v>
      </c>
      <c r="J1980" s="6" t="s">
        <v>394</v>
      </c>
      <c r="K1980" s="10">
        <v>5.6</v>
      </c>
      <c r="L1980" s="10">
        <v>80</v>
      </c>
      <c r="M1980" s="6" t="s">
        <v>421</v>
      </c>
      <c r="N1980" s="6">
        <f>IF(OR($G1980="FCC",$G1980="Hydrocracker",$G1980="Reformer"),IF(COUNTIFS($D:$D,$D1980,$A:$A,$A1980,$B:$B,$B1980,$G:$G,"CDU",$J:$J,"PLANNED")&gt;0,"tied","standalone"),"")</f>
        <v/>
      </c>
    </row>
    <row r="1981" spans="1:14">
      <c r="A1981" s="6">
        <v>2023</v>
      </c>
      <c r="B1981" s="6">
        <v>9</v>
      </c>
      <c r="C1981" s="6" t="s">
        <v>68</v>
      </c>
      <c r="D1981" s="6" t="s">
        <v>518</v>
      </c>
      <c r="E1981" s="6" t="s">
        <v>419</v>
      </c>
      <c r="F1981" s="6" t="str">
        <f>IF($M1981="PADD I","PADD 1",IF($M1981="PADD II","PADD 2",IF($M1981="PADD III","PADD 3",IF($M1981="PADD IV","PADD 4",IF($M1981="PADD V","PADD 5","")))))</f>
        <v>PADD 3</v>
      </c>
      <c r="G1981" s="6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6" t="s">
        <v>428</v>
      </c>
      <c r="I1981" s="6" t="s">
        <v>1073</v>
      </c>
      <c r="J1981" s="6" t="s">
        <v>398</v>
      </c>
      <c r="K1981" s="10">
        <v>5.6</v>
      </c>
      <c r="L1981" s="10">
        <v>80</v>
      </c>
      <c r="M1981" s="6" t="s">
        <v>421</v>
      </c>
      <c r="N1981" s="6">
        <f>IF(OR($G1981="FCC",$G1981="Hydrocracker",$G1981="Reformer"),IF(COUNTIFS($D:$D,$D1981,$A:$A,$A1981,$B:$B,$B1981,$G:$G,"CDU",$J:$J,"PLANNED")&gt;0,"tied","standalone"),"")</f>
        <v/>
      </c>
    </row>
    <row r="1982" spans="1:14">
      <c r="A1982" s="6">
        <v>2023</v>
      </c>
      <c r="B1982" s="6">
        <v>9</v>
      </c>
      <c r="C1982" s="6" t="s">
        <v>68</v>
      </c>
      <c r="D1982" s="6" t="s">
        <v>470</v>
      </c>
      <c r="E1982" s="6" t="s">
        <v>423</v>
      </c>
      <c r="F1982" s="6" t="str">
        <f>IF($M1982="PADD I","PADD 1",IF($M1982="PADD II","PADD 2",IF($M1982="PADD III","PADD 3",IF($M1982="PADD IV","PADD 4",IF($M1982="PADD V","PADD 5","")))))</f>
        <v>PADD 2</v>
      </c>
      <c r="G1982" s="6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6" t="s">
        <v>44</v>
      </c>
      <c r="I1982" s="6" t="s">
        <v>638</v>
      </c>
      <c r="J1982" s="6" t="s">
        <v>394</v>
      </c>
      <c r="K1982" s="10">
        <v>5.5</v>
      </c>
      <c r="L1982" s="10">
        <v>5.5</v>
      </c>
      <c r="M1982" s="6" t="s">
        <v>425</v>
      </c>
      <c r="N1982" s="6">
        <f>IF(OR($G1982="FCC",$G1982="Hydrocracker",$G1982="Reformer"),IF(COUNTIFS($D:$D,$D1982,$A:$A,$A1982,$B:$B,$B1982,$G:$G,"CDU",$J:$J,"PLANNED")&gt;0,"tied","standalone"),"")</f>
        <v/>
      </c>
    </row>
    <row r="1983" spans="1:14">
      <c r="A1983" s="6">
        <v>2023</v>
      </c>
      <c r="B1983" s="6">
        <v>9</v>
      </c>
      <c r="C1983" s="6" t="s">
        <v>68</v>
      </c>
      <c r="D1983" s="6" t="s">
        <v>546</v>
      </c>
      <c r="E1983" s="6" t="s">
        <v>438</v>
      </c>
      <c r="F1983" s="6" t="str">
        <f>IF($M1983="PADD I","PADD 1",IF($M1983="PADD II","PADD 2",IF($M1983="PADD III","PADD 3",IF($M1983="PADD IV","PADD 4",IF($M1983="PADD V","PADD 5","")))))</f>
        <v>PADD 2</v>
      </c>
      <c r="G1983" s="6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6" t="s">
        <v>39</v>
      </c>
      <c r="I1983" s="6" t="s">
        <v>82</v>
      </c>
      <c r="J1983" s="6" t="s">
        <v>398</v>
      </c>
      <c r="K1983" s="10">
        <v>5.4</v>
      </c>
      <c r="L1983" s="10">
        <v>20</v>
      </c>
      <c r="M1983" s="6" t="s">
        <v>425</v>
      </c>
      <c r="N1983" s="6">
        <f>IF(OR($G1983="FCC",$G1983="Hydrocracker",$G1983="Reformer"),IF(COUNTIFS($D:$D,$D1983,$A:$A,$A1983,$B:$B,$B1983,$G:$G,"CDU",$J:$J,"PLANNED")&gt;0,"tied","standalone"),"")</f>
        <v/>
      </c>
    </row>
    <row r="1984" spans="1:14">
      <c r="A1984" s="6">
        <v>2023</v>
      </c>
      <c r="B1984" s="6">
        <v>9</v>
      </c>
      <c r="C1984" s="6" t="s">
        <v>68</v>
      </c>
      <c r="D1984" s="6" t="s">
        <v>984</v>
      </c>
      <c r="E1984" s="6" t="s">
        <v>438</v>
      </c>
      <c r="F1984" s="6" t="str">
        <f>IF($M1984="PADD I","PADD 1",IF($M1984="PADD II","PADD 2",IF($M1984="PADD III","PADD 3",IF($M1984="PADD IV","PADD 4",IF($M1984="PADD V","PADD 5","")))))</f>
        <v>PADD 3</v>
      </c>
      <c r="G1984" s="6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6" t="s">
        <v>39</v>
      </c>
      <c r="I1984" s="6" t="s">
        <v>136</v>
      </c>
      <c r="J1984" s="6" t="s">
        <v>394</v>
      </c>
      <c r="K1984" s="10">
        <v>5.25</v>
      </c>
      <c r="L1984" s="10">
        <v>75</v>
      </c>
      <c r="M1984" s="6" t="s">
        <v>421</v>
      </c>
      <c r="N1984" s="6">
        <f>IF(OR($G1984="FCC",$G1984="Hydrocracker",$G1984="Reformer"),IF(COUNTIFS($D:$D,$D1984,$A:$A,$A1984,$B:$B,$B1984,$G:$G,"CDU",$J:$J,"PLANNED")&gt;0,"tied","standalone"),"")</f>
        <v/>
      </c>
    </row>
    <row r="1985" spans="1:14">
      <c r="A1985" s="6">
        <v>2023</v>
      </c>
      <c r="B1985" s="6">
        <v>9</v>
      </c>
      <c r="C1985" s="6" t="s">
        <v>68</v>
      </c>
      <c r="D1985" s="6" t="s">
        <v>928</v>
      </c>
      <c r="E1985" s="6" t="s">
        <v>502</v>
      </c>
      <c r="F1985" s="6" t="str">
        <f>IF($M1985="PADD I","PADD 1",IF($M1985="PADD II","PADD 2",IF($M1985="PADD III","PADD 3",IF($M1985="PADD IV","PADD 4",IF($M1985="PADD V","PADD 5","")))))</f>
        <v>PADD 2</v>
      </c>
      <c r="G1985" s="6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6" t="s">
        <v>44</v>
      </c>
      <c r="I1985" s="6" t="s">
        <v>954</v>
      </c>
      <c r="J1985" s="6" t="s">
        <v>398</v>
      </c>
      <c r="K1985" s="10">
        <v>5.25</v>
      </c>
      <c r="L1985" s="10">
        <v>7.5</v>
      </c>
      <c r="M1985" s="6" t="s">
        <v>425</v>
      </c>
      <c r="N1985" s="6">
        <f>IF(OR($G1985="FCC",$G1985="Hydrocracker",$G1985="Reformer"),IF(COUNTIFS($D:$D,$D1985,$A:$A,$A1985,$B:$B,$B1985,$G:$G,"CDU",$J:$J,"PLANNED")&gt;0,"tied","standalone"),"")</f>
        <v/>
      </c>
    </row>
    <row r="1986" spans="1:14">
      <c r="A1986" s="6">
        <v>2023</v>
      </c>
      <c r="B1986" s="6">
        <v>9</v>
      </c>
      <c r="C1986" s="6" t="s">
        <v>68</v>
      </c>
      <c r="D1986" s="6" t="s">
        <v>368</v>
      </c>
      <c r="E1986" s="6" t="s">
        <v>715</v>
      </c>
      <c r="F1986" s="6" t="str">
        <f>IF($M1986="PADD I","PADD 1",IF($M1986="PADD II","PADD 2",IF($M1986="PADD III","PADD 3",IF($M1986="PADD IV","PADD 4",IF($M1986="PADD V","PADD 5","")))))</f>
        <v>PADD 3</v>
      </c>
      <c r="G1986" s="6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6" t="s">
        <v>44</v>
      </c>
      <c r="I1986" s="6" t="s">
        <v>938</v>
      </c>
      <c r="J1986" s="6" t="s">
        <v>398</v>
      </c>
      <c r="K1986" s="10">
        <v>5.2</v>
      </c>
      <c r="L1986" s="10">
        <v>40</v>
      </c>
      <c r="M1986" s="6" t="s">
        <v>421</v>
      </c>
      <c r="N1986" s="6">
        <f>IF(OR($G1986="FCC",$G1986="Hydrocracker",$G1986="Reformer"),IF(COUNTIFS($D:$D,$D1986,$A:$A,$A1986,$B:$B,$B1986,$G:$G,"CDU",$J:$J,"PLANNED")&gt;0,"tied","standalone"),"")</f>
        <v/>
      </c>
    </row>
    <row r="1987" spans="1:14">
      <c r="A1987" s="6">
        <v>2023</v>
      </c>
      <c r="B1987" s="6">
        <v>9</v>
      </c>
      <c r="C1987" s="6" t="s">
        <v>68</v>
      </c>
      <c r="D1987" s="6" t="s">
        <v>490</v>
      </c>
      <c r="E1987" s="6" t="s">
        <v>419</v>
      </c>
      <c r="F1987" s="6" t="str">
        <f>IF($M1987="PADD I","PADD 1",IF($M1987="PADD II","PADD 2",IF($M1987="PADD III","PADD 3",IF($M1987="PADD IV","PADD 4",IF($M1987="PADD V","PADD 5","")))))</f>
        <v>PADD 5</v>
      </c>
      <c r="G1987" s="6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6" t="s">
        <v>44</v>
      </c>
      <c r="I1987" s="6" t="s">
        <v>717</v>
      </c>
      <c r="J1987" s="6" t="s">
        <v>394</v>
      </c>
      <c r="K1987" s="10">
        <v>5.2</v>
      </c>
      <c r="L1987" s="10">
        <v>40</v>
      </c>
      <c r="M1987" s="6" t="s">
        <v>436</v>
      </c>
      <c r="N1987" s="6">
        <f>IF(OR($G1987="FCC",$G1987="Hydrocracker",$G1987="Reformer"),IF(COUNTIFS($D:$D,$D1987,$A:$A,$A1987,$B:$B,$B1987,$G:$G,"CDU",$J:$J,"PLANNED")&gt;0,"tied","standalone"),"")</f>
        <v/>
      </c>
    </row>
    <row r="1988" spans="1:14">
      <c r="A1988" s="6">
        <v>2023</v>
      </c>
      <c r="B1988" s="6">
        <v>9</v>
      </c>
      <c r="C1988" s="6" t="s">
        <v>68</v>
      </c>
      <c r="D1988" s="6" t="s">
        <v>518</v>
      </c>
      <c r="E1988" s="6" t="s">
        <v>419</v>
      </c>
      <c r="F1988" s="6" t="str">
        <f>IF($M1988="PADD I","PADD 1",IF($M1988="PADD II","PADD 2",IF($M1988="PADD III","PADD 3",IF($M1988="PADD IV","PADD 4",IF($M1988="PADD V","PADD 5","")))))</f>
        <v>PADD 3</v>
      </c>
      <c r="G1988" s="6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6" t="s">
        <v>44</v>
      </c>
      <c r="I1988" s="6" t="s">
        <v>899</v>
      </c>
      <c r="J1988" s="6" t="s">
        <v>398</v>
      </c>
      <c r="K1988" s="10">
        <v>5.11</v>
      </c>
      <c r="L1988" s="10">
        <v>73</v>
      </c>
      <c r="M1988" s="6" t="s">
        <v>421</v>
      </c>
      <c r="N1988" s="6">
        <f>IF(OR($G1988="FCC",$G1988="Hydrocracker",$G1988="Reformer"),IF(COUNTIFS($D:$D,$D1988,$A:$A,$A1988,$B:$B,$B1988,$G:$G,"CDU",$J:$J,"PLANNED")&gt;0,"tied","standalone"),"")</f>
        <v/>
      </c>
    </row>
    <row r="1989" spans="1:14">
      <c r="A1989" s="6">
        <v>2023</v>
      </c>
      <c r="B1989" s="6">
        <v>9</v>
      </c>
      <c r="C1989" s="6" t="s">
        <v>68</v>
      </c>
      <c r="D1989" s="6" t="s">
        <v>568</v>
      </c>
      <c r="E1989" s="6" t="s">
        <v>419</v>
      </c>
      <c r="F1989" s="6" t="str">
        <f>IF($M1989="PADD I","PADD 1",IF($M1989="PADD II","PADD 2",IF($M1989="PADD III","PADD 3",IF($M1989="PADD IV","PADD 4",IF($M1989="PADD V","PADD 5","")))))</f>
        <v>PADD 5</v>
      </c>
      <c r="G1989" s="6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6" t="s">
        <v>44</v>
      </c>
      <c r="I1989" s="6" t="s">
        <v>629</v>
      </c>
      <c r="J1989" s="6" t="s">
        <v>398</v>
      </c>
      <c r="K1989" s="10">
        <v>5</v>
      </c>
      <c r="L1989" s="10">
        <v>25</v>
      </c>
      <c r="M1989" s="6" t="s">
        <v>436</v>
      </c>
      <c r="N1989" s="6">
        <f>IF(OR($G1989="FCC",$G1989="Hydrocracker",$G1989="Reformer"),IF(COUNTIFS($D:$D,$D1989,$A:$A,$A1989,$B:$B,$B1989,$G:$G,"CDU",$J:$J,"PLANNED")&gt;0,"tied","standalone"),"")</f>
        <v/>
      </c>
    </row>
    <row r="1990" spans="1:14">
      <c r="A1990" s="6">
        <v>2023</v>
      </c>
      <c r="B1990" s="6">
        <v>9</v>
      </c>
      <c r="C1990" s="6" t="s">
        <v>68</v>
      </c>
      <c r="D1990" s="6" t="s">
        <v>458</v>
      </c>
      <c r="E1990" s="6" t="s">
        <v>459</v>
      </c>
      <c r="F1990" s="6" t="str">
        <f>IF($M1990="PADD I","PADD 1",IF($M1990="PADD II","PADD 2",IF($M1990="PADD III","PADD 3",IF($M1990="PADD IV","PADD 4",IF($M1990="PADD V","PADD 5","")))))</f>
        <v>PADD 3</v>
      </c>
      <c r="G1990" s="6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6" t="s">
        <v>510</v>
      </c>
      <c r="I1990" s="6" t="s">
        <v>656</v>
      </c>
      <c r="J1990" s="6" t="s">
        <v>398</v>
      </c>
      <c r="K1990" s="10">
        <v>5</v>
      </c>
      <c r="L1990" s="10">
        <v>5</v>
      </c>
      <c r="M1990" s="6" t="s">
        <v>421</v>
      </c>
      <c r="N1990" s="6">
        <f>IF(OR($G1990="FCC",$G1990="Hydrocracker",$G1990="Reformer"),IF(COUNTIFS($D:$D,$D1990,$A:$A,$A1990,$B:$B,$B1990,$G:$G,"CDU",$J:$J,"PLANNED")&gt;0,"tied","standalone"),"")</f>
        <v/>
      </c>
    </row>
    <row r="1991" spans="1:14">
      <c r="A1991" s="6">
        <v>2023</v>
      </c>
      <c r="B1991" s="6">
        <v>9</v>
      </c>
      <c r="C1991" s="6" t="s">
        <v>68</v>
      </c>
      <c r="D1991" s="6" t="s">
        <v>448</v>
      </c>
      <c r="E1991" s="6" t="s">
        <v>449</v>
      </c>
      <c r="F1991" s="6" t="str">
        <f>IF($M1991="PADD I","PADD 1",IF($M1991="PADD II","PADD 2",IF($M1991="PADD III","PADD 3",IF($M1991="PADD IV","PADD 4",IF($M1991="PADD V","PADD 5","")))))</f>
        <v>PADD 3</v>
      </c>
      <c r="G1991" s="6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6" t="s">
        <v>44</v>
      </c>
      <c r="I1991" s="6" t="s">
        <v>1074</v>
      </c>
      <c r="J1991" s="6" t="s">
        <v>398</v>
      </c>
      <c r="K1991" s="10">
        <v>4.86</v>
      </c>
      <c r="L1991" s="10">
        <v>18</v>
      </c>
      <c r="M1991" s="6" t="s">
        <v>421</v>
      </c>
      <c r="N1991" s="6">
        <f>IF(OR($G1991="FCC",$G1991="Hydrocracker",$G1991="Reformer"),IF(COUNTIFS($D:$D,$D1991,$A:$A,$A1991,$B:$B,$B1991,$G:$G,"CDU",$J:$J,"PLANNED")&gt;0,"tied","standalone"),"")</f>
        <v/>
      </c>
    </row>
    <row r="1992" spans="1:14">
      <c r="A1992" s="6">
        <v>2023</v>
      </c>
      <c r="B1992" s="6">
        <v>9</v>
      </c>
      <c r="C1992" s="6" t="s">
        <v>68</v>
      </c>
      <c r="D1992" s="6" t="s">
        <v>662</v>
      </c>
      <c r="E1992" s="6" t="s">
        <v>466</v>
      </c>
      <c r="F1992" s="6" t="str">
        <f>IF($M1992="PADD I","PADD 1",IF($M1992="PADD II","PADD 2",IF($M1992="PADD III","PADD 3",IF($M1992="PADD IV","PADD 4",IF($M1992="PADD V","PADD 5","")))))</f>
        <v>PADD 3</v>
      </c>
      <c r="G1992" s="6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6" t="s">
        <v>426</v>
      </c>
      <c r="I1992" s="6" t="s">
        <v>478</v>
      </c>
      <c r="J1992" s="6" t="s">
        <v>394</v>
      </c>
      <c r="K1992" s="10">
        <v>4.83</v>
      </c>
      <c r="L1992" s="10">
        <v>69</v>
      </c>
      <c r="M1992" s="6" t="s">
        <v>421</v>
      </c>
      <c r="N1992" s="6" t="str">
        <f>IF(OR($G1992="FCC",$G1992="Hydrocracker",$G1992="Reformer"),IF(COUNTIFS($D:$D,$D1992,$A:$A,$A1992,$B:$B,$B1992,$G:$G,"CDU",$J:$J,"PLANNED")&gt;0,"tied","standalone"),"")</f>
        <v>standalone</v>
      </c>
    </row>
    <row r="1993" spans="1:14">
      <c r="A1993" s="6">
        <v>2023</v>
      </c>
      <c r="B1993" s="6">
        <v>9</v>
      </c>
      <c r="C1993" s="6" t="s">
        <v>68</v>
      </c>
      <c r="D1993" s="6" t="s">
        <v>726</v>
      </c>
      <c r="E1993" s="6" t="s">
        <v>727</v>
      </c>
      <c r="F1993" s="6" t="str">
        <f>IF($M1993="PADD I","PADD 1",IF($M1993="PADD II","PADD 2",IF($M1993="PADD III","PADD 3",IF($M1993="PADD IV","PADD 4",IF($M1993="PADD V","PADD 5","")))))</f>
        <v>PADD 1</v>
      </c>
      <c r="G1993" s="6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6" t="s">
        <v>44</v>
      </c>
      <c r="I1993" s="6" t="s">
        <v>1075</v>
      </c>
      <c r="J1993" s="6" t="s">
        <v>394</v>
      </c>
      <c r="K1993" s="10">
        <v>4.824</v>
      </c>
      <c r="L1993" s="10">
        <v>7.2</v>
      </c>
      <c r="M1993" s="6" t="s">
        <v>463</v>
      </c>
      <c r="N1993" s="6">
        <f>IF(OR($G1993="FCC",$G1993="Hydrocracker",$G1993="Reformer"),IF(COUNTIFS($D:$D,$D1993,$A:$A,$A1993,$B:$B,$B1993,$G:$G,"CDU",$J:$J,"PLANNED")&gt;0,"tied","standalone"),"")</f>
        <v/>
      </c>
    </row>
    <row r="1994" spans="1:14">
      <c r="A1994" s="6">
        <v>2023</v>
      </c>
      <c r="B1994" s="6">
        <v>9</v>
      </c>
      <c r="C1994" s="6" t="s">
        <v>68</v>
      </c>
      <c r="D1994" s="6" t="s">
        <v>937</v>
      </c>
      <c r="E1994" s="6" t="s">
        <v>455</v>
      </c>
      <c r="F1994" s="6" t="str">
        <f>IF($M1994="PADD I","PADD 1",IF($M1994="PADD II","PADD 2",IF($M1994="PADD III","PADD 3",IF($M1994="PADD IV","PADD 4",IF($M1994="PADD V","PADD 5","")))))</f>
        <v>PADD 3</v>
      </c>
      <c r="G1994" s="6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6" t="s">
        <v>426</v>
      </c>
      <c r="I1994" s="6" t="s">
        <v>856</v>
      </c>
      <c r="J1994" s="6" t="s">
        <v>398</v>
      </c>
      <c r="K1994" s="10">
        <v>4.8</v>
      </c>
      <c r="L1994" s="10">
        <v>24</v>
      </c>
      <c r="M1994" s="6" t="s">
        <v>421</v>
      </c>
      <c r="N1994" s="6" t="str">
        <f>IF(OR($G1994="FCC",$G1994="Hydrocracker",$G1994="Reformer"),IF(COUNTIFS($D:$D,$D1994,$A:$A,$A1994,$B:$B,$B1994,$G:$G,"CDU",$J:$J,"PLANNED")&gt;0,"tied","standalone"),"")</f>
        <v>standalone</v>
      </c>
    </row>
    <row r="1995" spans="1:14">
      <c r="A1995" s="6">
        <v>2023</v>
      </c>
      <c r="B1995" s="6">
        <v>9</v>
      </c>
      <c r="C1995" s="6" t="s">
        <v>68</v>
      </c>
      <c r="D1995" s="6" t="s">
        <v>581</v>
      </c>
      <c r="E1995" s="6" t="s">
        <v>582</v>
      </c>
      <c r="F1995" s="6" t="str">
        <f>IF($M1995="PADD I","PADD 1",IF($M1995="PADD II","PADD 2",IF($M1995="PADD III","PADD 3",IF($M1995="PADD IV","PADD 4",IF($M1995="PADD V","PADD 5","")))))</f>
        <v>PADD 5</v>
      </c>
      <c r="G1995" s="6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6" t="s">
        <v>494</v>
      </c>
      <c r="I1995" s="6" t="s">
        <v>14</v>
      </c>
      <c r="J1995" s="6" t="s">
        <v>394</v>
      </c>
      <c r="K1995" s="10">
        <v>4.8</v>
      </c>
      <c r="L1995" s="10">
        <v>24</v>
      </c>
      <c r="M1995" s="6" t="s">
        <v>436</v>
      </c>
      <c r="N1995" s="6" t="str">
        <f>IF(OR($G1995="FCC",$G1995="Hydrocracker",$G1995="Reformer"),IF(COUNTIFS($D:$D,$D1995,$A:$A,$A1995,$B:$B,$B1995,$G:$G,"CDU",$J:$J,"PLANNED")&gt;0,"tied","standalone"),"")</f>
        <v>standalone</v>
      </c>
    </row>
    <row r="1996" spans="1:14">
      <c r="A1996" s="6">
        <v>2023</v>
      </c>
      <c r="B1996" s="6">
        <v>9</v>
      </c>
      <c r="C1996" s="6" t="s">
        <v>68</v>
      </c>
      <c r="D1996" s="6" t="s">
        <v>458</v>
      </c>
      <c r="E1996" s="6" t="s">
        <v>459</v>
      </c>
      <c r="F1996" s="6" t="str">
        <f>IF($M1996="PADD I","PADD 1",IF($M1996="PADD II","PADD 2",IF($M1996="PADD III","PADD 3",IF($M1996="PADD IV","PADD 4",IF($M1996="PADD V","PADD 5","")))))</f>
        <v>PADD 3</v>
      </c>
      <c r="G1996" s="6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6" t="s">
        <v>39</v>
      </c>
      <c r="I1996" s="6" t="s">
        <v>460</v>
      </c>
      <c r="J1996" s="6" t="s">
        <v>394</v>
      </c>
      <c r="K1996" s="10">
        <v>4.5</v>
      </c>
      <c r="L1996" s="10">
        <v>150</v>
      </c>
      <c r="M1996" s="6" t="s">
        <v>421</v>
      </c>
      <c r="N1996" s="6">
        <f>IF(OR($G1996="FCC",$G1996="Hydrocracker",$G1996="Reformer"),IF(COUNTIFS($D:$D,$D1996,$A:$A,$A1996,$B:$B,$B1996,$G:$G,"CDU",$J:$J,"PLANNED")&gt;0,"tied","standalone"),"")</f>
        <v/>
      </c>
    </row>
    <row r="1997" spans="1:14">
      <c r="A1997" s="6">
        <v>2023</v>
      </c>
      <c r="B1997" s="6">
        <v>9</v>
      </c>
      <c r="C1997" s="6" t="s">
        <v>68</v>
      </c>
      <c r="D1997" s="6" t="s">
        <v>373</v>
      </c>
      <c r="E1997" s="6" t="s">
        <v>438</v>
      </c>
      <c r="F1997" s="6" t="str">
        <f>IF($M1997="PADD I","PADD 1",IF($M1997="PADD II","PADD 2",IF($M1997="PADD III","PADD 3",IF($M1997="PADD IV","PADD 4",IF($M1997="PADD V","PADD 5","")))))</f>
        <v>PADD 3</v>
      </c>
      <c r="G1997" s="6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6" t="s">
        <v>39</v>
      </c>
      <c r="I1997" s="6" t="s">
        <v>97</v>
      </c>
      <c r="J1997" s="6" t="s">
        <v>398</v>
      </c>
      <c r="K1997" s="10">
        <v>4.35</v>
      </c>
      <c r="L1997" s="10">
        <v>145</v>
      </c>
      <c r="M1997" s="6" t="s">
        <v>421</v>
      </c>
      <c r="N1997" s="6">
        <f>IF(OR($G1997="FCC",$G1997="Hydrocracker",$G1997="Reformer"),IF(COUNTIFS($D:$D,$D1997,$A:$A,$A1997,$B:$B,$B1997,$G:$G,"CDU",$J:$J,"PLANNED")&gt;0,"tied","standalone"),"")</f>
        <v/>
      </c>
    </row>
    <row r="1998" spans="1:14">
      <c r="A1998" s="6">
        <v>2023</v>
      </c>
      <c r="B1998" s="6">
        <v>9</v>
      </c>
      <c r="C1998" s="6" t="s">
        <v>68</v>
      </c>
      <c r="D1998" s="6" t="s">
        <v>52</v>
      </c>
      <c r="E1998" s="6" t="s">
        <v>441</v>
      </c>
      <c r="F1998" s="6" t="str">
        <f>IF($M1998="PADD I","PADD 1",IF($M1998="PADD II","PADD 2",IF($M1998="PADD III","PADD 3",IF($M1998="PADD IV","PADD 4",IF($M1998="PADD V","PADD 5","")))))</f>
        <v>PADD 5</v>
      </c>
      <c r="G1998" s="6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6" t="s">
        <v>510</v>
      </c>
      <c r="I1998" s="6" t="s">
        <v>511</v>
      </c>
      <c r="J1998" s="6" t="s">
        <v>394</v>
      </c>
      <c r="K1998" s="10">
        <v>4.29</v>
      </c>
      <c r="L1998" s="10">
        <v>33</v>
      </c>
      <c r="M1998" s="6" t="s">
        <v>436</v>
      </c>
      <c r="N1998" s="6">
        <f>IF(OR($G1998="FCC",$G1998="Hydrocracker",$G1998="Reformer"),IF(COUNTIFS($D:$D,$D1998,$A:$A,$A1998,$B:$B,$B1998,$G:$G,"CDU",$J:$J,"PLANNED")&gt;0,"tied","standalone"),"")</f>
        <v/>
      </c>
    </row>
    <row r="1999" spans="1:14">
      <c r="A1999" s="6">
        <v>2023</v>
      </c>
      <c r="B1999" s="6">
        <v>9</v>
      </c>
      <c r="C1999" s="6" t="s">
        <v>68</v>
      </c>
      <c r="D1999" s="6" t="s">
        <v>937</v>
      </c>
      <c r="E1999" s="6" t="s">
        <v>455</v>
      </c>
      <c r="F1999" s="6" t="str">
        <f>IF($M1999="PADD I","PADD 1",IF($M1999="PADD II","PADD 2",IF($M1999="PADD III","PADD 3",IF($M1999="PADD IV","PADD 4",IF($M1999="PADD V","PADD 5","")))))</f>
        <v>PADD 3</v>
      </c>
      <c r="G1999" s="6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6" t="s">
        <v>44</v>
      </c>
      <c r="I1999" s="6" t="s">
        <v>968</v>
      </c>
      <c r="J1999" s="6" t="s">
        <v>398</v>
      </c>
      <c r="K1999" s="10">
        <v>4</v>
      </c>
      <c r="L1999" s="10">
        <v>20</v>
      </c>
      <c r="M1999" s="6" t="s">
        <v>421</v>
      </c>
      <c r="N1999" s="6">
        <f>IF(OR($G1999="FCC",$G1999="Hydrocracker",$G1999="Reformer"),IF(COUNTIFS($D:$D,$D1999,$A:$A,$A1999,$B:$B,$B1999,$G:$G,"CDU",$J:$J,"PLANNED")&gt;0,"tied","standalone"),"")</f>
        <v/>
      </c>
    </row>
    <row r="2000" spans="1:14">
      <c r="A2000" s="6">
        <v>2023</v>
      </c>
      <c r="B2000" s="6">
        <v>9</v>
      </c>
      <c r="C2000" s="6" t="s">
        <v>68</v>
      </c>
      <c r="D2000" s="6" t="s">
        <v>518</v>
      </c>
      <c r="E2000" s="6" t="s">
        <v>419</v>
      </c>
      <c r="F2000" s="6" t="str">
        <f>IF($M2000="PADD I","PADD 1",IF($M2000="PADD II","PADD 2",IF($M2000="PADD III","PADD 3",IF($M2000="PADD IV","PADD 4",IF($M2000="PADD V","PADD 5","")))))</f>
        <v>PADD 3</v>
      </c>
      <c r="G2000" s="6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6" t="s">
        <v>426</v>
      </c>
      <c r="I2000" s="6" t="s">
        <v>519</v>
      </c>
      <c r="J2000" s="6" t="s">
        <v>394</v>
      </c>
      <c r="K2000" s="10">
        <v>3.9</v>
      </c>
      <c r="L2000" s="10">
        <v>30</v>
      </c>
      <c r="M2000" s="6" t="s">
        <v>421</v>
      </c>
      <c r="N2000" s="6" t="str">
        <f>IF(OR($G2000="FCC",$G2000="Hydrocracker",$G2000="Reformer"),IF(COUNTIFS($D:$D,$D2000,$A:$A,$A2000,$B:$B,$B2000,$G:$G,"CDU",$J:$J,"PLANNED")&gt;0,"tied","standalone"),"")</f>
        <v>standalone</v>
      </c>
    </row>
    <row r="2001" spans="1:14">
      <c r="A2001" s="6">
        <v>2023</v>
      </c>
      <c r="B2001" s="6">
        <v>9</v>
      </c>
      <c r="C2001" s="6" t="s">
        <v>68</v>
      </c>
      <c r="D2001" s="6" t="s">
        <v>581</v>
      </c>
      <c r="E2001" s="6" t="s">
        <v>582</v>
      </c>
      <c r="F2001" s="6" t="str">
        <f>IF($M2001="PADD I","PADD 1",IF($M2001="PADD II","PADD 2",IF($M2001="PADD III","PADD 3",IF($M2001="PADD IV","PADD 4",IF($M2001="PADD V","PADD 5","")))))</f>
        <v>PADD 5</v>
      </c>
      <c r="G2001" s="6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6" t="s">
        <v>510</v>
      </c>
      <c r="I2001" s="6" t="s">
        <v>666</v>
      </c>
      <c r="J2001" s="6" t="s">
        <v>394</v>
      </c>
      <c r="K2001" s="10">
        <v>3.74</v>
      </c>
      <c r="L2001" s="10">
        <v>22</v>
      </c>
      <c r="M2001" s="6" t="s">
        <v>436</v>
      </c>
      <c r="N2001" s="6">
        <f>IF(OR($G2001="FCC",$G2001="Hydrocracker",$G2001="Reformer"),IF(COUNTIFS($D:$D,$D2001,$A:$A,$A2001,$B:$B,$B2001,$G:$G,"CDU",$J:$J,"PLANNED")&gt;0,"tied","standalone"),"")</f>
        <v/>
      </c>
    </row>
    <row r="2002" spans="1:14">
      <c r="A2002" s="6">
        <v>2023</v>
      </c>
      <c r="B2002" s="6">
        <v>9</v>
      </c>
      <c r="C2002" s="6" t="s">
        <v>68</v>
      </c>
      <c r="D2002" s="6" t="s">
        <v>518</v>
      </c>
      <c r="E2002" s="6" t="s">
        <v>419</v>
      </c>
      <c r="F2002" s="6" t="str">
        <f>IF($M2002="PADD I","PADD 1",IF($M2002="PADD II","PADD 2",IF($M2002="PADD III","PADD 3",IF($M2002="PADD IV","PADD 4",IF($M2002="PADD V","PADD 5","")))))</f>
        <v>PADD 3</v>
      </c>
      <c r="G2002" s="6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6" t="s">
        <v>44</v>
      </c>
      <c r="I2002" s="6" t="s">
        <v>532</v>
      </c>
      <c r="J2002" s="6" t="s">
        <v>398</v>
      </c>
      <c r="K2002" s="10">
        <v>3.5</v>
      </c>
      <c r="L2002" s="10">
        <v>50</v>
      </c>
      <c r="M2002" s="6" t="s">
        <v>421</v>
      </c>
      <c r="N2002" s="6">
        <f>IF(OR($G2002="FCC",$G2002="Hydrocracker",$G2002="Reformer"),IF(COUNTIFS($D:$D,$D2002,$A:$A,$A2002,$B:$B,$B2002,$G:$G,"CDU",$J:$J,"PLANNED")&gt;0,"tied","standalone"),"")</f>
        <v/>
      </c>
    </row>
    <row r="2003" spans="1:14">
      <c r="A2003" s="6">
        <v>2023</v>
      </c>
      <c r="B2003" s="6">
        <v>9</v>
      </c>
      <c r="C2003" s="6" t="s">
        <v>68</v>
      </c>
      <c r="D2003" s="6" t="s">
        <v>377</v>
      </c>
      <c r="E2003" s="6" t="s">
        <v>466</v>
      </c>
      <c r="F2003" s="6" t="str">
        <f>IF($M2003="PADD I","PADD 1",IF($M2003="PADD II","PADD 2",IF($M2003="PADD III","PADD 3",IF($M2003="PADD IV","PADD 4",IF($M2003="PADD V","PADD 5","")))))</f>
        <v>PADD 2</v>
      </c>
      <c r="G2003" s="6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6" t="s">
        <v>44</v>
      </c>
      <c r="I2003" s="6" t="s">
        <v>1076</v>
      </c>
      <c r="J2003" s="6" t="s">
        <v>398</v>
      </c>
      <c r="K2003" s="10">
        <v>3.45</v>
      </c>
      <c r="L2003" s="10">
        <v>15</v>
      </c>
      <c r="M2003" s="6" t="s">
        <v>425</v>
      </c>
      <c r="N2003" s="6">
        <f>IF(OR($G2003="FCC",$G2003="Hydrocracker",$G2003="Reformer"),IF(COUNTIFS($D:$D,$D2003,$A:$A,$A2003,$B:$B,$B2003,$G:$G,"CDU",$J:$J,"PLANNED")&gt;0,"tied","standalone"),"")</f>
        <v/>
      </c>
    </row>
    <row r="2004" spans="1:14">
      <c r="A2004" s="6">
        <v>2023</v>
      </c>
      <c r="B2004" s="6">
        <v>9</v>
      </c>
      <c r="C2004" s="6" t="s">
        <v>68</v>
      </c>
      <c r="D2004" s="6" t="s">
        <v>546</v>
      </c>
      <c r="E2004" s="6" t="s">
        <v>438</v>
      </c>
      <c r="F2004" s="6" t="str">
        <f>IF($M2004="PADD I","PADD 1",IF($M2004="PADD II","PADD 2",IF($M2004="PADD III","PADD 3",IF($M2004="PADD IV","PADD 4",IF($M2004="PADD V","PADD 5","")))))</f>
        <v>PADD 2</v>
      </c>
      <c r="G2004" s="6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6" t="s">
        <v>428</v>
      </c>
      <c r="I2004" s="6" t="s">
        <v>586</v>
      </c>
      <c r="J2004" s="6" t="s">
        <v>398</v>
      </c>
      <c r="K2004" s="10">
        <v>3.24</v>
      </c>
      <c r="L2004" s="10">
        <v>12</v>
      </c>
      <c r="M2004" s="6" t="s">
        <v>425</v>
      </c>
      <c r="N2004" s="6">
        <f>IF(OR($G2004="FCC",$G2004="Hydrocracker",$G2004="Reformer"),IF(COUNTIFS($D:$D,$D2004,$A:$A,$A2004,$B:$B,$B2004,$G:$G,"CDU",$J:$J,"PLANNED")&gt;0,"tied","standalone"),"")</f>
        <v/>
      </c>
    </row>
    <row r="2005" spans="1:14">
      <c r="A2005" s="6">
        <v>2023</v>
      </c>
      <c r="B2005" s="6">
        <v>9</v>
      </c>
      <c r="C2005" s="6" t="s">
        <v>68</v>
      </c>
      <c r="D2005" s="6" t="s">
        <v>613</v>
      </c>
      <c r="E2005" s="6" t="s">
        <v>446</v>
      </c>
      <c r="F2005" s="6" t="str">
        <f>IF($M2005="PADD I","PADD 1",IF($M2005="PADD II","PADD 2",IF($M2005="PADD III","PADD 3",IF($M2005="PADD IV","PADD 4",IF($M2005="PADD V","PADD 5","")))))</f>
        <v>PADD 3</v>
      </c>
      <c r="G2005" s="6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6" t="s">
        <v>44</v>
      </c>
      <c r="I2005" s="6" t="s">
        <v>614</v>
      </c>
      <c r="J2005" s="6" t="s">
        <v>394</v>
      </c>
      <c r="K2005" s="10">
        <v>2.863</v>
      </c>
      <c r="L2005" s="10">
        <v>40.9</v>
      </c>
      <c r="M2005" s="6" t="s">
        <v>421</v>
      </c>
      <c r="N2005" s="6">
        <f>IF(OR($G2005="FCC",$G2005="Hydrocracker",$G2005="Reformer"),IF(COUNTIFS($D:$D,$D2005,$A:$A,$A2005,$B:$B,$B2005,$G:$G,"CDU",$J:$J,"PLANNED")&gt;0,"tied","standalone"),"")</f>
        <v/>
      </c>
    </row>
    <row r="2006" spans="1:14">
      <c r="A2006" s="6">
        <v>2023</v>
      </c>
      <c r="B2006" s="6">
        <v>9</v>
      </c>
      <c r="C2006" s="6" t="s">
        <v>68</v>
      </c>
      <c r="D2006" s="6" t="s">
        <v>851</v>
      </c>
      <c r="E2006" s="6" t="s">
        <v>829</v>
      </c>
      <c r="F2006" s="6" t="str">
        <f>IF($M2006="PADD I","PADD 1",IF($M2006="PADD II","PADD 2",IF($M2006="PADD III","PADD 3",IF($M2006="PADD IV","PADD 4",IF($M2006="PADD V","PADD 5","")))))</f>
        <v>PADD 2</v>
      </c>
      <c r="G2006" s="6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6" t="s">
        <v>947</v>
      </c>
      <c r="I2006" s="6" t="s">
        <v>1077</v>
      </c>
      <c r="J2006" s="6" t="s">
        <v>398</v>
      </c>
      <c r="K2006" s="10">
        <v>2.8</v>
      </c>
      <c r="L2006" s="10">
        <v>3.5</v>
      </c>
      <c r="M2006" s="6" t="s">
        <v>425</v>
      </c>
      <c r="N2006" s="6">
        <f>IF(OR($G2006="FCC",$G2006="Hydrocracker",$G2006="Reformer"),IF(COUNTIFS($D:$D,$D2006,$A:$A,$A2006,$B:$B,$B2006,$G:$G,"CDU",$J:$J,"PLANNED")&gt;0,"tied","standalone"),"")</f>
        <v/>
      </c>
    </row>
    <row r="2007" spans="1:14">
      <c r="A2007" s="6">
        <v>2023</v>
      </c>
      <c r="B2007" s="6">
        <v>9</v>
      </c>
      <c r="C2007" s="6" t="s">
        <v>68</v>
      </c>
      <c r="D2007" s="6" t="s">
        <v>368</v>
      </c>
      <c r="E2007" s="6" t="s">
        <v>715</v>
      </c>
      <c r="F2007" s="6" t="str">
        <f>IF($M2007="PADD I","PADD 1",IF($M2007="PADD II","PADD 2",IF($M2007="PADD III","PADD 3",IF($M2007="PADD IV","PADD 4",IF($M2007="PADD V","PADD 5","")))))</f>
        <v>PADD 3</v>
      </c>
      <c r="G2007" s="6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6" t="s">
        <v>485</v>
      </c>
      <c r="I2007" s="6" t="s">
        <v>491</v>
      </c>
      <c r="J2007" s="6" t="s">
        <v>394</v>
      </c>
      <c r="K2007" s="10">
        <v>2.7794</v>
      </c>
      <c r="L2007" s="10">
        <v>21.38</v>
      </c>
      <c r="M2007" s="6" t="s">
        <v>421</v>
      </c>
      <c r="N2007" s="6">
        <f>IF(OR($G2007="FCC",$G2007="Hydrocracker",$G2007="Reformer"),IF(COUNTIFS($D:$D,$D2007,$A:$A,$A2007,$B:$B,$B2007,$G:$G,"CDU",$J:$J,"PLANNED")&gt;0,"tied","standalone"),"")</f>
        <v/>
      </c>
    </row>
    <row r="2008" spans="1:14">
      <c r="A2008" s="6">
        <v>2023</v>
      </c>
      <c r="B2008" s="6">
        <v>9</v>
      </c>
      <c r="C2008" s="6" t="s">
        <v>68</v>
      </c>
      <c r="D2008" s="6" t="s">
        <v>534</v>
      </c>
      <c r="E2008" s="6" t="s">
        <v>459</v>
      </c>
      <c r="F2008" s="6" t="str">
        <f>IF($M2008="PADD I","PADD 1",IF($M2008="PADD II","PADD 2",IF($M2008="PADD III","PADD 3",IF($M2008="PADD IV","PADD 4",IF($M2008="PADD V","PADD 5","")))))</f>
        <v>PADD 3</v>
      </c>
      <c r="G2008" s="6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6" t="s">
        <v>44</v>
      </c>
      <c r="I2008" s="6" t="s">
        <v>543</v>
      </c>
      <c r="J2008" s="6" t="s">
        <v>394</v>
      </c>
      <c r="K2008" s="10">
        <v>2.7</v>
      </c>
      <c r="L2008" s="10">
        <v>10</v>
      </c>
      <c r="M2008" s="6" t="s">
        <v>421</v>
      </c>
      <c r="N2008" s="6">
        <f>IF(OR($G2008="FCC",$G2008="Hydrocracker",$G2008="Reformer"),IF(COUNTIFS($D:$D,$D2008,$A:$A,$A2008,$B:$B,$B2008,$G:$G,"CDU",$J:$J,"PLANNED")&gt;0,"tied","standalone"),"")</f>
        <v/>
      </c>
    </row>
    <row r="2009" spans="1:14">
      <c r="A2009" s="6">
        <v>2023</v>
      </c>
      <c r="B2009" s="6">
        <v>9</v>
      </c>
      <c r="C2009" s="6" t="s">
        <v>68</v>
      </c>
      <c r="D2009" s="6" t="s">
        <v>452</v>
      </c>
      <c r="E2009" s="6" t="s">
        <v>453</v>
      </c>
      <c r="F2009" s="6" t="str">
        <f>IF($M2009="PADD I","PADD 1",IF($M2009="PADD II","PADD 2",IF($M2009="PADD III","PADD 3",IF($M2009="PADD IV","PADD 4",IF($M2009="PADD V","PADD 5","")))))</f>
        <v>PADD 3</v>
      </c>
      <c r="G2009" s="6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6" t="s">
        <v>426</v>
      </c>
      <c r="I2009" s="6" t="s">
        <v>106</v>
      </c>
      <c r="J2009" s="6" t="s">
        <v>394</v>
      </c>
      <c r="K2009" s="10">
        <v>2.6</v>
      </c>
      <c r="L2009" s="10">
        <v>20</v>
      </c>
      <c r="M2009" s="6" t="s">
        <v>421</v>
      </c>
      <c r="N2009" s="6" t="str">
        <f>IF(OR($G2009="FCC",$G2009="Hydrocracker",$G2009="Reformer"),IF(COUNTIFS($D:$D,$D2009,$A:$A,$A2009,$B:$B,$B2009,$G:$G,"CDU",$J:$J,"PLANNED")&gt;0,"tied","standalone"),"")</f>
        <v>standalone</v>
      </c>
    </row>
    <row r="2010" spans="1:14">
      <c r="A2010" s="6">
        <v>2023</v>
      </c>
      <c r="B2010" s="6">
        <v>9</v>
      </c>
      <c r="C2010" s="6" t="s">
        <v>68</v>
      </c>
      <c r="D2010" s="6" t="s">
        <v>581</v>
      </c>
      <c r="E2010" s="6" t="s">
        <v>582</v>
      </c>
      <c r="F2010" s="6" t="str">
        <f>IF($M2010="PADD I","PADD 1",IF($M2010="PADD II","PADD 2",IF($M2010="PADD III","PADD 3",IF($M2010="PADD IV","PADD 4",IF($M2010="PADD V","PADD 5","")))))</f>
        <v>PADD 5</v>
      </c>
      <c r="G2010" s="6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6" t="s">
        <v>485</v>
      </c>
      <c r="I2010" s="6" t="s">
        <v>649</v>
      </c>
      <c r="J2010" s="6" t="s">
        <v>394</v>
      </c>
      <c r="K2010" s="10">
        <v>2.5</v>
      </c>
      <c r="L2010" s="10">
        <v>25</v>
      </c>
      <c r="M2010" s="6" t="s">
        <v>436</v>
      </c>
      <c r="N2010" s="6">
        <f>IF(OR($G2010="FCC",$G2010="Hydrocracker",$G2010="Reformer"),IF(COUNTIFS($D:$D,$D2010,$A:$A,$A2010,$B:$B,$B2010,$G:$G,"CDU",$J:$J,"PLANNED")&gt;0,"tied","standalone"),"")</f>
        <v/>
      </c>
    </row>
    <row r="2011" spans="1:14">
      <c r="A2011" s="6">
        <v>2023</v>
      </c>
      <c r="B2011" s="6">
        <v>9</v>
      </c>
      <c r="C2011" s="6" t="s">
        <v>68</v>
      </c>
      <c r="D2011" s="6" t="s">
        <v>452</v>
      </c>
      <c r="E2011" s="6" t="s">
        <v>453</v>
      </c>
      <c r="F2011" s="6" t="str">
        <f>IF($M2011="PADD I","PADD 1",IF($M2011="PADD II","PADD 2",IF($M2011="PADD III","PADD 3",IF($M2011="PADD IV","PADD 4",IF($M2011="PADD V","PADD 5","")))))</f>
        <v>PADD 3</v>
      </c>
      <c r="G2011" s="6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6" t="s">
        <v>39</v>
      </c>
      <c r="I2011" s="6" t="s">
        <v>454</v>
      </c>
      <c r="J2011" s="6" t="s">
        <v>394</v>
      </c>
      <c r="K2011" s="10">
        <v>2.4375</v>
      </c>
      <c r="L2011" s="10">
        <v>18.75</v>
      </c>
      <c r="M2011" s="6" t="s">
        <v>421</v>
      </c>
      <c r="N2011" s="6">
        <f>IF(OR($G2011="FCC",$G2011="Hydrocracker",$G2011="Reformer"),IF(COUNTIFS($D:$D,$D2011,$A:$A,$A2011,$B:$B,$B2011,$G:$G,"CDU",$J:$J,"PLANNED")&gt;0,"tied","standalone"),"")</f>
        <v/>
      </c>
    </row>
    <row r="2012" spans="1:14">
      <c r="A2012" s="6">
        <v>2023</v>
      </c>
      <c r="B2012" s="6">
        <v>9</v>
      </c>
      <c r="C2012" s="6" t="s">
        <v>68</v>
      </c>
      <c r="D2012" s="6" t="s">
        <v>518</v>
      </c>
      <c r="E2012" s="6" t="s">
        <v>419</v>
      </c>
      <c r="F2012" s="6" t="str">
        <f>IF($M2012="PADD I","PADD 1",IF($M2012="PADD II","PADD 2",IF($M2012="PADD III","PADD 3",IF($M2012="PADD IV","PADD 4",IF($M2012="PADD V","PADD 5","")))))</f>
        <v>PADD 3</v>
      </c>
      <c r="G2012" s="6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6" t="s">
        <v>44</v>
      </c>
      <c r="I2012" s="6" t="s">
        <v>1078</v>
      </c>
      <c r="J2012" s="6" t="s">
        <v>398</v>
      </c>
      <c r="K2012" s="10">
        <v>2.38</v>
      </c>
      <c r="L2012" s="10">
        <v>34</v>
      </c>
      <c r="M2012" s="6" t="s">
        <v>421</v>
      </c>
      <c r="N2012" s="6">
        <f>IF(OR($G2012="FCC",$G2012="Hydrocracker",$G2012="Reformer"),IF(COUNTIFS($D:$D,$D2012,$A:$A,$A2012,$B:$B,$B2012,$G:$G,"CDU",$J:$J,"PLANNED")&gt;0,"tied","standalone"),"")</f>
        <v/>
      </c>
    </row>
    <row r="2013" spans="1:14">
      <c r="A2013" s="6">
        <v>2023</v>
      </c>
      <c r="B2013" s="6">
        <v>9</v>
      </c>
      <c r="C2013" s="6" t="s">
        <v>68</v>
      </c>
      <c r="D2013" s="6" t="s">
        <v>937</v>
      </c>
      <c r="E2013" s="6" t="s">
        <v>455</v>
      </c>
      <c r="F2013" s="6" t="str">
        <f>IF($M2013="PADD I","PADD 1",IF($M2013="PADD II","PADD 2",IF($M2013="PADD III","PADD 3",IF($M2013="PADD IV","PADD 4",IF($M2013="PADD V","PADD 5","")))))</f>
        <v>PADD 3</v>
      </c>
      <c r="G2013" s="6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6" t="s">
        <v>471</v>
      </c>
      <c r="I2013" s="6" t="s">
        <v>589</v>
      </c>
      <c r="J2013" s="6" t="s">
        <v>394</v>
      </c>
      <c r="K2013" s="10">
        <v>2.3</v>
      </c>
      <c r="L2013" s="10">
        <v>23</v>
      </c>
      <c r="M2013" s="6" t="s">
        <v>421</v>
      </c>
      <c r="N2013" s="6" t="str">
        <f>IF(OR($G2013="FCC",$G2013="Hydrocracker",$G2013="Reformer"),IF(COUNTIFS($D:$D,$D2013,$A:$A,$A2013,$B:$B,$B2013,$G:$G,"CDU",$J:$J,"PLANNED")&gt;0,"tied","standalone"),"")</f>
        <v>standalone</v>
      </c>
    </row>
    <row r="2014" spans="1:14">
      <c r="A2014" s="6">
        <v>2023</v>
      </c>
      <c r="B2014" s="6">
        <v>9</v>
      </c>
      <c r="C2014" s="6" t="s">
        <v>68</v>
      </c>
      <c r="D2014" s="6" t="s">
        <v>41</v>
      </c>
      <c r="E2014" s="6" t="s">
        <v>786</v>
      </c>
      <c r="F2014" s="6" t="str">
        <f>IF($M2014="PADD I","PADD 1",IF($M2014="PADD II","PADD 2",IF($M2014="PADD III","PADD 3",IF($M2014="PADD IV","PADD 4",IF($M2014="PADD V","PADD 5","")))))</f>
        <v>PADD 1</v>
      </c>
      <c r="G2014" s="6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6" t="s">
        <v>44</v>
      </c>
      <c r="I2014" s="6" t="s">
        <v>1079</v>
      </c>
      <c r="J2014" s="6" t="s">
        <v>398</v>
      </c>
      <c r="K2014" s="10">
        <v>2.226</v>
      </c>
      <c r="L2014" s="10">
        <v>4.2</v>
      </c>
      <c r="M2014" s="6" t="s">
        <v>463</v>
      </c>
      <c r="N2014" s="6">
        <f>IF(OR($G2014="FCC",$G2014="Hydrocracker",$G2014="Reformer"),IF(COUNTIFS($D:$D,$D2014,$A:$A,$A2014,$B:$B,$B2014,$G:$G,"CDU",$J:$J,"PLANNED")&gt;0,"tied","standalone"),"")</f>
        <v/>
      </c>
    </row>
    <row r="2015" spans="1:14">
      <c r="A2015" s="6">
        <v>2023</v>
      </c>
      <c r="B2015" s="6">
        <v>9</v>
      </c>
      <c r="C2015" s="6" t="s">
        <v>68</v>
      </c>
      <c r="D2015" s="6" t="s">
        <v>984</v>
      </c>
      <c r="E2015" s="6" t="s">
        <v>438</v>
      </c>
      <c r="F2015" s="6" t="str">
        <f>IF($M2015="PADD I","PADD 1",IF($M2015="PADD II","PADD 2",IF($M2015="PADD III","PADD 3",IF($M2015="PADD IV","PADD 4",IF($M2015="PADD V","PADD 5","")))))</f>
        <v>PADD 3</v>
      </c>
      <c r="G2015" s="6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6" t="s">
        <v>426</v>
      </c>
      <c r="I2015" s="6" t="s">
        <v>106</v>
      </c>
      <c r="J2015" s="6" t="s">
        <v>394</v>
      </c>
      <c r="K2015" s="10">
        <v>2.065</v>
      </c>
      <c r="L2015" s="10">
        <v>29.5</v>
      </c>
      <c r="M2015" s="6" t="s">
        <v>421</v>
      </c>
      <c r="N2015" s="6" t="str">
        <f>IF(OR($G2015="FCC",$G2015="Hydrocracker",$G2015="Reformer"),IF(COUNTIFS($D:$D,$D2015,$A:$A,$A2015,$B:$B,$B2015,$G:$G,"CDU",$J:$J,"PLANNED")&gt;0,"tied","standalone"),"")</f>
        <v>standalone</v>
      </c>
    </row>
    <row r="2016" spans="1:14">
      <c r="A2016" s="6">
        <v>2023</v>
      </c>
      <c r="B2016" s="6">
        <v>9</v>
      </c>
      <c r="C2016" s="6" t="s">
        <v>68</v>
      </c>
      <c r="D2016" s="6" t="s">
        <v>382</v>
      </c>
      <c r="E2016" s="6" t="s">
        <v>431</v>
      </c>
      <c r="F2016" s="6" t="str">
        <f>IF($M2016="PADD I","PADD 1",IF($M2016="PADD II","PADD 2",IF($M2016="PADD III","PADD 3",IF($M2016="PADD IV","PADD 4",IF($M2016="PADD V","PADD 5","")))))</f>
        <v>PADD 3</v>
      </c>
      <c r="G2016" s="6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6" t="s">
        <v>426</v>
      </c>
      <c r="I2016" s="6" t="s">
        <v>106</v>
      </c>
      <c r="J2016" s="6" t="s">
        <v>394</v>
      </c>
      <c r="K2016" s="10">
        <v>2.04</v>
      </c>
      <c r="L2016" s="10">
        <v>12</v>
      </c>
      <c r="M2016" s="6" t="s">
        <v>421</v>
      </c>
      <c r="N2016" s="6" t="str">
        <f>IF(OR($G2016="FCC",$G2016="Hydrocracker",$G2016="Reformer"),IF(COUNTIFS($D:$D,$D2016,$A:$A,$A2016,$B:$B,$B2016,$G:$G,"CDU",$J:$J,"PLANNED")&gt;0,"tied","standalone"),"")</f>
        <v>standalone</v>
      </c>
    </row>
    <row r="2017" spans="1:14">
      <c r="A2017" s="6">
        <v>2023</v>
      </c>
      <c r="B2017" s="6">
        <v>9</v>
      </c>
      <c r="C2017" s="6" t="s">
        <v>68</v>
      </c>
      <c r="D2017" s="6" t="s">
        <v>470</v>
      </c>
      <c r="E2017" s="6" t="s">
        <v>423</v>
      </c>
      <c r="F2017" s="6" t="str">
        <f>IF($M2017="PADD I","PADD 1",IF($M2017="PADD II","PADD 2",IF($M2017="PADD III","PADD 3",IF($M2017="PADD IV","PADD 4",IF($M2017="PADD V","PADD 5","")))))</f>
        <v>PADD 2</v>
      </c>
      <c r="G2017" s="6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6" t="s">
        <v>618</v>
      </c>
      <c r="I2017" s="6" t="s">
        <v>654</v>
      </c>
      <c r="J2017" s="6" t="s">
        <v>394</v>
      </c>
      <c r="K2017" s="10">
        <v>2</v>
      </c>
      <c r="L2017" s="10">
        <v>2</v>
      </c>
      <c r="M2017" s="6" t="s">
        <v>425</v>
      </c>
      <c r="N2017" s="6">
        <f>IF(OR($G2017="FCC",$G2017="Hydrocracker",$G2017="Reformer"),IF(COUNTIFS($D:$D,$D2017,$A:$A,$A2017,$B:$B,$B2017,$G:$G,"CDU",$J:$J,"PLANNED")&gt;0,"tied","standalone"),"")</f>
        <v/>
      </c>
    </row>
    <row r="2018" spans="1:14">
      <c r="A2018" s="6">
        <v>2023</v>
      </c>
      <c r="B2018" s="6">
        <v>9</v>
      </c>
      <c r="C2018" s="6" t="s">
        <v>68</v>
      </c>
      <c r="D2018" s="6" t="s">
        <v>901</v>
      </c>
      <c r="E2018" s="6" t="s">
        <v>902</v>
      </c>
      <c r="F2018" s="6" t="str">
        <f>IF($M2018="PADD I","PADD 1",IF($M2018="PADD II","PADD 2",IF($M2018="PADD III","PADD 3",IF($M2018="PADD IV","PADD 4",IF($M2018="PADD V","PADD 5","")))))</f>
        <v>PADD 3</v>
      </c>
      <c r="G2018" s="6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6" t="s">
        <v>39</v>
      </c>
      <c r="I2018" s="6" t="s">
        <v>903</v>
      </c>
      <c r="J2018" s="6" t="s">
        <v>394</v>
      </c>
      <c r="K2018" s="10">
        <v>1.95</v>
      </c>
      <c r="L2018" s="10">
        <v>65</v>
      </c>
      <c r="M2018" s="6" t="s">
        <v>421</v>
      </c>
      <c r="N2018" s="6">
        <f>IF(OR($G2018="FCC",$G2018="Hydrocracker",$G2018="Reformer"),IF(COUNTIFS($D:$D,$D2018,$A:$A,$A2018,$B:$B,$B2018,$G:$G,"CDU",$J:$J,"PLANNED")&gt;0,"tied","standalone"),"")</f>
        <v/>
      </c>
    </row>
    <row r="2019" spans="1:14">
      <c r="A2019" s="6">
        <v>2023</v>
      </c>
      <c r="B2019" s="6">
        <v>9</v>
      </c>
      <c r="C2019" s="6" t="s">
        <v>68</v>
      </c>
      <c r="D2019" s="6" t="s">
        <v>901</v>
      </c>
      <c r="E2019" s="6" t="s">
        <v>902</v>
      </c>
      <c r="F2019" s="6" t="str">
        <f>IF($M2019="PADD I","PADD 1",IF($M2019="PADD II","PADD 2",IF($M2019="PADD III","PADD 3",IF($M2019="PADD IV","PADD 4",IF($M2019="PADD V","PADD 5","")))))</f>
        <v>PADD 3</v>
      </c>
      <c r="G2019" s="6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6" t="s">
        <v>39</v>
      </c>
      <c r="I2019" s="6" t="s">
        <v>904</v>
      </c>
      <c r="J2019" s="6" t="s">
        <v>394</v>
      </c>
      <c r="K2019" s="10">
        <v>1.95</v>
      </c>
      <c r="L2019" s="10">
        <v>65</v>
      </c>
      <c r="M2019" s="6" t="s">
        <v>421</v>
      </c>
      <c r="N2019" s="6">
        <f>IF(OR($G2019="FCC",$G2019="Hydrocracker",$G2019="Reformer"),IF(COUNTIFS($D:$D,$D2019,$A:$A,$A2019,$B:$B,$B2019,$G:$G,"CDU",$J:$J,"PLANNED")&gt;0,"tied","standalone"),"")</f>
        <v/>
      </c>
    </row>
    <row r="2020" spans="1:14">
      <c r="A2020" s="6">
        <v>2023</v>
      </c>
      <c r="B2020" s="6">
        <v>9</v>
      </c>
      <c r="C2020" s="6" t="s">
        <v>68</v>
      </c>
      <c r="D2020" s="6" t="s">
        <v>484</v>
      </c>
      <c r="E2020" s="6" t="s">
        <v>438</v>
      </c>
      <c r="F2020" s="6" t="str">
        <f>IF($M2020="PADD I","PADD 1",IF($M2020="PADD II","PADD 2",IF($M2020="PADD III","PADD 3",IF($M2020="PADD IV","PADD 4",IF($M2020="PADD V","PADD 5","")))))</f>
        <v>PADD 5</v>
      </c>
      <c r="G2020" s="6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6" t="s">
        <v>471</v>
      </c>
      <c r="I2020" s="6" t="s">
        <v>721</v>
      </c>
      <c r="J2020" s="6" t="s">
        <v>394</v>
      </c>
      <c r="K2020" s="10">
        <v>1.95</v>
      </c>
      <c r="L2020" s="10">
        <v>15</v>
      </c>
      <c r="M2020" s="6" t="s">
        <v>436</v>
      </c>
      <c r="N2020" s="6" t="str">
        <f>IF(OR($G2020="FCC",$G2020="Hydrocracker",$G2020="Reformer"),IF(COUNTIFS($D:$D,$D2020,$A:$A,$A2020,$B:$B,$B2020,$G:$G,"CDU",$J:$J,"PLANNED")&gt;0,"tied","standalone"),"")</f>
        <v>standalone</v>
      </c>
    </row>
    <row r="2021" spans="1:14">
      <c r="A2021" s="6">
        <v>2023</v>
      </c>
      <c r="B2021" s="6">
        <v>9</v>
      </c>
      <c r="C2021" s="6" t="s">
        <v>68</v>
      </c>
      <c r="D2021" s="6" t="s">
        <v>984</v>
      </c>
      <c r="E2021" s="6" t="s">
        <v>438</v>
      </c>
      <c r="F2021" s="6" t="str">
        <f>IF($M2021="PADD I","PADD 1",IF($M2021="PADD II","PADD 2",IF($M2021="PADD III","PADD 3",IF($M2021="PADD IV","PADD 4",IF($M2021="PADD V","PADD 5","")))))</f>
        <v>PADD 3</v>
      </c>
      <c r="G2021" s="6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6" t="s">
        <v>44</v>
      </c>
      <c r="I2021" s="6" t="s">
        <v>508</v>
      </c>
      <c r="J2021" s="6" t="s">
        <v>394</v>
      </c>
      <c r="K2021" s="10">
        <v>1.75</v>
      </c>
      <c r="L2021" s="10">
        <v>25</v>
      </c>
      <c r="M2021" s="6" t="s">
        <v>421</v>
      </c>
      <c r="N2021" s="6">
        <f>IF(OR($G2021="FCC",$G2021="Hydrocracker",$G2021="Reformer"),IF(COUNTIFS($D:$D,$D2021,$A:$A,$A2021,$B:$B,$B2021,$G:$G,"CDU",$J:$J,"PLANNED")&gt;0,"tied","standalone"),"")</f>
        <v/>
      </c>
    </row>
    <row r="2022" spans="1:14">
      <c r="A2022" s="6">
        <v>2023</v>
      </c>
      <c r="B2022" s="6">
        <v>9</v>
      </c>
      <c r="C2022" s="6" t="s">
        <v>68</v>
      </c>
      <c r="D2022" s="6" t="s">
        <v>458</v>
      </c>
      <c r="E2022" s="6" t="s">
        <v>459</v>
      </c>
      <c r="F2022" s="6" t="str">
        <f>IF($M2022="PADD I","PADD 1",IF($M2022="PADD II","PADD 2",IF($M2022="PADD III","PADD 3",IF($M2022="PADD IV","PADD 4",IF($M2022="PADD V","PADD 5","")))))</f>
        <v>PADD 3</v>
      </c>
      <c r="G2022" s="6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6" t="s">
        <v>428</v>
      </c>
      <c r="I2022" s="6" t="s">
        <v>556</v>
      </c>
      <c r="J2022" s="6" t="s">
        <v>394</v>
      </c>
      <c r="K2022" s="10">
        <v>1.53</v>
      </c>
      <c r="L2022" s="10">
        <v>51</v>
      </c>
      <c r="M2022" s="6" t="s">
        <v>421</v>
      </c>
      <c r="N2022" s="6">
        <f>IF(OR($G2022="FCC",$G2022="Hydrocracker",$G2022="Reformer"),IF(COUNTIFS($D:$D,$D2022,$A:$A,$A2022,$B:$B,$B2022,$G:$G,"CDU",$J:$J,"PLANNED")&gt;0,"tied","standalone"),"")</f>
        <v/>
      </c>
    </row>
    <row r="2023" spans="1:14">
      <c r="A2023" s="6">
        <v>2023</v>
      </c>
      <c r="B2023" s="6">
        <v>9</v>
      </c>
      <c r="C2023" s="6" t="s">
        <v>68</v>
      </c>
      <c r="D2023" s="6" t="s">
        <v>576</v>
      </c>
      <c r="E2023" s="6" t="s">
        <v>455</v>
      </c>
      <c r="F2023" s="6" t="str">
        <f>IF($M2023="PADD I","PADD 1",IF($M2023="PADD II","PADD 2",IF($M2023="PADD III","PADD 3",IF($M2023="PADD IV","PADD 4",IF($M2023="PADD V","PADD 5","")))))</f>
        <v>PADD 3</v>
      </c>
      <c r="G2023" s="6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6" t="s">
        <v>485</v>
      </c>
      <c r="I2023" s="6" t="s">
        <v>1004</v>
      </c>
      <c r="J2023" s="6" t="s">
        <v>394</v>
      </c>
      <c r="K2023" s="10">
        <v>1.5</v>
      </c>
      <c r="L2023" s="10">
        <v>50</v>
      </c>
      <c r="M2023" s="6" t="s">
        <v>421</v>
      </c>
      <c r="N2023" s="6">
        <f>IF(OR($G2023="FCC",$G2023="Hydrocracker",$G2023="Reformer"),IF(COUNTIFS($D:$D,$D2023,$A:$A,$A2023,$B:$B,$B2023,$G:$G,"CDU",$J:$J,"PLANNED")&gt;0,"tied","standalone"),"")</f>
        <v/>
      </c>
    </row>
    <row r="2024" spans="1:14">
      <c r="A2024" s="6">
        <v>2023</v>
      </c>
      <c r="B2024" s="6">
        <v>9</v>
      </c>
      <c r="C2024" s="6" t="s">
        <v>68</v>
      </c>
      <c r="D2024" s="6" t="s">
        <v>662</v>
      </c>
      <c r="E2024" s="6" t="s">
        <v>466</v>
      </c>
      <c r="F2024" s="6" t="str">
        <f>IF($M2024="PADD I","PADD 1",IF($M2024="PADD II","PADD 2",IF($M2024="PADD III","PADD 3",IF($M2024="PADD IV","PADD 4",IF($M2024="PADD V","PADD 5","")))))</f>
        <v>PADD 3</v>
      </c>
      <c r="G2024" s="6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6" t="s">
        <v>510</v>
      </c>
      <c r="I2024" s="6" t="s">
        <v>885</v>
      </c>
      <c r="J2024" s="6" t="s">
        <v>394</v>
      </c>
      <c r="K2024" s="10">
        <v>1.47</v>
      </c>
      <c r="L2024" s="10">
        <v>21</v>
      </c>
      <c r="M2024" s="6" t="s">
        <v>421</v>
      </c>
      <c r="N2024" s="6">
        <f>IF(OR($G2024="FCC",$G2024="Hydrocracker",$G2024="Reformer"),IF(COUNTIFS($D:$D,$D2024,$A:$A,$A2024,$B:$B,$B2024,$G:$G,"CDU",$J:$J,"PLANNED")&gt;0,"tied","standalone"),"")</f>
        <v/>
      </c>
    </row>
    <row r="2025" spans="1:14">
      <c r="A2025" s="6">
        <v>2023</v>
      </c>
      <c r="B2025" s="6">
        <v>9</v>
      </c>
      <c r="C2025" s="6" t="s">
        <v>68</v>
      </c>
      <c r="D2025" s="6" t="s">
        <v>518</v>
      </c>
      <c r="E2025" s="6" t="s">
        <v>419</v>
      </c>
      <c r="F2025" s="6" t="str">
        <f>IF($M2025="PADD I","PADD 1",IF($M2025="PADD II","PADD 2",IF($M2025="PADD III","PADD 3",IF($M2025="PADD IV","PADD 4",IF($M2025="PADD V","PADD 5","")))))</f>
        <v>PADD 3</v>
      </c>
      <c r="G2025" s="6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6" t="s">
        <v>44</v>
      </c>
      <c r="I2025" s="6" t="s">
        <v>1080</v>
      </c>
      <c r="J2025" s="6" t="s">
        <v>398</v>
      </c>
      <c r="K2025" s="10">
        <v>1.4</v>
      </c>
      <c r="L2025" s="10">
        <v>20</v>
      </c>
      <c r="M2025" s="6" t="s">
        <v>421</v>
      </c>
      <c r="N2025" s="6">
        <f>IF(OR($G2025="FCC",$G2025="Hydrocracker",$G2025="Reformer"),IF(COUNTIFS($D:$D,$D2025,$A:$A,$A2025,$B:$B,$B2025,$G:$G,"CDU",$J:$J,"PLANNED")&gt;0,"tied","standalone"),"")</f>
        <v/>
      </c>
    </row>
    <row r="2026" spans="1:14">
      <c r="A2026" s="6">
        <v>2023</v>
      </c>
      <c r="B2026" s="6">
        <v>9</v>
      </c>
      <c r="C2026" s="6" t="s">
        <v>68</v>
      </c>
      <c r="D2026" s="6" t="s">
        <v>518</v>
      </c>
      <c r="E2026" s="6" t="s">
        <v>419</v>
      </c>
      <c r="F2026" s="6" t="str">
        <f>IF($M2026="PADD I","PADD 1",IF($M2026="PADD II","PADD 2",IF($M2026="PADD III","PADD 3",IF($M2026="PADD IV","PADD 4",IF($M2026="PADD V","PADD 5","")))))</f>
        <v>PADD 3</v>
      </c>
      <c r="G2026" s="6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6" t="s">
        <v>471</v>
      </c>
      <c r="I2026" s="6" t="s">
        <v>908</v>
      </c>
      <c r="J2026" s="6" t="s">
        <v>398</v>
      </c>
      <c r="K2026" s="10">
        <v>1.4</v>
      </c>
      <c r="L2026" s="10">
        <v>20</v>
      </c>
      <c r="M2026" s="6" t="s">
        <v>421</v>
      </c>
      <c r="N2026" s="6" t="str">
        <f>IF(OR($G2026="FCC",$G2026="Hydrocracker",$G2026="Reformer"),IF(COUNTIFS($D:$D,$D2026,$A:$A,$A2026,$B:$B,$B2026,$G:$G,"CDU",$J:$J,"PLANNED")&gt;0,"tied","standalone"),"")</f>
        <v>standalone</v>
      </c>
    </row>
    <row r="2027" spans="1:14">
      <c r="A2027" s="6">
        <v>2023</v>
      </c>
      <c r="B2027" s="6">
        <v>9</v>
      </c>
      <c r="C2027" s="6" t="s">
        <v>68</v>
      </c>
      <c r="D2027" s="6" t="s">
        <v>518</v>
      </c>
      <c r="E2027" s="6" t="s">
        <v>419</v>
      </c>
      <c r="F2027" s="6" t="str">
        <f>IF($M2027="PADD I","PADD 1",IF($M2027="PADD II","PADD 2",IF($M2027="PADD III","PADD 3",IF($M2027="PADD IV","PADD 4",IF($M2027="PADD V","PADD 5","")))))</f>
        <v>PADD 3</v>
      </c>
      <c r="G2027" s="6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6" t="s">
        <v>44</v>
      </c>
      <c r="I2027" s="6" t="s">
        <v>1081</v>
      </c>
      <c r="J2027" s="6" t="s">
        <v>398</v>
      </c>
      <c r="K2027" s="10">
        <v>1.4</v>
      </c>
      <c r="L2027" s="10">
        <v>20</v>
      </c>
      <c r="M2027" s="6" t="s">
        <v>421</v>
      </c>
      <c r="N2027" s="6">
        <f>IF(OR($G2027="FCC",$G2027="Hydrocracker",$G2027="Reformer"),IF(COUNTIFS($D:$D,$D2027,$A:$A,$A2027,$B:$B,$B2027,$G:$G,"CDU",$J:$J,"PLANNED")&gt;0,"tied","standalone"),"")</f>
        <v/>
      </c>
    </row>
    <row r="2028" spans="1:14">
      <c r="A2028" s="6">
        <v>2023</v>
      </c>
      <c r="B2028" s="6">
        <v>9</v>
      </c>
      <c r="C2028" s="6" t="s">
        <v>68</v>
      </c>
      <c r="D2028" s="6" t="s">
        <v>662</v>
      </c>
      <c r="E2028" s="6" t="s">
        <v>466</v>
      </c>
      <c r="F2028" s="6" t="str">
        <f>IF($M2028="PADD I","PADD 1",IF($M2028="PADD II","PADD 2",IF($M2028="PADD III","PADD 3",IF($M2028="PADD IV","PADD 4",IF($M2028="PADD V","PADD 5","")))))</f>
        <v>PADD 3</v>
      </c>
      <c r="G2028" s="6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6" t="s">
        <v>471</v>
      </c>
      <c r="I2028" s="6" t="s">
        <v>805</v>
      </c>
      <c r="J2028" s="6" t="s">
        <v>394</v>
      </c>
      <c r="K2028" s="10">
        <v>1.4</v>
      </c>
      <c r="L2028" s="10">
        <v>20</v>
      </c>
      <c r="M2028" s="6" t="s">
        <v>421</v>
      </c>
      <c r="N2028" s="6" t="str">
        <f>IF(OR($G2028="FCC",$G2028="Hydrocracker",$G2028="Reformer"),IF(COUNTIFS($D:$D,$D2028,$A:$A,$A2028,$B:$B,$B2028,$G:$G,"CDU",$J:$J,"PLANNED")&gt;0,"tied","standalone"),"")</f>
        <v>standalone</v>
      </c>
    </row>
    <row r="2029" spans="1:14">
      <c r="A2029" s="6">
        <v>2023</v>
      </c>
      <c r="B2029" s="6">
        <v>9</v>
      </c>
      <c r="C2029" s="6" t="s">
        <v>68</v>
      </c>
      <c r="D2029" s="6" t="s">
        <v>662</v>
      </c>
      <c r="E2029" s="6" t="s">
        <v>466</v>
      </c>
      <c r="F2029" s="6" t="str">
        <f>IF($M2029="PADD I","PADD 1",IF($M2029="PADD II","PADD 2",IF($M2029="PADD III","PADD 3",IF($M2029="PADD IV","PADD 4",IF($M2029="PADD V","PADD 5","")))))</f>
        <v>PADD 3</v>
      </c>
      <c r="G2029" s="6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6" t="s">
        <v>44</v>
      </c>
      <c r="I2029" s="6" t="s">
        <v>887</v>
      </c>
      <c r="J2029" s="6" t="s">
        <v>394</v>
      </c>
      <c r="K2029" s="10">
        <v>1.4</v>
      </c>
      <c r="L2029" s="10">
        <v>20</v>
      </c>
      <c r="M2029" s="6" t="s">
        <v>421</v>
      </c>
      <c r="N2029" s="6">
        <f>IF(OR($G2029="FCC",$G2029="Hydrocracker",$G2029="Reformer"),IF(COUNTIFS($D:$D,$D2029,$A:$A,$A2029,$B:$B,$B2029,$G:$G,"CDU",$J:$J,"PLANNED")&gt;0,"tied","standalone"),"")</f>
        <v/>
      </c>
    </row>
    <row r="2030" spans="1:14">
      <c r="A2030" s="6">
        <v>2023</v>
      </c>
      <c r="B2030" s="6">
        <v>9</v>
      </c>
      <c r="C2030" s="6" t="s">
        <v>68</v>
      </c>
      <c r="D2030" s="6" t="s">
        <v>937</v>
      </c>
      <c r="E2030" s="6" t="s">
        <v>455</v>
      </c>
      <c r="F2030" s="6" t="str">
        <f>IF($M2030="PADD I","PADD 1",IF($M2030="PADD II","PADD 2",IF($M2030="PADD III","PADD 3",IF($M2030="PADD IV","PADD 4",IF($M2030="PADD V","PADD 5","")))))</f>
        <v>PADD 3</v>
      </c>
      <c r="G2030" s="6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6" t="s">
        <v>510</v>
      </c>
      <c r="I2030" s="6" t="s">
        <v>666</v>
      </c>
      <c r="J2030" s="6" t="s">
        <v>398</v>
      </c>
      <c r="K2030" s="10">
        <v>1.3</v>
      </c>
      <c r="L2030" s="10">
        <v>6.5</v>
      </c>
      <c r="M2030" s="6" t="s">
        <v>421</v>
      </c>
      <c r="N2030" s="6">
        <f>IF(OR($G2030="FCC",$G2030="Hydrocracker",$G2030="Reformer"),IF(COUNTIFS($D:$D,$D2030,$A:$A,$A2030,$B:$B,$B2030,$G:$G,"CDU",$J:$J,"PLANNED")&gt;0,"tied","standalone"),"")</f>
        <v/>
      </c>
    </row>
    <row r="2031" spans="1:14">
      <c r="A2031" s="6">
        <v>2023</v>
      </c>
      <c r="B2031" s="6">
        <v>9</v>
      </c>
      <c r="C2031" s="6" t="s">
        <v>68</v>
      </c>
      <c r="D2031" s="6" t="s">
        <v>812</v>
      </c>
      <c r="E2031" s="6" t="s">
        <v>813</v>
      </c>
      <c r="F2031" s="6" t="str">
        <f>IF($M2031="PADD I","PADD 1",IF($M2031="PADD II","PADD 2",IF($M2031="PADD III","PADD 3",IF($M2031="PADD IV","PADD 4",IF($M2031="PADD V","PADD 5","")))))</f>
        <v>PADD 2</v>
      </c>
      <c r="G2031" s="6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6" t="s">
        <v>471</v>
      </c>
      <c r="I2031" s="6" t="s">
        <v>832</v>
      </c>
      <c r="J2031" s="6" t="s">
        <v>394</v>
      </c>
      <c r="K2031" s="10">
        <v>1.295</v>
      </c>
      <c r="L2031" s="10">
        <v>18.5</v>
      </c>
      <c r="M2031" s="6" t="s">
        <v>425</v>
      </c>
      <c r="N2031" s="6" t="str">
        <f>IF(OR($G2031="FCC",$G2031="Hydrocracker",$G2031="Reformer"),IF(COUNTIFS($D:$D,$D2031,$A:$A,$A2031,$B:$B,$B2031,$G:$G,"CDU",$J:$J,"PLANNED")&gt;0,"tied","standalone"),"")</f>
        <v>standalone</v>
      </c>
    </row>
    <row r="2032" spans="1:14">
      <c r="A2032" s="6">
        <v>2023</v>
      </c>
      <c r="B2032" s="6">
        <v>9</v>
      </c>
      <c r="C2032" s="6" t="s">
        <v>68</v>
      </c>
      <c r="D2032" s="6" t="s">
        <v>368</v>
      </c>
      <c r="E2032" s="6" t="s">
        <v>715</v>
      </c>
      <c r="F2032" s="6" t="str">
        <f>IF($M2032="PADD I","PADD 1",IF($M2032="PADD II","PADD 2",IF($M2032="PADD III","PADD 3",IF($M2032="PADD IV","PADD 4",IF($M2032="PADD V","PADD 5","")))))</f>
        <v>PADD 3</v>
      </c>
      <c r="G2032" s="6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6" t="s">
        <v>471</v>
      </c>
      <c r="I2032" s="6" t="s">
        <v>939</v>
      </c>
      <c r="J2032" s="6" t="s">
        <v>398</v>
      </c>
      <c r="K2032" s="10">
        <v>1.2</v>
      </c>
      <c r="L2032" s="10">
        <v>40</v>
      </c>
      <c r="M2032" s="6" t="s">
        <v>421</v>
      </c>
      <c r="N2032" s="6" t="str">
        <f>IF(OR($G2032="FCC",$G2032="Hydrocracker",$G2032="Reformer"),IF(COUNTIFS($D:$D,$D2032,$A:$A,$A2032,$B:$B,$B2032,$G:$G,"CDU",$J:$J,"PLANNED")&gt;0,"tied","standalone"),"")</f>
        <v>tied</v>
      </c>
    </row>
    <row r="2033" spans="1:14">
      <c r="A2033" s="6">
        <v>2023</v>
      </c>
      <c r="B2033" s="6">
        <v>9</v>
      </c>
      <c r="C2033" s="6" t="s">
        <v>68</v>
      </c>
      <c r="D2033" s="6" t="s">
        <v>382</v>
      </c>
      <c r="E2033" s="6" t="s">
        <v>431</v>
      </c>
      <c r="F2033" s="6" t="str">
        <f>IF($M2033="PADD I","PADD 1",IF($M2033="PADD II","PADD 2",IF($M2033="PADD III","PADD 3",IF($M2033="PADD IV","PADD 4",IF($M2033="PADD V","PADD 5","")))))</f>
        <v>PADD 3</v>
      </c>
      <c r="G2033" s="6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6" t="s">
        <v>44</v>
      </c>
      <c r="I2033" s="6" t="s">
        <v>993</v>
      </c>
      <c r="J2033" s="6" t="s">
        <v>394</v>
      </c>
      <c r="K2033" s="10">
        <v>1.2</v>
      </c>
      <c r="L2033" s="10">
        <v>40</v>
      </c>
      <c r="M2033" s="6" t="s">
        <v>421</v>
      </c>
      <c r="N2033" s="6">
        <f>IF(OR($G2033="FCC",$G2033="Hydrocracker",$G2033="Reformer"),IF(COUNTIFS($D:$D,$D2033,$A:$A,$A2033,$B:$B,$B2033,$G:$G,"CDU",$J:$J,"PLANNED")&gt;0,"tied","standalone"),"")</f>
        <v/>
      </c>
    </row>
    <row r="2034" spans="1:14">
      <c r="A2034" s="6">
        <v>2023</v>
      </c>
      <c r="B2034" s="6">
        <v>9</v>
      </c>
      <c r="C2034" s="6" t="s">
        <v>68</v>
      </c>
      <c r="D2034" s="6" t="s">
        <v>984</v>
      </c>
      <c r="E2034" s="6" t="s">
        <v>438</v>
      </c>
      <c r="F2034" s="6" t="str">
        <f>IF($M2034="PADD I","PADD 1",IF($M2034="PADD II","PADD 2",IF($M2034="PADD III","PADD 3",IF($M2034="PADD IV","PADD 4",IF($M2034="PADD V","PADD 5","")))))</f>
        <v>PADD 3</v>
      </c>
      <c r="G2034" s="6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6" t="s">
        <v>428</v>
      </c>
      <c r="I2034" s="6" t="s">
        <v>1014</v>
      </c>
      <c r="J2034" s="6" t="s">
        <v>394</v>
      </c>
      <c r="K2034" s="10">
        <v>1.19</v>
      </c>
      <c r="L2034" s="10">
        <v>17</v>
      </c>
      <c r="M2034" s="6" t="s">
        <v>421</v>
      </c>
      <c r="N2034" s="6">
        <f>IF(OR($G2034="FCC",$G2034="Hydrocracker",$G2034="Reformer"),IF(COUNTIFS($D:$D,$D2034,$A:$A,$A2034,$B:$B,$B2034,$G:$G,"CDU",$J:$J,"PLANNED")&gt;0,"tied","standalone"),"")</f>
        <v/>
      </c>
    </row>
    <row r="2035" spans="1:14">
      <c r="A2035" s="6">
        <v>2023</v>
      </c>
      <c r="B2035" s="6">
        <v>9</v>
      </c>
      <c r="C2035" s="6" t="s">
        <v>68</v>
      </c>
      <c r="D2035" s="6" t="s">
        <v>518</v>
      </c>
      <c r="E2035" s="6" t="s">
        <v>419</v>
      </c>
      <c r="F2035" s="6" t="str">
        <f>IF($M2035="PADD I","PADD 1",IF($M2035="PADD II","PADD 2",IF($M2035="PADD III","PADD 3",IF($M2035="PADD IV","PADD 4",IF($M2035="PADD V","PADD 5","")))))</f>
        <v>PADD 3</v>
      </c>
      <c r="G2035" s="6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6" t="s">
        <v>44</v>
      </c>
      <c r="I2035" s="6" t="s">
        <v>508</v>
      </c>
      <c r="J2035" s="6" t="s">
        <v>398</v>
      </c>
      <c r="K2035" s="10">
        <v>1.12</v>
      </c>
      <c r="L2035" s="10">
        <v>16</v>
      </c>
      <c r="M2035" s="6" t="s">
        <v>421</v>
      </c>
      <c r="N2035" s="6">
        <f>IF(OR($G2035="FCC",$G2035="Hydrocracker",$G2035="Reformer"),IF(COUNTIFS($D:$D,$D2035,$A:$A,$A2035,$B:$B,$B2035,$G:$G,"CDU",$J:$J,"PLANNED")&gt;0,"tied","standalone"),"")</f>
        <v/>
      </c>
    </row>
    <row r="2036" spans="1:14">
      <c r="A2036" s="6">
        <v>2023</v>
      </c>
      <c r="B2036" s="6">
        <v>9</v>
      </c>
      <c r="C2036" s="6" t="s">
        <v>68</v>
      </c>
      <c r="D2036" s="6" t="s">
        <v>901</v>
      </c>
      <c r="E2036" s="6" t="s">
        <v>902</v>
      </c>
      <c r="F2036" s="6" t="str">
        <f>IF($M2036="PADD I","PADD 1",IF($M2036="PADD II","PADD 2",IF($M2036="PADD III","PADD 3",IF($M2036="PADD IV","PADD 4",IF($M2036="PADD V","PADD 5","")))))</f>
        <v>PADD 3</v>
      </c>
      <c r="G2036" s="6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6" t="s">
        <v>428</v>
      </c>
      <c r="I2036" s="6" t="s">
        <v>910</v>
      </c>
      <c r="J2036" s="6" t="s">
        <v>394</v>
      </c>
      <c r="K2036" s="10">
        <v>1.08</v>
      </c>
      <c r="L2036" s="10">
        <v>36</v>
      </c>
      <c r="M2036" s="6" t="s">
        <v>421</v>
      </c>
      <c r="N2036" s="6">
        <f>IF(OR($G2036="FCC",$G2036="Hydrocracker",$G2036="Reformer"),IF(COUNTIFS($D:$D,$D2036,$A:$A,$A2036,$B:$B,$B2036,$G:$G,"CDU",$J:$J,"PLANNED")&gt;0,"tied","standalone"),"")</f>
        <v/>
      </c>
    </row>
    <row r="2037" spans="1:14">
      <c r="A2037" s="6">
        <v>2023</v>
      </c>
      <c r="B2037" s="6">
        <v>9</v>
      </c>
      <c r="C2037" s="6" t="s">
        <v>68</v>
      </c>
      <c r="D2037" s="6" t="s">
        <v>518</v>
      </c>
      <c r="E2037" s="6" t="s">
        <v>419</v>
      </c>
      <c r="F2037" s="6" t="str">
        <f>IF($M2037="PADD I","PADD 1",IF($M2037="PADD II","PADD 2",IF($M2037="PADD III","PADD 3",IF($M2037="PADD IV","PADD 4",IF($M2037="PADD V","PADD 5","")))))</f>
        <v>PADD 3</v>
      </c>
      <c r="G2037" s="6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6" t="s">
        <v>510</v>
      </c>
      <c r="I2037" s="6" t="s">
        <v>940</v>
      </c>
      <c r="J2037" s="6" t="s">
        <v>398</v>
      </c>
      <c r="K2037" s="10">
        <v>0.98</v>
      </c>
      <c r="L2037" s="10">
        <v>14</v>
      </c>
      <c r="M2037" s="6" t="s">
        <v>421</v>
      </c>
      <c r="N2037" s="6">
        <f>IF(OR($G2037="FCC",$G2037="Hydrocracker",$G2037="Reformer"),IF(COUNTIFS($D:$D,$D2037,$A:$A,$A2037,$B:$B,$B2037,$G:$G,"CDU",$J:$J,"PLANNED")&gt;0,"tied","standalone"),"")</f>
        <v/>
      </c>
    </row>
    <row r="2038" spans="1:14">
      <c r="A2038" s="6">
        <v>2023</v>
      </c>
      <c r="B2038" s="6">
        <v>9</v>
      </c>
      <c r="C2038" s="6" t="s">
        <v>68</v>
      </c>
      <c r="D2038" s="6" t="s">
        <v>368</v>
      </c>
      <c r="E2038" s="6" t="s">
        <v>715</v>
      </c>
      <c r="F2038" s="6" t="str">
        <f>IF($M2038="PADD I","PADD 1",IF($M2038="PADD II","PADD 2",IF($M2038="PADD III","PADD 3",IF($M2038="PADD IV","PADD 4",IF($M2038="PADD V","PADD 5","")))))</f>
        <v>PADD 3</v>
      </c>
      <c r="G2038" s="6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6" t="s">
        <v>494</v>
      </c>
      <c r="I2038" s="6" t="s">
        <v>14</v>
      </c>
      <c r="J2038" s="6" t="s">
        <v>394</v>
      </c>
      <c r="K2038" s="10">
        <v>0.8</v>
      </c>
      <c r="L2038" s="10">
        <v>8</v>
      </c>
      <c r="M2038" s="6" t="s">
        <v>421</v>
      </c>
      <c r="N2038" s="6" t="str">
        <f>IF(OR($G2038="FCC",$G2038="Hydrocracker",$G2038="Reformer"),IF(COUNTIFS($D:$D,$D2038,$A:$A,$A2038,$B:$B,$B2038,$G:$G,"CDU",$J:$J,"PLANNED")&gt;0,"tied","standalone"),"")</f>
        <v>tied</v>
      </c>
    </row>
    <row r="2039" spans="1:14">
      <c r="A2039" s="6">
        <v>2023</v>
      </c>
      <c r="B2039" s="6">
        <v>9</v>
      </c>
      <c r="C2039" s="6" t="s">
        <v>68</v>
      </c>
      <c r="D2039" s="6" t="s">
        <v>984</v>
      </c>
      <c r="E2039" s="6" t="s">
        <v>438</v>
      </c>
      <c r="F2039" s="6" t="str">
        <f>IF($M2039="PADD I","PADD 1",IF($M2039="PADD II","PADD 2",IF($M2039="PADD III","PADD 3",IF($M2039="PADD IV","PADD 4",IF($M2039="PADD V","PADD 5","")))))</f>
        <v>PADD 3</v>
      </c>
      <c r="G2039" s="6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6" t="s">
        <v>510</v>
      </c>
      <c r="I2039" s="6" t="s">
        <v>511</v>
      </c>
      <c r="J2039" s="6" t="s">
        <v>394</v>
      </c>
      <c r="K2039" s="10">
        <v>0.7</v>
      </c>
      <c r="L2039" s="10">
        <v>10</v>
      </c>
      <c r="M2039" s="6" t="s">
        <v>421</v>
      </c>
      <c r="N2039" s="6">
        <f>IF(OR($G2039="FCC",$G2039="Hydrocracker",$G2039="Reformer"),IF(COUNTIFS($D:$D,$D2039,$A:$A,$A2039,$B:$B,$B2039,$G:$G,"CDU",$J:$J,"PLANNED")&gt;0,"tied","standalone"),"")</f>
        <v/>
      </c>
    </row>
    <row r="2040" spans="1:14">
      <c r="A2040" s="6">
        <v>2023</v>
      </c>
      <c r="B2040" s="6">
        <v>9</v>
      </c>
      <c r="C2040" s="6" t="s">
        <v>68</v>
      </c>
      <c r="D2040" s="6" t="s">
        <v>452</v>
      </c>
      <c r="E2040" s="6" t="s">
        <v>453</v>
      </c>
      <c r="F2040" s="6" t="str">
        <f>IF($M2040="PADD I","PADD 1",IF($M2040="PADD II","PADD 2",IF($M2040="PADD III","PADD 3",IF($M2040="PADD IV","PADD 4",IF($M2040="PADD V","PADD 5","")))))</f>
        <v>PADD 3</v>
      </c>
      <c r="G2040" s="6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6" t="s">
        <v>510</v>
      </c>
      <c r="I2040" s="6" t="s">
        <v>653</v>
      </c>
      <c r="J2040" s="6" t="s">
        <v>394</v>
      </c>
      <c r="K2040" s="10">
        <v>0.624</v>
      </c>
      <c r="L2040" s="10">
        <v>4.8</v>
      </c>
      <c r="M2040" s="6" t="s">
        <v>421</v>
      </c>
      <c r="N2040" s="6">
        <f>IF(OR($G2040="FCC",$G2040="Hydrocracker",$G2040="Reformer"),IF(COUNTIFS($D:$D,$D2040,$A:$A,$A2040,$B:$B,$B2040,$G:$G,"CDU",$J:$J,"PLANNED")&gt;0,"tied","standalone"),"")</f>
        <v/>
      </c>
    </row>
    <row r="2041" spans="1:14">
      <c r="A2041" s="6">
        <v>2023</v>
      </c>
      <c r="B2041" s="6">
        <v>9</v>
      </c>
      <c r="C2041" s="6" t="s">
        <v>68</v>
      </c>
      <c r="D2041" s="6" t="s">
        <v>383</v>
      </c>
      <c r="E2041" s="6" t="s">
        <v>602</v>
      </c>
      <c r="F2041" s="6" t="str">
        <f>IF($M2041="PADD I","PADD 1",IF($M2041="PADD II","PADD 2",IF($M2041="PADD III","PADD 3",IF($M2041="PADD IV","PADD 4",IF($M2041="PADD V","PADD 5","")))))</f>
        <v>PADD 3</v>
      </c>
      <c r="G2041" s="6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6" t="s">
        <v>426</v>
      </c>
      <c r="I2041" s="6" t="s">
        <v>663</v>
      </c>
      <c r="J2041" s="6" t="s">
        <v>394</v>
      </c>
      <c r="K2041" s="10">
        <v>0.6</v>
      </c>
      <c r="L2041" s="10">
        <v>20</v>
      </c>
      <c r="M2041" s="6" t="s">
        <v>421</v>
      </c>
      <c r="N2041" s="6" t="str">
        <f>IF(OR($G2041="FCC",$G2041="Hydrocracker",$G2041="Reformer"),IF(COUNTIFS($D:$D,$D2041,$A:$A,$A2041,$B:$B,$B2041,$G:$G,"CDU",$J:$J,"PLANNED")&gt;0,"tied","standalone"),"")</f>
        <v>standalone</v>
      </c>
    </row>
    <row r="2042" spans="1:14">
      <c r="A2042" s="6">
        <v>2023</v>
      </c>
      <c r="B2042" s="6">
        <v>9</v>
      </c>
      <c r="C2042" s="6" t="s">
        <v>68</v>
      </c>
      <c r="D2042" s="6" t="s">
        <v>518</v>
      </c>
      <c r="E2042" s="6" t="s">
        <v>419</v>
      </c>
      <c r="F2042" s="6" t="str">
        <f>IF($M2042="PADD I","PADD 1",IF($M2042="PADD II","PADD 2",IF($M2042="PADD III","PADD 3",IF($M2042="PADD IV","PADD 4",IF($M2042="PADD V","PADD 5","")))))</f>
        <v>PADD 3</v>
      </c>
      <c r="G2042" s="6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6" t="s">
        <v>471</v>
      </c>
      <c r="I2042" s="6" t="s">
        <v>685</v>
      </c>
      <c r="J2042" s="6" t="s">
        <v>398</v>
      </c>
      <c r="K2042" s="10">
        <v>0.49</v>
      </c>
      <c r="L2042" s="10">
        <v>7</v>
      </c>
      <c r="M2042" s="6" t="s">
        <v>421</v>
      </c>
      <c r="N2042" s="6" t="str">
        <f>IF(OR($G2042="FCC",$G2042="Hydrocracker",$G2042="Reformer"),IF(COUNTIFS($D:$D,$D2042,$A:$A,$A2042,$B:$B,$B2042,$G:$G,"CDU",$J:$J,"PLANNED")&gt;0,"tied","standalone"),"")</f>
        <v>standalone</v>
      </c>
    </row>
    <row r="2043" spans="1:14">
      <c r="A2043" s="6">
        <v>2023</v>
      </c>
      <c r="B2043" s="6">
        <v>9</v>
      </c>
      <c r="C2043" s="6" t="s">
        <v>68</v>
      </c>
      <c r="D2043" s="6" t="s">
        <v>984</v>
      </c>
      <c r="E2043" s="6" t="s">
        <v>438</v>
      </c>
      <c r="F2043" s="6" t="str">
        <f>IF($M2043="PADD I","PADD 1",IF($M2043="PADD II","PADD 2",IF($M2043="PADD III","PADD 3",IF($M2043="PADD IV","PADD 4",IF($M2043="PADD V","PADD 5","")))))</f>
        <v>PADD 3</v>
      </c>
      <c r="G2043" s="6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6" t="s">
        <v>618</v>
      </c>
      <c r="I2043" s="6" t="s">
        <v>1026</v>
      </c>
      <c r="J2043" s="6" t="s">
        <v>394</v>
      </c>
      <c r="K2043" s="10">
        <v>0.175</v>
      </c>
      <c r="L2043" s="10">
        <v>2.5</v>
      </c>
      <c r="M2043" s="6" t="s">
        <v>421</v>
      </c>
      <c r="N2043" s="6">
        <f>IF(OR($G2043="FCC",$G2043="Hydrocracker",$G2043="Reformer"),IF(COUNTIFS($D:$D,$D2043,$A:$A,$A2043,$B:$B,$B2043,$G:$G,"CDU",$J:$J,"PLANNED")&gt;0,"tied","standalone"),"")</f>
        <v/>
      </c>
    </row>
    <row r="2044" spans="1:14">
      <c r="A2044" s="6">
        <v>2023</v>
      </c>
      <c r="B2044" s="6">
        <v>9</v>
      </c>
      <c r="C2044" s="6" t="s">
        <v>68</v>
      </c>
      <c r="D2044" s="6" t="s">
        <v>1082</v>
      </c>
      <c r="E2044" s="6" t="s">
        <v>1083</v>
      </c>
      <c r="F2044" s="6" t="str">
        <f>IF($M2044="PADD I","PADD 1",IF($M2044="PADD II","PADD 2",IF($M2044="PADD III","PADD 3",IF($M2044="PADD IV","PADD 4",IF($M2044="PADD V","PADD 5","")))))</f>
        <v>PADD 5</v>
      </c>
      <c r="G2044" s="6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6" t="s">
        <v>39</v>
      </c>
      <c r="I2044" s="6" t="s">
        <v>713</v>
      </c>
      <c r="J2044" s="6" t="s">
        <v>398</v>
      </c>
      <c r="K2044" s="10">
        <v>0.15</v>
      </c>
      <c r="L2044" s="10">
        <v>5</v>
      </c>
      <c r="M2044" s="6" t="s">
        <v>436</v>
      </c>
      <c r="N2044" s="6">
        <f>IF(OR($G2044="FCC",$G2044="Hydrocracker",$G2044="Reformer"),IF(COUNTIFS($D:$D,$D2044,$A:$A,$A2044,$B:$B,$B2044,$G:$G,"CDU",$J:$J,"PLANNED")&gt;0,"tied","standalone"),"")</f>
        <v/>
      </c>
    </row>
    <row r="2045" spans="1:14">
      <c r="A2045" s="6">
        <v>2023</v>
      </c>
      <c r="B2045" s="6">
        <v>9</v>
      </c>
      <c r="C2045" s="6" t="s">
        <v>68</v>
      </c>
      <c r="D2045" s="6" t="s">
        <v>1082</v>
      </c>
      <c r="E2045" s="6" t="s">
        <v>1083</v>
      </c>
      <c r="F2045" s="6" t="str">
        <f>IF($M2045="PADD I","PADD 1",IF($M2045="PADD II","PADD 2",IF($M2045="PADD III","PADD 3",IF($M2045="PADD IV","PADD 4",IF($M2045="PADD V","PADD 5","")))))</f>
        <v>PADD 5</v>
      </c>
      <c r="G2045" s="6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6" t="s">
        <v>428</v>
      </c>
      <c r="I2045" s="6" t="s">
        <v>1084</v>
      </c>
      <c r="J2045" s="6" t="s">
        <v>398</v>
      </c>
      <c r="K2045" s="10">
        <v>0.06</v>
      </c>
      <c r="L2045" s="10">
        <v>2</v>
      </c>
      <c r="M2045" s="6" t="s">
        <v>436</v>
      </c>
      <c r="N2045" s="6">
        <f>IF(OR($G2045="FCC",$G2045="Hydrocracker",$G2045="Reformer"),IF(COUNTIFS($D:$D,$D2045,$A:$A,$A2045,$B:$B,$B2045,$G:$G,"CDU",$J:$J,"PLANNED")&gt;0,"tied","standalone"),"")</f>
        <v/>
      </c>
    </row>
    <row r="2046" spans="1:14">
      <c r="A2046" s="6">
        <v>2023</v>
      </c>
      <c r="B2046" s="6">
        <v>10</v>
      </c>
      <c r="C2046" s="6" t="s">
        <v>69</v>
      </c>
      <c r="D2046" s="6" t="s">
        <v>51</v>
      </c>
      <c r="E2046" s="6" t="s">
        <v>431</v>
      </c>
      <c r="F2046" s="6" t="str">
        <f>IF($M2046="PADD I","PADD 1",IF($M2046="PADD II","PADD 2",IF($M2046="PADD III","PADD 3",IF($M2046="PADD IV","PADD 4",IF($M2046="PADD V","PADD 5","")))))</f>
        <v>PADD 3</v>
      </c>
      <c r="G2046" s="6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6" t="s">
        <v>39</v>
      </c>
      <c r="I2046" s="6" t="s">
        <v>819</v>
      </c>
      <c r="J2046" s="6" t="s">
        <v>398</v>
      </c>
      <c r="K2046" s="10">
        <v>314</v>
      </c>
      <c r="L2046" s="10">
        <v>314</v>
      </c>
      <c r="M2046" s="6" t="s">
        <v>421</v>
      </c>
      <c r="N2046" s="6">
        <f>IF(OR($G2046="FCC",$G2046="Hydrocracker",$G2046="Reformer"),IF(COUNTIFS($D:$D,$D2046,$A:$A,$A2046,$B:$B,$B2046,$G:$G,"CDU",$J:$J,"PLANNED")&gt;0,"tied","standalone"),"")</f>
        <v/>
      </c>
    </row>
    <row r="2047" spans="1:14">
      <c r="A2047" s="6">
        <v>2023</v>
      </c>
      <c r="B2047" s="6">
        <v>10</v>
      </c>
      <c r="C2047" s="6" t="s">
        <v>69</v>
      </c>
      <c r="D2047" s="6" t="s">
        <v>368</v>
      </c>
      <c r="E2047" s="6" t="s">
        <v>715</v>
      </c>
      <c r="F2047" s="6" t="str">
        <f>IF($M2047="PADD I","PADD 1",IF($M2047="PADD II","PADD 2",IF($M2047="PADD III","PADD 3",IF($M2047="PADD IV","PADD 4",IF($M2047="PADD V","PADD 5","")))))</f>
        <v>PADD 3</v>
      </c>
      <c r="G2047" s="6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6" t="s">
        <v>39</v>
      </c>
      <c r="I2047" s="6" t="s">
        <v>87</v>
      </c>
      <c r="J2047" s="6" t="s">
        <v>398</v>
      </c>
      <c r="K2047" s="10">
        <v>240</v>
      </c>
      <c r="L2047" s="10">
        <v>240</v>
      </c>
      <c r="M2047" s="6" t="s">
        <v>421</v>
      </c>
      <c r="N2047" s="6">
        <f>IF(OR($G2047="FCC",$G2047="Hydrocracker",$G2047="Reformer"),IF(COUNTIFS($D:$D,$D2047,$A:$A,$A2047,$B:$B,$B2047,$G:$G,"CDU",$J:$J,"PLANNED")&gt;0,"tied","standalone"),"")</f>
        <v/>
      </c>
    </row>
    <row r="2048" spans="1:14">
      <c r="A2048" s="6">
        <v>2023</v>
      </c>
      <c r="B2048" s="6">
        <v>10</v>
      </c>
      <c r="C2048" s="6" t="s">
        <v>69</v>
      </c>
      <c r="D2048" s="6" t="s">
        <v>52</v>
      </c>
      <c r="E2048" s="6" t="s">
        <v>441</v>
      </c>
      <c r="F2048" s="6" t="str">
        <f>IF($M2048="PADD I","PADD 1",IF($M2048="PADD II","PADD 2",IF($M2048="PADD III","PADD 3",IF($M2048="PADD IV","PADD 4",IF($M2048="PADD V","PADD 5","")))))</f>
        <v>PADD 5</v>
      </c>
      <c r="G2048" s="6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6" t="s">
        <v>428</v>
      </c>
      <c r="I2048" s="6" t="s">
        <v>1085</v>
      </c>
      <c r="J2048" s="6" t="s">
        <v>398</v>
      </c>
      <c r="K2048" s="10">
        <v>156.17</v>
      </c>
      <c r="L2048" s="10">
        <v>161</v>
      </c>
      <c r="M2048" s="6" t="s">
        <v>436</v>
      </c>
      <c r="N2048" s="6">
        <f>IF(OR($G2048="FCC",$G2048="Hydrocracker",$G2048="Reformer"),IF(COUNTIFS($D:$D,$D2048,$A:$A,$A2048,$B:$B,$B2048,$G:$G,"CDU",$J:$J,"PLANNED")&gt;0,"tied","standalone"),"")</f>
        <v/>
      </c>
    </row>
    <row r="2049" spans="1:14">
      <c r="A2049" s="6">
        <v>2023</v>
      </c>
      <c r="B2049" s="6">
        <v>10</v>
      </c>
      <c r="C2049" s="6" t="s">
        <v>69</v>
      </c>
      <c r="D2049" s="6" t="s">
        <v>851</v>
      </c>
      <c r="E2049" s="6" t="s">
        <v>829</v>
      </c>
      <c r="F2049" s="6" t="str">
        <f>IF($M2049="PADD I","PADD 1",IF($M2049="PADD II","PADD 2",IF($M2049="PADD III","PADD 3",IF($M2049="PADD IV","PADD 4",IF($M2049="PADD V","PADD 5","")))))</f>
        <v>PADD 2</v>
      </c>
      <c r="G2049" s="6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6" t="s">
        <v>39</v>
      </c>
      <c r="I2049" s="6" t="s">
        <v>1027</v>
      </c>
      <c r="J2049" s="6" t="s">
        <v>398</v>
      </c>
      <c r="K2049" s="10">
        <v>113.4</v>
      </c>
      <c r="L2049" s="10">
        <v>135</v>
      </c>
      <c r="M2049" s="6" t="s">
        <v>425</v>
      </c>
      <c r="N2049" s="6">
        <f>IF(OR($G2049="FCC",$G2049="Hydrocracker",$G2049="Reformer"),IF(COUNTIFS($D:$D,$D2049,$A:$A,$A2049,$B:$B,$B2049,$G:$G,"CDU",$J:$J,"PLANNED")&gt;0,"tied","standalone"),"")</f>
        <v/>
      </c>
    </row>
    <row r="2050" spans="1:14">
      <c r="A2050" s="6">
        <v>2023</v>
      </c>
      <c r="B2050" s="6">
        <v>10</v>
      </c>
      <c r="C2050" s="6" t="s">
        <v>69</v>
      </c>
      <c r="D2050" s="6" t="s">
        <v>581</v>
      </c>
      <c r="E2050" s="6" t="s">
        <v>582</v>
      </c>
      <c r="F2050" s="6" t="str">
        <f>IF($M2050="PADD I","PADD 1",IF($M2050="PADD II","PADD 2",IF($M2050="PADD III","PADD 3",IF($M2050="PADD IV","PADD 4",IF($M2050="PADD V","PADD 5","")))))</f>
        <v>PADD 5</v>
      </c>
      <c r="G2050" s="6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6" t="s">
        <v>44</v>
      </c>
      <c r="I2050" s="6" t="s">
        <v>617</v>
      </c>
      <c r="J2050" s="6" t="s">
        <v>398</v>
      </c>
      <c r="K2050" s="10">
        <v>105</v>
      </c>
      <c r="L2050" s="10">
        <v>105</v>
      </c>
      <c r="M2050" s="6" t="s">
        <v>436</v>
      </c>
      <c r="N2050" s="6">
        <f>IF(OR($G2050="FCC",$G2050="Hydrocracker",$G2050="Reformer"),IF(COUNTIFS($D:$D,$D2050,$A:$A,$A2050,$B:$B,$B2050,$G:$G,"CDU",$J:$J,"PLANNED")&gt;0,"tied","standalone"),"")</f>
        <v/>
      </c>
    </row>
    <row r="2051" spans="1:14">
      <c r="A2051" s="6">
        <v>2023</v>
      </c>
      <c r="B2051" s="6">
        <v>10</v>
      </c>
      <c r="C2051" s="6" t="s">
        <v>69</v>
      </c>
      <c r="D2051" s="6" t="s">
        <v>592</v>
      </c>
      <c r="E2051" s="6" t="s">
        <v>593</v>
      </c>
      <c r="F2051" s="6" t="str">
        <f>IF($M2051="PADD I","PADD 1",IF($M2051="PADD II","PADD 2",IF($M2051="PADD III","PADD 3",IF($M2051="PADD IV","PADD 4",IF($M2051="PADD V","PADD 5","")))))</f>
        <v>PADD 2</v>
      </c>
      <c r="G2051" s="6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6" t="s">
        <v>44</v>
      </c>
      <c r="I2051" s="6" t="s">
        <v>963</v>
      </c>
      <c r="J2051" s="6" t="s">
        <v>398</v>
      </c>
      <c r="K2051" s="10">
        <v>101.85</v>
      </c>
      <c r="L2051" s="10">
        <v>105</v>
      </c>
      <c r="M2051" s="6" t="s">
        <v>425</v>
      </c>
      <c r="N2051" s="6">
        <f>IF(OR($G2051="FCC",$G2051="Hydrocracker",$G2051="Reformer"),IF(COUNTIFS($D:$D,$D2051,$A:$A,$A2051,$B:$B,$B2051,$G:$G,"CDU",$J:$J,"PLANNED")&gt;0,"tied","standalone"),"")</f>
        <v/>
      </c>
    </row>
    <row r="2052" spans="1:14">
      <c r="A2052" s="6">
        <v>2023</v>
      </c>
      <c r="B2052" s="6">
        <v>10</v>
      </c>
      <c r="C2052" s="6" t="s">
        <v>69</v>
      </c>
      <c r="D2052" s="6" t="s">
        <v>581</v>
      </c>
      <c r="E2052" s="6" t="s">
        <v>582</v>
      </c>
      <c r="F2052" s="6" t="str">
        <f>IF($M2052="PADD I","PADD 1",IF($M2052="PADD II","PADD 2",IF($M2052="PADD III","PADD 3",IF($M2052="PADD IV","PADD 4",IF($M2052="PADD V","PADD 5","")))))</f>
        <v>PADD 5</v>
      </c>
      <c r="G2052" s="6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6" t="s">
        <v>426</v>
      </c>
      <c r="I2052" s="6" t="s">
        <v>106</v>
      </c>
      <c r="J2052" s="6" t="s">
        <v>398</v>
      </c>
      <c r="K2052" s="10">
        <v>100</v>
      </c>
      <c r="L2052" s="10">
        <v>100</v>
      </c>
      <c r="M2052" s="6" t="s">
        <v>436</v>
      </c>
      <c r="N2052" s="6" t="str">
        <f>IF(OR($G2052="FCC",$G2052="Hydrocracker",$G2052="Reformer"),IF(COUNTIFS($D:$D,$D2052,$A:$A,$A2052,$B:$B,$B2052,$G:$G,"CDU",$J:$J,"PLANNED")&gt;0,"tied","standalone"),"")</f>
        <v>standalone</v>
      </c>
    </row>
    <row r="2053" spans="1:14">
      <c r="A2053" s="6">
        <v>2023</v>
      </c>
      <c r="B2053" s="6">
        <v>10</v>
      </c>
      <c r="C2053" s="6" t="s">
        <v>69</v>
      </c>
      <c r="D2053" s="6" t="s">
        <v>592</v>
      </c>
      <c r="E2053" s="6" t="s">
        <v>593</v>
      </c>
      <c r="F2053" s="6" t="str">
        <f>IF($M2053="PADD I","PADD 1",IF($M2053="PADD II","PADD 2",IF($M2053="PADD III","PADD 3",IF($M2053="PADD IV","PADD 4",IF($M2053="PADD V","PADD 5","")))))</f>
        <v>PADD 2</v>
      </c>
      <c r="G2053" s="6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6" t="s">
        <v>44</v>
      </c>
      <c r="I2053" s="6" t="s">
        <v>601</v>
      </c>
      <c r="J2053" s="6" t="s">
        <v>394</v>
      </c>
      <c r="K2053" s="10">
        <v>100</v>
      </c>
      <c r="L2053" s="10">
        <v>100</v>
      </c>
      <c r="M2053" s="6" t="s">
        <v>425</v>
      </c>
      <c r="N2053" s="6">
        <f>IF(OR($G2053="FCC",$G2053="Hydrocracker",$G2053="Reformer"),IF(COUNTIFS($D:$D,$D2053,$A:$A,$A2053,$B:$B,$B2053,$G:$G,"CDU",$J:$J,"PLANNED")&gt;0,"tied","standalone"),"")</f>
        <v/>
      </c>
    </row>
    <row r="2054" spans="1:14">
      <c r="A2054" s="6">
        <v>2023</v>
      </c>
      <c r="B2054" s="6">
        <v>10</v>
      </c>
      <c r="C2054" s="6" t="s">
        <v>69</v>
      </c>
      <c r="D2054" s="6" t="s">
        <v>465</v>
      </c>
      <c r="E2054" s="6" t="s">
        <v>466</v>
      </c>
      <c r="F2054" s="6" t="str">
        <f>IF($M2054="PADD I","PADD 1",IF($M2054="PADD II","PADD 2",IF($M2054="PADD III","PADD 3",IF($M2054="PADD IV","PADD 4",IF($M2054="PADD V","PADD 5","")))))</f>
        <v>PADD 3</v>
      </c>
      <c r="G2054" s="6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6" t="s">
        <v>44</v>
      </c>
      <c r="I2054" s="6" t="s">
        <v>570</v>
      </c>
      <c r="J2054" s="6" t="s">
        <v>398</v>
      </c>
      <c r="K2054" s="10">
        <v>95</v>
      </c>
      <c r="L2054" s="10">
        <v>95</v>
      </c>
      <c r="M2054" s="6" t="s">
        <v>421</v>
      </c>
      <c r="N2054" s="6">
        <f>IF(OR($G2054="FCC",$G2054="Hydrocracker",$G2054="Reformer"),IF(COUNTIFS($D:$D,$D2054,$A:$A,$A2054,$B:$B,$B2054,$G:$G,"CDU",$J:$J,"PLANNED")&gt;0,"tied","standalone"),"")</f>
        <v/>
      </c>
    </row>
    <row r="2055" spans="1:14">
      <c r="A2055" s="6">
        <v>2023</v>
      </c>
      <c r="B2055" s="6">
        <v>10</v>
      </c>
      <c r="C2055" s="6" t="s">
        <v>69</v>
      </c>
      <c r="D2055" s="6" t="s">
        <v>41</v>
      </c>
      <c r="E2055" s="6" t="s">
        <v>786</v>
      </c>
      <c r="F2055" s="6" t="str">
        <f>IF($M2055="PADD I","PADD 1",IF($M2055="PADD II","PADD 2",IF($M2055="PADD III","PADD 3",IF($M2055="PADD IV","PADD 4",IF($M2055="PADD V","PADD 5","")))))</f>
        <v>PADD 1</v>
      </c>
      <c r="G2055" s="6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6" t="s">
        <v>39</v>
      </c>
      <c r="I2055" s="6" t="s">
        <v>1030</v>
      </c>
      <c r="J2055" s="6" t="s">
        <v>398</v>
      </c>
      <c r="K2055" s="10">
        <v>92.5</v>
      </c>
      <c r="L2055" s="10">
        <v>92.5</v>
      </c>
      <c r="M2055" s="6" t="s">
        <v>463</v>
      </c>
      <c r="N2055" s="6">
        <f>IF(OR($G2055="FCC",$G2055="Hydrocracker",$G2055="Reformer"),IF(COUNTIFS($D:$D,$D2055,$A:$A,$A2055,$B:$B,$B2055,$G:$G,"CDU",$J:$J,"PLANNED")&gt;0,"tied","standalone"),"")</f>
        <v/>
      </c>
    </row>
    <row r="2056" spans="1:14">
      <c r="A2056" s="6">
        <v>2023</v>
      </c>
      <c r="B2056" s="6">
        <v>10</v>
      </c>
      <c r="C2056" s="6" t="s">
        <v>69</v>
      </c>
      <c r="D2056" s="6" t="s">
        <v>41</v>
      </c>
      <c r="E2056" s="6" t="s">
        <v>786</v>
      </c>
      <c r="F2056" s="6" t="str">
        <f>IF($M2056="PADD I","PADD 1",IF($M2056="PADD II","PADD 2",IF($M2056="PADD III","PADD 3",IF($M2056="PADD IV","PADD 4",IF($M2056="PADD V","PADD 5","")))))</f>
        <v>PADD 1</v>
      </c>
      <c r="G2056" s="6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6" t="s">
        <v>39</v>
      </c>
      <c r="I2056" s="6" t="s">
        <v>1039</v>
      </c>
      <c r="J2056" s="6" t="s">
        <v>398</v>
      </c>
      <c r="K2056" s="10">
        <v>92.5</v>
      </c>
      <c r="L2056" s="10">
        <v>92.5</v>
      </c>
      <c r="M2056" s="6" t="s">
        <v>463</v>
      </c>
      <c r="N2056" s="6">
        <f>IF(OR($G2056="FCC",$G2056="Hydrocracker",$G2056="Reformer"),IF(COUNTIFS($D:$D,$D2056,$A:$A,$A2056,$B:$B,$B2056,$G:$G,"CDU",$J:$J,"PLANNED")&gt;0,"tied","standalone"),"")</f>
        <v/>
      </c>
    </row>
    <row r="2057" spans="1:14">
      <c r="A2057" s="6">
        <v>2023</v>
      </c>
      <c r="B2057" s="6">
        <v>10</v>
      </c>
      <c r="C2057" s="6" t="s">
        <v>69</v>
      </c>
      <c r="D2057" s="6" t="s">
        <v>540</v>
      </c>
      <c r="E2057" s="6" t="s">
        <v>541</v>
      </c>
      <c r="F2057" s="6" t="str">
        <f>IF($M2057="PADD I","PADD 1",IF($M2057="PADD II","PADD 2",IF($M2057="PADD III","PADD 3",IF($M2057="PADD IV","PADD 4",IF($M2057="PADD V","PADD 5","")))))</f>
        <v>PADD 3</v>
      </c>
      <c r="G2057" s="6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6" t="s">
        <v>39</v>
      </c>
      <c r="I2057" s="6" t="s">
        <v>1058</v>
      </c>
      <c r="J2057" s="6" t="s">
        <v>398</v>
      </c>
      <c r="K2057" s="10">
        <v>90</v>
      </c>
      <c r="L2057" s="10">
        <v>90</v>
      </c>
      <c r="M2057" s="6" t="s">
        <v>421</v>
      </c>
      <c r="N2057" s="6">
        <f>IF(OR($G2057="FCC",$G2057="Hydrocracker",$G2057="Reformer"),IF(COUNTIFS($D:$D,$D2057,$A:$A,$A2057,$B:$B,$B2057,$G:$G,"CDU",$J:$J,"PLANNED")&gt;0,"tied","standalone"),"")</f>
        <v/>
      </c>
    </row>
    <row r="2058" spans="1:14">
      <c r="A2058" s="6">
        <v>2023</v>
      </c>
      <c r="B2058" s="6">
        <v>10</v>
      </c>
      <c r="C2058" s="6" t="s">
        <v>69</v>
      </c>
      <c r="D2058" s="6" t="s">
        <v>592</v>
      </c>
      <c r="E2058" s="6" t="s">
        <v>593</v>
      </c>
      <c r="F2058" s="6" t="str">
        <f>IF($M2058="PADD I","PADD 1",IF($M2058="PADD II","PADD 2",IF($M2058="PADD III","PADD 3",IF($M2058="PADD IV","PADD 4",IF($M2058="PADD V","PADD 5","")))))</f>
        <v>PADD 2</v>
      </c>
      <c r="G2058" s="6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6" t="s">
        <v>39</v>
      </c>
      <c r="I2058" s="6" t="s">
        <v>740</v>
      </c>
      <c r="J2058" s="6" t="s">
        <v>398</v>
      </c>
      <c r="K2058" s="10">
        <v>90</v>
      </c>
      <c r="L2058" s="10">
        <v>90</v>
      </c>
      <c r="M2058" s="6" t="s">
        <v>425</v>
      </c>
      <c r="N2058" s="6">
        <f>IF(OR($G2058="FCC",$G2058="Hydrocracker",$G2058="Reformer"),IF(COUNTIFS($D:$D,$D2058,$A:$A,$A2058,$B:$B,$B2058,$G:$G,"CDU",$J:$J,"PLANNED")&gt;0,"tied","standalone"),"")</f>
        <v/>
      </c>
    </row>
    <row r="2059" spans="1:14">
      <c r="A2059" s="6">
        <v>2023</v>
      </c>
      <c r="B2059" s="6">
        <v>10</v>
      </c>
      <c r="C2059" s="6" t="s">
        <v>69</v>
      </c>
      <c r="D2059" s="6" t="s">
        <v>52</v>
      </c>
      <c r="E2059" s="6" t="s">
        <v>441</v>
      </c>
      <c r="F2059" s="6" t="str">
        <f>IF($M2059="PADD I","PADD 1",IF($M2059="PADD II","PADD 2",IF($M2059="PADD III","PADD 3",IF($M2059="PADD IV","PADD 4",IF($M2059="PADD V","PADD 5","")))))</f>
        <v>PADD 5</v>
      </c>
      <c r="G2059" s="6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6" t="s">
        <v>39</v>
      </c>
      <c r="I2059" s="6" t="s">
        <v>136</v>
      </c>
      <c r="J2059" s="6" t="s">
        <v>398</v>
      </c>
      <c r="K2059" s="10">
        <v>87.3</v>
      </c>
      <c r="L2059" s="10">
        <v>90</v>
      </c>
      <c r="M2059" s="6" t="s">
        <v>436</v>
      </c>
      <c r="N2059" s="6">
        <f>IF(OR($G2059="FCC",$G2059="Hydrocracker",$G2059="Reformer"),IF(COUNTIFS($D:$D,$D2059,$A:$A,$A2059,$B:$B,$B2059,$G:$G,"CDU",$J:$J,"PLANNED")&gt;0,"tied","standalone"),"")</f>
        <v/>
      </c>
    </row>
    <row r="2060" spans="1:14">
      <c r="A2060" s="6">
        <v>2023</v>
      </c>
      <c r="B2060" s="6">
        <v>10</v>
      </c>
      <c r="C2060" s="6" t="s">
        <v>69</v>
      </c>
      <c r="D2060" s="6" t="s">
        <v>448</v>
      </c>
      <c r="E2060" s="6" t="s">
        <v>449</v>
      </c>
      <c r="F2060" s="6" t="str">
        <f>IF($M2060="PADD I","PADD 1",IF($M2060="PADD II","PADD 2",IF($M2060="PADD III","PADD 3",IF($M2060="PADD IV","PADD 4",IF($M2060="PADD V","PADD 5","")))))</f>
        <v>PADD 3</v>
      </c>
      <c r="G2060" s="6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6" t="s">
        <v>426</v>
      </c>
      <c r="I2060" s="6" t="s">
        <v>1086</v>
      </c>
      <c r="J2060" s="6" t="s">
        <v>398</v>
      </c>
      <c r="K2060" s="10">
        <v>81</v>
      </c>
      <c r="L2060" s="10">
        <v>90</v>
      </c>
      <c r="M2060" s="6" t="s">
        <v>421</v>
      </c>
      <c r="N2060" s="6" t="str">
        <f>IF(OR($G2060="FCC",$G2060="Hydrocracker",$G2060="Reformer"),IF(COUNTIFS($D:$D,$D2060,$A:$A,$A2060,$B:$B,$B2060,$G:$G,"CDU",$J:$J,"PLANNED")&gt;0,"tied","standalone"),"")</f>
        <v>standalone</v>
      </c>
    </row>
    <row r="2061" spans="1:14">
      <c r="A2061" s="6">
        <v>2023</v>
      </c>
      <c r="B2061" s="6">
        <v>10</v>
      </c>
      <c r="C2061" s="6" t="s">
        <v>69</v>
      </c>
      <c r="D2061" s="6" t="s">
        <v>518</v>
      </c>
      <c r="E2061" s="6" t="s">
        <v>419</v>
      </c>
      <c r="F2061" s="6" t="str">
        <f>IF($M2061="PADD I","PADD 1",IF($M2061="PADD II","PADD 2",IF($M2061="PADD III","PADD 3",IF($M2061="PADD IV","PADD 4",IF($M2061="PADD V","PADD 5","")))))</f>
        <v>PADD 3</v>
      </c>
      <c r="G2061" s="6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6" t="s">
        <v>428</v>
      </c>
      <c r="I2061" s="6" t="s">
        <v>1073</v>
      </c>
      <c r="J2061" s="6" t="s">
        <v>398</v>
      </c>
      <c r="K2061" s="10">
        <v>80</v>
      </c>
      <c r="L2061" s="10">
        <v>80</v>
      </c>
      <c r="M2061" s="6" t="s">
        <v>421</v>
      </c>
      <c r="N2061" s="6">
        <f>IF(OR($G2061="FCC",$G2061="Hydrocracker",$G2061="Reformer"),IF(COUNTIFS($D:$D,$D2061,$A:$A,$A2061,$B:$B,$B2061,$G:$G,"CDU",$J:$J,"PLANNED")&gt;0,"tied","standalone"),"")</f>
        <v/>
      </c>
    </row>
    <row r="2062" spans="1:14">
      <c r="A2062" s="6">
        <v>2023</v>
      </c>
      <c r="B2062" s="6">
        <v>10</v>
      </c>
      <c r="C2062" s="6" t="s">
        <v>69</v>
      </c>
      <c r="D2062" s="6" t="s">
        <v>458</v>
      </c>
      <c r="E2062" s="6" t="s">
        <v>459</v>
      </c>
      <c r="F2062" s="6" t="str">
        <f>IF($M2062="PADD I","PADD 1",IF($M2062="PADD II","PADD 2",IF($M2062="PADD III","PADD 3",IF($M2062="PADD IV","PADD 4",IF($M2062="PADD V","PADD 5","")))))</f>
        <v>PADD 3</v>
      </c>
      <c r="G2062" s="6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6" t="s">
        <v>39</v>
      </c>
      <c r="I2062" s="6" t="s">
        <v>460</v>
      </c>
      <c r="J2062" s="6" t="s">
        <v>394</v>
      </c>
      <c r="K2062" s="10">
        <v>80</v>
      </c>
      <c r="L2062" s="10">
        <v>80</v>
      </c>
      <c r="M2062" s="6" t="s">
        <v>421</v>
      </c>
      <c r="N2062" s="6">
        <f>IF(OR($G2062="FCC",$G2062="Hydrocracker",$G2062="Reformer"),IF(COUNTIFS($D:$D,$D2062,$A:$A,$A2062,$B:$B,$B2062,$G:$G,"CDU",$J:$J,"PLANNED")&gt;0,"tied","standalone"),"")</f>
        <v/>
      </c>
    </row>
    <row r="2063" spans="1:14">
      <c r="A2063" s="6">
        <v>2023</v>
      </c>
      <c r="B2063" s="6">
        <v>10</v>
      </c>
      <c r="C2063" s="6" t="s">
        <v>69</v>
      </c>
      <c r="D2063" s="6" t="s">
        <v>484</v>
      </c>
      <c r="E2063" s="6" t="s">
        <v>438</v>
      </c>
      <c r="F2063" s="6" t="str">
        <f>IF($M2063="PADD I","PADD 1",IF($M2063="PADD II","PADD 2",IF($M2063="PADD III","PADD 3",IF($M2063="PADD IV","PADD 4",IF($M2063="PADD V","PADD 5","")))))</f>
        <v>PADD 5</v>
      </c>
      <c r="G2063" s="6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6" t="s">
        <v>39</v>
      </c>
      <c r="I2063" s="6" t="s">
        <v>713</v>
      </c>
      <c r="J2063" s="6" t="s">
        <v>398</v>
      </c>
      <c r="K2063" s="10">
        <v>79.31</v>
      </c>
      <c r="L2063" s="10">
        <v>103</v>
      </c>
      <c r="M2063" s="6" t="s">
        <v>436</v>
      </c>
      <c r="N2063" s="6">
        <f>IF(OR($G2063="FCC",$G2063="Hydrocracker",$G2063="Reformer"),IF(COUNTIFS($D:$D,$D2063,$A:$A,$A2063,$B:$B,$B2063,$G:$G,"CDU",$J:$J,"PLANNED")&gt;0,"tied","standalone"),"")</f>
        <v/>
      </c>
    </row>
    <row r="2064" spans="1:14">
      <c r="A2064" s="6">
        <v>2023</v>
      </c>
      <c r="B2064" s="6">
        <v>10</v>
      </c>
      <c r="C2064" s="6" t="s">
        <v>69</v>
      </c>
      <c r="D2064" s="6" t="s">
        <v>445</v>
      </c>
      <c r="E2064" s="6" t="s">
        <v>446</v>
      </c>
      <c r="F2064" s="6" t="str">
        <f>IF($M2064="PADD I","PADD 1",IF($M2064="PADD II","PADD 2",IF($M2064="PADD III","PADD 3",IF($M2064="PADD IV","PADD 4",IF($M2064="PADD V","PADD 5","")))))</f>
        <v>PADD 3</v>
      </c>
      <c r="G2064" s="6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6" t="s">
        <v>39</v>
      </c>
      <c r="I2064" s="6" t="s">
        <v>447</v>
      </c>
      <c r="J2064" s="6" t="s">
        <v>394</v>
      </c>
      <c r="K2064" s="10">
        <v>78.3</v>
      </c>
      <c r="L2064" s="10">
        <v>270</v>
      </c>
      <c r="M2064" s="6" t="s">
        <v>421</v>
      </c>
      <c r="N2064" s="6">
        <f>IF(OR($G2064="FCC",$G2064="Hydrocracker",$G2064="Reformer"),IF(COUNTIFS($D:$D,$D2064,$A:$A,$A2064,$B:$B,$B2064,$G:$G,"CDU",$J:$J,"PLANNED")&gt;0,"tied","standalone"),"")</f>
        <v/>
      </c>
    </row>
    <row r="2065" spans="1:14">
      <c r="A2065" s="6">
        <v>2023</v>
      </c>
      <c r="B2065" s="6">
        <v>10</v>
      </c>
      <c r="C2065" s="6" t="s">
        <v>69</v>
      </c>
      <c r="D2065" s="6" t="s">
        <v>368</v>
      </c>
      <c r="E2065" s="6" t="s">
        <v>715</v>
      </c>
      <c r="F2065" s="6" t="str">
        <f>IF($M2065="PADD I","PADD 1",IF($M2065="PADD II","PADD 2",IF($M2065="PADD III","PADD 3",IF($M2065="PADD IV","PADD 4",IF($M2065="PADD V","PADD 5","")))))</f>
        <v>PADD 3</v>
      </c>
      <c r="G2065" s="6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6" t="s">
        <v>428</v>
      </c>
      <c r="I2065" s="6" t="s">
        <v>927</v>
      </c>
      <c r="J2065" s="6" t="s">
        <v>394</v>
      </c>
      <c r="K2065" s="10">
        <v>78</v>
      </c>
      <c r="L2065" s="10">
        <v>78</v>
      </c>
      <c r="M2065" s="6" t="s">
        <v>421</v>
      </c>
      <c r="N2065" s="6">
        <f>IF(OR($G2065="FCC",$G2065="Hydrocracker",$G2065="Reformer"),IF(COUNTIFS($D:$D,$D2065,$A:$A,$A2065,$B:$B,$B2065,$G:$G,"CDU",$J:$J,"PLANNED")&gt;0,"tied","standalone"),"")</f>
        <v/>
      </c>
    </row>
    <row r="2066" spans="1:14">
      <c r="A2066" s="6">
        <v>2023</v>
      </c>
      <c r="B2066" s="6">
        <v>10</v>
      </c>
      <c r="C2066" s="6" t="s">
        <v>69</v>
      </c>
      <c r="D2066" s="6" t="s">
        <v>437</v>
      </c>
      <c r="E2066" s="6" t="s">
        <v>438</v>
      </c>
      <c r="F2066" s="6" t="str">
        <f>IF($M2066="PADD I","PADD 1",IF($M2066="PADD II","PADD 2",IF($M2066="PADD III","PADD 3",IF($M2066="PADD IV","PADD 4",IF($M2066="PADD V","PADD 5","")))))</f>
        <v>PADD 3</v>
      </c>
      <c r="G2066" s="6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6" t="s">
        <v>471</v>
      </c>
      <c r="I2066" s="6" t="s">
        <v>493</v>
      </c>
      <c r="J2066" s="6" t="s">
        <v>394</v>
      </c>
      <c r="K2066" s="10">
        <v>77.5</v>
      </c>
      <c r="L2066" s="10">
        <v>77.5</v>
      </c>
      <c r="M2066" s="6" t="s">
        <v>421</v>
      </c>
      <c r="N2066" s="6" t="str">
        <f>IF(OR($G2066="FCC",$G2066="Hydrocracker",$G2066="Reformer"),IF(COUNTIFS($D:$D,$D2066,$A:$A,$A2066,$B:$B,$B2066,$G:$G,"CDU",$J:$J,"PLANNED")&gt;0,"tied","standalone"),"")</f>
        <v>standalone</v>
      </c>
    </row>
    <row r="2067" spans="1:14">
      <c r="A2067" s="6">
        <v>2023</v>
      </c>
      <c r="B2067" s="6">
        <v>10</v>
      </c>
      <c r="C2067" s="6" t="s">
        <v>69</v>
      </c>
      <c r="D2067" s="6" t="s">
        <v>518</v>
      </c>
      <c r="E2067" s="6" t="s">
        <v>419</v>
      </c>
      <c r="F2067" s="6" t="str">
        <f>IF($M2067="PADD I","PADD 1",IF($M2067="PADD II","PADD 2",IF($M2067="PADD III","PADD 3",IF($M2067="PADD IV","PADD 4",IF($M2067="PADD V","PADD 5","")))))</f>
        <v>PADD 3</v>
      </c>
      <c r="G2067" s="6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6" t="s">
        <v>44</v>
      </c>
      <c r="I2067" s="6" t="s">
        <v>899</v>
      </c>
      <c r="J2067" s="6" t="s">
        <v>398</v>
      </c>
      <c r="K2067" s="10">
        <v>73</v>
      </c>
      <c r="L2067" s="10">
        <v>73</v>
      </c>
      <c r="M2067" s="6" t="s">
        <v>421</v>
      </c>
      <c r="N2067" s="6">
        <f>IF(OR($G2067="FCC",$G2067="Hydrocracker",$G2067="Reformer"),IF(COUNTIFS($D:$D,$D2067,$A:$A,$A2067,$B:$B,$B2067,$G:$G,"CDU",$J:$J,"PLANNED")&gt;0,"tied","standalone"),"")</f>
        <v/>
      </c>
    </row>
    <row r="2068" spans="1:14">
      <c r="A2068" s="6">
        <v>2023</v>
      </c>
      <c r="B2068" s="6">
        <v>10</v>
      </c>
      <c r="C2068" s="6" t="s">
        <v>69</v>
      </c>
      <c r="D2068" s="6" t="s">
        <v>851</v>
      </c>
      <c r="E2068" s="6" t="s">
        <v>829</v>
      </c>
      <c r="F2068" s="6" t="str">
        <f>IF($M2068="PADD I","PADD 1",IF($M2068="PADD II","PADD 2",IF($M2068="PADD III","PADD 3",IF($M2068="PADD IV","PADD 4",IF($M2068="PADD V","PADD 5","")))))</f>
        <v>PADD 2</v>
      </c>
      <c r="G2068" s="6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6" t="s">
        <v>426</v>
      </c>
      <c r="I2068" s="6" t="s">
        <v>106</v>
      </c>
      <c r="J2068" s="6" t="s">
        <v>398</v>
      </c>
      <c r="K2068" s="10">
        <v>71.40000000000001</v>
      </c>
      <c r="L2068" s="10">
        <v>85</v>
      </c>
      <c r="M2068" s="6" t="s">
        <v>425</v>
      </c>
      <c r="N2068" s="6" t="str">
        <f>IF(OR($G2068="FCC",$G2068="Hydrocracker",$G2068="Reformer"),IF(COUNTIFS($D:$D,$D2068,$A:$A,$A2068,$B:$B,$B2068,$G:$G,"CDU",$J:$J,"PLANNED")&gt;0,"tied","standalone"),"")</f>
        <v>tied</v>
      </c>
    </row>
    <row r="2069" spans="1:14">
      <c r="A2069" s="6">
        <v>2023</v>
      </c>
      <c r="B2069" s="6">
        <v>10</v>
      </c>
      <c r="C2069" s="6" t="s">
        <v>69</v>
      </c>
      <c r="D2069" s="6" t="s">
        <v>851</v>
      </c>
      <c r="E2069" s="6" t="s">
        <v>829</v>
      </c>
      <c r="F2069" s="6" t="str">
        <f>IF($M2069="PADD I","PADD 1",IF($M2069="PADD II","PADD 2",IF($M2069="PADD III","PADD 3",IF($M2069="PADD IV","PADD 4",IF($M2069="PADD V","PADD 5","")))))</f>
        <v>PADD 2</v>
      </c>
      <c r="G2069" s="6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6" t="s">
        <v>39</v>
      </c>
      <c r="I2069" s="6" t="s">
        <v>1029</v>
      </c>
      <c r="J2069" s="6" t="s">
        <v>398</v>
      </c>
      <c r="K2069" s="10">
        <v>69.3</v>
      </c>
      <c r="L2069" s="10">
        <v>82.5</v>
      </c>
      <c r="M2069" s="6" t="s">
        <v>425</v>
      </c>
      <c r="N2069" s="6">
        <f>IF(OR($G2069="FCC",$G2069="Hydrocracker",$G2069="Reformer"),IF(COUNTIFS($D:$D,$D2069,$A:$A,$A2069,$B:$B,$B2069,$G:$G,"CDU",$J:$J,"PLANNED")&gt;0,"tied","standalone"),"")</f>
        <v/>
      </c>
    </row>
    <row r="2070" spans="1:14">
      <c r="A2070" s="6">
        <v>2023</v>
      </c>
      <c r="B2070" s="6">
        <v>10</v>
      </c>
      <c r="C2070" s="6" t="s">
        <v>69</v>
      </c>
      <c r="D2070" s="6" t="s">
        <v>41</v>
      </c>
      <c r="E2070" s="6" t="s">
        <v>786</v>
      </c>
      <c r="F2070" s="6" t="str">
        <f>IF($M2070="PADD I","PADD 1",IF($M2070="PADD II","PADD 2",IF($M2070="PADD III","PADD 3",IF($M2070="PADD IV","PADD 4",IF($M2070="PADD V","PADD 5","")))))</f>
        <v>PADD 1</v>
      </c>
      <c r="G2070" s="6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6" t="s">
        <v>426</v>
      </c>
      <c r="I2070" s="6" t="s">
        <v>787</v>
      </c>
      <c r="J2070" s="6" t="s">
        <v>398</v>
      </c>
      <c r="K2070" s="10">
        <v>68</v>
      </c>
      <c r="L2070" s="10">
        <v>68</v>
      </c>
      <c r="M2070" s="6" t="s">
        <v>463</v>
      </c>
      <c r="N2070" s="6" t="str">
        <f>IF(OR($G2070="FCC",$G2070="Hydrocracker",$G2070="Reformer"),IF(COUNTIFS($D:$D,$D2070,$A:$A,$A2070,$B:$B,$B2070,$G:$G,"CDU",$J:$J,"PLANNED")&gt;0,"tied","standalone"),"")</f>
        <v>tied</v>
      </c>
    </row>
    <row r="2071" spans="1:14">
      <c r="A2071" s="6">
        <v>2023</v>
      </c>
      <c r="B2071" s="6">
        <v>10</v>
      </c>
      <c r="C2071" s="6" t="s">
        <v>69</v>
      </c>
      <c r="D2071" s="6" t="s">
        <v>41</v>
      </c>
      <c r="E2071" s="6" t="s">
        <v>786</v>
      </c>
      <c r="F2071" s="6" t="str">
        <f>IF($M2071="PADD I","PADD 1",IF($M2071="PADD II","PADD 2",IF($M2071="PADD III","PADD 3",IF($M2071="PADD IV","PADD 4",IF($M2071="PADD V","PADD 5","")))))</f>
        <v>PADD 1</v>
      </c>
      <c r="G2071" s="6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6" t="s">
        <v>44</v>
      </c>
      <c r="I2071" s="6" t="s">
        <v>1044</v>
      </c>
      <c r="J2071" s="6" t="s">
        <v>398</v>
      </c>
      <c r="K2071" s="10">
        <v>65</v>
      </c>
      <c r="L2071" s="10">
        <v>65</v>
      </c>
      <c r="M2071" s="6" t="s">
        <v>463</v>
      </c>
      <c r="N2071" s="6">
        <f>IF(OR($G2071="FCC",$G2071="Hydrocracker",$G2071="Reformer"),IF(COUNTIFS($D:$D,$D2071,$A:$A,$A2071,$B:$B,$B2071,$G:$G,"CDU",$J:$J,"PLANNED")&gt;0,"tied","standalone"),"")</f>
        <v/>
      </c>
    </row>
    <row r="2072" spans="1:14">
      <c r="A2072" s="6">
        <v>2023</v>
      </c>
      <c r="B2072" s="6">
        <v>10</v>
      </c>
      <c r="C2072" s="6" t="s">
        <v>69</v>
      </c>
      <c r="D2072" s="6" t="s">
        <v>52</v>
      </c>
      <c r="E2072" s="6" t="s">
        <v>441</v>
      </c>
      <c r="F2072" s="6" t="str">
        <f>IF($M2072="PADD I","PADD 1",IF($M2072="PADD II","PADD 2",IF($M2072="PADD III","PADD 3",IF($M2072="PADD IV","PADD 4",IF($M2072="PADD V","PADD 5","")))))</f>
        <v>PADD 5</v>
      </c>
      <c r="G2072" s="6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6" t="s">
        <v>485</v>
      </c>
      <c r="I2072" s="6" t="s">
        <v>491</v>
      </c>
      <c r="J2072" s="6" t="s">
        <v>398</v>
      </c>
      <c r="K2072" s="10">
        <v>63.92</v>
      </c>
      <c r="L2072" s="10">
        <v>68</v>
      </c>
      <c r="M2072" s="6" t="s">
        <v>436</v>
      </c>
      <c r="N2072" s="6">
        <f>IF(OR($G2072="FCC",$G2072="Hydrocracker",$G2072="Reformer"),IF(COUNTIFS($D:$D,$D2072,$A:$A,$A2072,$B:$B,$B2072,$G:$G,"CDU",$J:$J,"PLANNED")&gt;0,"tied","standalone"),"")</f>
        <v/>
      </c>
    </row>
    <row r="2073" spans="1:14">
      <c r="A2073" s="6">
        <v>2023</v>
      </c>
      <c r="B2073" s="6">
        <v>10</v>
      </c>
      <c r="C2073" s="6" t="s">
        <v>69</v>
      </c>
      <c r="D2073" s="6" t="s">
        <v>373</v>
      </c>
      <c r="E2073" s="6" t="s">
        <v>438</v>
      </c>
      <c r="F2073" s="6" t="str">
        <f>IF($M2073="PADD I","PADD 1",IF($M2073="PADD II","PADD 2",IF($M2073="PADD III","PADD 3",IF($M2073="PADD IV","PADD 4",IF($M2073="PADD V","PADD 5","")))))</f>
        <v>PADD 3</v>
      </c>
      <c r="G2073" s="6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6" t="s">
        <v>39</v>
      </c>
      <c r="I2073" s="6" t="s">
        <v>97</v>
      </c>
      <c r="J2073" s="6" t="s">
        <v>398</v>
      </c>
      <c r="K2073" s="10">
        <v>60.9</v>
      </c>
      <c r="L2073" s="10">
        <v>145</v>
      </c>
      <c r="M2073" s="6" t="s">
        <v>421</v>
      </c>
      <c r="N2073" s="6">
        <f>IF(OR($G2073="FCC",$G2073="Hydrocracker",$G2073="Reformer"),IF(COUNTIFS($D:$D,$D2073,$A:$A,$A2073,$B:$B,$B2073,$G:$G,"CDU",$J:$J,"PLANNED")&gt;0,"tied","standalone"),"")</f>
        <v/>
      </c>
    </row>
    <row r="2074" spans="1:14">
      <c r="A2074" s="6">
        <v>2023</v>
      </c>
      <c r="B2074" s="6">
        <v>10</v>
      </c>
      <c r="C2074" s="6" t="s">
        <v>69</v>
      </c>
      <c r="D2074" s="6" t="s">
        <v>1035</v>
      </c>
      <c r="E2074" s="6" t="s">
        <v>593</v>
      </c>
      <c r="F2074" s="6" t="str">
        <f>IF($M2074="PADD I","PADD 1",IF($M2074="PADD II","PADD 2",IF($M2074="PADD III","PADD 3",IF($M2074="PADD IV","PADD 4",IF($M2074="PADD V","PADD 5","")))))</f>
        <v>PADD 2</v>
      </c>
      <c r="G2074" s="6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6" t="s">
        <v>428</v>
      </c>
      <c r="I2074" s="6" t="s">
        <v>836</v>
      </c>
      <c r="J2074" s="6" t="s">
        <v>394</v>
      </c>
      <c r="K2074" s="10">
        <v>60.33</v>
      </c>
      <c r="L2074" s="10">
        <v>60.33</v>
      </c>
      <c r="M2074" s="6" t="s">
        <v>425</v>
      </c>
      <c r="N2074" s="6">
        <f>IF(OR($G2074="FCC",$G2074="Hydrocracker",$G2074="Reformer"),IF(COUNTIFS($D:$D,$D2074,$A:$A,$A2074,$B:$B,$B2074,$G:$G,"CDU",$J:$J,"PLANNED")&gt;0,"tied","standalone"),"")</f>
        <v/>
      </c>
    </row>
    <row r="2075" spans="1:14">
      <c r="A2075" s="6">
        <v>2023</v>
      </c>
      <c r="B2075" s="6">
        <v>10</v>
      </c>
      <c r="C2075" s="6" t="s">
        <v>69</v>
      </c>
      <c r="D2075" s="6" t="s">
        <v>41</v>
      </c>
      <c r="E2075" s="6" t="s">
        <v>786</v>
      </c>
      <c r="F2075" s="6" t="str">
        <f>IF($M2075="PADD I","PADD 1",IF($M2075="PADD II","PADD 2",IF($M2075="PADD III","PADD 3",IF($M2075="PADD IV","PADD 4",IF($M2075="PADD V","PADD 5","")))))</f>
        <v>PADD 1</v>
      </c>
      <c r="G2075" s="6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6" t="s">
        <v>44</v>
      </c>
      <c r="I2075" s="6" t="s">
        <v>543</v>
      </c>
      <c r="J2075" s="6" t="s">
        <v>398</v>
      </c>
      <c r="K2075" s="10">
        <v>60</v>
      </c>
      <c r="L2075" s="10">
        <v>60</v>
      </c>
      <c r="M2075" s="6" t="s">
        <v>463</v>
      </c>
      <c r="N2075" s="6">
        <f>IF(OR($G2075="FCC",$G2075="Hydrocracker",$G2075="Reformer"),IF(COUNTIFS($D:$D,$D2075,$A:$A,$A2075,$B:$B,$B2075,$G:$G,"CDU",$J:$J,"PLANNED")&gt;0,"tied","standalone"),"")</f>
        <v/>
      </c>
    </row>
    <row r="2076" spans="1:14">
      <c r="A2076" s="6">
        <v>2023</v>
      </c>
      <c r="B2076" s="6">
        <v>10</v>
      </c>
      <c r="C2076" s="6" t="s">
        <v>69</v>
      </c>
      <c r="D2076" s="6" t="s">
        <v>41</v>
      </c>
      <c r="E2076" s="6" t="s">
        <v>786</v>
      </c>
      <c r="F2076" s="6" t="str">
        <f>IF($M2076="PADD I","PADD 1",IF($M2076="PADD II","PADD 2",IF($M2076="PADD III","PADD 3",IF($M2076="PADD IV","PADD 4",IF($M2076="PADD V","PADD 5","")))))</f>
        <v>PADD 1</v>
      </c>
      <c r="G2076" s="6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6" t="s">
        <v>471</v>
      </c>
      <c r="I2076" s="6" t="s">
        <v>832</v>
      </c>
      <c r="J2076" s="6" t="s">
        <v>398</v>
      </c>
      <c r="K2076" s="10">
        <v>60</v>
      </c>
      <c r="L2076" s="10">
        <v>60</v>
      </c>
      <c r="M2076" s="6" t="s">
        <v>463</v>
      </c>
      <c r="N2076" s="6" t="str">
        <f>IF(OR($G2076="FCC",$G2076="Hydrocracker",$G2076="Reformer"),IF(COUNTIFS($D:$D,$D2076,$A:$A,$A2076,$B:$B,$B2076,$G:$G,"CDU",$J:$J,"PLANNED")&gt;0,"tied","standalone"),"")</f>
        <v>tied</v>
      </c>
    </row>
    <row r="2077" spans="1:14">
      <c r="A2077" s="6">
        <v>2023</v>
      </c>
      <c r="B2077" s="6">
        <v>10</v>
      </c>
      <c r="C2077" s="6" t="s">
        <v>69</v>
      </c>
      <c r="D2077" s="6" t="s">
        <v>780</v>
      </c>
      <c r="E2077" s="6" t="s">
        <v>781</v>
      </c>
      <c r="F2077" s="6" t="str">
        <f>IF($M2077="PADD I","PADD 1",IF($M2077="PADD II","PADD 2",IF($M2077="PADD III","PADD 3",IF($M2077="PADD IV","PADD 4",IF($M2077="PADD V","PADD 5","")))))</f>
        <v>PADD 3</v>
      </c>
      <c r="G2077" s="6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6" t="s">
        <v>39</v>
      </c>
      <c r="I2077" s="6" t="s">
        <v>82</v>
      </c>
      <c r="J2077" s="6" t="s">
        <v>398</v>
      </c>
      <c r="K2077" s="10">
        <v>59.2</v>
      </c>
      <c r="L2077" s="10">
        <v>80</v>
      </c>
      <c r="M2077" s="6" t="s">
        <v>421</v>
      </c>
      <c r="N2077" s="6">
        <f>IF(OR($G2077="FCC",$G2077="Hydrocracker",$G2077="Reformer"),IF(COUNTIFS($D:$D,$D2077,$A:$A,$A2077,$B:$B,$B2077,$G:$G,"CDU",$J:$J,"PLANNED")&gt;0,"tied","standalone"),"")</f>
        <v/>
      </c>
    </row>
    <row r="2078" spans="1:14">
      <c r="A2078" s="6">
        <v>2023</v>
      </c>
      <c r="B2078" s="6">
        <v>10</v>
      </c>
      <c r="C2078" s="6" t="s">
        <v>69</v>
      </c>
      <c r="D2078" s="6" t="s">
        <v>518</v>
      </c>
      <c r="E2078" s="6" t="s">
        <v>419</v>
      </c>
      <c r="F2078" s="6" t="str">
        <f>IF($M2078="PADD I","PADD 1",IF($M2078="PADD II","PADD 2",IF($M2078="PADD III","PADD 3",IF($M2078="PADD IV","PADD 4",IF($M2078="PADD V","PADD 5","")))))</f>
        <v>PADD 3</v>
      </c>
      <c r="G2078" s="6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6" t="s">
        <v>39</v>
      </c>
      <c r="I2078" s="6" t="s">
        <v>559</v>
      </c>
      <c r="J2078" s="6" t="s">
        <v>398</v>
      </c>
      <c r="K2078" s="10">
        <v>52.36</v>
      </c>
      <c r="L2078" s="10">
        <v>68</v>
      </c>
      <c r="M2078" s="6" t="s">
        <v>421</v>
      </c>
      <c r="N2078" s="6">
        <f>IF(OR($G2078="FCC",$G2078="Hydrocracker",$G2078="Reformer"),IF(COUNTIFS($D:$D,$D2078,$A:$A,$A2078,$B:$B,$B2078,$G:$G,"CDU",$J:$J,"PLANNED")&gt;0,"tied","standalone"),"")</f>
        <v/>
      </c>
    </row>
    <row r="2079" spans="1:14">
      <c r="A2079" s="6">
        <v>2023</v>
      </c>
      <c r="B2079" s="6">
        <v>10</v>
      </c>
      <c r="C2079" s="6" t="s">
        <v>69</v>
      </c>
      <c r="D2079" s="6" t="s">
        <v>458</v>
      </c>
      <c r="E2079" s="6" t="s">
        <v>459</v>
      </c>
      <c r="F2079" s="6" t="str">
        <f>IF($M2079="PADD I","PADD 1",IF($M2079="PADD II","PADD 2",IF($M2079="PADD III","PADD 3",IF($M2079="PADD IV","PADD 4",IF($M2079="PADD V","PADD 5","")))))</f>
        <v>PADD 3</v>
      </c>
      <c r="G2079" s="6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6" t="s">
        <v>428</v>
      </c>
      <c r="I2079" s="6" t="s">
        <v>556</v>
      </c>
      <c r="J2079" s="6" t="s">
        <v>394</v>
      </c>
      <c r="K2079" s="10">
        <v>52</v>
      </c>
      <c r="L2079" s="10">
        <v>52</v>
      </c>
      <c r="M2079" s="6" t="s">
        <v>421</v>
      </c>
      <c r="N2079" s="6">
        <f>IF(OR($G2079="FCC",$G2079="Hydrocracker",$G2079="Reformer"),IF(COUNTIFS($D:$D,$D2079,$A:$A,$A2079,$B:$B,$B2079,$G:$G,"CDU",$J:$J,"PLANNED")&gt;0,"tied","standalone"),"")</f>
        <v/>
      </c>
    </row>
    <row r="2080" spans="1:14">
      <c r="A2080" s="6">
        <v>2023</v>
      </c>
      <c r="B2080" s="6">
        <v>10</v>
      </c>
      <c r="C2080" s="6" t="s">
        <v>69</v>
      </c>
      <c r="D2080" s="6" t="s">
        <v>437</v>
      </c>
      <c r="E2080" s="6" t="s">
        <v>438</v>
      </c>
      <c r="F2080" s="6" t="str">
        <f>IF($M2080="PADD I","PADD 1",IF($M2080="PADD II","PADD 2",IF($M2080="PADD III","PADD 3",IF($M2080="PADD IV","PADD 4",IF($M2080="PADD V","PADD 5","")))))</f>
        <v>PADD 3</v>
      </c>
      <c r="G2080" s="6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6" t="s">
        <v>44</v>
      </c>
      <c r="I2080" s="6" t="s">
        <v>898</v>
      </c>
      <c r="J2080" s="6" t="s">
        <v>394</v>
      </c>
      <c r="K2080" s="10">
        <v>50</v>
      </c>
      <c r="L2080" s="10">
        <v>50</v>
      </c>
      <c r="M2080" s="6" t="s">
        <v>421</v>
      </c>
      <c r="N2080" s="6">
        <f>IF(OR($G2080="FCC",$G2080="Hydrocracker",$G2080="Reformer"),IF(COUNTIFS($D:$D,$D2080,$A:$A,$A2080,$B:$B,$B2080,$G:$G,"CDU",$J:$J,"PLANNED")&gt;0,"tied","standalone"),"")</f>
        <v/>
      </c>
    </row>
    <row r="2081" spans="1:14">
      <c r="A2081" s="6">
        <v>2023</v>
      </c>
      <c r="B2081" s="6">
        <v>10</v>
      </c>
      <c r="C2081" s="6" t="s">
        <v>69</v>
      </c>
      <c r="D2081" s="6" t="s">
        <v>518</v>
      </c>
      <c r="E2081" s="6" t="s">
        <v>419</v>
      </c>
      <c r="F2081" s="6" t="str">
        <f>IF($M2081="PADD I","PADD 1",IF($M2081="PADD II","PADD 2",IF($M2081="PADD III","PADD 3",IF($M2081="PADD IV","PADD 4",IF($M2081="PADD V","PADD 5","")))))</f>
        <v>PADD 3</v>
      </c>
      <c r="G2081" s="6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6" t="s">
        <v>44</v>
      </c>
      <c r="I2081" s="6" t="s">
        <v>532</v>
      </c>
      <c r="J2081" s="6" t="s">
        <v>398</v>
      </c>
      <c r="K2081" s="10">
        <v>50</v>
      </c>
      <c r="L2081" s="10">
        <v>50</v>
      </c>
      <c r="M2081" s="6" t="s">
        <v>421</v>
      </c>
      <c r="N2081" s="6">
        <f>IF(OR($G2081="FCC",$G2081="Hydrocracker",$G2081="Reformer"),IF(COUNTIFS($D:$D,$D2081,$A:$A,$A2081,$B:$B,$B2081,$G:$G,"CDU",$J:$J,"PLANNED")&gt;0,"tied","standalone"),"")</f>
        <v/>
      </c>
    </row>
    <row r="2082" spans="1:14">
      <c r="A2082" s="6">
        <v>2023</v>
      </c>
      <c r="B2082" s="6">
        <v>10</v>
      </c>
      <c r="C2082" s="6" t="s">
        <v>69</v>
      </c>
      <c r="D2082" s="6" t="s">
        <v>465</v>
      </c>
      <c r="E2082" s="6" t="s">
        <v>466</v>
      </c>
      <c r="F2082" s="6" t="str">
        <f>IF($M2082="PADD I","PADD 1",IF($M2082="PADD II","PADD 2",IF($M2082="PADD III","PADD 3",IF($M2082="PADD IV","PADD 4",IF($M2082="PADD V","PADD 5","")))))</f>
        <v>PADD 3</v>
      </c>
      <c r="G2082" s="6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6" t="s">
        <v>428</v>
      </c>
      <c r="I2082" s="6" t="s">
        <v>467</v>
      </c>
      <c r="J2082" s="6" t="s">
        <v>394</v>
      </c>
      <c r="K2082" s="10">
        <v>50</v>
      </c>
      <c r="L2082" s="10">
        <v>50</v>
      </c>
      <c r="M2082" s="6" t="s">
        <v>421</v>
      </c>
      <c r="N2082" s="6">
        <f>IF(OR($G2082="FCC",$G2082="Hydrocracker",$G2082="Reformer"),IF(COUNTIFS($D:$D,$D2082,$A:$A,$A2082,$B:$B,$B2082,$G:$G,"CDU",$J:$J,"PLANNED")&gt;0,"tied","standalone"),"")</f>
        <v/>
      </c>
    </row>
    <row r="2083" spans="1:14">
      <c r="A2083" s="6">
        <v>2023</v>
      </c>
      <c r="B2083" s="6">
        <v>10</v>
      </c>
      <c r="C2083" s="6" t="s">
        <v>69</v>
      </c>
      <c r="D2083" s="6" t="s">
        <v>928</v>
      </c>
      <c r="E2083" s="6" t="s">
        <v>502</v>
      </c>
      <c r="F2083" s="6" t="str">
        <f>IF($M2083="PADD I","PADD 1",IF($M2083="PADD II","PADD 2",IF($M2083="PADD III","PADD 3",IF($M2083="PADD IV","PADD 4",IF($M2083="PADD V","PADD 5","")))))</f>
        <v>PADD 2</v>
      </c>
      <c r="G2083" s="6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6" t="s">
        <v>39</v>
      </c>
      <c r="I2083" s="6" t="s">
        <v>929</v>
      </c>
      <c r="J2083" s="6" t="s">
        <v>398</v>
      </c>
      <c r="K2083" s="10">
        <v>49.3</v>
      </c>
      <c r="L2083" s="10">
        <v>85</v>
      </c>
      <c r="M2083" s="6" t="s">
        <v>425</v>
      </c>
      <c r="N2083" s="6">
        <f>IF(OR($G2083="FCC",$G2083="Hydrocracker",$G2083="Reformer"),IF(COUNTIFS($D:$D,$D2083,$A:$A,$A2083,$B:$B,$B2083,$G:$G,"CDU",$J:$J,"PLANNED")&gt;0,"tied","standalone"),"")</f>
        <v/>
      </c>
    </row>
    <row r="2084" spans="1:14">
      <c r="A2084" s="6">
        <v>2023</v>
      </c>
      <c r="B2084" s="6">
        <v>10</v>
      </c>
      <c r="C2084" s="6" t="s">
        <v>69</v>
      </c>
      <c r="D2084" s="6" t="s">
        <v>1054</v>
      </c>
      <c r="E2084" s="6" t="s">
        <v>431</v>
      </c>
      <c r="F2084" s="6" t="str">
        <f>IF($M2084="PADD I","PADD 1",IF($M2084="PADD II","PADD 2",IF($M2084="PADD III","PADD 3",IF($M2084="PADD IV","PADD 4",IF($M2084="PADD V","PADD 5","")))))</f>
        <v>PADD 3</v>
      </c>
      <c r="G2084" s="6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6" t="s">
        <v>428</v>
      </c>
      <c r="I2084" s="6" t="s">
        <v>836</v>
      </c>
      <c r="J2084" s="6" t="s">
        <v>394</v>
      </c>
      <c r="K2084" s="10">
        <v>46.98</v>
      </c>
      <c r="L2084" s="10">
        <v>58</v>
      </c>
      <c r="M2084" s="6" t="s">
        <v>421</v>
      </c>
      <c r="N2084" s="6">
        <f>IF(OR($G2084="FCC",$G2084="Hydrocracker",$G2084="Reformer"),IF(COUNTIFS($D:$D,$D2084,$A:$A,$A2084,$B:$B,$B2084,$G:$G,"CDU",$J:$J,"PLANNED")&gt;0,"tied","standalone"),"")</f>
        <v/>
      </c>
    </row>
    <row r="2085" spans="1:14">
      <c r="A2085" s="6">
        <v>2023</v>
      </c>
      <c r="B2085" s="6">
        <v>10</v>
      </c>
      <c r="C2085" s="6" t="s">
        <v>69</v>
      </c>
      <c r="D2085" s="6" t="s">
        <v>851</v>
      </c>
      <c r="E2085" s="6" t="s">
        <v>829</v>
      </c>
      <c r="F2085" s="6" t="str">
        <f>IF($M2085="PADD I","PADD 1",IF($M2085="PADD II","PADD 2",IF($M2085="PADD III","PADD 3",IF($M2085="PADD IV","PADD 4",IF($M2085="PADD V","PADD 5","")))))</f>
        <v>PADD 2</v>
      </c>
      <c r="G2085" s="6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6" t="s">
        <v>39</v>
      </c>
      <c r="I2085" s="6" t="s">
        <v>1032</v>
      </c>
      <c r="J2085" s="6" t="s">
        <v>398</v>
      </c>
      <c r="K2085" s="10">
        <v>46.2</v>
      </c>
      <c r="L2085" s="10">
        <v>55</v>
      </c>
      <c r="M2085" s="6" t="s">
        <v>425</v>
      </c>
      <c r="N2085" s="6">
        <f>IF(OR($G2085="FCC",$G2085="Hydrocracker",$G2085="Reformer"),IF(COUNTIFS($D:$D,$D2085,$A:$A,$A2085,$B:$B,$B2085,$G:$G,"CDU",$J:$J,"PLANNED")&gt;0,"tied","standalone"),"")</f>
        <v/>
      </c>
    </row>
    <row r="2086" spans="1:14">
      <c r="A2086" s="6">
        <v>2023</v>
      </c>
      <c r="B2086" s="6">
        <v>10</v>
      </c>
      <c r="C2086" s="6" t="s">
        <v>69</v>
      </c>
      <c r="D2086" s="6" t="s">
        <v>851</v>
      </c>
      <c r="E2086" s="6" t="s">
        <v>829</v>
      </c>
      <c r="F2086" s="6" t="str">
        <f>IF($M2086="PADD I","PADD 1",IF($M2086="PADD II","PADD 2",IF($M2086="PADD III","PADD 3",IF($M2086="PADD IV","PADD 4",IF($M2086="PADD V","PADD 5","")))))</f>
        <v>PADD 2</v>
      </c>
      <c r="G2086" s="6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6" t="s">
        <v>44</v>
      </c>
      <c r="I2086" s="6" t="s">
        <v>1031</v>
      </c>
      <c r="J2086" s="6" t="s">
        <v>398</v>
      </c>
      <c r="K2086" s="10">
        <v>45.36</v>
      </c>
      <c r="L2086" s="10">
        <v>54</v>
      </c>
      <c r="M2086" s="6" t="s">
        <v>425</v>
      </c>
      <c r="N2086" s="6">
        <f>IF(OR($G2086="FCC",$G2086="Hydrocracker",$G2086="Reformer"),IF(COUNTIFS($D:$D,$D2086,$A:$A,$A2086,$B:$B,$B2086,$G:$G,"CDU",$J:$J,"PLANNED")&gt;0,"tied","standalone"),"")</f>
        <v/>
      </c>
    </row>
    <row r="2087" spans="1:14">
      <c r="A2087" s="6">
        <v>2023</v>
      </c>
      <c r="B2087" s="6">
        <v>10</v>
      </c>
      <c r="C2087" s="6" t="s">
        <v>69</v>
      </c>
      <c r="D2087" s="6" t="s">
        <v>448</v>
      </c>
      <c r="E2087" s="6" t="s">
        <v>449</v>
      </c>
      <c r="F2087" s="6" t="str">
        <f>IF($M2087="PADD I","PADD 1",IF($M2087="PADD II","PADD 2",IF($M2087="PADD III","PADD 3",IF($M2087="PADD IV","PADD 4",IF($M2087="PADD V","PADD 5","")))))</f>
        <v>PADD 3</v>
      </c>
      <c r="G2087" s="6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6" t="s">
        <v>44</v>
      </c>
      <c r="I2087" s="6" t="s">
        <v>1062</v>
      </c>
      <c r="J2087" s="6" t="s">
        <v>398</v>
      </c>
      <c r="K2087" s="10">
        <v>45</v>
      </c>
      <c r="L2087" s="10">
        <v>50</v>
      </c>
      <c r="M2087" s="6" t="s">
        <v>421</v>
      </c>
      <c r="N2087" s="6">
        <f>IF(OR($G2087="FCC",$G2087="Hydrocracker",$G2087="Reformer"),IF(COUNTIFS($D:$D,$D2087,$A:$A,$A2087,$B:$B,$B2087,$G:$G,"CDU",$J:$J,"PLANNED")&gt;0,"tied","standalone"),"")</f>
        <v/>
      </c>
    </row>
    <row r="2088" spans="1:14">
      <c r="A2088" s="6">
        <v>2023</v>
      </c>
      <c r="B2088" s="6">
        <v>10</v>
      </c>
      <c r="C2088" s="6" t="s">
        <v>69</v>
      </c>
      <c r="D2088" s="6" t="s">
        <v>448</v>
      </c>
      <c r="E2088" s="6" t="s">
        <v>449</v>
      </c>
      <c r="F2088" s="6" t="str">
        <f>IF($M2088="PADD I","PADD 1",IF($M2088="PADD II","PADD 2",IF($M2088="PADD III","PADD 3",IF($M2088="PADD IV","PADD 4",IF($M2088="PADD V","PADD 5","")))))</f>
        <v>PADD 3</v>
      </c>
      <c r="G2088" s="6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6" t="s">
        <v>44</v>
      </c>
      <c r="I2088" s="6" t="s">
        <v>1087</v>
      </c>
      <c r="J2088" s="6" t="s">
        <v>398</v>
      </c>
      <c r="K2088" s="10">
        <v>44.1</v>
      </c>
      <c r="L2088" s="10">
        <v>49</v>
      </c>
      <c r="M2088" s="6" t="s">
        <v>421</v>
      </c>
      <c r="N2088" s="6">
        <f>IF(OR($G2088="FCC",$G2088="Hydrocracker",$G2088="Reformer"),IF(COUNTIFS($D:$D,$D2088,$A:$A,$A2088,$B:$B,$B2088,$G:$G,"CDU",$J:$J,"PLANNED")&gt;0,"tied","standalone"),"")</f>
        <v/>
      </c>
    </row>
    <row r="2089" spans="1:14">
      <c r="A2089" s="6">
        <v>2023</v>
      </c>
      <c r="B2089" s="6">
        <v>10</v>
      </c>
      <c r="C2089" s="6" t="s">
        <v>69</v>
      </c>
      <c r="D2089" s="6" t="s">
        <v>458</v>
      </c>
      <c r="E2089" s="6" t="s">
        <v>459</v>
      </c>
      <c r="F2089" s="6" t="str">
        <f>IF($M2089="PADD I","PADD 1",IF($M2089="PADD II","PADD 2",IF($M2089="PADD III","PADD 3",IF($M2089="PADD IV","PADD 4",IF($M2089="PADD V","PADD 5","")))))</f>
        <v>PADD 3</v>
      </c>
      <c r="G2089" s="6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6" t="s">
        <v>426</v>
      </c>
      <c r="I2089" s="6" t="s">
        <v>476</v>
      </c>
      <c r="J2089" s="6" t="s">
        <v>398</v>
      </c>
      <c r="K2089" s="10">
        <v>44.08</v>
      </c>
      <c r="L2089" s="10">
        <v>76</v>
      </c>
      <c r="M2089" s="6" t="s">
        <v>421</v>
      </c>
      <c r="N2089" s="6" t="str">
        <f>IF(OR($G2089="FCC",$G2089="Hydrocracker",$G2089="Reformer"),IF(COUNTIFS($D:$D,$D2089,$A:$A,$A2089,$B:$B,$B2089,$G:$G,"CDU",$J:$J,"PLANNED")&gt;0,"tied","standalone"),"")</f>
        <v>tied</v>
      </c>
    </row>
    <row r="2090" spans="1:14">
      <c r="A2090" s="6">
        <v>2023</v>
      </c>
      <c r="B2090" s="6">
        <v>10</v>
      </c>
      <c r="C2090" s="6" t="s">
        <v>69</v>
      </c>
      <c r="D2090" s="6" t="s">
        <v>382</v>
      </c>
      <c r="E2090" s="6" t="s">
        <v>431</v>
      </c>
      <c r="F2090" s="6" t="str">
        <f>IF($M2090="PADD I","PADD 1",IF($M2090="PADD II","PADD 2",IF($M2090="PADD III","PADD 3",IF($M2090="PADD IV","PADD 4",IF($M2090="PADD V","PADD 5","")))))</f>
        <v>PADD 3</v>
      </c>
      <c r="G2090" s="6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6" t="s">
        <v>471</v>
      </c>
      <c r="I2090" s="6" t="s">
        <v>991</v>
      </c>
      <c r="J2090" s="6" t="s">
        <v>398</v>
      </c>
      <c r="K2090" s="10">
        <v>44</v>
      </c>
      <c r="L2090" s="10">
        <v>80</v>
      </c>
      <c r="M2090" s="6" t="s">
        <v>421</v>
      </c>
      <c r="N2090" s="6" t="str">
        <f>IF(OR($G2090="FCC",$G2090="Hydrocracker",$G2090="Reformer"),IF(COUNTIFS($D:$D,$D2090,$A:$A,$A2090,$B:$B,$B2090,$G:$G,"CDU",$J:$J,"PLANNED")&gt;0,"tied","standalone"),"")</f>
        <v>standalone</v>
      </c>
    </row>
    <row r="2091" spans="1:14">
      <c r="A2091" s="6">
        <v>2023</v>
      </c>
      <c r="B2091" s="6">
        <v>10</v>
      </c>
      <c r="C2091" s="6" t="s">
        <v>69</v>
      </c>
      <c r="D2091" s="6" t="s">
        <v>1088</v>
      </c>
      <c r="E2091" s="6" t="s">
        <v>1089</v>
      </c>
      <c r="F2091" s="6" t="str">
        <f>IF($M2091="PADD I","PADD 1",IF($M2091="PADD II","PADD 2",IF($M2091="PADD III","PADD 3",IF($M2091="PADD IV","PADD 4",IF($M2091="PADD V","PADD 5","")))))</f>
        <v>PADD 2</v>
      </c>
      <c r="G2091" s="6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6" t="s">
        <v>39</v>
      </c>
      <c r="I2091" s="6" t="s">
        <v>1090</v>
      </c>
      <c r="J2091" s="6" t="s">
        <v>398</v>
      </c>
      <c r="K2091" s="10">
        <v>42.75</v>
      </c>
      <c r="L2091" s="10">
        <v>95</v>
      </c>
      <c r="M2091" s="6" t="s">
        <v>425</v>
      </c>
      <c r="N2091" s="6">
        <f>IF(OR($G2091="FCC",$G2091="Hydrocracker",$G2091="Reformer"),IF(COUNTIFS($D:$D,$D2091,$A:$A,$A2091,$B:$B,$B2091,$G:$G,"CDU",$J:$J,"PLANNED")&gt;0,"tied","standalone"),"")</f>
        <v/>
      </c>
    </row>
    <row r="2092" spans="1:14">
      <c r="A2092" s="6">
        <v>2023</v>
      </c>
      <c r="B2092" s="6">
        <v>10</v>
      </c>
      <c r="C2092" s="6" t="s">
        <v>69</v>
      </c>
      <c r="D2092" s="6" t="s">
        <v>851</v>
      </c>
      <c r="E2092" s="6" t="s">
        <v>829</v>
      </c>
      <c r="F2092" s="6" t="str">
        <f>IF($M2092="PADD I","PADD 1",IF($M2092="PADD II","PADD 2",IF($M2092="PADD III","PADD 3",IF($M2092="PADD IV","PADD 4",IF($M2092="PADD V","PADD 5","")))))</f>
        <v>PADD 2</v>
      </c>
      <c r="G2092" s="6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6" t="s">
        <v>44</v>
      </c>
      <c r="I2092" s="6" t="s">
        <v>809</v>
      </c>
      <c r="J2092" s="6" t="s">
        <v>398</v>
      </c>
      <c r="K2092" s="10">
        <v>42</v>
      </c>
      <c r="L2092" s="10">
        <v>50</v>
      </c>
      <c r="M2092" s="6" t="s">
        <v>425</v>
      </c>
      <c r="N2092" s="6">
        <f>IF(OR($G2092="FCC",$G2092="Hydrocracker",$G2092="Reformer"),IF(COUNTIFS($D:$D,$D2092,$A:$A,$A2092,$B:$B,$B2092,$G:$G,"CDU",$J:$J,"PLANNED")&gt;0,"tied","standalone"),"")</f>
        <v/>
      </c>
    </row>
    <row r="2093" spans="1:14">
      <c r="A2093" s="6">
        <v>2023</v>
      </c>
      <c r="B2093" s="6">
        <v>10</v>
      </c>
      <c r="C2093" s="6" t="s">
        <v>69</v>
      </c>
      <c r="D2093" s="6" t="s">
        <v>465</v>
      </c>
      <c r="E2093" s="6" t="s">
        <v>466</v>
      </c>
      <c r="F2093" s="6" t="str">
        <f>IF($M2093="PADD I","PADD 1",IF($M2093="PADD II","PADD 2",IF($M2093="PADD III","PADD 3",IF($M2093="PADD IV","PADD 4",IF($M2093="PADD V","PADD 5","")))))</f>
        <v>PADD 3</v>
      </c>
      <c r="G2093" s="6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6" t="s">
        <v>426</v>
      </c>
      <c r="I2093" s="6" t="s">
        <v>1045</v>
      </c>
      <c r="J2093" s="6" t="s">
        <v>394</v>
      </c>
      <c r="K2093" s="10">
        <v>42</v>
      </c>
      <c r="L2093" s="10">
        <v>42</v>
      </c>
      <c r="M2093" s="6" t="s">
        <v>421</v>
      </c>
      <c r="N2093" s="6" t="str">
        <f>IF(OR($G2093="FCC",$G2093="Hydrocracker",$G2093="Reformer"),IF(COUNTIFS($D:$D,$D2093,$A:$A,$A2093,$B:$B,$B2093,$G:$G,"CDU",$J:$J,"PLANNED")&gt;0,"tied","standalone"),"")</f>
        <v>standalone</v>
      </c>
    </row>
    <row r="2094" spans="1:14">
      <c r="A2094" s="6">
        <v>2023</v>
      </c>
      <c r="B2094" s="6">
        <v>10</v>
      </c>
      <c r="C2094" s="6" t="s">
        <v>69</v>
      </c>
      <c r="D2094" s="6" t="s">
        <v>430</v>
      </c>
      <c r="E2094" s="6" t="s">
        <v>431</v>
      </c>
      <c r="F2094" s="6" t="str">
        <f>IF($M2094="PADD I","PADD 1",IF($M2094="PADD II","PADD 2",IF($M2094="PADD III","PADD 3",IF($M2094="PADD IV","PADD 4",IF($M2094="PADD V","PADD 5","")))))</f>
        <v>PADD 3</v>
      </c>
      <c r="G2094" s="6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6" t="s">
        <v>485</v>
      </c>
      <c r="I2094" s="6" t="s">
        <v>1036</v>
      </c>
      <c r="J2094" s="6" t="s">
        <v>398</v>
      </c>
      <c r="K2094" s="10">
        <v>40.5</v>
      </c>
      <c r="L2094" s="10">
        <v>45</v>
      </c>
      <c r="M2094" s="6" t="s">
        <v>421</v>
      </c>
      <c r="N2094" s="6">
        <f>IF(OR($G2094="FCC",$G2094="Hydrocracker",$G2094="Reformer"),IF(COUNTIFS($D:$D,$D2094,$A:$A,$A2094,$B:$B,$B2094,$G:$G,"CDU",$J:$J,"PLANNED")&gt;0,"tied","standalone"),"")</f>
        <v/>
      </c>
    </row>
    <row r="2095" spans="1:14">
      <c r="A2095" s="6">
        <v>2023</v>
      </c>
      <c r="B2095" s="6">
        <v>10</v>
      </c>
      <c r="C2095" s="6" t="s">
        <v>69</v>
      </c>
      <c r="D2095" s="6" t="s">
        <v>540</v>
      </c>
      <c r="E2095" s="6" t="s">
        <v>541</v>
      </c>
      <c r="F2095" s="6" t="str">
        <f>IF($M2095="PADD I","PADD 1",IF($M2095="PADD II","PADD 2",IF($M2095="PADD III","PADD 3",IF($M2095="PADD IV","PADD 4",IF($M2095="PADD V","PADD 5","")))))</f>
        <v>PADD 3</v>
      </c>
      <c r="G2095" s="6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6" t="s">
        <v>428</v>
      </c>
      <c r="I2095" s="6" t="s">
        <v>1070</v>
      </c>
      <c r="J2095" s="6" t="s">
        <v>398</v>
      </c>
      <c r="K2095" s="10">
        <v>40</v>
      </c>
      <c r="L2095" s="10">
        <v>40</v>
      </c>
      <c r="M2095" s="6" t="s">
        <v>421</v>
      </c>
      <c r="N2095" s="6">
        <f>IF(OR($G2095="FCC",$G2095="Hydrocracker",$G2095="Reformer"),IF(COUNTIFS($D:$D,$D2095,$A:$A,$A2095,$B:$B,$B2095,$G:$G,"CDU",$J:$J,"PLANNED")&gt;0,"tied","standalone"),"")</f>
        <v/>
      </c>
    </row>
    <row r="2096" spans="1:14">
      <c r="A2096" s="6">
        <v>2023</v>
      </c>
      <c r="B2096" s="6">
        <v>10</v>
      </c>
      <c r="C2096" s="6" t="s">
        <v>69</v>
      </c>
      <c r="D2096" s="6" t="s">
        <v>368</v>
      </c>
      <c r="E2096" s="6" t="s">
        <v>715</v>
      </c>
      <c r="F2096" s="6" t="str">
        <f>IF($M2096="PADD I","PADD 1",IF($M2096="PADD II","PADD 2",IF($M2096="PADD III","PADD 3",IF($M2096="PADD IV","PADD 4",IF($M2096="PADD V","PADD 5","")))))</f>
        <v>PADD 3</v>
      </c>
      <c r="G2096" s="6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6" t="s">
        <v>44</v>
      </c>
      <c r="I2096" s="6" t="s">
        <v>938</v>
      </c>
      <c r="J2096" s="6" t="s">
        <v>398</v>
      </c>
      <c r="K2096" s="10">
        <v>40</v>
      </c>
      <c r="L2096" s="10">
        <v>40</v>
      </c>
      <c r="M2096" s="6" t="s">
        <v>421</v>
      </c>
      <c r="N2096" s="6">
        <f>IF(OR($G2096="FCC",$G2096="Hydrocracker",$G2096="Reformer"),IF(COUNTIFS($D:$D,$D2096,$A:$A,$A2096,$B:$B,$B2096,$G:$G,"CDU",$J:$J,"PLANNED")&gt;0,"tied","standalone"),"")</f>
        <v/>
      </c>
    </row>
    <row r="2097" spans="1:14">
      <c r="A2097" s="6">
        <v>2023</v>
      </c>
      <c r="B2097" s="6">
        <v>10</v>
      </c>
      <c r="C2097" s="6" t="s">
        <v>69</v>
      </c>
      <c r="D2097" s="6" t="s">
        <v>41</v>
      </c>
      <c r="E2097" s="6" t="s">
        <v>786</v>
      </c>
      <c r="F2097" s="6" t="str">
        <f>IF($M2097="PADD I","PADD 1",IF($M2097="PADD II","PADD 2",IF($M2097="PADD III","PADD 3",IF($M2097="PADD IV","PADD 4",IF($M2097="PADD V","PADD 5","")))))</f>
        <v>PADD 1</v>
      </c>
      <c r="G2097" s="6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6" t="s">
        <v>44</v>
      </c>
      <c r="I2097" s="6" t="s">
        <v>1053</v>
      </c>
      <c r="J2097" s="6" t="s">
        <v>398</v>
      </c>
      <c r="K2097" s="10">
        <v>40</v>
      </c>
      <c r="L2097" s="10">
        <v>40</v>
      </c>
      <c r="M2097" s="6" t="s">
        <v>463</v>
      </c>
      <c r="N2097" s="6">
        <f>IF(OR($G2097="FCC",$G2097="Hydrocracker",$G2097="Reformer"),IF(COUNTIFS($D:$D,$D2097,$A:$A,$A2097,$B:$B,$B2097,$G:$G,"CDU",$J:$J,"PLANNED")&gt;0,"tied","standalone"),"")</f>
        <v/>
      </c>
    </row>
    <row r="2098" spans="1:14">
      <c r="A2098" s="6">
        <v>2023</v>
      </c>
      <c r="B2098" s="6">
        <v>10</v>
      </c>
      <c r="C2098" s="6" t="s">
        <v>69</v>
      </c>
      <c r="D2098" s="6" t="s">
        <v>368</v>
      </c>
      <c r="E2098" s="6" t="s">
        <v>715</v>
      </c>
      <c r="F2098" s="6" t="str">
        <f>IF($M2098="PADD I","PADD 1",IF($M2098="PADD II","PADD 2",IF($M2098="PADD III","PADD 3",IF($M2098="PADD IV","PADD 4",IF($M2098="PADD V","PADD 5","")))))</f>
        <v>PADD 3</v>
      </c>
      <c r="G2098" s="6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6" t="s">
        <v>471</v>
      </c>
      <c r="I2098" s="6" t="s">
        <v>939</v>
      </c>
      <c r="J2098" s="6" t="s">
        <v>398</v>
      </c>
      <c r="K2098" s="10">
        <v>40</v>
      </c>
      <c r="L2098" s="10">
        <v>40</v>
      </c>
      <c r="M2098" s="6" t="s">
        <v>421</v>
      </c>
      <c r="N2098" s="6" t="str">
        <f>IF(OR($G2098="FCC",$G2098="Hydrocracker",$G2098="Reformer"),IF(COUNTIFS($D:$D,$D2098,$A:$A,$A2098,$B:$B,$B2098,$G:$G,"CDU",$J:$J,"PLANNED")&gt;0,"tied","standalone"),"")</f>
        <v>tied</v>
      </c>
    </row>
    <row r="2099" spans="1:14">
      <c r="A2099" s="6">
        <v>2023</v>
      </c>
      <c r="B2099" s="6">
        <v>10</v>
      </c>
      <c r="C2099" s="6" t="s">
        <v>69</v>
      </c>
      <c r="D2099" s="6" t="s">
        <v>851</v>
      </c>
      <c r="E2099" s="6" t="s">
        <v>829</v>
      </c>
      <c r="F2099" s="6" t="str">
        <f>IF($M2099="PADD I","PADD 1",IF($M2099="PADD II","PADD 2",IF($M2099="PADD III","PADD 3",IF($M2099="PADD IV","PADD 4",IF($M2099="PADD V","PADD 5","")))))</f>
        <v>PADD 2</v>
      </c>
      <c r="G2099" s="6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6" t="s">
        <v>44</v>
      </c>
      <c r="I2099" s="6" t="s">
        <v>1038</v>
      </c>
      <c r="J2099" s="6" t="s">
        <v>398</v>
      </c>
      <c r="K2099" s="10">
        <v>39.48</v>
      </c>
      <c r="L2099" s="10">
        <v>47</v>
      </c>
      <c r="M2099" s="6" t="s">
        <v>425</v>
      </c>
      <c r="N2099" s="6">
        <f>IF(OR($G2099="FCC",$G2099="Hydrocracker",$G2099="Reformer"),IF(COUNTIFS($D:$D,$D2099,$A:$A,$A2099,$B:$B,$B2099,$G:$G,"CDU",$J:$J,"PLANNED")&gt;0,"tied","standalone"),"")</f>
        <v/>
      </c>
    </row>
    <row r="2100" spans="1:14">
      <c r="A2100" s="6">
        <v>2023</v>
      </c>
      <c r="B2100" s="6">
        <v>10</v>
      </c>
      <c r="C2100" s="6" t="s">
        <v>69</v>
      </c>
      <c r="D2100" s="6" t="s">
        <v>496</v>
      </c>
      <c r="E2100" s="6" t="s">
        <v>441</v>
      </c>
      <c r="F2100" s="6" t="str">
        <f>IF($M2100="PADD I","PADD 1",IF($M2100="PADD II","PADD 2",IF($M2100="PADD III","PADD 3",IF($M2100="PADD IV","PADD 4",IF($M2100="PADD V","PADD 5","")))))</f>
        <v>PADD 3</v>
      </c>
      <c r="G2100" s="6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6" t="s">
        <v>428</v>
      </c>
      <c r="I2100" s="6" t="s">
        <v>1091</v>
      </c>
      <c r="J2100" s="6" t="s">
        <v>394</v>
      </c>
      <c r="K2100" s="10">
        <v>38.54</v>
      </c>
      <c r="L2100" s="10">
        <v>41</v>
      </c>
      <c r="M2100" s="6" t="s">
        <v>421</v>
      </c>
      <c r="N2100" s="6">
        <f>IF(OR($G2100="FCC",$G2100="Hydrocracker",$G2100="Reformer"),IF(COUNTIFS($D:$D,$D2100,$A:$A,$A2100,$B:$B,$B2100,$G:$G,"CDU",$J:$J,"PLANNED")&gt;0,"tied","standalone"),"")</f>
        <v/>
      </c>
    </row>
    <row r="2101" spans="1:14">
      <c r="A2101" s="6">
        <v>2023</v>
      </c>
      <c r="B2101" s="6">
        <v>10</v>
      </c>
      <c r="C2101" s="6" t="s">
        <v>69</v>
      </c>
      <c r="D2101" s="6" t="s">
        <v>465</v>
      </c>
      <c r="E2101" s="6" t="s">
        <v>466</v>
      </c>
      <c r="F2101" s="6" t="str">
        <f>IF($M2101="PADD I","PADD 1",IF($M2101="PADD II","PADD 2",IF($M2101="PADD III","PADD 3",IF($M2101="PADD IV","PADD 4",IF($M2101="PADD V","PADD 5","")))))</f>
        <v>PADD 3</v>
      </c>
      <c r="G2101" s="6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6" t="s">
        <v>44</v>
      </c>
      <c r="I2101" s="6" t="s">
        <v>1055</v>
      </c>
      <c r="J2101" s="6" t="s">
        <v>398</v>
      </c>
      <c r="K2101" s="10">
        <v>38</v>
      </c>
      <c r="L2101" s="10">
        <v>38</v>
      </c>
      <c r="M2101" s="6" t="s">
        <v>421</v>
      </c>
      <c r="N2101" s="6">
        <f>IF(OR($G2101="FCC",$G2101="Hydrocracker",$G2101="Reformer"),IF(COUNTIFS($D:$D,$D2101,$A:$A,$A2101,$B:$B,$B2101,$G:$G,"CDU",$J:$J,"PLANNED")&gt;0,"tied","standalone"),"")</f>
        <v/>
      </c>
    </row>
    <row r="2102" spans="1:14">
      <c r="A2102" s="6">
        <v>2023</v>
      </c>
      <c r="B2102" s="6">
        <v>10</v>
      </c>
      <c r="C2102" s="6" t="s">
        <v>69</v>
      </c>
      <c r="D2102" s="6" t="s">
        <v>851</v>
      </c>
      <c r="E2102" s="6" t="s">
        <v>829</v>
      </c>
      <c r="F2102" s="6" t="str">
        <f>IF($M2102="PADD I","PADD 1",IF($M2102="PADD II","PADD 2",IF($M2102="PADD III","PADD 3",IF($M2102="PADD IV","PADD 4",IF($M2102="PADD V","PADD 5","")))))</f>
        <v>PADD 2</v>
      </c>
      <c r="G2102" s="6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6" t="s">
        <v>44</v>
      </c>
      <c r="I2102" s="6" t="s">
        <v>1040</v>
      </c>
      <c r="J2102" s="6" t="s">
        <v>398</v>
      </c>
      <c r="K2102" s="10">
        <v>37.8</v>
      </c>
      <c r="L2102" s="10">
        <v>45</v>
      </c>
      <c r="M2102" s="6" t="s">
        <v>425</v>
      </c>
      <c r="N2102" s="6">
        <f>IF(OR($G2102="FCC",$G2102="Hydrocracker",$G2102="Reformer"),IF(COUNTIFS($D:$D,$D2102,$A:$A,$A2102,$B:$B,$B2102,$G:$G,"CDU",$J:$J,"PLANNED")&gt;0,"tied","standalone"),"")</f>
        <v/>
      </c>
    </row>
    <row r="2103" spans="1:14">
      <c r="A2103" s="6">
        <v>2023</v>
      </c>
      <c r="B2103" s="6">
        <v>10</v>
      </c>
      <c r="C2103" s="6" t="s">
        <v>69</v>
      </c>
      <c r="D2103" s="6" t="s">
        <v>851</v>
      </c>
      <c r="E2103" s="6" t="s">
        <v>829</v>
      </c>
      <c r="F2103" s="6" t="str">
        <f>IF($M2103="PADD I","PADD 1",IF($M2103="PADD II","PADD 2",IF($M2103="PADD III","PADD 3",IF($M2103="PADD IV","PADD 4",IF($M2103="PADD V","PADD 5","")))))</f>
        <v>PADD 2</v>
      </c>
      <c r="G2103" s="6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6" t="s">
        <v>44</v>
      </c>
      <c r="I2103" s="6" t="s">
        <v>1041</v>
      </c>
      <c r="J2103" s="6" t="s">
        <v>398</v>
      </c>
      <c r="K2103" s="10">
        <v>37.8</v>
      </c>
      <c r="L2103" s="10">
        <v>45</v>
      </c>
      <c r="M2103" s="6" t="s">
        <v>425</v>
      </c>
      <c r="N2103" s="6">
        <f>IF(OR($G2103="FCC",$G2103="Hydrocracker",$G2103="Reformer"),IF(COUNTIFS($D:$D,$D2103,$A:$A,$A2103,$B:$B,$B2103,$G:$G,"CDU",$J:$J,"PLANNED")&gt;0,"tied","standalone"),"")</f>
        <v/>
      </c>
    </row>
    <row r="2104" spans="1:14">
      <c r="A2104" s="6">
        <v>2023</v>
      </c>
      <c r="B2104" s="6">
        <v>10</v>
      </c>
      <c r="C2104" s="6" t="s">
        <v>69</v>
      </c>
      <c r="D2104" s="6" t="s">
        <v>484</v>
      </c>
      <c r="E2104" s="6" t="s">
        <v>438</v>
      </c>
      <c r="F2104" s="6" t="str">
        <f>IF($M2104="PADD I","PADD 1",IF($M2104="PADD II","PADD 2",IF($M2104="PADD III","PADD 3",IF($M2104="PADD IV","PADD 4",IF($M2104="PADD V","PADD 5","")))))</f>
        <v>PADD 5</v>
      </c>
      <c r="G2104" s="6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6" t="s">
        <v>485</v>
      </c>
      <c r="I2104" s="6" t="s">
        <v>486</v>
      </c>
      <c r="J2104" s="6" t="s">
        <v>394</v>
      </c>
      <c r="K2104" s="10">
        <v>37.8</v>
      </c>
      <c r="L2104" s="10">
        <v>42</v>
      </c>
      <c r="M2104" s="6" t="s">
        <v>436</v>
      </c>
      <c r="N2104" s="6">
        <f>IF(OR($G2104="FCC",$G2104="Hydrocracker",$G2104="Reformer"),IF(COUNTIFS($D:$D,$D2104,$A:$A,$A2104,$B:$B,$B2104,$G:$G,"CDU",$J:$J,"PLANNED")&gt;0,"tied","standalone"),"")</f>
        <v/>
      </c>
    </row>
    <row r="2105" spans="1:14">
      <c r="A2105" s="6">
        <v>2023</v>
      </c>
      <c r="B2105" s="6">
        <v>10</v>
      </c>
      <c r="C2105" s="6" t="s">
        <v>69</v>
      </c>
      <c r="D2105" s="6" t="s">
        <v>851</v>
      </c>
      <c r="E2105" s="6" t="s">
        <v>829</v>
      </c>
      <c r="F2105" s="6" t="str">
        <f>IF($M2105="PADD I","PADD 1",IF($M2105="PADD II","PADD 2",IF($M2105="PADD III","PADD 3",IF($M2105="PADD IV","PADD 4",IF($M2105="PADD V","PADD 5","")))))</f>
        <v>PADD 2</v>
      </c>
      <c r="G2105" s="6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6" t="s">
        <v>494</v>
      </c>
      <c r="I2105" s="6" t="s">
        <v>1042</v>
      </c>
      <c r="J2105" s="6" t="s">
        <v>398</v>
      </c>
      <c r="K2105" s="10">
        <v>36.96</v>
      </c>
      <c r="L2105" s="10">
        <v>44</v>
      </c>
      <c r="M2105" s="6" t="s">
        <v>425</v>
      </c>
      <c r="N2105" s="6" t="str">
        <f>IF(OR($G2105="FCC",$G2105="Hydrocracker",$G2105="Reformer"),IF(COUNTIFS($D:$D,$D2105,$A:$A,$A2105,$B:$B,$B2105,$G:$G,"CDU",$J:$J,"PLANNED")&gt;0,"tied","standalone"),"")</f>
        <v>tied</v>
      </c>
    </row>
    <row r="2106" spans="1:14">
      <c r="A2106" s="6">
        <v>2023</v>
      </c>
      <c r="B2106" s="6">
        <v>10</v>
      </c>
      <c r="C2106" s="6" t="s">
        <v>69</v>
      </c>
      <c r="D2106" s="6" t="s">
        <v>835</v>
      </c>
      <c r="E2106" s="6" t="s">
        <v>829</v>
      </c>
      <c r="F2106" s="6" t="str">
        <f>IF($M2106="PADD I","PADD 1",IF($M2106="PADD II","PADD 2",IF($M2106="PADD III","PADD 3",IF($M2106="PADD IV","PADD 4",IF($M2106="PADD V","PADD 5","")))))</f>
        <v>PADD 2</v>
      </c>
      <c r="G2106" s="6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6" t="s">
        <v>428</v>
      </c>
      <c r="I2106" s="6" t="s">
        <v>836</v>
      </c>
      <c r="J2106" s="6" t="s">
        <v>394</v>
      </c>
      <c r="K2106" s="10">
        <v>36.134</v>
      </c>
      <c r="L2106" s="10">
        <v>62.3</v>
      </c>
      <c r="M2106" s="6" t="s">
        <v>425</v>
      </c>
      <c r="N2106" s="6">
        <f>IF(OR($G2106="FCC",$G2106="Hydrocracker",$G2106="Reformer"),IF(COUNTIFS($D:$D,$D2106,$A:$A,$A2106,$B:$B,$B2106,$G:$G,"CDU",$J:$J,"PLANNED")&gt;0,"tied","standalone"),"")</f>
        <v/>
      </c>
    </row>
    <row r="2107" spans="1:14">
      <c r="A2107" s="6">
        <v>2023</v>
      </c>
      <c r="B2107" s="6">
        <v>10</v>
      </c>
      <c r="C2107" s="6" t="s">
        <v>69</v>
      </c>
      <c r="D2107" s="6" t="s">
        <v>712</v>
      </c>
      <c r="E2107" s="6" t="s">
        <v>602</v>
      </c>
      <c r="F2107" s="6" t="str">
        <f>IF($M2107="PADD I","PADD 1",IF($M2107="PADD II","PADD 2",IF($M2107="PADD III","PADD 3",IF($M2107="PADD IV","PADD 4",IF($M2107="PADD V","PADD 5","")))))</f>
        <v>PADD 3</v>
      </c>
      <c r="G2107" s="6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6" t="s">
        <v>39</v>
      </c>
      <c r="I2107" s="6" t="s">
        <v>713</v>
      </c>
      <c r="J2107" s="6" t="s">
        <v>398</v>
      </c>
      <c r="K2107" s="10">
        <v>35.04</v>
      </c>
      <c r="L2107" s="10">
        <v>73</v>
      </c>
      <c r="M2107" s="6" t="s">
        <v>421</v>
      </c>
      <c r="N2107" s="6">
        <f>IF(OR($G2107="FCC",$G2107="Hydrocracker",$G2107="Reformer"),IF(COUNTIFS($D:$D,$D2107,$A:$A,$A2107,$B:$B,$B2107,$G:$G,"CDU",$J:$J,"PLANNED")&gt;0,"tied","standalone"),"")</f>
        <v/>
      </c>
    </row>
    <row r="2108" spans="1:14">
      <c r="A2108" s="6">
        <v>2023</v>
      </c>
      <c r="B2108" s="6">
        <v>10</v>
      </c>
      <c r="C2108" s="6" t="s">
        <v>69</v>
      </c>
      <c r="D2108" s="6" t="s">
        <v>652</v>
      </c>
      <c r="E2108" s="6" t="s">
        <v>419</v>
      </c>
      <c r="F2108" s="6" t="str">
        <f>IF($M2108="PADD I","PADD 1",IF($M2108="PADD II","PADD 2",IF($M2108="PADD III","PADD 3",IF($M2108="PADD IV","PADD 4",IF($M2108="PADD V","PADD 5","")))))</f>
        <v>PADD 2</v>
      </c>
      <c r="G2108" s="6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6" t="s">
        <v>44</v>
      </c>
      <c r="I2108" s="6" t="s">
        <v>1043</v>
      </c>
      <c r="J2108" s="6" t="s">
        <v>398</v>
      </c>
      <c r="K2108" s="10">
        <v>35</v>
      </c>
      <c r="L2108" s="10">
        <v>35</v>
      </c>
      <c r="M2108" s="6" t="s">
        <v>425</v>
      </c>
      <c r="N2108" s="6">
        <f>IF(OR($G2108="FCC",$G2108="Hydrocracker",$G2108="Reformer"),IF(COUNTIFS($D:$D,$D2108,$A:$A,$A2108,$B:$B,$B2108,$G:$G,"CDU",$J:$J,"PLANNED")&gt;0,"tied","standalone"),"")</f>
        <v/>
      </c>
    </row>
    <row r="2109" spans="1:14">
      <c r="A2109" s="6">
        <v>2023</v>
      </c>
      <c r="B2109" s="6">
        <v>10</v>
      </c>
      <c r="C2109" s="6" t="s">
        <v>69</v>
      </c>
      <c r="D2109" s="6" t="s">
        <v>496</v>
      </c>
      <c r="E2109" s="6" t="s">
        <v>441</v>
      </c>
      <c r="F2109" s="6" t="str">
        <f>IF($M2109="PADD I","PADD 1",IF($M2109="PADD II","PADD 2",IF($M2109="PADD III","PADD 3",IF($M2109="PADD IV","PADD 4",IF($M2109="PADD V","PADD 5","")))))</f>
        <v>PADD 3</v>
      </c>
      <c r="G2109" s="6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6" t="s">
        <v>44</v>
      </c>
      <c r="I2109" s="6" t="s">
        <v>497</v>
      </c>
      <c r="J2109" s="6" t="s">
        <v>398</v>
      </c>
      <c r="K2109" s="10">
        <v>35</v>
      </c>
      <c r="L2109" s="10">
        <v>35</v>
      </c>
      <c r="M2109" s="6" t="s">
        <v>421</v>
      </c>
      <c r="N2109" s="6">
        <f>IF(OR($G2109="FCC",$G2109="Hydrocracker",$G2109="Reformer"),IF(COUNTIFS($D:$D,$D2109,$A:$A,$A2109,$B:$B,$B2109,$G:$G,"CDU",$J:$J,"PLANNED")&gt;0,"tied","standalone"),"")</f>
        <v/>
      </c>
    </row>
    <row r="2110" spans="1:14">
      <c r="A2110" s="6">
        <v>2023</v>
      </c>
      <c r="B2110" s="6">
        <v>10</v>
      </c>
      <c r="C2110" s="6" t="s">
        <v>69</v>
      </c>
      <c r="D2110" s="6" t="s">
        <v>498</v>
      </c>
      <c r="E2110" s="6" t="s">
        <v>441</v>
      </c>
      <c r="F2110" s="6" t="str">
        <f>IF($M2110="PADD I","PADD 1",IF($M2110="PADD II","PADD 2",IF($M2110="PADD III","PADD 3",IF($M2110="PADD IV","PADD 4",IF($M2110="PADD V","PADD 5","")))))</f>
        <v>PADD 3</v>
      </c>
      <c r="G2110" s="6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6" t="s">
        <v>44</v>
      </c>
      <c r="I2110" s="6" t="s">
        <v>499</v>
      </c>
      <c r="J2110" s="6" t="s">
        <v>394</v>
      </c>
      <c r="K2110" s="10">
        <v>35</v>
      </c>
      <c r="L2110" s="10">
        <v>35</v>
      </c>
      <c r="M2110" s="6" t="s">
        <v>421</v>
      </c>
      <c r="N2110" s="6">
        <f>IF(OR($G2110="FCC",$G2110="Hydrocracker",$G2110="Reformer"),IF(COUNTIFS($D:$D,$D2110,$A:$A,$A2110,$B:$B,$B2110,$G:$G,"CDU",$J:$J,"PLANNED")&gt;0,"tied","standalone"),"")</f>
        <v/>
      </c>
    </row>
    <row r="2111" spans="1:14">
      <c r="A2111" s="6">
        <v>2023</v>
      </c>
      <c r="B2111" s="6">
        <v>10</v>
      </c>
      <c r="C2111" s="6" t="s">
        <v>69</v>
      </c>
      <c r="D2111" s="6" t="s">
        <v>592</v>
      </c>
      <c r="E2111" s="6" t="s">
        <v>593</v>
      </c>
      <c r="F2111" s="6" t="str">
        <f>IF($M2111="PADD I","PADD 1",IF($M2111="PADD II","PADD 2",IF($M2111="PADD III","PADD 3",IF($M2111="PADD IV","PADD 4",IF($M2111="PADD V","PADD 5","")))))</f>
        <v>PADD 2</v>
      </c>
      <c r="G2111" s="6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6" t="s">
        <v>44</v>
      </c>
      <c r="I2111" s="6" t="s">
        <v>1056</v>
      </c>
      <c r="J2111" s="6" t="s">
        <v>398</v>
      </c>
      <c r="K2111" s="10">
        <v>34.92</v>
      </c>
      <c r="L2111" s="10">
        <v>36</v>
      </c>
      <c r="M2111" s="6" t="s">
        <v>425</v>
      </c>
      <c r="N2111" s="6">
        <f>IF(OR($G2111="FCC",$G2111="Hydrocracker",$G2111="Reformer"),IF(COUNTIFS($D:$D,$D2111,$A:$A,$A2111,$B:$B,$B2111,$G:$G,"CDU",$J:$J,"PLANNED")&gt;0,"tied","standalone"),"")</f>
        <v/>
      </c>
    </row>
    <row r="2112" spans="1:14">
      <c r="A2112" s="6">
        <v>2023</v>
      </c>
      <c r="B2112" s="6">
        <v>10</v>
      </c>
      <c r="C2112" s="6" t="s">
        <v>69</v>
      </c>
      <c r="D2112" s="6" t="s">
        <v>458</v>
      </c>
      <c r="E2112" s="6" t="s">
        <v>459</v>
      </c>
      <c r="F2112" s="6" t="str">
        <f>IF($M2112="PADD I","PADD 1",IF($M2112="PADD II","PADD 2",IF($M2112="PADD III","PADD 3",IF($M2112="PADD IV","PADD 4",IF($M2112="PADD V","PADD 5","")))))</f>
        <v>PADD 3</v>
      </c>
      <c r="G2112" s="6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6" t="s">
        <v>428</v>
      </c>
      <c r="I2112" s="6" t="s">
        <v>539</v>
      </c>
      <c r="J2112" s="6" t="s">
        <v>398</v>
      </c>
      <c r="K2112" s="10">
        <v>34.8</v>
      </c>
      <c r="L2112" s="10">
        <v>60</v>
      </c>
      <c r="M2112" s="6" t="s">
        <v>421</v>
      </c>
      <c r="N2112" s="6">
        <f>IF(OR($G2112="FCC",$G2112="Hydrocracker",$G2112="Reformer"),IF(COUNTIFS($D:$D,$D2112,$A:$A,$A2112,$B:$B,$B2112,$G:$G,"CDU",$J:$J,"PLANNED")&gt;0,"tied","standalone"),"")</f>
        <v/>
      </c>
    </row>
    <row r="2113" spans="1:14">
      <c r="A2113" s="6">
        <v>2023</v>
      </c>
      <c r="B2113" s="6">
        <v>10</v>
      </c>
      <c r="C2113" s="6" t="s">
        <v>69</v>
      </c>
      <c r="D2113" s="6" t="s">
        <v>518</v>
      </c>
      <c r="E2113" s="6" t="s">
        <v>419</v>
      </c>
      <c r="F2113" s="6" t="str">
        <f>IF($M2113="PADD I","PADD 1",IF($M2113="PADD II","PADD 2",IF($M2113="PADD III","PADD 3",IF($M2113="PADD IV","PADD 4",IF($M2113="PADD V","PADD 5","")))))</f>
        <v>PADD 3</v>
      </c>
      <c r="G2113" s="6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6" t="s">
        <v>44</v>
      </c>
      <c r="I2113" s="6" t="s">
        <v>1078</v>
      </c>
      <c r="J2113" s="6" t="s">
        <v>398</v>
      </c>
      <c r="K2113" s="10">
        <v>34</v>
      </c>
      <c r="L2113" s="10">
        <v>34</v>
      </c>
      <c r="M2113" s="6" t="s">
        <v>421</v>
      </c>
      <c r="N2113" s="6">
        <f>IF(OR($G2113="FCC",$G2113="Hydrocracker",$G2113="Reformer"),IF(COUNTIFS($D:$D,$D2113,$A:$A,$A2113,$B:$B,$B2113,$G:$G,"CDU",$J:$J,"PLANNED")&gt;0,"tied","standalone"),"")</f>
        <v/>
      </c>
    </row>
    <row r="2114" spans="1:14">
      <c r="A2114" s="6">
        <v>2023</v>
      </c>
      <c r="B2114" s="6">
        <v>10</v>
      </c>
      <c r="C2114" s="6" t="s">
        <v>69</v>
      </c>
      <c r="D2114" s="6" t="s">
        <v>465</v>
      </c>
      <c r="E2114" s="6" t="s">
        <v>466</v>
      </c>
      <c r="F2114" s="6" t="str">
        <f>IF($M2114="PADD I","PADD 1",IF($M2114="PADD II","PADD 2",IF($M2114="PADD III","PADD 3",IF($M2114="PADD IV","PADD 4",IF($M2114="PADD V","PADD 5","")))))</f>
        <v>PADD 3</v>
      </c>
      <c r="G2114" s="6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6" t="s">
        <v>485</v>
      </c>
      <c r="I2114" s="6" t="s">
        <v>503</v>
      </c>
      <c r="J2114" s="6" t="s">
        <v>394</v>
      </c>
      <c r="K2114" s="10">
        <v>34</v>
      </c>
      <c r="L2114" s="10">
        <v>34</v>
      </c>
      <c r="M2114" s="6" t="s">
        <v>421</v>
      </c>
      <c r="N2114" s="6">
        <f>IF(OR($G2114="FCC",$G2114="Hydrocracker",$G2114="Reformer"),IF(COUNTIFS($D:$D,$D2114,$A:$A,$A2114,$B:$B,$B2114,$G:$G,"CDU",$J:$J,"PLANNED")&gt;0,"tied","standalone"),"")</f>
        <v/>
      </c>
    </row>
    <row r="2115" spans="1:14">
      <c r="A2115" s="6">
        <v>2023</v>
      </c>
      <c r="B2115" s="6">
        <v>10</v>
      </c>
      <c r="C2115" s="6" t="s">
        <v>69</v>
      </c>
      <c r="D2115" s="6" t="s">
        <v>465</v>
      </c>
      <c r="E2115" s="6" t="s">
        <v>466</v>
      </c>
      <c r="F2115" s="6" t="str">
        <f>IF($M2115="PADD I","PADD 1",IF($M2115="PADD II","PADD 2",IF($M2115="PADD III","PADD 3",IF($M2115="PADD IV","PADD 4",IF($M2115="PADD V","PADD 5","")))))</f>
        <v>PADD 3</v>
      </c>
      <c r="G2115" s="6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6" t="s">
        <v>485</v>
      </c>
      <c r="I2115" s="6" t="s">
        <v>503</v>
      </c>
      <c r="J2115" s="6" t="s">
        <v>394</v>
      </c>
      <c r="K2115" s="10">
        <v>34</v>
      </c>
      <c r="L2115" s="10">
        <v>34</v>
      </c>
      <c r="M2115" s="6" t="s">
        <v>421</v>
      </c>
      <c r="N2115" s="6">
        <f>IF(OR($G2115="FCC",$G2115="Hydrocracker",$G2115="Reformer"),IF(COUNTIFS($D:$D,$D2115,$A:$A,$A2115,$B:$B,$B2115,$G:$G,"CDU",$J:$J,"PLANNED")&gt;0,"tied","standalone"),"")</f>
        <v/>
      </c>
    </row>
    <row r="2116" spans="1:14">
      <c r="A2116" s="6">
        <v>2023</v>
      </c>
      <c r="B2116" s="6">
        <v>10</v>
      </c>
      <c r="C2116" s="6" t="s">
        <v>69</v>
      </c>
      <c r="D2116" s="6" t="s">
        <v>851</v>
      </c>
      <c r="E2116" s="6" t="s">
        <v>829</v>
      </c>
      <c r="F2116" s="6" t="str">
        <f>IF($M2116="PADD I","PADD 1",IF($M2116="PADD II","PADD 2",IF($M2116="PADD III","PADD 3",IF($M2116="PADD IV","PADD 4",IF($M2116="PADD V","PADD 5","")))))</f>
        <v>PADD 2</v>
      </c>
      <c r="G2116" s="6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6" t="s">
        <v>44</v>
      </c>
      <c r="I2116" s="6" t="s">
        <v>1046</v>
      </c>
      <c r="J2116" s="6" t="s">
        <v>398</v>
      </c>
      <c r="K2116" s="10">
        <v>33.6</v>
      </c>
      <c r="L2116" s="10">
        <v>40</v>
      </c>
      <c r="M2116" s="6" t="s">
        <v>425</v>
      </c>
      <c r="N2116" s="6">
        <f>IF(OR($G2116="FCC",$G2116="Hydrocracker",$G2116="Reformer"),IF(COUNTIFS($D:$D,$D2116,$A:$A,$A2116,$B:$B,$B2116,$G:$G,"CDU",$J:$J,"PLANNED")&gt;0,"tied","standalone"),"")</f>
        <v/>
      </c>
    </row>
    <row r="2117" spans="1:14">
      <c r="A2117" s="6">
        <v>2023</v>
      </c>
      <c r="B2117" s="6">
        <v>10</v>
      </c>
      <c r="C2117" s="6" t="s">
        <v>69</v>
      </c>
      <c r="D2117" s="6" t="s">
        <v>382</v>
      </c>
      <c r="E2117" s="6" t="s">
        <v>431</v>
      </c>
      <c r="F2117" s="6" t="str">
        <f>IF($M2117="PADD I","PADD 1",IF($M2117="PADD II","PADD 2",IF($M2117="PADD III","PADD 3",IF($M2117="PADD IV","PADD 4",IF($M2117="PADD V","PADD 5","")))))</f>
        <v>PADD 3</v>
      </c>
      <c r="G2117" s="6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6" t="s">
        <v>471</v>
      </c>
      <c r="I2117" s="6" t="s">
        <v>598</v>
      </c>
      <c r="J2117" s="6" t="s">
        <v>394</v>
      </c>
      <c r="K2117" s="10">
        <v>33.6</v>
      </c>
      <c r="L2117" s="10">
        <v>80</v>
      </c>
      <c r="M2117" s="6" t="s">
        <v>421</v>
      </c>
      <c r="N2117" s="6" t="str">
        <f>IF(OR($G2117="FCC",$G2117="Hydrocracker",$G2117="Reformer"),IF(COUNTIFS($D:$D,$D2117,$A:$A,$A2117,$B:$B,$B2117,$G:$G,"CDU",$J:$J,"PLANNED")&gt;0,"tied","standalone"),"")</f>
        <v>standalone</v>
      </c>
    </row>
    <row r="2118" spans="1:14">
      <c r="A2118" s="6">
        <v>2023</v>
      </c>
      <c r="B2118" s="6">
        <v>10</v>
      </c>
      <c r="C2118" s="6" t="s">
        <v>69</v>
      </c>
      <c r="D2118" s="6" t="s">
        <v>445</v>
      </c>
      <c r="E2118" s="6" t="s">
        <v>446</v>
      </c>
      <c r="F2118" s="6" t="str">
        <f>IF($M2118="PADD I","PADD 1",IF($M2118="PADD II","PADD 2",IF($M2118="PADD III","PADD 3",IF($M2118="PADD IV","PADD 4",IF($M2118="PADD V","PADD 5","")))))</f>
        <v>PADD 3</v>
      </c>
      <c r="G2118" s="6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6" t="s">
        <v>428</v>
      </c>
      <c r="I2118" s="6" t="s">
        <v>524</v>
      </c>
      <c r="J2118" s="6" t="s">
        <v>394</v>
      </c>
      <c r="K2118" s="10">
        <v>33.35</v>
      </c>
      <c r="L2118" s="10">
        <v>115</v>
      </c>
      <c r="M2118" s="6" t="s">
        <v>421</v>
      </c>
      <c r="N2118" s="6">
        <f>IF(OR($G2118="FCC",$G2118="Hydrocracker",$G2118="Reformer"),IF(COUNTIFS($D:$D,$D2118,$A:$A,$A2118,$B:$B,$B2118,$G:$G,"CDU",$J:$J,"PLANNED")&gt;0,"tied","standalone"),"")</f>
        <v/>
      </c>
    </row>
    <row r="2119" spans="1:14">
      <c r="A2119" s="6">
        <v>2023</v>
      </c>
      <c r="B2119" s="6">
        <v>10</v>
      </c>
      <c r="C2119" s="6" t="s">
        <v>69</v>
      </c>
      <c r="D2119" s="6" t="s">
        <v>373</v>
      </c>
      <c r="E2119" s="6" t="s">
        <v>438</v>
      </c>
      <c r="F2119" s="6" t="str">
        <f>IF($M2119="PADD I","PADD 1",IF($M2119="PADD II","PADD 2",IF($M2119="PADD III","PADD 3",IF($M2119="PADD IV","PADD 4",IF($M2119="PADD V","PADD 5","")))))</f>
        <v>PADD 3</v>
      </c>
      <c r="G2119" s="6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6" t="s">
        <v>44</v>
      </c>
      <c r="I2119" s="6" t="s">
        <v>998</v>
      </c>
      <c r="J2119" s="6" t="s">
        <v>398</v>
      </c>
      <c r="K2119" s="10">
        <v>32.9</v>
      </c>
      <c r="L2119" s="10">
        <v>94</v>
      </c>
      <c r="M2119" s="6" t="s">
        <v>421</v>
      </c>
      <c r="N2119" s="6">
        <f>IF(OR($G2119="FCC",$G2119="Hydrocracker",$G2119="Reformer"),IF(COUNTIFS($D:$D,$D2119,$A:$A,$A2119,$B:$B,$B2119,$G:$G,"CDU",$J:$J,"PLANNED")&gt;0,"tied","standalone"),"")</f>
        <v/>
      </c>
    </row>
    <row r="2120" spans="1:14">
      <c r="A2120" s="6">
        <v>2023</v>
      </c>
      <c r="B2120" s="6">
        <v>10</v>
      </c>
      <c r="C2120" s="6" t="s">
        <v>69</v>
      </c>
      <c r="D2120" s="6" t="s">
        <v>592</v>
      </c>
      <c r="E2120" s="6" t="s">
        <v>593</v>
      </c>
      <c r="F2120" s="6" t="str">
        <f>IF($M2120="PADD I","PADD 1",IF($M2120="PADD II","PADD 2",IF($M2120="PADD III","PADD 3",IF($M2120="PADD IV","PADD 4",IF($M2120="PADD V","PADD 5","")))))</f>
        <v>PADD 2</v>
      </c>
      <c r="G2120" s="6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6" t="s">
        <v>485</v>
      </c>
      <c r="I2120" s="6" t="s">
        <v>491</v>
      </c>
      <c r="J2120" s="6" t="s">
        <v>398</v>
      </c>
      <c r="K2120" s="10">
        <v>32.6502</v>
      </c>
      <c r="L2120" s="10">
        <v>33.66</v>
      </c>
      <c r="M2120" s="6" t="s">
        <v>425</v>
      </c>
      <c r="N2120" s="6">
        <f>IF(OR($G2120="FCC",$G2120="Hydrocracker",$G2120="Reformer"),IF(COUNTIFS($D:$D,$D2120,$A:$A,$A2120,$B:$B,$B2120,$G:$G,"CDU",$J:$J,"PLANNED")&gt;0,"tied","standalone"),"")</f>
        <v/>
      </c>
    </row>
    <row r="2121" spans="1:14">
      <c r="A2121" s="6">
        <v>2023</v>
      </c>
      <c r="B2121" s="6">
        <v>10</v>
      </c>
      <c r="C2121" s="6" t="s">
        <v>69</v>
      </c>
      <c r="D2121" s="6" t="s">
        <v>368</v>
      </c>
      <c r="E2121" s="6" t="s">
        <v>715</v>
      </c>
      <c r="F2121" s="6" t="str">
        <f>IF($M2121="PADD I","PADD 1",IF($M2121="PADD II","PADD 2",IF($M2121="PADD III","PADD 3",IF($M2121="PADD IV","PADD 4",IF($M2121="PADD V","PADD 5","")))))</f>
        <v>PADD 3</v>
      </c>
      <c r="G2121" s="6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6" t="s">
        <v>426</v>
      </c>
      <c r="I2121" s="6" t="s">
        <v>925</v>
      </c>
      <c r="J2121" s="6" t="s">
        <v>394</v>
      </c>
      <c r="K2121" s="10">
        <v>31.9</v>
      </c>
      <c r="L2121" s="10">
        <v>110</v>
      </c>
      <c r="M2121" s="6" t="s">
        <v>421</v>
      </c>
      <c r="N2121" s="6" t="str">
        <f>IF(OR($G2121="FCC",$G2121="Hydrocracker",$G2121="Reformer"),IF(COUNTIFS($D:$D,$D2121,$A:$A,$A2121,$B:$B,$B2121,$G:$G,"CDU",$J:$J,"PLANNED")&gt;0,"tied","standalone"),"")</f>
        <v>tied</v>
      </c>
    </row>
    <row r="2122" spans="1:14">
      <c r="A2122" s="6">
        <v>2023</v>
      </c>
      <c r="B2122" s="6">
        <v>10</v>
      </c>
      <c r="C2122" s="6" t="s">
        <v>69</v>
      </c>
      <c r="D2122" s="6" t="s">
        <v>518</v>
      </c>
      <c r="E2122" s="6" t="s">
        <v>419</v>
      </c>
      <c r="F2122" s="6" t="str">
        <f>IF($M2122="PADD I","PADD 1",IF($M2122="PADD II","PADD 2",IF($M2122="PADD III","PADD 3",IF($M2122="PADD IV","PADD 4",IF($M2122="PADD V","PADD 5","")))))</f>
        <v>PADD 3</v>
      </c>
      <c r="G2122" s="6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6" t="s">
        <v>39</v>
      </c>
      <c r="I2122" s="6" t="s">
        <v>611</v>
      </c>
      <c r="J2122" s="6" t="s">
        <v>398</v>
      </c>
      <c r="K2122" s="10">
        <v>31.57</v>
      </c>
      <c r="L2122" s="10">
        <v>41</v>
      </c>
      <c r="M2122" s="6" t="s">
        <v>421</v>
      </c>
      <c r="N2122" s="6">
        <f>IF(OR($G2122="FCC",$G2122="Hydrocracker",$G2122="Reformer"),IF(COUNTIFS($D:$D,$D2122,$A:$A,$A2122,$B:$B,$B2122,$G:$G,"CDU",$J:$J,"PLANNED")&gt;0,"tied","standalone"),"")</f>
        <v/>
      </c>
    </row>
    <row r="2123" spans="1:14">
      <c r="A2123" s="6">
        <v>2023</v>
      </c>
      <c r="B2123" s="6">
        <v>10</v>
      </c>
      <c r="C2123" s="6" t="s">
        <v>69</v>
      </c>
      <c r="D2123" s="6" t="s">
        <v>851</v>
      </c>
      <c r="E2123" s="6" t="s">
        <v>829</v>
      </c>
      <c r="F2123" s="6" t="str">
        <f>IF($M2123="PADD I","PADD 1",IF($M2123="PADD II","PADD 2",IF($M2123="PADD III","PADD 3",IF($M2123="PADD IV","PADD 4",IF($M2123="PADD V","PADD 5","")))))</f>
        <v>PADD 2</v>
      </c>
      <c r="G2123" s="6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6" t="s">
        <v>471</v>
      </c>
      <c r="I2123" s="6" t="s">
        <v>1050</v>
      </c>
      <c r="J2123" s="6" t="s">
        <v>398</v>
      </c>
      <c r="K2123" s="10">
        <v>31.08</v>
      </c>
      <c r="L2123" s="10">
        <v>37</v>
      </c>
      <c r="M2123" s="6" t="s">
        <v>425</v>
      </c>
      <c r="N2123" s="6" t="str">
        <f>IF(OR($G2123="FCC",$G2123="Hydrocracker",$G2123="Reformer"),IF(COUNTIFS($D:$D,$D2123,$A:$A,$A2123,$B:$B,$B2123,$G:$G,"CDU",$J:$J,"PLANNED")&gt;0,"tied","standalone"),"")</f>
        <v>tied</v>
      </c>
    </row>
    <row r="2124" spans="1:14">
      <c r="A2124" s="6">
        <v>2023</v>
      </c>
      <c r="B2124" s="6">
        <v>10</v>
      </c>
      <c r="C2124" s="6" t="s">
        <v>69</v>
      </c>
      <c r="D2124" s="6" t="s">
        <v>652</v>
      </c>
      <c r="E2124" s="6" t="s">
        <v>419</v>
      </c>
      <c r="F2124" s="6" t="str">
        <f>IF($M2124="PADD I","PADD 1",IF($M2124="PADD II","PADD 2",IF($M2124="PADD III","PADD 3",IF($M2124="PADD IV","PADD 4",IF($M2124="PADD V","PADD 5","")))))</f>
        <v>PADD 2</v>
      </c>
      <c r="G2124" s="6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6" t="s">
        <v>485</v>
      </c>
      <c r="I2124" s="6" t="s">
        <v>491</v>
      </c>
      <c r="J2124" s="6" t="s">
        <v>398</v>
      </c>
      <c r="K2124" s="10">
        <v>31</v>
      </c>
      <c r="L2124" s="10">
        <v>31</v>
      </c>
      <c r="M2124" s="6" t="s">
        <v>425</v>
      </c>
      <c r="N2124" s="6">
        <f>IF(OR($G2124="FCC",$G2124="Hydrocracker",$G2124="Reformer"),IF(COUNTIFS($D:$D,$D2124,$A:$A,$A2124,$B:$B,$B2124,$G:$G,"CDU",$J:$J,"PLANNED")&gt;0,"tied","standalone"),"")</f>
        <v/>
      </c>
    </row>
    <row r="2125" spans="1:14">
      <c r="A2125" s="6">
        <v>2023</v>
      </c>
      <c r="B2125" s="6">
        <v>10</v>
      </c>
      <c r="C2125" s="6" t="s">
        <v>69</v>
      </c>
      <c r="D2125" s="6" t="s">
        <v>518</v>
      </c>
      <c r="E2125" s="6" t="s">
        <v>419</v>
      </c>
      <c r="F2125" s="6" t="str">
        <f>IF($M2125="PADD I","PADD 1",IF($M2125="PADD II","PADD 2",IF($M2125="PADD III","PADD 3",IF($M2125="PADD IV","PADD 4",IF($M2125="PADD V","PADD 5","")))))</f>
        <v>PADD 3</v>
      </c>
      <c r="G2125" s="6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6" t="s">
        <v>426</v>
      </c>
      <c r="I2125" s="6" t="s">
        <v>523</v>
      </c>
      <c r="J2125" s="6" t="s">
        <v>398</v>
      </c>
      <c r="K2125" s="10">
        <v>30</v>
      </c>
      <c r="L2125" s="10">
        <v>30</v>
      </c>
      <c r="M2125" s="6" t="s">
        <v>421</v>
      </c>
      <c r="N2125" s="6" t="str">
        <f>IF(OR($G2125="FCC",$G2125="Hydrocracker",$G2125="Reformer"),IF(COUNTIFS($D:$D,$D2125,$A:$A,$A2125,$B:$B,$B2125,$G:$G,"CDU",$J:$J,"PLANNED")&gt;0,"tied","standalone"),"")</f>
        <v>tied</v>
      </c>
    </row>
    <row r="2126" spans="1:14">
      <c r="A2126" s="6">
        <v>2023</v>
      </c>
      <c r="B2126" s="6">
        <v>10</v>
      </c>
      <c r="C2126" s="6" t="s">
        <v>69</v>
      </c>
      <c r="D2126" s="6" t="s">
        <v>652</v>
      </c>
      <c r="E2126" s="6" t="s">
        <v>419</v>
      </c>
      <c r="F2126" s="6" t="str">
        <f>IF($M2126="PADD I","PADD 1",IF($M2126="PADD II","PADD 2",IF($M2126="PADD III","PADD 3",IF($M2126="PADD IV","PADD 4",IF($M2126="PADD V","PADD 5","")))))</f>
        <v>PADD 2</v>
      </c>
      <c r="G2126" s="6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6" t="s">
        <v>44</v>
      </c>
      <c r="I2126" s="6" t="s">
        <v>1048</v>
      </c>
      <c r="J2126" s="6" t="s">
        <v>398</v>
      </c>
      <c r="K2126" s="10">
        <v>30</v>
      </c>
      <c r="L2126" s="10">
        <v>30</v>
      </c>
      <c r="M2126" s="6" t="s">
        <v>425</v>
      </c>
      <c r="N2126" s="6">
        <f>IF(OR($G2126="FCC",$G2126="Hydrocracker",$G2126="Reformer"),IF(COUNTIFS($D:$D,$D2126,$A:$A,$A2126,$B:$B,$B2126,$G:$G,"CDU",$J:$J,"PLANNED")&gt;0,"tied","standalone"),"")</f>
        <v/>
      </c>
    </row>
    <row r="2127" spans="1:14">
      <c r="A2127" s="6">
        <v>2023</v>
      </c>
      <c r="B2127" s="6">
        <v>10</v>
      </c>
      <c r="C2127" s="6" t="s">
        <v>69</v>
      </c>
      <c r="D2127" s="6" t="s">
        <v>652</v>
      </c>
      <c r="E2127" s="6" t="s">
        <v>419</v>
      </c>
      <c r="F2127" s="6" t="str">
        <f>IF($M2127="PADD I","PADD 1",IF($M2127="PADD II","PADD 2",IF($M2127="PADD III","PADD 3",IF($M2127="PADD IV","PADD 4",IF($M2127="PADD V","PADD 5","")))))</f>
        <v>PADD 2</v>
      </c>
      <c r="G2127" s="6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6" t="s">
        <v>44</v>
      </c>
      <c r="I2127" s="6" t="s">
        <v>1049</v>
      </c>
      <c r="J2127" s="6" t="s">
        <v>398</v>
      </c>
      <c r="K2127" s="10">
        <v>30</v>
      </c>
      <c r="L2127" s="10">
        <v>30</v>
      </c>
      <c r="M2127" s="6" t="s">
        <v>425</v>
      </c>
      <c r="N2127" s="6">
        <f>IF(OR($G2127="FCC",$G2127="Hydrocracker",$G2127="Reformer"),IF(COUNTIFS($D:$D,$D2127,$A:$A,$A2127,$B:$B,$B2127,$G:$G,"CDU",$J:$J,"PLANNED")&gt;0,"tied","standalone"),"")</f>
        <v/>
      </c>
    </row>
    <row r="2128" spans="1:14">
      <c r="A2128" s="6">
        <v>2023</v>
      </c>
      <c r="B2128" s="6">
        <v>10</v>
      </c>
      <c r="C2128" s="6" t="s">
        <v>69</v>
      </c>
      <c r="D2128" s="6" t="s">
        <v>937</v>
      </c>
      <c r="E2128" s="6" t="s">
        <v>455</v>
      </c>
      <c r="F2128" s="6" t="str">
        <f>IF($M2128="PADD I","PADD 1",IF($M2128="PADD II","PADD 2",IF($M2128="PADD III","PADD 3",IF($M2128="PADD IV","PADD 4",IF($M2128="PADD V","PADD 5","")))))</f>
        <v>PADD 3</v>
      </c>
      <c r="G2128" s="6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6" t="s">
        <v>494</v>
      </c>
      <c r="I2128" s="6" t="s">
        <v>1072</v>
      </c>
      <c r="J2128" s="6" t="s">
        <v>398</v>
      </c>
      <c r="K2128" s="10">
        <v>30</v>
      </c>
      <c r="L2128" s="10">
        <v>30</v>
      </c>
      <c r="M2128" s="6" t="s">
        <v>421</v>
      </c>
      <c r="N2128" s="6" t="str">
        <f>IF(OR($G2128="FCC",$G2128="Hydrocracker",$G2128="Reformer"),IF(COUNTIFS($D:$D,$D2128,$A:$A,$A2128,$B:$B,$B2128,$G:$G,"CDU",$J:$J,"PLANNED")&gt;0,"tied","standalone"),"")</f>
        <v>standalone</v>
      </c>
    </row>
    <row r="2129" spans="1:14">
      <c r="A2129" s="6">
        <v>2023</v>
      </c>
      <c r="B2129" s="6">
        <v>10</v>
      </c>
      <c r="C2129" s="6" t="s">
        <v>69</v>
      </c>
      <c r="D2129" s="6" t="s">
        <v>382</v>
      </c>
      <c r="E2129" s="6" t="s">
        <v>431</v>
      </c>
      <c r="F2129" s="6" t="str">
        <f>IF($M2129="PADD I","PADD 1",IF($M2129="PADD II","PADD 2",IF($M2129="PADD III","PADD 3",IF($M2129="PADD IV","PADD 4",IF($M2129="PADD V","PADD 5","")))))</f>
        <v>PADD 3</v>
      </c>
      <c r="G2129" s="6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6" t="s">
        <v>471</v>
      </c>
      <c r="I2129" s="6" t="s">
        <v>1092</v>
      </c>
      <c r="J2129" s="6" t="s">
        <v>398</v>
      </c>
      <c r="K2129" s="10">
        <v>29.25</v>
      </c>
      <c r="L2129" s="10">
        <v>75</v>
      </c>
      <c r="M2129" s="6" t="s">
        <v>421</v>
      </c>
      <c r="N2129" s="6" t="str">
        <f>IF(OR($G2129="FCC",$G2129="Hydrocracker",$G2129="Reformer"),IF(COUNTIFS($D:$D,$D2129,$A:$A,$A2129,$B:$B,$B2129,$G:$G,"CDU",$J:$J,"PLANNED")&gt;0,"tied","standalone"),"")</f>
        <v>standalone</v>
      </c>
    </row>
    <row r="2130" spans="1:14">
      <c r="A2130" s="6">
        <v>2023</v>
      </c>
      <c r="B2130" s="6">
        <v>10</v>
      </c>
      <c r="C2130" s="6" t="s">
        <v>69</v>
      </c>
      <c r="D2130" s="6" t="s">
        <v>568</v>
      </c>
      <c r="E2130" s="6" t="s">
        <v>419</v>
      </c>
      <c r="F2130" s="6" t="str">
        <f>IF($M2130="PADD I","PADD 1",IF($M2130="PADD II","PADD 2",IF($M2130="PADD III","PADD 3",IF($M2130="PADD IV","PADD 4",IF($M2130="PADD V","PADD 5","")))))</f>
        <v>PADD 5</v>
      </c>
      <c r="G2130" s="6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6" t="s">
        <v>39</v>
      </c>
      <c r="I2130" s="6" t="s">
        <v>603</v>
      </c>
      <c r="J2130" s="6" t="s">
        <v>394</v>
      </c>
      <c r="K2130" s="10">
        <v>28.8</v>
      </c>
      <c r="L2130" s="10">
        <v>32</v>
      </c>
      <c r="M2130" s="6" t="s">
        <v>436</v>
      </c>
      <c r="N2130" s="6">
        <f>IF(OR($G2130="FCC",$G2130="Hydrocracker",$G2130="Reformer"),IF(COUNTIFS($D:$D,$D2130,$A:$A,$A2130,$B:$B,$B2130,$G:$G,"CDU",$J:$J,"PLANNED")&gt;0,"tied","standalone"),"")</f>
        <v/>
      </c>
    </row>
    <row r="2131" spans="1:14">
      <c r="A2131" s="6">
        <v>2023</v>
      </c>
      <c r="B2131" s="6">
        <v>10</v>
      </c>
      <c r="C2131" s="6" t="s">
        <v>69</v>
      </c>
      <c r="D2131" s="6" t="s">
        <v>851</v>
      </c>
      <c r="E2131" s="6" t="s">
        <v>829</v>
      </c>
      <c r="F2131" s="6" t="str">
        <f>IF($M2131="PADD I","PADD 1",IF($M2131="PADD II","PADD 2",IF($M2131="PADD III","PADD 3",IF($M2131="PADD IV","PADD 4",IF($M2131="PADD V","PADD 5","")))))</f>
        <v>PADD 2</v>
      </c>
      <c r="G2131" s="6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6" t="s">
        <v>471</v>
      </c>
      <c r="I2131" s="6" t="s">
        <v>832</v>
      </c>
      <c r="J2131" s="6" t="s">
        <v>398</v>
      </c>
      <c r="K2131" s="10">
        <v>28.56</v>
      </c>
      <c r="L2131" s="10">
        <v>34</v>
      </c>
      <c r="M2131" s="6" t="s">
        <v>425</v>
      </c>
      <c r="N2131" s="6" t="str">
        <f>IF(OR($G2131="FCC",$G2131="Hydrocracker",$G2131="Reformer"),IF(COUNTIFS($D:$D,$D2131,$A:$A,$A2131,$B:$B,$B2131,$G:$G,"CDU",$J:$J,"PLANNED")&gt;0,"tied","standalone"),"")</f>
        <v>tied</v>
      </c>
    </row>
    <row r="2132" spans="1:14">
      <c r="A2132" s="6">
        <v>2023</v>
      </c>
      <c r="B2132" s="6">
        <v>10</v>
      </c>
      <c r="C2132" s="6" t="s">
        <v>69</v>
      </c>
      <c r="D2132" s="6" t="s">
        <v>518</v>
      </c>
      <c r="E2132" s="6" t="s">
        <v>419</v>
      </c>
      <c r="F2132" s="6" t="str">
        <f>IF($M2132="PADD I","PADD 1",IF($M2132="PADD II","PADD 2",IF($M2132="PADD III","PADD 3",IF($M2132="PADD IV","PADD 4",IF($M2132="PADD V","PADD 5","")))))</f>
        <v>PADD 3</v>
      </c>
      <c r="G2132" s="6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6" t="s">
        <v>39</v>
      </c>
      <c r="I2132" s="6" t="s">
        <v>615</v>
      </c>
      <c r="J2132" s="6" t="s">
        <v>398</v>
      </c>
      <c r="K2132" s="10">
        <v>28.49</v>
      </c>
      <c r="L2132" s="10">
        <v>37</v>
      </c>
      <c r="M2132" s="6" t="s">
        <v>421</v>
      </c>
      <c r="N2132" s="6">
        <f>IF(OR($G2132="FCC",$G2132="Hydrocracker",$G2132="Reformer"),IF(COUNTIFS($D:$D,$D2132,$A:$A,$A2132,$B:$B,$B2132,$G:$G,"CDU",$J:$J,"PLANNED")&gt;0,"tied","standalone"),"")</f>
        <v/>
      </c>
    </row>
    <row r="2133" spans="1:14">
      <c r="A2133" s="6">
        <v>2023</v>
      </c>
      <c r="B2133" s="6">
        <v>10</v>
      </c>
      <c r="C2133" s="6" t="s">
        <v>69</v>
      </c>
      <c r="D2133" s="6" t="s">
        <v>41</v>
      </c>
      <c r="E2133" s="6" t="s">
        <v>786</v>
      </c>
      <c r="F2133" s="6" t="str">
        <f>IF($M2133="PADD I","PADD 1",IF($M2133="PADD II","PADD 2",IF($M2133="PADD III","PADD 3",IF($M2133="PADD IV","PADD 4",IF($M2133="PADD V","PADD 5","")))))</f>
        <v>PADD 1</v>
      </c>
      <c r="G2133" s="6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6" t="s">
        <v>44</v>
      </c>
      <c r="I2133" s="6" t="s">
        <v>1064</v>
      </c>
      <c r="J2133" s="6" t="s">
        <v>398</v>
      </c>
      <c r="K2133" s="10">
        <v>28</v>
      </c>
      <c r="L2133" s="10">
        <v>28</v>
      </c>
      <c r="M2133" s="6" t="s">
        <v>463</v>
      </c>
      <c r="N2133" s="6">
        <f>IF(OR($G2133="FCC",$G2133="Hydrocracker",$G2133="Reformer"),IF(COUNTIFS($D:$D,$D2133,$A:$A,$A2133,$B:$B,$B2133,$G:$G,"CDU",$J:$J,"PLANNED")&gt;0,"tied","standalone"),"")</f>
        <v/>
      </c>
    </row>
    <row r="2134" spans="1:14">
      <c r="A2134" s="6">
        <v>2023</v>
      </c>
      <c r="B2134" s="6">
        <v>10</v>
      </c>
      <c r="C2134" s="6" t="s">
        <v>69</v>
      </c>
      <c r="D2134" s="6" t="s">
        <v>662</v>
      </c>
      <c r="E2134" s="6" t="s">
        <v>466</v>
      </c>
      <c r="F2134" s="6" t="str">
        <f>IF($M2134="PADD I","PADD 1",IF($M2134="PADD II","PADD 2",IF($M2134="PADD III","PADD 3",IF($M2134="PADD IV","PADD 4",IF($M2134="PADD V","PADD 5","")))))</f>
        <v>PADD 3</v>
      </c>
      <c r="G2134" s="6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6" t="s">
        <v>428</v>
      </c>
      <c r="I2134" s="6" t="s">
        <v>481</v>
      </c>
      <c r="J2134" s="6" t="s">
        <v>394</v>
      </c>
      <c r="K2134" s="10">
        <v>27.296</v>
      </c>
      <c r="L2134" s="10">
        <v>85.3</v>
      </c>
      <c r="M2134" s="6" t="s">
        <v>421</v>
      </c>
      <c r="N2134" s="6">
        <f>IF(OR($G2134="FCC",$G2134="Hydrocracker",$G2134="Reformer"),IF(COUNTIFS($D:$D,$D2134,$A:$A,$A2134,$B:$B,$B2134,$G:$G,"CDU",$J:$J,"PLANNED")&gt;0,"tied","standalone"),"")</f>
        <v/>
      </c>
    </row>
    <row r="2135" spans="1:14">
      <c r="A2135" s="6">
        <v>2023</v>
      </c>
      <c r="B2135" s="6">
        <v>10</v>
      </c>
      <c r="C2135" s="6" t="s">
        <v>69</v>
      </c>
      <c r="D2135" s="6" t="s">
        <v>581</v>
      </c>
      <c r="E2135" s="6" t="s">
        <v>582</v>
      </c>
      <c r="F2135" s="6" t="str">
        <f>IF($M2135="PADD I","PADD 1",IF($M2135="PADD II","PADD 2",IF($M2135="PADD III","PADD 3",IF($M2135="PADD IV","PADD 4",IF($M2135="PADD V","PADD 5","")))))</f>
        <v>PADD 5</v>
      </c>
      <c r="G2135" s="6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6" t="s">
        <v>485</v>
      </c>
      <c r="I2135" s="6" t="s">
        <v>664</v>
      </c>
      <c r="J2135" s="6" t="s">
        <v>394</v>
      </c>
      <c r="K2135" s="10">
        <v>27</v>
      </c>
      <c r="L2135" s="10">
        <v>27</v>
      </c>
      <c r="M2135" s="6" t="s">
        <v>436</v>
      </c>
      <c r="N2135" s="6">
        <f>IF(OR($G2135="FCC",$G2135="Hydrocracker",$G2135="Reformer"),IF(COUNTIFS($D:$D,$D2135,$A:$A,$A2135,$B:$B,$B2135,$G:$G,"CDU",$J:$J,"PLANNED")&gt;0,"tied","standalone"),"")</f>
        <v/>
      </c>
    </row>
    <row r="2136" spans="1:14">
      <c r="A2136" s="6">
        <v>2023</v>
      </c>
      <c r="B2136" s="6">
        <v>10</v>
      </c>
      <c r="C2136" s="6" t="s">
        <v>69</v>
      </c>
      <c r="D2136" s="6" t="s">
        <v>430</v>
      </c>
      <c r="E2136" s="6" t="s">
        <v>431</v>
      </c>
      <c r="F2136" s="6" t="str">
        <f>IF($M2136="PADD I","PADD 1",IF($M2136="PADD II","PADD 2",IF($M2136="PADD III","PADD 3",IF($M2136="PADD IV","PADD 4",IF($M2136="PADD V","PADD 5","")))))</f>
        <v>PADD 3</v>
      </c>
      <c r="G2136" s="6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6" t="s">
        <v>39</v>
      </c>
      <c r="I2136" s="6" t="s">
        <v>1028</v>
      </c>
      <c r="J2136" s="6" t="s">
        <v>398</v>
      </c>
      <c r="K2136" s="10">
        <v>26.1</v>
      </c>
      <c r="L2136" s="10">
        <v>90</v>
      </c>
      <c r="M2136" s="6" t="s">
        <v>421</v>
      </c>
      <c r="N2136" s="6">
        <f>IF(OR($G2136="FCC",$G2136="Hydrocracker",$G2136="Reformer"),IF(COUNTIFS($D:$D,$D2136,$A:$A,$A2136,$B:$B,$B2136,$G:$G,"CDU",$J:$J,"PLANNED")&gt;0,"tied","standalone"),"")</f>
        <v/>
      </c>
    </row>
    <row r="2137" spans="1:14">
      <c r="A2137" s="6">
        <v>2023</v>
      </c>
      <c r="B2137" s="6">
        <v>10</v>
      </c>
      <c r="C2137" s="6" t="s">
        <v>69</v>
      </c>
      <c r="D2137" s="6" t="s">
        <v>41</v>
      </c>
      <c r="E2137" s="6" t="s">
        <v>786</v>
      </c>
      <c r="F2137" s="6" t="str">
        <f>IF($M2137="PADD I","PADD 1",IF($M2137="PADD II","PADD 2",IF($M2137="PADD III","PADD 3",IF($M2137="PADD IV","PADD 4",IF($M2137="PADD V","PADD 5","")))))</f>
        <v>PADD 1</v>
      </c>
      <c r="G2137" s="6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6" t="s">
        <v>44</v>
      </c>
      <c r="I2137" s="6" t="s">
        <v>1061</v>
      </c>
      <c r="J2137" s="6" t="s">
        <v>398</v>
      </c>
      <c r="K2137" s="10">
        <v>26</v>
      </c>
      <c r="L2137" s="10">
        <v>26</v>
      </c>
      <c r="M2137" s="6" t="s">
        <v>463</v>
      </c>
      <c r="N2137" s="6">
        <f>IF(OR($G2137="FCC",$G2137="Hydrocracker",$G2137="Reformer"),IF(COUNTIFS($D:$D,$D2137,$A:$A,$A2137,$B:$B,$B2137,$G:$G,"CDU",$J:$J,"PLANNED")&gt;0,"tied","standalone"),"")</f>
        <v/>
      </c>
    </row>
    <row r="2138" spans="1:14">
      <c r="A2138" s="6">
        <v>2023</v>
      </c>
      <c r="B2138" s="6">
        <v>10</v>
      </c>
      <c r="C2138" s="6" t="s">
        <v>69</v>
      </c>
      <c r="D2138" s="6" t="s">
        <v>41</v>
      </c>
      <c r="E2138" s="6" t="s">
        <v>786</v>
      </c>
      <c r="F2138" s="6" t="str">
        <f>IF($M2138="PADD I","PADD 1",IF($M2138="PADD II","PADD 2",IF($M2138="PADD III","PADD 3",IF($M2138="PADD IV","PADD 4",IF($M2138="PADD V","PADD 5","")))))</f>
        <v>PADD 1</v>
      </c>
      <c r="G2138" s="6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6" t="s">
        <v>428</v>
      </c>
      <c r="I2138" s="6" t="s">
        <v>1059</v>
      </c>
      <c r="J2138" s="6" t="s">
        <v>394</v>
      </c>
      <c r="K2138" s="10">
        <v>26</v>
      </c>
      <c r="L2138" s="10">
        <v>26</v>
      </c>
      <c r="M2138" s="6" t="s">
        <v>463</v>
      </c>
      <c r="N2138" s="6">
        <f>IF(OR($G2138="FCC",$G2138="Hydrocracker",$G2138="Reformer"),IF(COUNTIFS($D:$D,$D2138,$A:$A,$A2138,$B:$B,$B2138,$G:$G,"CDU",$J:$J,"PLANNED")&gt;0,"tied","standalone"),"")</f>
        <v/>
      </c>
    </row>
    <row r="2139" spans="1:14">
      <c r="A2139" s="6">
        <v>2023</v>
      </c>
      <c r="B2139" s="6">
        <v>10</v>
      </c>
      <c r="C2139" s="6" t="s">
        <v>69</v>
      </c>
      <c r="D2139" s="6" t="s">
        <v>652</v>
      </c>
      <c r="E2139" s="6" t="s">
        <v>419</v>
      </c>
      <c r="F2139" s="6" t="str">
        <f>IF($M2139="PADD I","PADD 1",IF($M2139="PADD II","PADD 2",IF($M2139="PADD III","PADD 3",IF($M2139="PADD IV","PADD 4",IF($M2139="PADD V","PADD 5","")))))</f>
        <v>PADD 2</v>
      </c>
      <c r="G2139" s="6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6" t="s">
        <v>44</v>
      </c>
      <c r="I2139" s="6" t="s">
        <v>1051</v>
      </c>
      <c r="J2139" s="6" t="s">
        <v>398</v>
      </c>
      <c r="K2139" s="10">
        <v>25</v>
      </c>
      <c r="L2139" s="10">
        <v>25</v>
      </c>
      <c r="M2139" s="6" t="s">
        <v>425</v>
      </c>
      <c r="N2139" s="6">
        <f>IF(OR($G2139="FCC",$G2139="Hydrocracker",$G2139="Reformer"),IF(COUNTIFS($D:$D,$D2139,$A:$A,$A2139,$B:$B,$B2139,$G:$G,"CDU",$J:$J,"PLANNED")&gt;0,"tied","standalone"),"")</f>
        <v/>
      </c>
    </row>
    <row r="2140" spans="1:14">
      <c r="A2140" s="6">
        <v>2023</v>
      </c>
      <c r="B2140" s="6">
        <v>10</v>
      </c>
      <c r="C2140" s="6" t="s">
        <v>69</v>
      </c>
      <c r="D2140" s="6" t="s">
        <v>518</v>
      </c>
      <c r="E2140" s="6" t="s">
        <v>419</v>
      </c>
      <c r="F2140" s="6" t="str">
        <f>IF($M2140="PADD I","PADD 1",IF($M2140="PADD II","PADD 2",IF($M2140="PADD III","PADD 3",IF($M2140="PADD IV","PADD 4",IF($M2140="PADD V","PADD 5","")))))</f>
        <v>PADD 3</v>
      </c>
      <c r="G2140" s="6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6" t="s">
        <v>485</v>
      </c>
      <c r="I2140" s="6" t="s">
        <v>989</v>
      </c>
      <c r="J2140" s="6" t="s">
        <v>394</v>
      </c>
      <c r="K2140" s="10">
        <v>24.36</v>
      </c>
      <c r="L2140" s="10">
        <v>28</v>
      </c>
      <c r="M2140" s="6" t="s">
        <v>421</v>
      </c>
      <c r="N2140" s="6">
        <f>IF(OR($G2140="FCC",$G2140="Hydrocracker",$G2140="Reformer"),IF(COUNTIFS($D:$D,$D2140,$A:$A,$A2140,$B:$B,$B2140,$G:$G,"CDU",$J:$J,"PLANNED")&gt;0,"tied","standalone"),"")</f>
        <v/>
      </c>
    </row>
    <row r="2141" spans="1:14">
      <c r="A2141" s="6">
        <v>2023</v>
      </c>
      <c r="B2141" s="6">
        <v>10</v>
      </c>
      <c r="C2141" s="6" t="s">
        <v>69</v>
      </c>
      <c r="D2141" s="6" t="s">
        <v>41</v>
      </c>
      <c r="E2141" s="6" t="s">
        <v>786</v>
      </c>
      <c r="F2141" s="6" t="str">
        <f>IF($M2141="PADD I","PADD 1",IF($M2141="PADD II","PADD 2",IF($M2141="PADD III","PADD 3",IF($M2141="PADD IV","PADD 4",IF($M2141="PADD V","PADD 5","")))))</f>
        <v>PADD 1</v>
      </c>
      <c r="G2141" s="6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6" t="s">
        <v>428</v>
      </c>
      <c r="I2141" s="6" t="s">
        <v>1013</v>
      </c>
      <c r="J2141" s="6" t="s">
        <v>398</v>
      </c>
      <c r="K2141" s="10">
        <v>24.33</v>
      </c>
      <c r="L2141" s="10">
        <v>24.33</v>
      </c>
      <c r="M2141" s="6" t="s">
        <v>463</v>
      </c>
      <c r="N2141" s="6">
        <f>IF(OR($G2141="FCC",$G2141="Hydrocracker",$G2141="Reformer"),IF(COUNTIFS($D:$D,$D2141,$A:$A,$A2141,$B:$B,$B2141,$G:$G,"CDU",$J:$J,"PLANNED")&gt;0,"tied","standalone"),"")</f>
        <v/>
      </c>
    </row>
    <row r="2142" spans="1:14">
      <c r="A2142" s="6">
        <v>2023</v>
      </c>
      <c r="B2142" s="6">
        <v>10</v>
      </c>
      <c r="C2142" s="6" t="s">
        <v>69</v>
      </c>
      <c r="D2142" s="6" t="s">
        <v>41</v>
      </c>
      <c r="E2142" s="6" t="s">
        <v>786</v>
      </c>
      <c r="F2142" s="6" t="str">
        <f>IF($M2142="PADD I","PADD 1",IF($M2142="PADD II","PADD 2",IF($M2142="PADD III","PADD 3",IF($M2142="PADD IV","PADD 4",IF($M2142="PADD V","PADD 5","")))))</f>
        <v>PADD 1</v>
      </c>
      <c r="G2142" s="6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6" t="s">
        <v>428</v>
      </c>
      <c r="I2142" s="6" t="s">
        <v>1060</v>
      </c>
      <c r="J2142" s="6" t="s">
        <v>398</v>
      </c>
      <c r="K2142" s="10">
        <v>24.33</v>
      </c>
      <c r="L2142" s="10">
        <v>24.33</v>
      </c>
      <c r="M2142" s="6" t="s">
        <v>463</v>
      </c>
      <c r="N2142" s="6">
        <f>IF(OR($G2142="FCC",$G2142="Hydrocracker",$G2142="Reformer"),IF(COUNTIFS($D:$D,$D2142,$A:$A,$A2142,$B:$B,$B2142,$G:$G,"CDU",$J:$J,"PLANNED")&gt;0,"tied","standalone"),"")</f>
        <v/>
      </c>
    </row>
    <row r="2143" spans="1:14">
      <c r="A2143" s="6">
        <v>2023</v>
      </c>
      <c r="B2143" s="6">
        <v>10</v>
      </c>
      <c r="C2143" s="6" t="s">
        <v>69</v>
      </c>
      <c r="D2143" s="6" t="s">
        <v>41</v>
      </c>
      <c r="E2143" s="6" t="s">
        <v>786</v>
      </c>
      <c r="F2143" s="6" t="str">
        <f>IF($M2143="PADD I","PADD 1",IF($M2143="PADD II","PADD 2",IF($M2143="PADD III","PADD 3",IF($M2143="PADD IV","PADD 4",IF($M2143="PADD V","PADD 5","")))))</f>
        <v>PADD 1</v>
      </c>
      <c r="G2143" s="6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6" t="s">
        <v>428</v>
      </c>
      <c r="I2143" s="6" t="s">
        <v>1059</v>
      </c>
      <c r="J2143" s="6" t="s">
        <v>398</v>
      </c>
      <c r="K2143" s="10">
        <v>24.33</v>
      </c>
      <c r="L2143" s="10">
        <v>24.33</v>
      </c>
      <c r="M2143" s="6" t="s">
        <v>463</v>
      </c>
      <c r="N2143" s="6">
        <f>IF(OR($G2143="FCC",$G2143="Hydrocracker",$G2143="Reformer"),IF(COUNTIFS($D:$D,$D2143,$A:$A,$A2143,$B:$B,$B2143,$G:$G,"CDU",$J:$J,"PLANNED")&gt;0,"tied","standalone"),"")</f>
        <v/>
      </c>
    </row>
    <row r="2144" spans="1:14">
      <c r="A2144" s="6">
        <v>2023</v>
      </c>
      <c r="B2144" s="6">
        <v>10</v>
      </c>
      <c r="C2144" s="6" t="s">
        <v>69</v>
      </c>
      <c r="D2144" s="6" t="s">
        <v>652</v>
      </c>
      <c r="E2144" s="6" t="s">
        <v>419</v>
      </c>
      <c r="F2144" s="6" t="str">
        <f>IF($M2144="PADD I","PADD 1",IF($M2144="PADD II","PADD 2",IF($M2144="PADD III","PADD 3",IF($M2144="PADD IV","PADD 4",IF($M2144="PADD V","PADD 5","")))))</f>
        <v>PADD 2</v>
      </c>
      <c r="G2144" s="6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6" t="s">
        <v>44</v>
      </c>
      <c r="I2144" s="6" t="s">
        <v>1052</v>
      </c>
      <c r="J2144" s="6" t="s">
        <v>398</v>
      </c>
      <c r="K2144" s="10">
        <v>24</v>
      </c>
      <c r="L2144" s="10">
        <v>24</v>
      </c>
      <c r="M2144" s="6" t="s">
        <v>425</v>
      </c>
      <c r="N2144" s="6">
        <f>IF(OR($G2144="FCC",$G2144="Hydrocracker",$G2144="Reformer"),IF(COUNTIFS($D:$D,$D2144,$A:$A,$A2144,$B:$B,$B2144,$G:$G,"CDU",$J:$J,"PLANNED")&gt;0,"tied","standalone"),"")</f>
        <v/>
      </c>
    </row>
    <row r="2145" spans="1:14">
      <c r="A2145" s="6">
        <v>2023</v>
      </c>
      <c r="B2145" s="6">
        <v>10</v>
      </c>
      <c r="C2145" s="6" t="s">
        <v>69</v>
      </c>
      <c r="D2145" s="6" t="s">
        <v>937</v>
      </c>
      <c r="E2145" s="6" t="s">
        <v>455</v>
      </c>
      <c r="F2145" s="6" t="str">
        <f>IF($M2145="PADD I","PADD 1",IF($M2145="PADD II","PADD 2",IF($M2145="PADD III","PADD 3",IF($M2145="PADD IV","PADD 4",IF($M2145="PADD V","PADD 5","")))))</f>
        <v>PADD 3</v>
      </c>
      <c r="G2145" s="6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6" t="s">
        <v>426</v>
      </c>
      <c r="I2145" s="6" t="s">
        <v>856</v>
      </c>
      <c r="J2145" s="6" t="s">
        <v>398</v>
      </c>
      <c r="K2145" s="10">
        <v>24</v>
      </c>
      <c r="L2145" s="10">
        <v>24</v>
      </c>
      <c r="M2145" s="6" t="s">
        <v>421</v>
      </c>
      <c r="N2145" s="6" t="str">
        <f>IF(OR($G2145="FCC",$G2145="Hydrocracker",$G2145="Reformer"),IF(COUNTIFS($D:$D,$D2145,$A:$A,$A2145,$B:$B,$B2145,$G:$G,"CDU",$J:$J,"PLANNED")&gt;0,"tied","standalone"),"")</f>
        <v>standalone</v>
      </c>
    </row>
    <row r="2146" spans="1:14">
      <c r="A2146" s="6">
        <v>2023</v>
      </c>
      <c r="B2146" s="6">
        <v>10</v>
      </c>
      <c r="C2146" s="6" t="s">
        <v>69</v>
      </c>
      <c r="D2146" s="6" t="s">
        <v>581</v>
      </c>
      <c r="E2146" s="6" t="s">
        <v>582</v>
      </c>
      <c r="F2146" s="6" t="str">
        <f>IF($M2146="PADD I","PADD 1",IF($M2146="PADD II","PADD 2",IF($M2146="PADD III","PADD 3",IF($M2146="PADD IV","PADD 4",IF($M2146="PADD V","PADD 5","")))))</f>
        <v>PADD 5</v>
      </c>
      <c r="G2146" s="6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6" t="s">
        <v>494</v>
      </c>
      <c r="I2146" s="6" t="s">
        <v>14</v>
      </c>
      <c r="J2146" s="6" t="s">
        <v>394</v>
      </c>
      <c r="K2146" s="10">
        <v>24</v>
      </c>
      <c r="L2146" s="10">
        <v>24</v>
      </c>
      <c r="M2146" s="6" t="s">
        <v>436</v>
      </c>
      <c r="N2146" s="6" t="str">
        <f>IF(OR($G2146="FCC",$G2146="Hydrocracker",$G2146="Reformer"),IF(COUNTIFS($D:$D,$D2146,$A:$A,$A2146,$B:$B,$B2146,$G:$G,"CDU",$J:$J,"PLANNED")&gt;0,"tied","standalone"),"")</f>
        <v>standalone</v>
      </c>
    </row>
    <row r="2147" spans="1:14">
      <c r="A2147" s="6">
        <v>2023</v>
      </c>
      <c r="B2147" s="6">
        <v>10</v>
      </c>
      <c r="C2147" s="6" t="s">
        <v>69</v>
      </c>
      <c r="D2147" s="6" t="s">
        <v>458</v>
      </c>
      <c r="E2147" s="6" t="s">
        <v>459</v>
      </c>
      <c r="F2147" s="6" t="str">
        <f>IF($M2147="PADD I","PADD 1",IF($M2147="PADD II","PADD 2",IF($M2147="PADD III","PADD 3",IF($M2147="PADD IV","PADD 4",IF($M2147="PADD V","PADD 5","")))))</f>
        <v>PADD 3</v>
      </c>
      <c r="G2147" s="6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6" t="s">
        <v>39</v>
      </c>
      <c r="I2147" s="6" t="s">
        <v>572</v>
      </c>
      <c r="J2147" s="6" t="s">
        <v>398</v>
      </c>
      <c r="K2147" s="10">
        <v>23.2</v>
      </c>
      <c r="L2147" s="10">
        <v>40</v>
      </c>
      <c r="M2147" s="6" t="s">
        <v>421</v>
      </c>
      <c r="N2147" s="6">
        <f>IF(OR($G2147="FCC",$G2147="Hydrocracker",$G2147="Reformer"),IF(COUNTIFS($D:$D,$D2147,$A:$A,$A2147,$B:$B,$B2147,$G:$G,"CDU",$J:$J,"PLANNED")&gt;0,"tied","standalone"),"")</f>
        <v/>
      </c>
    </row>
    <row r="2148" spans="1:14">
      <c r="A2148" s="6">
        <v>2023</v>
      </c>
      <c r="B2148" s="6">
        <v>10</v>
      </c>
      <c r="C2148" s="6" t="s">
        <v>69</v>
      </c>
      <c r="D2148" s="6" t="s">
        <v>41</v>
      </c>
      <c r="E2148" s="6" t="s">
        <v>786</v>
      </c>
      <c r="F2148" s="6" t="str">
        <f>IF($M2148="PADD I","PADD 1",IF($M2148="PADD II","PADD 2",IF($M2148="PADD III","PADD 3",IF($M2148="PADD IV","PADD 4",IF($M2148="PADD V","PADD 5","")))))</f>
        <v>PADD 1</v>
      </c>
      <c r="G2148" s="6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6" t="s">
        <v>494</v>
      </c>
      <c r="I2148" s="6" t="s">
        <v>495</v>
      </c>
      <c r="J2148" s="6" t="s">
        <v>394</v>
      </c>
      <c r="K2148" s="10">
        <v>23</v>
      </c>
      <c r="L2148" s="10">
        <v>23</v>
      </c>
      <c r="M2148" s="6" t="s">
        <v>463</v>
      </c>
      <c r="N2148" s="6" t="str">
        <f>IF(OR($G2148="FCC",$G2148="Hydrocracker",$G2148="Reformer"),IF(COUNTIFS($D:$D,$D2148,$A:$A,$A2148,$B:$B,$B2148,$G:$G,"CDU",$J:$J,"PLANNED")&gt;0,"tied","standalone"),"")</f>
        <v>tied</v>
      </c>
    </row>
    <row r="2149" spans="1:14">
      <c r="A2149" s="6">
        <v>2023</v>
      </c>
      <c r="B2149" s="6">
        <v>10</v>
      </c>
      <c r="C2149" s="6" t="s">
        <v>69</v>
      </c>
      <c r="D2149" s="6" t="s">
        <v>937</v>
      </c>
      <c r="E2149" s="6" t="s">
        <v>455</v>
      </c>
      <c r="F2149" s="6" t="str">
        <f>IF($M2149="PADD I","PADD 1",IF($M2149="PADD II","PADD 2",IF($M2149="PADD III","PADD 3",IF($M2149="PADD IV","PADD 4",IF($M2149="PADD V","PADD 5","")))))</f>
        <v>PADD 3</v>
      </c>
      <c r="G2149" s="6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6" t="s">
        <v>471</v>
      </c>
      <c r="I2149" s="6" t="s">
        <v>589</v>
      </c>
      <c r="J2149" s="6" t="s">
        <v>394</v>
      </c>
      <c r="K2149" s="10">
        <v>23</v>
      </c>
      <c r="L2149" s="10">
        <v>23</v>
      </c>
      <c r="M2149" s="6" t="s">
        <v>421</v>
      </c>
      <c r="N2149" s="6" t="str">
        <f>IF(OR($G2149="FCC",$G2149="Hydrocracker",$G2149="Reformer"),IF(COUNTIFS($D:$D,$D2149,$A:$A,$A2149,$B:$B,$B2149,$G:$G,"CDU",$J:$J,"PLANNED")&gt;0,"tied","standalone"),"")</f>
        <v>standalone</v>
      </c>
    </row>
    <row r="2150" spans="1:14">
      <c r="A2150" s="6">
        <v>2023</v>
      </c>
      <c r="B2150" s="6">
        <v>10</v>
      </c>
      <c r="C2150" s="6" t="s">
        <v>69</v>
      </c>
      <c r="D2150" s="6" t="s">
        <v>484</v>
      </c>
      <c r="E2150" s="6" t="s">
        <v>438</v>
      </c>
      <c r="F2150" s="6" t="str">
        <f>IF($M2150="PADD I","PADD 1",IF($M2150="PADD II","PADD 2",IF($M2150="PADD III","PADD 3",IF($M2150="PADD IV","PADD 4",IF($M2150="PADD V","PADD 5","")))))</f>
        <v>PADD 5</v>
      </c>
      <c r="G2150" s="6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6" t="s">
        <v>494</v>
      </c>
      <c r="I2150" s="6" t="s">
        <v>14</v>
      </c>
      <c r="J2150" s="6" t="s">
        <v>394</v>
      </c>
      <c r="K2150" s="10">
        <v>22.72</v>
      </c>
      <c r="L2150" s="10">
        <v>32</v>
      </c>
      <c r="M2150" s="6" t="s">
        <v>436</v>
      </c>
      <c r="N2150" s="6" t="str">
        <f>IF(OR($G2150="FCC",$G2150="Hydrocracker",$G2150="Reformer"),IF(COUNTIFS($D:$D,$D2150,$A:$A,$A2150,$B:$B,$B2150,$G:$G,"CDU",$J:$J,"PLANNED")&gt;0,"tied","standalone"),"")</f>
        <v>tied</v>
      </c>
    </row>
    <row r="2151" spans="1:14">
      <c r="A2151" s="6">
        <v>2023</v>
      </c>
      <c r="B2151" s="6">
        <v>10</v>
      </c>
      <c r="C2151" s="6" t="s">
        <v>69</v>
      </c>
      <c r="D2151" s="6" t="s">
        <v>1093</v>
      </c>
      <c r="E2151" s="6" t="s">
        <v>438</v>
      </c>
      <c r="F2151" s="6" t="str">
        <f>IF($M2151="PADD I","PADD 1",IF($M2151="PADD II","PADD 2",IF($M2151="PADD III","PADD 3",IF($M2151="PADD IV","PADD 4",IF($M2151="PADD V","PADD 5","")))))</f>
        <v>PADD 2</v>
      </c>
      <c r="G2151" s="6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6" t="s">
        <v>39</v>
      </c>
      <c r="I2151" s="6" t="s">
        <v>929</v>
      </c>
      <c r="J2151" s="6" t="s">
        <v>394</v>
      </c>
      <c r="K2151" s="10">
        <v>22.04</v>
      </c>
      <c r="L2151" s="10">
        <v>76</v>
      </c>
      <c r="M2151" s="6" t="s">
        <v>425</v>
      </c>
      <c r="N2151" s="6">
        <f>IF(OR($G2151="FCC",$G2151="Hydrocracker",$G2151="Reformer"),IF(COUNTIFS($D:$D,$D2151,$A:$A,$A2151,$B:$B,$B2151,$G:$G,"CDU",$J:$J,"PLANNED")&gt;0,"tied","standalone"),"")</f>
        <v/>
      </c>
    </row>
    <row r="2152" spans="1:14">
      <c r="A2152" s="6">
        <v>2023</v>
      </c>
      <c r="B2152" s="6">
        <v>10</v>
      </c>
      <c r="C2152" s="6" t="s">
        <v>69</v>
      </c>
      <c r="D2152" s="6" t="s">
        <v>581</v>
      </c>
      <c r="E2152" s="6" t="s">
        <v>582</v>
      </c>
      <c r="F2152" s="6" t="str">
        <f>IF($M2152="PADD I","PADD 1",IF($M2152="PADD II","PADD 2",IF($M2152="PADD III","PADD 3",IF($M2152="PADD IV","PADD 4",IF($M2152="PADD V","PADD 5","")))))</f>
        <v>PADD 5</v>
      </c>
      <c r="G2152" s="6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6" t="s">
        <v>510</v>
      </c>
      <c r="I2152" s="6" t="s">
        <v>666</v>
      </c>
      <c r="J2152" s="6" t="s">
        <v>394</v>
      </c>
      <c r="K2152" s="10">
        <v>22</v>
      </c>
      <c r="L2152" s="10">
        <v>22</v>
      </c>
      <c r="M2152" s="6" t="s">
        <v>436</v>
      </c>
      <c r="N2152" s="6">
        <f>IF(OR($G2152="FCC",$G2152="Hydrocracker",$G2152="Reformer"),IF(COUNTIFS($D:$D,$D2152,$A:$A,$A2152,$B:$B,$B2152,$G:$G,"CDU",$J:$J,"PLANNED")&gt;0,"tied","standalone"),"")</f>
        <v/>
      </c>
    </row>
    <row r="2153" spans="1:14">
      <c r="A2153" s="6">
        <v>2023</v>
      </c>
      <c r="B2153" s="6">
        <v>10</v>
      </c>
      <c r="C2153" s="6" t="s">
        <v>69</v>
      </c>
      <c r="D2153" s="6" t="s">
        <v>368</v>
      </c>
      <c r="E2153" s="6" t="s">
        <v>715</v>
      </c>
      <c r="F2153" s="6" t="str">
        <f>IF($M2153="PADD I","PADD 1",IF($M2153="PADD II","PADD 2",IF($M2153="PADD III","PADD 3",IF($M2153="PADD IV","PADD 4",IF($M2153="PADD V","PADD 5","")))))</f>
        <v>PADD 3</v>
      </c>
      <c r="G2153" s="6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6" t="s">
        <v>485</v>
      </c>
      <c r="I2153" s="6" t="s">
        <v>491</v>
      </c>
      <c r="J2153" s="6" t="s">
        <v>394</v>
      </c>
      <c r="K2153" s="10">
        <v>21.38</v>
      </c>
      <c r="L2153" s="10">
        <v>21.38</v>
      </c>
      <c r="M2153" s="6" t="s">
        <v>421</v>
      </c>
      <c r="N2153" s="6">
        <f>IF(OR($G2153="FCC",$G2153="Hydrocracker",$G2153="Reformer"),IF(COUNTIFS($D:$D,$D2153,$A:$A,$A2153,$B:$B,$B2153,$G:$G,"CDU",$J:$J,"PLANNED")&gt;0,"tied","standalone"),"")</f>
        <v/>
      </c>
    </row>
    <row r="2154" spans="1:14">
      <c r="A2154" s="6">
        <v>2023</v>
      </c>
      <c r="B2154" s="6">
        <v>10</v>
      </c>
      <c r="C2154" s="6" t="s">
        <v>69</v>
      </c>
      <c r="D2154" s="6" t="s">
        <v>373</v>
      </c>
      <c r="E2154" s="6" t="s">
        <v>438</v>
      </c>
      <c r="F2154" s="6" t="str">
        <f>IF($M2154="PADD I","PADD 1",IF($M2154="PADD II","PADD 2",IF($M2154="PADD III","PADD 3",IF($M2154="PADD IV","PADD 4",IF($M2154="PADD V","PADD 5","")))))</f>
        <v>PADD 3</v>
      </c>
      <c r="G2154" s="6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6" t="s">
        <v>44</v>
      </c>
      <c r="I2154" s="6" t="s">
        <v>743</v>
      </c>
      <c r="J2154" s="6" t="s">
        <v>394</v>
      </c>
      <c r="K2154" s="10">
        <v>21.06</v>
      </c>
      <c r="L2154" s="10">
        <v>40.5</v>
      </c>
      <c r="M2154" s="6" t="s">
        <v>421</v>
      </c>
      <c r="N2154" s="6">
        <f>IF(OR($G2154="FCC",$G2154="Hydrocracker",$G2154="Reformer"),IF(COUNTIFS($D:$D,$D2154,$A:$A,$A2154,$B:$B,$B2154,$G:$G,"CDU",$J:$J,"PLANNED")&gt;0,"tied","standalone"),"")</f>
        <v/>
      </c>
    </row>
    <row r="2155" spans="1:14">
      <c r="A2155" s="6">
        <v>2023</v>
      </c>
      <c r="B2155" s="6">
        <v>10</v>
      </c>
      <c r="C2155" s="6" t="s">
        <v>69</v>
      </c>
      <c r="D2155" s="6" t="s">
        <v>445</v>
      </c>
      <c r="E2155" s="6" t="s">
        <v>446</v>
      </c>
      <c r="F2155" s="6" t="str">
        <f>IF($M2155="PADD I","PADD 1",IF($M2155="PADD II","PADD 2",IF($M2155="PADD III","PADD 3",IF($M2155="PADD IV","PADD 4",IF($M2155="PADD V","PADD 5","")))))</f>
        <v>PADD 3</v>
      </c>
      <c r="G2155" s="6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6" t="s">
        <v>44</v>
      </c>
      <c r="I2155" s="6" t="s">
        <v>549</v>
      </c>
      <c r="J2155" s="6" t="s">
        <v>394</v>
      </c>
      <c r="K2155" s="10">
        <v>20.88</v>
      </c>
      <c r="L2155" s="10">
        <v>72</v>
      </c>
      <c r="M2155" s="6" t="s">
        <v>421</v>
      </c>
      <c r="N2155" s="6">
        <f>IF(OR($G2155="FCC",$G2155="Hydrocracker",$G2155="Reformer"),IF(COUNTIFS($D:$D,$D2155,$A:$A,$A2155,$B:$B,$B2155,$G:$G,"CDU",$J:$J,"PLANNED")&gt;0,"tied","standalone"),"")</f>
        <v/>
      </c>
    </row>
    <row r="2156" spans="1:14">
      <c r="A2156" s="6">
        <v>2023</v>
      </c>
      <c r="B2156" s="6">
        <v>10</v>
      </c>
      <c r="C2156" s="6" t="s">
        <v>69</v>
      </c>
      <c r="D2156" s="6" t="s">
        <v>518</v>
      </c>
      <c r="E2156" s="6" t="s">
        <v>419</v>
      </c>
      <c r="F2156" s="6" t="str">
        <f>IF($M2156="PADD I","PADD 1",IF($M2156="PADD II","PADD 2",IF($M2156="PADD III","PADD 3",IF($M2156="PADD IV","PADD 4",IF($M2156="PADD V","PADD 5","")))))</f>
        <v>PADD 3</v>
      </c>
      <c r="G2156" s="6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6" t="s">
        <v>426</v>
      </c>
      <c r="I2156" s="6" t="s">
        <v>519</v>
      </c>
      <c r="J2156" s="6" t="s">
        <v>398</v>
      </c>
      <c r="K2156" s="10">
        <v>20.4</v>
      </c>
      <c r="L2156" s="10">
        <v>30</v>
      </c>
      <c r="M2156" s="6" t="s">
        <v>421</v>
      </c>
      <c r="N2156" s="6" t="str">
        <f>IF(OR($G2156="FCC",$G2156="Hydrocracker",$G2156="Reformer"),IF(COUNTIFS($D:$D,$D2156,$A:$A,$A2156,$B:$B,$B2156,$G:$G,"CDU",$J:$J,"PLANNED")&gt;0,"tied","standalone"),"")</f>
        <v>tied</v>
      </c>
    </row>
    <row r="2157" spans="1:14">
      <c r="A2157" s="6">
        <v>2023</v>
      </c>
      <c r="B2157" s="6">
        <v>10</v>
      </c>
      <c r="C2157" s="6" t="s">
        <v>69</v>
      </c>
      <c r="D2157" s="6" t="s">
        <v>375</v>
      </c>
      <c r="E2157" s="6" t="s">
        <v>435</v>
      </c>
      <c r="F2157" s="6" t="str">
        <f>IF($M2157="PADD I","PADD 1",IF($M2157="PADD II","PADD 2",IF($M2157="PADD III","PADD 3",IF($M2157="PADD IV","PADD 4",IF($M2157="PADD V","PADD 5","")))))</f>
        <v>PADD 5</v>
      </c>
      <c r="G2157" s="6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6" t="s">
        <v>485</v>
      </c>
      <c r="I2157" s="6" t="s">
        <v>491</v>
      </c>
      <c r="J2157" s="6" t="s">
        <v>394</v>
      </c>
      <c r="K2157" s="10">
        <v>20.25</v>
      </c>
      <c r="L2157" s="10">
        <v>22.5</v>
      </c>
      <c r="M2157" s="6" t="s">
        <v>436</v>
      </c>
      <c r="N2157" s="6">
        <f>IF(OR($G2157="FCC",$G2157="Hydrocracker",$G2157="Reformer"),IF(COUNTIFS($D:$D,$D2157,$A:$A,$A2157,$B:$B,$B2157,$G:$G,"CDU",$J:$J,"PLANNED")&gt;0,"tied","standalone"),"")</f>
        <v/>
      </c>
    </row>
    <row r="2158" spans="1:14">
      <c r="A2158" s="6">
        <v>2023</v>
      </c>
      <c r="B2158" s="6">
        <v>10</v>
      </c>
      <c r="C2158" s="6" t="s">
        <v>69</v>
      </c>
      <c r="D2158" s="6" t="s">
        <v>937</v>
      </c>
      <c r="E2158" s="6" t="s">
        <v>455</v>
      </c>
      <c r="F2158" s="6" t="str">
        <f>IF($M2158="PADD I","PADD 1",IF($M2158="PADD II","PADD 2",IF($M2158="PADD III","PADD 3",IF($M2158="PADD IV","PADD 4",IF($M2158="PADD V","PADD 5","")))))</f>
        <v>PADD 3</v>
      </c>
      <c r="G2158" s="6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6" t="s">
        <v>44</v>
      </c>
      <c r="I2158" s="6" t="s">
        <v>968</v>
      </c>
      <c r="J2158" s="6" t="s">
        <v>398</v>
      </c>
      <c r="K2158" s="10">
        <v>20</v>
      </c>
      <c r="L2158" s="10">
        <v>20</v>
      </c>
      <c r="M2158" s="6" t="s">
        <v>421</v>
      </c>
      <c r="N2158" s="6">
        <f>IF(OR($G2158="FCC",$G2158="Hydrocracker",$G2158="Reformer"),IF(COUNTIFS($D:$D,$D2158,$A:$A,$A2158,$B:$B,$B2158,$G:$G,"CDU",$J:$J,"PLANNED")&gt;0,"tied","standalone"),"")</f>
        <v/>
      </c>
    </row>
    <row r="2159" spans="1:14">
      <c r="A2159" s="6">
        <v>2023</v>
      </c>
      <c r="B2159" s="6">
        <v>10</v>
      </c>
      <c r="C2159" s="6" t="s">
        <v>69</v>
      </c>
      <c r="D2159" s="6" t="s">
        <v>518</v>
      </c>
      <c r="E2159" s="6" t="s">
        <v>419</v>
      </c>
      <c r="F2159" s="6" t="str">
        <f>IF($M2159="PADD I","PADD 1",IF($M2159="PADD II","PADD 2",IF($M2159="PADD III","PADD 3",IF($M2159="PADD IV","PADD 4",IF($M2159="PADD V","PADD 5","")))))</f>
        <v>PADD 3</v>
      </c>
      <c r="G2159" s="6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6" t="s">
        <v>44</v>
      </c>
      <c r="I2159" s="6" t="s">
        <v>1080</v>
      </c>
      <c r="J2159" s="6" t="s">
        <v>398</v>
      </c>
      <c r="K2159" s="10">
        <v>20</v>
      </c>
      <c r="L2159" s="10">
        <v>20</v>
      </c>
      <c r="M2159" s="6" t="s">
        <v>421</v>
      </c>
      <c r="N2159" s="6">
        <f>IF(OR($G2159="FCC",$G2159="Hydrocracker",$G2159="Reformer"),IF(COUNTIFS($D:$D,$D2159,$A:$A,$A2159,$B:$B,$B2159,$G:$G,"CDU",$J:$J,"PLANNED")&gt;0,"tied","standalone"),"")</f>
        <v/>
      </c>
    </row>
    <row r="2160" spans="1:14">
      <c r="A2160" s="6">
        <v>2023</v>
      </c>
      <c r="B2160" s="6">
        <v>10</v>
      </c>
      <c r="C2160" s="6" t="s">
        <v>69</v>
      </c>
      <c r="D2160" s="6" t="s">
        <v>518</v>
      </c>
      <c r="E2160" s="6" t="s">
        <v>419</v>
      </c>
      <c r="F2160" s="6" t="str">
        <f>IF($M2160="PADD I","PADD 1",IF($M2160="PADD II","PADD 2",IF($M2160="PADD III","PADD 3",IF($M2160="PADD IV","PADD 4",IF($M2160="PADD V","PADD 5","")))))</f>
        <v>PADD 3</v>
      </c>
      <c r="G2160" s="6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6" t="s">
        <v>471</v>
      </c>
      <c r="I2160" s="6" t="s">
        <v>908</v>
      </c>
      <c r="J2160" s="6" t="s">
        <v>398</v>
      </c>
      <c r="K2160" s="10">
        <v>20</v>
      </c>
      <c r="L2160" s="10">
        <v>20</v>
      </c>
      <c r="M2160" s="6" t="s">
        <v>421</v>
      </c>
      <c r="N2160" s="6" t="str">
        <f>IF(OR($G2160="FCC",$G2160="Hydrocracker",$G2160="Reformer"),IF(COUNTIFS($D:$D,$D2160,$A:$A,$A2160,$B:$B,$B2160,$G:$G,"CDU",$J:$J,"PLANNED")&gt;0,"tied","standalone"),"")</f>
        <v>tied</v>
      </c>
    </row>
    <row r="2161" spans="1:14">
      <c r="A2161" s="6">
        <v>2023</v>
      </c>
      <c r="B2161" s="6">
        <v>10</v>
      </c>
      <c r="C2161" s="6" t="s">
        <v>69</v>
      </c>
      <c r="D2161" s="6" t="s">
        <v>518</v>
      </c>
      <c r="E2161" s="6" t="s">
        <v>419</v>
      </c>
      <c r="F2161" s="6" t="str">
        <f>IF($M2161="PADD I","PADD 1",IF($M2161="PADD II","PADD 2",IF($M2161="PADD III","PADD 3",IF($M2161="PADD IV","PADD 4",IF($M2161="PADD V","PADD 5","")))))</f>
        <v>PADD 3</v>
      </c>
      <c r="G2161" s="6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6" t="s">
        <v>44</v>
      </c>
      <c r="I2161" s="6" t="s">
        <v>1081</v>
      </c>
      <c r="J2161" s="6" t="s">
        <v>398</v>
      </c>
      <c r="K2161" s="10">
        <v>20</v>
      </c>
      <c r="L2161" s="10">
        <v>20</v>
      </c>
      <c r="M2161" s="6" t="s">
        <v>421</v>
      </c>
      <c r="N2161" s="6">
        <f>IF(OR($G2161="FCC",$G2161="Hydrocracker",$G2161="Reformer"),IF(COUNTIFS($D:$D,$D2161,$A:$A,$A2161,$B:$B,$B2161,$G:$G,"CDU",$J:$J,"PLANNED")&gt;0,"tied","standalone"),"")</f>
        <v/>
      </c>
    </row>
    <row r="2162" spans="1:14">
      <c r="A2162" s="6">
        <v>2023</v>
      </c>
      <c r="B2162" s="6">
        <v>10</v>
      </c>
      <c r="C2162" s="6" t="s">
        <v>69</v>
      </c>
      <c r="D2162" s="6" t="s">
        <v>652</v>
      </c>
      <c r="E2162" s="6" t="s">
        <v>419</v>
      </c>
      <c r="F2162" s="6" t="str">
        <f>IF($M2162="PADD I","PADD 1",IF($M2162="PADD II","PADD 2",IF($M2162="PADD III","PADD 3",IF($M2162="PADD IV","PADD 4",IF($M2162="PADD V","PADD 5","")))))</f>
        <v>PADD 2</v>
      </c>
      <c r="G2162" s="6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6" t="s">
        <v>471</v>
      </c>
      <c r="I2162" s="6" t="s">
        <v>747</v>
      </c>
      <c r="J2162" s="6" t="s">
        <v>398</v>
      </c>
      <c r="K2162" s="10">
        <v>20</v>
      </c>
      <c r="L2162" s="10">
        <v>20</v>
      </c>
      <c r="M2162" s="6" t="s">
        <v>425</v>
      </c>
      <c r="N2162" s="6" t="str">
        <f>IF(OR($G2162="FCC",$G2162="Hydrocracker",$G2162="Reformer"),IF(COUNTIFS($D:$D,$D2162,$A:$A,$A2162,$B:$B,$B2162,$G:$G,"CDU",$J:$J,"PLANNED")&gt;0,"tied","standalone"),"")</f>
        <v>standalone</v>
      </c>
    </row>
    <row r="2163" spans="1:14">
      <c r="A2163" s="6">
        <v>2023</v>
      </c>
      <c r="B2163" s="6">
        <v>10</v>
      </c>
      <c r="C2163" s="6" t="s">
        <v>69</v>
      </c>
      <c r="D2163" s="6" t="s">
        <v>445</v>
      </c>
      <c r="E2163" s="6" t="s">
        <v>446</v>
      </c>
      <c r="F2163" s="6" t="str">
        <f>IF($M2163="PADD I","PADD 1",IF($M2163="PADD II","PADD 2",IF($M2163="PADD III","PADD 3",IF($M2163="PADD IV","PADD 4",IF($M2163="PADD V","PADD 5","")))))</f>
        <v>PADD 3</v>
      </c>
      <c r="G2163" s="6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6" t="s">
        <v>494</v>
      </c>
      <c r="I2163" s="6" t="s">
        <v>562</v>
      </c>
      <c r="J2163" s="6" t="s">
        <v>394</v>
      </c>
      <c r="K2163" s="10">
        <v>19.43</v>
      </c>
      <c r="L2163" s="10">
        <v>67</v>
      </c>
      <c r="M2163" s="6" t="s">
        <v>421</v>
      </c>
      <c r="N2163" s="6" t="str">
        <f>IF(OR($G2163="FCC",$G2163="Hydrocracker",$G2163="Reformer"),IF(COUNTIFS($D:$D,$D2163,$A:$A,$A2163,$B:$B,$B2163,$G:$G,"CDU",$J:$J,"PLANNED")&gt;0,"tied","standalone"),"")</f>
        <v>standalone</v>
      </c>
    </row>
    <row r="2164" spans="1:14">
      <c r="A2164" s="6">
        <v>2023</v>
      </c>
      <c r="B2164" s="6">
        <v>10</v>
      </c>
      <c r="C2164" s="6" t="s">
        <v>69</v>
      </c>
      <c r="D2164" s="6" t="s">
        <v>373</v>
      </c>
      <c r="E2164" s="6" t="s">
        <v>438</v>
      </c>
      <c r="F2164" s="6" t="str">
        <f>IF($M2164="PADD I","PADD 1",IF($M2164="PADD II","PADD 2",IF($M2164="PADD III","PADD 3",IF($M2164="PADD IV","PADD 4",IF($M2164="PADD V","PADD 5","")))))</f>
        <v>PADD 3</v>
      </c>
      <c r="G2164" s="6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6" t="s">
        <v>428</v>
      </c>
      <c r="I2164" s="6" t="s">
        <v>992</v>
      </c>
      <c r="J2164" s="6" t="s">
        <v>394</v>
      </c>
      <c r="K2164" s="10">
        <v>19.305</v>
      </c>
      <c r="L2164" s="10">
        <v>148.5</v>
      </c>
      <c r="M2164" s="6" t="s">
        <v>421</v>
      </c>
      <c r="N2164" s="6">
        <f>IF(OR($G2164="FCC",$G2164="Hydrocracker",$G2164="Reformer"),IF(COUNTIFS($D:$D,$D2164,$A:$A,$A2164,$B:$B,$B2164,$G:$G,"CDU",$J:$J,"PLANNED")&gt;0,"tied","standalone"),"")</f>
        <v/>
      </c>
    </row>
    <row r="2165" spans="1:14">
      <c r="A2165" s="6">
        <v>2023</v>
      </c>
      <c r="B2165" s="6">
        <v>10</v>
      </c>
      <c r="C2165" s="6" t="s">
        <v>69</v>
      </c>
      <c r="D2165" s="6" t="s">
        <v>371</v>
      </c>
      <c r="E2165" s="6" t="s">
        <v>419</v>
      </c>
      <c r="F2165" s="6" t="str">
        <f>IF($M2165="PADD I","PADD 1",IF($M2165="PADD II","PADD 2",IF($M2165="PADD III","PADD 3",IF($M2165="PADD IV","PADD 4",IF($M2165="PADD V","PADD 5","")))))</f>
        <v>PADD 2</v>
      </c>
      <c r="G2165" s="6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6" t="s">
        <v>39</v>
      </c>
      <c r="I2165" s="6" t="s">
        <v>571</v>
      </c>
      <c r="J2165" s="6" t="s">
        <v>394</v>
      </c>
      <c r="K2165" s="10">
        <v>19.2</v>
      </c>
      <c r="L2165" s="10">
        <v>120</v>
      </c>
      <c r="M2165" s="6" t="s">
        <v>425</v>
      </c>
      <c r="N2165" s="6">
        <f>IF(OR($G2165="FCC",$G2165="Hydrocracker",$G2165="Reformer"),IF(COUNTIFS($D:$D,$D2165,$A:$A,$A2165,$B:$B,$B2165,$G:$G,"CDU",$J:$J,"PLANNED")&gt;0,"tied","standalone"),"")</f>
        <v/>
      </c>
    </row>
    <row r="2166" spans="1:14">
      <c r="A2166" s="6">
        <v>2023</v>
      </c>
      <c r="B2166" s="6">
        <v>10</v>
      </c>
      <c r="C2166" s="6" t="s">
        <v>69</v>
      </c>
      <c r="D2166" s="6" t="s">
        <v>780</v>
      </c>
      <c r="E2166" s="6" t="s">
        <v>781</v>
      </c>
      <c r="F2166" s="6" t="str">
        <f>IF($M2166="PADD I","PADD 1",IF($M2166="PADD II","PADD 2",IF($M2166="PADD III","PADD 3",IF($M2166="PADD IV","PADD 4",IF($M2166="PADD V","PADD 5","")))))</f>
        <v>PADD 3</v>
      </c>
      <c r="G2166" s="6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6" t="s">
        <v>428</v>
      </c>
      <c r="I2166" s="6" t="s">
        <v>481</v>
      </c>
      <c r="J2166" s="6" t="s">
        <v>398</v>
      </c>
      <c r="K2166" s="10">
        <v>18.944</v>
      </c>
      <c r="L2166" s="10">
        <v>25.6</v>
      </c>
      <c r="M2166" s="6" t="s">
        <v>421</v>
      </c>
      <c r="N2166" s="6">
        <f>IF(OR($G2166="FCC",$G2166="Hydrocracker",$G2166="Reformer"),IF(COUNTIFS($D:$D,$D2166,$A:$A,$A2166,$B:$B,$B2166,$G:$G,"CDU",$J:$J,"PLANNED")&gt;0,"tied","standalone"),"")</f>
        <v/>
      </c>
    </row>
    <row r="2167" spans="1:14">
      <c r="A2167" s="6">
        <v>2023</v>
      </c>
      <c r="B2167" s="6">
        <v>10</v>
      </c>
      <c r="C2167" s="6" t="s">
        <v>69</v>
      </c>
      <c r="D2167" s="6" t="s">
        <v>928</v>
      </c>
      <c r="E2167" s="6" t="s">
        <v>502</v>
      </c>
      <c r="F2167" s="6" t="str">
        <f>IF($M2167="PADD I","PADD 1",IF($M2167="PADD II","PADD 2",IF($M2167="PADD III","PADD 3",IF($M2167="PADD IV","PADD 4",IF($M2167="PADD V","PADD 5","")))))</f>
        <v>PADD 2</v>
      </c>
      <c r="G2167" s="6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6" t="s">
        <v>428</v>
      </c>
      <c r="I2167" s="6" t="s">
        <v>586</v>
      </c>
      <c r="J2167" s="6" t="s">
        <v>398</v>
      </c>
      <c r="K2167" s="10">
        <v>18.56</v>
      </c>
      <c r="L2167" s="10">
        <v>32</v>
      </c>
      <c r="M2167" s="6" t="s">
        <v>425</v>
      </c>
      <c r="N2167" s="6">
        <f>IF(OR($G2167="FCC",$G2167="Hydrocracker",$G2167="Reformer"),IF(COUNTIFS($D:$D,$D2167,$A:$A,$A2167,$B:$B,$B2167,$G:$G,"CDU",$J:$J,"PLANNED")&gt;0,"tied","standalone"),"")</f>
        <v/>
      </c>
    </row>
    <row r="2168" spans="1:14">
      <c r="A2168" s="6">
        <v>2023</v>
      </c>
      <c r="B2168" s="6">
        <v>10</v>
      </c>
      <c r="C2168" s="6" t="s">
        <v>69</v>
      </c>
      <c r="D2168" s="6" t="s">
        <v>928</v>
      </c>
      <c r="E2168" s="6" t="s">
        <v>502</v>
      </c>
      <c r="F2168" s="6" t="str">
        <f>IF($M2168="PADD I","PADD 1",IF($M2168="PADD II","PADD 2",IF($M2168="PADD III","PADD 3",IF($M2168="PADD IV","PADD 4",IF($M2168="PADD V","PADD 5","")))))</f>
        <v>PADD 2</v>
      </c>
      <c r="G2168" s="6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6" t="s">
        <v>44</v>
      </c>
      <c r="I2168" s="6" t="s">
        <v>943</v>
      </c>
      <c r="J2168" s="6" t="s">
        <v>398</v>
      </c>
      <c r="K2168" s="10">
        <v>18.48</v>
      </c>
      <c r="L2168" s="10">
        <v>24</v>
      </c>
      <c r="M2168" s="6" t="s">
        <v>425</v>
      </c>
      <c r="N2168" s="6">
        <f>IF(OR($G2168="FCC",$G2168="Hydrocracker",$G2168="Reformer"),IF(COUNTIFS($D:$D,$D2168,$A:$A,$A2168,$B:$B,$B2168,$G:$G,"CDU",$J:$J,"PLANNED")&gt;0,"tied","standalone"),"")</f>
        <v/>
      </c>
    </row>
    <row r="2169" spans="1:14">
      <c r="A2169" s="6">
        <v>2023</v>
      </c>
      <c r="B2169" s="6">
        <v>10</v>
      </c>
      <c r="C2169" s="6" t="s">
        <v>69</v>
      </c>
      <c r="D2169" s="6" t="s">
        <v>448</v>
      </c>
      <c r="E2169" s="6" t="s">
        <v>449</v>
      </c>
      <c r="F2169" s="6" t="str">
        <f>IF($M2169="PADD I","PADD 1",IF($M2169="PADD II","PADD 2",IF($M2169="PADD III","PADD 3",IF($M2169="PADD IV","PADD 4",IF($M2169="PADD V","PADD 5","")))))</f>
        <v>PADD 3</v>
      </c>
      <c r="G2169" s="6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6" t="s">
        <v>39</v>
      </c>
      <c r="I2169" s="6" t="s">
        <v>1094</v>
      </c>
      <c r="J2169" s="6" t="s">
        <v>394</v>
      </c>
      <c r="K2169" s="10">
        <v>18.4</v>
      </c>
      <c r="L2169" s="10">
        <v>115</v>
      </c>
      <c r="M2169" s="6" t="s">
        <v>421</v>
      </c>
      <c r="N2169" s="6">
        <f>IF(OR($G2169="FCC",$G2169="Hydrocracker",$G2169="Reformer"),IF(COUNTIFS($D:$D,$D2169,$A:$A,$A2169,$B:$B,$B2169,$G:$G,"CDU",$J:$J,"PLANNED")&gt;0,"tied","standalone"),"")</f>
        <v/>
      </c>
    </row>
    <row r="2170" spans="1:14">
      <c r="A2170" s="6">
        <v>2023</v>
      </c>
      <c r="B2170" s="6">
        <v>10</v>
      </c>
      <c r="C2170" s="6" t="s">
        <v>69</v>
      </c>
      <c r="D2170" s="6" t="s">
        <v>445</v>
      </c>
      <c r="E2170" s="6" t="s">
        <v>446</v>
      </c>
      <c r="F2170" s="6" t="str">
        <f>IF($M2170="PADD I","PADD 1",IF($M2170="PADD II","PADD 2",IF($M2170="PADD III","PADD 3",IF($M2170="PADD IV","PADD 4",IF($M2170="PADD V","PADD 5","")))))</f>
        <v>PADD 3</v>
      </c>
      <c r="G2170" s="6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6" t="s">
        <v>426</v>
      </c>
      <c r="I2170" s="6" t="s">
        <v>106</v>
      </c>
      <c r="J2170" s="6" t="s">
        <v>394</v>
      </c>
      <c r="K2170" s="10">
        <v>18.2</v>
      </c>
      <c r="L2170" s="10">
        <v>70</v>
      </c>
      <c r="M2170" s="6" t="s">
        <v>421</v>
      </c>
      <c r="N2170" s="6" t="str">
        <f>IF(OR($G2170="FCC",$G2170="Hydrocracker",$G2170="Reformer"),IF(COUNTIFS($D:$D,$D2170,$A:$A,$A2170,$B:$B,$B2170,$G:$G,"CDU",$J:$J,"PLANNED")&gt;0,"tied","standalone"),"")</f>
        <v>standalone</v>
      </c>
    </row>
    <row r="2171" spans="1:14">
      <c r="A2171" s="6">
        <v>2023</v>
      </c>
      <c r="B2171" s="6">
        <v>10</v>
      </c>
      <c r="C2171" s="6" t="s">
        <v>69</v>
      </c>
      <c r="D2171" s="6" t="s">
        <v>652</v>
      </c>
      <c r="E2171" s="6" t="s">
        <v>419</v>
      </c>
      <c r="F2171" s="6" t="str">
        <f>IF($M2171="PADD I","PADD 1",IF($M2171="PADD II","PADD 2",IF($M2171="PADD III","PADD 3",IF($M2171="PADD IV","PADD 4",IF($M2171="PADD V","PADD 5","")))))</f>
        <v>PADD 2</v>
      </c>
      <c r="G2171" s="6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6" t="s">
        <v>44</v>
      </c>
      <c r="I2171" s="6" t="s">
        <v>1057</v>
      </c>
      <c r="J2171" s="6" t="s">
        <v>398</v>
      </c>
      <c r="K2171" s="10">
        <v>18</v>
      </c>
      <c r="L2171" s="10">
        <v>18</v>
      </c>
      <c r="M2171" s="6" t="s">
        <v>425</v>
      </c>
      <c r="N2171" s="6">
        <f>IF(OR($G2171="FCC",$G2171="Hydrocracker",$G2171="Reformer"),IF(COUNTIFS($D:$D,$D2171,$A:$A,$A2171,$B:$B,$B2171,$G:$G,"CDU",$J:$J,"PLANNED")&gt;0,"tied","standalone"),"")</f>
        <v/>
      </c>
    </row>
    <row r="2172" spans="1:14">
      <c r="A2172" s="6">
        <v>2023</v>
      </c>
      <c r="B2172" s="6">
        <v>10</v>
      </c>
      <c r="C2172" s="6" t="s">
        <v>69</v>
      </c>
      <c r="D2172" s="6" t="s">
        <v>789</v>
      </c>
      <c r="E2172" s="6" t="s">
        <v>455</v>
      </c>
      <c r="F2172" s="6" t="str">
        <f>IF($M2172="PADD I","PADD 1",IF($M2172="PADD II","PADD 2",IF($M2172="PADD III","PADD 3",IF($M2172="PADD IV","PADD 4",IF($M2172="PADD V","PADD 5","")))))</f>
        <v>PADD 2</v>
      </c>
      <c r="G2172" s="6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6" t="s">
        <v>44</v>
      </c>
      <c r="I2172" s="6" t="s">
        <v>739</v>
      </c>
      <c r="J2172" s="6" t="s">
        <v>394</v>
      </c>
      <c r="K2172" s="10">
        <v>17.6</v>
      </c>
      <c r="L2172" s="10">
        <v>32</v>
      </c>
      <c r="M2172" s="6" t="s">
        <v>425</v>
      </c>
      <c r="N2172" s="6">
        <f>IF(OR($G2172="FCC",$G2172="Hydrocracker",$G2172="Reformer"),IF(COUNTIFS($D:$D,$D2172,$A:$A,$A2172,$B:$B,$B2172,$G:$G,"CDU",$J:$J,"PLANNED")&gt;0,"tied","standalone"),"")</f>
        <v/>
      </c>
    </row>
    <row r="2173" spans="1:14">
      <c r="A2173" s="6">
        <v>2023</v>
      </c>
      <c r="B2173" s="6">
        <v>10</v>
      </c>
      <c r="C2173" s="6" t="s">
        <v>69</v>
      </c>
      <c r="D2173" s="6" t="s">
        <v>1047</v>
      </c>
      <c r="E2173" s="6" t="s">
        <v>419</v>
      </c>
      <c r="F2173" s="6" t="str">
        <f>IF($M2173="PADD I","PADD 1",IF($M2173="PADD II","PADD 2",IF($M2173="PADD III","PADD 3",IF($M2173="PADD IV","PADD 4",IF($M2173="PADD V","PADD 5","")))))</f>
        <v>PADD 2</v>
      </c>
      <c r="G2173" s="6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6" t="s">
        <v>428</v>
      </c>
      <c r="I2173" s="6" t="s">
        <v>836</v>
      </c>
      <c r="J2173" s="6" t="s">
        <v>394</v>
      </c>
      <c r="K2173" s="10">
        <v>17.55</v>
      </c>
      <c r="L2173" s="10">
        <v>39</v>
      </c>
      <c r="M2173" s="6" t="s">
        <v>425</v>
      </c>
      <c r="N2173" s="6">
        <f>IF(OR($G2173="FCC",$G2173="Hydrocracker",$G2173="Reformer"),IF(COUNTIFS($D:$D,$D2173,$A:$A,$A2173,$B:$B,$B2173,$G:$G,"CDU",$J:$J,"PLANNED")&gt;0,"tied","standalone"),"")</f>
        <v/>
      </c>
    </row>
    <row r="2174" spans="1:14">
      <c r="A2174" s="6">
        <v>2023</v>
      </c>
      <c r="B2174" s="6">
        <v>10</v>
      </c>
      <c r="C2174" s="6" t="s">
        <v>69</v>
      </c>
      <c r="D2174" s="6" t="s">
        <v>780</v>
      </c>
      <c r="E2174" s="6" t="s">
        <v>781</v>
      </c>
      <c r="F2174" s="6" t="str">
        <f>IF($M2174="PADD I","PADD 1",IF($M2174="PADD II","PADD 2",IF($M2174="PADD III","PADD 3",IF($M2174="PADD IV","PADD 4",IF($M2174="PADD V","PADD 5","")))))</f>
        <v>PADD 3</v>
      </c>
      <c r="G2174" s="6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6" t="s">
        <v>426</v>
      </c>
      <c r="I2174" s="6" t="s">
        <v>106</v>
      </c>
      <c r="J2174" s="6" t="s">
        <v>398</v>
      </c>
      <c r="K2174" s="10">
        <v>17.39</v>
      </c>
      <c r="L2174" s="10">
        <v>23.5</v>
      </c>
      <c r="M2174" s="6" t="s">
        <v>421</v>
      </c>
      <c r="N2174" s="6" t="str">
        <f>IF(OR($G2174="FCC",$G2174="Hydrocracker",$G2174="Reformer"),IF(COUNTIFS($D:$D,$D2174,$A:$A,$A2174,$B:$B,$B2174,$G:$G,"CDU",$J:$J,"PLANNED")&gt;0,"tied","standalone"),"")</f>
        <v>tied</v>
      </c>
    </row>
    <row r="2175" spans="1:14">
      <c r="A2175" s="6">
        <v>2023</v>
      </c>
      <c r="B2175" s="6">
        <v>10</v>
      </c>
      <c r="C2175" s="6" t="s">
        <v>69</v>
      </c>
      <c r="D2175" s="6" t="s">
        <v>780</v>
      </c>
      <c r="E2175" s="6" t="s">
        <v>781</v>
      </c>
      <c r="F2175" s="6" t="str">
        <f>IF($M2175="PADD I","PADD 1",IF($M2175="PADD II","PADD 2",IF($M2175="PADD III","PADD 3",IF($M2175="PADD IV","PADD 4",IF($M2175="PADD V","PADD 5","")))))</f>
        <v>PADD 3</v>
      </c>
      <c r="G2175" s="6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6" t="s">
        <v>44</v>
      </c>
      <c r="I2175" s="6" t="s">
        <v>1095</v>
      </c>
      <c r="J2175" s="6" t="s">
        <v>398</v>
      </c>
      <c r="K2175" s="10">
        <v>17.02</v>
      </c>
      <c r="L2175" s="10">
        <v>23</v>
      </c>
      <c r="M2175" s="6" t="s">
        <v>421</v>
      </c>
      <c r="N2175" s="6">
        <f>IF(OR($G2175="FCC",$G2175="Hydrocracker",$G2175="Reformer"),IF(COUNTIFS($D:$D,$D2175,$A:$A,$A2175,$B:$B,$B2175,$G:$G,"CDU",$J:$J,"PLANNED")&gt;0,"tied","standalone"),"")</f>
        <v/>
      </c>
    </row>
    <row r="2176" spans="1:14">
      <c r="A2176" s="6">
        <v>2023</v>
      </c>
      <c r="B2176" s="6">
        <v>10</v>
      </c>
      <c r="C2176" s="6" t="s">
        <v>69</v>
      </c>
      <c r="D2176" s="6" t="s">
        <v>373</v>
      </c>
      <c r="E2176" s="6" t="s">
        <v>438</v>
      </c>
      <c r="F2176" s="6" t="str">
        <f>IF($M2176="PADD I","PADD 1",IF($M2176="PADD II","PADD 2",IF($M2176="PADD III","PADD 3",IF($M2176="PADD IV","PADD 4",IF($M2176="PADD V","PADD 5","")))))</f>
        <v>PADD 3</v>
      </c>
      <c r="G2176" s="6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6" t="s">
        <v>44</v>
      </c>
      <c r="I2176" s="6" t="s">
        <v>732</v>
      </c>
      <c r="J2176" s="6" t="s">
        <v>394</v>
      </c>
      <c r="K2176" s="10">
        <v>16.96</v>
      </c>
      <c r="L2176" s="10">
        <v>106</v>
      </c>
      <c r="M2176" s="6" t="s">
        <v>421</v>
      </c>
      <c r="N2176" s="6">
        <f>IF(OR($G2176="FCC",$G2176="Hydrocracker",$G2176="Reformer"),IF(COUNTIFS($D:$D,$D2176,$A:$A,$A2176,$B:$B,$B2176,$G:$G,"CDU",$J:$J,"PLANNED")&gt;0,"tied","standalone"),"")</f>
        <v/>
      </c>
    </row>
    <row r="2177" spans="1:14">
      <c r="A2177" s="6">
        <v>2023</v>
      </c>
      <c r="B2177" s="6">
        <v>10</v>
      </c>
      <c r="C2177" s="6" t="s">
        <v>69</v>
      </c>
      <c r="D2177" s="6" t="s">
        <v>851</v>
      </c>
      <c r="E2177" s="6" t="s">
        <v>829</v>
      </c>
      <c r="F2177" s="6" t="str">
        <f>IF($M2177="PADD I","PADD 1",IF($M2177="PADD II","PADD 2",IF($M2177="PADD III","PADD 3",IF($M2177="PADD IV","PADD 4",IF($M2177="PADD V","PADD 5","")))))</f>
        <v>PADD 2</v>
      </c>
      <c r="G2177" s="6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6" t="s">
        <v>485</v>
      </c>
      <c r="I2177" s="6" t="s">
        <v>852</v>
      </c>
      <c r="J2177" s="6" t="s">
        <v>394</v>
      </c>
      <c r="K2177" s="10">
        <v>16.32</v>
      </c>
      <c r="L2177" s="10">
        <v>24</v>
      </c>
      <c r="M2177" s="6" t="s">
        <v>425</v>
      </c>
      <c r="N2177" s="6">
        <f>IF(OR($G2177="FCC",$G2177="Hydrocracker",$G2177="Reformer"),IF(COUNTIFS($D:$D,$D2177,$A:$A,$A2177,$B:$B,$B2177,$G:$G,"CDU",$J:$J,"PLANNED")&gt;0,"tied","standalone"),"")</f>
        <v/>
      </c>
    </row>
    <row r="2178" spans="1:14">
      <c r="A2178" s="6">
        <v>2023</v>
      </c>
      <c r="B2178" s="6">
        <v>10</v>
      </c>
      <c r="C2178" s="6" t="s">
        <v>69</v>
      </c>
      <c r="D2178" s="6" t="s">
        <v>581</v>
      </c>
      <c r="E2178" s="6" t="s">
        <v>582</v>
      </c>
      <c r="F2178" s="6" t="str">
        <f>IF($M2178="PADD I","PADD 1",IF($M2178="PADD II","PADD 2",IF($M2178="PADD III","PADD 3",IF($M2178="PADD IV","PADD 4",IF($M2178="PADD V","PADD 5","")))))</f>
        <v>PADD 5</v>
      </c>
      <c r="G2178" s="6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6" t="s">
        <v>39</v>
      </c>
      <c r="I2178" s="6" t="s">
        <v>82</v>
      </c>
      <c r="J2178" s="6" t="s">
        <v>394</v>
      </c>
      <c r="K2178" s="10">
        <v>16.275</v>
      </c>
      <c r="L2178" s="10">
        <v>46.5</v>
      </c>
      <c r="M2178" s="6" t="s">
        <v>436</v>
      </c>
      <c r="N2178" s="6">
        <f>IF(OR($G2178="FCC",$G2178="Hydrocracker",$G2178="Reformer"),IF(COUNTIFS($D:$D,$D2178,$A:$A,$A2178,$B:$B,$B2178,$G:$G,"CDU",$J:$J,"PLANNED")&gt;0,"tied","standalone"),"")</f>
        <v/>
      </c>
    </row>
    <row r="2179" spans="1:14">
      <c r="A2179" s="6">
        <v>2023</v>
      </c>
      <c r="B2179" s="6">
        <v>10</v>
      </c>
      <c r="C2179" s="6" t="s">
        <v>69</v>
      </c>
      <c r="D2179" s="6" t="s">
        <v>484</v>
      </c>
      <c r="E2179" s="6" t="s">
        <v>438</v>
      </c>
      <c r="F2179" s="6" t="str">
        <f>IF($M2179="PADD I","PADD 1",IF($M2179="PADD II","PADD 2",IF($M2179="PADD III","PADD 3",IF($M2179="PADD IV","PADD 4",IF($M2179="PADD V","PADD 5","")))))</f>
        <v>PADD 5</v>
      </c>
      <c r="G2179" s="6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6" t="s">
        <v>44</v>
      </c>
      <c r="I2179" s="6" t="s">
        <v>955</v>
      </c>
      <c r="J2179" s="6" t="s">
        <v>394</v>
      </c>
      <c r="K2179" s="10">
        <v>16.25</v>
      </c>
      <c r="L2179" s="10">
        <v>25</v>
      </c>
      <c r="M2179" s="6" t="s">
        <v>436</v>
      </c>
      <c r="N2179" s="6">
        <f>IF(OR($G2179="FCC",$G2179="Hydrocracker",$G2179="Reformer"),IF(COUNTIFS($D:$D,$D2179,$A:$A,$A2179,$B:$B,$B2179,$G:$G,"CDU",$J:$J,"PLANNED")&gt;0,"tied","standalone"),"")</f>
        <v/>
      </c>
    </row>
    <row r="2180" spans="1:14">
      <c r="A2180" s="6">
        <v>2023</v>
      </c>
      <c r="B2180" s="6">
        <v>10</v>
      </c>
      <c r="C2180" s="6" t="s">
        <v>69</v>
      </c>
      <c r="D2180" s="6" t="s">
        <v>1088</v>
      </c>
      <c r="E2180" s="6" t="s">
        <v>1089</v>
      </c>
      <c r="F2180" s="6" t="str">
        <f>IF($M2180="PADD I","PADD 1",IF($M2180="PADD II","PADD 2",IF($M2180="PADD III","PADD 3",IF($M2180="PADD IV","PADD 4",IF($M2180="PADD V","PADD 5","")))))</f>
        <v>PADD 2</v>
      </c>
      <c r="G2180" s="6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6" t="s">
        <v>471</v>
      </c>
      <c r="I2180" s="6" t="s">
        <v>1096</v>
      </c>
      <c r="J2180" s="6" t="s">
        <v>398</v>
      </c>
      <c r="K2180" s="10">
        <v>16.2</v>
      </c>
      <c r="L2180" s="10">
        <v>20</v>
      </c>
      <c r="M2180" s="6" t="s">
        <v>425</v>
      </c>
      <c r="N2180" s="6" t="str">
        <f>IF(OR($G2180="FCC",$G2180="Hydrocracker",$G2180="Reformer"),IF(COUNTIFS($D:$D,$D2180,$A:$A,$A2180,$B:$B,$B2180,$G:$G,"CDU",$J:$J,"PLANNED")&gt;0,"tied","standalone"),"")</f>
        <v>tied</v>
      </c>
    </row>
    <row r="2181" spans="1:14">
      <c r="A2181" s="6">
        <v>2023</v>
      </c>
      <c r="B2181" s="6">
        <v>10</v>
      </c>
      <c r="C2181" s="6" t="s">
        <v>69</v>
      </c>
      <c r="D2181" s="6" t="s">
        <v>518</v>
      </c>
      <c r="E2181" s="6" t="s">
        <v>419</v>
      </c>
      <c r="F2181" s="6" t="str">
        <f>IF($M2181="PADD I","PADD 1",IF($M2181="PADD II","PADD 2",IF($M2181="PADD III","PADD 3",IF($M2181="PADD IV","PADD 4",IF($M2181="PADD V","PADD 5","")))))</f>
        <v>PADD 3</v>
      </c>
      <c r="G2181" s="6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6" t="s">
        <v>44</v>
      </c>
      <c r="I2181" s="6" t="s">
        <v>508</v>
      </c>
      <c r="J2181" s="6" t="s">
        <v>398</v>
      </c>
      <c r="K2181" s="10">
        <v>16</v>
      </c>
      <c r="L2181" s="10">
        <v>16</v>
      </c>
      <c r="M2181" s="6" t="s">
        <v>421</v>
      </c>
      <c r="N2181" s="6">
        <f>IF(OR($G2181="FCC",$G2181="Hydrocracker",$G2181="Reformer"),IF(COUNTIFS($D:$D,$D2181,$A:$A,$A2181,$B:$B,$B2181,$G:$G,"CDU",$J:$J,"PLANNED")&gt;0,"tied","standalone"),"")</f>
        <v/>
      </c>
    </row>
    <row r="2182" spans="1:14">
      <c r="A2182" s="6">
        <v>2023</v>
      </c>
      <c r="B2182" s="6">
        <v>10</v>
      </c>
      <c r="C2182" s="6" t="s">
        <v>69</v>
      </c>
      <c r="D2182" s="6" t="s">
        <v>470</v>
      </c>
      <c r="E2182" s="6" t="s">
        <v>423</v>
      </c>
      <c r="F2182" s="6" t="str">
        <f>IF($M2182="PADD I","PADD 1",IF($M2182="PADD II","PADD 2",IF($M2182="PADD III","PADD 3",IF($M2182="PADD IV","PADD 4",IF($M2182="PADD V","PADD 5","")))))</f>
        <v>PADD 2</v>
      </c>
      <c r="G2182" s="6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6" t="s">
        <v>39</v>
      </c>
      <c r="I2182" s="6" t="s">
        <v>82</v>
      </c>
      <c r="J2182" s="6" t="s">
        <v>394</v>
      </c>
      <c r="K2182" s="10">
        <v>15.925</v>
      </c>
      <c r="L2182" s="10">
        <v>24.5</v>
      </c>
      <c r="M2182" s="6" t="s">
        <v>425</v>
      </c>
      <c r="N2182" s="6">
        <f>IF(OR($G2182="FCC",$G2182="Hydrocracker",$G2182="Reformer"),IF(COUNTIFS($D:$D,$D2182,$A:$A,$A2182,$B:$B,$B2182,$G:$G,"CDU",$J:$J,"PLANNED")&gt;0,"tied","standalone"),"")</f>
        <v/>
      </c>
    </row>
    <row r="2183" spans="1:14">
      <c r="A2183" s="6">
        <v>2023</v>
      </c>
      <c r="B2183" s="6">
        <v>10</v>
      </c>
      <c r="C2183" s="6" t="s">
        <v>69</v>
      </c>
      <c r="D2183" s="6" t="s">
        <v>652</v>
      </c>
      <c r="E2183" s="6" t="s">
        <v>419</v>
      </c>
      <c r="F2183" s="6" t="str">
        <f>IF($M2183="PADD I","PADD 1",IF($M2183="PADD II","PADD 2",IF($M2183="PADD III","PADD 3",IF($M2183="PADD IV","PADD 4",IF($M2183="PADD V","PADD 5","")))))</f>
        <v>PADD 2</v>
      </c>
      <c r="G2183" s="6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6" t="s">
        <v>510</v>
      </c>
      <c r="I2183" s="6" t="s">
        <v>666</v>
      </c>
      <c r="J2183" s="6" t="s">
        <v>394</v>
      </c>
      <c r="K2183" s="10">
        <v>15.64</v>
      </c>
      <c r="L2183" s="10">
        <v>23</v>
      </c>
      <c r="M2183" s="6" t="s">
        <v>425</v>
      </c>
      <c r="N2183" s="6">
        <f>IF(OR($G2183="FCC",$G2183="Hydrocracker",$G2183="Reformer"),IF(COUNTIFS($D:$D,$D2183,$A:$A,$A2183,$B:$B,$B2183,$G:$G,"CDU",$J:$J,"PLANNED")&gt;0,"tied","standalone"),"")</f>
        <v/>
      </c>
    </row>
    <row r="2184" spans="1:14">
      <c r="A2184" s="6">
        <v>2023</v>
      </c>
      <c r="B2184" s="6">
        <v>10</v>
      </c>
      <c r="C2184" s="6" t="s">
        <v>69</v>
      </c>
      <c r="D2184" s="6" t="s">
        <v>780</v>
      </c>
      <c r="E2184" s="6" t="s">
        <v>781</v>
      </c>
      <c r="F2184" s="6" t="str">
        <f>IF($M2184="PADD I","PADD 1",IF($M2184="PADD II","PADD 2",IF($M2184="PADD III","PADD 3",IF($M2184="PADD IV","PADD 4",IF($M2184="PADD V","PADD 5","")))))</f>
        <v>PADD 3</v>
      </c>
      <c r="G2184" s="6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6" t="s">
        <v>44</v>
      </c>
      <c r="I2184" s="6" t="s">
        <v>508</v>
      </c>
      <c r="J2184" s="6" t="s">
        <v>398</v>
      </c>
      <c r="K2184" s="10">
        <v>14.8</v>
      </c>
      <c r="L2184" s="10">
        <v>20</v>
      </c>
      <c r="M2184" s="6" t="s">
        <v>421</v>
      </c>
      <c r="N2184" s="6">
        <f>IF(OR($G2184="FCC",$G2184="Hydrocracker",$G2184="Reformer"),IF(COUNTIFS($D:$D,$D2184,$A:$A,$A2184,$B:$B,$B2184,$G:$G,"CDU",$J:$J,"PLANNED")&gt;0,"tied","standalone"),"")</f>
        <v/>
      </c>
    </row>
    <row r="2185" spans="1:14">
      <c r="A2185" s="6">
        <v>2023</v>
      </c>
      <c r="B2185" s="6">
        <v>10</v>
      </c>
      <c r="C2185" s="6" t="s">
        <v>69</v>
      </c>
      <c r="D2185" s="6" t="s">
        <v>445</v>
      </c>
      <c r="E2185" s="6" t="s">
        <v>446</v>
      </c>
      <c r="F2185" s="6" t="str">
        <f>IF($M2185="PADD I","PADD 1",IF($M2185="PADD II","PADD 2",IF($M2185="PADD III","PADD 3",IF($M2185="PADD IV","PADD 4",IF($M2185="PADD V","PADD 5","")))))</f>
        <v>PADD 3</v>
      </c>
      <c r="G2185" s="6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6" t="s">
        <v>485</v>
      </c>
      <c r="I2185" s="6" t="s">
        <v>491</v>
      </c>
      <c r="J2185" s="6" t="s">
        <v>394</v>
      </c>
      <c r="K2185" s="10">
        <v>14.72</v>
      </c>
      <c r="L2185" s="10">
        <v>92</v>
      </c>
      <c r="M2185" s="6" t="s">
        <v>421</v>
      </c>
      <c r="N2185" s="6">
        <f>IF(OR($G2185="FCC",$G2185="Hydrocracker",$G2185="Reformer"),IF(COUNTIFS($D:$D,$D2185,$A:$A,$A2185,$B:$B,$B2185,$G:$G,"CDU",$J:$J,"PLANNED")&gt;0,"tied","standalone"),"")</f>
        <v/>
      </c>
    </row>
    <row r="2186" spans="1:14">
      <c r="A2186" s="6">
        <v>2023</v>
      </c>
      <c r="B2186" s="6">
        <v>10</v>
      </c>
      <c r="C2186" s="6" t="s">
        <v>69</v>
      </c>
      <c r="D2186" s="6" t="s">
        <v>448</v>
      </c>
      <c r="E2186" s="6" t="s">
        <v>449</v>
      </c>
      <c r="F2186" s="6" t="str">
        <f>IF($M2186="PADD I","PADD 1",IF($M2186="PADD II","PADD 2",IF($M2186="PADD III","PADD 3",IF($M2186="PADD IV","PADD 4",IF($M2186="PADD V","PADD 5","")))))</f>
        <v>PADD 3</v>
      </c>
      <c r="G2186" s="6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6" t="s">
        <v>428</v>
      </c>
      <c r="I2186" s="6" t="s">
        <v>537</v>
      </c>
      <c r="J2186" s="6" t="s">
        <v>394</v>
      </c>
      <c r="K2186" s="10">
        <v>14.56</v>
      </c>
      <c r="L2186" s="10">
        <v>91</v>
      </c>
      <c r="M2186" s="6" t="s">
        <v>421</v>
      </c>
      <c r="N2186" s="6">
        <f>IF(OR($G2186="FCC",$G2186="Hydrocracker",$G2186="Reformer"),IF(COUNTIFS($D:$D,$D2186,$A:$A,$A2186,$B:$B,$B2186,$G:$G,"CDU",$J:$J,"PLANNED")&gt;0,"tied","standalone"),"")</f>
        <v/>
      </c>
    </row>
    <row r="2187" spans="1:14">
      <c r="A2187" s="6">
        <v>2023</v>
      </c>
      <c r="B2187" s="6">
        <v>10</v>
      </c>
      <c r="C2187" s="6" t="s">
        <v>69</v>
      </c>
      <c r="D2187" s="6" t="s">
        <v>518</v>
      </c>
      <c r="E2187" s="6" t="s">
        <v>419</v>
      </c>
      <c r="F2187" s="6" t="str">
        <f>IF($M2187="PADD I","PADD 1",IF($M2187="PADD II","PADD 2",IF($M2187="PADD III","PADD 3",IF($M2187="PADD IV","PADD 4",IF($M2187="PADD V","PADD 5","")))))</f>
        <v>PADD 3</v>
      </c>
      <c r="G2187" s="6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6" t="s">
        <v>510</v>
      </c>
      <c r="I2187" s="6" t="s">
        <v>940</v>
      </c>
      <c r="J2187" s="6" t="s">
        <v>398</v>
      </c>
      <c r="K2187" s="10">
        <v>14</v>
      </c>
      <c r="L2187" s="10">
        <v>14</v>
      </c>
      <c r="M2187" s="6" t="s">
        <v>421</v>
      </c>
      <c r="N2187" s="6">
        <f>IF(OR($G2187="FCC",$G2187="Hydrocracker",$G2187="Reformer"),IF(COUNTIFS($D:$D,$D2187,$A:$A,$A2187,$B:$B,$B2187,$G:$G,"CDU",$J:$J,"PLANNED")&gt;0,"tied","standalone"),"")</f>
        <v/>
      </c>
    </row>
    <row r="2188" spans="1:14">
      <c r="A2188" s="6">
        <v>2023</v>
      </c>
      <c r="B2188" s="6">
        <v>10</v>
      </c>
      <c r="C2188" s="6" t="s">
        <v>69</v>
      </c>
      <c r="D2188" s="6" t="s">
        <v>41</v>
      </c>
      <c r="E2188" s="6" t="s">
        <v>786</v>
      </c>
      <c r="F2188" s="6" t="str">
        <f>IF($M2188="PADD I","PADD 1",IF($M2188="PADD II","PADD 2",IF($M2188="PADD III","PADD 3",IF($M2188="PADD IV","PADD 4",IF($M2188="PADD V","PADD 5","")))))</f>
        <v>PADD 1</v>
      </c>
      <c r="G2188" s="6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6" t="s">
        <v>687</v>
      </c>
      <c r="I2188" s="6" t="s">
        <v>1069</v>
      </c>
      <c r="J2188" s="6" t="s">
        <v>398</v>
      </c>
      <c r="K2188" s="10">
        <v>14</v>
      </c>
      <c r="L2188" s="10">
        <v>14</v>
      </c>
      <c r="M2188" s="6" t="s">
        <v>463</v>
      </c>
      <c r="N2188" s="6">
        <f>IF(OR($G2188="FCC",$G2188="Hydrocracker",$G2188="Reformer"),IF(COUNTIFS($D:$D,$D2188,$A:$A,$A2188,$B:$B,$B2188,$G:$G,"CDU",$J:$J,"PLANNED")&gt;0,"tied","standalone"),"")</f>
        <v/>
      </c>
    </row>
    <row r="2189" spans="1:14">
      <c r="A2189" s="6">
        <v>2023</v>
      </c>
      <c r="B2189" s="6">
        <v>10</v>
      </c>
      <c r="C2189" s="6" t="s">
        <v>69</v>
      </c>
      <c r="D2189" s="6" t="s">
        <v>851</v>
      </c>
      <c r="E2189" s="6" t="s">
        <v>829</v>
      </c>
      <c r="F2189" s="6" t="str">
        <f>IF($M2189="PADD I","PADD 1",IF($M2189="PADD II","PADD 2",IF($M2189="PADD III","PADD 3",IF($M2189="PADD IV","PADD 4",IF($M2189="PADD V","PADD 5","")))))</f>
        <v>PADD 2</v>
      </c>
      <c r="G2189" s="6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6" t="s">
        <v>485</v>
      </c>
      <c r="I2189" s="6" t="s">
        <v>944</v>
      </c>
      <c r="J2189" s="6" t="s">
        <v>398</v>
      </c>
      <c r="K2189" s="10">
        <v>13.86</v>
      </c>
      <c r="L2189" s="10">
        <v>16.5</v>
      </c>
      <c r="M2189" s="6" t="s">
        <v>425</v>
      </c>
      <c r="N2189" s="6">
        <f>IF(OR($G2189="FCC",$G2189="Hydrocracker",$G2189="Reformer"),IF(COUNTIFS($D:$D,$D2189,$A:$A,$A2189,$B:$B,$B2189,$G:$G,"CDU",$J:$J,"PLANNED")&gt;0,"tied","standalone"),"")</f>
        <v/>
      </c>
    </row>
    <row r="2190" spans="1:14">
      <c r="A2190" s="6">
        <v>2023</v>
      </c>
      <c r="B2190" s="6">
        <v>10</v>
      </c>
      <c r="C2190" s="6" t="s">
        <v>69</v>
      </c>
      <c r="D2190" s="6" t="s">
        <v>470</v>
      </c>
      <c r="E2190" s="6" t="s">
        <v>423</v>
      </c>
      <c r="F2190" s="6" t="str">
        <f>IF($M2190="PADD I","PADD 1",IF($M2190="PADD II","PADD 2",IF($M2190="PADD III","PADD 3",IF($M2190="PADD IV","PADD 4",IF($M2190="PADD V","PADD 5","")))))</f>
        <v>PADD 2</v>
      </c>
      <c r="G2190" s="6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6" t="s">
        <v>428</v>
      </c>
      <c r="I2190" s="6" t="s">
        <v>481</v>
      </c>
      <c r="J2190" s="6" t="s">
        <v>394</v>
      </c>
      <c r="K2190" s="10">
        <v>13.325</v>
      </c>
      <c r="L2190" s="10">
        <v>20.5</v>
      </c>
      <c r="M2190" s="6" t="s">
        <v>425</v>
      </c>
      <c r="N2190" s="6">
        <f>IF(OR($G2190="FCC",$G2190="Hydrocracker",$G2190="Reformer"),IF(COUNTIFS($D:$D,$D2190,$A:$A,$A2190,$B:$B,$B2190,$G:$G,"CDU",$J:$J,"PLANNED")&gt;0,"tied","standalone"),"")</f>
        <v/>
      </c>
    </row>
    <row r="2191" spans="1:14">
      <c r="A2191" s="6">
        <v>2023</v>
      </c>
      <c r="B2191" s="6">
        <v>10</v>
      </c>
      <c r="C2191" s="6" t="s">
        <v>69</v>
      </c>
      <c r="D2191" s="6" t="s">
        <v>712</v>
      </c>
      <c r="E2191" s="6" t="s">
        <v>602</v>
      </c>
      <c r="F2191" s="6" t="str">
        <f>IF($M2191="PADD I","PADD 1",IF($M2191="PADD II","PADD 2",IF($M2191="PADD III","PADD 3",IF($M2191="PADD IV","PADD 4",IF($M2191="PADD V","PADD 5","")))))</f>
        <v>PADD 3</v>
      </c>
      <c r="G2191" s="6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6" t="s">
        <v>44</v>
      </c>
      <c r="I2191" s="6" t="s">
        <v>977</v>
      </c>
      <c r="J2191" s="6" t="s">
        <v>398</v>
      </c>
      <c r="K2191" s="10">
        <v>13.26</v>
      </c>
      <c r="L2191" s="10">
        <v>25.5</v>
      </c>
      <c r="M2191" s="6" t="s">
        <v>421</v>
      </c>
      <c r="N2191" s="6">
        <f>IF(OR($G2191="FCC",$G2191="Hydrocracker",$G2191="Reformer"),IF(COUNTIFS($D:$D,$D2191,$A:$A,$A2191,$B:$B,$B2191,$G:$G,"CDU",$J:$J,"PLANNED")&gt;0,"tied","standalone"),"")</f>
        <v/>
      </c>
    </row>
    <row r="2192" spans="1:14">
      <c r="A2192" s="6">
        <v>2023</v>
      </c>
      <c r="B2192" s="6">
        <v>10</v>
      </c>
      <c r="C2192" s="6" t="s">
        <v>69</v>
      </c>
      <c r="D2192" s="6" t="s">
        <v>622</v>
      </c>
      <c r="E2192" s="6" t="s">
        <v>623</v>
      </c>
      <c r="F2192" s="6" t="str">
        <f>IF($M2192="PADD I","PADD 1",IF($M2192="PADD II","PADD 2",IF($M2192="PADD III","PADD 3",IF($M2192="PADD IV","PADD 4",IF($M2192="PADD V","PADD 5","")))))</f>
        <v>PADD 3</v>
      </c>
      <c r="G2192" s="6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6" t="s">
        <v>39</v>
      </c>
      <c r="I2192" s="6" t="s">
        <v>624</v>
      </c>
      <c r="J2192" s="6" t="s">
        <v>394</v>
      </c>
      <c r="K2192" s="10">
        <v>13</v>
      </c>
      <c r="L2192" s="10">
        <v>50</v>
      </c>
      <c r="M2192" s="6" t="s">
        <v>421</v>
      </c>
      <c r="N2192" s="6">
        <f>IF(OR($G2192="FCC",$G2192="Hydrocracker",$G2192="Reformer"),IF(COUNTIFS($D:$D,$D2192,$A:$A,$A2192,$B:$B,$B2192,$G:$G,"CDU",$J:$J,"PLANNED")&gt;0,"tied","standalone"),"")</f>
        <v/>
      </c>
    </row>
    <row r="2193" spans="1:14">
      <c r="A2193" s="6">
        <v>2023</v>
      </c>
      <c r="B2193" s="6">
        <v>10</v>
      </c>
      <c r="C2193" s="6" t="s">
        <v>69</v>
      </c>
      <c r="D2193" s="6" t="s">
        <v>515</v>
      </c>
      <c r="E2193" s="6" t="s">
        <v>419</v>
      </c>
      <c r="F2193" s="6" t="str">
        <f>IF($M2193="PADD I","PADD 1",IF($M2193="PADD II","PADD 2",IF($M2193="PADD III","PADD 3",IF($M2193="PADD IV","PADD 4",IF($M2193="PADD V","PADD 5","")))))</f>
        <v>PADD 5</v>
      </c>
      <c r="G2193" s="6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6" t="s">
        <v>44</v>
      </c>
      <c r="I2193" s="6" t="s">
        <v>516</v>
      </c>
      <c r="J2193" s="6" t="s">
        <v>398</v>
      </c>
      <c r="K2193" s="10">
        <v>13</v>
      </c>
      <c r="L2193" s="10">
        <v>50</v>
      </c>
      <c r="M2193" s="6" t="s">
        <v>436</v>
      </c>
      <c r="N2193" s="6">
        <f>IF(OR($G2193="FCC",$G2193="Hydrocracker",$G2193="Reformer"),IF(COUNTIFS($D:$D,$D2193,$A:$A,$A2193,$B:$B,$B2193,$G:$G,"CDU",$J:$J,"PLANNED")&gt;0,"tied","standalone"),"")</f>
        <v/>
      </c>
    </row>
    <row r="2194" spans="1:14">
      <c r="A2194" s="6">
        <v>2023</v>
      </c>
      <c r="B2194" s="6">
        <v>10</v>
      </c>
      <c r="C2194" s="6" t="s">
        <v>69</v>
      </c>
      <c r="D2194" s="6" t="s">
        <v>1010</v>
      </c>
      <c r="E2194" s="6" t="s">
        <v>931</v>
      </c>
      <c r="F2194" s="6" t="str">
        <f>IF($M2194="PADD I","PADD 1",IF($M2194="PADD II","PADD 2",IF($M2194="PADD III","PADD 3",IF($M2194="PADD IV","PADD 4",IF($M2194="PADD V","PADD 5","")))))</f>
        <v>PADD 3</v>
      </c>
      <c r="G2194" s="6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6" t="s">
        <v>39</v>
      </c>
      <c r="I2194" s="6" t="s">
        <v>1097</v>
      </c>
      <c r="J2194" s="6" t="s">
        <v>398</v>
      </c>
      <c r="K2194" s="10">
        <v>12.87</v>
      </c>
      <c r="L2194" s="10">
        <v>33</v>
      </c>
      <c r="M2194" s="6" t="s">
        <v>421</v>
      </c>
      <c r="N2194" s="6">
        <f>IF(OR($G2194="FCC",$G2194="Hydrocracker",$G2194="Reformer"),IF(COUNTIFS($D:$D,$D2194,$A:$A,$A2194,$B:$B,$B2194,$G:$G,"CDU",$J:$J,"PLANNED")&gt;0,"tied","standalone"),"")</f>
        <v/>
      </c>
    </row>
    <row r="2195" spans="1:14">
      <c r="A2195" s="6">
        <v>2023</v>
      </c>
      <c r="B2195" s="6">
        <v>10</v>
      </c>
      <c r="C2195" s="6" t="s">
        <v>69</v>
      </c>
      <c r="D2195" s="6" t="s">
        <v>430</v>
      </c>
      <c r="E2195" s="6" t="s">
        <v>431</v>
      </c>
      <c r="F2195" s="6" t="str">
        <f>IF($M2195="PADD I","PADD 1",IF($M2195="PADD II","PADD 2",IF($M2195="PADD III","PADD 3",IF($M2195="PADD IV","PADD 4",IF($M2195="PADD V","PADD 5","")))))</f>
        <v>PADD 3</v>
      </c>
      <c r="G2195" s="6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6" t="s">
        <v>428</v>
      </c>
      <c r="I2195" s="6" t="s">
        <v>1037</v>
      </c>
      <c r="J2195" s="6" t="s">
        <v>394</v>
      </c>
      <c r="K2195" s="10">
        <v>12.76</v>
      </c>
      <c r="L2195" s="10">
        <v>44</v>
      </c>
      <c r="M2195" s="6" t="s">
        <v>421</v>
      </c>
      <c r="N2195" s="6">
        <f>IF(OR($G2195="FCC",$G2195="Hydrocracker",$G2195="Reformer"),IF(COUNTIFS($D:$D,$D2195,$A:$A,$A2195,$B:$B,$B2195,$G:$G,"CDU",$J:$J,"PLANNED")&gt;0,"tied","standalone"),"")</f>
        <v/>
      </c>
    </row>
    <row r="2196" spans="1:14">
      <c r="A2196" s="6">
        <v>2023</v>
      </c>
      <c r="B2196" s="6">
        <v>10</v>
      </c>
      <c r="C2196" s="6" t="s">
        <v>69</v>
      </c>
      <c r="D2196" s="6" t="s">
        <v>626</v>
      </c>
      <c r="E2196" s="6" t="s">
        <v>419</v>
      </c>
      <c r="F2196" s="6" t="str">
        <f>IF($M2196="PADD I","PADD 1",IF($M2196="PADD II","PADD 2",IF($M2196="PADD III","PADD 3",IF($M2196="PADD IV","PADD 4",IF($M2196="PADD V","PADD 5","")))))</f>
        <v>PADD 3</v>
      </c>
      <c r="G2196" s="6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6" t="s">
        <v>44</v>
      </c>
      <c r="I2196" s="6" t="s">
        <v>1033</v>
      </c>
      <c r="J2196" s="6" t="s">
        <v>398</v>
      </c>
      <c r="K2196" s="10">
        <v>12.65</v>
      </c>
      <c r="L2196" s="10">
        <v>55</v>
      </c>
      <c r="M2196" s="6" t="s">
        <v>421</v>
      </c>
      <c r="N2196" s="6">
        <f>IF(OR($G2196="FCC",$G2196="Hydrocracker",$G2196="Reformer"),IF(COUNTIFS($D:$D,$D2196,$A:$A,$A2196,$B:$B,$B2196,$G:$G,"CDU",$J:$J,"PLANNED")&gt;0,"tied","standalone"),"")</f>
        <v/>
      </c>
    </row>
    <row r="2197" spans="1:14">
      <c r="A2197" s="6">
        <v>2023</v>
      </c>
      <c r="B2197" s="6">
        <v>10</v>
      </c>
      <c r="C2197" s="6" t="s">
        <v>69</v>
      </c>
      <c r="D2197" s="6" t="s">
        <v>626</v>
      </c>
      <c r="E2197" s="6" t="s">
        <v>419</v>
      </c>
      <c r="F2197" s="6" t="str">
        <f>IF($M2197="PADD I","PADD 1",IF($M2197="PADD II","PADD 2",IF($M2197="PADD III","PADD 3",IF($M2197="PADD IV","PADD 4",IF($M2197="PADD V","PADD 5","")))))</f>
        <v>PADD 3</v>
      </c>
      <c r="G2197" s="6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6" t="s">
        <v>485</v>
      </c>
      <c r="I2197" s="6" t="s">
        <v>1034</v>
      </c>
      <c r="J2197" s="6" t="s">
        <v>398</v>
      </c>
      <c r="K2197" s="10">
        <v>12.42</v>
      </c>
      <c r="L2197" s="10">
        <v>54</v>
      </c>
      <c r="M2197" s="6" t="s">
        <v>421</v>
      </c>
      <c r="N2197" s="6">
        <f>IF(OR($G2197="FCC",$G2197="Hydrocracker",$G2197="Reformer"),IF(COUNTIFS($D:$D,$D2197,$A:$A,$A2197,$B:$B,$B2197,$G:$G,"CDU",$J:$J,"PLANNED")&gt;0,"tied","standalone"),"")</f>
        <v/>
      </c>
    </row>
    <row r="2198" spans="1:14">
      <c r="A2198" s="6">
        <v>2023</v>
      </c>
      <c r="B2198" s="6">
        <v>10</v>
      </c>
      <c r="C2198" s="6" t="s">
        <v>69</v>
      </c>
      <c r="D2198" s="6" t="s">
        <v>652</v>
      </c>
      <c r="E2198" s="6" t="s">
        <v>419</v>
      </c>
      <c r="F2198" s="6" t="str">
        <f>IF($M2198="PADD I","PADD 1",IF($M2198="PADD II","PADD 2",IF($M2198="PADD III","PADD 3",IF($M2198="PADD IV","PADD 4",IF($M2198="PADD V","PADD 5","")))))</f>
        <v>PADD 2</v>
      </c>
      <c r="G2198" s="6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6" t="s">
        <v>618</v>
      </c>
      <c r="I2198" s="6" t="s">
        <v>1065</v>
      </c>
      <c r="J2198" s="6" t="s">
        <v>398</v>
      </c>
      <c r="K2198" s="10">
        <v>12</v>
      </c>
      <c r="L2198" s="10">
        <v>12</v>
      </c>
      <c r="M2198" s="6" t="s">
        <v>425</v>
      </c>
      <c r="N2198" s="6">
        <f>IF(OR($G2198="FCC",$G2198="Hydrocracker",$G2198="Reformer"),IF(COUNTIFS($D:$D,$D2198,$A:$A,$A2198,$B:$B,$B2198,$G:$G,"CDU",$J:$J,"PLANNED")&gt;0,"tied","standalone"),"")</f>
        <v/>
      </c>
    </row>
    <row r="2199" spans="1:14">
      <c r="A2199" s="6">
        <v>2023</v>
      </c>
      <c r="B2199" s="6">
        <v>10</v>
      </c>
      <c r="C2199" s="6" t="s">
        <v>69</v>
      </c>
      <c r="D2199" s="6" t="s">
        <v>41</v>
      </c>
      <c r="E2199" s="6" t="s">
        <v>786</v>
      </c>
      <c r="F2199" s="6" t="str">
        <f>IF($M2199="PADD I","PADD 1",IF($M2199="PADD II","PADD 2",IF($M2199="PADD III","PADD 3",IF($M2199="PADD IV","PADD 4",IF($M2199="PADD V","PADD 5","")))))</f>
        <v>PADD 1</v>
      </c>
      <c r="G2199" s="6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6" t="s">
        <v>510</v>
      </c>
      <c r="I2199" s="6" t="s">
        <v>810</v>
      </c>
      <c r="J2199" s="6" t="s">
        <v>398</v>
      </c>
      <c r="K2199" s="10">
        <v>12</v>
      </c>
      <c r="L2199" s="10">
        <v>12</v>
      </c>
      <c r="M2199" s="6" t="s">
        <v>463</v>
      </c>
      <c r="N2199" s="6">
        <f>IF(OR($G2199="FCC",$G2199="Hydrocracker",$G2199="Reformer"),IF(COUNTIFS($D:$D,$D2199,$A:$A,$A2199,$B:$B,$B2199,$G:$G,"CDU",$J:$J,"PLANNED")&gt;0,"tied","standalone"),"")</f>
        <v/>
      </c>
    </row>
    <row r="2200" spans="1:14">
      <c r="A2200" s="6">
        <v>2023</v>
      </c>
      <c r="B2200" s="6">
        <v>10</v>
      </c>
      <c r="C2200" s="6" t="s">
        <v>69</v>
      </c>
      <c r="D2200" s="6" t="s">
        <v>712</v>
      </c>
      <c r="E2200" s="6" t="s">
        <v>602</v>
      </c>
      <c r="F2200" s="6" t="str">
        <f>IF($M2200="PADD I","PADD 1",IF($M2200="PADD II","PADD 2",IF($M2200="PADD III","PADD 3",IF($M2200="PADD IV","PADD 4",IF($M2200="PADD V","PADD 5","")))))</f>
        <v>PADD 3</v>
      </c>
      <c r="G2200" s="6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6" t="s">
        <v>44</v>
      </c>
      <c r="I2200" s="6" t="s">
        <v>785</v>
      </c>
      <c r="J2200" s="6" t="s">
        <v>398</v>
      </c>
      <c r="K2200" s="10">
        <v>11.96</v>
      </c>
      <c r="L2200" s="10">
        <v>23</v>
      </c>
      <c r="M2200" s="6" t="s">
        <v>421</v>
      </c>
      <c r="N2200" s="6">
        <f>IF(OR($G2200="FCC",$G2200="Hydrocracker",$G2200="Reformer"),IF(COUNTIFS($D:$D,$D2200,$A:$A,$A2200,$B:$B,$B2200,$G:$G,"CDU",$J:$J,"PLANNED")&gt;0,"tied","standalone"),"")</f>
        <v/>
      </c>
    </row>
    <row r="2201" spans="1:14">
      <c r="A2201" s="6">
        <v>2023</v>
      </c>
      <c r="B2201" s="6">
        <v>10</v>
      </c>
      <c r="C2201" s="6" t="s">
        <v>69</v>
      </c>
      <c r="D2201" s="6" t="s">
        <v>712</v>
      </c>
      <c r="E2201" s="6" t="s">
        <v>602</v>
      </c>
      <c r="F2201" s="6" t="str">
        <f>IF($M2201="PADD I","PADD 1",IF($M2201="PADD II","PADD 2",IF($M2201="PADD III","PADD 3",IF($M2201="PADD IV","PADD 4",IF($M2201="PADD V","PADD 5","")))))</f>
        <v>PADD 3</v>
      </c>
      <c r="G2201" s="6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6" t="s">
        <v>428</v>
      </c>
      <c r="I2201" s="6" t="s">
        <v>481</v>
      </c>
      <c r="J2201" s="6" t="s">
        <v>398</v>
      </c>
      <c r="K2201" s="10">
        <v>11.52</v>
      </c>
      <c r="L2201" s="10">
        <v>24</v>
      </c>
      <c r="M2201" s="6" t="s">
        <v>421</v>
      </c>
      <c r="N2201" s="6">
        <f>IF(OR($G2201="FCC",$G2201="Hydrocracker",$G2201="Reformer"),IF(COUNTIFS($D:$D,$D2201,$A:$A,$A2201,$B:$B,$B2201,$G:$G,"CDU",$J:$J,"PLANNED")&gt;0,"tied","standalone"),"")</f>
        <v/>
      </c>
    </row>
    <row r="2202" spans="1:14">
      <c r="A2202" s="6">
        <v>2023</v>
      </c>
      <c r="B2202" s="6">
        <v>10</v>
      </c>
      <c r="C2202" s="6" t="s">
        <v>69</v>
      </c>
      <c r="D2202" s="6" t="s">
        <v>678</v>
      </c>
      <c r="E2202" s="6" t="s">
        <v>438</v>
      </c>
      <c r="F2202" s="6" t="str">
        <f>IF($M2202="PADD I","PADD 1",IF($M2202="PADD II","PADD 2",IF($M2202="PADD III","PADD 3",IF($M2202="PADD IV","PADD 4",IF($M2202="PADD V","PADD 5","")))))</f>
        <v>PADD 3</v>
      </c>
      <c r="G2202" s="6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6" t="s">
        <v>39</v>
      </c>
      <c r="I2202" s="6" t="s">
        <v>1098</v>
      </c>
      <c r="J2202" s="6" t="s">
        <v>394</v>
      </c>
      <c r="K2202" s="10">
        <v>11.5</v>
      </c>
      <c r="L2202" s="10">
        <v>50</v>
      </c>
      <c r="M2202" s="6" t="s">
        <v>421</v>
      </c>
      <c r="N2202" s="6">
        <f>IF(OR($G2202="FCC",$G2202="Hydrocracker",$G2202="Reformer"),IF(COUNTIFS($D:$D,$D2202,$A:$A,$A2202,$B:$B,$B2202,$G:$G,"CDU",$J:$J,"PLANNED")&gt;0,"tied","standalone"),"")</f>
        <v/>
      </c>
    </row>
    <row r="2203" spans="1:14">
      <c r="A2203" s="6">
        <v>2023</v>
      </c>
      <c r="B2203" s="6">
        <v>10</v>
      </c>
      <c r="C2203" s="6" t="s">
        <v>69</v>
      </c>
      <c r="D2203" s="6" t="s">
        <v>41</v>
      </c>
      <c r="E2203" s="6" t="s">
        <v>786</v>
      </c>
      <c r="F2203" s="6" t="str">
        <f>IF($M2203="PADD I","PADD 1",IF($M2203="PADD II","PADD 2",IF($M2203="PADD III","PADD 3",IF($M2203="PADD IV","PADD 4",IF($M2203="PADD V","PADD 5","")))))</f>
        <v>PADD 1</v>
      </c>
      <c r="G2203" s="6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6" t="s">
        <v>44</v>
      </c>
      <c r="I2203" s="6" t="s">
        <v>1071</v>
      </c>
      <c r="J2203" s="6" t="s">
        <v>398</v>
      </c>
      <c r="K2203" s="10">
        <v>11.5</v>
      </c>
      <c r="L2203" s="10">
        <v>11.5</v>
      </c>
      <c r="M2203" s="6" t="s">
        <v>463</v>
      </c>
      <c r="N2203" s="6">
        <f>IF(OR($G2203="FCC",$G2203="Hydrocracker",$G2203="Reformer"),IF(COUNTIFS($D:$D,$D2203,$A:$A,$A2203,$B:$B,$B2203,$G:$G,"CDU",$J:$J,"PLANNED")&gt;0,"tied","standalone"),"")</f>
        <v/>
      </c>
    </row>
    <row r="2204" spans="1:14">
      <c r="A2204" s="6">
        <v>2023</v>
      </c>
      <c r="B2204" s="6">
        <v>10</v>
      </c>
      <c r="C2204" s="6" t="s">
        <v>69</v>
      </c>
      <c r="D2204" s="6" t="s">
        <v>678</v>
      </c>
      <c r="E2204" s="6" t="s">
        <v>438</v>
      </c>
      <c r="F2204" s="6" t="str">
        <f>IF($M2204="PADD I","PADD 1",IF($M2204="PADD II","PADD 2",IF($M2204="PADD III","PADD 3",IF($M2204="PADD IV","PADD 4",IF($M2204="PADD V","PADD 5","")))))</f>
        <v>PADD 3</v>
      </c>
      <c r="G2204" s="6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6" t="s">
        <v>426</v>
      </c>
      <c r="I2204" s="6" t="s">
        <v>106</v>
      </c>
      <c r="J2204" s="6" t="s">
        <v>394</v>
      </c>
      <c r="K2204" s="10">
        <v>11.4</v>
      </c>
      <c r="L2204" s="10">
        <v>60</v>
      </c>
      <c r="M2204" s="6" t="s">
        <v>421</v>
      </c>
      <c r="N2204" s="6" t="str">
        <f>IF(OR($G2204="FCC",$G2204="Hydrocracker",$G2204="Reformer"),IF(COUNTIFS($D:$D,$D2204,$A:$A,$A2204,$B:$B,$B2204,$G:$G,"CDU",$J:$J,"PLANNED")&gt;0,"tied","standalone"),"")</f>
        <v>standalone</v>
      </c>
    </row>
    <row r="2205" spans="1:14">
      <c r="A2205" s="6">
        <v>2023</v>
      </c>
      <c r="B2205" s="6">
        <v>10</v>
      </c>
      <c r="C2205" s="6" t="s">
        <v>69</v>
      </c>
      <c r="D2205" s="6" t="s">
        <v>789</v>
      </c>
      <c r="E2205" s="6" t="s">
        <v>455</v>
      </c>
      <c r="F2205" s="6" t="str">
        <f>IF($M2205="PADD I","PADD 1",IF($M2205="PADD II","PADD 2",IF($M2205="PADD III","PADD 3",IF($M2205="PADD IV","PADD 4",IF($M2205="PADD V","PADD 5","")))))</f>
        <v>PADD 2</v>
      </c>
      <c r="G2205" s="6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6" t="s">
        <v>44</v>
      </c>
      <c r="I2205" s="6" t="s">
        <v>790</v>
      </c>
      <c r="J2205" s="6" t="s">
        <v>394</v>
      </c>
      <c r="K2205" s="10">
        <v>11.2</v>
      </c>
      <c r="L2205" s="10">
        <v>32</v>
      </c>
      <c r="M2205" s="6" t="s">
        <v>425</v>
      </c>
      <c r="N2205" s="6">
        <f>IF(OR($G2205="FCC",$G2205="Hydrocracker",$G2205="Reformer"),IF(COUNTIFS($D:$D,$D2205,$A:$A,$A2205,$B:$B,$B2205,$G:$G,"CDU",$J:$J,"PLANNED")&gt;0,"tied","standalone"),"")</f>
        <v/>
      </c>
    </row>
    <row r="2206" spans="1:14">
      <c r="A2206" s="6">
        <v>2023</v>
      </c>
      <c r="B2206" s="6">
        <v>10</v>
      </c>
      <c r="C2206" s="6" t="s">
        <v>69</v>
      </c>
      <c r="D2206" s="6" t="s">
        <v>712</v>
      </c>
      <c r="E2206" s="6" t="s">
        <v>602</v>
      </c>
      <c r="F2206" s="6" t="str">
        <f>IF($M2206="PADD I","PADD 1",IF($M2206="PADD II","PADD 2",IF($M2206="PADD III","PADD 3",IF($M2206="PADD IV","PADD 4",IF($M2206="PADD V","PADD 5","")))))</f>
        <v>PADD 3</v>
      </c>
      <c r="G2206" s="6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6" t="s">
        <v>471</v>
      </c>
      <c r="I2206" s="6" t="s">
        <v>1099</v>
      </c>
      <c r="J2206" s="6" t="s">
        <v>398</v>
      </c>
      <c r="K2206" s="10">
        <v>11.18</v>
      </c>
      <c r="L2206" s="10">
        <v>21.5</v>
      </c>
      <c r="M2206" s="6" t="s">
        <v>421</v>
      </c>
      <c r="N2206" s="6" t="str">
        <f>IF(OR($G2206="FCC",$G2206="Hydrocracker",$G2206="Reformer"),IF(COUNTIFS($D:$D,$D2206,$A:$A,$A2206,$B:$B,$B2206,$G:$G,"CDU",$J:$J,"PLANNED")&gt;0,"tied","standalone"),"")</f>
        <v>tied</v>
      </c>
    </row>
    <row r="2207" spans="1:14">
      <c r="A2207" s="6">
        <v>2023</v>
      </c>
      <c r="B2207" s="6">
        <v>10</v>
      </c>
      <c r="C2207" s="6" t="s">
        <v>69</v>
      </c>
      <c r="D2207" s="6" t="s">
        <v>712</v>
      </c>
      <c r="E2207" s="6" t="s">
        <v>602</v>
      </c>
      <c r="F2207" s="6" t="str">
        <f>IF($M2207="PADD I","PADD 1",IF($M2207="PADD II","PADD 2",IF($M2207="PADD III","PADD 3",IF($M2207="PADD IV","PADD 4",IF($M2207="PADD V","PADD 5","")))))</f>
        <v>PADD 3</v>
      </c>
      <c r="G2207" s="6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6" t="s">
        <v>471</v>
      </c>
      <c r="I2207" s="6" t="s">
        <v>1100</v>
      </c>
      <c r="J2207" s="6" t="s">
        <v>398</v>
      </c>
      <c r="K2207" s="10">
        <v>10.92</v>
      </c>
      <c r="L2207" s="10">
        <v>21</v>
      </c>
      <c r="M2207" s="6" t="s">
        <v>421</v>
      </c>
      <c r="N2207" s="6" t="str">
        <f>IF(OR($G2207="FCC",$G2207="Hydrocracker",$G2207="Reformer"),IF(COUNTIFS($D:$D,$D2207,$A:$A,$A2207,$B:$B,$B2207,$G:$G,"CDU",$J:$J,"PLANNED")&gt;0,"tied","standalone"),"")</f>
        <v>tied</v>
      </c>
    </row>
    <row r="2208" spans="1:14">
      <c r="A2208" s="6">
        <v>2023</v>
      </c>
      <c r="B2208" s="6">
        <v>10</v>
      </c>
      <c r="C2208" s="6" t="s">
        <v>69</v>
      </c>
      <c r="D2208" s="6" t="s">
        <v>857</v>
      </c>
      <c r="E2208" s="6" t="s">
        <v>829</v>
      </c>
      <c r="F2208" s="6" t="str">
        <f>IF($M2208="PADD I","PADD 1",IF($M2208="PADD II","PADD 2",IF($M2208="PADD III","PADD 3",IF($M2208="PADD IV","PADD 4",IF($M2208="PADD V","PADD 5","")))))</f>
        <v>PADD 3</v>
      </c>
      <c r="G2208" s="6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6" t="s">
        <v>39</v>
      </c>
      <c r="I2208" s="6" t="s">
        <v>136</v>
      </c>
      <c r="J2208" s="6" t="s">
        <v>394</v>
      </c>
      <c r="K2208" s="10">
        <v>10.72</v>
      </c>
      <c r="L2208" s="10">
        <v>67</v>
      </c>
      <c r="M2208" s="6" t="s">
        <v>421</v>
      </c>
      <c r="N2208" s="6">
        <f>IF(OR($G2208="FCC",$G2208="Hydrocracker",$G2208="Reformer"),IF(COUNTIFS($D:$D,$D2208,$A:$A,$A2208,$B:$B,$B2208,$G:$G,"CDU",$J:$J,"PLANNED")&gt;0,"tied","standalone"),"")</f>
        <v/>
      </c>
    </row>
    <row r="2209" spans="1:14">
      <c r="A2209" s="6">
        <v>2023</v>
      </c>
      <c r="B2209" s="6">
        <v>10</v>
      </c>
      <c r="C2209" s="6" t="s">
        <v>69</v>
      </c>
      <c r="D2209" s="6" t="s">
        <v>1010</v>
      </c>
      <c r="E2209" s="6" t="s">
        <v>931</v>
      </c>
      <c r="F2209" s="6" t="str">
        <f>IF($M2209="PADD I","PADD 1",IF($M2209="PADD II","PADD 2",IF($M2209="PADD III","PADD 3",IF($M2209="PADD IV","PADD 4",IF($M2209="PADD V","PADD 5","")))))</f>
        <v>PADD 3</v>
      </c>
      <c r="G2209" s="6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6" t="s">
        <v>39</v>
      </c>
      <c r="I2209" s="6" t="s">
        <v>424</v>
      </c>
      <c r="J2209" s="6" t="s">
        <v>398</v>
      </c>
      <c r="K2209" s="10">
        <v>10.53</v>
      </c>
      <c r="L2209" s="10">
        <v>27</v>
      </c>
      <c r="M2209" s="6" t="s">
        <v>421</v>
      </c>
      <c r="N2209" s="6">
        <f>IF(OR($G2209="FCC",$G2209="Hydrocracker",$G2209="Reformer"),IF(COUNTIFS($D:$D,$D2209,$A:$A,$A2209,$B:$B,$B2209,$G:$G,"CDU",$J:$J,"PLANNED")&gt;0,"tied","standalone"),"")</f>
        <v/>
      </c>
    </row>
    <row r="2210" spans="1:14">
      <c r="A2210" s="6">
        <v>2023</v>
      </c>
      <c r="B2210" s="6">
        <v>10</v>
      </c>
      <c r="C2210" s="6" t="s">
        <v>69</v>
      </c>
      <c r="D2210" s="6" t="s">
        <v>581</v>
      </c>
      <c r="E2210" s="6" t="s">
        <v>582</v>
      </c>
      <c r="F2210" s="6" t="str">
        <f>IF($M2210="PADD I","PADD 1",IF($M2210="PADD II","PADD 2",IF($M2210="PADD III","PADD 3",IF($M2210="PADD IV","PADD 4",IF($M2210="PADD V","PADD 5","")))))</f>
        <v>PADD 5</v>
      </c>
      <c r="G2210" s="6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6" t="s">
        <v>428</v>
      </c>
      <c r="I2210" s="6" t="s">
        <v>429</v>
      </c>
      <c r="J2210" s="6" t="s">
        <v>394</v>
      </c>
      <c r="K2210" s="10">
        <v>10.29</v>
      </c>
      <c r="L2210" s="10">
        <v>29.4</v>
      </c>
      <c r="M2210" s="6" t="s">
        <v>436</v>
      </c>
      <c r="N2210" s="6">
        <f>IF(OR($G2210="FCC",$G2210="Hydrocracker",$G2210="Reformer"),IF(COUNTIFS($D:$D,$D2210,$A:$A,$A2210,$B:$B,$B2210,$G:$G,"CDU",$J:$J,"PLANNED")&gt;0,"tied","standalone"),"")</f>
        <v/>
      </c>
    </row>
    <row r="2211" spans="1:14">
      <c r="A2211" s="6">
        <v>2023</v>
      </c>
      <c r="B2211" s="6">
        <v>10</v>
      </c>
      <c r="C2211" s="6" t="s">
        <v>69</v>
      </c>
      <c r="D2211" s="6" t="s">
        <v>1093</v>
      </c>
      <c r="E2211" s="6" t="s">
        <v>438</v>
      </c>
      <c r="F2211" s="6" t="str">
        <f>IF($M2211="PADD I","PADD 1",IF($M2211="PADD II","PADD 2",IF($M2211="PADD III","PADD 3",IF($M2211="PADD IV","PADD 4",IF($M2211="PADD V","PADD 5","")))))</f>
        <v>PADD 2</v>
      </c>
      <c r="G2211" s="6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6" t="s">
        <v>44</v>
      </c>
      <c r="I2211" s="6" t="s">
        <v>1101</v>
      </c>
      <c r="J2211" s="6" t="s">
        <v>394</v>
      </c>
      <c r="K2211" s="10">
        <v>9.906000000000001</v>
      </c>
      <c r="L2211" s="10">
        <v>25.4</v>
      </c>
      <c r="M2211" s="6" t="s">
        <v>425</v>
      </c>
      <c r="N2211" s="6">
        <f>IF(OR($G2211="FCC",$G2211="Hydrocracker",$G2211="Reformer"),IF(COUNTIFS($D:$D,$D2211,$A:$A,$A2211,$B:$B,$B2211,$G:$G,"CDU",$J:$J,"PLANNED")&gt;0,"tied","standalone"),"")</f>
        <v/>
      </c>
    </row>
    <row r="2212" spans="1:14">
      <c r="A2212" s="6">
        <v>2023</v>
      </c>
      <c r="B2212" s="6">
        <v>10</v>
      </c>
      <c r="C2212" s="6" t="s">
        <v>69</v>
      </c>
      <c r="D2212" s="6" t="s">
        <v>1093</v>
      </c>
      <c r="E2212" s="6" t="s">
        <v>438</v>
      </c>
      <c r="F2212" s="6" t="str">
        <f>IF($M2212="PADD I","PADD 1",IF($M2212="PADD II","PADD 2",IF($M2212="PADD III","PADD 3",IF($M2212="PADD IV","PADD 4",IF($M2212="PADD V","PADD 5","")))))</f>
        <v>PADD 2</v>
      </c>
      <c r="G2212" s="6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6" t="s">
        <v>44</v>
      </c>
      <c r="I2212" s="6" t="s">
        <v>1102</v>
      </c>
      <c r="J2212" s="6" t="s">
        <v>394</v>
      </c>
      <c r="K2212" s="10">
        <v>9.282</v>
      </c>
      <c r="L2212" s="10">
        <v>23.8</v>
      </c>
      <c r="M2212" s="6" t="s">
        <v>425</v>
      </c>
      <c r="N2212" s="6">
        <f>IF(OR($G2212="FCC",$G2212="Hydrocracker",$G2212="Reformer"),IF(COUNTIFS($D:$D,$D2212,$A:$A,$A2212,$B:$B,$B2212,$G:$G,"CDU",$J:$J,"PLANNED")&gt;0,"tied","standalone"),"")</f>
        <v/>
      </c>
    </row>
    <row r="2213" spans="1:14">
      <c r="A2213" s="6">
        <v>2023</v>
      </c>
      <c r="B2213" s="6">
        <v>10</v>
      </c>
      <c r="C2213" s="6" t="s">
        <v>69</v>
      </c>
      <c r="D2213" s="6" t="s">
        <v>501</v>
      </c>
      <c r="E2213" s="6" t="s">
        <v>502</v>
      </c>
      <c r="F2213" s="6" t="str">
        <f>IF($M2213="PADD I","PADD 1",IF($M2213="PADD II","PADD 2",IF($M2213="PADD III","PADD 3",IF($M2213="PADD IV","PADD 4",IF($M2213="PADD V","PADD 5","")))))</f>
        <v>PADD 2</v>
      </c>
      <c r="G2213" s="6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6" t="s">
        <v>39</v>
      </c>
      <c r="I2213" s="6" t="s">
        <v>531</v>
      </c>
      <c r="J2213" s="6" t="s">
        <v>398</v>
      </c>
      <c r="K2213" s="10">
        <v>9.199999999999999</v>
      </c>
      <c r="L2213" s="10">
        <v>40</v>
      </c>
      <c r="M2213" s="6" t="s">
        <v>425</v>
      </c>
      <c r="N2213" s="6">
        <f>IF(OR($G2213="FCC",$G2213="Hydrocracker",$G2213="Reformer"),IF(COUNTIFS($D:$D,$D2213,$A:$A,$A2213,$B:$B,$B2213,$G:$G,"CDU",$J:$J,"PLANNED")&gt;0,"tied","standalone"),"")</f>
        <v/>
      </c>
    </row>
    <row r="2214" spans="1:14">
      <c r="A2214" s="6">
        <v>2023</v>
      </c>
      <c r="B2214" s="6">
        <v>10</v>
      </c>
      <c r="C2214" s="6" t="s">
        <v>69</v>
      </c>
      <c r="D2214" s="6" t="s">
        <v>652</v>
      </c>
      <c r="E2214" s="6" t="s">
        <v>419</v>
      </c>
      <c r="F2214" s="6" t="str">
        <f>IF($M2214="PADD I","PADD 1",IF($M2214="PADD II","PADD 2",IF($M2214="PADD III","PADD 3",IF($M2214="PADD IV","PADD 4",IF($M2214="PADD V","PADD 5","")))))</f>
        <v>PADD 2</v>
      </c>
      <c r="G2214" s="6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6" t="s">
        <v>618</v>
      </c>
      <c r="I2214" s="6" t="s">
        <v>654</v>
      </c>
      <c r="J2214" s="6" t="s">
        <v>398</v>
      </c>
      <c r="K2214" s="10">
        <v>9</v>
      </c>
      <c r="L2214" s="10">
        <v>9</v>
      </c>
      <c r="M2214" s="6" t="s">
        <v>425</v>
      </c>
      <c r="N2214" s="6">
        <f>IF(OR($G2214="FCC",$G2214="Hydrocracker",$G2214="Reformer"),IF(COUNTIFS($D:$D,$D2214,$A:$A,$A2214,$B:$B,$B2214,$G:$G,"CDU",$J:$J,"PLANNED")&gt;0,"tied","standalone"),"")</f>
        <v/>
      </c>
    </row>
    <row r="2215" spans="1:14">
      <c r="A2215" s="6">
        <v>2023</v>
      </c>
      <c r="B2215" s="6">
        <v>10</v>
      </c>
      <c r="C2215" s="6" t="s">
        <v>69</v>
      </c>
      <c r="D2215" s="6" t="s">
        <v>857</v>
      </c>
      <c r="E2215" s="6" t="s">
        <v>829</v>
      </c>
      <c r="F2215" s="6" t="str">
        <f>IF($M2215="PADD I","PADD 1",IF($M2215="PADD II","PADD 2",IF($M2215="PADD III","PADD 3",IF($M2215="PADD IV","PADD 4",IF($M2215="PADD V","PADD 5","")))))</f>
        <v>PADD 3</v>
      </c>
      <c r="G2215" s="6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6" t="s">
        <v>426</v>
      </c>
      <c r="I2215" s="6" t="s">
        <v>478</v>
      </c>
      <c r="J2215" s="6" t="s">
        <v>394</v>
      </c>
      <c r="K2215" s="10">
        <v>8.800000000000001</v>
      </c>
      <c r="L2215" s="10">
        <v>55</v>
      </c>
      <c r="M2215" s="6" t="s">
        <v>421</v>
      </c>
      <c r="N2215" s="6" t="str">
        <f>IF(OR($G2215="FCC",$G2215="Hydrocracker",$G2215="Reformer"),IF(COUNTIFS($D:$D,$D2215,$A:$A,$A2215,$B:$B,$B2215,$G:$G,"CDU",$J:$J,"PLANNED")&gt;0,"tied","standalone"),"")</f>
        <v>standalone</v>
      </c>
    </row>
    <row r="2216" spans="1:14">
      <c r="A2216" s="6">
        <v>2023</v>
      </c>
      <c r="B2216" s="6">
        <v>10</v>
      </c>
      <c r="C2216" s="6" t="s">
        <v>69</v>
      </c>
      <c r="D2216" s="6" t="s">
        <v>377</v>
      </c>
      <c r="E2216" s="6" t="s">
        <v>466</v>
      </c>
      <c r="F2216" s="6" t="str">
        <f>IF($M2216="PADD I","PADD 1",IF($M2216="PADD II","PADD 2",IF($M2216="PADD III","PADD 3",IF($M2216="PADD IV","PADD 4",IF($M2216="PADD V","PADD 5","")))))</f>
        <v>PADD 2</v>
      </c>
      <c r="G2216" s="6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6" t="s">
        <v>44</v>
      </c>
      <c r="I2216" s="6" t="s">
        <v>570</v>
      </c>
      <c r="J2216" s="6" t="s">
        <v>398</v>
      </c>
      <c r="K2216" s="10">
        <v>8.550000000000001</v>
      </c>
      <c r="L2216" s="10">
        <v>45</v>
      </c>
      <c r="M2216" s="6" t="s">
        <v>425</v>
      </c>
      <c r="N2216" s="6">
        <f>IF(OR($G2216="FCC",$G2216="Hydrocracker",$G2216="Reformer"),IF(COUNTIFS($D:$D,$D2216,$A:$A,$A2216,$B:$B,$B2216,$G:$G,"CDU",$J:$J,"PLANNED")&gt;0,"tied","standalone"),"")</f>
        <v/>
      </c>
    </row>
    <row r="2217" spans="1:14">
      <c r="A2217" s="6">
        <v>2023</v>
      </c>
      <c r="B2217" s="6">
        <v>10</v>
      </c>
      <c r="C2217" s="6" t="s">
        <v>69</v>
      </c>
      <c r="D2217" s="6" t="s">
        <v>470</v>
      </c>
      <c r="E2217" s="6" t="s">
        <v>423</v>
      </c>
      <c r="F2217" s="6" t="str">
        <f>IF($M2217="PADD I","PADD 1",IF($M2217="PADD II","PADD 2",IF($M2217="PADD III","PADD 3",IF($M2217="PADD IV","PADD 4",IF($M2217="PADD V","PADD 5","")))))</f>
        <v>PADD 2</v>
      </c>
      <c r="G2217" s="6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6" t="s">
        <v>426</v>
      </c>
      <c r="I2217" s="6" t="s">
        <v>106</v>
      </c>
      <c r="J2217" s="6" t="s">
        <v>394</v>
      </c>
      <c r="K2217" s="10">
        <v>8.449999999999999</v>
      </c>
      <c r="L2217" s="10">
        <v>13</v>
      </c>
      <c r="M2217" s="6" t="s">
        <v>425</v>
      </c>
      <c r="N2217" s="6" t="str">
        <f>IF(OR($G2217="FCC",$G2217="Hydrocracker",$G2217="Reformer"),IF(COUNTIFS($D:$D,$D2217,$A:$A,$A2217,$B:$B,$B2217,$G:$G,"CDU",$J:$J,"PLANNED")&gt;0,"tied","standalone"),"")</f>
        <v>standalone</v>
      </c>
    </row>
    <row r="2218" spans="1:14">
      <c r="A2218" s="6">
        <v>2023</v>
      </c>
      <c r="B2218" s="6">
        <v>10</v>
      </c>
      <c r="C2218" s="6" t="s">
        <v>69</v>
      </c>
      <c r="D2218" s="6" t="s">
        <v>484</v>
      </c>
      <c r="E2218" s="6" t="s">
        <v>438</v>
      </c>
      <c r="F2218" s="6" t="str">
        <f>IF($M2218="PADD I","PADD 1",IF($M2218="PADD II","PADD 2",IF($M2218="PADD III","PADD 3",IF($M2218="PADD IV","PADD 4",IF($M2218="PADD V","PADD 5","")))))</f>
        <v>PADD 5</v>
      </c>
      <c r="G2218" s="6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6" t="s">
        <v>471</v>
      </c>
      <c r="I2218" s="6" t="s">
        <v>721</v>
      </c>
      <c r="J2218" s="6" t="s">
        <v>394</v>
      </c>
      <c r="K2218" s="10">
        <v>8.449999999999999</v>
      </c>
      <c r="L2218" s="10">
        <v>13</v>
      </c>
      <c r="M2218" s="6" t="s">
        <v>436</v>
      </c>
      <c r="N2218" s="6" t="str">
        <f>IF(OR($G2218="FCC",$G2218="Hydrocracker",$G2218="Reformer"),IF(COUNTIFS($D:$D,$D2218,$A:$A,$A2218,$B:$B,$B2218,$G:$G,"CDU",$J:$J,"PLANNED")&gt;0,"tied","standalone"),"")</f>
        <v>tied</v>
      </c>
    </row>
    <row r="2219" spans="1:14">
      <c r="A2219" s="6">
        <v>2023</v>
      </c>
      <c r="B2219" s="6">
        <v>10</v>
      </c>
      <c r="C2219" s="6" t="s">
        <v>69</v>
      </c>
      <c r="D2219" s="6" t="s">
        <v>377</v>
      </c>
      <c r="E2219" s="6" t="s">
        <v>466</v>
      </c>
      <c r="F2219" s="6" t="str">
        <f>IF($M2219="PADD I","PADD 1",IF($M2219="PADD II","PADD 2",IF($M2219="PADD III","PADD 3",IF($M2219="PADD IV","PADD 4",IF($M2219="PADD V","PADD 5","")))))</f>
        <v>PADD 2</v>
      </c>
      <c r="G2219" s="6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6" t="s">
        <v>39</v>
      </c>
      <c r="I2219" s="6" t="s">
        <v>92</v>
      </c>
      <c r="J2219" s="6" t="s">
        <v>398</v>
      </c>
      <c r="K2219" s="10">
        <v>8.3125</v>
      </c>
      <c r="L2219" s="10">
        <v>43.75</v>
      </c>
      <c r="M2219" s="6" t="s">
        <v>425</v>
      </c>
      <c r="N2219" s="6">
        <f>IF(OR($G2219="FCC",$G2219="Hydrocracker",$G2219="Reformer"),IF(COUNTIFS($D:$D,$D2219,$A:$A,$A2219,$B:$B,$B2219,$G:$G,"CDU",$J:$J,"PLANNED")&gt;0,"tied","standalone"),"")</f>
        <v/>
      </c>
    </row>
    <row r="2220" spans="1:14">
      <c r="A2220" s="6">
        <v>2023</v>
      </c>
      <c r="B2220" s="6">
        <v>10</v>
      </c>
      <c r="C2220" s="6" t="s">
        <v>69</v>
      </c>
      <c r="D2220" s="6" t="s">
        <v>780</v>
      </c>
      <c r="E2220" s="6" t="s">
        <v>781</v>
      </c>
      <c r="F2220" s="6" t="str">
        <f>IF($M2220="PADD I","PADD 1",IF($M2220="PADD II","PADD 2",IF($M2220="PADD III","PADD 3",IF($M2220="PADD IV","PADD 4",IF($M2220="PADD V","PADD 5","")))))</f>
        <v>PADD 3</v>
      </c>
      <c r="G2220" s="6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6" t="s">
        <v>471</v>
      </c>
      <c r="I2220" s="6" t="s">
        <v>15</v>
      </c>
      <c r="J2220" s="6" t="s">
        <v>398</v>
      </c>
      <c r="K2220" s="10">
        <v>8.140000000000001</v>
      </c>
      <c r="L2220" s="10">
        <v>11</v>
      </c>
      <c r="M2220" s="6" t="s">
        <v>421</v>
      </c>
      <c r="N2220" s="6" t="str">
        <f>IF(OR($G2220="FCC",$G2220="Hydrocracker",$G2220="Reformer"),IF(COUNTIFS($D:$D,$D2220,$A:$A,$A2220,$B:$B,$B2220,$G:$G,"CDU",$J:$J,"PLANNED")&gt;0,"tied","standalone"),"")</f>
        <v>tied</v>
      </c>
    </row>
    <row r="2221" spans="1:14">
      <c r="A2221" s="6">
        <v>2023</v>
      </c>
      <c r="B2221" s="6">
        <v>10</v>
      </c>
      <c r="C2221" s="6" t="s">
        <v>69</v>
      </c>
      <c r="D2221" s="6" t="s">
        <v>678</v>
      </c>
      <c r="E2221" s="6" t="s">
        <v>438</v>
      </c>
      <c r="F2221" s="6" t="str">
        <f>IF($M2221="PADD I","PADD 1",IF($M2221="PADD II","PADD 2",IF($M2221="PADD III","PADD 3",IF($M2221="PADD IV","PADD 4",IF($M2221="PADD V","PADD 5","")))))</f>
        <v>PADD 3</v>
      </c>
      <c r="G2221" s="6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6" t="s">
        <v>39</v>
      </c>
      <c r="I2221" s="6" t="s">
        <v>1103</v>
      </c>
      <c r="J2221" s="6" t="s">
        <v>394</v>
      </c>
      <c r="K2221" s="10">
        <v>8.050000000000001</v>
      </c>
      <c r="L2221" s="10">
        <v>35</v>
      </c>
      <c r="M2221" s="6" t="s">
        <v>421</v>
      </c>
      <c r="N2221" s="6">
        <f>IF(OR($G2221="FCC",$G2221="Hydrocracker",$G2221="Reformer"),IF(COUNTIFS($D:$D,$D2221,$A:$A,$A2221,$B:$B,$B2221,$G:$G,"CDU",$J:$J,"PLANNED")&gt;0,"tied","standalone"),"")</f>
        <v/>
      </c>
    </row>
    <row r="2222" spans="1:14">
      <c r="A2222" s="6">
        <v>2023</v>
      </c>
      <c r="B2222" s="6">
        <v>10</v>
      </c>
      <c r="C2222" s="6" t="s">
        <v>69</v>
      </c>
      <c r="D2222" s="6" t="s">
        <v>857</v>
      </c>
      <c r="E2222" s="6" t="s">
        <v>829</v>
      </c>
      <c r="F2222" s="6" t="str">
        <f>IF($M2222="PADD I","PADD 1",IF($M2222="PADD II","PADD 2",IF($M2222="PADD III","PADD 3",IF($M2222="PADD IV","PADD 4",IF($M2222="PADD V","PADD 5","")))))</f>
        <v>PADD 3</v>
      </c>
      <c r="G2222" s="6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6" t="s">
        <v>44</v>
      </c>
      <c r="I2222" s="6" t="s">
        <v>843</v>
      </c>
      <c r="J2222" s="6" t="s">
        <v>394</v>
      </c>
      <c r="K2222" s="10">
        <v>8</v>
      </c>
      <c r="L2222" s="10">
        <v>50</v>
      </c>
      <c r="M2222" s="6" t="s">
        <v>421</v>
      </c>
      <c r="N2222" s="6">
        <f>IF(OR($G2222="FCC",$G2222="Hydrocracker",$G2222="Reformer"),IF(COUNTIFS($D:$D,$D2222,$A:$A,$A2222,$B:$B,$B2222,$G:$G,"CDU",$J:$J,"PLANNED")&gt;0,"tied","standalone"),"")</f>
        <v/>
      </c>
    </row>
    <row r="2223" spans="1:14">
      <c r="A2223" s="6">
        <v>2023</v>
      </c>
      <c r="B2223" s="6">
        <v>10</v>
      </c>
      <c r="C2223" s="6" t="s">
        <v>69</v>
      </c>
      <c r="D2223" s="6" t="s">
        <v>470</v>
      </c>
      <c r="E2223" s="6" t="s">
        <v>423</v>
      </c>
      <c r="F2223" s="6" t="str">
        <f>IF($M2223="PADD I","PADD 1",IF($M2223="PADD II","PADD 2",IF($M2223="PADD III","PADD 3",IF($M2223="PADD IV","PADD 4",IF($M2223="PADD V","PADD 5","")))))</f>
        <v>PADD 2</v>
      </c>
      <c r="G2223" s="6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6" t="s">
        <v>471</v>
      </c>
      <c r="I2223" s="6" t="s">
        <v>621</v>
      </c>
      <c r="J2223" s="6" t="s">
        <v>394</v>
      </c>
      <c r="K2223" s="10">
        <v>8</v>
      </c>
      <c r="L2223" s="10">
        <v>8</v>
      </c>
      <c r="M2223" s="6" t="s">
        <v>425</v>
      </c>
      <c r="N2223" s="6" t="str">
        <f>IF(OR($G2223="FCC",$G2223="Hydrocracker",$G2223="Reformer"),IF(COUNTIFS($D:$D,$D2223,$A:$A,$A2223,$B:$B,$B2223,$G:$G,"CDU",$J:$J,"PLANNED")&gt;0,"tied","standalone"),"")</f>
        <v>standalone</v>
      </c>
    </row>
    <row r="2224" spans="1:14">
      <c r="A2224" s="6">
        <v>2023</v>
      </c>
      <c r="B2224" s="6">
        <v>10</v>
      </c>
      <c r="C2224" s="6" t="s">
        <v>69</v>
      </c>
      <c r="D2224" s="6" t="s">
        <v>1093</v>
      </c>
      <c r="E2224" s="6" t="s">
        <v>438</v>
      </c>
      <c r="F2224" s="6" t="str">
        <f>IF($M2224="PADD I","PADD 1",IF($M2224="PADD II","PADD 2",IF($M2224="PADD III","PADD 3",IF($M2224="PADD IV","PADD 4",IF($M2224="PADD V","PADD 5","")))))</f>
        <v>PADD 2</v>
      </c>
      <c r="G2224" s="6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6" t="s">
        <v>426</v>
      </c>
      <c r="I2224" s="6" t="s">
        <v>106</v>
      </c>
      <c r="J2224" s="6" t="s">
        <v>394</v>
      </c>
      <c r="K2224" s="10">
        <v>7.54</v>
      </c>
      <c r="L2224" s="10">
        <v>26</v>
      </c>
      <c r="M2224" s="6" t="s">
        <v>425</v>
      </c>
      <c r="N2224" s="6" t="str">
        <f>IF(OR($G2224="FCC",$G2224="Hydrocracker",$G2224="Reformer"),IF(COUNTIFS($D:$D,$D2224,$A:$A,$A2224,$B:$B,$B2224,$G:$G,"CDU",$J:$J,"PLANNED")&gt;0,"tied","standalone"),"")</f>
        <v>standalone</v>
      </c>
    </row>
    <row r="2225" spans="1:14">
      <c r="A2225" s="6">
        <v>2023</v>
      </c>
      <c r="B2225" s="6">
        <v>10</v>
      </c>
      <c r="C2225" s="6" t="s">
        <v>69</v>
      </c>
      <c r="D2225" s="6" t="s">
        <v>828</v>
      </c>
      <c r="E2225" s="6" t="s">
        <v>829</v>
      </c>
      <c r="F2225" s="6" t="str">
        <f>IF($M2225="PADD I","PADD 1",IF($M2225="PADD II","PADD 2",IF($M2225="PADD III","PADD 3",IF($M2225="PADD IV","PADD 4",IF($M2225="PADD V","PADD 5","")))))</f>
        <v>PADD 3</v>
      </c>
      <c r="G2225" s="6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6" t="s">
        <v>39</v>
      </c>
      <c r="I2225" s="6" t="s">
        <v>855</v>
      </c>
      <c r="J2225" s="6" t="s">
        <v>394</v>
      </c>
      <c r="K2225" s="10">
        <v>7.5</v>
      </c>
      <c r="L2225" s="10">
        <v>75</v>
      </c>
      <c r="M2225" s="6" t="s">
        <v>421</v>
      </c>
      <c r="N2225" s="6">
        <f>IF(OR($G2225="FCC",$G2225="Hydrocracker",$G2225="Reformer"),IF(COUNTIFS($D:$D,$D2225,$A:$A,$A2225,$B:$B,$B2225,$G:$G,"CDU",$J:$J,"PLANNED")&gt;0,"tied","standalone"),"")</f>
        <v/>
      </c>
    </row>
    <row r="2226" spans="1:14">
      <c r="A2226" s="6">
        <v>2023</v>
      </c>
      <c r="B2226" s="6">
        <v>10</v>
      </c>
      <c r="C2226" s="6" t="s">
        <v>69</v>
      </c>
      <c r="D2226" s="6" t="s">
        <v>780</v>
      </c>
      <c r="E2226" s="6" t="s">
        <v>781</v>
      </c>
      <c r="F2226" s="6" t="str">
        <f>IF($M2226="PADD I","PADD 1",IF($M2226="PADD II","PADD 2",IF($M2226="PADD III","PADD 3",IF($M2226="PADD IV","PADD 4",IF($M2226="PADD V","PADD 5","")))))</f>
        <v>PADD 3</v>
      </c>
      <c r="G2226" s="6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6" t="s">
        <v>44</v>
      </c>
      <c r="I2226" s="6" t="s">
        <v>1104</v>
      </c>
      <c r="J2226" s="6" t="s">
        <v>398</v>
      </c>
      <c r="K2226" s="10">
        <v>7.4</v>
      </c>
      <c r="L2226" s="10">
        <v>10</v>
      </c>
      <c r="M2226" s="6" t="s">
        <v>421</v>
      </c>
      <c r="N2226" s="6">
        <f>IF(OR($G2226="FCC",$G2226="Hydrocracker",$G2226="Reformer"),IF(COUNTIFS($D:$D,$D2226,$A:$A,$A2226,$B:$B,$B2226,$G:$G,"CDU",$J:$J,"PLANNED")&gt;0,"tied","standalone"),"")</f>
        <v/>
      </c>
    </row>
    <row r="2227" spans="1:14">
      <c r="A2227" s="6">
        <v>2023</v>
      </c>
      <c r="B2227" s="6">
        <v>10</v>
      </c>
      <c r="C2227" s="6" t="s">
        <v>69</v>
      </c>
      <c r="D2227" s="6" t="s">
        <v>851</v>
      </c>
      <c r="E2227" s="6" t="s">
        <v>829</v>
      </c>
      <c r="F2227" s="6" t="str">
        <f>IF($M2227="PADD I","PADD 1",IF($M2227="PADD II","PADD 2",IF($M2227="PADD III","PADD 3",IF($M2227="PADD IV","PADD 4",IF($M2227="PADD V","PADD 5","")))))</f>
        <v>PADD 2</v>
      </c>
      <c r="G2227" s="6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6" t="s">
        <v>510</v>
      </c>
      <c r="I2227" s="6" t="s">
        <v>511</v>
      </c>
      <c r="J2227" s="6" t="s">
        <v>398</v>
      </c>
      <c r="K2227" s="10">
        <v>7.32</v>
      </c>
      <c r="L2227" s="10">
        <v>12</v>
      </c>
      <c r="M2227" s="6" t="s">
        <v>425</v>
      </c>
      <c r="N2227" s="6">
        <f>IF(OR($G2227="FCC",$G2227="Hydrocracker",$G2227="Reformer"),IF(COUNTIFS($D:$D,$D2227,$A:$A,$A2227,$B:$B,$B2227,$G:$G,"CDU",$J:$J,"PLANNED")&gt;0,"tied","standalone"),"")</f>
        <v/>
      </c>
    </row>
    <row r="2228" spans="1:14">
      <c r="A2228" s="6">
        <v>2023</v>
      </c>
      <c r="B2228" s="6">
        <v>10</v>
      </c>
      <c r="C2228" s="6" t="s">
        <v>69</v>
      </c>
      <c r="D2228" s="6" t="s">
        <v>496</v>
      </c>
      <c r="E2228" s="6" t="s">
        <v>441</v>
      </c>
      <c r="F2228" s="6" t="str">
        <f>IF($M2228="PADD I","PADD 1",IF($M2228="PADD II","PADD 2",IF($M2228="PADD III","PADD 3",IF($M2228="PADD IV","PADD 4",IF($M2228="PADD V","PADD 5","")))))</f>
        <v>PADD 3</v>
      </c>
      <c r="G2228" s="6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6" t="s">
        <v>510</v>
      </c>
      <c r="I2228" s="6" t="s">
        <v>630</v>
      </c>
      <c r="J2228" s="6" t="s">
        <v>394</v>
      </c>
      <c r="K2228" s="10">
        <v>7.2</v>
      </c>
      <c r="L2228" s="10">
        <v>7.2</v>
      </c>
      <c r="M2228" s="6" t="s">
        <v>421</v>
      </c>
      <c r="N2228" s="6">
        <f>IF(OR($G2228="FCC",$G2228="Hydrocracker",$G2228="Reformer"),IF(COUNTIFS($D:$D,$D2228,$A:$A,$A2228,$B:$B,$B2228,$G:$G,"CDU",$J:$J,"PLANNED")&gt;0,"tied","standalone"),"")</f>
        <v/>
      </c>
    </row>
    <row r="2229" spans="1:14">
      <c r="A2229" s="6">
        <v>2023</v>
      </c>
      <c r="B2229" s="6">
        <v>10</v>
      </c>
      <c r="C2229" s="6" t="s">
        <v>69</v>
      </c>
      <c r="D2229" s="6" t="s">
        <v>470</v>
      </c>
      <c r="E2229" s="6" t="s">
        <v>423</v>
      </c>
      <c r="F2229" s="6" t="str">
        <f>IF($M2229="PADD I","PADD 1",IF($M2229="PADD II","PADD 2",IF($M2229="PADD III","PADD 3",IF($M2229="PADD IV","PADD 4",IF($M2229="PADD V","PADD 5","")))))</f>
        <v>PADD 2</v>
      </c>
      <c r="G2229" s="6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6" t="s">
        <v>44</v>
      </c>
      <c r="I2229" s="6" t="s">
        <v>596</v>
      </c>
      <c r="J2229" s="6" t="s">
        <v>394</v>
      </c>
      <c r="K2229" s="10">
        <v>7.15</v>
      </c>
      <c r="L2229" s="10">
        <v>11</v>
      </c>
      <c r="M2229" s="6" t="s">
        <v>425</v>
      </c>
      <c r="N2229" s="6">
        <f>IF(OR($G2229="FCC",$G2229="Hydrocracker",$G2229="Reformer"),IF(COUNTIFS($D:$D,$D2229,$A:$A,$A2229,$B:$B,$B2229,$G:$G,"CDU",$J:$J,"PLANNED")&gt;0,"tied","standalone"),"")</f>
        <v/>
      </c>
    </row>
    <row r="2230" spans="1:14">
      <c r="A2230" s="6">
        <v>2023</v>
      </c>
      <c r="B2230" s="6">
        <v>10</v>
      </c>
      <c r="C2230" s="6" t="s">
        <v>69</v>
      </c>
      <c r="D2230" s="6" t="s">
        <v>518</v>
      </c>
      <c r="E2230" s="6" t="s">
        <v>419</v>
      </c>
      <c r="F2230" s="6" t="str">
        <f>IF($M2230="PADD I","PADD 1",IF($M2230="PADD II","PADD 2",IF($M2230="PADD III","PADD 3",IF($M2230="PADD IV","PADD 4",IF($M2230="PADD V","PADD 5","")))))</f>
        <v>PADD 3</v>
      </c>
      <c r="G2230" s="6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6" t="s">
        <v>471</v>
      </c>
      <c r="I2230" s="6" t="s">
        <v>685</v>
      </c>
      <c r="J2230" s="6" t="s">
        <v>398</v>
      </c>
      <c r="K2230" s="10">
        <v>7</v>
      </c>
      <c r="L2230" s="10">
        <v>7</v>
      </c>
      <c r="M2230" s="6" t="s">
        <v>421</v>
      </c>
      <c r="N2230" s="6" t="str">
        <f>IF(OR($G2230="FCC",$G2230="Hydrocracker",$G2230="Reformer"),IF(COUNTIFS($D:$D,$D2230,$A:$A,$A2230,$B:$B,$B2230,$G:$G,"CDU",$J:$J,"PLANNED")&gt;0,"tied","standalone"),"")</f>
        <v>tied</v>
      </c>
    </row>
    <row r="2231" spans="1:14">
      <c r="A2231" s="6">
        <v>2023</v>
      </c>
      <c r="B2231" s="6">
        <v>10</v>
      </c>
      <c r="C2231" s="6" t="s">
        <v>69</v>
      </c>
      <c r="D2231" s="6" t="s">
        <v>518</v>
      </c>
      <c r="E2231" s="6" t="s">
        <v>419</v>
      </c>
      <c r="F2231" s="6" t="str">
        <f>IF($M2231="PADD I","PADD 1",IF($M2231="PADD II","PADD 2",IF($M2231="PADD III","PADD 3",IF($M2231="PADD IV","PADD 4",IF($M2231="PADD V","PADD 5","")))))</f>
        <v>PADD 3</v>
      </c>
      <c r="G2231" s="6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6" t="s">
        <v>471</v>
      </c>
      <c r="I2231" s="6" t="s">
        <v>685</v>
      </c>
      <c r="J2231" s="6" t="s">
        <v>394</v>
      </c>
      <c r="K2231" s="10">
        <v>7</v>
      </c>
      <c r="L2231" s="10">
        <v>7</v>
      </c>
      <c r="M2231" s="6" t="s">
        <v>421</v>
      </c>
      <c r="N2231" s="6" t="str">
        <f>IF(OR($G2231="FCC",$G2231="Hydrocracker",$G2231="Reformer"),IF(COUNTIFS($D:$D,$D2231,$A:$A,$A2231,$B:$B,$B2231,$G:$G,"CDU",$J:$J,"PLANNED")&gt;0,"tied","standalone"),"")</f>
        <v>tied</v>
      </c>
    </row>
    <row r="2232" spans="1:14">
      <c r="A2232" s="6">
        <v>2023</v>
      </c>
      <c r="B2232" s="6">
        <v>10</v>
      </c>
      <c r="C2232" s="6" t="s">
        <v>69</v>
      </c>
      <c r="D2232" s="6" t="s">
        <v>484</v>
      </c>
      <c r="E2232" s="6" t="s">
        <v>438</v>
      </c>
      <c r="F2232" s="6" t="str">
        <f>IF($M2232="PADD I","PADD 1",IF($M2232="PADD II","PADD 2",IF($M2232="PADD III","PADD 3",IF($M2232="PADD IV","PADD 4",IF($M2232="PADD V","PADD 5","")))))</f>
        <v>PADD 5</v>
      </c>
      <c r="G2232" s="6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6" t="s">
        <v>471</v>
      </c>
      <c r="I2232" s="6" t="s">
        <v>721</v>
      </c>
      <c r="J2232" s="6" t="s">
        <v>394</v>
      </c>
      <c r="K2232" s="10">
        <v>6.75</v>
      </c>
      <c r="L2232" s="10">
        <v>15</v>
      </c>
      <c r="M2232" s="6" t="s">
        <v>436</v>
      </c>
      <c r="N2232" s="6" t="str">
        <f>IF(OR($G2232="FCC",$G2232="Hydrocracker",$G2232="Reformer"),IF(COUNTIFS($D:$D,$D2232,$A:$A,$A2232,$B:$B,$B2232,$G:$G,"CDU",$J:$J,"PLANNED")&gt;0,"tied","standalone"),"")</f>
        <v>tied</v>
      </c>
    </row>
    <row r="2233" spans="1:14">
      <c r="A2233" s="6">
        <v>2023</v>
      </c>
      <c r="B2233" s="6">
        <v>10</v>
      </c>
      <c r="C2233" s="6" t="s">
        <v>69</v>
      </c>
      <c r="D2233" s="6" t="s">
        <v>377</v>
      </c>
      <c r="E2233" s="6" t="s">
        <v>466</v>
      </c>
      <c r="F2233" s="6" t="str">
        <f>IF($M2233="PADD I","PADD 1",IF($M2233="PADD II","PADD 2",IF($M2233="PADD III","PADD 3",IF($M2233="PADD IV","PADD 4",IF($M2233="PADD V","PADD 5","")))))</f>
        <v>PADD 2</v>
      </c>
      <c r="G2233" s="6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6" t="s">
        <v>44</v>
      </c>
      <c r="I2233" s="6" t="s">
        <v>1068</v>
      </c>
      <c r="J2233" s="6" t="s">
        <v>398</v>
      </c>
      <c r="K2233" s="10">
        <v>6.65</v>
      </c>
      <c r="L2233" s="10">
        <v>35</v>
      </c>
      <c r="M2233" s="6" t="s">
        <v>425</v>
      </c>
      <c r="N2233" s="6">
        <f>IF(OR($G2233="FCC",$G2233="Hydrocracker",$G2233="Reformer"),IF(COUNTIFS($D:$D,$D2233,$A:$A,$A2233,$B:$B,$B2233,$G:$G,"CDU",$J:$J,"PLANNED")&gt;0,"tied","standalone"),"")</f>
        <v/>
      </c>
    </row>
    <row r="2234" spans="1:14">
      <c r="A2234" s="6">
        <v>2023</v>
      </c>
      <c r="B2234" s="6">
        <v>10</v>
      </c>
      <c r="C2234" s="6" t="s">
        <v>69</v>
      </c>
      <c r="D2234" s="6" t="s">
        <v>937</v>
      </c>
      <c r="E2234" s="6" t="s">
        <v>455</v>
      </c>
      <c r="F2234" s="6" t="str">
        <f>IF($M2234="PADD I","PADD 1",IF($M2234="PADD II","PADD 2",IF($M2234="PADD III","PADD 3",IF($M2234="PADD IV","PADD 4",IF($M2234="PADD V","PADD 5","")))))</f>
        <v>PADD 3</v>
      </c>
      <c r="G2234" s="6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6" t="s">
        <v>510</v>
      </c>
      <c r="I2234" s="6" t="s">
        <v>666</v>
      </c>
      <c r="J2234" s="6" t="s">
        <v>398</v>
      </c>
      <c r="K2234" s="10">
        <v>6.5</v>
      </c>
      <c r="L2234" s="10">
        <v>6.5</v>
      </c>
      <c r="M2234" s="6" t="s">
        <v>421</v>
      </c>
      <c r="N2234" s="6">
        <f>IF(OR($G2234="FCC",$G2234="Hydrocracker",$G2234="Reformer"),IF(COUNTIFS($D:$D,$D2234,$A:$A,$A2234,$B:$B,$B2234,$G:$G,"CDU",$J:$J,"PLANNED")&gt;0,"tied","standalone"),"")</f>
        <v/>
      </c>
    </row>
    <row r="2235" spans="1:14">
      <c r="A2235" s="6">
        <v>2023</v>
      </c>
      <c r="B2235" s="6">
        <v>10</v>
      </c>
      <c r="C2235" s="6" t="s">
        <v>69</v>
      </c>
      <c r="D2235" s="6" t="s">
        <v>382</v>
      </c>
      <c r="E2235" s="6" t="s">
        <v>431</v>
      </c>
      <c r="F2235" s="6" t="str">
        <f>IF($M2235="PADD I","PADD 1",IF($M2235="PADD II","PADD 2",IF($M2235="PADD III","PADD 3",IF($M2235="PADD IV","PADD 4",IF($M2235="PADD V","PADD 5","")))))</f>
        <v>PADD 3</v>
      </c>
      <c r="G2235" s="6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6" t="s">
        <v>494</v>
      </c>
      <c r="I2235" s="6" t="s">
        <v>14</v>
      </c>
      <c r="J2235" s="6" t="s">
        <v>394</v>
      </c>
      <c r="K2235" s="10">
        <v>6.5</v>
      </c>
      <c r="L2235" s="10">
        <v>65</v>
      </c>
      <c r="M2235" s="6" t="s">
        <v>421</v>
      </c>
      <c r="N2235" s="6" t="str">
        <f>IF(OR($G2235="FCC",$G2235="Hydrocracker",$G2235="Reformer"),IF(COUNTIFS($D:$D,$D2235,$A:$A,$A2235,$B:$B,$B2235,$G:$G,"CDU",$J:$J,"PLANNED")&gt;0,"tied","standalone"),"")</f>
        <v>standalone</v>
      </c>
    </row>
    <row r="2236" spans="1:14">
      <c r="A2236" s="6">
        <v>2023</v>
      </c>
      <c r="B2236" s="6">
        <v>10</v>
      </c>
      <c r="C2236" s="6" t="s">
        <v>69</v>
      </c>
      <c r="D2236" s="6" t="s">
        <v>1010</v>
      </c>
      <c r="E2236" s="6" t="s">
        <v>931</v>
      </c>
      <c r="F2236" s="6" t="str">
        <f>IF($M2236="PADD I","PADD 1",IF($M2236="PADD II","PADD 2",IF($M2236="PADD III","PADD 3",IF($M2236="PADD IV","PADD 4",IF($M2236="PADD V","PADD 5","")))))</f>
        <v>PADD 3</v>
      </c>
      <c r="G2236" s="6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6" t="s">
        <v>44</v>
      </c>
      <c r="I2236" s="6" t="s">
        <v>1105</v>
      </c>
      <c r="J2236" s="6" t="s">
        <v>398</v>
      </c>
      <c r="K2236" s="10">
        <v>6.24</v>
      </c>
      <c r="L2236" s="10">
        <v>16</v>
      </c>
      <c r="M2236" s="6" t="s">
        <v>421</v>
      </c>
      <c r="N2236" s="6">
        <f>IF(OR($G2236="FCC",$G2236="Hydrocracker",$G2236="Reformer"),IF(COUNTIFS($D:$D,$D2236,$A:$A,$A2236,$B:$B,$B2236,$G:$G,"CDU",$J:$J,"PLANNED")&gt;0,"tied","standalone"),"")</f>
        <v/>
      </c>
    </row>
    <row r="2237" spans="1:14">
      <c r="A2237" s="6">
        <v>2023</v>
      </c>
      <c r="B2237" s="6">
        <v>10</v>
      </c>
      <c r="C2237" s="6" t="s">
        <v>69</v>
      </c>
      <c r="D2237" s="6" t="s">
        <v>652</v>
      </c>
      <c r="E2237" s="6" t="s">
        <v>419</v>
      </c>
      <c r="F2237" s="6" t="str">
        <f>IF($M2237="PADD I","PADD 1",IF($M2237="PADD II","PADD 2",IF($M2237="PADD III","PADD 3",IF($M2237="PADD IV","PADD 4",IF($M2237="PADD V","PADD 5","")))))</f>
        <v>PADD 2</v>
      </c>
      <c r="G2237" s="6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6" t="s">
        <v>471</v>
      </c>
      <c r="I2237" s="6" t="s">
        <v>747</v>
      </c>
      <c r="J2237" s="6" t="s">
        <v>394</v>
      </c>
      <c r="K2237" s="10">
        <v>6.21</v>
      </c>
      <c r="L2237" s="10">
        <v>27</v>
      </c>
      <c r="M2237" s="6" t="s">
        <v>425</v>
      </c>
      <c r="N2237" s="6" t="str">
        <f>IF(OR($G2237="FCC",$G2237="Hydrocracker",$G2237="Reformer"),IF(COUNTIFS($D:$D,$D2237,$A:$A,$A2237,$B:$B,$B2237,$G:$G,"CDU",$J:$J,"PLANNED")&gt;0,"tied","standalone"),"")</f>
        <v>standalone</v>
      </c>
    </row>
    <row r="2238" spans="1:14">
      <c r="A2238" s="6">
        <v>2023</v>
      </c>
      <c r="B2238" s="6">
        <v>10</v>
      </c>
      <c r="C2238" s="6" t="s">
        <v>69</v>
      </c>
      <c r="D2238" s="6" t="s">
        <v>371</v>
      </c>
      <c r="E2238" s="6" t="s">
        <v>419</v>
      </c>
      <c r="F2238" s="6" t="str">
        <f>IF($M2238="PADD I","PADD 1",IF($M2238="PADD II","PADD 2",IF($M2238="PADD III","PADD 3",IF($M2238="PADD IV","PADD 4",IF($M2238="PADD V","PADD 5","")))))</f>
        <v>PADD 2</v>
      </c>
      <c r="G2238" s="6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6" t="s">
        <v>471</v>
      </c>
      <c r="I2238" s="6" t="s">
        <v>735</v>
      </c>
      <c r="J2238" s="6" t="s">
        <v>394</v>
      </c>
      <c r="K2238" s="10">
        <v>6.15</v>
      </c>
      <c r="L2238" s="10">
        <v>61.5</v>
      </c>
      <c r="M2238" s="6" t="s">
        <v>425</v>
      </c>
      <c r="N2238" s="6" t="str">
        <f>IF(OR($G2238="FCC",$G2238="Hydrocracker",$G2238="Reformer"),IF(COUNTIFS($D:$D,$D2238,$A:$A,$A2238,$B:$B,$B2238,$G:$G,"CDU",$J:$J,"PLANNED")&gt;0,"tied","standalone"),"")</f>
        <v>standalone</v>
      </c>
    </row>
    <row r="2239" spans="1:14">
      <c r="A2239" s="6">
        <v>2023</v>
      </c>
      <c r="B2239" s="6">
        <v>10</v>
      </c>
      <c r="C2239" s="6" t="s">
        <v>69</v>
      </c>
      <c r="D2239" s="6" t="s">
        <v>546</v>
      </c>
      <c r="E2239" s="6" t="s">
        <v>438</v>
      </c>
      <c r="F2239" s="6" t="str">
        <f>IF($M2239="PADD I","PADD 1",IF($M2239="PADD II","PADD 2",IF($M2239="PADD III","PADD 3",IF($M2239="PADD IV","PADD 4",IF($M2239="PADD V","PADD 5","")))))</f>
        <v>PADD 2</v>
      </c>
      <c r="G2239" s="6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6" t="s">
        <v>44</v>
      </c>
      <c r="I2239" s="6" t="s">
        <v>1005</v>
      </c>
      <c r="J2239" s="6" t="s">
        <v>398</v>
      </c>
      <c r="K2239" s="10">
        <v>6</v>
      </c>
      <c r="L2239" s="10">
        <v>6</v>
      </c>
      <c r="M2239" s="6" t="s">
        <v>425</v>
      </c>
      <c r="N2239" s="6">
        <f>IF(OR($G2239="FCC",$G2239="Hydrocracker",$G2239="Reformer"),IF(COUNTIFS($D:$D,$D2239,$A:$A,$A2239,$B:$B,$B2239,$G:$G,"CDU",$J:$J,"PLANNED")&gt;0,"tied","standalone"),"")</f>
        <v/>
      </c>
    </row>
    <row r="2240" spans="1:14">
      <c r="A2240" s="6">
        <v>2023</v>
      </c>
      <c r="B2240" s="6">
        <v>10</v>
      </c>
      <c r="C2240" s="6" t="s">
        <v>69</v>
      </c>
      <c r="D2240" s="6" t="s">
        <v>1093</v>
      </c>
      <c r="E2240" s="6" t="s">
        <v>438</v>
      </c>
      <c r="F2240" s="6" t="str">
        <f>IF($M2240="PADD I","PADD 1",IF($M2240="PADD II","PADD 2",IF($M2240="PADD III","PADD 3",IF($M2240="PADD IV","PADD 4",IF($M2240="PADD V","PADD 5","")))))</f>
        <v>PADD 2</v>
      </c>
      <c r="G2240" s="6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6" t="s">
        <v>44</v>
      </c>
      <c r="I2240" s="6" t="s">
        <v>1106</v>
      </c>
      <c r="J2240" s="6" t="s">
        <v>394</v>
      </c>
      <c r="K2240" s="10">
        <v>5.85</v>
      </c>
      <c r="L2240" s="10">
        <v>15</v>
      </c>
      <c r="M2240" s="6" t="s">
        <v>425</v>
      </c>
      <c r="N2240" s="6">
        <f>IF(OR($G2240="FCC",$G2240="Hydrocracker",$G2240="Reformer"),IF(COUNTIFS($D:$D,$D2240,$A:$A,$A2240,$B:$B,$B2240,$G:$G,"CDU",$J:$J,"PLANNED")&gt;0,"tied","standalone"),"")</f>
        <v/>
      </c>
    </row>
    <row r="2241" spans="1:14">
      <c r="A2241" s="6">
        <v>2023</v>
      </c>
      <c r="B2241" s="6">
        <v>10</v>
      </c>
      <c r="C2241" s="6" t="s">
        <v>69</v>
      </c>
      <c r="D2241" s="6" t="s">
        <v>928</v>
      </c>
      <c r="E2241" s="6" t="s">
        <v>502</v>
      </c>
      <c r="F2241" s="6" t="str">
        <f>IF($M2241="PADD I","PADD 1",IF($M2241="PADD II","PADD 2",IF($M2241="PADD III","PADD 3",IF($M2241="PADD IV","PADD 4",IF($M2241="PADD V","PADD 5","")))))</f>
        <v>PADD 2</v>
      </c>
      <c r="G2241" s="6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6" t="s">
        <v>44</v>
      </c>
      <c r="I2241" s="6" t="s">
        <v>954</v>
      </c>
      <c r="J2241" s="6" t="s">
        <v>398</v>
      </c>
      <c r="K2241" s="10">
        <v>5.775</v>
      </c>
      <c r="L2241" s="10">
        <v>7.5</v>
      </c>
      <c r="M2241" s="6" t="s">
        <v>425</v>
      </c>
      <c r="N2241" s="6">
        <f>IF(OR($G2241="FCC",$G2241="Hydrocracker",$G2241="Reformer"),IF(COUNTIFS($D:$D,$D2241,$A:$A,$A2241,$B:$B,$B2241,$G:$G,"CDU",$J:$J,"PLANNED")&gt;0,"tied","standalone"),"")</f>
        <v/>
      </c>
    </row>
    <row r="2242" spans="1:14">
      <c r="A2242" s="6">
        <v>2023</v>
      </c>
      <c r="B2242" s="6">
        <v>10</v>
      </c>
      <c r="C2242" s="6" t="s">
        <v>69</v>
      </c>
      <c r="D2242" s="6" t="s">
        <v>857</v>
      </c>
      <c r="E2242" s="6" t="s">
        <v>829</v>
      </c>
      <c r="F2242" s="6" t="str">
        <f>IF($M2242="PADD I","PADD 1",IF($M2242="PADD II","PADD 2",IF($M2242="PADD III","PADD 3",IF($M2242="PADD IV","PADD 4",IF($M2242="PADD V","PADD 5","")))))</f>
        <v>PADD 3</v>
      </c>
      <c r="G2242" s="6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6" t="s">
        <v>428</v>
      </c>
      <c r="I2242" s="6" t="s">
        <v>481</v>
      </c>
      <c r="J2242" s="6" t="s">
        <v>394</v>
      </c>
      <c r="K2242" s="10">
        <v>5.76</v>
      </c>
      <c r="L2242" s="10">
        <v>36</v>
      </c>
      <c r="M2242" s="6" t="s">
        <v>421</v>
      </c>
      <c r="N2242" s="6">
        <f>IF(OR($G2242="FCC",$G2242="Hydrocracker",$G2242="Reformer"),IF(COUNTIFS($D:$D,$D2242,$A:$A,$A2242,$B:$B,$B2242,$G:$G,"CDU",$J:$J,"PLANNED")&gt;0,"tied","standalone"),"")</f>
        <v/>
      </c>
    </row>
    <row r="2243" spans="1:14">
      <c r="A2243" s="6">
        <v>2023</v>
      </c>
      <c r="B2243" s="6">
        <v>10</v>
      </c>
      <c r="C2243" s="6" t="s">
        <v>69</v>
      </c>
      <c r="D2243" s="6" t="s">
        <v>678</v>
      </c>
      <c r="E2243" s="6" t="s">
        <v>438</v>
      </c>
      <c r="F2243" s="6" t="str">
        <f>IF($M2243="PADD I","PADD 1",IF($M2243="PADD II","PADD 2",IF($M2243="PADD III","PADD 3",IF($M2243="PADD IV","PADD 4",IF($M2243="PADD V","PADD 5","")))))</f>
        <v>PADD 3</v>
      </c>
      <c r="G2243" s="6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6" t="s">
        <v>44</v>
      </c>
      <c r="I2243" s="6" t="s">
        <v>514</v>
      </c>
      <c r="J2243" s="6" t="s">
        <v>394</v>
      </c>
      <c r="K2243" s="10">
        <v>5.7</v>
      </c>
      <c r="L2243" s="10">
        <v>30</v>
      </c>
      <c r="M2243" s="6" t="s">
        <v>421</v>
      </c>
      <c r="N2243" s="6">
        <f>IF(OR($G2243="FCC",$G2243="Hydrocracker",$G2243="Reformer"),IF(COUNTIFS($D:$D,$D2243,$A:$A,$A2243,$B:$B,$B2243,$G:$G,"CDU",$J:$J,"PLANNED")&gt;0,"tied","standalone"),"")</f>
        <v/>
      </c>
    </row>
    <row r="2244" spans="1:14">
      <c r="A2244" s="6">
        <v>2023</v>
      </c>
      <c r="B2244" s="6">
        <v>10</v>
      </c>
      <c r="C2244" s="6" t="s">
        <v>69</v>
      </c>
      <c r="D2244" s="6" t="s">
        <v>696</v>
      </c>
      <c r="E2244" s="6" t="s">
        <v>455</v>
      </c>
      <c r="F2244" s="6" t="str">
        <f>IF($M2244="PADD I","PADD 1",IF($M2244="PADD II","PADD 2",IF($M2244="PADD III","PADD 3",IF($M2244="PADD IV","PADD 4",IF($M2244="PADD V","PADD 5","")))))</f>
        <v>PADD 3</v>
      </c>
      <c r="G2244" s="6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6" t="s">
        <v>39</v>
      </c>
      <c r="I2244" s="6" t="s">
        <v>127</v>
      </c>
      <c r="J2244" s="6" t="s">
        <v>394</v>
      </c>
      <c r="K2244" s="10">
        <v>5.58</v>
      </c>
      <c r="L2244" s="10">
        <v>93</v>
      </c>
      <c r="M2244" s="6" t="s">
        <v>421</v>
      </c>
      <c r="N2244" s="6">
        <f>IF(OR($G2244="FCC",$G2244="Hydrocracker",$G2244="Reformer"),IF(COUNTIFS($D:$D,$D2244,$A:$A,$A2244,$B:$B,$B2244,$G:$G,"CDU",$J:$J,"PLANNED")&gt;0,"tied","standalone"),"")</f>
        <v/>
      </c>
    </row>
    <row r="2245" spans="1:14">
      <c r="A2245" s="6">
        <v>2023</v>
      </c>
      <c r="B2245" s="6">
        <v>10</v>
      </c>
      <c r="C2245" s="6" t="s">
        <v>69</v>
      </c>
      <c r="D2245" s="6" t="s">
        <v>1010</v>
      </c>
      <c r="E2245" s="6" t="s">
        <v>931</v>
      </c>
      <c r="F2245" s="6" t="str">
        <f>IF($M2245="PADD I","PADD 1",IF($M2245="PADD II","PADD 2",IF($M2245="PADD III","PADD 3",IF($M2245="PADD IV","PADD 4",IF($M2245="PADD V","PADD 5","")))))</f>
        <v>PADD 3</v>
      </c>
      <c r="G2245" s="6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6" t="s">
        <v>44</v>
      </c>
      <c r="I2245" s="6" t="s">
        <v>834</v>
      </c>
      <c r="J2245" s="6" t="s">
        <v>398</v>
      </c>
      <c r="K2245" s="10">
        <v>5.46</v>
      </c>
      <c r="L2245" s="10">
        <v>14</v>
      </c>
      <c r="M2245" s="6" t="s">
        <v>421</v>
      </c>
      <c r="N2245" s="6">
        <f>IF(OR($G2245="FCC",$G2245="Hydrocracker",$G2245="Reformer"),IF(COUNTIFS($D:$D,$D2245,$A:$A,$A2245,$B:$B,$B2245,$G:$G,"CDU",$J:$J,"PLANNED")&gt;0,"tied","standalone"),"")</f>
        <v/>
      </c>
    </row>
    <row r="2246" spans="1:14">
      <c r="A2246" s="6">
        <v>2023</v>
      </c>
      <c r="B2246" s="6">
        <v>10</v>
      </c>
      <c r="C2246" s="6" t="s">
        <v>69</v>
      </c>
      <c r="D2246" s="6" t="s">
        <v>678</v>
      </c>
      <c r="E2246" s="6" t="s">
        <v>438</v>
      </c>
      <c r="F2246" s="6" t="str">
        <f>IF($M2246="PADD I","PADD 1",IF($M2246="PADD II","PADD 2",IF($M2246="PADD III","PADD 3",IF($M2246="PADD IV","PADD 4",IF($M2246="PADD V","PADD 5","")))))</f>
        <v>PADD 3</v>
      </c>
      <c r="G2246" s="6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6" t="s">
        <v>44</v>
      </c>
      <c r="I2246" s="6" t="s">
        <v>834</v>
      </c>
      <c r="J2246" s="6" t="s">
        <v>394</v>
      </c>
      <c r="K2246" s="10">
        <v>5.32</v>
      </c>
      <c r="L2246" s="10">
        <v>28</v>
      </c>
      <c r="M2246" s="6" t="s">
        <v>421</v>
      </c>
      <c r="N2246" s="6">
        <f>IF(OR($G2246="FCC",$G2246="Hydrocracker",$G2246="Reformer"),IF(COUNTIFS($D:$D,$D2246,$A:$A,$A2246,$B:$B,$B2246,$G:$G,"CDU",$J:$J,"PLANNED")&gt;0,"tied","standalone"),"")</f>
        <v/>
      </c>
    </row>
    <row r="2247" spans="1:14">
      <c r="A2247" s="6">
        <v>2023</v>
      </c>
      <c r="B2247" s="6">
        <v>10</v>
      </c>
      <c r="C2247" s="6" t="s">
        <v>69</v>
      </c>
      <c r="D2247" s="6" t="s">
        <v>1093</v>
      </c>
      <c r="E2247" s="6" t="s">
        <v>438</v>
      </c>
      <c r="F2247" s="6" t="str">
        <f>IF($M2247="PADD I","PADD 1",IF($M2247="PADD II","PADD 2",IF($M2247="PADD III","PADD 3",IF($M2247="PADD IV","PADD 4",IF($M2247="PADD V","PADD 5","")))))</f>
        <v>PADD 2</v>
      </c>
      <c r="G2247" s="6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6" t="s">
        <v>44</v>
      </c>
      <c r="I2247" s="6" t="s">
        <v>1107</v>
      </c>
      <c r="J2247" s="6" t="s">
        <v>394</v>
      </c>
      <c r="K2247" s="10">
        <v>5.304</v>
      </c>
      <c r="L2247" s="10">
        <v>13.6</v>
      </c>
      <c r="M2247" s="6" t="s">
        <v>425</v>
      </c>
      <c r="N2247" s="6">
        <f>IF(OR($G2247="FCC",$G2247="Hydrocracker",$G2247="Reformer"),IF(COUNTIFS($D:$D,$D2247,$A:$A,$A2247,$B:$B,$B2247,$G:$G,"CDU",$J:$J,"PLANNED")&gt;0,"tied","standalone"),"")</f>
        <v/>
      </c>
    </row>
    <row r="2248" spans="1:14">
      <c r="A2248" s="6">
        <v>2023</v>
      </c>
      <c r="B2248" s="6">
        <v>10</v>
      </c>
      <c r="C2248" s="6" t="s">
        <v>69</v>
      </c>
      <c r="D2248" s="6" t="s">
        <v>395</v>
      </c>
      <c r="E2248" s="6" t="s">
        <v>433</v>
      </c>
      <c r="F2248" s="6" t="str">
        <f>IF($M2248="PADD I","PADD 1",IF($M2248="PADD II","PADD 2",IF($M2248="PADD III","PADD 3",IF($M2248="PADD IV","PADD 4",IF($M2248="PADD V","PADD 5","")))))</f>
        <v>PADD 2</v>
      </c>
      <c r="G2248" s="6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6" t="s">
        <v>39</v>
      </c>
      <c r="I2248" s="6" t="s">
        <v>1108</v>
      </c>
      <c r="J2248" s="6" t="s">
        <v>394</v>
      </c>
      <c r="K2248" s="10">
        <v>5.22</v>
      </c>
      <c r="L2248" s="10">
        <v>87</v>
      </c>
      <c r="M2248" s="6" t="s">
        <v>425</v>
      </c>
      <c r="N2248" s="6">
        <f>IF(OR($G2248="FCC",$G2248="Hydrocracker",$G2248="Reformer"),IF(COUNTIFS($D:$D,$D2248,$A:$A,$A2248,$B:$B,$B2248,$G:$G,"CDU",$J:$J,"PLANNED")&gt;0,"tied","standalone"),"")</f>
        <v/>
      </c>
    </row>
    <row r="2249" spans="1:14">
      <c r="A2249" s="6">
        <v>2023</v>
      </c>
      <c r="B2249" s="6">
        <v>10</v>
      </c>
      <c r="C2249" s="6" t="s">
        <v>69</v>
      </c>
      <c r="D2249" s="6" t="s">
        <v>470</v>
      </c>
      <c r="E2249" s="6" t="s">
        <v>423</v>
      </c>
      <c r="F2249" s="6" t="str">
        <f>IF($M2249="PADD I","PADD 1",IF($M2249="PADD II","PADD 2",IF($M2249="PADD III","PADD 3",IF($M2249="PADD IV","PADD 4",IF($M2249="PADD V","PADD 5","")))))</f>
        <v>PADD 2</v>
      </c>
      <c r="G2249" s="6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6" t="s">
        <v>44</v>
      </c>
      <c r="I2249" s="6" t="s">
        <v>627</v>
      </c>
      <c r="J2249" s="6" t="s">
        <v>394</v>
      </c>
      <c r="K2249" s="10">
        <v>5.005</v>
      </c>
      <c r="L2249" s="10">
        <v>7.7</v>
      </c>
      <c r="M2249" s="6" t="s">
        <v>425</v>
      </c>
      <c r="N2249" s="6">
        <f>IF(OR($G2249="FCC",$G2249="Hydrocracker",$G2249="Reformer"),IF(COUNTIFS($D:$D,$D2249,$A:$A,$A2249,$B:$B,$B2249,$G:$G,"CDU",$J:$J,"PLANNED")&gt;0,"tied","standalone"),"")</f>
        <v/>
      </c>
    </row>
    <row r="2250" spans="1:14">
      <c r="A2250" s="6">
        <v>2023</v>
      </c>
      <c r="B2250" s="6">
        <v>10</v>
      </c>
      <c r="C2250" s="6" t="s">
        <v>69</v>
      </c>
      <c r="D2250" s="6" t="s">
        <v>662</v>
      </c>
      <c r="E2250" s="6" t="s">
        <v>466</v>
      </c>
      <c r="F2250" s="6" t="str">
        <f>IF($M2250="PADD I","PADD 1",IF($M2250="PADD II","PADD 2",IF($M2250="PADD III","PADD 3",IF($M2250="PADD IV","PADD 4",IF($M2250="PADD V","PADD 5","")))))</f>
        <v>PADD 3</v>
      </c>
      <c r="G2250" s="6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6" t="s">
        <v>39</v>
      </c>
      <c r="I2250" s="6" t="s">
        <v>82</v>
      </c>
      <c r="J2250" s="6" t="s">
        <v>394</v>
      </c>
      <c r="K2250" s="10">
        <v>4.95</v>
      </c>
      <c r="L2250" s="10">
        <v>165</v>
      </c>
      <c r="M2250" s="6" t="s">
        <v>421</v>
      </c>
      <c r="N2250" s="6">
        <f>IF(OR($G2250="FCC",$G2250="Hydrocracker",$G2250="Reformer"),IF(COUNTIFS($D:$D,$D2250,$A:$A,$A2250,$B:$B,$B2250,$G:$G,"CDU",$J:$J,"PLANNED")&gt;0,"tied","standalone"),"")</f>
        <v/>
      </c>
    </row>
    <row r="2251" spans="1:14">
      <c r="A2251" s="6">
        <v>2023</v>
      </c>
      <c r="B2251" s="6">
        <v>10</v>
      </c>
      <c r="C2251" s="6" t="s">
        <v>69</v>
      </c>
      <c r="D2251" s="6" t="s">
        <v>789</v>
      </c>
      <c r="E2251" s="6" t="s">
        <v>455</v>
      </c>
      <c r="F2251" s="6" t="str">
        <f>IF($M2251="PADD I","PADD 1",IF($M2251="PADD II","PADD 2",IF($M2251="PADD III","PADD 3",IF($M2251="PADD IV","PADD 4",IF($M2251="PADD V","PADD 5","")))))</f>
        <v>PADD 2</v>
      </c>
      <c r="G2251" s="6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6" t="s">
        <v>494</v>
      </c>
      <c r="I2251" s="6" t="s">
        <v>845</v>
      </c>
      <c r="J2251" s="6" t="s">
        <v>394</v>
      </c>
      <c r="K2251" s="10">
        <v>4.9</v>
      </c>
      <c r="L2251" s="10">
        <v>14</v>
      </c>
      <c r="M2251" s="6" t="s">
        <v>425</v>
      </c>
      <c r="N2251" s="6" t="str">
        <f>IF(OR($G2251="FCC",$G2251="Hydrocracker",$G2251="Reformer"),IF(COUNTIFS($D:$D,$D2251,$A:$A,$A2251,$B:$B,$B2251,$G:$G,"CDU",$J:$J,"PLANNED")&gt;0,"tied","standalone"),"")</f>
        <v>standalone</v>
      </c>
    </row>
    <row r="2252" spans="1:14">
      <c r="A2252" s="6">
        <v>2023</v>
      </c>
      <c r="B2252" s="6">
        <v>10</v>
      </c>
      <c r="C2252" s="6" t="s">
        <v>69</v>
      </c>
      <c r="D2252" s="6" t="s">
        <v>377</v>
      </c>
      <c r="E2252" s="6" t="s">
        <v>466</v>
      </c>
      <c r="F2252" s="6" t="str">
        <f>IF($M2252="PADD I","PADD 1",IF($M2252="PADD II","PADD 2",IF($M2252="PADD III","PADD 3",IF($M2252="PADD IV","PADD 4",IF($M2252="PADD V","PADD 5","")))))</f>
        <v>PADD 2</v>
      </c>
      <c r="G2252" s="6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6" t="s">
        <v>485</v>
      </c>
      <c r="I2252" s="6" t="s">
        <v>1109</v>
      </c>
      <c r="J2252" s="6" t="s">
        <v>398</v>
      </c>
      <c r="K2252" s="10">
        <v>4.8906</v>
      </c>
      <c r="L2252" s="10">
        <v>12.54</v>
      </c>
      <c r="M2252" s="6" t="s">
        <v>425</v>
      </c>
      <c r="N2252" s="6">
        <f>IF(OR($G2252="FCC",$G2252="Hydrocracker",$G2252="Reformer"),IF(COUNTIFS($D:$D,$D2252,$A:$A,$A2252,$B:$B,$B2252,$G:$G,"CDU",$J:$J,"PLANNED")&gt;0,"tied","standalone"),"")</f>
        <v/>
      </c>
    </row>
    <row r="2253" spans="1:14">
      <c r="A2253" s="6">
        <v>2023</v>
      </c>
      <c r="B2253" s="6">
        <v>10</v>
      </c>
      <c r="C2253" s="6" t="s">
        <v>69</v>
      </c>
      <c r="D2253" s="6" t="s">
        <v>470</v>
      </c>
      <c r="E2253" s="6" t="s">
        <v>423</v>
      </c>
      <c r="F2253" s="6" t="str">
        <f>IF($M2253="PADD I","PADD 1",IF($M2253="PADD II","PADD 2",IF($M2253="PADD III","PADD 3",IF($M2253="PADD IV","PADD 4",IF($M2253="PADD V","PADD 5","")))))</f>
        <v>PADD 2</v>
      </c>
      <c r="G2253" s="6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6" t="s">
        <v>44</v>
      </c>
      <c r="I2253" s="6" t="s">
        <v>508</v>
      </c>
      <c r="J2253" s="6" t="s">
        <v>394</v>
      </c>
      <c r="K2253" s="10">
        <v>4.875</v>
      </c>
      <c r="L2253" s="10">
        <v>7.5</v>
      </c>
      <c r="M2253" s="6" t="s">
        <v>425</v>
      </c>
      <c r="N2253" s="6">
        <f>IF(OR($G2253="FCC",$G2253="Hydrocracker",$G2253="Reformer"),IF(COUNTIFS($D:$D,$D2253,$A:$A,$A2253,$B:$B,$B2253,$G:$G,"CDU",$J:$J,"PLANNED")&gt;0,"tied","standalone"),"")</f>
        <v/>
      </c>
    </row>
    <row r="2254" spans="1:14">
      <c r="A2254" s="6">
        <v>2023</v>
      </c>
      <c r="B2254" s="6">
        <v>10</v>
      </c>
      <c r="C2254" s="6" t="s">
        <v>69</v>
      </c>
      <c r="D2254" s="6" t="s">
        <v>1082</v>
      </c>
      <c r="E2254" s="6" t="s">
        <v>1083</v>
      </c>
      <c r="F2254" s="6" t="str">
        <f>IF($M2254="PADD I","PADD 1",IF($M2254="PADD II","PADD 2",IF($M2254="PADD III","PADD 3",IF($M2254="PADD IV","PADD 4",IF($M2254="PADD V","PADD 5","")))))</f>
        <v>PADD 5</v>
      </c>
      <c r="G2254" s="6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6" t="s">
        <v>39</v>
      </c>
      <c r="I2254" s="6" t="s">
        <v>713</v>
      </c>
      <c r="J2254" s="6" t="s">
        <v>398</v>
      </c>
      <c r="K2254" s="10">
        <v>4.85</v>
      </c>
      <c r="L2254" s="10">
        <v>5</v>
      </c>
      <c r="M2254" s="6" t="s">
        <v>436</v>
      </c>
      <c r="N2254" s="6">
        <f>IF(OR($G2254="FCC",$G2254="Hydrocracker",$G2254="Reformer"),IF(COUNTIFS($D:$D,$D2254,$A:$A,$A2254,$B:$B,$B2254,$G:$G,"CDU",$J:$J,"PLANNED")&gt;0,"tied","standalone"),"")</f>
        <v/>
      </c>
    </row>
    <row r="2255" spans="1:14">
      <c r="A2255" s="6">
        <v>2023</v>
      </c>
      <c r="B2255" s="6">
        <v>10</v>
      </c>
      <c r="C2255" s="6" t="s">
        <v>69</v>
      </c>
      <c r="D2255" s="6" t="s">
        <v>1110</v>
      </c>
      <c r="E2255" s="6" t="s">
        <v>1089</v>
      </c>
      <c r="F2255" s="6" t="str">
        <f>IF($M2255="PADD I","PADD 1",IF($M2255="PADD II","PADD 2",IF($M2255="PADD III","PADD 3",IF($M2255="PADD IV","PADD 4",IF($M2255="PADD V","PADD 5","")))))</f>
        <v>PADD 2</v>
      </c>
      <c r="G2255" s="6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6" t="s">
        <v>39</v>
      </c>
      <c r="I2255" s="6" t="s">
        <v>456</v>
      </c>
      <c r="J2255" s="6" t="s">
        <v>398</v>
      </c>
      <c r="K2255" s="10">
        <v>4.8</v>
      </c>
      <c r="L2255" s="10">
        <v>160</v>
      </c>
      <c r="M2255" s="6" t="s">
        <v>425</v>
      </c>
      <c r="N2255" s="6">
        <f>IF(OR($G2255="FCC",$G2255="Hydrocracker",$G2255="Reformer"),IF(COUNTIFS($D:$D,$D2255,$A:$A,$A2255,$B:$B,$B2255,$G:$G,"CDU",$J:$J,"PLANNED")&gt;0,"tied","standalone"),"")</f>
        <v/>
      </c>
    </row>
    <row r="2256" spans="1:14">
      <c r="A2256" s="6">
        <v>2023</v>
      </c>
      <c r="B2256" s="6">
        <v>10</v>
      </c>
      <c r="C2256" s="6" t="s">
        <v>69</v>
      </c>
      <c r="D2256" s="6" t="s">
        <v>581</v>
      </c>
      <c r="E2256" s="6" t="s">
        <v>582</v>
      </c>
      <c r="F2256" s="6" t="str">
        <f>IF($M2256="PADD I","PADD 1",IF($M2256="PADD II","PADD 2",IF($M2256="PADD III","PADD 3",IF($M2256="PADD IV","PADD 4",IF($M2256="PADD V","PADD 5","")))))</f>
        <v>PADD 5</v>
      </c>
      <c r="G2256" s="6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6" t="s">
        <v>471</v>
      </c>
      <c r="I2256" s="6" t="s">
        <v>607</v>
      </c>
      <c r="J2256" s="6" t="s">
        <v>394</v>
      </c>
      <c r="K2256" s="10">
        <v>4.725</v>
      </c>
      <c r="L2256" s="10">
        <v>13.5</v>
      </c>
      <c r="M2256" s="6" t="s">
        <v>436</v>
      </c>
      <c r="N2256" s="6" t="str">
        <f>IF(OR($G2256="FCC",$G2256="Hydrocracker",$G2256="Reformer"),IF(COUNTIFS($D:$D,$D2256,$A:$A,$A2256,$B:$B,$B2256,$G:$G,"CDU",$J:$J,"PLANNED")&gt;0,"tied","standalone"),"")</f>
        <v>standalone</v>
      </c>
    </row>
    <row r="2257" spans="1:14">
      <c r="A2257" s="6">
        <v>2023</v>
      </c>
      <c r="B2257" s="6">
        <v>10</v>
      </c>
      <c r="C2257" s="6" t="s">
        <v>69</v>
      </c>
      <c r="D2257" s="6" t="s">
        <v>41</v>
      </c>
      <c r="E2257" s="6" t="s">
        <v>786</v>
      </c>
      <c r="F2257" s="6" t="str">
        <f>IF($M2257="PADD I","PADD 1",IF($M2257="PADD II","PADD 2",IF($M2257="PADD III","PADD 3",IF($M2257="PADD IV","PADD 4",IF($M2257="PADD V","PADD 5","")))))</f>
        <v>PADD 1</v>
      </c>
      <c r="G2257" s="6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6" t="s">
        <v>44</v>
      </c>
      <c r="I2257" s="6" t="s">
        <v>1079</v>
      </c>
      <c r="J2257" s="6" t="s">
        <v>398</v>
      </c>
      <c r="K2257" s="10">
        <v>4.2</v>
      </c>
      <c r="L2257" s="10">
        <v>4.2</v>
      </c>
      <c r="M2257" s="6" t="s">
        <v>463</v>
      </c>
      <c r="N2257" s="6">
        <f>IF(OR($G2257="FCC",$G2257="Hydrocracker",$G2257="Reformer"),IF(COUNTIFS($D:$D,$D2257,$A:$A,$A2257,$B:$B,$B2257,$G:$G,"CDU",$J:$J,"PLANNED")&gt;0,"tied","standalone"),"")</f>
        <v/>
      </c>
    </row>
    <row r="2258" spans="1:14">
      <c r="A2258" s="6">
        <v>2023</v>
      </c>
      <c r="B2258" s="6">
        <v>10</v>
      </c>
      <c r="C2258" s="6" t="s">
        <v>69</v>
      </c>
      <c r="D2258" s="6" t="s">
        <v>49</v>
      </c>
      <c r="E2258" s="6" t="s">
        <v>438</v>
      </c>
      <c r="F2258" s="6" t="str">
        <f>IF($M2258="PADD I","PADD 1",IF($M2258="PADD II","PADD 2",IF($M2258="PADD III","PADD 3",IF($M2258="PADD IV","PADD 4",IF($M2258="PADD V","PADD 5","")))))</f>
        <v>PADD 2</v>
      </c>
      <c r="G2258" s="6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6" t="s">
        <v>471</v>
      </c>
      <c r="I2258" s="6" t="s">
        <v>771</v>
      </c>
      <c r="J2258" s="6" t="s">
        <v>394</v>
      </c>
      <c r="K2258" s="10">
        <v>3.85</v>
      </c>
      <c r="L2258" s="10">
        <v>38.5</v>
      </c>
      <c r="M2258" s="6" t="s">
        <v>425</v>
      </c>
      <c r="N2258" s="6" t="str">
        <f>IF(OR($G2258="FCC",$G2258="Hydrocracker",$G2258="Reformer"),IF(COUNTIFS($D:$D,$D2258,$A:$A,$A2258,$B:$B,$B2258,$G:$G,"CDU",$J:$J,"PLANNED")&gt;0,"tied","standalone"),"")</f>
        <v>standalone</v>
      </c>
    </row>
    <row r="2259" spans="1:14">
      <c r="A2259" s="6">
        <v>2023</v>
      </c>
      <c r="B2259" s="6">
        <v>10</v>
      </c>
      <c r="C2259" s="6" t="s">
        <v>69</v>
      </c>
      <c r="D2259" s="6" t="s">
        <v>496</v>
      </c>
      <c r="E2259" s="6" t="s">
        <v>441</v>
      </c>
      <c r="F2259" s="6" t="str">
        <f>IF($M2259="PADD I","PADD 1",IF($M2259="PADD II","PADD 2",IF($M2259="PADD III","PADD 3",IF($M2259="PADD IV","PADD 4",IF($M2259="PADD V","PADD 5","")))))</f>
        <v>PADD 3</v>
      </c>
      <c r="G2259" s="6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6" t="s">
        <v>471</v>
      </c>
      <c r="I2259" s="6" t="s">
        <v>533</v>
      </c>
      <c r="J2259" s="6" t="s">
        <v>394</v>
      </c>
      <c r="K2259" s="10">
        <v>3.68</v>
      </c>
      <c r="L2259" s="10">
        <v>23</v>
      </c>
      <c r="M2259" s="6" t="s">
        <v>421</v>
      </c>
      <c r="N2259" s="6" t="str">
        <f>IF(OR($G2259="FCC",$G2259="Hydrocracker",$G2259="Reformer"),IF(COUNTIFS($D:$D,$D2259,$A:$A,$A2259,$B:$B,$B2259,$G:$G,"CDU",$J:$J,"PLANNED")&gt;0,"tied","standalone"),"")</f>
        <v>standalone</v>
      </c>
    </row>
    <row r="2260" spans="1:14">
      <c r="A2260" s="6">
        <v>2023</v>
      </c>
      <c r="B2260" s="6">
        <v>10</v>
      </c>
      <c r="C2260" s="6" t="s">
        <v>69</v>
      </c>
      <c r="D2260" s="6" t="s">
        <v>1093</v>
      </c>
      <c r="E2260" s="6" t="s">
        <v>438</v>
      </c>
      <c r="F2260" s="6" t="str">
        <f>IF($M2260="PADD I","PADD 1",IF($M2260="PADD II","PADD 2",IF($M2260="PADD III","PADD 3",IF($M2260="PADD IV","PADD 4",IF($M2260="PADD V","PADD 5","")))))</f>
        <v>PADD 2</v>
      </c>
      <c r="G2260" s="6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6" t="s">
        <v>471</v>
      </c>
      <c r="I2260" s="6" t="s">
        <v>966</v>
      </c>
      <c r="J2260" s="6" t="s">
        <v>394</v>
      </c>
      <c r="K2260" s="10">
        <v>3.625</v>
      </c>
      <c r="L2260" s="10">
        <v>12.5</v>
      </c>
      <c r="M2260" s="6" t="s">
        <v>425</v>
      </c>
      <c r="N2260" s="6" t="str">
        <f>IF(OR($G2260="FCC",$G2260="Hydrocracker",$G2260="Reformer"),IF(COUNTIFS($D:$D,$D2260,$A:$A,$A2260,$B:$B,$B2260,$G:$G,"CDU",$J:$J,"PLANNED")&gt;0,"tied","standalone"),"")</f>
        <v>standalone</v>
      </c>
    </row>
    <row r="2261" spans="1:14">
      <c r="A2261" s="6">
        <v>2023</v>
      </c>
      <c r="B2261" s="6">
        <v>10</v>
      </c>
      <c r="C2261" s="6" t="s">
        <v>69</v>
      </c>
      <c r="D2261" s="6" t="s">
        <v>470</v>
      </c>
      <c r="E2261" s="6" t="s">
        <v>423</v>
      </c>
      <c r="F2261" s="6" t="str">
        <f>IF($M2261="PADD I","PADD 1",IF($M2261="PADD II","PADD 2",IF($M2261="PADD III","PADD 3",IF($M2261="PADD IV","PADD 4",IF($M2261="PADD V","PADD 5","")))))</f>
        <v>PADD 2</v>
      </c>
      <c r="G2261" s="6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6" t="s">
        <v>44</v>
      </c>
      <c r="I2261" s="6" t="s">
        <v>638</v>
      </c>
      <c r="J2261" s="6" t="s">
        <v>394</v>
      </c>
      <c r="K2261" s="10">
        <v>3.575</v>
      </c>
      <c r="L2261" s="10">
        <v>5.5</v>
      </c>
      <c r="M2261" s="6" t="s">
        <v>425</v>
      </c>
      <c r="N2261" s="6">
        <f>IF(OR($G2261="FCC",$G2261="Hydrocracker",$G2261="Reformer"),IF(COUNTIFS($D:$D,$D2261,$A:$A,$A2261,$B:$B,$B2261,$G:$G,"CDU",$J:$J,"PLANNED")&gt;0,"tied","standalone"),"")</f>
        <v/>
      </c>
    </row>
    <row r="2262" spans="1:14">
      <c r="A2262" s="6">
        <v>2023</v>
      </c>
      <c r="B2262" s="6">
        <v>10</v>
      </c>
      <c r="C2262" s="6" t="s">
        <v>69</v>
      </c>
      <c r="D2262" s="6" t="s">
        <v>857</v>
      </c>
      <c r="E2262" s="6" t="s">
        <v>829</v>
      </c>
      <c r="F2262" s="6" t="str">
        <f>IF($M2262="PADD I","PADD 1",IF($M2262="PADD II","PADD 2",IF($M2262="PADD III","PADD 3",IF($M2262="PADD IV","PADD 4",IF($M2262="PADD V","PADD 5","")))))</f>
        <v>PADD 3</v>
      </c>
      <c r="G2262" s="6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6" t="s">
        <v>44</v>
      </c>
      <c r="I2262" s="6" t="s">
        <v>874</v>
      </c>
      <c r="J2262" s="6" t="s">
        <v>394</v>
      </c>
      <c r="K2262" s="10">
        <v>3.2</v>
      </c>
      <c r="L2262" s="10">
        <v>20</v>
      </c>
      <c r="M2262" s="6" t="s">
        <v>421</v>
      </c>
      <c r="N2262" s="6">
        <f>IF(OR($G2262="FCC",$G2262="Hydrocracker",$G2262="Reformer"),IF(COUNTIFS($D:$D,$D2262,$A:$A,$A2262,$B:$B,$B2262,$G:$G,"CDU",$J:$J,"PLANNED")&gt;0,"tied","standalone"),"")</f>
        <v/>
      </c>
    </row>
    <row r="2263" spans="1:14">
      <c r="A2263" s="6">
        <v>2023</v>
      </c>
      <c r="B2263" s="6">
        <v>10</v>
      </c>
      <c r="C2263" s="6" t="s">
        <v>69</v>
      </c>
      <c r="D2263" s="6" t="s">
        <v>1010</v>
      </c>
      <c r="E2263" s="6" t="s">
        <v>931</v>
      </c>
      <c r="F2263" s="6" t="str">
        <f>IF($M2263="PADD I","PADD 1",IF($M2263="PADD II","PADD 2",IF($M2263="PADD III","PADD 3",IF($M2263="PADD IV","PADD 4",IF($M2263="PADD V","PADD 5","")))))</f>
        <v>PADD 3</v>
      </c>
      <c r="G2263" s="6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6" t="s">
        <v>44</v>
      </c>
      <c r="I2263" s="6" t="s">
        <v>1011</v>
      </c>
      <c r="J2263" s="6" t="s">
        <v>398</v>
      </c>
      <c r="K2263" s="10">
        <v>3.12</v>
      </c>
      <c r="L2263" s="10">
        <v>8</v>
      </c>
      <c r="M2263" s="6" t="s">
        <v>421</v>
      </c>
      <c r="N2263" s="6">
        <f>IF(OR($G2263="FCC",$G2263="Hydrocracker",$G2263="Reformer"),IF(COUNTIFS($D:$D,$D2263,$A:$A,$A2263,$B:$B,$B2263,$G:$G,"CDU",$J:$J,"PLANNED")&gt;0,"tied","standalone"),"")</f>
        <v/>
      </c>
    </row>
    <row r="2264" spans="1:14">
      <c r="A2264" s="6">
        <v>2023</v>
      </c>
      <c r="B2264" s="6">
        <v>10</v>
      </c>
      <c r="C2264" s="6" t="s">
        <v>69</v>
      </c>
      <c r="D2264" s="6" t="s">
        <v>576</v>
      </c>
      <c r="E2264" s="6" t="s">
        <v>455</v>
      </c>
      <c r="F2264" s="6" t="str">
        <f>IF($M2264="PADD I","PADD 1",IF($M2264="PADD II","PADD 2",IF($M2264="PADD III","PADD 3",IF($M2264="PADD IV","PADD 4",IF($M2264="PADD V","PADD 5","")))))</f>
        <v>PADD 3</v>
      </c>
      <c r="G2264" s="6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6" t="s">
        <v>485</v>
      </c>
      <c r="I2264" s="6" t="s">
        <v>1004</v>
      </c>
      <c r="J2264" s="6" t="s">
        <v>394</v>
      </c>
      <c r="K2264" s="10">
        <v>3</v>
      </c>
      <c r="L2264" s="10">
        <v>50</v>
      </c>
      <c r="M2264" s="6" t="s">
        <v>421</v>
      </c>
      <c r="N2264" s="6">
        <f>IF(OR($G2264="FCC",$G2264="Hydrocracker",$G2264="Reformer"),IF(COUNTIFS($D:$D,$D2264,$A:$A,$A2264,$B:$B,$B2264,$G:$G,"CDU",$J:$J,"PLANNED")&gt;0,"tied","standalone"),"")</f>
        <v/>
      </c>
    </row>
    <row r="2265" spans="1:14">
      <c r="A2265" s="6">
        <v>2023</v>
      </c>
      <c r="B2265" s="6">
        <v>10</v>
      </c>
      <c r="C2265" s="6" t="s">
        <v>69</v>
      </c>
      <c r="D2265" s="6" t="s">
        <v>789</v>
      </c>
      <c r="E2265" s="6" t="s">
        <v>455</v>
      </c>
      <c r="F2265" s="6" t="str">
        <f>IF($M2265="PADD I","PADD 1",IF($M2265="PADD II","PADD 2",IF($M2265="PADD III","PADD 3",IF($M2265="PADD IV","PADD 4",IF($M2265="PADD V","PADD 5","")))))</f>
        <v>PADD 2</v>
      </c>
      <c r="G2265" s="6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6" t="s">
        <v>426</v>
      </c>
      <c r="I2265" s="6" t="s">
        <v>106</v>
      </c>
      <c r="J2265" s="6" t="s">
        <v>394</v>
      </c>
      <c r="K2265" s="10">
        <v>3</v>
      </c>
      <c r="L2265" s="10">
        <v>30</v>
      </c>
      <c r="M2265" s="6" t="s">
        <v>425</v>
      </c>
      <c r="N2265" s="6" t="str">
        <f>IF(OR($G2265="FCC",$G2265="Hydrocracker",$G2265="Reformer"),IF(COUNTIFS($D:$D,$D2265,$A:$A,$A2265,$B:$B,$B2265,$G:$G,"CDU",$J:$J,"PLANNED")&gt;0,"tied","standalone"),"")</f>
        <v>standalone</v>
      </c>
    </row>
    <row r="2266" spans="1:14">
      <c r="A2266" s="6">
        <v>2023</v>
      </c>
      <c r="B2266" s="6">
        <v>10</v>
      </c>
      <c r="C2266" s="6" t="s">
        <v>69</v>
      </c>
      <c r="D2266" s="6" t="s">
        <v>780</v>
      </c>
      <c r="E2266" s="6" t="s">
        <v>781</v>
      </c>
      <c r="F2266" s="6" t="str">
        <f>IF($M2266="PADD I","PADD 1",IF($M2266="PADD II","PADD 2",IF($M2266="PADD III","PADD 3",IF($M2266="PADD IV","PADD 4",IF($M2266="PADD V","PADD 5","")))))</f>
        <v>PADD 3</v>
      </c>
      <c r="G2266" s="6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6" t="s">
        <v>510</v>
      </c>
      <c r="I2266" s="6" t="s">
        <v>666</v>
      </c>
      <c r="J2266" s="6" t="s">
        <v>398</v>
      </c>
      <c r="K2266" s="10">
        <v>2.96</v>
      </c>
      <c r="L2266" s="10">
        <v>4</v>
      </c>
      <c r="M2266" s="6" t="s">
        <v>421</v>
      </c>
      <c r="N2266" s="6">
        <f>IF(OR($G2266="FCC",$G2266="Hydrocracker",$G2266="Reformer"),IF(COUNTIFS($D:$D,$D2266,$A:$A,$A2266,$B:$B,$B2266,$G:$G,"CDU",$J:$J,"PLANNED")&gt;0,"tied","standalone"),"")</f>
        <v/>
      </c>
    </row>
    <row r="2267" spans="1:14">
      <c r="A2267" s="6">
        <v>2023</v>
      </c>
      <c r="B2267" s="6">
        <v>10</v>
      </c>
      <c r="C2267" s="6" t="s">
        <v>69</v>
      </c>
      <c r="D2267" s="6" t="s">
        <v>851</v>
      </c>
      <c r="E2267" s="6" t="s">
        <v>829</v>
      </c>
      <c r="F2267" s="6" t="str">
        <f>IF($M2267="PADD I","PADD 1",IF($M2267="PADD II","PADD 2",IF($M2267="PADD III","PADD 3",IF($M2267="PADD IV","PADD 4",IF($M2267="PADD V","PADD 5","")))))</f>
        <v>PADD 2</v>
      </c>
      <c r="G2267" s="6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6" t="s">
        <v>947</v>
      </c>
      <c r="I2267" s="6" t="s">
        <v>1077</v>
      </c>
      <c r="J2267" s="6" t="s">
        <v>398</v>
      </c>
      <c r="K2267" s="10">
        <v>2.94</v>
      </c>
      <c r="L2267" s="10">
        <v>3.5</v>
      </c>
      <c r="M2267" s="6" t="s">
        <v>425</v>
      </c>
      <c r="N2267" s="6">
        <f>IF(OR($G2267="FCC",$G2267="Hydrocracker",$G2267="Reformer"),IF(COUNTIFS($D:$D,$D2267,$A:$A,$A2267,$B:$B,$B2267,$G:$G,"CDU",$J:$J,"PLANNED")&gt;0,"tied","standalone"),"")</f>
        <v/>
      </c>
    </row>
    <row r="2268" spans="1:14">
      <c r="A2268" s="6">
        <v>2023</v>
      </c>
      <c r="B2268" s="6">
        <v>10</v>
      </c>
      <c r="C2268" s="6" t="s">
        <v>69</v>
      </c>
      <c r="D2268" s="6" t="s">
        <v>458</v>
      </c>
      <c r="E2268" s="6" t="s">
        <v>459</v>
      </c>
      <c r="F2268" s="6" t="str">
        <f>IF($M2268="PADD I","PADD 1",IF($M2268="PADD II","PADD 2",IF($M2268="PADD III","PADD 3",IF($M2268="PADD IV","PADD 4",IF($M2268="PADD V","PADD 5","")))))</f>
        <v>PADD 3</v>
      </c>
      <c r="G2268" s="6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6" t="s">
        <v>510</v>
      </c>
      <c r="I2268" s="6" t="s">
        <v>656</v>
      </c>
      <c r="J2268" s="6" t="s">
        <v>398</v>
      </c>
      <c r="K2268" s="10">
        <v>2.9</v>
      </c>
      <c r="L2268" s="10">
        <v>5</v>
      </c>
      <c r="M2268" s="6" t="s">
        <v>421</v>
      </c>
      <c r="N2268" s="6">
        <f>IF(OR($G2268="FCC",$G2268="Hydrocracker",$G2268="Reformer"),IF(COUNTIFS($D:$D,$D2268,$A:$A,$A2268,$B:$B,$B2268,$G:$G,"CDU",$J:$J,"PLANNED")&gt;0,"tied","standalone"),"")</f>
        <v/>
      </c>
    </row>
    <row r="2269" spans="1:14">
      <c r="A2269" s="6">
        <v>2023</v>
      </c>
      <c r="B2269" s="6">
        <v>10</v>
      </c>
      <c r="C2269" s="6" t="s">
        <v>69</v>
      </c>
      <c r="D2269" s="6" t="s">
        <v>377</v>
      </c>
      <c r="E2269" s="6" t="s">
        <v>466</v>
      </c>
      <c r="F2269" s="6" t="str">
        <f>IF($M2269="PADD I","PADD 1",IF($M2269="PADD II","PADD 2",IF($M2269="PADD III","PADD 3",IF($M2269="PADD IV","PADD 4",IF($M2269="PADD V","PADD 5","")))))</f>
        <v>PADD 2</v>
      </c>
      <c r="G2269" s="6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6" t="s">
        <v>44</v>
      </c>
      <c r="I2269" s="6" t="s">
        <v>1076</v>
      </c>
      <c r="J2269" s="6" t="s">
        <v>398</v>
      </c>
      <c r="K2269" s="10">
        <v>2.85</v>
      </c>
      <c r="L2269" s="10">
        <v>15</v>
      </c>
      <c r="M2269" s="6" t="s">
        <v>425</v>
      </c>
      <c r="N2269" s="6">
        <f>IF(OR($G2269="FCC",$G2269="Hydrocracker",$G2269="Reformer"),IF(COUNTIFS($D:$D,$D2269,$A:$A,$A2269,$B:$B,$B2269,$G:$G,"CDU",$J:$J,"PLANNED")&gt;0,"tied","standalone"),"")</f>
        <v/>
      </c>
    </row>
    <row r="2270" spans="1:14">
      <c r="A2270" s="6">
        <v>2023</v>
      </c>
      <c r="B2270" s="6">
        <v>10</v>
      </c>
      <c r="C2270" s="6" t="s">
        <v>69</v>
      </c>
      <c r="D2270" s="6" t="s">
        <v>581</v>
      </c>
      <c r="E2270" s="6" t="s">
        <v>582</v>
      </c>
      <c r="F2270" s="6" t="str">
        <f>IF($M2270="PADD I","PADD 1",IF($M2270="PADD II","PADD 2",IF($M2270="PADD III","PADD 3",IF($M2270="PADD IV","PADD 4",IF($M2270="PADD V","PADD 5","")))))</f>
        <v>PADD 5</v>
      </c>
      <c r="G2270" s="6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6" t="s">
        <v>485</v>
      </c>
      <c r="I2270" s="6" t="s">
        <v>664</v>
      </c>
      <c r="J2270" s="6" t="s">
        <v>394</v>
      </c>
      <c r="K2270" s="10">
        <v>2.835</v>
      </c>
      <c r="L2270" s="10">
        <v>8.1</v>
      </c>
      <c r="M2270" s="6" t="s">
        <v>436</v>
      </c>
      <c r="N2270" s="6">
        <f>IF(OR($G2270="FCC",$G2270="Hydrocracker",$G2270="Reformer"),IF(COUNTIFS($D:$D,$D2270,$A:$A,$A2270,$B:$B,$B2270,$G:$G,"CDU",$J:$J,"PLANNED")&gt;0,"tied","standalone"),"")</f>
        <v/>
      </c>
    </row>
    <row r="2271" spans="1:14">
      <c r="A2271" s="6">
        <v>2023</v>
      </c>
      <c r="B2271" s="6">
        <v>10</v>
      </c>
      <c r="C2271" s="6" t="s">
        <v>69</v>
      </c>
      <c r="D2271" s="6" t="s">
        <v>581</v>
      </c>
      <c r="E2271" s="6" t="s">
        <v>582</v>
      </c>
      <c r="F2271" s="6" t="str">
        <f>IF($M2271="PADD I","PADD 1",IF($M2271="PADD II","PADD 2",IF($M2271="PADD III","PADD 3",IF($M2271="PADD IV","PADD 4",IF($M2271="PADD V","PADD 5","")))))</f>
        <v>PADD 5</v>
      </c>
      <c r="G2271" s="6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6" t="s">
        <v>485</v>
      </c>
      <c r="I2271" s="6" t="s">
        <v>649</v>
      </c>
      <c r="J2271" s="6" t="s">
        <v>394</v>
      </c>
      <c r="K2271" s="10">
        <v>2.625</v>
      </c>
      <c r="L2271" s="10">
        <v>7.5</v>
      </c>
      <c r="M2271" s="6" t="s">
        <v>436</v>
      </c>
      <c r="N2271" s="6">
        <f>IF(OR($G2271="FCC",$G2271="Hydrocracker",$G2271="Reformer"),IF(COUNTIFS($D:$D,$D2271,$A:$A,$A2271,$B:$B,$B2271,$G:$G,"CDU",$J:$J,"PLANNED")&gt;0,"tied","standalone"),"")</f>
        <v/>
      </c>
    </row>
    <row r="2272" spans="1:14">
      <c r="A2272" s="6">
        <v>2023</v>
      </c>
      <c r="B2272" s="6">
        <v>10</v>
      </c>
      <c r="C2272" s="6" t="s">
        <v>69</v>
      </c>
      <c r="D2272" s="6" t="s">
        <v>678</v>
      </c>
      <c r="E2272" s="6" t="s">
        <v>438</v>
      </c>
      <c r="F2272" s="6" t="str">
        <f>IF($M2272="PADD I","PADD 1",IF($M2272="PADD II","PADD 2",IF($M2272="PADD III","PADD 3",IF($M2272="PADD IV","PADD 4",IF($M2272="PADD V","PADD 5","")))))</f>
        <v>PADD 3</v>
      </c>
      <c r="G2272" s="6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6" t="s">
        <v>510</v>
      </c>
      <c r="I2272" s="6" t="s">
        <v>666</v>
      </c>
      <c r="J2272" s="6" t="s">
        <v>394</v>
      </c>
      <c r="K2272" s="10">
        <v>2.622</v>
      </c>
      <c r="L2272" s="10">
        <v>13.8</v>
      </c>
      <c r="M2272" s="6" t="s">
        <v>421</v>
      </c>
      <c r="N2272" s="6">
        <f>IF(OR($G2272="FCC",$G2272="Hydrocracker",$G2272="Reformer"),IF(COUNTIFS($D:$D,$D2272,$A:$A,$A2272,$B:$B,$B2272,$G:$G,"CDU",$J:$J,"PLANNED")&gt;0,"tied","standalone"),"")</f>
        <v/>
      </c>
    </row>
    <row r="2273" spans="1:14">
      <c r="A2273" s="6">
        <v>2023</v>
      </c>
      <c r="B2273" s="6">
        <v>10</v>
      </c>
      <c r="C2273" s="6" t="s">
        <v>69</v>
      </c>
      <c r="D2273" s="6" t="s">
        <v>712</v>
      </c>
      <c r="E2273" s="6" t="s">
        <v>602</v>
      </c>
      <c r="F2273" s="6" t="str">
        <f>IF($M2273="PADD I","PADD 1",IF($M2273="PADD II","PADD 2",IF($M2273="PADD III","PADD 3",IF($M2273="PADD IV","PADD 4",IF($M2273="PADD V","PADD 5","")))))</f>
        <v>PADD 3</v>
      </c>
      <c r="G2273" s="6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6" t="s">
        <v>44</v>
      </c>
      <c r="I2273" s="6" t="s">
        <v>894</v>
      </c>
      <c r="J2273" s="6" t="s">
        <v>398</v>
      </c>
      <c r="K2273" s="10">
        <v>2.6</v>
      </c>
      <c r="L2273" s="10">
        <v>5</v>
      </c>
      <c r="M2273" s="6" t="s">
        <v>421</v>
      </c>
      <c r="N2273" s="6">
        <f>IF(OR($G2273="FCC",$G2273="Hydrocracker",$G2273="Reformer"),IF(COUNTIFS($D:$D,$D2273,$A:$A,$A2273,$B:$B,$B2273,$G:$G,"CDU",$J:$J,"PLANNED")&gt;0,"tied","standalone"),"")</f>
        <v/>
      </c>
    </row>
    <row r="2274" spans="1:14">
      <c r="A2274" s="6">
        <v>2023</v>
      </c>
      <c r="B2274" s="6">
        <v>10</v>
      </c>
      <c r="C2274" s="6" t="s">
        <v>69</v>
      </c>
      <c r="D2274" s="6" t="s">
        <v>853</v>
      </c>
      <c r="E2274" s="6" t="s">
        <v>438</v>
      </c>
      <c r="F2274" s="6" t="str">
        <f>IF($M2274="PADD I","PADD 1",IF($M2274="PADD II","PADD 2",IF($M2274="PADD III","PADD 3",IF($M2274="PADD IV","PADD 4",IF($M2274="PADD V","PADD 5","")))))</f>
        <v>PADD 2</v>
      </c>
      <c r="G2274" s="6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6" t="s">
        <v>471</v>
      </c>
      <c r="I2274" s="6" t="s">
        <v>607</v>
      </c>
      <c r="J2274" s="6" t="s">
        <v>394</v>
      </c>
      <c r="K2274" s="10">
        <v>2.5875</v>
      </c>
      <c r="L2274" s="10">
        <v>11.25</v>
      </c>
      <c r="M2274" s="6" t="s">
        <v>425</v>
      </c>
      <c r="N2274" s="6" t="str">
        <f>IF(OR($G2274="FCC",$G2274="Hydrocracker",$G2274="Reformer"),IF(COUNTIFS($D:$D,$D2274,$A:$A,$A2274,$B:$B,$B2274,$G:$G,"CDU",$J:$J,"PLANNED")&gt;0,"tied","standalone"),"")</f>
        <v>standalone</v>
      </c>
    </row>
    <row r="2275" spans="1:14">
      <c r="A2275" s="6">
        <v>2023</v>
      </c>
      <c r="B2275" s="6">
        <v>10</v>
      </c>
      <c r="C2275" s="6" t="s">
        <v>69</v>
      </c>
      <c r="D2275" s="6" t="s">
        <v>662</v>
      </c>
      <c r="E2275" s="6" t="s">
        <v>466</v>
      </c>
      <c r="F2275" s="6" t="str">
        <f>IF($M2275="PADD I","PADD 1",IF($M2275="PADD II","PADD 2",IF($M2275="PADD III","PADD 3",IF($M2275="PADD IV","PADD 4",IF($M2275="PADD V","PADD 5","")))))</f>
        <v>PADD 3</v>
      </c>
      <c r="G2275" s="6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6" t="s">
        <v>428</v>
      </c>
      <c r="I2275" s="6" t="s">
        <v>481</v>
      </c>
      <c r="J2275" s="6" t="s">
        <v>394</v>
      </c>
      <c r="K2275" s="10">
        <v>2.4</v>
      </c>
      <c r="L2275" s="10">
        <v>80</v>
      </c>
      <c r="M2275" s="6" t="s">
        <v>421</v>
      </c>
      <c r="N2275" s="6">
        <f>IF(OR($G2275="FCC",$G2275="Hydrocracker",$G2275="Reformer"),IF(COUNTIFS($D:$D,$D2275,$A:$A,$A2275,$B:$B,$B2275,$G:$G,"CDU",$J:$J,"PLANNED")&gt;0,"tied","standalone"),"")</f>
        <v/>
      </c>
    </row>
    <row r="2276" spans="1:14">
      <c r="A2276" s="6">
        <v>2023</v>
      </c>
      <c r="B2276" s="6">
        <v>10</v>
      </c>
      <c r="C2276" s="6" t="s">
        <v>69</v>
      </c>
      <c r="D2276" s="6" t="s">
        <v>828</v>
      </c>
      <c r="E2276" s="6" t="s">
        <v>829</v>
      </c>
      <c r="F2276" s="6" t="str">
        <f>IF($M2276="PADD I","PADD 1",IF($M2276="PADD II","PADD 2",IF($M2276="PADD III","PADD 3",IF($M2276="PADD IV","PADD 4",IF($M2276="PADD V","PADD 5","")))))</f>
        <v>PADD 3</v>
      </c>
      <c r="G2276" s="6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6" t="s">
        <v>428</v>
      </c>
      <c r="I2276" s="6" t="s">
        <v>847</v>
      </c>
      <c r="J2276" s="6" t="s">
        <v>394</v>
      </c>
      <c r="K2276" s="10">
        <v>2.3</v>
      </c>
      <c r="L2276" s="10">
        <v>23</v>
      </c>
      <c r="M2276" s="6" t="s">
        <v>421</v>
      </c>
      <c r="N2276" s="6">
        <f>IF(OR($G2276="FCC",$G2276="Hydrocracker",$G2276="Reformer"),IF(COUNTIFS($D:$D,$D2276,$A:$A,$A2276,$B:$B,$B2276,$G:$G,"CDU",$J:$J,"PLANNED")&gt;0,"tied","standalone"),"")</f>
        <v/>
      </c>
    </row>
    <row r="2277" spans="1:14">
      <c r="A2277" s="6">
        <v>2023</v>
      </c>
      <c r="B2277" s="6">
        <v>10</v>
      </c>
      <c r="C2277" s="6" t="s">
        <v>69</v>
      </c>
      <c r="D2277" s="6" t="s">
        <v>1010</v>
      </c>
      <c r="E2277" s="6" t="s">
        <v>931</v>
      </c>
      <c r="F2277" s="6" t="str">
        <f>IF($M2277="PADD I","PADD 1",IF($M2277="PADD II","PADD 2",IF($M2277="PADD III","PADD 3",IF($M2277="PADD IV","PADD 4",IF($M2277="PADD V","PADD 5","")))))</f>
        <v>PADD 3</v>
      </c>
      <c r="G2277" s="6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6" t="s">
        <v>471</v>
      </c>
      <c r="I2277" s="6" t="s">
        <v>1111</v>
      </c>
      <c r="J2277" s="6" t="s">
        <v>398</v>
      </c>
      <c r="K2277" s="10">
        <v>2.145</v>
      </c>
      <c r="L2277" s="10">
        <v>5.5</v>
      </c>
      <c r="M2277" s="6" t="s">
        <v>421</v>
      </c>
      <c r="N2277" s="6" t="str">
        <f>IF(OR($G2277="FCC",$G2277="Hydrocracker",$G2277="Reformer"),IF(COUNTIFS($D:$D,$D2277,$A:$A,$A2277,$B:$B,$B2277,$G:$G,"CDU",$J:$J,"PLANNED")&gt;0,"tied","standalone"),"")</f>
        <v>tied</v>
      </c>
    </row>
    <row r="2278" spans="1:14">
      <c r="A2278" s="6">
        <v>2023</v>
      </c>
      <c r="B2278" s="6">
        <v>10</v>
      </c>
      <c r="C2278" s="6" t="s">
        <v>69</v>
      </c>
      <c r="D2278" s="6" t="s">
        <v>1010</v>
      </c>
      <c r="E2278" s="6" t="s">
        <v>931</v>
      </c>
      <c r="F2278" s="6" t="str">
        <f>IF($M2278="PADD I","PADD 1",IF($M2278="PADD II","PADD 2",IF($M2278="PADD III","PADD 3",IF($M2278="PADD IV","PADD 4",IF($M2278="PADD V","PADD 5","")))))</f>
        <v>PADD 3</v>
      </c>
      <c r="G2278" s="6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6" t="s">
        <v>471</v>
      </c>
      <c r="I2278" s="6" t="s">
        <v>860</v>
      </c>
      <c r="J2278" s="6" t="s">
        <v>398</v>
      </c>
      <c r="K2278" s="10">
        <v>2.145</v>
      </c>
      <c r="L2278" s="10">
        <v>5.5</v>
      </c>
      <c r="M2278" s="6" t="s">
        <v>421</v>
      </c>
      <c r="N2278" s="6" t="str">
        <f>IF(OR($G2278="FCC",$G2278="Hydrocracker",$G2278="Reformer"),IF(COUNTIFS($D:$D,$D2278,$A:$A,$A2278,$B:$B,$B2278,$G:$G,"CDU",$J:$J,"PLANNED")&gt;0,"tied","standalone"),"")</f>
        <v>tied</v>
      </c>
    </row>
    <row r="2279" spans="1:14">
      <c r="A2279" s="6">
        <v>2023</v>
      </c>
      <c r="B2279" s="6">
        <v>10</v>
      </c>
      <c r="C2279" s="6" t="s">
        <v>69</v>
      </c>
      <c r="D2279" s="6" t="s">
        <v>581</v>
      </c>
      <c r="E2279" s="6" t="s">
        <v>582</v>
      </c>
      <c r="F2279" s="6" t="str">
        <f>IF($M2279="PADD I","PADD 1",IF($M2279="PADD II","PADD 2",IF($M2279="PADD III","PADD 3",IF($M2279="PADD IV","PADD 4",IF($M2279="PADD V","PADD 5","")))))</f>
        <v>PADD 5</v>
      </c>
      <c r="G2279" s="6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6" t="s">
        <v>44</v>
      </c>
      <c r="I2279" s="6" t="s">
        <v>668</v>
      </c>
      <c r="J2279" s="6" t="s">
        <v>394</v>
      </c>
      <c r="K2279" s="10">
        <v>2.1</v>
      </c>
      <c r="L2279" s="10">
        <v>6</v>
      </c>
      <c r="M2279" s="6" t="s">
        <v>436</v>
      </c>
      <c r="N2279" s="6">
        <f>IF(OR($G2279="FCC",$G2279="Hydrocracker",$G2279="Reformer"),IF(COUNTIFS($D:$D,$D2279,$A:$A,$A2279,$B:$B,$B2279,$G:$G,"CDU",$J:$J,"PLANNED")&gt;0,"tied","standalone"),"")</f>
        <v/>
      </c>
    </row>
    <row r="2280" spans="1:14">
      <c r="A2280" s="6">
        <v>2023</v>
      </c>
      <c r="B2280" s="6">
        <v>10</v>
      </c>
      <c r="C2280" s="6" t="s">
        <v>69</v>
      </c>
      <c r="D2280" s="6" t="s">
        <v>662</v>
      </c>
      <c r="E2280" s="6" t="s">
        <v>466</v>
      </c>
      <c r="F2280" s="6" t="str">
        <f>IF($M2280="PADD I","PADD 1",IF($M2280="PADD II","PADD 2",IF($M2280="PADD III","PADD 3",IF($M2280="PADD IV","PADD 4",IF($M2280="PADD V","PADD 5","")))))</f>
        <v>PADD 3</v>
      </c>
      <c r="G2280" s="6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6" t="s">
        <v>426</v>
      </c>
      <c r="I2280" s="6" t="s">
        <v>478</v>
      </c>
      <c r="J2280" s="6" t="s">
        <v>394</v>
      </c>
      <c r="K2280" s="10">
        <v>2.07</v>
      </c>
      <c r="L2280" s="10">
        <v>69</v>
      </c>
      <c r="M2280" s="6" t="s">
        <v>421</v>
      </c>
      <c r="N2280" s="6" t="str">
        <f>IF(OR($G2280="FCC",$G2280="Hydrocracker",$G2280="Reformer"),IF(COUNTIFS($D:$D,$D2280,$A:$A,$A2280,$B:$B,$B2280,$G:$G,"CDU",$J:$J,"PLANNED")&gt;0,"tied","standalone"),"")</f>
        <v>standalone</v>
      </c>
    </row>
    <row r="2281" spans="1:14">
      <c r="A2281" s="6">
        <v>2023</v>
      </c>
      <c r="B2281" s="6">
        <v>10</v>
      </c>
      <c r="C2281" s="6" t="s">
        <v>69</v>
      </c>
      <c r="D2281" s="6" t="s">
        <v>1093</v>
      </c>
      <c r="E2281" s="6" t="s">
        <v>438</v>
      </c>
      <c r="F2281" s="6" t="str">
        <f>IF($M2281="PADD I","PADD 1",IF($M2281="PADD II","PADD 2",IF($M2281="PADD III","PADD 3",IF($M2281="PADD IV","PADD 4",IF($M2281="PADD V","PADD 5","")))))</f>
        <v>PADD 2</v>
      </c>
      <c r="G2281" s="6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6" t="s">
        <v>618</v>
      </c>
      <c r="I2281" s="6" t="s">
        <v>654</v>
      </c>
      <c r="J2281" s="6" t="s">
        <v>394</v>
      </c>
      <c r="K2281" s="10">
        <v>1.989</v>
      </c>
      <c r="L2281" s="10">
        <v>5.1</v>
      </c>
      <c r="M2281" s="6" t="s">
        <v>425</v>
      </c>
      <c r="N2281" s="6">
        <f>IF(OR($G2281="FCC",$G2281="Hydrocracker",$G2281="Reformer"),IF(COUNTIFS($D:$D,$D2281,$A:$A,$A2281,$B:$B,$B2281,$G:$G,"CDU",$J:$J,"PLANNED")&gt;0,"tied","standalone"),"")</f>
        <v/>
      </c>
    </row>
    <row r="2282" spans="1:14">
      <c r="A2282" s="6">
        <v>2023</v>
      </c>
      <c r="B2282" s="6">
        <v>10</v>
      </c>
      <c r="C2282" s="6" t="s">
        <v>69</v>
      </c>
      <c r="D2282" s="6" t="s">
        <v>1082</v>
      </c>
      <c r="E2282" s="6" t="s">
        <v>1083</v>
      </c>
      <c r="F2282" s="6" t="str">
        <f>IF($M2282="PADD I","PADD 1",IF($M2282="PADD II","PADD 2",IF($M2282="PADD III","PADD 3",IF($M2282="PADD IV","PADD 4",IF($M2282="PADD V","PADD 5","")))))</f>
        <v>PADD 5</v>
      </c>
      <c r="G2282" s="6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6" t="s">
        <v>428</v>
      </c>
      <c r="I2282" s="6" t="s">
        <v>1084</v>
      </c>
      <c r="J2282" s="6" t="s">
        <v>398</v>
      </c>
      <c r="K2282" s="10">
        <v>1.94</v>
      </c>
      <c r="L2282" s="10">
        <v>2</v>
      </c>
      <c r="M2282" s="6" t="s">
        <v>436</v>
      </c>
      <c r="N2282" s="6">
        <f>IF(OR($G2282="FCC",$G2282="Hydrocracker",$G2282="Reformer"),IF(COUNTIFS($D:$D,$D2282,$A:$A,$A2282,$B:$B,$B2282,$G:$G,"CDU",$J:$J,"PLANNED")&gt;0,"tied","standalone"),"")</f>
        <v/>
      </c>
    </row>
    <row r="2283" spans="1:14">
      <c r="A2283" s="6">
        <v>2023</v>
      </c>
      <c r="B2283" s="6">
        <v>10</v>
      </c>
      <c r="C2283" s="6" t="s">
        <v>69</v>
      </c>
      <c r="D2283" s="6" t="s">
        <v>857</v>
      </c>
      <c r="E2283" s="6" t="s">
        <v>829</v>
      </c>
      <c r="F2283" s="6" t="str">
        <f>IF($M2283="PADD I","PADD 1",IF($M2283="PADD II","PADD 2",IF($M2283="PADD III","PADD 3",IF($M2283="PADD IV","PADD 4",IF($M2283="PADD V","PADD 5","")))))</f>
        <v>PADD 3</v>
      </c>
      <c r="G2283" s="6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6" t="s">
        <v>494</v>
      </c>
      <c r="I2283" s="6" t="s">
        <v>883</v>
      </c>
      <c r="J2283" s="6" t="s">
        <v>394</v>
      </c>
      <c r="K2283" s="10">
        <v>1.92</v>
      </c>
      <c r="L2283" s="10">
        <v>12</v>
      </c>
      <c r="M2283" s="6" t="s">
        <v>421</v>
      </c>
      <c r="N2283" s="6" t="str">
        <f>IF(OR($G2283="FCC",$G2283="Hydrocracker",$G2283="Reformer"),IF(COUNTIFS($D:$D,$D2283,$A:$A,$A2283,$B:$B,$B2283,$G:$G,"CDU",$J:$J,"PLANNED")&gt;0,"tied","standalone"),"")</f>
        <v>standalone</v>
      </c>
    </row>
    <row r="2284" spans="1:14">
      <c r="A2284" s="6">
        <v>2023</v>
      </c>
      <c r="B2284" s="6">
        <v>10</v>
      </c>
      <c r="C2284" s="6" t="s">
        <v>69</v>
      </c>
      <c r="D2284" s="6" t="s">
        <v>678</v>
      </c>
      <c r="E2284" s="6" t="s">
        <v>438</v>
      </c>
      <c r="F2284" s="6" t="str">
        <f>IF($M2284="PADD I","PADD 1",IF($M2284="PADD II","PADD 2",IF($M2284="PADD III","PADD 3",IF($M2284="PADD IV","PADD 4",IF($M2284="PADD V","PADD 5","")))))</f>
        <v>PADD 3</v>
      </c>
      <c r="G2284" s="6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6" t="s">
        <v>471</v>
      </c>
      <c r="I2284" s="6" t="s">
        <v>621</v>
      </c>
      <c r="J2284" s="6" t="s">
        <v>394</v>
      </c>
      <c r="K2284" s="10">
        <v>1.9</v>
      </c>
      <c r="L2284" s="10">
        <v>10</v>
      </c>
      <c r="M2284" s="6" t="s">
        <v>421</v>
      </c>
      <c r="N2284" s="6" t="str">
        <f>IF(OR($G2284="FCC",$G2284="Hydrocracker",$G2284="Reformer"),IF(COUNTIFS($D:$D,$D2284,$A:$A,$A2284,$B:$B,$B2284,$G:$G,"CDU",$J:$J,"PLANNED")&gt;0,"tied","standalone"),"")</f>
        <v>standalone</v>
      </c>
    </row>
    <row r="2285" spans="1:14">
      <c r="A2285" s="6">
        <v>2023</v>
      </c>
      <c r="B2285" s="6">
        <v>10</v>
      </c>
      <c r="C2285" s="6" t="s">
        <v>69</v>
      </c>
      <c r="D2285" s="6" t="s">
        <v>422</v>
      </c>
      <c r="E2285" s="6" t="s">
        <v>423</v>
      </c>
      <c r="F2285" s="6" t="str">
        <f>IF($M2285="PADD I","PADD 1",IF($M2285="PADD II","PADD 2",IF($M2285="PADD III","PADD 3",IF($M2285="PADD IV","PADD 4",IF($M2285="PADD V","PADD 5","")))))</f>
        <v>PADD 2</v>
      </c>
      <c r="G2285" s="6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6" t="s">
        <v>485</v>
      </c>
      <c r="I2285" s="6" t="s">
        <v>634</v>
      </c>
      <c r="J2285" s="6" t="s">
        <v>394</v>
      </c>
      <c r="K2285" s="10">
        <v>1.725</v>
      </c>
      <c r="L2285" s="10">
        <v>7.5</v>
      </c>
      <c r="M2285" s="6" t="s">
        <v>425</v>
      </c>
      <c r="N2285" s="6">
        <f>IF(OR($G2285="FCC",$G2285="Hydrocracker",$G2285="Reformer"),IF(COUNTIFS($D:$D,$D2285,$A:$A,$A2285,$B:$B,$B2285,$G:$G,"CDU",$J:$J,"PLANNED")&gt;0,"tied","standalone"),"")</f>
        <v/>
      </c>
    </row>
    <row r="2286" spans="1:14">
      <c r="A2286" s="6">
        <v>2023</v>
      </c>
      <c r="B2286" s="6">
        <v>10</v>
      </c>
      <c r="C2286" s="6" t="s">
        <v>69</v>
      </c>
      <c r="D2286" s="6" t="s">
        <v>798</v>
      </c>
      <c r="E2286" s="6" t="s">
        <v>438</v>
      </c>
      <c r="F2286" s="6" t="str">
        <f>IF($M2286="PADD I","PADD 1",IF($M2286="PADD II","PADD 2",IF($M2286="PADD III","PADD 3",IF($M2286="PADD IV","PADD 4",IF($M2286="PADD V","PADD 5","")))))</f>
        <v>PADD 3</v>
      </c>
      <c r="G2286" s="6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6" t="s">
        <v>39</v>
      </c>
      <c r="I2286" s="6" t="s">
        <v>799</v>
      </c>
      <c r="J2286" s="6" t="s">
        <v>394</v>
      </c>
      <c r="K2286" s="10">
        <v>1.68</v>
      </c>
      <c r="L2286" s="10">
        <v>56</v>
      </c>
      <c r="M2286" s="6" t="s">
        <v>421</v>
      </c>
      <c r="N2286" s="6">
        <f>IF(OR($G2286="FCC",$G2286="Hydrocracker",$G2286="Reformer"),IF(COUNTIFS($D:$D,$D2286,$A:$A,$A2286,$B:$B,$B2286,$G:$G,"CDU",$J:$J,"PLANNED")&gt;0,"tied","standalone"),"")</f>
        <v/>
      </c>
    </row>
    <row r="2287" spans="1:14">
      <c r="A2287" s="6">
        <v>2023</v>
      </c>
      <c r="B2287" s="6">
        <v>10</v>
      </c>
      <c r="C2287" s="6" t="s">
        <v>69</v>
      </c>
      <c r="D2287" s="6" t="s">
        <v>1093</v>
      </c>
      <c r="E2287" s="6" t="s">
        <v>438</v>
      </c>
      <c r="F2287" s="6" t="str">
        <f>IF($M2287="PADD I","PADD 1",IF($M2287="PADD II","PADD 2",IF($M2287="PADD III","PADD 3",IF($M2287="PADD IV","PADD 4",IF($M2287="PADD V","PADD 5","")))))</f>
        <v>PADD 2</v>
      </c>
      <c r="G2287" s="6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6" t="s">
        <v>44</v>
      </c>
      <c r="I2287" s="6" t="s">
        <v>514</v>
      </c>
      <c r="J2287" s="6" t="s">
        <v>394</v>
      </c>
      <c r="K2287" s="10">
        <v>1.677</v>
      </c>
      <c r="L2287" s="10">
        <v>4.3</v>
      </c>
      <c r="M2287" s="6" t="s">
        <v>425</v>
      </c>
      <c r="N2287" s="6">
        <f>IF(OR($G2287="FCC",$G2287="Hydrocracker",$G2287="Reformer"),IF(COUNTIFS($D:$D,$D2287,$A:$A,$A2287,$B:$B,$B2287,$G:$G,"CDU",$J:$J,"PLANNED")&gt;0,"tied","standalone"),"")</f>
        <v/>
      </c>
    </row>
    <row r="2288" spans="1:14">
      <c r="A2288" s="6">
        <v>2023</v>
      </c>
      <c r="B2288" s="6">
        <v>10</v>
      </c>
      <c r="C2288" s="6" t="s">
        <v>69</v>
      </c>
      <c r="D2288" s="6" t="s">
        <v>622</v>
      </c>
      <c r="E2288" s="6" t="s">
        <v>623</v>
      </c>
      <c r="F2288" s="6" t="str">
        <f>IF($M2288="PADD I","PADD 1",IF($M2288="PADD II","PADD 2",IF($M2288="PADD III","PADD 3",IF($M2288="PADD IV","PADD 4",IF($M2288="PADD V","PADD 5","")))))</f>
        <v>PADD 3</v>
      </c>
      <c r="G2288" s="6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6" t="s">
        <v>39</v>
      </c>
      <c r="I2288" s="6" t="s">
        <v>624</v>
      </c>
      <c r="J2288" s="6" t="s">
        <v>398</v>
      </c>
      <c r="K2288" s="10">
        <v>1.5</v>
      </c>
      <c r="L2288" s="10">
        <v>50</v>
      </c>
      <c r="M2288" s="6" t="s">
        <v>421</v>
      </c>
      <c r="N2288" s="6">
        <f>IF(OR($G2288="FCC",$G2288="Hydrocracker",$G2288="Reformer"),IF(COUNTIFS($D:$D,$D2288,$A:$A,$A2288,$B:$B,$B2288,$G:$G,"CDU",$J:$J,"PLANNED")&gt;0,"tied","standalone"),"")</f>
        <v/>
      </c>
    </row>
    <row r="2289" spans="1:14">
      <c r="A2289" s="6">
        <v>2023</v>
      </c>
      <c r="B2289" s="6">
        <v>10</v>
      </c>
      <c r="C2289" s="6" t="s">
        <v>69</v>
      </c>
      <c r="D2289" s="6" t="s">
        <v>470</v>
      </c>
      <c r="E2289" s="6" t="s">
        <v>423</v>
      </c>
      <c r="F2289" s="6" t="str">
        <f>IF($M2289="PADD I","PADD 1",IF($M2289="PADD II","PADD 2",IF($M2289="PADD III","PADD 3",IF($M2289="PADD IV","PADD 4",IF($M2289="PADD V","PADD 5","")))))</f>
        <v>PADD 2</v>
      </c>
      <c r="G2289" s="6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6" t="s">
        <v>618</v>
      </c>
      <c r="I2289" s="6" t="s">
        <v>654</v>
      </c>
      <c r="J2289" s="6" t="s">
        <v>394</v>
      </c>
      <c r="K2289" s="10">
        <v>1.3</v>
      </c>
      <c r="L2289" s="10">
        <v>2</v>
      </c>
      <c r="M2289" s="6" t="s">
        <v>425</v>
      </c>
      <c r="N2289" s="6">
        <f>IF(OR($G2289="FCC",$G2289="Hydrocracker",$G2289="Reformer"),IF(COUNTIFS($D:$D,$D2289,$A:$A,$A2289,$B:$B,$B2289,$G:$G,"CDU",$J:$J,"PLANNED")&gt;0,"tied","standalone"),"")</f>
        <v/>
      </c>
    </row>
    <row r="2290" spans="1:14">
      <c r="A2290" s="6">
        <v>2023</v>
      </c>
      <c r="B2290" s="6">
        <v>10</v>
      </c>
      <c r="C2290" s="6" t="s">
        <v>69</v>
      </c>
      <c r="D2290" s="6" t="s">
        <v>1093</v>
      </c>
      <c r="E2290" s="6" t="s">
        <v>438</v>
      </c>
      <c r="F2290" s="6" t="str">
        <f>IF($M2290="PADD I","PADD 1",IF($M2290="PADD II","PADD 2",IF($M2290="PADD III","PADD 3",IF($M2290="PADD IV","PADD 4",IF($M2290="PADD V","PADD 5","")))))</f>
        <v>PADD 2</v>
      </c>
      <c r="G2290" s="6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6" t="s">
        <v>510</v>
      </c>
      <c r="I2290" s="6" t="s">
        <v>666</v>
      </c>
      <c r="J2290" s="6" t="s">
        <v>394</v>
      </c>
      <c r="K2290" s="10">
        <v>1.276</v>
      </c>
      <c r="L2290" s="10">
        <v>4.4</v>
      </c>
      <c r="M2290" s="6" t="s">
        <v>425</v>
      </c>
      <c r="N2290" s="6">
        <f>IF(OR($G2290="FCC",$G2290="Hydrocracker",$G2290="Reformer"),IF(COUNTIFS($D:$D,$D2290,$A:$A,$A2290,$B:$B,$B2290,$G:$G,"CDU",$J:$J,"PLANNED")&gt;0,"tied","standalone"),"")</f>
        <v/>
      </c>
    </row>
    <row r="2291" spans="1:14">
      <c r="A2291" s="6">
        <v>2023</v>
      </c>
      <c r="B2291" s="6">
        <v>10</v>
      </c>
      <c r="C2291" s="6" t="s">
        <v>69</v>
      </c>
      <c r="D2291" s="6" t="s">
        <v>798</v>
      </c>
      <c r="E2291" s="6" t="s">
        <v>438</v>
      </c>
      <c r="F2291" s="6" t="str">
        <f>IF($M2291="PADD I","PADD 1",IF($M2291="PADD II","PADD 2",IF($M2291="PADD III","PADD 3",IF($M2291="PADD IV","PADD 4",IF($M2291="PADD V","PADD 5","")))))</f>
        <v>PADD 3</v>
      </c>
      <c r="G2291" s="6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6" t="s">
        <v>428</v>
      </c>
      <c r="I2291" s="6" t="s">
        <v>481</v>
      </c>
      <c r="J2291" s="6" t="s">
        <v>394</v>
      </c>
      <c r="K2291" s="10">
        <v>1.2</v>
      </c>
      <c r="L2291" s="10">
        <v>40</v>
      </c>
      <c r="M2291" s="6" t="s">
        <v>421</v>
      </c>
      <c r="N2291" s="6">
        <f>IF(OR($G2291="FCC",$G2291="Hydrocracker",$G2291="Reformer"),IF(COUNTIFS($D:$D,$D2291,$A:$A,$A2291,$B:$B,$B2291,$G:$G,"CDU",$J:$J,"PLANNED")&gt;0,"tied","standalone"),"")</f>
        <v/>
      </c>
    </row>
    <row r="2292" spans="1:14">
      <c r="A2292" s="6">
        <v>2023</v>
      </c>
      <c r="B2292" s="6">
        <v>10</v>
      </c>
      <c r="C2292" s="6" t="s">
        <v>69</v>
      </c>
      <c r="D2292" s="6" t="s">
        <v>921</v>
      </c>
      <c r="E2292" s="6" t="s">
        <v>922</v>
      </c>
      <c r="F2292" s="6" t="str">
        <f>IF($M2292="PADD I","PADD 1",IF($M2292="PADD II","PADD 2",IF($M2292="PADD III","PADD 3",IF($M2292="PADD IV","PADD 4",IF($M2292="PADD V","PADD 5","")))))</f>
        <v>PADD 4</v>
      </c>
      <c r="G2292" s="6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6" t="s">
        <v>39</v>
      </c>
      <c r="I2292" s="6" t="s">
        <v>82</v>
      </c>
      <c r="J2292" s="6" t="s">
        <v>398</v>
      </c>
      <c r="K2292" s="10">
        <v>0.986</v>
      </c>
      <c r="L2292" s="10">
        <v>3.4</v>
      </c>
      <c r="M2292" s="6" t="s">
        <v>480</v>
      </c>
      <c r="N2292" s="6">
        <f>IF(OR($G2292="FCC",$G2292="Hydrocracker",$G2292="Reformer"),IF(COUNTIFS($D:$D,$D2292,$A:$A,$A2292,$B:$B,$B2292,$G:$G,"CDU",$J:$J,"PLANNED")&gt;0,"tied","standalone"),"")</f>
        <v/>
      </c>
    </row>
    <row r="2293" spans="1:14">
      <c r="A2293" s="6">
        <v>2023</v>
      </c>
      <c r="B2293" s="6">
        <v>10</v>
      </c>
      <c r="C2293" s="6" t="s">
        <v>69</v>
      </c>
      <c r="D2293" s="6" t="s">
        <v>384</v>
      </c>
      <c r="E2293" s="6" t="s">
        <v>419</v>
      </c>
      <c r="F2293" s="6" t="str">
        <f>IF($M2293="PADD I","PADD 1",IF($M2293="PADD II","PADD 2",IF($M2293="PADD III","PADD 3",IF($M2293="PADD IV","PADD 4",IF($M2293="PADD V","PADD 5","")))))</f>
        <v>PADD 3</v>
      </c>
      <c r="G2293" s="6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6" t="s">
        <v>426</v>
      </c>
      <c r="I2293" s="6" t="s">
        <v>522</v>
      </c>
      <c r="J2293" s="6" t="s">
        <v>394</v>
      </c>
      <c r="K2293" s="10">
        <v>0.9</v>
      </c>
      <c r="L2293" s="10">
        <v>30</v>
      </c>
      <c r="M2293" s="6" t="s">
        <v>421</v>
      </c>
      <c r="N2293" s="6" t="str">
        <f>IF(OR($G2293="FCC",$G2293="Hydrocracker",$G2293="Reformer"),IF(COUNTIFS($D:$D,$D2293,$A:$A,$A2293,$B:$B,$B2293,$G:$G,"CDU",$J:$J,"PLANNED")&gt;0,"tied","standalone"),"")</f>
        <v>standalone</v>
      </c>
    </row>
    <row r="2294" spans="1:14">
      <c r="A2294" s="6">
        <v>2023</v>
      </c>
      <c r="B2294" s="6">
        <v>10</v>
      </c>
      <c r="C2294" s="6" t="s">
        <v>69</v>
      </c>
      <c r="D2294" s="6" t="s">
        <v>921</v>
      </c>
      <c r="E2294" s="6" t="s">
        <v>922</v>
      </c>
      <c r="F2294" s="6" t="str">
        <f>IF($M2294="PADD I","PADD 1",IF($M2294="PADD II","PADD 2",IF($M2294="PADD III","PADD 3",IF($M2294="PADD IV","PADD 4",IF($M2294="PADD V","PADD 5","")))))</f>
        <v>PADD 4</v>
      </c>
      <c r="G2294" s="6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6" t="s">
        <v>44</v>
      </c>
      <c r="I2294" s="6" t="s">
        <v>923</v>
      </c>
      <c r="J2294" s="6" t="s">
        <v>398</v>
      </c>
      <c r="K2294" s="10">
        <v>0.87</v>
      </c>
      <c r="L2294" s="10">
        <v>3</v>
      </c>
      <c r="M2294" s="6" t="s">
        <v>480</v>
      </c>
      <c r="N2294" s="6">
        <f>IF(OR($G2294="FCC",$G2294="Hydrocracker",$G2294="Reformer"),IF(COUNTIFS($D:$D,$D2294,$A:$A,$A2294,$B:$B,$B2294,$G:$G,"CDU",$J:$J,"PLANNED")&gt;0,"tied","standalone"),"")</f>
        <v/>
      </c>
    </row>
    <row r="2295" spans="1:14">
      <c r="A2295" s="6">
        <v>2023</v>
      </c>
      <c r="B2295" s="6">
        <v>10</v>
      </c>
      <c r="C2295" s="6" t="s">
        <v>69</v>
      </c>
      <c r="D2295" s="6" t="s">
        <v>921</v>
      </c>
      <c r="E2295" s="6" t="s">
        <v>922</v>
      </c>
      <c r="F2295" s="6" t="str">
        <f>IF($M2295="PADD I","PADD 1",IF($M2295="PADD II","PADD 2",IF($M2295="PADD III","PADD 3",IF($M2295="PADD IV","PADD 4",IF($M2295="PADD V","PADD 5","")))))</f>
        <v>PADD 4</v>
      </c>
      <c r="G2295" s="6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6" t="s">
        <v>471</v>
      </c>
      <c r="I2295" s="6" t="s">
        <v>15</v>
      </c>
      <c r="J2295" s="6" t="s">
        <v>398</v>
      </c>
      <c r="K2295" s="10">
        <v>0.87</v>
      </c>
      <c r="L2295" s="10">
        <v>3</v>
      </c>
      <c r="M2295" s="6" t="s">
        <v>480</v>
      </c>
      <c r="N2295" s="6" t="str">
        <f>IF(OR($G2295="FCC",$G2295="Hydrocracker",$G2295="Reformer"),IF(COUNTIFS($D:$D,$D2295,$A:$A,$A2295,$B:$B,$B2295,$G:$G,"CDU",$J:$J,"PLANNED")&gt;0,"tied","standalone"),"")</f>
        <v>tied</v>
      </c>
    </row>
    <row r="2296" spans="1:14">
      <c r="A2296" s="6">
        <v>2023</v>
      </c>
      <c r="B2296" s="6">
        <v>10</v>
      </c>
      <c r="C2296" s="6" t="s">
        <v>69</v>
      </c>
      <c r="D2296" s="6" t="s">
        <v>662</v>
      </c>
      <c r="E2296" s="6" t="s">
        <v>466</v>
      </c>
      <c r="F2296" s="6" t="str">
        <f>IF($M2296="PADD I","PADD 1",IF($M2296="PADD II","PADD 2",IF($M2296="PADD III","PADD 3",IF($M2296="PADD IV","PADD 4",IF($M2296="PADD V","PADD 5","")))))</f>
        <v>PADD 3</v>
      </c>
      <c r="G2296" s="6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6" t="s">
        <v>510</v>
      </c>
      <c r="I2296" s="6" t="s">
        <v>885</v>
      </c>
      <c r="J2296" s="6" t="s">
        <v>394</v>
      </c>
      <c r="K2296" s="10">
        <v>0.63</v>
      </c>
      <c r="L2296" s="10">
        <v>21</v>
      </c>
      <c r="M2296" s="6" t="s">
        <v>421</v>
      </c>
      <c r="N2296" s="6">
        <f>IF(OR($G2296="FCC",$G2296="Hydrocracker",$G2296="Reformer"),IF(COUNTIFS($D:$D,$D2296,$A:$A,$A2296,$B:$B,$B2296,$G:$G,"CDU",$J:$J,"PLANNED")&gt;0,"tied","standalone"),"")</f>
        <v/>
      </c>
    </row>
    <row r="2297" spans="1:14">
      <c r="A2297" s="6">
        <v>2023</v>
      </c>
      <c r="B2297" s="6">
        <v>10</v>
      </c>
      <c r="C2297" s="6" t="s">
        <v>69</v>
      </c>
      <c r="D2297" s="6" t="s">
        <v>662</v>
      </c>
      <c r="E2297" s="6" t="s">
        <v>466</v>
      </c>
      <c r="F2297" s="6" t="str">
        <f>IF($M2297="PADD I","PADD 1",IF($M2297="PADD II","PADD 2",IF($M2297="PADD III","PADD 3",IF($M2297="PADD IV","PADD 4",IF($M2297="PADD V","PADD 5","")))))</f>
        <v>PADD 3</v>
      </c>
      <c r="G2297" s="6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6" t="s">
        <v>471</v>
      </c>
      <c r="I2297" s="6" t="s">
        <v>805</v>
      </c>
      <c r="J2297" s="6" t="s">
        <v>394</v>
      </c>
      <c r="K2297" s="10">
        <v>0.6</v>
      </c>
      <c r="L2297" s="10">
        <v>20</v>
      </c>
      <c r="M2297" s="6" t="s">
        <v>421</v>
      </c>
      <c r="N2297" s="6" t="str">
        <f>IF(OR($G2297="FCC",$G2297="Hydrocracker",$G2297="Reformer"),IF(COUNTIFS($D:$D,$D2297,$A:$A,$A2297,$B:$B,$B2297,$G:$G,"CDU",$J:$J,"PLANNED")&gt;0,"tied","standalone"),"")</f>
        <v>standalone</v>
      </c>
    </row>
    <row r="2298" spans="1:14">
      <c r="A2298" s="6">
        <v>2023</v>
      </c>
      <c r="B2298" s="6">
        <v>10</v>
      </c>
      <c r="C2298" s="6" t="s">
        <v>69</v>
      </c>
      <c r="D2298" s="6" t="s">
        <v>662</v>
      </c>
      <c r="E2298" s="6" t="s">
        <v>466</v>
      </c>
      <c r="F2298" s="6" t="str">
        <f>IF($M2298="PADD I","PADD 1",IF($M2298="PADD II","PADD 2",IF($M2298="PADD III","PADD 3",IF($M2298="PADD IV","PADD 4",IF($M2298="PADD V","PADD 5","")))))</f>
        <v>PADD 3</v>
      </c>
      <c r="G2298" s="6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6" t="s">
        <v>44</v>
      </c>
      <c r="I2298" s="6" t="s">
        <v>887</v>
      </c>
      <c r="J2298" s="6" t="s">
        <v>394</v>
      </c>
      <c r="K2298" s="10">
        <v>0.6</v>
      </c>
      <c r="L2298" s="10">
        <v>20</v>
      </c>
      <c r="M2298" s="6" t="s">
        <v>421</v>
      </c>
      <c r="N2298" s="6">
        <f>IF(OR($G2298="FCC",$G2298="Hydrocracker",$G2298="Reformer"),IF(COUNTIFS($D:$D,$D2298,$A:$A,$A2298,$B:$B,$B2298,$G:$G,"CDU",$J:$J,"PLANNED")&gt;0,"tied","standalone"),"")</f>
        <v/>
      </c>
    </row>
    <row r="2299" spans="1:14">
      <c r="A2299" s="6">
        <v>2023</v>
      </c>
      <c r="B2299" s="6">
        <v>11</v>
      </c>
      <c r="C2299" s="6" t="s">
        <v>70</v>
      </c>
      <c r="D2299" s="6" t="s">
        <v>368</v>
      </c>
      <c r="E2299" s="6" t="s">
        <v>715</v>
      </c>
      <c r="F2299" s="6" t="str">
        <f>IF($M2299="PADD I","PADD 1",IF($M2299="PADD II","PADD 2",IF($M2299="PADD III","PADD 3",IF($M2299="PADD IV","PADD 4",IF($M2299="PADD V","PADD 5","")))))</f>
        <v>PADD 3</v>
      </c>
      <c r="G2299" s="6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6" t="s">
        <v>39</v>
      </c>
      <c r="I2299" s="6" t="s">
        <v>87</v>
      </c>
      <c r="J2299" s="6" t="s">
        <v>398</v>
      </c>
      <c r="K2299" s="10">
        <v>160.8</v>
      </c>
      <c r="L2299" s="10">
        <v>240</v>
      </c>
      <c r="M2299" s="6" t="s">
        <v>421</v>
      </c>
      <c r="N2299" s="6">
        <f>IF(OR($G2299="FCC",$G2299="Hydrocracker",$G2299="Reformer"),IF(COUNTIFS($D:$D,$D2299,$A:$A,$A2299,$B:$B,$B2299,$G:$G,"CDU",$J:$J,"PLANNED")&gt;0,"tied","standalone"),"")</f>
        <v/>
      </c>
    </row>
    <row r="2300" spans="1:14">
      <c r="A2300" s="6">
        <v>2023</v>
      </c>
      <c r="B2300" s="6">
        <v>11</v>
      </c>
      <c r="C2300" s="6" t="s">
        <v>70</v>
      </c>
      <c r="D2300" s="6" t="s">
        <v>1110</v>
      </c>
      <c r="E2300" s="6" t="s">
        <v>1089</v>
      </c>
      <c r="F2300" s="6" t="str">
        <f>IF($M2300="PADD I","PADD 1",IF($M2300="PADD II","PADD 2",IF($M2300="PADD III","PADD 3",IF($M2300="PADD IV","PADD 4",IF($M2300="PADD V","PADD 5","")))))</f>
        <v>PADD 2</v>
      </c>
      <c r="G2300" s="6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6" t="s">
        <v>39</v>
      </c>
      <c r="I2300" s="6" t="s">
        <v>456</v>
      </c>
      <c r="J2300" s="6" t="s">
        <v>398</v>
      </c>
      <c r="K2300" s="10">
        <v>107.2</v>
      </c>
      <c r="L2300" s="10">
        <v>160</v>
      </c>
      <c r="M2300" s="6" t="s">
        <v>425</v>
      </c>
      <c r="N2300" s="6">
        <f>IF(OR($G2300="FCC",$G2300="Hydrocracker",$G2300="Reformer"),IF(COUNTIFS($D:$D,$D2300,$A:$A,$A2300,$B:$B,$B2300,$G:$G,"CDU",$J:$J,"PLANNED")&gt;0,"tied","standalone"),"")</f>
        <v/>
      </c>
    </row>
    <row r="2301" spans="1:14">
      <c r="A2301" s="6">
        <v>2023</v>
      </c>
      <c r="B2301" s="6">
        <v>11</v>
      </c>
      <c r="C2301" s="6" t="s">
        <v>70</v>
      </c>
      <c r="D2301" s="6" t="s">
        <v>581</v>
      </c>
      <c r="E2301" s="6" t="s">
        <v>582</v>
      </c>
      <c r="F2301" s="6" t="str">
        <f>IF($M2301="PADD I","PADD 1",IF($M2301="PADD II","PADD 2",IF($M2301="PADD III","PADD 3",IF($M2301="PADD IV","PADD 4",IF($M2301="PADD V","PADD 5","")))))</f>
        <v>PADD 5</v>
      </c>
      <c r="G2301" s="6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6" t="s">
        <v>426</v>
      </c>
      <c r="I2301" s="6" t="s">
        <v>106</v>
      </c>
      <c r="J2301" s="6" t="s">
        <v>398</v>
      </c>
      <c r="K2301" s="10">
        <v>100</v>
      </c>
      <c r="L2301" s="10">
        <v>100</v>
      </c>
      <c r="M2301" s="6" t="s">
        <v>436</v>
      </c>
      <c r="N2301" s="6" t="str">
        <f>IF(OR($G2301="FCC",$G2301="Hydrocracker",$G2301="Reformer"),IF(COUNTIFS($D:$D,$D2301,$A:$A,$A2301,$B:$B,$B2301,$G:$G,"CDU",$J:$J,"PLANNED")&gt;0,"tied","standalone"),"")</f>
        <v>standalone</v>
      </c>
    </row>
    <row r="2302" spans="1:14">
      <c r="A2302" s="6">
        <v>2023</v>
      </c>
      <c r="B2302" s="6">
        <v>11</v>
      </c>
      <c r="C2302" s="6" t="s">
        <v>70</v>
      </c>
      <c r="D2302" s="6" t="s">
        <v>458</v>
      </c>
      <c r="E2302" s="6" t="s">
        <v>459</v>
      </c>
      <c r="F2302" s="6" t="str">
        <f>IF($M2302="PADD I","PADD 1",IF($M2302="PADD II","PADD 2",IF($M2302="PADD III","PADD 3",IF($M2302="PADD IV","PADD 4",IF($M2302="PADD V","PADD 5","")))))</f>
        <v>PADD 3</v>
      </c>
      <c r="G2302" s="6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6" t="s">
        <v>39</v>
      </c>
      <c r="I2302" s="6" t="s">
        <v>460</v>
      </c>
      <c r="J2302" s="6" t="s">
        <v>394</v>
      </c>
      <c r="K2302" s="10">
        <v>80</v>
      </c>
      <c r="L2302" s="10">
        <v>80</v>
      </c>
      <c r="M2302" s="6" t="s">
        <v>421</v>
      </c>
      <c r="N2302" s="6">
        <f>IF(OR($G2302="FCC",$G2302="Hydrocracker",$G2302="Reformer"),IF(COUNTIFS($D:$D,$D2302,$A:$A,$A2302,$B:$B,$B2302,$G:$G,"CDU",$J:$J,"PLANNED")&gt;0,"tied","standalone"),"")</f>
        <v/>
      </c>
    </row>
    <row r="2303" spans="1:14">
      <c r="A2303" s="6">
        <v>2023</v>
      </c>
      <c r="B2303" s="6">
        <v>11</v>
      </c>
      <c r="C2303" s="6" t="s">
        <v>70</v>
      </c>
      <c r="D2303" s="6" t="s">
        <v>484</v>
      </c>
      <c r="E2303" s="6" t="s">
        <v>438</v>
      </c>
      <c r="F2303" s="6" t="str">
        <f>IF($M2303="PADD I","PADD 1",IF($M2303="PADD II","PADD 2",IF($M2303="PADD III","PADD 3",IF($M2303="PADD IV","PADD 4",IF($M2303="PADD V","PADD 5","")))))</f>
        <v>PADD 5</v>
      </c>
      <c r="G2303" s="6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6" t="s">
        <v>39</v>
      </c>
      <c r="I2303" s="6" t="s">
        <v>713</v>
      </c>
      <c r="J2303" s="6" t="s">
        <v>398</v>
      </c>
      <c r="K2303" s="10">
        <v>79.31</v>
      </c>
      <c r="L2303" s="10">
        <v>103</v>
      </c>
      <c r="M2303" s="6" t="s">
        <v>436</v>
      </c>
      <c r="N2303" s="6">
        <f>IF(OR($G2303="FCC",$G2303="Hydrocracker",$G2303="Reformer"),IF(COUNTIFS($D:$D,$D2303,$A:$A,$A2303,$B:$B,$B2303,$G:$G,"CDU",$J:$J,"PLANNED")&gt;0,"tied","standalone"),"")</f>
        <v/>
      </c>
    </row>
    <row r="2304" spans="1:14">
      <c r="A2304" s="6">
        <v>2023</v>
      </c>
      <c r="B2304" s="6">
        <v>11</v>
      </c>
      <c r="C2304" s="6" t="s">
        <v>70</v>
      </c>
      <c r="D2304" s="6" t="s">
        <v>540</v>
      </c>
      <c r="E2304" s="6" t="s">
        <v>541</v>
      </c>
      <c r="F2304" s="6" t="str">
        <f>IF($M2304="PADD I","PADD 1",IF($M2304="PADD II","PADD 2",IF($M2304="PADD III","PADD 3",IF($M2304="PADD IV","PADD 4",IF($M2304="PADD V","PADD 5","")))))</f>
        <v>PADD 3</v>
      </c>
      <c r="G2304" s="6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6" t="s">
        <v>39</v>
      </c>
      <c r="I2304" s="6" t="s">
        <v>1058</v>
      </c>
      <c r="J2304" s="6" t="s">
        <v>398</v>
      </c>
      <c r="K2304" s="10">
        <v>54</v>
      </c>
      <c r="L2304" s="10">
        <v>90</v>
      </c>
      <c r="M2304" s="6" t="s">
        <v>421</v>
      </c>
      <c r="N2304" s="6">
        <f>IF(OR($G2304="FCC",$G2304="Hydrocracker",$G2304="Reformer"),IF(COUNTIFS($D:$D,$D2304,$A:$A,$A2304,$B:$B,$B2304,$G:$G,"CDU",$J:$J,"PLANNED")&gt;0,"tied","standalone"),"")</f>
        <v/>
      </c>
    </row>
    <row r="2305" spans="1:14">
      <c r="A2305" s="6">
        <v>2023</v>
      </c>
      <c r="B2305" s="6">
        <v>11</v>
      </c>
      <c r="C2305" s="6" t="s">
        <v>70</v>
      </c>
      <c r="D2305" s="6" t="s">
        <v>458</v>
      </c>
      <c r="E2305" s="6" t="s">
        <v>459</v>
      </c>
      <c r="F2305" s="6" t="str">
        <f>IF($M2305="PADD I","PADD 1",IF($M2305="PADD II","PADD 2",IF($M2305="PADD III","PADD 3",IF($M2305="PADD IV","PADD 4",IF($M2305="PADD V","PADD 5","")))))</f>
        <v>PADD 3</v>
      </c>
      <c r="G2305" s="6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6" t="s">
        <v>428</v>
      </c>
      <c r="I2305" s="6" t="s">
        <v>556</v>
      </c>
      <c r="J2305" s="6" t="s">
        <v>394</v>
      </c>
      <c r="K2305" s="10">
        <v>52</v>
      </c>
      <c r="L2305" s="10">
        <v>52</v>
      </c>
      <c r="M2305" s="6" t="s">
        <v>421</v>
      </c>
      <c r="N2305" s="6">
        <f>IF(OR($G2305="FCC",$G2305="Hydrocracker",$G2305="Reformer"),IF(COUNTIFS($D:$D,$D2305,$A:$A,$A2305,$B:$B,$B2305,$G:$G,"CDU",$J:$J,"PLANNED")&gt;0,"tied","standalone"),"")</f>
        <v/>
      </c>
    </row>
    <row r="2306" spans="1:14">
      <c r="A2306" s="6">
        <v>2023</v>
      </c>
      <c r="B2306" s="6">
        <v>11</v>
      </c>
      <c r="C2306" s="6" t="s">
        <v>70</v>
      </c>
      <c r="D2306" s="6" t="s">
        <v>465</v>
      </c>
      <c r="E2306" s="6" t="s">
        <v>466</v>
      </c>
      <c r="F2306" s="6" t="str">
        <f>IF($M2306="PADD I","PADD 1",IF($M2306="PADD II","PADD 2",IF($M2306="PADD III","PADD 3",IF($M2306="PADD IV","PADD 4",IF($M2306="PADD V","PADD 5","")))))</f>
        <v>PADD 3</v>
      </c>
      <c r="G2306" s="6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6" t="s">
        <v>428</v>
      </c>
      <c r="I2306" s="6" t="s">
        <v>467</v>
      </c>
      <c r="J2306" s="6" t="s">
        <v>394</v>
      </c>
      <c r="K2306" s="10">
        <v>50</v>
      </c>
      <c r="L2306" s="10">
        <v>50</v>
      </c>
      <c r="M2306" s="6" t="s">
        <v>421</v>
      </c>
      <c r="N2306" s="6">
        <f>IF(OR($G2306="FCC",$G2306="Hydrocracker",$G2306="Reformer"),IF(COUNTIFS($D:$D,$D2306,$A:$A,$A2306,$B:$B,$B2306,$G:$G,"CDU",$J:$J,"PLANNED")&gt;0,"tied","standalone"),"")</f>
        <v/>
      </c>
    </row>
    <row r="2307" spans="1:14">
      <c r="A2307" s="6">
        <v>2023</v>
      </c>
      <c r="B2307" s="6">
        <v>11</v>
      </c>
      <c r="C2307" s="6" t="s">
        <v>70</v>
      </c>
      <c r="D2307" s="6" t="s">
        <v>437</v>
      </c>
      <c r="E2307" s="6" t="s">
        <v>438</v>
      </c>
      <c r="F2307" s="6" t="str">
        <f>IF($M2307="PADD I","PADD 1",IF($M2307="PADD II","PADD 2",IF($M2307="PADD III","PADD 3",IF($M2307="PADD IV","PADD 4",IF($M2307="PADD V","PADD 5","")))))</f>
        <v>PADD 3</v>
      </c>
      <c r="G2307" s="6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6" t="s">
        <v>471</v>
      </c>
      <c r="I2307" s="6" t="s">
        <v>493</v>
      </c>
      <c r="J2307" s="6" t="s">
        <v>394</v>
      </c>
      <c r="K2307" s="10">
        <v>48.825</v>
      </c>
      <c r="L2307" s="10">
        <v>77.5</v>
      </c>
      <c r="M2307" s="6" t="s">
        <v>421</v>
      </c>
      <c r="N2307" s="6" t="str">
        <f>IF(OR($G2307="FCC",$G2307="Hydrocracker",$G2307="Reformer"),IF(COUNTIFS($D:$D,$D2307,$A:$A,$A2307,$B:$B,$B2307,$G:$G,"CDU",$J:$J,"PLANNED")&gt;0,"tied","standalone"),"")</f>
        <v>standalone</v>
      </c>
    </row>
    <row r="2308" spans="1:14">
      <c r="A2308" s="6">
        <v>2023</v>
      </c>
      <c r="B2308" s="6">
        <v>11</v>
      </c>
      <c r="C2308" s="6" t="s">
        <v>70</v>
      </c>
      <c r="D2308" s="6" t="s">
        <v>41</v>
      </c>
      <c r="E2308" s="6" t="s">
        <v>786</v>
      </c>
      <c r="F2308" s="6" t="str">
        <f>IF($M2308="PADD I","PADD 1",IF($M2308="PADD II","PADD 2",IF($M2308="PADD III","PADD 3",IF($M2308="PADD IV","PADD 4",IF($M2308="PADD V","PADD 5","")))))</f>
        <v>PADD 1</v>
      </c>
      <c r="G2308" s="6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6" t="s">
        <v>426</v>
      </c>
      <c r="I2308" s="6" t="s">
        <v>787</v>
      </c>
      <c r="J2308" s="6" t="s">
        <v>398</v>
      </c>
      <c r="K2308" s="10">
        <v>45.56</v>
      </c>
      <c r="L2308" s="10">
        <v>68</v>
      </c>
      <c r="M2308" s="6" t="s">
        <v>463</v>
      </c>
      <c r="N2308" s="6" t="str">
        <f>IF(OR($G2308="FCC",$G2308="Hydrocracker",$G2308="Reformer"),IF(COUNTIFS($D:$D,$D2308,$A:$A,$A2308,$B:$B,$B2308,$G:$G,"CDU",$J:$J,"PLANNED")&gt;0,"tied","standalone"),"")</f>
        <v>tied</v>
      </c>
    </row>
    <row r="2309" spans="1:14">
      <c r="A2309" s="6">
        <v>2023</v>
      </c>
      <c r="B2309" s="6">
        <v>11</v>
      </c>
      <c r="C2309" s="6" t="s">
        <v>70</v>
      </c>
      <c r="D2309" s="6" t="s">
        <v>518</v>
      </c>
      <c r="E2309" s="6" t="s">
        <v>419</v>
      </c>
      <c r="F2309" s="6" t="str">
        <f>IF($M2309="PADD I","PADD 1",IF($M2309="PADD II","PADD 2",IF($M2309="PADD III","PADD 3",IF($M2309="PADD IV","PADD 4",IF($M2309="PADD V","PADD 5","")))))</f>
        <v>PADD 3</v>
      </c>
      <c r="G2309" s="6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6" t="s">
        <v>44</v>
      </c>
      <c r="I2309" s="6" t="s">
        <v>899</v>
      </c>
      <c r="J2309" s="6" t="s">
        <v>398</v>
      </c>
      <c r="K2309" s="10">
        <v>43.8</v>
      </c>
      <c r="L2309" s="10">
        <v>73</v>
      </c>
      <c r="M2309" s="6" t="s">
        <v>421</v>
      </c>
      <c r="N2309" s="6">
        <f>IF(OR($G2309="FCC",$G2309="Hydrocracker",$G2309="Reformer"),IF(COUNTIFS($D:$D,$D2309,$A:$A,$A2309,$B:$B,$B2309,$G:$G,"CDU",$J:$J,"PLANNED")&gt;0,"tied","standalone"),"")</f>
        <v/>
      </c>
    </row>
    <row r="2310" spans="1:14">
      <c r="A2310" s="6">
        <v>2023</v>
      </c>
      <c r="B2310" s="6">
        <v>11</v>
      </c>
      <c r="C2310" s="6" t="s">
        <v>70</v>
      </c>
      <c r="D2310" s="6" t="s">
        <v>720</v>
      </c>
      <c r="E2310" s="6" t="s">
        <v>455</v>
      </c>
      <c r="F2310" s="6" t="str">
        <f>IF($M2310="PADD I","PADD 1",IF($M2310="PADD II","PADD 2",IF($M2310="PADD III","PADD 3",IF($M2310="PADD IV","PADD 4",IF($M2310="PADD V","PADD 5","")))))</f>
        <v>PADD 2</v>
      </c>
      <c r="G2310" s="6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6" t="s">
        <v>426</v>
      </c>
      <c r="I2310" s="6" t="s">
        <v>106</v>
      </c>
      <c r="J2310" s="6" t="s">
        <v>394</v>
      </c>
      <c r="K2310" s="10">
        <v>40.95</v>
      </c>
      <c r="L2310" s="10">
        <v>65</v>
      </c>
      <c r="M2310" s="6" t="s">
        <v>425</v>
      </c>
      <c r="N2310" s="6" t="str">
        <f>IF(OR($G2310="FCC",$G2310="Hydrocracker",$G2310="Reformer"),IF(COUNTIFS($D:$D,$D2310,$A:$A,$A2310,$B:$B,$B2310,$G:$G,"CDU",$J:$J,"PLANNED")&gt;0,"tied","standalone"),"")</f>
        <v>standalone</v>
      </c>
    </row>
    <row r="2311" spans="1:14">
      <c r="A2311" s="6">
        <v>2023</v>
      </c>
      <c r="B2311" s="6">
        <v>11</v>
      </c>
      <c r="C2311" s="6" t="s">
        <v>70</v>
      </c>
      <c r="D2311" s="6" t="s">
        <v>382</v>
      </c>
      <c r="E2311" s="6" t="s">
        <v>431</v>
      </c>
      <c r="F2311" s="6" t="str">
        <f>IF($M2311="PADD I","PADD 1",IF($M2311="PADD II","PADD 2",IF($M2311="PADD III","PADD 3",IF($M2311="PADD IV","PADD 4",IF($M2311="PADD V","PADD 5","")))))</f>
        <v>PADD 3</v>
      </c>
      <c r="G2311" s="6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6" t="s">
        <v>471</v>
      </c>
      <c r="I2311" s="6" t="s">
        <v>991</v>
      </c>
      <c r="J2311" s="6" t="s">
        <v>398</v>
      </c>
      <c r="K2311" s="10">
        <v>40</v>
      </c>
      <c r="L2311" s="10">
        <v>80</v>
      </c>
      <c r="M2311" s="6" t="s">
        <v>421</v>
      </c>
      <c r="N2311" s="6" t="str">
        <f>IF(OR($G2311="FCC",$G2311="Hydrocracker",$G2311="Reformer"),IF(COUNTIFS($D:$D,$D2311,$A:$A,$A2311,$B:$B,$B2311,$G:$G,"CDU",$J:$J,"PLANNED")&gt;0,"tied","standalone"),"")</f>
        <v>standalone</v>
      </c>
    </row>
    <row r="2312" spans="1:14">
      <c r="A2312" s="6">
        <v>2023</v>
      </c>
      <c r="B2312" s="6">
        <v>11</v>
      </c>
      <c r="C2312" s="6" t="s">
        <v>70</v>
      </c>
      <c r="D2312" s="6" t="s">
        <v>518</v>
      </c>
      <c r="E2312" s="6" t="s">
        <v>419</v>
      </c>
      <c r="F2312" s="6" t="str">
        <f>IF($M2312="PADD I","PADD 1",IF($M2312="PADD II","PADD 2",IF($M2312="PADD III","PADD 3",IF($M2312="PADD IV","PADD 4",IF($M2312="PADD V","PADD 5","")))))</f>
        <v>PADD 3</v>
      </c>
      <c r="G2312" s="6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6" t="s">
        <v>428</v>
      </c>
      <c r="I2312" s="6" t="s">
        <v>1073</v>
      </c>
      <c r="J2312" s="6" t="s">
        <v>398</v>
      </c>
      <c r="K2312" s="10">
        <v>40</v>
      </c>
      <c r="L2312" s="10">
        <v>80</v>
      </c>
      <c r="M2312" s="6" t="s">
        <v>421</v>
      </c>
      <c r="N2312" s="6">
        <f>IF(OR($G2312="FCC",$G2312="Hydrocracker",$G2312="Reformer"),IF(COUNTIFS($D:$D,$D2312,$A:$A,$A2312,$B:$B,$B2312,$G:$G,"CDU",$J:$J,"PLANNED")&gt;0,"tied","standalone"),"")</f>
        <v/>
      </c>
    </row>
    <row r="2313" spans="1:14">
      <c r="A2313" s="6">
        <v>2023</v>
      </c>
      <c r="B2313" s="6">
        <v>11</v>
      </c>
      <c r="C2313" s="6" t="s">
        <v>70</v>
      </c>
      <c r="D2313" s="6" t="s">
        <v>465</v>
      </c>
      <c r="E2313" s="6" t="s">
        <v>466</v>
      </c>
      <c r="F2313" s="6" t="str">
        <f>IF($M2313="PADD I","PADD 1",IF($M2313="PADD II","PADD 2",IF($M2313="PADD III","PADD 3",IF($M2313="PADD IV","PADD 4",IF($M2313="PADD V","PADD 5","")))))</f>
        <v>PADD 3</v>
      </c>
      <c r="G2313" s="6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6" t="s">
        <v>44</v>
      </c>
      <c r="I2313" s="6" t="s">
        <v>570</v>
      </c>
      <c r="J2313" s="6" t="s">
        <v>398</v>
      </c>
      <c r="K2313" s="10">
        <v>38</v>
      </c>
      <c r="L2313" s="10">
        <v>95</v>
      </c>
      <c r="M2313" s="6" t="s">
        <v>421</v>
      </c>
      <c r="N2313" s="6">
        <f>IF(OR($G2313="FCC",$G2313="Hydrocracker",$G2313="Reformer"),IF(COUNTIFS($D:$D,$D2313,$A:$A,$A2313,$B:$B,$B2313,$G:$G,"CDU",$J:$J,"PLANNED")&gt;0,"tied","standalone"),"")</f>
        <v/>
      </c>
    </row>
    <row r="2314" spans="1:14">
      <c r="A2314" s="6">
        <v>2023</v>
      </c>
      <c r="B2314" s="6">
        <v>11</v>
      </c>
      <c r="C2314" s="6" t="s">
        <v>70</v>
      </c>
      <c r="D2314" s="6" t="s">
        <v>665</v>
      </c>
      <c r="E2314" s="6" t="s">
        <v>455</v>
      </c>
      <c r="F2314" s="6" t="str">
        <f>IF($M2314="PADD I","PADD 1",IF($M2314="PADD II","PADD 2",IF($M2314="PADD III","PADD 3",IF($M2314="PADD IV","PADD 4",IF($M2314="PADD V","PADD 5","")))))</f>
        <v>PADD 5</v>
      </c>
      <c r="G2314" s="6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6" t="s">
        <v>471</v>
      </c>
      <c r="I2314" s="6" t="s">
        <v>716</v>
      </c>
      <c r="J2314" s="6" t="s">
        <v>394</v>
      </c>
      <c r="K2314" s="10">
        <v>36</v>
      </c>
      <c r="L2314" s="10">
        <v>40</v>
      </c>
      <c r="M2314" s="6" t="s">
        <v>436</v>
      </c>
      <c r="N2314" s="6" t="str">
        <f>IF(OR($G2314="FCC",$G2314="Hydrocracker",$G2314="Reformer"),IF(COUNTIFS($D:$D,$D2314,$A:$A,$A2314,$B:$B,$B2314,$G:$G,"CDU",$J:$J,"PLANNED")&gt;0,"tied","standalone"),"")</f>
        <v>standalone</v>
      </c>
    </row>
    <row r="2315" spans="1:14">
      <c r="A2315" s="6">
        <v>2023</v>
      </c>
      <c r="B2315" s="6">
        <v>11</v>
      </c>
      <c r="C2315" s="6" t="s">
        <v>70</v>
      </c>
      <c r="D2315" s="6" t="s">
        <v>665</v>
      </c>
      <c r="E2315" s="6" t="s">
        <v>455</v>
      </c>
      <c r="F2315" s="6" t="str">
        <f>IF($M2315="PADD I","PADD 1",IF($M2315="PADD II","PADD 2",IF($M2315="PADD III","PADD 3",IF($M2315="PADD IV","PADD 4",IF($M2315="PADD V","PADD 5","")))))</f>
        <v>PADD 5</v>
      </c>
      <c r="G2315" s="6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6" t="s">
        <v>471</v>
      </c>
      <c r="I2315" s="6" t="s">
        <v>716</v>
      </c>
      <c r="J2315" s="6" t="s">
        <v>398</v>
      </c>
      <c r="K2315" s="10">
        <v>36</v>
      </c>
      <c r="L2315" s="10">
        <v>40</v>
      </c>
      <c r="M2315" s="6" t="s">
        <v>436</v>
      </c>
      <c r="N2315" s="6" t="str">
        <f>IF(OR($G2315="FCC",$G2315="Hydrocracker",$G2315="Reformer"),IF(COUNTIFS($D:$D,$D2315,$A:$A,$A2315,$B:$B,$B2315,$G:$G,"CDU",$J:$J,"PLANNED")&gt;0,"tied","standalone"),"")</f>
        <v>standalone</v>
      </c>
    </row>
    <row r="2316" spans="1:14">
      <c r="A2316" s="6">
        <v>2023</v>
      </c>
      <c r="B2316" s="6">
        <v>11</v>
      </c>
      <c r="C2316" s="6" t="s">
        <v>70</v>
      </c>
      <c r="D2316" s="6" t="s">
        <v>496</v>
      </c>
      <c r="E2316" s="6" t="s">
        <v>441</v>
      </c>
      <c r="F2316" s="6" t="str">
        <f>IF($M2316="PADD I","PADD 1",IF($M2316="PADD II","PADD 2",IF($M2316="PADD III","PADD 3",IF($M2316="PADD IV","PADD 4",IF($M2316="PADD V","PADD 5","")))))</f>
        <v>PADD 3</v>
      </c>
      <c r="G2316" s="6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6" t="s">
        <v>44</v>
      </c>
      <c r="I2316" s="6" t="s">
        <v>497</v>
      </c>
      <c r="J2316" s="6" t="s">
        <v>398</v>
      </c>
      <c r="K2316" s="10">
        <v>35</v>
      </c>
      <c r="L2316" s="10">
        <v>35</v>
      </c>
      <c r="M2316" s="6" t="s">
        <v>421</v>
      </c>
      <c r="N2316" s="6">
        <f>IF(OR($G2316="FCC",$G2316="Hydrocracker",$G2316="Reformer"),IF(COUNTIFS($D:$D,$D2316,$A:$A,$A2316,$B:$B,$B2316,$G:$G,"CDU",$J:$J,"PLANNED")&gt;0,"tied","standalone"),"")</f>
        <v/>
      </c>
    </row>
    <row r="2317" spans="1:14">
      <c r="A2317" s="6">
        <v>2023</v>
      </c>
      <c r="B2317" s="6">
        <v>11</v>
      </c>
      <c r="C2317" s="6" t="s">
        <v>70</v>
      </c>
      <c r="D2317" s="6" t="s">
        <v>498</v>
      </c>
      <c r="E2317" s="6" t="s">
        <v>441</v>
      </c>
      <c r="F2317" s="6" t="str">
        <f>IF($M2317="PADD I","PADD 1",IF($M2317="PADD II","PADD 2",IF($M2317="PADD III","PADD 3",IF($M2317="PADD IV","PADD 4",IF($M2317="PADD V","PADD 5","")))))</f>
        <v>PADD 3</v>
      </c>
      <c r="G2317" s="6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6" t="s">
        <v>44</v>
      </c>
      <c r="I2317" s="6" t="s">
        <v>499</v>
      </c>
      <c r="J2317" s="6" t="s">
        <v>394</v>
      </c>
      <c r="K2317" s="10">
        <v>35</v>
      </c>
      <c r="L2317" s="10">
        <v>35</v>
      </c>
      <c r="M2317" s="6" t="s">
        <v>421</v>
      </c>
      <c r="N2317" s="6">
        <f>IF(OR($G2317="FCC",$G2317="Hydrocracker",$G2317="Reformer"),IF(COUNTIFS($D:$D,$D2317,$A:$A,$A2317,$B:$B,$B2317,$G:$G,"CDU",$J:$J,"PLANNED")&gt;0,"tied","standalone"),"")</f>
        <v/>
      </c>
    </row>
    <row r="2318" spans="1:14">
      <c r="A2318" s="6">
        <v>2023</v>
      </c>
      <c r="B2318" s="6">
        <v>11</v>
      </c>
      <c r="C2318" s="6" t="s">
        <v>70</v>
      </c>
      <c r="D2318" s="6" t="s">
        <v>518</v>
      </c>
      <c r="E2318" s="6" t="s">
        <v>419</v>
      </c>
      <c r="F2318" s="6" t="str">
        <f>IF($M2318="PADD I","PADD 1",IF($M2318="PADD II","PADD 2",IF($M2318="PADD III","PADD 3",IF($M2318="PADD IV","PADD 4",IF($M2318="PADD V","PADD 5","")))))</f>
        <v>PADD 3</v>
      </c>
      <c r="G2318" s="6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6" t="s">
        <v>39</v>
      </c>
      <c r="I2318" s="6" t="s">
        <v>559</v>
      </c>
      <c r="J2318" s="6" t="s">
        <v>398</v>
      </c>
      <c r="K2318" s="10">
        <v>34</v>
      </c>
      <c r="L2318" s="10">
        <v>68</v>
      </c>
      <c r="M2318" s="6" t="s">
        <v>421</v>
      </c>
      <c r="N2318" s="6">
        <f>IF(OR($G2318="FCC",$G2318="Hydrocracker",$G2318="Reformer"),IF(COUNTIFS($D:$D,$D2318,$A:$A,$A2318,$B:$B,$B2318,$G:$G,"CDU",$J:$J,"PLANNED")&gt;0,"tied","standalone"),"")</f>
        <v/>
      </c>
    </row>
    <row r="2319" spans="1:14">
      <c r="A2319" s="6">
        <v>2023</v>
      </c>
      <c r="B2319" s="6">
        <v>11</v>
      </c>
      <c r="C2319" s="6" t="s">
        <v>70</v>
      </c>
      <c r="D2319" s="6" t="s">
        <v>465</v>
      </c>
      <c r="E2319" s="6" t="s">
        <v>466</v>
      </c>
      <c r="F2319" s="6" t="str">
        <f>IF($M2319="PADD I","PADD 1",IF($M2319="PADD II","PADD 2",IF($M2319="PADD III","PADD 3",IF($M2319="PADD IV","PADD 4",IF($M2319="PADD V","PADD 5","")))))</f>
        <v>PADD 3</v>
      </c>
      <c r="G2319" s="6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6" t="s">
        <v>485</v>
      </c>
      <c r="I2319" s="6" t="s">
        <v>503</v>
      </c>
      <c r="J2319" s="6" t="s">
        <v>394</v>
      </c>
      <c r="K2319" s="10">
        <v>34</v>
      </c>
      <c r="L2319" s="10">
        <v>34</v>
      </c>
      <c r="M2319" s="6" t="s">
        <v>421</v>
      </c>
      <c r="N2319" s="6">
        <f>IF(OR($G2319="FCC",$G2319="Hydrocracker",$G2319="Reformer"),IF(COUNTIFS($D:$D,$D2319,$A:$A,$A2319,$B:$B,$B2319,$G:$G,"CDU",$J:$J,"PLANNED")&gt;0,"tied","standalone"),"")</f>
        <v/>
      </c>
    </row>
    <row r="2320" spans="1:14">
      <c r="A2320" s="6">
        <v>2023</v>
      </c>
      <c r="B2320" s="6">
        <v>11</v>
      </c>
      <c r="C2320" s="6" t="s">
        <v>70</v>
      </c>
      <c r="D2320" s="6" t="s">
        <v>465</v>
      </c>
      <c r="E2320" s="6" t="s">
        <v>466</v>
      </c>
      <c r="F2320" s="6" t="str">
        <f>IF($M2320="PADD I","PADD 1",IF($M2320="PADD II","PADD 2",IF($M2320="PADD III","PADD 3",IF($M2320="PADD IV","PADD 4",IF($M2320="PADD V","PADD 5","")))))</f>
        <v>PADD 3</v>
      </c>
      <c r="G2320" s="6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6" t="s">
        <v>485</v>
      </c>
      <c r="I2320" s="6" t="s">
        <v>503</v>
      </c>
      <c r="J2320" s="6" t="s">
        <v>394</v>
      </c>
      <c r="K2320" s="10">
        <v>34</v>
      </c>
      <c r="L2320" s="10">
        <v>34</v>
      </c>
      <c r="M2320" s="6" t="s">
        <v>421</v>
      </c>
      <c r="N2320" s="6">
        <f>IF(OR($G2320="FCC",$G2320="Hydrocracker",$G2320="Reformer"),IF(COUNTIFS($D:$D,$D2320,$A:$A,$A2320,$B:$B,$B2320,$G:$G,"CDU",$J:$J,"PLANNED")&gt;0,"tied","standalone"),"")</f>
        <v/>
      </c>
    </row>
    <row r="2321" spans="1:14">
      <c r="A2321" s="6">
        <v>2023</v>
      </c>
      <c r="B2321" s="6">
        <v>11</v>
      </c>
      <c r="C2321" s="6" t="s">
        <v>70</v>
      </c>
      <c r="D2321" s="6" t="s">
        <v>622</v>
      </c>
      <c r="E2321" s="6" t="s">
        <v>623</v>
      </c>
      <c r="F2321" s="6" t="str">
        <f>IF($M2321="PADD I","PADD 1",IF($M2321="PADD II","PADD 2",IF($M2321="PADD III","PADD 3",IF($M2321="PADD IV","PADD 4",IF($M2321="PADD V","PADD 5","")))))</f>
        <v>PADD 3</v>
      </c>
      <c r="G2321" s="6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6" t="s">
        <v>39</v>
      </c>
      <c r="I2321" s="6" t="s">
        <v>624</v>
      </c>
      <c r="J2321" s="6" t="s">
        <v>394</v>
      </c>
      <c r="K2321" s="10">
        <v>33.5</v>
      </c>
      <c r="L2321" s="10">
        <v>50</v>
      </c>
      <c r="M2321" s="6" t="s">
        <v>421</v>
      </c>
      <c r="N2321" s="6">
        <f>IF(OR($G2321="FCC",$G2321="Hydrocracker",$G2321="Reformer"),IF(COUNTIFS($D:$D,$D2321,$A:$A,$A2321,$B:$B,$B2321,$G:$G,"CDU",$J:$J,"PLANNED")&gt;0,"tied","standalone"),"")</f>
        <v/>
      </c>
    </row>
    <row r="2322" spans="1:14">
      <c r="A2322" s="6">
        <v>2023</v>
      </c>
      <c r="B2322" s="6">
        <v>11</v>
      </c>
      <c r="C2322" s="6" t="s">
        <v>70</v>
      </c>
      <c r="D2322" s="6" t="s">
        <v>568</v>
      </c>
      <c r="E2322" s="6" t="s">
        <v>419</v>
      </c>
      <c r="F2322" s="6" t="str">
        <f>IF($M2322="PADD I","PADD 1",IF($M2322="PADD II","PADD 2",IF($M2322="PADD III","PADD 3",IF($M2322="PADD IV","PADD 4",IF($M2322="PADD V","PADD 5","")))))</f>
        <v>PADD 5</v>
      </c>
      <c r="G2322" s="6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6" t="s">
        <v>39</v>
      </c>
      <c r="I2322" s="6" t="s">
        <v>603</v>
      </c>
      <c r="J2322" s="6" t="s">
        <v>394</v>
      </c>
      <c r="K2322" s="10">
        <v>32</v>
      </c>
      <c r="L2322" s="10">
        <v>32</v>
      </c>
      <c r="M2322" s="6" t="s">
        <v>436</v>
      </c>
      <c r="N2322" s="6">
        <f>IF(OR($G2322="FCC",$G2322="Hydrocracker",$G2322="Reformer"),IF(COUNTIFS($D:$D,$D2322,$A:$A,$A2322,$B:$B,$B2322,$G:$G,"CDU",$J:$J,"PLANNED")&gt;0,"tied","standalone"),"")</f>
        <v/>
      </c>
    </row>
    <row r="2323" spans="1:14">
      <c r="A2323" s="6">
        <v>2023</v>
      </c>
      <c r="B2323" s="6">
        <v>11</v>
      </c>
      <c r="C2323" s="6" t="s">
        <v>70</v>
      </c>
      <c r="D2323" s="6" t="s">
        <v>496</v>
      </c>
      <c r="E2323" s="6" t="s">
        <v>441</v>
      </c>
      <c r="F2323" s="6" t="str">
        <f>IF($M2323="PADD I","PADD 1",IF($M2323="PADD II","PADD 2",IF($M2323="PADD III","PADD 3",IF($M2323="PADD IV","PADD 4",IF($M2323="PADD V","PADD 5","")))))</f>
        <v>PADD 3</v>
      </c>
      <c r="G2323" s="6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6" t="s">
        <v>428</v>
      </c>
      <c r="I2323" s="6" t="s">
        <v>1091</v>
      </c>
      <c r="J2323" s="6" t="s">
        <v>394</v>
      </c>
      <c r="K2323" s="10">
        <v>31.57</v>
      </c>
      <c r="L2323" s="10">
        <v>41</v>
      </c>
      <c r="M2323" s="6" t="s">
        <v>421</v>
      </c>
      <c r="N2323" s="6">
        <f>IF(OR($G2323="FCC",$G2323="Hydrocracker",$G2323="Reformer"),IF(COUNTIFS($D:$D,$D2323,$A:$A,$A2323,$B:$B,$B2323,$G:$G,"CDU",$J:$J,"PLANNED")&gt;0,"tied","standalone"),"")</f>
        <v/>
      </c>
    </row>
    <row r="2324" spans="1:14">
      <c r="A2324" s="6">
        <v>2023</v>
      </c>
      <c r="B2324" s="6">
        <v>11</v>
      </c>
      <c r="C2324" s="6" t="s">
        <v>70</v>
      </c>
      <c r="D2324" s="6" t="s">
        <v>581</v>
      </c>
      <c r="E2324" s="6" t="s">
        <v>582</v>
      </c>
      <c r="F2324" s="6" t="str">
        <f>IF($M2324="PADD I","PADD 1",IF($M2324="PADD II","PADD 2",IF($M2324="PADD III","PADD 3",IF($M2324="PADD IV","PADD 4",IF($M2324="PADD V","PADD 5","")))))</f>
        <v>PADD 5</v>
      </c>
      <c r="G2324" s="6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6" t="s">
        <v>44</v>
      </c>
      <c r="I2324" s="6" t="s">
        <v>617</v>
      </c>
      <c r="J2324" s="6" t="s">
        <v>398</v>
      </c>
      <c r="K2324" s="10">
        <v>31.5</v>
      </c>
      <c r="L2324" s="10">
        <v>105</v>
      </c>
      <c r="M2324" s="6" t="s">
        <v>436</v>
      </c>
      <c r="N2324" s="6">
        <f>IF(OR($G2324="FCC",$G2324="Hydrocracker",$G2324="Reformer"),IF(COUNTIFS($D:$D,$D2324,$A:$A,$A2324,$B:$B,$B2324,$G:$G,"CDU",$J:$J,"PLANNED")&gt;0,"tied","standalone"),"")</f>
        <v/>
      </c>
    </row>
    <row r="2325" spans="1:14">
      <c r="A2325" s="6">
        <v>2023</v>
      </c>
      <c r="B2325" s="6">
        <v>11</v>
      </c>
      <c r="C2325" s="6" t="s">
        <v>70</v>
      </c>
      <c r="D2325" s="6" t="s">
        <v>518</v>
      </c>
      <c r="E2325" s="6" t="s">
        <v>419</v>
      </c>
      <c r="F2325" s="6" t="str">
        <f>IF($M2325="PADD I","PADD 1",IF($M2325="PADD II","PADD 2",IF($M2325="PADD III","PADD 3",IF($M2325="PADD IV","PADD 4",IF($M2325="PADD V","PADD 5","")))))</f>
        <v>PADD 3</v>
      </c>
      <c r="G2325" s="6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6" t="s">
        <v>426</v>
      </c>
      <c r="I2325" s="6" t="s">
        <v>523</v>
      </c>
      <c r="J2325" s="6" t="s">
        <v>398</v>
      </c>
      <c r="K2325" s="10">
        <v>30</v>
      </c>
      <c r="L2325" s="10">
        <v>30</v>
      </c>
      <c r="M2325" s="6" t="s">
        <v>421</v>
      </c>
      <c r="N2325" s="6" t="str">
        <f>IF(OR($G2325="FCC",$G2325="Hydrocracker",$G2325="Reformer"),IF(COUNTIFS($D:$D,$D2325,$A:$A,$A2325,$B:$B,$B2325,$G:$G,"CDU",$J:$J,"PLANNED")&gt;0,"tied","standalone"),"")</f>
        <v>tied</v>
      </c>
    </row>
    <row r="2326" spans="1:14">
      <c r="A2326" s="6">
        <v>2023</v>
      </c>
      <c r="B2326" s="6">
        <v>11</v>
      </c>
      <c r="C2326" s="6" t="s">
        <v>70</v>
      </c>
      <c r="D2326" s="6" t="s">
        <v>518</v>
      </c>
      <c r="E2326" s="6" t="s">
        <v>419</v>
      </c>
      <c r="F2326" s="6" t="str">
        <f>IF($M2326="PADD I","PADD 1",IF($M2326="PADD II","PADD 2",IF($M2326="PADD III","PADD 3",IF($M2326="PADD IV","PADD 4",IF($M2326="PADD V","PADD 5","")))))</f>
        <v>PADD 3</v>
      </c>
      <c r="G2326" s="6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6" t="s">
        <v>426</v>
      </c>
      <c r="I2326" s="6" t="s">
        <v>519</v>
      </c>
      <c r="J2326" s="6" t="s">
        <v>398</v>
      </c>
      <c r="K2326" s="10">
        <v>30</v>
      </c>
      <c r="L2326" s="10">
        <v>30</v>
      </c>
      <c r="M2326" s="6" t="s">
        <v>421</v>
      </c>
      <c r="N2326" s="6" t="str">
        <f>IF(OR($G2326="FCC",$G2326="Hydrocracker",$G2326="Reformer"),IF(COUNTIFS($D:$D,$D2326,$A:$A,$A2326,$B:$B,$B2326,$G:$G,"CDU",$J:$J,"PLANNED")&gt;0,"tied","standalone"),"")</f>
        <v>tied</v>
      </c>
    </row>
    <row r="2327" spans="1:14">
      <c r="A2327" s="6">
        <v>2023</v>
      </c>
      <c r="B2327" s="6">
        <v>11</v>
      </c>
      <c r="C2327" s="6" t="s">
        <v>70</v>
      </c>
      <c r="D2327" s="6" t="s">
        <v>384</v>
      </c>
      <c r="E2327" s="6" t="s">
        <v>419</v>
      </c>
      <c r="F2327" s="6" t="str">
        <f>IF($M2327="PADD I","PADD 1",IF($M2327="PADD II","PADD 2",IF($M2327="PADD III","PADD 3",IF($M2327="PADD IV","PADD 4",IF($M2327="PADD V","PADD 5","")))))</f>
        <v>PADD 3</v>
      </c>
      <c r="G2327" s="6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6" t="s">
        <v>426</v>
      </c>
      <c r="I2327" s="6" t="s">
        <v>522</v>
      </c>
      <c r="J2327" s="6" t="s">
        <v>394</v>
      </c>
      <c r="K2327" s="10">
        <v>30</v>
      </c>
      <c r="L2327" s="10">
        <v>30</v>
      </c>
      <c r="M2327" s="6" t="s">
        <v>421</v>
      </c>
      <c r="N2327" s="6" t="str">
        <f>IF(OR($G2327="FCC",$G2327="Hydrocracker",$G2327="Reformer"),IF(COUNTIFS($D:$D,$D2327,$A:$A,$A2327,$B:$B,$B2327,$G:$G,"CDU",$J:$J,"PLANNED")&gt;0,"tied","standalone"),"")</f>
        <v>standalone</v>
      </c>
    </row>
    <row r="2328" spans="1:14">
      <c r="A2328" s="6">
        <v>2023</v>
      </c>
      <c r="B2328" s="6">
        <v>11</v>
      </c>
      <c r="C2328" s="6" t="s">
        <v>70</v>
      </c>
      <c r="D2328" s="6" t="s">
        <v>518</v>
      </c>
      <c r="E2328" s="6" t="s">
        <v>419</v>
      </c>
      <c r="F2328" s="6" t="str">
        <f>IF($M2328="PADD I","PADD 1",IF($M2328="PADD II","PADD 2",IF($M2328="PADD III","PADD 3",IF($M2328="PADD IV","PADD 4",IF($M2328="PADD V","PADD 5","")))))</f>
        <v>PADD 3</v>
      </c>
      <c r="G2328" s="6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6" t="s">
        <v>44</v>
      </c>
      <c r="I2328" s="6" t="s">
        <v>532</v>
      </c>
      <c r="J2328" s="6" t="s">
        <v>398</v>
      </c>
      <c r="K2328" s="10">
        <v>30</v>
      </c>
      <c r="L2328" s="10">
        <v>50</v>
      </c>
      <c r="M2328" s="6" t="s">
        <v>421</v>
      </c>
      <c r="N2328" s="6">
        <f>IF(OR($G2328="FCC",$G2328="Hydrocracker",$G2328="Reformer"),IF(COUNTIFS($D:$D,$D2328,$A:$A,$A2328,$B:$B,$B2328,$G:$G,"CDU",$J:$J,"PLANNED")&gt;0,"tied","standalone"),"")</f>
        <v/>
      </c>
    </row>
    <row r="2329" spans="1:14">
      <c r="A2329" s="6">
        <v>2023</v>
      </c>
      <c r="B2329" s="6">
        <v>11</v>
      </c>
      <c r="C2329" s="6" t="s">
        <v>70</v>
      </c>
      <c r="D2329" s="6" t="s">
        <v>780</v>
      </c>
      <c r="E2329" s="6" t="s">
        <v>781</v>
      </c>
      <c r="F2329" s="6" t="str">
        <f>IF($M2329="PADD I","PADD 1",IF($M2329="PADD II","PADD 2",IF($M2329="PADD III","PADD 3",IF($M2329="PADD IV","PADD 4",IF($M2329="PADD V","PADD 5","")))))</f>
        <v>PADD 3</v>
      </c>
      <c r="G2329" s="6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6" t="s">
        <v>39</v>
      </c>
      <c r="I2329" s="6" t="s">
        <v>82</v>
      </c>
      <c r="J2329" s="6" t="s">
        <v>398</v>
      </c>
      <c r="K2329" s="10">
        <v>29.6</v>
      </c>
      <c r="L2329" s="10">
        <v>80</v>
      </c>
      <c r="M2329" s="6" t="s">
        <v>421</v>
      </c>
      <c r="N2329" s="6">
        <f>IF(OR($G2329="FCC",$G2329="Hydrocracker",$G2329="Reformer"),IF(COUNTIFS($D:$D,$D2329,$A:$A,$A2329,$B:$B,$B2329,$G:$G,"CDU",$J:$J,"PLANNED")&gt;0,"tied","standalone"),"")</f>
        <v/>
      </c>
    </row>
    <row r="2330" spans="1:14">
      <c r="A2330" s="6">
        <v>2023</v>
      </c>
      <c r="B2330" s="6">
        <v>11</v>
      </c>
      <c r="C2330" s="6" t="s">
        <v>70</v>
      </c>
      <c r="D2330" s="6" t="s">
        <v>368</v>
      </c>
      <c r="E2330" s="6" t="s">
        <v>715</v>
      </c>
      <c r="F2330" s="6" t="str">
        <f>IF($M2330="PADD I","PADD 1",IF($M2330="PADD II","PADD 2",IF($M2330="PADD III","PADD 3",IF($M2330="PADD IV","PADD 4",IF($M2330="PADD V","PADD 5","")))))</f>
        <v>PADD 3</v>
      </c>
      <c r="G2330" s="6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6" t="s">
        <v>428</v>
      </c>
      <c r="I2330" s="6" t="s">
        <v>927</v>
      </c>
      <c r="J2330" s="6" t="s">
        <v>394</v>
      </c>
      <c r="K2330" s="10">
        <v>28.86</v>
      </c>
      <c r="L2330" s="10">
        <v>78</v>
      </c>
      <c r="M2330" s="6" t="s">
        <v>421</v>
      </c>
      <c r="N2330" s="6">
        <f>IF(OR($G2330="FCC",$G2330="Hydrocracker",$G2330="Reformer"),IF(COUNTIFS($D:$D,$D2330,$A:$A,$A2330,$B:$B,$B2330,$G:$G,"CDU",$J:$J,"PLANNED")&gt;0,"tied","standalone"),"")</f>
        <v/>
      </c>
    </row>
    <row r="2331" spans="1:14">
      <c r="A2331" s="6">
        <v>2023</v>
      </c>
      <c r="B2331" s="6">
        <v>11</v>
      </c>
      <c r="C2331" s="6" t="s">
        <v>70</v>
      </c>
      <c r="D2331" s="6" t="s">
        <v>373</v>
      </c>
      <c r="E2331" s="6" t="s">
        <v>438</v>
      </c>
      <c r="F2331" s="6" t="str">
        <f>IF($M2331="PADD I","PADD 1",IF($M2331="PADD II","PADD 2",IF($M2331="PADD III","PADD 3",IF($M2331="PADD IV","PADD 4",IF($M2331="PADD V","PADD 5","")))))</f>
        <v>PADD 3</v>
      </c>
      <c r="G2331" s="6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6" t="s">
        <v>44</v>
      </c>
      <c r="I2331" s="6" t="s">
        <v>732</v>
      </c>
      <c r="J2331" s="6" t="s">
        <v>394</v>
      </c>
      <c r="K2331" s="10">
        <v>28.62</v>
      </c>
      <c r="L2331" s="10">
        <v>106</v>
      </c>
      <c r="M2331" s="6" t="s">
        <v>421</v>
      </c>
      <c r="N2331" s="6">
        <f>IF(OR($G2331="FCC",$G2331="Hydrocracker",$G2331="Reformer"),IF(COUNTIFS($D:$D,$D2331,$A:$A,$A2331,$B:$B,$B2331,$G:$G,"CDU",$J:$J,"PLANNED")&gt;0,"tied","standalone"),"")</f>
        <v/>
      </c>
    </row>
    <row r="2332" spans="1:14">
      <c r="A2332" s="6">
        <v>2023</v>
      </c>
      <c r="B2332" s="6">
        <v>11</v>
      </c>
      <c r="C2332" s="6" t="s">
        <v>70</v>
      </c>
      <c r="D2332" s="6" t="s">
        <v>437</v>
      </c>
      <c r="E2332" s="6" t="s">
        <v>438</v>
      </c>
      <c r="F2332" s="6" t="str">
        <f>IF($M2332="PADD I","PADD 1",IF($M2332="PADD II","PADD 2",IF($M2332="PADD III","PADD 3",IF($M2332="PADD IV","PADD 4",IF($M2332="PADD V","PADD 5","")))))</f>
        <v>PADD 3</v>
      </c>
      <c r="G2332" s="6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6" t="s">
        <v>44</v>
      </c>
      <c r="I2332" s="6" t="s">
        <v>898</v>
      </c>
      <c r="J2332" s="6" t="s">
        <v>394</v>
      </c>
      <c r="K2332" s="10">
        <v>28.5</v>
      </c>
      <c r="L2332" s="10">
        <v>50</v>
      </c>
      <c r="M2332" s="6" t="s">
        <v>421</v>
      </c>
      <c r="N2332" s="6">
        <f>IF(OR($G2332="FCC",$G2332="Hydrocracker",$G2332="Reformer"),IF(COUNTIFS($D:$D,$D2332,$A:$A,$A2332,$B:$B,$B2332,$G:$G,"CDU",$J:$J,"PLANNED")&gt;0,"tied","standalone"),"")</f>
        <v/>
      </c>
    </row>
    <row r="2333" spans="1:14">
      <c r="A2333" s="6">
        <v>2023</v>
      </c>
      <c r="B2333" s="6">
        <v>11</v>
      </c>
      <c r="C2333" s="6" t="s">
        <v>70</v>
      </c>
      <c r="D2333" s="6" t="s">
        <v>597</v>
      </c>
      <c r="E2333" s="6" t="s">
        <v>441</v>
      </c>
      <c r="F2333" s="6" t="str">
        <f>IF($M2333="PADD I","PADD 1",IF($M2333="PADD II","PADD 2",IF($M2333="PADD III","PADD 3",IF($M2333="PADD IV","PADD 4",IF($M2333="PADD V","PADD 5","")))))</f>
        <v>PADD 5</v>
      </c>
      <c r="G2333" s="6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6" t="s">
        <v>471</v>
      </c>
      <c r="I2333" s="6" t="s">
        <v>1099</v>
      </c>
      <c r="J2333" s="6" t="s">
        <v>394</v>
      </c>
      <c r="K2333" s="10">
        <v>28</v>
      </c>
      <c r="L2333" s="10">
        <v>40</v>
      </c>
      <c r="M2333" s="6" t="s">
        <v>436</v>
      </c>
      <c r="N2333" s="6" t="str">
        <f>IF(OR($G2333="FCC",$G2333="Hydrocracker",$G2333="Reformer"),IF(COUNTIFS($D:$D,$D2333,$A:$A,$A2333,$B:$B,$B2333,$G:$G,"CDU",$J:$J,"PLANNED")&gt;0,"tied","standalone"),"")</f>
        <v>standalone</v>
      </c>
    </row>
    <row r="2334" spans="1:14">
      <c r="A2334" s="6">
        <v>2023</v>
      </c>
      <c r="B2334" s="6">
        <v>11</v>
      </c>
      <c r="C2334" s="6" t="s">
        <v>70</v>
      </c>
      <c r="D2334" s="6" t="s">
        <v>41</v>
      </c>
      <c r="E2334" s="6" t="s">
        <v>786</v>
      </c>
      <c r="F2334" s="6" t="str">
        <f>IF($M2334="PADD I","PADD 1",IF($M2334="PADD II","PADD 2",IF($M2334="PADD III","PADD 3",IF($M2334="PADD IV","PADD 4",IF($M2334="PADD V","PADD 5","")))))</f>
        <v>PADD 1</v>
      </c>
      <c r="G2334" s="6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6" t="s">
        <v>39</v>
      </c>
      <c r="I2334" s="6" t="s">
        <v>1030</v>
      </c>
      <c r="J2334" s="6" t="s">
        <v>398</v>
      </c>
      <c r="K2334" s="10">
        <v>27.75</v>
      </c>
      <c r="L2334" s="10">
        <v>92.5</v>
      </c>
      <c r="M2334" s="6" t="s">
        <v>463</v>
      </c>
      <c r="N2334" s="6">
        <f>IF(OR($G2334="FCC",$G2334="Hydrocracker",$G2334="Reformer"),IF(COUNTIFS($D:$D,$D2334,$A:$A,$A2334,$B:$B,$B2334,$G:$G,"CDU",$J:$J,"PLANNED")&gt;0,"tied","standalone"),"")</f>
        <v/>
      </c>
    </row>
    <row r="2335" spans="1:14">
      <c r="A2335" s="6">
        <v>2023</v>
      </c>
      <c r="B2335" s="6">
        <v>11</v>
      </c>
      <c r="C2335" s="6" t="s">
        <v>70</v>
      </c>
      <c r="D2335" s="6" t="s">
        <v>41</v>
      </c>
      <c r="E2335" s="6" t="s">
        <v>786</v>
      </c>
      <c r="F2335" s="6" t="str">
        <f>IF($M2335="PADD I","PADD 1",IF($M2335="PADD II","PADD 2",IF($M2335="PADD III","PADD 3",IF($M2335="PADD IV","PADD 4",IF($M2335="PADD V","PADD 5","")))))</f>
        <v>PADD 1</v>
      </c>
      <c r="G2335" s="6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6" t="s">
        <v>39</v>
      </c>
      <c r="I2335" s="6" t="s">
        <v>1039</v>
      </c>
      <c r="J2335" s="6" t="s">
        <v>398</v>
      </c>
      <c r="K2335" s="10">
        <v>27.75</v>
      </c>
      <c r="L2335" s="10">
        <v>92.5</v>
      </c>
      <c r="M2335" s="6" t="s">
        <v>463</v>
      </c>
      <c r="N2335" s="6">
        <f>IF(OR($G2335="FCC",$G2335="Hydrocracker",$G2335="Reformer"),IF(COUNTIFS($D:$D,$D2335,$A:$A,$A2335,$B:$B,$B2335,$G:$G,"CDU",$J:$J,"PLANNED")&gt;0,"tied","standalone"),"")</f>
        <v/>
      </c>
    </row>
    <row r="2336" spans="1:14">
      <c r="A2336" s="6">
        <v>2023</v>
      </c>
      <c r="B2336" s="6">
        <v>11</v>
      </c>
      <c r="C2336" s="6" t="s">
        <v>70</v>
      </c>
      <c r="D2336" s="6" t="s">
        <v>368</v>
      </c>
      <c r="E2336" s="6" t="s">
        <v>715</v>
      </c>
      <c r="F2336" s="6" t="str">
        <f>IF($M2336="PADD I","PADD 1",IF($M2336="PADD II","PADD 2",IF($M2336="PADD III","PADD 3",IF($M2336="PADD IV","PADD 4",IF($M2336="PADD V","PADD 5","")))))</f>
        <v>PADD 3</v>
      </c>
      <c r="G2336" s="6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6" t="s">
        <v>44</v>
      </c>
      <c r="I2336" s="6" t="s">
        <v>938</v>
      </c>
      <c r="J2336" s="6" t="s">
        <v>398</v>
      </c>
      <c r="K2336" s="10">
        <v>26.8</v>
      </c>
      <c r="L2336" s="10">
        <v>40</v>
      </c>
      <c r="M2336" s="6" t="s">
        <v>421</v>
      </c>
      <c r="N2336" s="6">
        <f>IF(OR($G2336="FCC",$G2336="Hydrocracker",$G2336="Reformer"),IF(COUNTIFS($D:$D,$D2336,$A:$A,$A2336,$B:$B,$B2336,$G:$G,"CDU",$J:$J,"PLANNED")&gt;0,"tied","standalone"),"")</f>
        <v/>
      </c>
    </row>
    <row r="2337" spans="1:14">
      <c r="A2337" s="6">
        <v>2023</v>
      </c>
      <c r="B2337" s="6">
        <v>11</v>
      </c>
      <c r="C2337" s="6" t="s">
        <v>70</v>
      </c>
      <c r="D2337" s="6" t="s">
        <v>368</v>
      </c>
      <c r="E2337" s="6" t="s">
        <v>715</v>
      </c>
      <c r="F2337" s="6" t="str">
        <f>IF($M2337="PADD I","PADD 1",IF($M2337="PADD II","PADD 2",IF($M2337="PADD III","PADD 3",IF($M2337="PADD IV","PADD 4",IF($M2337="PADD V","PADD 5","")))))</f>
        <v>PADD 3</v>
      </c>
      <c r="G2337" s="6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6" t="s">
        <v>471</v>
      </c>
      <c r="I2337" s="6" t="s">
        <v>939</v>
      </c>
      <c r="J2337" s="6" t="s">
        <v>398</v>
      </c>
      <c r="K2337" s="10">
        <v>26.8</v>
      </c>
      <c r="L2337" s="10">
        <v>40</v>
      </c>
      <c r="M2337" s="6" t="s">
        <v>421</v>
      </c>
      <c r="N2337" s="6" t="str">
        <f>IF(OR($G2337="FCC",$G2337="Hydrocracker",$G2337="Reformer"),IF(COUNTIFS($D:$D,$D2337,$A:$A,$A2337,$B:$B,$B2337,$G:$G,"CDU",$J:$J,"PLANNED")&gt;0,"tied","standalone"),"")</f>
        <v>tied</v>
      </c>
    </row>
    <row r="2338" spans="1:14">
      <c r="A2338" s="6">
        <v>2023</v>
      </c>
      <c r="B2338" s="6">
        <v>11</v>
      </c>
      <c r="C2338" s="6" t="s">
        <v>70</v>
      </c>
      <c r="D2338" s="6" t="s">
        <v>798</v>
      </c>
      <c r="E2338" s="6" t="s">
        <v>438</v>
      </c>
      <c r="F2338" s="6" t="str">
        <f>IF($M2338="PADD I","PADD 1",IF($M2338="PADD II","PADD 2",IF($M2338="PADD III","PADD 3",IF($M2338="PADD IV","PADD 4",IF($M2338="PADD V","PADD 5","")))))</f>
        <v>PADD 3</v>
      </c>
      <c r="G2338" s="6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6" t="s">
        <v>39</v>
      </c>
      <c r="I2338" s="6" t="s">
        <v>799</v>
      </c>
      <c r="J2338" s="6" t="s">
        <v>394</v>
      </c>
      <c r="K2338" s="10">
        <v>26.32</v>
      </c>
      <c r="L2338" s="10">
        <v>56</v>
      </c>
      <c r="M2338" s="6" t="s">
        <v>421</v>
      </c>
      <c r="N2338" s="6">
        <f>IF(OR($G2338="FCC",$G2338="Hydrocracker",$G2338="Reformer"),IF(COUNTIFS($D:$D,$D2338,$A:$A,$A2338,$B:$B,$B2338,$G:$G,"CDU",$J:$J,"PLANNED")&gt;0,"tied","standalone"),"")</f>
        <v/>
      </c>
    </row>
    <row r="2339" spans="1:14">
      <c r="A2339" s="6">
        <v>2023</v>
      </c>
      <c r="B2339" s="6">
        <v>11</v>
      </c>
      <c r="C2339" s="6" t="s">
        <v>70</v>
      </c>
      <c r="D2339" s="6" t="s">
        <v>518</v>
      </c>
      <c r="E2339" s="6" t="s">
        <v>419</v>
      </c>
      <c r="F2339" s="6" t="str">
        <f>IF($M2339="PADD I","PADD 1",IF($M2339="PADD II","PADD 2",IF($M2339="PADD III","PADD 3",IF($M2339="PADD IV","PADD 4",IF($M2339="PADD V","PADD 5","")))))</f>
        <v>PADD 3</v>
      </c>
      <c r="G2339" s="6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6" t="s">
        <v>485</v>
      </c>
      <c r="I2339" s="6" t="s">
        <v>989</v>
      </c>
      <c r="J2339" s="6" t="s">
        <v>394</v>
      </c>
      <c r="K2339" s="10">
        <v>26.04</v>
      </c>
      <c r="L2339" s="10">
        <v>28</v>
      </c>
      <c r="M2339" s="6" t="s">
        <v>421</v>
      </c>
      <c r="N2339" s="6">
        <f>IF(OR($G2339="FCC",$G2339="Hydrocracker",$G2339="Reformer"),IF(COUNTIFS($D:$D,$D2339,$A:$A,$A2339,$B:$B,$B2339,$G:$G,"CDU",$J:$J,"PLANNED")&gt;0,"tied","standalone"),"")</f>
        <v/>
      </c>
    </row>
    <row r="2340" spans="1:14">
      <c r="A2340" s="6">
        <v>2023</v>
      </c>
      <c r="B2340" s="6">
        <v>11</v>
      </c>
      <c r="C2340" s="6" t="s">
        <v>70</v>
      </c>
      <c r="D2340" s="6" t="s">
        <v>41</v>
      </c>
      <c r="E2340" s="6" t="s">
        <v>786</v>
      </c>
      <c r="F2340" s="6" t="str">
        <f>IF($M2340="PADD I","PADD 1",IF($M2340="PADD II","PADD 2",IF($M2340="PADD III","PADD 3",IF($M2340="PADD IV","PADD 4",IF($M2340="PADD V","PADD 5","")))))</f>
        <v>PADD 1</v>
      </c>
      <c r="G2340" s="6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6" t="s">
        <v>428</v>
      </c>
      <c r="I2340" s="6" t="s">
        <v>1059</v>
      </c>
      <c r="J2340" s="6" t="s">
        <v>394</v>
      </c>
      <c r="K2340" s="10">
        <v>26</v>
      </c>
      <c r="L2340" s="10">
        <v>26</v>
      </c>
      <c r="M2340" s="6" t="s">
        <v>463</v>
      </c>
      <c r="N2340" s="6">
        <f>IF(OR($G2340="FCC",$G2340="Hydrocracker",$G2340="Reformer"),IF(COUNTIFS($D:$D,$D2340,$A:$A,$A2340,$B:$B,$B2340,$G:$G,"CDU",$J:$J,"PLANNED")&gt;0,"tied","standalone"),"")</f>
        <v/>
      </c>
    </row>
    <row r="2341" spans="1:14">
      <c r="A2341" s="6">
        <v>2023</v>
      </c>
      <c r="B2341" s="6">
        <v>11</v>
      </c>
      <c r="C2341" s="6" t="s">
        <v>70</v>
      </c>
      <c r="D2341" s="6" t="s">
        <v>662</v>
      </c>
      <c r="E2341" s="6" t="s">
        <v>466</v>
      </c>
      <c r="F2341" s="6" t="str">
        <f>IF($M2341="PADD I","PADD 1",IF($M2341="PADD II","PADD 2",IF($M2341="PADD III","PADD 3",IF($M2341="PADD IV","PADD 4",IF($M2341="PADD V","PADD 5","")))))</f>
        <v>PADD 3</v>
      </c>
      <c r="G2341" s="6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6" t="s">
        <v>428</v>
      </c>
      <c r="I2341" s="6" t="s">
        <v>481</v>
      </c>
      <c r="J2341" s="6" t="s">
        <v>394</v>
      </c>
      <c r="K2341" s="10">
        <v>25.59</v>
      </c>
      <c r="L2341" s="10">
        <v>85.3</v>
      </c>
      <c r="M2341" s="6" t="s">
        <v>421</v>
      </c>
      <c r="N2341" s="6">
        <f>IF(OR($G2341="FCC",$G2341="Hydrocracker",$G2341="Reformer"),IF(COUNTIFS($D:$D,$D2341,$A:$A,$A2341,$B:$B,$B2341,$G:$G,"CDU",$J:$J,"PLANNED")&gt;0,"tied","standalone"),"")</f>
        <v/>
      </c>
    </row>
    <row r="2342" spans="1:14">
      <c r="A2342" s="6">
        <v>2023</v>
      </c>
      <c r="B2342" s="6">
        <v>11</v>
      </c>
      <c r="C2342" s="6" t="s">
        <v>70</v>
      </c>
      <c r="D2342" s="6" t="s">
        <v>1010</v>
      </c>
      <c r="E2342" s="6" t="s">
        <v>931</v>
      </c>
      <c r="F2342" s="6" t="str">
        <f>IF($M2342="PADD I","PADD 1",IF($M2342="PADD II","PADD 2",IF($M2342="PADD III","PADD 3",IF($M2342="PADD IV","PADD 4",IF($M2342="PADD V","PADD 5","")))))</f>
        <v>PADD 3</v>
      </c>
      <c r="G2342" s="6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6" t="s">
        <v>39</v>
      </c>
      <c r="I2342" s="6" t="s">
        <v>1097</v>
      </c>
      <c r="J2342" s="6" t="s">
        <v>398</v>
      </c>
      <c r="K2342" s="10">
        <v>25.41</v>
      </c>
      <c r="L2342" s="10">
        <v>33</v>
      </c>
      <c r="M2342" s="6" t="s">
        <v>421</v>
      </c>
      <c r="N2342" s="6">
        <f>IF(OR($G2342="FCC",$G2342="Hydrocracker",$G2342="Reformer"),IF(COUNTIFS($D:$D,$D2342,$A:$A,$A2342,$B:$B,$B2342,$G:$G,"CDU",$J:$J,"PLANNED")&gt;0,"tied","standalone"),"")</f>
        <v/>
      </c>
    </row>
    <row r="2343" spans="1:14">
      <c r="A2343" s="6">
        <v>2023</v>
      </c>
      <c r="B2343" s="6">
        <v>11</v>
      </c>
      <c r="C2343" s="6" t="s">
        <v>70</v>
      </c>
      <c r="D2343" s="6" t="s">
        <v>592</v>
      </c>
      <c r="E2343" s="6" t="s">
        <v>593</v>
      </c>
      <c r="F2343" s="6" t="str">
        <f>IF($M2343="PADD I","PADD 1",IF($M2343="PADD II","PADD 2",IF($M2343="PADD III","PADD 3",IF($M2343="PADD IV","PADD 4",IF($M2343="PADD V","PADD 5","")))))</f>
        <v>PADD 2</v>
      </c>
      <c r="G2343" s="6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6" t="s">
        <v>39</v>
      </c>
      <c r="I2343" s="6" t="s">
        <v>740</v>
      </c>
      <c r="J2343" s="6" t="s">
        <v>398</v>
      </c>
      <c r="K2343" s="10">
        <v>24.3</v>
      </c>
      <c r="L2343" s="10">
        <v>90</v>
      </c>
      <c r="M2343" s="6" t="s">
        <v>425</v>
      </c>
      <c r="N2343" s="6">
        <f>IF(OR($G2343="FCC",$G2343="Hydrocracker",$G2343="Reformer"),IF(COUNTIFS($D:$D,$D2343,$A:$A,$A2343,$B:$B,$B2343,$G:$G,"CDU",$J:$J,"PLANNED")&gt;0,"tied","standalone"),"")</f>
        <v/>
      </c>
    </row>
    <row r="2344" spans="1:14">
      <c r="A2344" s="6">
        <v>2023</v>
      </c>
      <c r="B2344" s="6">
        <v>11</v>
      </c>
      <c r="C2344" s="6" t="s">
        <v>70</v>
      </c>
      <c r="D2344" s="6" t="s">
        <v>540</v>
      </c>
      <c r="E2344" s="6" t="s">
        <v>541</v>
      </c>
      <c r="F2344" s="6" t="str">
        <f>IF($M2344="PADD I","PADD 1",IF($M2344="PADD II","PADD 2",IF($M2344="PADD III","PADD 3",IF($M2344="PADD IV","PADD 4",IF($M2344="PADD V","PADD 5","")))))</f>
        <v>PADD 3</v>
      </c>
      <c r="G2344" s="6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6" t="s">
        <v>428</v>
      </c>
      <c r="I2344" s="6" t="s">
        <v>1070</v>
      </c>
      <c r="J2344" s="6" t="s">
        <v>398</v>
      </c>
      <c r="K2344" s="10">
        <v>24</v>
      </c>
      <c r="L2344" s="10">
        <v>40</v>
      </c>
      <c r="M2344" s="6" t="s">
        <v>421</v>
      </c>
      <c r="N2344" s="6">
        <f>IF(OR($G2344="FCC",$G2344="Hydrocracker",$G2344="Reformer"),IF(COUNTIFS($D:$D,$D2344,$A:$A,$A2344,$B:$B,$B2344,$G:$G,"CDU",$J:$J,"PLANNED")&gt;0,"tied","standalone"),"")</f>
        <v/>
      </c>
    </row>
    <row r="2345" spans="1:14">
      <c r="A2345" s="6">
        <v>2023</v>
      </c>
      <c r="B2345" s="6">
        <v>11</v>
      </c>
      <c r="C2345" s="6" t="s">
        <v>70</v>
      </c>
      <c r="D2345" s="6" t="s">
        <v>597</v>
      </c>
      <c r="E2345" s="6" t="s">
        <v>441</v>
      </c>
      <c r="F2345" s="6" t="str">
        <f>IF($M2345="PADD I","PADD 1",IF($M2345="PADD II","PADD 2",IF($M2345="PADD III","PADD 3",IF($M2345="PADD IV","PADD 4",IF($M2345="PADD V","PADD 5","")))))</f>
        <v>PADD 5</v>
      </c>
      <c r="G2345" s="6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6" t="s">
        <v>39</v>
      </c>
      <c r="I2345" s="6" t="s">
        <v>82</v>
      </c>
      <c r="J2345" s="6" t="s">
        <v>394</v>
      </c>
      <c r="K2345" s="10">
        <v>24</v>
      </c>
      <c r="L2345" s="10">
        <v>240</v>
      </c>
      <c r="M2345" s="6" t="s">
        <v>436</v>
      </c>
      <c r="N2345" s="6">
        <f>IF(OR($G2345="FCC",$G2345="Hydrocracker",$G2345="Reformer"),IF(COUNTIFS($D:$D,$D2345,$A:$A,$A2345,$B:$B,$B2345,$G:$G,"CDU",$J:$J,"PLANNED")&gt;0,"tied","standalone"),"")</f>
        <v/>
      </c>
    </row>
    <row r="2346" spans="1:14">
      <c r="A2346" s="6">
        <v>2023</v>
      </c>
      <c r="B2346" s="6">
        <v>11</v>
      </c>
      <c r="C2346" s="6" t="s">
        <v>70</v>
      </c>
      <c r="D2346" s="6" t="s">
        <v>592</v>
      </c>
      <c r="E2346" s="6" t="s">
        <v>593</v>
      </c>
      <c r="F2346" s="6" t="str">
        <f>IF($M2346="PADD I","PADD 1",IF($M2346="PADD II","PADD 2",IF($M2346="PADD III","PADD 3",IF($M2346="PADD IV","PADD 4",IF($M2346="PADD V","PADD 5","")))))</f>
        <v>PADD 2</v>
      </c>
      <c r="G2346" s="6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6" t="s">
        <v>44</v>
      </c>
      <c r="I2346" s="6" t="s">
        <v>601</v>
      </c>
      <c r="J2346" s="6" t="s">
        <v>394</v>
      </c>
      <c r="K2346" s="10">
        <v>23</v>
      </c>
      <c r="L2346" s="10">
        <v>100</v>
      </c>
      <c r="M2346" s="6" t="s">
        <v>425</v>
      </c>
      <c r="N2346" s="6">
        <f>IF(OR($G2346="FCC",$G2346="Hydrocracker",$G2346="Reformer"),IF(COUNTIFS($D:$D,$D2346,$A:$A,$A2346,$B:$B,$B2346,$G:$G,"CDU",$J:$J,"PLANNED")&gt;0,"tied","standalone"),"")</f>
        <v/>
      </c>
    </row>
    <row r="2347" spans="1:14">
      <c r="A2347" s="6">
        <v>2023</v>
      </c>
      <c r="B2347" s="6">
        <v>11</v>
      </c>
      <c r="C2347" s="6" t="s">
        <v>70</v>
      </c>
      <c r="D2347" s="6" t="s">
        <v>581</v>
      </c>
      <c r="E2347" s="6" t="s">
        <v>582</v>
      </c>
      <c r="F2347" s="6" t="str">
        <f>IF($M2347="PADD I","PADD 1",IF($M2347="PADD II","PADD 2",IF($M2347="PADD III","PADD 3",IF($M2347="PADD IV","PADD 4",IF($M2347="PADD V","PADD 5","")))))</f>
        <v>PADD 5</v>
      </c>
      <c r="G2347" s="6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6" t="s">
        <v>510</v>
      </c>
      <c r="I2347" s="6" t="s">
        <v>666</v>
      </c>
      <c r="J2347" s="6" t="s">
        <v>394</v>
      </c>
      <c r="K2347" s="10">
        <v>22</v>
      </c>
      <c r="L2347" s="10">
        <v>22</v>
      </c>
      <c r="M2347" s="6" t="s">
        <v>436</v>
      </c>
      <c r="N2347" s="6">
        <f>IF(OR($G2347="FCC",$G2347="Hydrocracker",$G2347="Reformer"),IF(COUNTIFS($D:$D,$D2347,$A:$A,$A2347,$B:$B,$B2347,$G:$G,"CDU",$J:$J,"PLANNED")&gt;0,"tied","standalone"),"")</f>
        <v/>
      </c>
    </row>
    <row r="2348" spans="1:14">
      <c r="A2348" s="6">
        <v>2023</v>
      </c>
      <c r="B2348" s="6">
        <v>11</v>
      </c>
      <c r="C2348" s="6" t="s">
        <v>70</v>
      </c>
      <c r="D2348" s="6" t="s">
        <v>484</v>
      </c>
      <c r="E2348" s="6" t="s">
        <v>438</v>
      </c>
      <c r="F2348" s="6" t="str">
        <f>IF($M2348="PADD I","PADD 1",IF($M2348="PADD II","PADD 2",IF($M2348="PADD III","PADD 3",IF($M2348="PADD IV","PADD 4",IF($M2348="PADD V","PADD 5","")))))</f>
        <v>PADD 5</v>
      </c>
      <c r="G2348" s="6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6" t="s">
        <v>485</v>
      </c>
      <c r="I2348" s="6" t="s">
        <v>486</v>
      </c>
      <c r="J2348" s="6" t="s">
        <v>394</v>
      </c>
      <c r="K2348" s="10">
        <v>21</v>
      </c>
      <c r="L2348" s="10">
        <v>42</v>
      </c>
      <c r="M2348" s="6" t="s">
        <v>436</v>
      </c>
      <c r="N2348" s="6">
        <f>IF(OR($G2348="FCC",$G2348="Hydrocracker",$G2348="Reformer"),IF(COUNTIFS($D:$D,$D2348,$A:$A,$A2348,$B:$B,$B2348,$G:$G,"CDU",$J:$J,"PLANNED")&gt;0,"tied","standalone"),"")</f>
        <v/>
      </c>
    </row>
    <row r="2349" spans="1:14">
      <c r="A2349" s="6">
        <v>2023</v>
      </c>
      <c r="B2349" s="6">
        <v>11</v>
      </c>
      <c r="C2349" s="6" t="s">
        <v>70</v>
      </c>
      <c r="D2349" s="6" t="s">
        <v>1010</v>
      </c>
      <c r="E2349" s="6" t="s">
        <v>931</v>
      </c>
      <c r="F2349" s="6" t="str">
        <f>IF($M2349="PADD I","PADD 1",IF($M2349="PADD II","PADD 2",IF($M2349="PADD III","PADD 3",IF($M2349="PADD IV","PADD 4",IF($M2349="PADD V","PADD 5","")))))</f>
        <v>PADD 3</v>
      </c>
      <c r="G2349" s="6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6" t="s">
        <v>39</v>
      </c>
      <c r="I2349" s="6" t="s">
        <v>424</v>
      </c>
      <c r="J2349" s="6" t="s">
        <v>398</v>
      </c>
      <c r="K2349" s="10">
        <v>20.79</v>
      </c>
      <c r="L2349" s="10">
        <v>27</v>
      </c>
      <c r="M2349" s="6" t="s">
        <v>421</v>
      </c>
      <c r="N2349" s="6">
        <f>IF(OR($G2349="FCC",$G2349="Hydrocracker",$G2349="Reformer"),IF(COUNTIFS($D:$D,$D2349,$A:$A,$A2349,$B:$B,$B2349,$G:$G,"CDU",$J:$J,"PLANNED")&gt;0,"tied","standalone"),"")</f>
        <v/>
      </c>
    </row>
    <row r="2350" spans="1:14">
      <c r="A2350" s="6">
        <v>2023</v>
      </c>
      <c r="B2350" s="6">
        <v>11</v>
      </c>
      <c r="C2350" s="6" t="s">
        <v>70</v>
      </c>
      <c r="D2350" s="6" t="s">
        <v>448</v>
      </c>
      <c r="E2350" s="6" t="s">
        <v>449</v>
      </c>
      <c r="F2350" s="6" t="str">
        <f>IF($M2350="PADD I","PADD 1",IF($M2350="PADD II","PADD 2",IF($M2350="PADD III","PADD 3",IF($M2350="PADD IV","PADD 4",IF($M2350="PADD V","PADD 5","")))))</f>
        <v>PADD 3</v>
      </c>
      <c r="G2350" s="6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6" t="s">
        <v>426</v>
      </c>
      <c r="I2350" s="6" t="s">
        <v>1086</v>
      </c>
      <c r="J2350" s="6" t="s">
        <v>398</v>
      </c>
      <c r="K2350" s="10">
        <v>20.7</v>
      </c>
      <c r="L2350" s="10">
        <v>90</v>
      </c>
      <c r="M2350" s="6" t="s">
        <v>421</v>
      </c>
      <c r="N2350" s="6" t="str">
        <f>IF(OR($G2350="FCC",$G2350="Hydrocracker",$G2350="Reformer"),IF(COUNTIFS($D:$D,$D2350,$A:$A,$A2350,$B:$B,$B2350,$G:$G,"CDU",$J:$J,"PLANNED")&gt;0,"tied","standalone"),"")</f>
        <v>standalone</v>
      </c>
    </row>
    <row r="2351" spans="1:14">
      <c r="A2351" s="6">
        <v>2023</v>
      </c>
      <c r="B2351" s="6">
        <v>11</v>
      </c>
      <c r="C2351" s="6" t="s">
        <v>70</v>
      </c>
      <c r="D2351" s="6" t="s">
        <v>518</v>
      </c>
      <c r="E2351" s="6" t="s">
        <v>419</v>
      </c>
      <c r="F2351" s="6" t="str">
        <f>IF($M2351="PADD I","PADD 1",IF($M2351="PADD II","PADD 2",IF($M2351="PADD III","PADD 3",IF($M2351="PADD IV","PADD 4",IF($M2351="PADD V","PADD 5","")))))</f>
        <v>PADD 3</v>
      </c>
      <c r="G2351" s="6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6" t="s">
        <v>39</v>
      </c>
      <c r="I2351" s="6" t="s">
        <v>611</v>
      </c>
      <c r="J2351" s="6" t="s">
        <v>398</v>
      </c>
      <c r="K2351" s="10">
        <v>20.5</v>
      </c>
      <c r="L2351" s="10">
        <v>41</v>
      </c>
      <c r="M2351" s="6" t="s">
        <v>421</v>
      </c>
      <c r="N2351" s="6">
        <f>IF(OR($G2351="FCC",$G2351="Hydrocracker",$G2351="Reformer"),IF(COUNTIFS($D:$D,$D2351,$A:$A,$A2351,$B:$B,$B2351,$G:$G,"CDU",$J:$J,"PLANNED")&gt;0,"tied","standalone"),"")</f>
        <v/>
      </c>
    </row>
    <row r="2352" spans="1:14">
      <c r="A2352" s="6">
        <v>2023</v>
      </c>
      <c r="B2352" s="6">
        <v>11</v>
      </c>
      <c r="C2352" s="6" t="s">
        <v>70</v>
      </c>
      <c r="D2352" s="6" t="s">
        <v>518</v>
      </c>
      <c r="E2352" s="6" t="s">
        <v>419</v>
      </c>
      <c r="F2352" s="6" t="str">
        <f>IF($M2352="PADD I","PADD 1",IF($M2352="PADD II","PADD 2",IF($M2352="PADD III","PADD 3",IF($M2352="PADD IV","PADD 4",IF($M2352="PADD V","PADD 5","")))))</f>
        <v>PADD 3</v>
      </c>
      <c r="G2352" s="6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6" t="s">
        <v>44</v>
      </c>
      <c r="I2352" s="6" t="s">
        <v>1078</v>
      </c>
      <c r="J2352" s="6" t="s">
        <v>398</v>
      </c>
      <c r="K2352" s="10">
        <v>20.4</v>
      </c>
      <c r="L2352" s="10">
        <v>34</v>
      </c>
      <c r="M2352" s="6" t="s">
        <v>421</v>
      </c>
      <c r="N2352" s="6">
        <f>IF(OR($G2352="FCC",$G2352="Hydrocracker",$G2352="Reformer"),IF(COUNTIFS($D:$D,$D2352,$A:$A,$A2352,$B:$B,$B2352,$G:$G,"CDU",$J:$J,"PLANNED")&gt;0,"tied","standalone"),"")</f>
        <v/>
      </c>
    </row>
    <row r="2353" spans="1:14">
      <c r="A2353" s="6">
        <v>2023</v>
      </c>
      <c r="B2353" s="6">
        <v>11</v>
      </c>
      <c r="C2353" s="6" t="s">
        <v>70</v>
      </c>
      <c r="D2353" s="6" t="s">
        <v>515</v>
      </c>
      <c r="E2353" s="6" t="s">
        <v>419</v>
      </c>
      <c r="F2353" s="6" t="str">
        <f>IF($M2353="PADD I","PADD 1",IF($M2353="PADD II","PADD 2",IF($M2353="PADD III","PADD 3",IF($M2353="PADD IV","PADD 4",IF($M2353="PADD V","PADD 5","")))))</f>
        <v>PADD 5</v>
      </c>
      <c r="G2353" s="6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6" t="s">
        <v>44</v>
      </c>
      <c r="I2353" s="6" t="s">
        <v>516</v>
      </c>
      <c r="J2353" s="6" t="s">
        <v>398</v>
      </c>
      <c r="K2353" s="10">
        <v>20</v>
      </c>
      <c r="L2353" s="10">
        <v>50</v>
      </c>
      <c r="M2353" s="6" t="s">
        <v>436</v>
      </c>
      <c r="N2353" s="6">
        <f>IF(OR($G2353="FCC",$G2353="Hydrocracker",$G2353="Reformer"),IF(COUNTIFS($D:$D,$D2353,$A:$A,$A2353,$B:$B,$B2353,$G:$G,"CDU",$J:$J,"PLANNED")&gt;0,"tied","standalone"),"")</f>
        <v/>
      </c>
    </row>
    <row r="2354" spans="1:14">
      <c r="A2354" s="6">
        <v>2023</v>
      </c>
      <c r="B2354" s="6">
        <v>11</v>
      </c>
      <c r="C2354" s="6" t="s">
        <v>70</v>
      </c>
      <c r="D2354" s="6" t="s">
        <v>581</v>
      </c>
      <c r="E2354" s="6" t="s">
        <v>582</v>
      </c>
      <c r="F2354" s="6" t="str">
        <f>IF($M2354="PADD I","PADD 1",IF($M2354="PADD II","PADD 2",IF($M2354="PADD III","PADD 3",IF($M2354="PADD IV","PADD 4",IF($M2354="PADD V","PADD 5","")))))</f>
        <v>PADD 5</v>
      </c>
      <c r="G2354" s="6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6" t="s">
        <v>485</v>
      </c>
      <c r="I2354" s="6" t="s">
        <v>664</v>
      </c>
      <c r="J2354" s="6" t="s">
        <v>394</v>
      </c>
      <c r="K2354" s="10">
        <v>19.71</v>
      </c>
      <c r="L2354" s="10">
        <v>27</v>
      </c>
      <c r="M2354" s="6" t="s">
        <v>436</v>
      </c>
      <c r="N2354" s="6">
        <f>IF(OR($G2354="FCC",$G2354="Hydrocracker",$G2354="Reformer"),IF(COUNTIFS($D:$D,$D2354,$A:$A,$A2354,$B:$B,$B2354,$G:$G,"CDU",$J:$J,"PLANNED")&gt;0,"tied","standalone"),"")</f>
        <v/>
      </c>
    </row>
    <row r="2355" spans="1:14">
      <c r="A2355" s="6">
        <v>2023</v>
      </c>
      <c r="B2355" s="6">
        <v>11</v>
      </c>
      <c r="C2355" s="6" t="s">
        <v>70</v>
      </c>
      <c r="D2355" s="6" t="s">
        <v>41</v>
      </c>
      <c r="E2355" s="6" t="s">
        <v>786</v>
      </c>
      <c r="F2355" s="6" t="str">
        <f>IF($M2355="PADD I","PADD 1",IF($M2355="PADD II","PADD 2",IF($M2355="PADD III","PADD 3",IF($M2355="PADD IV","PADD 4",IF($M2355="PADD V","PADD 5","")))))</f>
        <v>PADD 1</v>
      </c>
      <c r="G2355" s="6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6" t="s">
        <v>44</v>
      </c>
      <c r="I2355" s="6" t="s">
        <v>1044</v>
      </c>
      <c r="J2355" s="6" t="s">
        <v>398</v>
      </c>
      <c r="K2355" s="10">
        <v>19.5</v>
      </c>
      <c r="L2355" s="10">
        <v>65</v>
      </c>
      <c r="M2355" s="6" t="s">
        <v>463</v>
      </c>
      <c r="N2355" s="6">
        <f>IF(OR($G2355="FCC",$G2355="Hydrocracker",$G2355="Reformer"),IF(COUNTIFS($D:$D,$D2355,$A:$A,$A2355,$B:$B,$B2355,$G:$G,"CDU",$J:$J,"PLANNED")&gt;0,"tied","standalone"),"")</f>
        <v/>
      </c>
    </row>
    <row r="2356" spans="1:14">
      <c r="A2356" s="6">
        <v>2023</v>
      </c>
      <c r="B2356" s="6">
        <v>11</v>
      </c>
      <c r="C2356" s="6" t="s">
        <v>70</v>
      </c>
      <c r="D2356" s="6" t="s">
        <v>798</v>
      </c>
      <c r="E2356" s="6" t="s">
        <v>438</v>
      </c>
      <c r="F2356" s="6" t="str">
        <f>IF($M2356="PADD I","PADD 1",IF($M2356="PADD II","PADD 2",IF($M2356="PADD III","PADD 3",IF($M2356="PADD IV","PADD 4",IF($M2356="PADD V","PADD 5","")))))</f>
        <v>PADD 3</v>
      </c>
      <c r="G2356" s="6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6" t="s">
        <v>428</v>
      </c>
      <c r="I2356" s="6" t="s">
        <v>481</v>
      </c>
      <c r="J2356" s="6" t="s">
        <v>394</v>
      </c>
      <c r="K2356" s="10">
        <v>18.8</v>
      </c>
      <c r="L2356" s="10">
        <v>40</v>
      </c>
      <c r="M2356" s="6" t="s">
        <v>421</v>
      </c>
      <c r="N2356" s="6">
        <f>IF(OR($G2356="FCC",$G2356="Hydrocracker",$G2356="Reformer"),IF(COUNTIFS($D:$D,$D2356,$A:$A,$A2356,$B:$B,$B2356,$G:$G,"CDU",$J:$J,"PLANNED")&gt;0,"tied","standalone"),"")</f>
        <v/>
      </c>
    </row>
    <row r="2357" spans="1:14">
      <c r="A2357" s="6">
        <v>2023</v>
      </c>
      <c r="B2357" s="6">
        <v>11</v>
      </c>
      <c r="C2357" s="6" t="s">
        <v>70</v>
      </c>
      <c r="D2357" s="6" t="s">
        <v>518</v>
      </c>
      <c r="E2357" s="6" t="s">
        <v>419</v>
      </c>
      <c r="F2357" s="6" t="str">
        <f>IF($M2357="PADD I","PADD 1",IF($M2357="PADD II","PADD 2",IF($M2357="PADD III","PADD 3",IF($M2357="PADD IV","PADD 4",IF($M2357="PADD V","PADD 5","")))))</f>
        <v>PADD 3</v>
      </c>
      <c r="G2357" s="6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6" t="s">
        <v>39</v>
      </c>
      <c r="I2357" s="6" t="s">
        <v>615</v>
      </c>
      <c r="J2357" s="6" t="s">
        <v>398</v>
      </c>
      <c r="K2357" s="10">
        <v>18.5</v>
      </c>
      <c r="L2357" s="10">
        <v>37</v>
      </c>
      <c r="M2357" s="6" t="s">
        <v>421</v>
      </c>
      <c r="N2357" s="6">
        <f>IF(OR($G2357="FCC",$G2357="Hydrocracker",$G2357="Reformer"),IF(COUNTIFS($D:$D,$D2357,$A:$A,$A2357,$B:$B,$B2357,$G:$G,"CDU",$J:$J,"PLANNED")&gt;0,"tied","standalone"),"")</f>
        <v/>
      </c>
    </row>
    <row r="2358" spans="1:14">
      <c r="A2358" s="6">
        <v>2023</v>
      </c>
      <c r="B2358" s="6">
        <v>11</v>
      </c>
      <c r="C2358" s="6" t="s">
        <v>70</v>
      </c>
      <c r="D2358" s="6" t="s">
        <v>41</v>
      </c>
      <c r="E2358" s="6" t="s">
        <v>786</v>
      </c>
      <c r="F2358" s="6" t="str">
        <f>IF($M2358="PADD I","PADD 1",IF($M2358="PADD II","PADD 2",IF($M2358="PADD III","PADD 3",IF($M2358="PADD IV","PADD 4",IF($M2358="PADD V","PADD 5","")))))</f>
        <v>PADD 1</v>
      </c>
      <c r="G2358" s="6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6" t="s">
        <v>44</v>
      </c>
      <c r="I2358" s="6" t="s">
        <v>543</v>
      </c>
      <c r="J2358" s="6" t="s">
        <v>398</v>
      </c>
      <c r="K2358" s="10">
        <v>18</v>
      </c>
      <c r="L2358" s="10">
        <v>60</v>
      </c>
      <c r="M2358" s="6" t="s">
        <v>463</v>
      </c>
      <c r="N2358" s="6">
        <f>IF(OR($G2358="FCC",$G2358="Hydrocracker",$G2358="Reformer"),IF(COUNTIFS($D:$D,$D2358,$A:$A,$A2358,$B:$B,$B2358,$G:$G,"CDU",$J:$J,"PLANNED")&gt;0,"tied","standalone"),"")</f>
        <v/>
      </c>
    </row>
    <row r="2359" spans="1:14">
      <c r="A2359" s="6">
        <v>2023</v>
      </c>
      <c r="B2359" s="6">
        <v>11</v>
      </c>
      <c r="C2359" s="6" t="s">
        <v>70</v>
      </c>
      <c r="D2359" s="6" t="s">
        <v>41</v>
      </c>
      <c r="E2359" s="6" t="s">
        <v>786</v>
      </c>
      <c r="F2359" s="6" t="str">
        <f>IF($M2359="PADD I","PADD 1",IF($M2359="PADD II","PADD 2",IF($M2359="PADD III","PADD 3",IF($M2359="PADD IV","PADD 4",IF($M2359="PADD V","PADD 5","")))))</f>
        <v>PADD 1</v>
      </c>
      <c r="G2359" s="6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6" t="s">
        <v>471</v>
      </c>
      <c r="I2359" s="6" t="s">
        <v>832</v>
      </c>
      <c r="J2359" s="6" t="s">
        <v>398</v>
      </c>
      <c r="K2359" s="10">
        <v>18</v>
      </c>
      <c r="L2359" s="10">
        <v>60</v>
      </c>
      <c r="M2359" s="6" t="s">
        <v>463</v>
      </c>
      <c r="N2359" s="6" t="str">
        <f>IF(OR($G2359="FCC",$G2359="Hydrocracker",$G2359="Reformer"),IF(COUNTIFS($D:$D,$D2359,$A:$A,$A2359,$B:$B,$B2359,$G:$G,"CDU",$J:$J,"PLANNED")&gt;0,"tied","standalone"),"")</f>
        <v>tied</v>
      </c>
    </row>
    <row r="2360" spans="1:14">
      <c r="A2360" s="6">
        <v>2023</v>
      </c>
      <c r="B2360" s="6">
        <v>11</v>
      </c>
      <c r="C2360" s="6" t="s">
        <v>70</v>
      </c>
      <c r="D2360" s="6" t="s">
        <v>49</v>
      </c>
      <c r="E2360" s="6" t="s">
        <v>438</v>
      </c>
      <c r="F2360" s="6" t="str">
        <f>IF($M2360="PADD I","PADD 1",IF($M2360="PADD II","PADD 2",IF($M2360="PADD III","PADD 3",IF($M2360="PADD IV","PADD 4",IF($M2360="PADD V","PADD 5","")))))</f>
        <v>PADD 2</v>
      </c>
      <c r="G2360" s="6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6" t="s">
        <v>39</v>
      </c>
      <c r="I2360" s="6" t="s">
        <v>770</v>
      </c>
      <c r="J2360" s="6" t="s">
        <v>394</v>
      </c>
      <c r="K2360" s="10">
        <v>17.85</v>
      </c>
      <c r="L2360" s="10">
        <v>255</v>
      </c>
      <c r="M2360" s="6" t="s">
        <v>425</v>
      </c>
      <c r="N2360" s="6">
        <f>IF(OR($G2360="FCC",$G2360="Hydrocracker",$G2360="Reformer"),IF(COUNTIFS($D:$D,$D2360,$A:$A,$A2360,$B:$B,$B2360,$G:$G,"CDU",$J:$J,"PLANNED")&gt;0,"tied","standalone"),"")</f>
        <v/>
      </c>
    </row>
    <row r="2361" spans="1:14">
      <c r="A2361" s="6">
        <v>2023</v>
      </c>
      <c r="B2361" s="6">
        <v>11</v>
      </c>
      <c r="C2361" s="6" t="s">
        <v>70</v>
      </c>
      <c r="D2361" s="6" t="s">
        <v>507</v>
      </c>
      <c r="E2361" s="6" t="s">
        <v>438</v>
      </c>
      <c r="F2361" s="6" t="str">
        <f>IF($M2361="PADD I","PADD 1",IF($M2361="PADD II","PADD 2",IF($M2361="PADD III","PADD 3",IF($M2361="PADD IV","PADD 4",IF($M2361="PADD V","PADD 5","")))))</f>
        <v>PADD 5</v>
      </c>
      <c r="G2361" s="6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6" t="s">
        <v>39</v>
      </c>
      <c r="I2361" s="6" t="s">
        <v>136</v>
      </c>
      <c r="J2361" s="6" t="s">
        <v>394</v>
      </c>
      <c r="K2361" s="10">
        <v>17.55</v>
      </c>
      <c r="L2361" s="10">
        <v>65</v>
      </c>
      <c r="M2361" s="6" t="s">
        <v>436</v>
      </c>
      <c r="N2361" s="6">
        <f>IF(OR($G2361="FCC",$G2361="Hydrocracker",$G2361="Reformer"),IF(COUNTIFS($D:$D,$D2361,$A:$A,$A2361,$B:$B,$B2361,$G:$G,"CDU",$J:$J,"PLANNED")&gt;0,"tied","standalone"),"")</f>
        <v/>
      </c>
    </row>
    <row r="2362" spans="1:14">
      <c r="A2362" s="6">
        <v>2023</v>
      </c>
      <c r="B2362" s="6">
        <v>11</v>
      </c>
      <c r="C2362" s="6" t="s">
        <v>70</v>
      </c>
      <c r="D2362" s="6" t="s">
        <v>507</v>
      </c>
      <c r="E2362" s="6" t="s">
        <v>438</v>
      </c>
      <c r="F2362" s="6" t="str">
        <f>IF($M2362="PADD I","PADD 1",IF($M2362="PADD II","PADD 2",IF($M2362="PADD III","PADD 3",IF($M2362="PADD IV","PADD 4",IF($M2362="PADD V","PADD 5","")))))</f>
        <v>PADD 5</v>
      </c>
      <c r="G2362" s="6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6" t="s">
        <v>428</v>
      </c>
      <c r="I2362" s="6" t="s">
        <v>651</v>
      </c>
      <c r="J2362" s="6" t="s">
        <v>394</v>
      </c>
      <c r="K2362" s="10">
        <v>16.74</v>
      </c>
      <c r="L2362" s="10">
        <v>62</v>
      </c>
      <c r="M2362" s="6" t="s">
        <v>436</v>
      </c>
      <c r="N2362" s="6">
        <f>IF(OR($G2362="FCC",$G2362="Hydrocracker",$G2362="Reformer"),IF(COUNTIFS($D:$D,$D2362,$A:$A,$A2362,$B:$B,$B2362,$G:$G,"CDU",$J:$J,"PLANNED")&gt;0,"tied","standalone"),"")</f>
        <v/>
      </c>
    </row>
    <row r="2363" spans="1:14">
      <c r="A2363" s="6">
        <v>2023</v>
      </c>
      <c r="B2363" s="6">
        <v>11</v>
      </c>
      <c r="C2363" s="6" t="s">
        <v>70</v>
      </c>
      <c r="D2363" s="6" t="s">
        <v>662</v>
      </c>
      <c r="E2363" s="6" t="s">
        <v>466</v>
      </c>
      <c r="F2363" s="6" t="str">
        <f>IF($M2363="PADD I","PADD 1",IF($M2363="PADD II","PADD 2",IF($M2363="PADD III","PADD 3",IF($M2363="PADD IV","PADD 4",IF($M2363="PADD V","PADD 5","")))))</f>
        <v>PADD 3</v>
      </c>
      <c r="G2363" s="6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6" t="s">
        <v>39</v>
      </c>
      <c r="I2363" s="6" t="s">
        <v>82</v>
      </c>
      <c r="J2363" s="6" t="s">
        <v>394</v>
      </c>
      <c r="K2363" s="10">
        <v>16.5</v>
      </c>
      <c r="L2363" s="10">
        <v>165</v>
      </c>
      <c r="M2363" s="6" t="s">
        <v>421</v>
      </c>
      <c r="N2363" s="6">
        <f>IF(OR($G2363="FCC",$G2363="Hydrocracker",$G2363="Reformer"),IF(COUNTIFS($D:$D,$D2363,$A:$A,$A2363,$B:$B,$B2363,$G:$G,"CDU",$J:$J,"PLANNED")&gt;0,"tied","standalone"),"")</f>
        <v/>
      </c>
    </row>
    <row r="2364" spans="1:14">
      <c r="A2364" s="6">
        <v>2023</v>
      </c>
      <c r="B2364" s="6">
        <v>11</v>
      </c>
      <c r="C2364" s="6" t="s">
        <v>70</v>
      </c>
      <c r="D2364" s="6" t="s">
        <v>52</v>
      </c>
      <c r="E2364" s="6" t="s">
        <v>441</v>
      </c>
      <c r="F2364" s="6" t="str">
        <f>IF($M2364="PADD I","PADD 1",IF($M2364="PADD II","PADD 2",IF($M2364="PADD III","PADD 3",IF($M2364="PADD IV","PADD 4",IF($M2364="PADD V","PADD 5","")))))</f>
        <v>PADD 5</v>
      </c>
      <c r="G2364" s="6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6" t="s">
        <v>428</v>
      </c>
      <c r="I2364" s="6" t="s">
        <v>1085</v>
      </c>
      <c r="J2364" s="6" t="s">
        <v>398</v>
      </c>
      <c r="K2364" s="10">
        <v>16.1</v>
      </c>
      <c r="L2364" s="10">
        <v>161</v>
      </c>
      <c r="M2364" s="6" t="s">
        <v>436</v>
      </c>
      <c r="N2364" s="6">
        <f>IF(OR($G2364="FCC",$G2364="Hydrocracker",$G2364="Reformer"),IF(COUNTIFS($D:$D,$D2364,$A:$A,$A2364,$B:$B,$B2364,$G:$G,"CDU",$J:$J,"PLANNED")&gt;0,"tied","standalone"),"")</f>
        <v/>
      </c>
    </row>
    <row r="2365" spans="1:14">
      <c r="A2365" s="6">
        <v>2023</v>
      </c>
      <c r="B2365" s="6">
        <v>11</v>
      </c>
      <c r="C2365" s="6" t="s">
        <v>70</v>
      </c>
      <c r="D2365" s="6" t="s">
        <v>465</v>
      </c>
      <c r="E2365" s="6" t="s">
        <v>466</v>
      </c>
      <c r="F2365" s="6" t="str">
        <f>IF($M2365="PADD I","PADD 1",IF($M2365="PADD II","PADD 2",IF($M2365="PADD III","PADD 3",IF($M2365="PADD IV","PADD 4",IF($M2365="PADD V","PADD 5","")))))</f>
        <v>PADD 3</v>
      </c>
      <c r="G2365" s="6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6" t="s">
        <v>44</v>
      </c>
      <c r="I2365" s="6" t="s">
        <v>1055</v>
      </c>
      <c r="J2365" s="6" t="s">
        <v>398</v>
      </c>
      <c r="K2365" s="10">
        <v>15.2</v>
      </c>
      <c r="L2365" s="10">
        <v>38</v>
      </c>
      <c r="M2365" s="6" t="s">
        <v>421</v>
      </c>
      <c r="N2365" s="6">
        <f>IF(OR($G2365="FCC",$G2365="Hydrocracker",$G2365="Reformer"),IF(COUNTIFS($D:$D,$D2365,$A:$A,$A2365,$B:$B,$B2365,$G:$G,"CDU",$J:$J,"PLANNED")&gt;0,"tied","standalone"),"")</f>
        <v/>
      </c>
    </row>
    <row r="2366" spans="1:14">
      <c r="A2366" s="6">
        <v>2023</v>
      </c>
      <c r="B2366" s="6">
        <v>11</v>
      </c>
      <c r="C2366" s="6" t="s">
        <v>70</v>
      </c>
      <c r="D2366" s="6" t="s">
        <v>465</v>
      </c>
      <c r="E2366" s="6" t="s">
        <v>466</v>
      </c>
      <c r="F2366" s="6" t="str">
        <f>IF($M2366="PADD I","PADD 1",IF($M2366="PADD II","PADD 2",IF($M2366="PADD III","PADD 3",IF($M2366="PADD IV","PADD 4",IF($M2366="PADD V","PADD 5","")))))</f>
        <v>PADD 3</v>
      </c>
      <c r="G2366" s="6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6" t="s">
        <v>428</v>
      </c>
      <c r="I2366" s="6" t="s">
        <v>1112</v>
      </c>
      <c r="J2366" s="6" t="s">
        <v>394</v>
      </c>
      <c r="K2366" s="10">
        <v>14</v>
      </c>
      <c r="L2366" s="10">
        <v>140</v>
      </c>
      <c r="M2366" s="6" t="s">
        <v>421</v>
      </c>
      <c r="N2366" s="6">
        <f>IF(OR($G2366="FCC",$G2366="Hydrocracker",$G2366="Reformer"),IF(COUNTIFS($D:$D,$D2366,$A:$A,$A2366,$B:$B,$B2366,$G:$G,"CDU",$J:$J,"PLANNED")&gt;0,"tied","standalone"),"")</f>
        <v/>
      </c>
    </row>
    <row r="2367" spans="1:14">
      <c r="A2367" s="6">
        <v>2023</v>
      </c>
      <c r="B2367" s="6">
        <v>11</v>
      </c>
      <c r="C2367" s="6" t="s">
        <v>70</v>
      </c>
      <c r="D2367" s="6" t="s">
        <v>1035</v>
      </c>
      <c r="E2367" s="6" t="s">
        <v>593</v>
      </c>
      <c r="F2367" s="6" t="str">
        <f>IF($M2367="PADD I","PADD 1",IF($M2367="PADD II","PADD 2",IF($M2367="PADD III","PADD 3",IF($M2367="PADD IV","PADD 4",IF($M2367="PADD V","PADD 5","")))))</f>
        <v>PADD 2</v>
      </c>
      <c r="G2367" s="6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6" t="s">
        <v>428</v>
      </c>
      <c r="I2367" s="6" t="s">
        <v>836</v>
      </c>
      <c r="J2367" s="6" t="s">
        <v>394</v>
      </c>
      <c r="K2367" s="10">
        <v>13.8759</v>
      </c>
      <c r="L2367" s="10">
        <v>60.33</v>
      </c>
      <c r="M2367" s="6" t="s">
        <v>425</v>
      </c>
      <c r="N2367" s="6">
        <f>IF(OR($G2367="FCC",$G2367="Hydrocracker",$G2367="Reformer"),IF(COUNTIFS($D:$D,$D2367,$A:$A,$A2367,$B:$B,$B2367,$G:$G,"CDU",$J:$J,"PLANNED")&gt;0,"tied","standalone"),"")</f>
        <v/>
      </c>
    </row>
    <row r="2368" spans="1:14">
      <c r="A2368" s="6">
        <v>2023</v>
      </c>
      <c r="B2368" s="6">
        <v>11</v>
      </c>
      <c r="C2368" s="6" t="s">
        <v>70</v>
      </c>
      <c r="D2368" s="6" t="s">
        <v>465</v>
      </c>
      <c r="E2368" s="6" t="s">
        <v>466</v>
      </c>
      <c r="F2368" s="6" t="str">
        <f>IF($M2368="PADD I","PADD 1",IF($M2368="PADD II","PADD 2",IF($M2368="PADD III","PADD 3",IF($M2368="PADD IV","PADD 4",IF($M2368="PADD V","PADD 5","")))))</f>
        <v>PADD 3</v>
      </c>
      <c r="G2368" s="6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6" t="s">
        <v>426</v>
      </c>
      <c r="I2368" s="6" t="s">
        <v>1045</v>
      </c>
      <c r="J2368" s="6" t="s">
        <v>394</v>
      </c>
      <c r="K2368" s="10">
        <v>13.86</v>
      </c>
      <c r="L2368" s="10">
        <v>42</v>
      </c>
      <c r="M2368" s="6" t="s">
        <v>421</v>
      </c>
      <c r="N2368" s="6" t="str">
        <f>IF(OR($G2368="FCC",$G2368="Hydrocracker",$G2368="Reformer"),IF(COUNTIFS($D:$D,$D2368,$A:$A,$A2368,$B:$B,$B2368,$G:$G,"CDU",$J:$J,"PLANNED")&gt;0,"tied","standalone"),"")</f>
        <v>standalone</v>
      </c>
    </row>
    <row r="2369" spans="1:14">
      <c r="A2369" s="6">
        <v>2023</v>
      </c>
      <c r="B2369" s="6">
        <v>11</v>
      </c>
      <c r="C2369" s="6" t="s">
        <v>70</v>
      </c>
      <c r="D2369" s="6" t="s">
        <v>382</v>
      </c>
      <c r="E2369" s="6" t="s">
        <v>431</v>
      </c>
      <c r="F2369" s="6" t="str">
        <f>IF($M2369="PADD I","PADD 1",IF($M2369="PADD II","PADD 2",IF($M2369="PADD III","PADD 3",IF($M2369="PADD IV","PADD 4",IF($M2369="PADD V","PADD 5","")))))</f>
        <v>PADD 3</v>
      </c>
      <c r="G2369" s="6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6" t="s">
        <v>471</v>
      </c>
      <c r="I2369" s="6" t="s">
        <v>598</v>
      </c>
      <c r="J2369" s="6" t="s">
        <v>394</v>
      </c>
      <c r="K2369" s="10">
        <v>13.6</v>
      </c>
      <c r="L2369" s="10">
        <v>80</v>
      </c>
      <c r="M2369" s="6" t="s">
        <v>421</v>
      </c>
      <c r="N2369" s="6" t="str">
        <f>IF(OR($G2369="FCC",$G2369="Hydrocracker",$G2369="Reformer"),IF(COUNTIFS($D:$D,$D2369,$A:$A,$A2369,$B:$B,$B2369,$G:$G,"CDU",$J:$J,"PLANNED")&gt;0,"tied","standalone"),"")</f>
        <v>standalone</v>
      </c>
    </row>
    <row r="2370" spans="1:14">
      <c r="A2370" s="6">
        <v>2023</v>
      </c>
      <c r="B2370" s="6">
        <v>11</v>
      </c>
      <c r="C2370" s="6" t="s">
        <v>70</v>
      </c>
      <c r="D2370" s="6" t="s">
        <v>712</v>
      </c>
      <c r="E2370" s="6" t="s">
        <v>602</v>
      </c>
      <c r="F2370" s="6" t="str">
        <f>IF($M2370="PADD I","PADD 1",IF($M2370="PADD II","PADD 2",IF($M2370="PADD III","PADD 3",IF($M2370="PADD IV","PADD 4",IF($M2370="PADD V","PADD 5","")))))</f>
        <v>PADD 3</v>
      </c>
      <c r="G2370" s="6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6" t="s">
        <v>471</v>
      </c>
      <c r="I2370" s="6" t="s">
        <v>1100</v>
      </c>
      <c r="J2370" s="6" t="s">
        <v>398</v>
      </c>
      <c r="K2370" s="10">
        <v>13.23</v>
      </c>
      <c r="L2370" s="10">
        <v>21</v>
      </c>
      <c r="M2370" s="6" t="s">
        <v>421</v>
      </c>
      <c r="N2370" s="6" t="str">
        <f>IF(OR($G2370="FCC",$G2370="Hydrocracker",$G2370="Reformer"),IF(COUNTIFS($D:$D,$D2370,$A:$A,$A2370,$B:$B,$B2370,$G:$G,"CDU",$J:$J,"PLANNED")&gt;0,"tied","standalone"),"")</f>
        <v>standalone</v>
      </c>
    </row>
    <row r="2371" spans="1:14">
      <c r="A2371" s="6">
        <v>2023</v>
      </c>
      <c r="B2371" s="6">
        <v>11</v>
      </c>
      <c r="C2371" s="6" t="s">
        <v>70</v>
      </c>
      <c r="D2371" s="6" t="s">
        <v>1010</v>
      </c>
      <c r="E2371" s="6" t="s">
        <v>931</v>
      </c>
      <c r="F2371" s="6" t="str">
        <f>IF($M2371="PADD I","PADD 1",IF($M2371="PADD II","PADD 2",IF($M2371="PADD III","PADD 3",IF($M2371="PADD IV","PADD 4",IF($M2371="PADD V","PADD 5","")))))</f>
        <v>PADD 3</v>
      </c>
      <c r="G2371" s="6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6" t="s">
        <v>44</v>
      </c>
      <c r="I2371" s="6" t="s">
        <v>1105</v>
      </c>
      <c r="J2371" s="6" t="s">
        <v>398</v>
      </c>
      <c r="K2371" s="10">
        <v>12.32</v>
      </c>
      <c r="L2371" s="10">
        <v>16</v>
      </c>
      <c r="M2371" s="6" t="s">
        <v>421</v>
      </c>
      <c r="N2371" s="6">
        <f>IF(OR($G2371="FCC",$G2371="Hydrocracker",$G2371="Reformer"),IF(COUNTIFS($D:$D,$D2371,$A:$A,$A2371,$B:$B,$B2371,$G:$G,"CDU",$J:$J,"PLANNED")&gt;0,"tied","standalone"),"")</f>
        <v/>
      </c>
    </row>
    <row r="2372" spans="1:14">
      <c r="A2372" s="6">
        <v>2023</v>
      </c>
      <c r="B2372" s="6">
        <v>11</v>
      </c>
      <c r="C2372" s="6" t="s">
        <v>70</v>
      </c>
      <c r="D2372" s="6" t="s">
        <v>597</v>
      </c>
      <c r="E2372" s="6" t="s">
        <v>441</v>
      </c>
      <c r="F2372" s="6" t="str">
        <f>IF($M2372="PADD I","PADD 1",IF($M2372="PADD II","PADD 2",IF($M2372="PADD III","PADD 3",IF($M2372="PADD IV","PADD 4",IF($M2372="PADD V","PADD 5","")))))</f>
        <v>PADD 5</v>
      </c>
      <c r="G2372" s="6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6" t="s">
        <v>428</v>
      </c>
      <c r="I2372" s="6" t="s">
        <v>481</v>
      </c>
      <c r="J2372" s="6" t="s">
        <v>394</v>
      </c>
      <c r="K2372" s="10">
        <v>12.3</v>
      </c>
      <c r="L2372" s="10">
        <v>123</v>
      </c>
      <c r="M2372" s="6" t="s">
        <v>436</v>
      </c>
      <c r="N2372" s="6">
        <f>IF(OR($G2372="FCC",$G2372="Hydrocracker",$G2372="Reformer"),IF(COUNTIFS($D:$D,$D2372,$A:$A,$A2372,$B:$B,$B2372,$G:$G,"CDU",$J:$J,"PLANNED")&gt;0,"tied","standalone"),"")</f>
        <v/>
      </c>
    </row>
    <row r="2373" spans="1:14">
      <c r="A2373" s="6">
        <v>2023</v>
      </c>
      <c r="B2373" s="6">
        <v>11</v>
      </c>
      <c r="C2373" s="6" t="s">
        <v>70</v>
      </c>
      <c r="D2373" s="6" t="s">
        <v>518</v>
      </c>
      <c r="E2373" s="6" t="s">
        <v>419</v>
      </c>
      <c r="F2373" s="6" t="str">
        <f>IF($M2373="PADD I","PADD 1",IF($M2373="PADD II","PADD 2",IF($M2373="PADD III","PADD 3",IF($M2373="PADD IV","PADD 4",IF($M2373="PADD V","PADD 5","")))))</f>
        <v>PADD 3</v>
      </c>
      <c r="G2373" s="6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6" t="s">
        <v>44</v>
      </c>
      <c r="I2373" s="6" t="s">
        <v>1080</v>
      </c>
      <c r="J2373" s="6" t="s">
        <v>398</v>
      </c>
      <c r="K2373" s="10">
        <v>12</v>
      </c>
      <c r="L2373" s="10">
        <v>20</v>
      </c>
      <c r="M2373" s="6" t="s">
        <v>421</v>
      </c>
      <c r="N2373" s="6">
        <f>IF(OR($G2373="FCC",$G2373="Hydrocracker",$G2373="Reformer"),IF(COUNTIFS($D:$D,$D2373,$A:$A,$A2373,$B:$B,$B2373,$G:$G,"CDU",$J:$J,"PLANNED")&gt;0,"tied","standalone"),"")</f>
        <v/>
      </c>
    </row>
    <row r="2374" spans="1:14">
      <c r="A2374" s="6">
        <v>2023</v>
      </c>
      <c r="B2374" s="6">
        <v>11</v>
      </c>
      <c r="C2374" s="6" t="s">
        <v>70</v>
      </c>
      <c r="D2374" s="6" t="s">
        <v>518</v>
      </c>
      <c r="E2374" s="6" t="s">
        <v>419</v>
      </c>
      <c r="F2374" s="6" t="str">
        <f>IF($M2374="PADD I","PADD 1",IF($M2374="PADD II","PADD 2",IF($M2374="PADD III","PADD 3",IF($M2374="PADD IV","PADD 4",IF($M2374="PADD V","PADD 5","")))))</f>
        <v>PADD 3</v>
      </c>
      <c r="G2374" s="6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6" t="s">
        <v>471</v>
      </c>
      <c r="I2374" s="6" t="s">
        <v>908</v>
      </c>
      <c r="J2374" s="6" t="s">
        <v>398</v>
      </c>
      <c r="K2374" s="10">
        <v>12</v>
      </c>
      <c r="L2374" s="10">
        <v>20</v>
      </c>
      <c r="M2374" s="6" t="s">
        <v>421</v>
      </c>
      <c r="N2374" s="6" t="str">
        <f>IF(OR($G2374="FCC",$G2374="Hydrocracker",$G2374="Reformer"),IF(COUNTIFS($D:$D,$D2374,$A:$A,$A2374,$B:$B,$B2374,$G:$G,"CDU",$J:$J,"PLANNED")&gt;0,"tied","standalone"),"")</f>
        <v>tied</v>
      </c>
    </row>
    <row r="2375" spans="1:14">
      <c r="A2375" s="6">
        <v>2023</v>
      </c>
      <c r="B2375" s="6">
        <v>11</v>
      </c>
      <c r="C2375" s="6" t="s">
        <v>70</v>
      </c>
      <c r="D2375" s="6" t="s">
        <v>518</v>
      </c>
      <c r="E2375" s="6" t="s">
        <v>419</v>
      </c>
      <c r="F2375" s="6" t="str">
        <f>IF($M2375="PADD I","PADD 1",IF($M2375="PADD II","PADD 2",IF($M2375="PADD III","PADD 3",IF($M2375="PADD IV","PADD 4",IF($M2375="PADD V","PADD 5","")))))</f>
        <v>PADD 3</v>
      </c>
      <c r="G2375" s="6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6" t="s">
        <v>44</v>
      </c>
      <c r="I2375" s="6" t="s">
        <v>1081</v>
      </c>
      <c r="J2375" s="6" t="s">
        <v>398</v>
      </c>
      <c r="K2375" s="10">
        <v>12</v>
      </c>
      <c r="L2375" s="10">
        <v>20</v>
      </c>
      <c r="M2375" s="6" t="s">
        <v>421</v>
      </c>
      <c r="N2375" s="6">
        <f>IF(OR($G2375="FCC",$G2375="Hydrocracker",$G2375="Reformer"),IF(COUNTIFS($D:$D,$D2375,$A:$A,$A2375,$B:$B,$B2375,$G:$G,"CDU",$J:$J,"PLANNED")&gt;0,"tied","standalone"),"")</f>
        <v/>
      </c>
    </row>
    <row r="2376" spans="1:14">
      <c r="A2376" s="6">
        <v>2023</v>
      </c>
      <c r="B2376" s="6">
        <v>11</v>
      </c>
      <c r="C2376" s="6" t="s">
        <v>70</v>
      </c>
      <c r="D2376" s="6" t="s">
        <v>41</v>
      </c>
      <c r="E2376" s="6" t="s">
        <v>786</v>
      </c>
      <c r="F2376" s="6" t="str">
        <f>IF($M2376="PADD I","PADD 1",IF($M2376="PADD II","PADD 2",IF($M2376="PADD III","PADD 3",IF($M2376="PADD IV","PADD 4",IF($M2376="PADD V","PADD 5","")))))</f>
        <v>PADD 1</v>
      </c>
      <c r="G2376" s="6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6" t="s">
        <v>44</v>
      </c>
      <c r="I2376" s="6" t="s">
        <v>1053</v>
      </c>
      <c r="J2376" s="6" t="s">
        <v>398</v>
      </c>
      <c r="K2376" s="10">
        <v>12</v>
      </c>
      <c r="L2376" s="10">
        <v>40</v>
      </c>
      <c r="M2376" s="6" t="s">
        <v>463</v>
      </c>
      <c r="N2376" s="6">
        <f>IF(OR($G2376="FCC",$G2376="Hydrocracker",$G2376="Reformer"),IF(COUNTIFS($D:$D,$D2376,$A:$A,$A2376,$B:$B,$B2376,$G:$G,"CDU",$J:$J,"PLANNED")&gt;0,"tied","standalone"),"")</f>
        <v/>
      </c>
    </row>
    <row r="2377" spans="1:14">
      <c r="A2377" s="6">
        <v>2023</v>
      </c>
      <c r="B2377" s="6">
        <v>11</v>
      </c>
      <c r="C2377" s="6" t="s">
        <v>70</v>
      </c>
      <c r="D2377" s="6" t="s">
        <v>937</v>
      </c>
      <c r="E2377" s="6" t="s">
        <v>455</v>
      </c>
      <c r="F2377" s="6" t="str">
        <f>IF($M2377="PADD I","PADD 1",IF($M2377="PADD II","PADD 2",IF($M2377="PADD III","PADD 3",IF($M2377="PADD IV","PADD 4",IF($M2377="PADD V","PADD 5","")))))</f>
        <v>PADD 3</v>
      </c>
      <c r="G2377" s="6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6" t="s">
        <v>494</v>
      </c>
      <c r="I2377" s="6" t="s">
        <v>1072</v>
      </c>
      <c r="J2377" s="6" t="s">
        <v>398</v>
      </c>
      <c r="K2377" s="10">
        <v>12</v>
      </c>
      <c r="L2377" s="10">
        <v>30</v>
      </c>
      <c r="M2377" s="6" t="s">
        <v>421</v>
      </c>
      <c r="N2377" s="6" t="str">
        <f>IF(OR($G2377="FCC",$G2377="Hydrocracker",$G2377="Reformer"),IF(COUNTIFS($D:$D,$D2377,$A:$A,$A2377,$B:$B,$B2377,$G:$G,"CDU",$J:$J,"PLANNED")&gt;0,"tied","standalone"),"")</f>
        <v>standalone</v>
      </c>
    </row>
    <row r="2378" spans="1:14">
      <c r="A2378" s="6">
        <v>2023</v>
      </c>
      <c r="B2378" s="6">
        <v>11</v>
      </c>
      <c r="C2378" s="6" t="s">
        <v>70</v>
      </c>
      <c r="D2378" s="6" t="s">
        <v>484</v>
      </c>
      <c r="E2378" s="6" t="s">
        <v>438</v>
      </c>
      <c r="F2378" s="6" t="str">
        <f>IF($M2378="PADD I","PADD 1",IF($M2378="PADD II","PADD 2",IF($M2378="PADD III","PADD 3",IF($M2378="PADD IV","PADD 4",IF($M2378="PADD V","PADD 5","")))))</f>
        <v>PADD 5</v>
      </c>
      <c r="G2378" s="6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6" t="s">
        <v>494</v>
      </c>
      <c r="I2378" s="6" t="s">
        <v>14</v>
      </c>
      <c r="J2378" s="6" t="s">
        <v>394</v>
      </c>
      <c r="K2378" s="10">
        <v>11.84</v>
      </c>
      <c r="L2378" s="10">
        <v>32</v>
      </c>
      <c r="M2378" s="6" t="s">
        <v>436</v>
      </c>
      <c r="N2378" s="6" t="str">
        <f>IF(OR($G2378="FCC",$G2378="Hydrocracker",$G2378="Reformer"),IF(COUNTIFS($D:$D,$D2378,$A:$A,$A2378,$B:$B,$B2378,$G:$G,"CDU",$J:$J,"PLANNED")&gt;0,"tied","standalone"),"")</f>
        <v>tied</v>
      </c>
    </row>
    <row r="2379" spans="1:14">
      <c r="A2379" s="6">
        <v>2023</v>
      </c>
      <c r="B2379" s="6">
        <v>11</v>
      </c>
      <c r="C2379" s="6" t="s">
        <v>70</v>
      </c>
      <c r="D2379" s="6" t="s">
        <v>484</v>
      </c>
      <c r="E2379" s="6" t="s">
        <v>438</v>
      </c>
      <c r="F2379" s="6" t="str">
        <f>IF($M2379="PADD I","PADD 1",IF($M2379="PADD II","PADD 2",IF($M2379="PADD III","PADD 3",IF($M2379="PADD IV","PADD 4",IF($M2379="PADD V","PADD 5","")))))</f>
        <v>PADD 5</v>
      </c>
      <c r="G2379" s="6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6" t="s">
        <v>44</v>
      </c>
      <c r="I2379" s="6" t="s">
        <v>955</v>
      </c>
      <c r="J2379" s="6" t="s">
        <v>394</v>
      </c>
      <c r="K2379" s="10">
        <v>11.75</v>
      </c>
      <c r="L2379" s="10">
        <v>25</v>
      </c>
      <c r="M2379" s="6" t="s">
        <v>436</v>
      </c>
      <c r="N2379" s="6">
        <f>IF(OR($G2379="FCC",$G2379="Hydrocracker",$G2379="Reformer"),IF(COUNTIFS($D:$D,$D2379,$A:$A,$A2379,$B:$B,$B2379,$G:$G,"CDU",$J:$J,"PLANNED")&gt;0,"tied","standalone"),"")</f>
        <v/>
      </c>
    </row>
    <row r="2380" spans="1:14">
      <c r="A2380" s="6">
        <v>2023</v>
      </c>
      <c r="B2380" s="6">
        <v>11</v>
      </c>
      <c r="C2380" s="6" t="s">
        <v>70</v>
      </c>
      <c r="D2380" s="6" t="s">
        <v>448</v>
      </c>
      <c r="E2380" s="6" t="s">
        <v>449</v>
      </c>
      <c r="F2380" s="6" t="str">
        <f>IF($M2380="PADD I","PADD 1",IF($M2380="PADD II","PADD 2",IF($M2380="PADD III","PADD 3",IF($M2380="PADD IV","PADD 4",IF($M2380="PADD V","PADD 5","")))))</f>
        <v>PADD 3</v>
      </c>
      <c r="G2380" s="6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6" t="s">
        <v>44</v>
      </c>
      <c r="I2380" s="6" t="s">
        <v>1062</v>
      </c>
      <c r="J2380" s="6" t="s">
        <v>398</v>
      </c>
      <c r="K2380" s="10">
        <v>11.5</v>
      </c>
      <c r="L2380" s="10">
        <v>50</v>
      </c>
      <c r="M2380" s="6" t="s">
        <v>421</v>
      </c>
      <c r="N2380" s="6">
        <f>IF(OR($G2380="FCC",$G2380="Hydrocracker",$G2380="Reformer"),IF(COUNTIFS($D:$D,$D2380,$A:$A,$A2380,$B:$B,$B2380,$G:$G,"CDU",$J:$J,"PLANNED")&gt;0,"tied","standalone"),"")</f>
        <v/>
      </c>
    </row>
    <row r="2381" spans="1:14">
      <c r="A2381" s="6">
        <v>2023</v>
      </c>
      <c r="B2381" s="6">
        <v>11</v>
      </c>
      <c r="C2381" s="6" t="s">
        <v>70</v>
      </c>
      <c r="D2381" s="6" t="s">
        <v>581</v>
      </c>
      <c r="E2381" s="6" t="s">
        <v>582</v>
      </c>
      <c r="F2381" s="6" t="str">
        <f>IF($M2381="PADD I","PADD 1",IF($M2381="PADD II","PADD 2",IF($M2381="PADD III","PADD 3",IF($M2381="PADD IV","PADD 4",IF($M2381="PADD V","PADD 5","")))))</f>
        <v>PADD 5</v>
      </c>
      <c r="G2381" s="6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6" t="s">
        <v>494</v>
      </c>
      <c r="I2381" s="6" t="s">
        <v>14</v>
      </c>
      <c r="J2381" s="6" t="s">
        <v>394</v>
      </c>
      <c r="K2381" s="10">
        <v>11.28</v>
      </c>
      <c r="L2381" s="10">
        <v>24</v>
      </c>
      <c r="M2381" s="6" t="s">
        <v>436</v>
      </c>
      <c r="N2381" s="6" t="str">
        <f>IF(OR($G2381="FCC",$G2381="Hydrocracker",$G2381="Reformer"),IF(COUNTIFS($D:$D,$D2381,$A:$A,$A2381,$B:$B,$B2381,$G:$G,"CDU",$J:$J,"PLANNED")&gt;0,"tied","standalone"),"")</f>
        <v>standalone</v>
      </c>
    </row>
    <row r="2382" spans="1:14">
      <c r="A2382" s="6">
        <v>2023</v>
      </c>
      <c r="B2382" s="6">
        <v>11</v>
      </c>
      <c r="C2382" s="6" t="s">
        <v>70</v>
      </c>
      <c r="D2382" s="6" t="s">
        <v>448</v>
      </c>
      <c r="E2382" s="6" t="s">
        <v>449</v>
      </c>
      <c r="F2382" s="6" t="str">
        <f>IF($M2382="PADD I","PADD 1",IF($M2382="PADD II","PADD 2",IF($M2382="PADD III","PADD 3",IF($M2382="PADD IV","PADD 4",IF($M2382="PADD V","PADD 5","")))))</f>
        <v>PADD 3</v>
      </c>
      <c r="G2382" s="6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6" t="s">
        <v>44</v>
      </c>
      <c r="I2382" s="6" t="s">
        <v>1087</v>
      </c>
      <c r="J2382" s="6" t="s">
        <v>398</v>
      </c>
      <c r="K2382" s="10">
        <v>11.27</v>
      </c>
      <c r="L2382" s="10">
        <v>49</v>
      </c>
      <c r="M2382" s="6" t="s">
        <v>421</v>
      </c>
      <c r="N2382" s="6">
        <f>IF(OR($G2382="FCC",$G2382="Hydrocracker",$G2382="Reformer"),IF(COUNTIFS($D:$D,$D2382,$A:$A,$A2382,$B:$B,$B2382,$G:$G,"CDU",$J:$J,"PLANNED")&gt;0,"tied","standalone"),"")</f>
        <v/>
      </c>
    </row>
    <row r="2383" spans="1:14">
      <c r="A2383" s="6">
        <v>2023</v>
      </c>
      <c r="B2383" s="6">
        <v>11</v>
      </c>
      <c r="C2383" s="6" t="s">
        <v>70</v>
      </c>
      <c r="D2383" s="6" t="s">
        <v>597</v>
      </c>
      <c r="E2383" s="6" t="s">
        <v>441</v>
      </c>
      <c r="F2383" s="6" t="str">
        <f>IF($M2383="PADD I","PADD 1",IF($M2383="PADD II","PADD 2",IF($M2383="PADD III","PADD 3",IF($M2383="PADD IV","PADD 4",IF($M2383="PADD V","PADD 5","")))))</f>
        <v>PADD 5</v>
      </c>
      <c r="G2383" s="6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6" t="s">
        <v>44</v>
      </c>
      <c r="I2383" s="6" t="s">
        <v>106</v>
      </c>
      <c r="J2383" s="6" t="s">
        <v>394</v>
      </c>
      <c r="K2383" s="10">
        <v>11.05</v>
      </c>
      <c r="L2383" s="10">
        <v>65</v>
      </c>
      <c r="M2383" s="6" t="s">
        <v>436</v>
      </c>
      <c r="N2383" s="6">
        <f>IF(OR($G2383="FCC",$G2383="Hydrocracker",$G2383="Reformer"),IF(COUNTIFS($D:$D,$D2383,$A:$A,$A2383,$B:$B,$B2383,$G:$G,"CDU",$J:$J,"PLANNED")&gt;0,"tied","standalone"),"")</f>
        <v/>
      </c>
    </row>
    <row r="2384" spans="1:14">
      <c r="A2384" s="6">
        <v>2023</v>
      </c>
      <c r="B2384" s="6">
        <v>11</v>
      </c>
      <c r="C2384" s="6" t="s">
        <v>70</v>
      </c>
      <c r="D2384" s="6" t="s">
        <v>838</v>
      </c>
      <c r="E2384" s="6" t="s">
        <v>455</v>
      </c>
      <c r="F2384" s="6" t="str">
        <f>IF($M2384="PADD I","PADD 1",IF($M2384="PADD II","PADD 2",IF($M2384="PADD III","PADD 3",IF($M2384="PADD IV","PADD 4",IF($M2384="PADD V","PADD 5","")))))</f>
        <v>PADD 3</v>
      </c>
      <c r="G2384" s="6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6" t="s">
        <v>494</v>
      </c>
      <c r="I2384" s="6" t="s">
        <v>881</v>
      </c>
      <c r="J2384" s="6" t="s">
        <v>394</v>
      </c>
      <c r="K2384" s="10">
        <v>11</v>
      </c>
      <c r="L2384" s="10">
        <v>55</v>
      </c>
      <c r="M2384" s="6" t="s">
        <v>421</v>
      </c>
      <c r="N2384" s="6" t="str">
        <f>IF(OR($G2384="FCC",$G2384="Hydrocracker",$G2384="Reformer"),IF(COUNTIFS($D:$D,$D2384,$A:$A,$A2384,$B:$B,$B2384,$G:$G,"CDU",$J:$J,"PLANNED")&gt;0,"tied","standalone"),"")</f>
        <v>standalone</v>
      </c>
    </row>
    <row r="2385" spans="1:14">
      <c r="A2385" s="6">
        <v>2023</v>
      </c>
      <c r="B2385" s="6">
        <v>11</v>
      </c>
      <c r="C2385" s="6" t="s">
        <v>70</v>
      </c>
      <c r="D2385" s="6" t="s">
        <v>1010</v>
      </c>
      <c r="E2385" s="6" t="s">
        <v>931</v>
      </c>
      <c r="F2385" s="6" t="str">
        <f>IF($M2385="PADD I","PADD 1",IF($M2385="PADD II","PADD 2",IF($M2385="PADD III","PADD 3",IF($M2385="PADD IV","PADD 4",IF($M2385="PADD V","PADD 5","")))))</f>
        <v>PADD 3</v>
      </c>
      <c r="G2385" s="6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6" t="s">
        <v>44</v>
      </c>
      <c r="I2385" s="6" t="s">
        <v>834</v>
      </c>
      <c r="J2385" s="6" t="s">
        <v>398</v>
      </c>
      <c r="K2385" s="10">
        <v>10.78</v>
      </c>
      <c r="L2385" s="10">
        <v>14</v>
      </c>
      <c r="M2385" s="6" t="s">
        <v>421</v>
      </c>
      <c r="N2385" s="6">
        <f>IF(OR($G2385="FCC",$G2385="Hydrocracker",$G2385="Reformer"),IF(COUNTIFS($D:$D,$D2385,$A:$A,$A2385,$B:$B,$B2385,$G:$G,"CDU",$J:$J,"PLANNED")&gt;0,"tied","standalone"),"")</f>
        <v/>
      </c>
    </row>
    <row r="2386" spans="1:14">
      <c r="A2386" s="6">
        <v>2023</v>
      </c>
      <c r="B2386" s="6">
        <v>11</v>
      </c>
      <c r="C2386" s="6" t="s">
        <v>70</v>
      </c>
      <c r="D2386" s="6" t="s">
        <v>465</v>
      </c>
      <c r="E2386" s="6" t="s">
        <v>466</v>
      </c>
      <c r="F2386" s="6" t="str">
        <f>IF($M2386="PADD I","PADD 1",IF($M2386="PADD II","PADD 2",IF($M2386="PADD III","PADD 3",IF($M2386="PADD IV","PADD 4",IF($M2386="PADD V","PADD 5","")))))</f>
        <v>PADD 3</v>
      </c>
      <c r="G2386" s="6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6" t="s">
        <v>39</v>
      </c>
      <c r="I2386" s="6" t="s">
        <v>134</v>
      </c>
      <c r="J2386" s="6" t="s">
        <v>394</v>
      </c>
      <c r="K2386" s="10">
        <v>10</v>
      </c>
      <c r="L2386" s="10">
        <v>100</v>
      </c>
      <c r="M2386" s="6" t="s">
        <v>421</v>
      </c>
      <c r="N2386" s="6">
        <f>IF(OR($G2386="FCC",$G2386="Hydrocracker",$G2386="Reformer"),IF(COUNTIFS($D:$D,$D2386,$A:$A,$A2386,$B:$B,$B2386,$G:$G,"CDU",$J:$J,"PLANNED")&gt;0,"tied","standalone"),"")</f>
        <v/>
      </c>
    </row>
    <row r="2387" spans="1:14">
      <c r="A2387" s="6">
        <v>2023</v>
      </c>
      <c r="B2387" s="6">
        <v>11</v>
      </c>
      <c r="C2387" s="6" t="s">
        <v>70</v>
      </c>
      <c r="D2387" s="6" t="s">
        <v>465</v>
      </c>
      <c r="E2387" s="6" t="s">
        <v>466</v>
      </c>
      <c r="F2387" s="6" t="str">
        <f>IF($M2387="PADD I","PADD 1",IF($M2387="PADD II","PADD 2",IF($M2387="PADD III","PADD 3",IF($M2387="PADD IV","PADD 4",IF($M2387="PADD V","PADD 5","")))))</f>
        <v>PADD 3</v>
      </c>
      <c r="G2387" s="6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6" t="s">
        <v>428</v>
      </c>
      <c r="I2387" s="6" t="s">
        <v>1112</v>
      </c>
      <c r="J2387" s="6" t="s">
        <v>394</v>
      </c>
      <c r="K2387" s="10">
        <v>9.800000000000001</v>
      </c>
      <c r="L2387" s="10">
        <v>140</v>
      </c>
      <c r="M2387" s="6" t="s">
        <v>421</v>
      </c>
      <c r="N2387" s="6">
        <f>IF(OR($G2387="FCC",$G2387="Hydrocracker",$G2387="Reformer"),IF(COUNTIFS($D:$D,$D2387,$A:$A,$A2387,$B:$B,$B2387,$G:$G,"CDU",$J:$J,"PLANNED")&gt;0,"tied","standalone"),"")</f>
        <v/>
      </c>
    </row>
    <row r="2388" spans="1:14">
      <c r="A2388" s="6">
        <v>2023</v>
      </c>
      <c r="B2388" s="6">
        <v>11</v>
      </c>
      <c r="C2388" s="6" t="s">
        <v>70</v>
      </c>
      <c r="D2388" s="6" t="s">
        <v>518</v>
      </c>
      <c r="E2388" s="6" t="s">
        <v>419</v>
      </c>
      <c r="F2388" s="6" t="str">
        <f>IF($M2388="PADD I","PADD 1",IF($M2388="PADD II","PADD 2",IF($M2388="PADD III","PADD 3",IF($M2388="PADD IV","PADD 4",IF($M2388="PADD V","PADD 5","")))))</f>
        <v>PADD 3</v>
      </c>
      <c r="G2388" s="6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6" t="s">
        <v>44</v>
      </c>
      <c r="I2388" s="6" t="s">
        <v>508</v>
      </c>
      <c r="J2388" s="6" t="s">
        <v>398</v>
      </c>
      <c r="K2388" s="10">
        <v>9.6</v>
      </c>
      <c r="L2388" s="10">
        <v>16</v>
      </c>
      <c r="M2388" s="6" t="s">
        <v>421</v>
      </c>
      <c r="N2388" s="6">
        <f>IF(OR($G2388="FCC",$G2388="Hydrocracker",$G2388="Reformer"),IF(COUNTIFS($D:$D,$D2388,$A:$A,$A2388,$B:$B,$B2388,$G:$G,"CDU",$J:$J,"PLANNED")&gt;0,"tied","standalone"),"")</f>
        <v/>
      </c>
    </row>
    <row r="2389" spans="1:14">
      <c r="A2389" s="6">
        <v>2023</v>
      </c>
      <c r="B2389" s="6">
        <v>11</v>
      </c>
      <c r="C2389" s="6" t="s">
        <v>70</v>
      </c>
      <c r="D2389" s="6" t="s">
        <v>937</v>
      </c>
      <c r="E2389" s="6" t="s">
        <v>455</v>
      </c>
      <c r="F2389" s="6" t="str">
        <f>IF($M2389="PADD I","PADD 1",IF($M2389="PADD II","PADD 2",IF($M2389="PADD III","PADD 3",IF($M2389="PADD IV","PADD 4",IF($M2389="PADD V","PADD 5","")))))</f>
        <v>PADD 3</v>
      </c>
      <c r="G2389" s="6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6" t="s">
        <v>426</v>
      </c>
      <c r="I2389" s="6" t="s">
        <v>856</v>
      </c>
      <c r="J2389" s="6" t="s">
        <v>398</v>
      </c>
      <c r="K2389" s="10">
        <v>9.6</v>
      </c>
      <c r="L2389" s="10">
        <v>24</v>
      </c>
      <c r="M2389" s="6" t="s">
        <v>421</v>
      </c>
      <c r="N2389" s="6" t="str">
        <f>IF(OR($G2389="FCC",$G2389="Hydrocracker",$G2389="Reformer"),IF(COUNTIFS($D:$D,$D2389,$A:$A,$A2389,$B:$B,$B2389,$G:$G,"CDU",$J:$J,"PLANNED")&gt;0,"tied","standalone"),"")</f>
        <v>standalone</v>
      </c>
    </row>
    <row r="2390" spans="1:14">
      <c r="A2390" s="6">
        <v>2023</v>
      </c>
      <c r="B2390" s="6">
        <v>11</v>
      </c>
      <c r="C2390" s="6" t="s">
        <v>70</v>
      </c>
      <c r="D2390" s="6" t="s">
        <v>780</v>
      </c>
      <c r="E2390" s="6" t="s">
        <v>781</v>
      </c>
      <c r="F2390" s="6" t="str">
        <f>IF($M2390="PADD I","PADD 1",IF($M2390="PADD II","PADD 2",IF($M2390="PADD III","PADD 3",IF($M2390="PADD IV","PADD 4",IF($M2390="PADD V","PADD 5","")))))</f>
        <v>PADD 3</v>
      </c>
      <c r="G2390" s="6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6" t="s">
        <v>428</v>
      </c>
      <c r="I2390" s="6" t="s">
        <v>481</v>
      </c>
      <c r="J2390" s="6" t="s">
        <v>398</v>
      </c>
      <c r="K2390" s="10">
        <v>9.472</v>
      </c>
      <c r="L2390" s="10">
        <v>25.6</v>
      </c>
      <c r="M2390" s="6" t="s">
        <v>421</v>
      </c>
      <c r="N2390" s="6">
        <f>IF(OR($G2390="FCC",$G2390="Hydrocracker",$G2390="Reformer"),IF(COUNTIFS($D:$D,$D2390,$A:$A,$A2390,$B:$B,$B2390,$G:$G,"CDU",$J:$J,"PLANNED")&gt;0,"tied","standalone"),"")</f>
        <v/>
      </c>
    </row>
    <row r="2391" spans="1:14">
      <c r="A2391" s="6">
        <v>2023</v>
      </c>
      <c r="B2391" s="6">
        <v>11</v>
      </c>
      <c r="C2391" s="6" t="s">
        <v>70</v>
      </c>
      <c r="D2391" s="6" t="s">
        <v>1113</v>
      </c>
      <c r="E2391" s="6" t="s">
        <v>438</v>
      </c>
      <c r="F2391" s="6" t="str">
        <f>IF($M2391="PADD I","PADD 1",IF($M2391="PADD II","PADD 2",IF($M2391="PADD III","PADD 3",IF($M2391="PADD IV","PADD 4",IF($M2391="PADD V","PADD 5","")))))</f>
        <v>PADD 2</v>
      </c>
      <c r="G2391" s="6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6" t="s">
        <v>39</v>
      </c>
      <c r="I2391" s="6" t="s">
        <v>82</v>
      </c>
      <c r="J2391" s="6" t="s">
        <v>394</v>
      </c>
      <c r="K2391" s="10">
        <v>9.449999999999999</v>
      </c>
      <c r="L2391" s="10">
        <v>135</v>
      </c>
      <c r="M2391" s="6" t="s">
        <v>425</v>
      </c>
      <c r="N2391" s="6">
        <f>IF(OR($G2391="FCC",$G2391="Hydrocracker",$G2391="Reformer"),IF(COUNTIFS($D:$D,$D2391,$A:$A,$A2391,$B:$B,$B2391,$G:$G,"CDU",$J:$J,"PLANNED")&gt;0,"tied","standalone"),"")</f>
        <v/>
      </c>
    </row>
    <row r="2392" spans="1:14">
      <c r="A2392" s="6">
        <v>2023</v>
      </c>
      <c r="B2392" s="6">
        <v>11</v>
      </c>
      <c r="C2392" s="6" t="s">
        <v>70</v>
      </c>
      <c r="D2392" s="6" t="s">
        <v>51</v>
      </c>
      <c r="E2392" s="6" t="s">
        <v>431</v>
      </c>
      <c r="F2392" s="6" t="str">
        <f>IF($M2392="PADD I","PADD 1",IF($M2392="PADD II","PADD 2",IF($M2392="PADD III","PADD 3",IF($M2392="PADD IV","PADD 4",IF($M2392="PADD V","PADD 5","")))))</f>
        <v>PADD 3</v>
      </c>
      <c r="G2392" s="6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6" t="s">
        <v>39</v>
      </c>
      <c r="I2392" s="6" t="s">
        <v>819</v>
      </c>
      <c r="J2392" s="6" t="s">
        <v>398</v>
      </c>
      <c r="K2392" s="10">
        <v>9.42</v>
      </c>
      <c r="L2392" s="10">
        <v>314</v>
      </c>
      <c r="M2392" s="6" t="s">
        <v>421</v>
      </c>
      <c r="N2392" s="6">
        <f>IF(OR($G2392="FCC",$G2392="Hydrocracker",$G2392="Reformer"),IF(COUNTIFS($D:$D,$D2392,$A:$A,$A2392,$B:$B,$B2392,$G:$G,"CDU",$J:$J,"PLANNED")&gt;0,"tied","standalone"),"")</f>
        <v/>
      </c>
    </row>
    <row r="2393" spans="1:14">
      <c r="A2393" s="6">
        <v>2023</v>
      </c>
      <c r="B2393" s="6">
        <v>11</v>
      </c>
      <c r="C2393" s="6" t="s">
        <v>70</v>
      </c>
      <c r="D2393" s="6" t="s">
        <v>465</v>
      </c>
      <c r="E2393" s="6" t="s">
        <v>466</v>
      </c>
      <c r="F2393" s="6" t="str">
        <f>IF($M2393="PADD I","PADD 1",IF($M2393="PADD II","PADD 2",IF($M2393="PADD III","PADD 3",IF($M2393="PADD IV","PADD 4",IF($M2393="PADD V","PADD 5","")))))</f>
        <v>PADD 3</v>
      </c>
      <c r="G2393" s="6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6" t="s">
        <v>471</v>
      </c>
      <c r="I2393" s="6" t="s">
        <v>504</v>
      </c>
      <c r="J2393" s="6" t="s">
        <v>394</v>
      </c>
      <c r="K2393" s="10">
        <v>9.044</v>
      </c>
      <c r="L2393" s="10">
        <v>53.2</v>
      </c>
      <c r="M2393" s="6" t="s">
        <v>421</v>
      </c>
      <c r="N2393" s="6" t="str">
        <f>IF(OR($G2393="FCC",$G2393="Hydrocracker",$G2393="Reformer"),IF(COUNTIFS($D:$D,$D2393,$A:$A,$A2393,$B:$B,$B2393,$G:$G,"CDU",$J:$J,"PLANNED")&gt;0,"tied","standalone"),"")</f>
        <v>standalone</v>
      </c>
    </row>
    <row r="2394" spans="1:14">
      <c r="A2394" s="6">
        <v>2023</v>
      </c>
      <c r="B2394" s="6">
        <v>11</v>
      </c>
      <c r="C2394" s="6" t="s">
        <v>70</v>
      </c>
      <c r="D2394" s="6" t="s">
        <v>52</v>
      </c>
      <c r="E2394" s="6" t="s">
        <v>441</v>
      </c>
      <c r="F2394" s="6" t="str">
        <f>IF($M2394="PADD I","PADD 1",IF($M2394="PADD II","PADD 2",IF($M2394="PADD III","PADD 3",IF($M2394="PADD IV","PADD 4",IF($M2394="PADD V","PADD 5","")))))</f>
        <v>PADD 5</v>
      </c>
      <c r="G2394" s="6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6" t="s">
        <v>39</v>
      </c>
      <c r="I2394" s="6" t="s">
        <v>136</v>
      </c>
      <c r="J2394" s="6" t="s">
        <v>398</v>
      </c>
      <c r="K2394" s="10">
        <v>9</v>
      </c>
      <c r="L2394" s="10">
        <v>90</v>
      </c>
      <c r="M2394" s="6" t="s">
        <v>436</v>
      </c>
      <c r="N2394" s="6">
        <f>IF(OR($G2394="FCC",$G2394="Hydrocracker",$G2394="Reformer"),IF(COUNTIFS($D:$D,$D2394,$A:$A,$A2394,$B:$B,$B2394,$G:$G,"CDU",$J:$J,"PLANNED")&gt;0,"tied","standalone"),"")</f>
        <v/>
      </c>
    </row>
    <row r="2395" spans="1:14">
      <c r="A2395" s="6">
        <v>2023</v>
      </c>
      <c r="B2395" s="6">
        <v>11</v>
      </c>
      <c r="C2395" s="6" t="s">
        <v>70</v>
      </c>
      <c r="D2395" s="6" t="s">
        <v>375</v>
      </c>
      <c r="E2395" s="6" t="s">
        <v>435</v>
      </c>
      <c r="F2395" s="6" t="str">
        <f>IF($M2395="PADD I","PADD 1",IF($M2395="PADD II","PADD 2",IF($M2395="PADD III","PADD 3",IF($M2395="PADD IV","PADD 4",IF($M2395="PADD V","PADD 5","")))))</f>
        <v>PADD 5</v>
      </c>
      <c r="G2395" s="6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6" t="s">
        <v>485</v>
      </c>
      <c r="I2395" s="6" t="s">
        <v>491</v>
      </c>
      <c r="J2395" s="6" t="s">
        <v>394</v>
      </c>
      <c r="K2395" s="10">
        <v>9</v>
      </c>
      <c r="L2395" s="10">
        <v>22.5</v>
      </c>
      <c r="M2395" s="6" t="s">
        <v>436</v>
      </c>
      <c r="N2395" s="6">
        <f>IF(OR($G2395="FCC",$G2395="Hydrocracker",$G2395="Reformer"),IF(COUNTIFS($D:$D,$D2395,$A:$A,$A2395,$B:$B,$B2395,$G:$G,"CDU",$J:$J,"PLANNED")&gt;0,"tied","standalone"),"")</f>
        <v/>
      </c>
    </row>
    <row r="2396" spans="1:14">
      <c r="A2396" s="6">
        <v>2023</v>
      </c>
      <c r="B2396" s="6">
        <v>11</v>
      </c>
      <c r="C2396" s="6" t="s">
        <v>70</v>
      </c>
      <c r="D2396" s="6" t="s">
        <v>780</v>
      </c>
      <c r="E2396" s="6" t="s">
        <v>781</v>
      </c>
      <c r="F2396" s="6" t="str">
        <f>IF($M2396="PADD I","PADD 1",IF($M2396="PADD II","PADD 2",IF($M2396="PADD III","PADD 3",IF($M2396="PADD IV","PADD 4",IF($M2396="PADD V","PADD 5","")))))</f>
        <v>PADD 3</v>
      </c>
      <c r="G2396" s="6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6" t="s">
        <v>426</v>
      </c>
      <c r="I2396" s="6" t="s">
        <v>106</v>
      </c>
      <c r="J2396" s="6" t="s">
        <v>398</v>
      </c>
      <c r="K2396" s="10">
        <v>8.695</v>
      </c>
      <c r="L2396" s="10">
        <v>23.5</v>
      </c>
      <c r="M2396" s="6" t="s">
        <v>421</v>
      </c>
      <c r="N2396" s="6" t="str">
        <f>IF(OR($G2396="FCC",$G2396="Hydrocracker",$G2396="Reformer"),IF(COUNTIFS($D:$D,$D2396,$A:$A,$A2396,$B:$B,$B2396,$G:$G,"CDU",$J:$J,"PLANNED")&gt;0,"tied","standalone"),"")</f>
        <v>tied</v>
      </c>
    </row>
    <row r="2397" spans="1:14">
      <c r="A2397" s="6">
        <v>2023</v>
      </c>
      <c r="B2397" s="6">
        <v>11</v>
      </c>
      <c r="C2397" s="6" t="s">
        <v>70</v>
      </c>
      <c r="D2397" s="6" t="s">
        <v>368</v>
      </c>
      <c r="E2397" s="6" t="s">
        <v>715</v>
      </c>
      <c r="F2397" s="6" t="str">
        <f>IF($M2397="PADD I","PADD 1",IF($M2397="PADD II","PADD 2",IF($M2397="PADD III","PADD 3",IF($M2397="PADD IV","PADD 4",IF($M2397="PADD V","PADD 5","")))))</f>
        <v>PADD 3</v>
      </c>
      <c r="G2397" s="6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6" t="s">
        <v>485</v>
      </c>
      <c r="I2397" s="6" t="s">
        <v>491</v>
      </c>
      <c r="J2397" s="6" t="s">
        <v>394</v>
      </c>
      <c r="K2397" s="10">
        <v>8.552</v>
      </c>
      <c r="L2397" s="10">
        <v>21.38</v>
      </c>
      <c r="M2397" s="6" t="s">
        <v>421</v>
      </c>
      <c r="N2397" s="6">
        <f>IF(OR($G2397="FCC",$G2397="Hydrocracker",$G2397="Reformer"),IF(COUNTIFS($D:$D,$D2397,$A:$A,$A2397,$B:$B,$B2397,$G:$G,"CDU",$J:$J,"PLANNED")&gt;0,"tied","standalone"),"")</f>
        <v/>
      </c>
    </row>
    <row r="2398" spans="1:14">
      <c r="A2398" s="6">
        <v>2023</v>
      </c>
      <c r="B2398" s="6">
        <v>11</v>
      </c>
      <c r="C2398" s="6" t="s">
        <v>70</v>
      </c>
      <c r="D2398" s="6" t="s">
        <v>780</v>
      </c>
      <c r="E2398" s="6" t="s">
        <v>781</v>
      </c>
      <c r="F2398" s="6" t="str">
        <f>IF($M2398="PADD I","PADD 1",IF($M2398="PADD II","PADD 2",IF($M2398="PADD III","PADD 3",IF($M2398="PADD IV","PADD 4",IF($M2398="PADD V","PADD 5","")))))</f>
        <v>PADD 3</v>
      </c>
      <c r="G2398" s="6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6" t="s">
        <v>44</v>
      </c>
      <c r="I2398" s="6" t="s">
        <v>1095</v>
      </c>
      <c r="J2398" s="6" t="s">
        <v>398</v>
      </c>
      <c r="K2398" s="10">
        <v>8.51</v>
      </c>
      <c r="L2398" s="10">
        <v>23</v>
      </c>
      <c r="M2398" s="6" t="s">
        <v>421</v>
      </c>
      <c r="N2398" s="6">
        <f>IF(OR($G2398="FCC",$G2398="Hydrocracker",$G2398="Reformer"),IF(COUNTIFS($D:$D,$D2398,$A:$A,$A2398,$B:$B,$B2398,$G:$G,"CDU",$J:$J,"PLANNED")&gt;0,"tied","standalone"),"")</f>
        <v/>
      </c>
    </row>
    <row r="2399" spans="1:14">
      <c r="A2399" s="6">
        <v>2023</v>
      </c>
      <c r="B2399" s="6">
        <v>11</v>
      </c>
      <c r="C2399" s="6" t="s">
        <v>70</v>
      </c>
      <c r="D2399" s="6" t="s">
        <v>518</v>
      </c>
      <c r="E2399" s="6" t="s">
        <v>419</v>
      </c>
      <c r="F2399" s="6" t="str">
        <f>IF($M2399="PADD I","PADD 1",IF($M2399="PADD II","PADD 2",IF($M2399="PADD III","PADD 3",IF($M2399="PADD IV","PADD 4",IF($M2399="PADD V","PADD 5","")))))</f>
        <v>PADD 3</v>
      </c>
      <c r="G2399" s="6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6" t="s">
        <v>510</v>
      </c>
      <c r="I2399" s="6" t="s">
        <v>940</v>
      </c>
      <c r="J2399" s="6" t="s">
        <v>398</v>
      </c>
      <c r="K2399" s="10">
        <v>8.4</v>
      </c>
      <c r="L2399" s="10">
        <v>14</v>
      </c>
      <c r="M2399" s="6" t="s">
        <v>421</v>
      </c>
      <c r="N2399" s="6">
        <f>IF(OR($G2399="FCC",$G2399="Hydrocracker",$G2399="Reformer"),IF(COUNTIFS($D:$D,$D2399,$A:$A,$A2399,$B:$B,$B2399,$G:$G,"CDU",$J:$J,"PLANNED")&gt;0,"tied","standalone"),"")</f>
        <v/>
      </c>
    </row>
    <row r="2400" spans="1:14">
      <c r="A2400" s="6">
        <v>2023</v>
      </c>
      <c r="B2400" s="6">
        <v>11</v>
      </c>
      <c r="C2400" s="6" t="s">
        <v>70</v>
      </c>
      <c r="D2400" s="6" t="s">
        <v>41</v>
      </c>
      <c r="E2400" s="6" t="s">
        <v>786</v>
      </c>
      <c r="F2400" s="6" t="str">
        <f>IF($M2400="PADD I","PADD 1",IF($M2400="PADD II","PADD 2",IF($M2400="PADD III","PADD 3",IF($M2400="PADD IV","PADD 4",IF($M2400="PADD V","PADD 5","")))))</f>
        <v>PADD 1</v>
      </c>
      <c r="G2400" s="6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6" t="s">
        <v>44</v>
      </c>
      <c r="I2400" s="6" t="s">
        <v>1064</v>
      </c>
      <c r="J2400" s="6" t="s">
        <v>398</v>
      </c>
      <c r="K2400" s="10">
        <v>8.4</v>
      </c>
      <c r="L2400" s="10">
        <v>28</v>
      </c>
      <c r="M2400" s="6" t="s">
        <v>463</v>
      </c>
      <c r="N2400" s="6">
        <f>IF(OR($G2400="FCC",$G2400="Hydrocracker",$G2400="Reformer"),IF(COUNTIFS($D:$D,$D2400,$A:$A,$A2400,$B:$B,$B2400,$G:$G,"CDU",$J:$J,"PLANNED")&gt;0,"tied","standalone"),"")</f>
        <v/>
      </c>
    </row>
    <row r="2401" spans="1:14">
      <c r="A2401" s="6">
        <v>2023</v>
      </c>
      <c r="B2401" s="6">
        <v>11</v>
      </c>
      <c r="C2401" s="6" t="s">
        <v>70</v>
      </c>
      <c r="D2401" s="6" t="s">
        <v>41</v>
      </c>
      <c r="E2401" s="6" t="s">
        <v>786</v>
      </c>
      <c r="F2401" s="6" t="str">
        <f>IF($M2401="PADD I","PADD 1",IF($M2401="PADD II","PADD 2",IF($M2401="PADD III","PADD 3",IF($M2401="PADD IV","PADD 4",IF($M2401="PADD V","PADD 5","")))))</f>
        <v>PADD 1</v>
      </c>
      <c r="G2401" s="6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6" t="s">
        <v>510</v>
      </c>
      <c r="I2401" s="6" t="s">
        <v>810</v>
      </c>
      <c r="J2401" s="6" t="s">
        <v>398</v>
      </c>
      <c r="K2401" s="10">
        <v>8.039999999999999</v>
      </c>
      <c r="L2401" s="10">
        <v>12</v>
      </c>
      <c r="M2401" s="6" t="s">
        <v>463</v>
      </c>
      <c r="N2401" s="6">
        <f>IF(OR($G2401="FCC",$G2401="Hydrocracker",$G2401="Reformer"),IF(COUNTIFS($D:$D,$D2401,$A:$A,$A2401,$B:$B,$B2401,$G:$G,"CDU",$J:$J,"PLANNED")&gt;0,"tied","standalone"),"")</f>
        <v/>
      </c>
    </row>
    <row r="2402" spans="1:14">
      <c r="A2402" s="6">
        <v>2023</v>
      </c>
      <c r="B2402" s="6">
        <v>11</v>
      </c>
      <c r="C2402" s="6" t="s">
        <v>70</v>
      </c>
      <c r="D2402" s="6" t="s">
        <v>937</v>
      </c>
      <c r="E2402" s="6" t="s">
        <v>455</v>
      </c>
      <c r="F2402" s="6" t="str">
        <f>IF($M2402="PADD I","PADD 1",IF($M2402="PADD II","PADD 2",IF($M2402="PADD III","PADD 3",IF($M2402="PADD IV","PADD 4",IF($M2402="PADD V","PADD 5","")))))</f>
        <v>PADD 3</v>
      </c>
      <c r="G2402" s="6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6" t="s">
        <v>44</v>
      </c>
      <c r="I2402" s="6" t="s">
        <v>968</v>
      </c>
      <c r="J2402" s="6" t="s">
        <v>398</v>
      </c>
      <c r="K2402" s="10">
        <v>8</v>
      </c>
      <c r="L2402" s="10">
        <v>20</v>
      </c>
      <c r="M2402" s="6" t="s">
        <v>421</v>
      </c>
      <c r="N2402" s="6">
        <f>IF(OR($G2402="FCC",$G2402="Hydrocracker",$G2402="Reformer"),IF(COUNTIFS($D:$D,$D2402,$A:$A,$A2402,$B:$B,$B2402,$G:$G,"CDU",$J:$J,"PLANNED")&gt;0,"tied","standalone"),"")</f>
        <v/>
      </c>
    </row>
    <row r="2403" spans="1:14">
      <c r="A2403" s="6">
        <v>2023</v>
      </c>
      <c r="B2403" s="6">
        <v>11</v>
      </c>
      <c r="C2403" s="6" t="s">
        <v>70</v>
      </c>
      <c r="D2403" s="6" t="s">
        <v>518</v>
      </c>
      <c r="E2403" s="6" t="s">
        <v>419</v>
      </c>
      <c r="F2403" s="6" t="str">
        <f>IF($M2403="PADD I","PADD 1",IF($M2403="PADD II","PADD 2",IF($M2403="PADD III","PADD 3",IF($M2403="PADD IV","PADD 4",IF($M2403="PADD V","PADD 5","")))))</f>
        <v>PADD 3</v>
      </c>
      <c r="G2403" s="6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6" t="s">
        <v>428</v>
      </c>
      <c r="I2403" s="6" t="s">
        <v>1073</v>
      </c>
      <c r="J2403" s="6" t="s">
        <v>394</v>
      </c>
      <c r="K2403" s="10">
        <v>8</v>
      </c>
      <c r="L2403" s="10">
        <v>80</v>
      </c>
      <c r="M2403" s="6" t="s">
        <v>421</v>
      </c>
      <c r="N2403" s="6">
        <f>IF(OR($G2403="FCC",$G2403="Hydrocracker",$G2403="Reformer"),IF(COUNTIFS($D:$D,$D2403,$A:$A,$A2403,$B:$B,$B2403,$G:$G,"CDU",$J:$J,"PLANNED")&gt;0,"tied","standalone"),"")</f>
        <v/>
      </c>
    </row>
    <row r="2404" spans="1:14">
      <c r="A2404" s="6">
        <v>2023</v>
      </c>
      <c r="B2404" s="6">
        <v>11</v>
      </c>
      <c r="C2404" s="6" t="s">
        <v>70</v>
      </c>
      <c r="D2404" s="6" t="s">
        <v>597</v>
      </c>
      <c r="E2404" s="6" t="s">
        <v>441</v>
      </c>
      <c r="F2404" s="6" t="str">
        <f>IF($M2404="PADD I","PADD 1",IF($M2404="PADD II","PADD 2",IF($M2404="PADD III","PADD 3",IF($M2404="PADD IV","PADD 4",IF($M2404="PADD V","PADD 5","")))))</f>
        <v>PADD 5</v>
      </c>
      <c r="G2404" s="6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6" t="s">
        <v>426</v>
      </c>
      <c r="I2404" s="6" t="s">
        <v>106</v>
      </c>
      <c r="J2404" s="6" t="s">
        <v>394</v>
      </c>
      <c r="K2404" s="10">
        <v>8</v>
      </c>
      <c r="L2404" s="10">
        <v>80</v>
      </c>
      <c r="M2404" s="6" t="s">
        <v>436</v>
      </c>
      <c r="N2404" s="6" t="str">
        <f>IF(OR($G2404="FCC",$G2404="Hydrocracker",$G2404="Reformer"),IF(COUNTIFS($D:$D,$D2404,$A:$A,$A2404,$B:$B,$B2404,$G:$G,"CDU",$J:$J,"PLANNED")&gt;0,"tied","standalone"),"")</f>
        <v>standalone</v>
      </c>
    </row>
    <row r="2405" spans="1:14">
      <c r="A2405" s="6">
        <v>2023</v>
      </c>
      <c r="B2405" s="6">
        <v>11</v>
      </c>
      <c r="C2405" s="6" t="s">
        <v>70</v>
      </c>
      <c r="D2405" s="6" t="s">
        <v>597</v>
      </c>
      <c r="E2405" s="6" t="s">
        <v>441</v>
      </c>
      <c r="F2405" s="6" t="str">
        <f>IF($M2405="PADD I","PADD 1",IF($M2405="PADD II","PADD 2",IF($M2405="PADD III","PADD 3",IF($M2405="PADD IV","PADD 4",IF($M2405="PADD V","PADD 5","")))))</f>
        <v>PADD 5</v>
      </c>
      <c r="G2405" s="6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6" t="s">
        <v>44</v>
      </c>
      <c r="I2405" s="6" t="s">
        <v>976</v>
      </c>
      <c r="J2405" s="6" t="s">
        <v>394</v>
      </c>
      <c r="K2405" s="10">
        <v>8</v>
      </c>
      <c r="L2405" s="10">
        <v>80</v>
      </c>
      <c r="M2405" s="6" t="s">
        <v>436</v>
      </c>
      <c r="N2405" s="6">
        <f>IF(OR($G2405="FCC",$G2405="Hydrocracker",$G2405="Reformer"),IF(COUNTIFS($D:$D,$D2405,$A:$A,$A2405,$B:$B,$B2405,$G:$G,"CDU",$J:$J,"PLANNED")&gt;0,"tied","standalone"),"")</f>
        <v/>
      </c>
    </row>
    <row r="2406" spans="1:14">
      <c r="A2406" s="6">
        <v>2023</v>
      </c>
      <c r="B2406" s="6">
        <v>11</v>
      </c>
      <c r="C2406" s="6" t="s">
        <v>70</v>
      </c>
      <c r="D2406" s="6" t="s">
        <v>505</v>
      </c>
      <c r="E2406" s="6" t="s">
        <v>455</v>
      </c>
      <c r="F2406" s="6" t="str">
        <f>IF($M2406="PADD I","PADD 1",IF($M2406="PADD II","PADD 2",IF($M2406="PADD III","PADD 3",IF($M2406="PADD IV","PADD 4",IF($M2406="PADD V","PADD 5","")))))</f>
        <v>PADD 3</v>
      </c>
      <c r="G2406" s="6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6" t="s">
        <v>485</v>
      </c>
      <c r="I2406" s="6" t="s">
        <v>491</v>
      </c>
      <c r="J2406" s="6" t="s">
        <v>394</v>
      </c>
      <c r="K2406" s="10">
        <v>8</v>
      </c>
      <c r="L2406" s="10">
        <v>80</v>
      </c>
      <c r="M2406" s="6" t="s">
        <v>421</v>
      </c>
      <c r="N2406" s="6">
        <f>IF(OR($G2406="FCC",$G2406="Hydrocracker",$G2406="Reformer"),IF(COUNTIFS($D:$D,$D2406,$A:$A,$A2406,$B:$B,$B2406,$G:$G,"CDU",$J:$J,"PLANNED")&gt;0,"tied","standalone"),"")</f>
        <v/>
      </c>
    </row>
    <row r="2407" spans="1:14">
      <c r="A2407" s="6">
        <v>2023</v>
      </c>
      <c r="B2407" s="6">
        <v>11</v>
      </c>
      <c r="C2407" s="6" t="s">
        <v>70</v>
      </c>
      <c r="D2407" s="6" t="s">
        <v>470</v>
      </c>
      <c r="E2407" s="6" t="s">
        <v>423</v>
      </c>
      <c r="F2407" s="6" t="str">
        <f>IF($M2407="PADD I","PADD 1",IF($M2407="PADD II","PADD 2",IF($M2407="PADD III","PADD 3",IF($M2407="PADD IV","PADD 4",IF($M2407="PADD V","PADD 5","")))))</f>
        <v>PADD 2</v>
      </c>
      <c r="G2407" s="6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6" t="s">
        <v>471</v>
      </c>
      <c r="I2407" s="6" t="s">
        <v>621</v>
      </c>
      <c r="J2407" s="6" t="s">
        <v>394</v>
      </c>
      <c r="K2407" s="10">
        <v>8</v>
      </c>
      <c r="L2407" s="10">
        <v>8</v>
      </c>
      <c r="M2407" s="6" t="s">
        <v>425</v>
      </c>
      <c r="N2407" s="6" t="str">
        <f>IF(OR($G2407="FCC",$G2407="Hydrocracker",$G2407="Reformer"),IF(COUNTIFS($D:$D,$D2407,$A:$A,$A2407,$B:$B,$B2407,$G:$G,"CDU",$J:$J,"PLANNED")&gt;0,"tied","standalone"),"")</f>
        <v>standalone</v>
      </c>
    </row>
    <row r="2408" spans="1:14">
      <c r="A2408" s="6">
        <v>2023</v>
      </c>
      <c r="B2408" s="6">
        <v>11</v>
      </c>
      <c r="C2408" s="6" t="s">
        <v>70</v>
      </c>
      <c r="D2408" s="6" t="s">
        <v>437</v>
      </c>
      <c r="E2408" s="6" t="s">
        <v>438</v>
      </c>
      <c r="F2408" s="6" t="str">
        <f>IF($M2408="PADD I","PADD 1",IF($M2408="PADD II","PADD 2",IF($M2408="PADD III","PADD 3",IF($M2408="PADD IV","PADD 4",IF($M2408="PADD V","PADD 5","")))))</f>
        <v>PADD 3</v>
      </c>
      <c r="G2408" s="6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6" t="s">
        <v>39</v>
      </c>
      <c r="I2408" s="6" t="s">
        <v>439</v>
      </c>
      <c r="J2408" s="6" t="s">
        <v>394</v>
      </c>
      <c r="K2408" s="10">
        <v>7.95</v>
      </c>
      <c r="L2408" s="10">
        <v>265</v>
      </c>
      <c r="M2408" s="6" t="s">
        <v>421</v>
      </c>
      <c r="N2408" s="6">
        <f>IF(OR($G2408="FCC",$G2408="Hydrocracker",$G2408="Reformer"),IF(COUNTIFS($D:$D,$D2408,$A:$A,$A2408,$B:$B,$B2408,$G:$G,"CDU",$J:$J,"PLANNED")&gt;0,"tied","standalone"),"")</f>
        <v/>
      </c>
    </row>
    <row r="2409" spans="1:14">
      <c r="A2409" s="6">
        <v>2023</v>
      </c>
      <c r="B2409" s="6">
        <v>11</v>
      </c>
      <c r="C2409" s="6" t="s">
        <v>70</v>
      </c>
      <c r="D2409" s="6" t="s">
        <v>41</v>
      </c>
      <c r="E2409" s="6" t="s">
        <v>786</v>
      </c>
      <c r="F2409" s="6" t="str">
        <f>IF($M2409="PADD I","PADD 1",IF($M2409="PADD II","PADD 2",IF($M2409="PADD III","PADD 3",IF($M2409="PADD IV","PADD 4",IF($M2409="PADD V","PADD 5","")))))</f>
        <v>PADD 1</v>
      </c>
      <c r="G2409" s="6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6" t="s">
        <v>44</v>
      </c>
      <c r="I2409" s="6" t="s">
        <v>1061</v>
      </c>
      <c r="J2409" s="6" t="s">
        <v>398</v>
      </c>
      <c r="K2409" s="10">
        <v>7.8</v>
      </c>
      <c r="L2409" s="10">
        <v>26</v>
      </c>
      <c r="M2409" s="6" t="s">
        <v>463</v>
      </c>
      <c r="N2409" s="6">
        <f>IF(OR($G2409="FCC",$G2409="Hydrocracker",$G2409="Reformer"),IF(COUNTIFS($D:$D,$D2409,$A:$A,$A2409,$B:$B,$B2409,$G:$G,"CDU",$J:$J,"PLANNED")&gt;0,"tied","standalone"),"")</f>
        <v/>
      </c>
    </row>
    <row r="2410" spans="1:14">
      <c r="A2410" s="6">
        <v>2023</v>
      </c>
      <c r="B2410" s="6">
        <v>11</v>
      </c>
      <c r="C2410" s="6" t="s">
        <v>70</v>
      </c>
      <c r="D2410" s="6" t="s">
        <v>465</v>
      </c>
      <c r="E2410" s="6" t="s">
        <v>466</v>
      </c>
      <c r="F2410" s="6" t="str">
        <f>IF($M2410="PADD I","PADD 1",IF($M2410="PADD II","PADD 2",IF($M2410="PADD III","PADD 3",IF($M2410="PADD IV","PADD 4",IF($M2410="PADD V","PADD 5","")))))</f>
        <v>PADD 3</v>
      </c>
      <c r="G2410" s="6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6" t="s">
        <v>39</v>
      </c>
      <c r="I2410" s="6" t="s">
        <v>134</v>
      </c>
      <c r="J2410" s="6" t="s">
        <v>394</v>
      </c>
      <c r="K2410" s="10">
        <v>7.56</v>
      </c>
      <c r="L2410" s="10">
        <v>108</v>
      </c>
      <c r="M2410" s="6" t="s">
        <v>421</v>
      </c>
      <c r="N2410" s="6">
        <f>IF(OR($G2410="FCC",$G2410="Hydrocracker",$G2410="Reformer"),IF(COUNTIFS($D:$D,$D2410,$A:$A,$A2410,$B:$B,$B2410,$G:$G,"CDU",$J:$J,"PLANNED")&gt;0,"tied","standalone"),"")</f>
        <v/>
      </c>
    </row>
    <row r="2411" spans="1:14">
      <c r="A2411" s="6">
        <v>2023</v>
      </c>
      <c r="B2411" s="6">
        <v>11</v>
      </c>
      <c r="C2411" s="6" t="s">
        <v>70</v>
      </c>
      <c r="D2411" s="6" t="s">
        <v>597</v>
      </c>
      <c r="E2411" s="6" t="s">
        <v>441</v>
      </c>
      <c r="F2411" s="6" t="str">
        <f>IF($M2411="PADD I","PADD 1",IF($M2411="PADD II","PADD 2",IF($M2411="PADD III","PADD 3",IF($M2411="PADD IV","PADD 4",IF($M2411="PADD V","PADD 5","")))))</f>
        <v>PADD 5</v>
      </c>
      <c r="G2411" s="6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6" t="s">
        <v>494</v>
      </c>
      <c r="I2411" s="6" t="s">
        <v>784</v>
      </c>
      <c r="J2411" s="6" t="s">
        <v>394</v>
      </c>
      <c r="K2411" s="10">
        <v>7.48</v>
      </c>
      <c r="L2411" s="10">
        <v>44</v>
      </c>
      <c r="M2411" s="6" t="s">
        <v>436</v>
      </c>
      <c r="N2411" s="6" t="str">
        <f>IF(OR($G2411="FCC",$G2411="Hydrocracker",$G2411="Reformer"),IF(COUNTIFS($D:$D,$D2411,$A:$A,$A2411,$B:$B,$B2411,$G:$G,"CDU",$J:$J,"PLANNED")&gt;0,"tied","standalone"),"")</f>
        <v>standalone</v>
      </c>
    </row>
    <row r="2412" spans="1:14">
      <c r="A2412" s="6">
        <v>2023</v>
      </c>
      <c r="B2412" s="6">
        <v>11</v>
      </c>
      <c r="C2412" s="6" t="s">
        <v>70</v>
      </c>
      <c r="D2412" s="6" t="s">
        <v>780</v>
      </c>
      <c r="E2412" s="6" t="s">
        <v>781</v>
      </c>
      <c r="F2412" s="6" t="str">
        <f>IF($M2412="PADD I","PADD 1",IF($M2412="PADD II","PADD 2",IF($M2412="PADD III","PADD 3",IF($M2412="PADD IV","PADD 4",IF($M2412="PADD V","PADD 5","")))))</f>
        <v>PADD 3</v>
      </c>
      <c r="G2412" s="6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6" t="s">
        <v>44</v>
      </c>
      <c r="I2412" s="6" t="s">
        <v>508</v>
      </c>
      <c r="J2412" s="6" t="s">
        <v>398</v>
      </c>
      <c r="K2412" s="10">
        <v>7.4</v>
      </c>
      <c r="L2412" s="10">
        <v>20</v>
      </c>
      <c r="M2412" s="6" t="s">
        <v>421</v>
      </c>
      <c r="N2412" s="6">
        <f>IF(OR($G2412="FCC",$G2412="Hydrocracker",$G2412="Reformer"),IF(COUNTIFS($D:$D,$D2412,$A:$A,$A2412,$B:$B,$B2412,$G:$G,"CDU",$J:$J,"PLANNED")&gt;0,"tied","standalone"),"")</f>
        <v/>
      </c>
    </row>
    <row r="2413" spans="1:14">
      <c r="A2413" s="6">
        <v>2023</v>
      </c>
      <c r="B2413" s="6">
        <v>11</v>
      </c>
      <c r="C2413" s="6" t="s">
        <v>70</v>
      </c>
      <c r="D2413" s="6" t="s">
        <v>41</v>
      </c>
      <c r="E2413" s="6" t="s">
        <v>786</v>
      </c>
      <c r="F2413" s="6" t="str">
        <f>IF($M2413="PADD I","PADD 1",IF($M2413="PADD II","PADD 2",IF($M2413="PADD III","PADD 3",IF($M2413="PADD IV","PADD 4",IF($M2413="PADD V","PADD 5","")))))</f>
        <v>PADD 1</v>
      </c>
      <c r="G2413" s="6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6" t="s">
        <v>428</v>
      </c>
      <c r="I2413" s="6" t="s">
        <v>1013</v>
      </c>
      <c r="J2413" s="6" t="s">
        <v>398</v>
      </c>
      <c r="K2413" s="10">
        <v>7.299</v>
      </c>
      <c r="L2413" s="10">
        <v>24.33</v>
      </c>
      <c r="M2413" s="6" t="s">
        <v>463</v>
      </c>
      <c r="N2413" s="6">
        <f>IF(OR($G2413="FCC",$G2413="Hydrocracker",$G2413="Reformer"),IF(COUNTIFS($D:$D,$D2413,$A:$A,$A2413,$B:$B,$B2413,$G:$G,"CDU",$J:$J,"PLANNED")&gt;0,"tied","standalone"),"")</f>
        <v/>
      </c>
    </row>
    <row r="2414" spans="1:14">
      <c r="A2414" s="6">
        <v>2023</v>
      </c>
      <c r="B2414" s="6">
        <v>11</v>
      </c>
      <c r="C2414" s="6" t="s">
        <v>70</v>
      </c>
      <c r="D2414" s="6" t="s">
        <v>41</v>
      </c>
      <c r="E2414" s="6" t="s">
        <v>786</v>
      </c>
      <c r="F2414" s="6" t="str">
        <f>IF($M2414="PADD I","PADD 1",IF($M2414="PADD II","PADD 2",IF($M2414="PADD III","PADD 3",IF($M2414="PADD IV","PADD 4",IF($M2414="PADD V","PADD 5","")))))</f>
        <v>PADD 1</v>
      </c>
      <c r="G2414" s="6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6" t="s">
        <v>428</v>
      </c>
      <c r="I2414" s="6" t="s">
        <v>1060</v>
      </c>
      <c r="J2414" s="6" t="s">
        <v>398</v>
      </c>
      <c r="K2414" s="10">
        <v>7.299</v>
      </c>
      <c r="L2414" s="10">
        <v>24.33</v>
      </c>
      <c r="M2414" s="6" t="s">
        <v>463</v>
      </c>
      <c r="N2414" s="6">
        <f>IF(OR($G2414="FCC",$G2414="Hydrocracker",$G2414="Reformer"),IF(COUNTIFS($D:$D,$D2414,$A:$A,$A2414,$B:$B,$B2414,$G:$G,"CDU",$J:$J,"PLANNED")&gt;0,"tied","standalone"),"")</f>
        <v/>
      </c>
    </row>
    <row r="2415" spans="1:14">
      <c r="A2415" s="6">
        <v>2023</v>
      </c>
      <c r="B2415" s="6">
        <v>11</v>
      </c>
      <c r="C2415" s="6" t="s">
        <v>70</v>
      </c>
      <c r="D2415" s="6" t="s">
        <v>41</v>
      </c>
      <c r="E2415" s="6" t="s">
        <v>786</v>
      </c>
      <c r="F2415" s="6" t="str">
        <f>IF($M2415="PADD I","PADD 1",IF($M2415="PADD II","PADD 2",IF($M2415="PADD III","PADD 3",IF($M2415="PADD IV","PADD 4",IF($M2415="PADD V","PADD 5","")))))</f>
        <v>PADD 1</v>
      </c>
      <c r="G2415" s="6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6" t="s">
        <v>428</v>
      </c>
      <c r="I2415" s="6" t="s">
        <v>1059</v>
      </c>
      <c r="J2415" s="6" t="s">
        <v>398</v>
      </c>
      <c r="K2415" s="10">
        <v>7.299</v>
      </c>
      <c r="L2415" s="10">
        <v>24.33</v>
      </c>
      <c r="M2415" s="6" t="s">
        <v>463</v>
      </c>
      <c r="N2415" s="6">
        <f>IF(OR($G2415="FCC",$G2415="Hydrocracker",$G2415="Reformer"),IF(COUNTIFS($D:$D,$D2415,$A:$A,$A2415,$B:$B,$B2415,$G:$G,"CDU",$J:$J,"PLANNED")&gt;0,"tied","standalone"),"")</f>
        <v/>
      </c>
    </row>
    <row r="2416" spans="1:14">
      <c r="A2416" s="6">
        <v>2023</v>
      </c>
      <c r="B2416" s="6">
        <v>11</v>
      </c>
      <c r="C2416" s="6" t="s">
        <v>70</v>
      </c>
      <c r="D2416" s="6" t="s">
        <v>518</v>
      </c>
      <c r="E2416" s="6" t="s">
        <v>419</v>
      </c>
      <c r="F2416" s="6" t="str">
        <f>IF($M2416="PADD I","PADD 1",IF($M2416="PADD II","PADD 2",IF($M2416="PADD III","PADD 3",IF($M2416="PADD IV","PADD 4",IF($M2416="PADD V","PADD 5","")))))</f>
        <v>PADD 3</v>
      </c>
      <c r="G2416" s="6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6" t="s">
        <v>471</v>
      </c>
      <c r="I2416" s="6" t="s">
        <v>685</v>
      </c>
      <c r="J2416" s="6" t="s">
        <v>398</v>
      </c>
      <c r="K2416" s="10">
        <v>7</v>
      </c>
      <c r="L2416" s="10">
        <v>7</v>
      </c>
      <c r="M2416" s="6" t="s">
        <v>421</v>
      </c>
      <c r="N2416" s="6" t="str">
        <f>IF(OR($G2416="FCC",$G2416="Hydrocracker",$G2416="Reformer"),IF(COUNTIFS($D:$D,$D2416,$A:$A,$A2416,$B:$B,$B2416,$G:$G,"CDU",$J:$J,"PLANNED")&gt;0,"tied","standalone"),"")</f>
        <v>tied</v>
      </c>
    </row>
    <row r="2417" spans="1:14">
      <c r="A2417" s="6">
        <v>2023</v>
      </c>
      <c r="B2417" s="6">
        <v>11</v>
      </c>
      <c r="C2417" s="6" t="s">
        <v>70</v>
      </c>
      <c r="D2417" s="6" t="s">
        <v>518</v>
      </c>
      <c r="E2417" s="6" t="s">
        <v>419</v>
      </c>
      <c r="F2417" s="6" t="str">
        <f>IF($M2417="PADD I","PADD 1",IF($M2417="PADD II","PADD 2",IF($M2417="PADD III","PADD 3",IF($M2417="PADD IV","PADD 4",IF($M2417="PADD V","PADD 5","")))))</f>
        <v>PADD 3</v>
      </c>
      <c r="G2417" s="6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6" t="s">
        <v>471</v>
      </c>
      <c r="I2417" s="6" t="s">
        <v>685</v>
      </c>
      <c r="J2417" s="6" t="s">
        <v>394</v>
      </c>
      <c r="K2417" s="10">
        <v>7</v>
      </c>
      <c r="L2417" s="10">
        <v>7</v>
      </c>
      <c r="M2417" s="6" t="s">
        <v>421</v>
      </c>
      <c r="N2417" s="6" t="str">
        <f>IF(OR($G2417="FCC",$G2417="Hydrocracker",$G2417="Reformer"),IF(COUNTIFS($D:$D,$D2417,$A:$A,$A2417,$B:$B,$B2417,$G:$G,"CDU",$J:$J,"PLANNED")&gt;0,"tied","standalone"),"")</f>
        <v>tied</v>
      </c>
    </row>
    <row r="2418" spans="1:14">
      <c r="A2418" s="6">
        <v>2023</v>
      </c>
      <c r="B2418" s="6">
        <v>11</v>
      </c>
      <c r="C2418" s="6" t="s">
        <v>70</v>
      </c>
      <c r="D2418" s="6" t="s">
        <v>41</v>
      </c>
      <c r="E2418" s="6" t="s">
        <v>786</v>
      </c>
      <c r="F2418" s="6" t="str">
        <f>IF($M2418="PADD I","PADD 1",IF($M2418="PADD II","PADD 2",IF($M2418="PADD III","PADD 3",IF($M2418="PADD IV","PADD 4",IF($M2418="PADD V","PADD 5","")))))</f>
        <v>PADD 1</v>
      </c>
      <c r="G2418" s="6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6" t="s">
        <v>494</v>
      </c>
      <c r="I2418" s="6" t="s">
        <v>495</v>
      </c>
      <c r="J2418" s="6" t="s">
        <v>394</v>
      </c>
      <c r="K2418" s="10">
        <v>6.9</v>
      </c>
      <c r="L2418" s="10">
        <v>23</v>
      </c>
      <c r="M2418" s="6" t="s">
        <v>463</v>
      </c>
      <c r="N2418" s="6" t="str">
        <f>IF(OR($G2418="FCC",$G2418="Hydrocracker",$G2418="Reformer"),IF(COUNTIFS($D:$D,$D2418,$A:$A,$A2418,$B:$B,$B2418,$G:$G,"CDU",$J:$J,"PLANNED")&gt;0,"tied","standalone"),"")</f>
        <v>tied</v>
      </c>
    </row>
    <row r="2419" spans="1:14">
      <c r="A2419" s="6">
        <v>2023</v>
      </c>
      <c r="B2419" s="6">
        <v>11</v>
      </c>
      <c r="C2419" s="6" t="s">
        <v>70</v>
      </c>
      <c r="D2419" s="6" t="s">
        <v>52</v>
      </c>
      <c r="E2419" s="6" t="s">
        <v>441</v>
      </c>
      <c r="F2419" s="6" t="str">
        <f>IF($M2419="PADD I","PADD 1",IF($M2419="PADD II","PADD 2",IF($M2419="PADD III","PADD 3",IF($M2419="PADD IV","PADD 4",IF($M2419="PADD V","PADD 5","")))))</f>
        <v>PADD 5</v>
      </c>
      <c r="G2419" s="6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6" t="s">
        <v>485</v>
      </c>
      <c r="I2419" s="6" t="s">
        <v>491</v>
      </c>
      <c r="J2419" s="6" t="s">
        <v>398</v>
      </c>
      <c r="K2419" s="10">
        <v>6.8</v>
      </c>
      <c r="L2419" s="10">
        <v>68</v>
      </c>
      <c r="M2419" s="6" t="s">
        <v>436</v>
      </c>
      <c r="N2419" s="6">
        <f>IF(OR($G2419="FCC",$G2419="Hydrocracker",$G2419="Reformer"),IF(COUNTIFS($D:$D,$D2419,$A:$A,$A2419,$B:$B,$B2419,$G:$G,"CDU",$J:$J,"PLANNED")&gt;0,"tied","standalone"),"")</f>
        <v/>
      </c>
    </row>
    <row r="2420" spans="1:14">
      <c r="A2420" s="6">
        <v>2023</v>
      </c>
      <c r="B2420" s="6">
        <v>11</v>
      </c>
      <c r="C2420" s="6" t="s">
        <v>70</v>
      </c>
      <c r="D2420" s="6" t="s">
        <v>1088</v>
      </c>
      <c r="E2420" s="6" t="s">
        <v>1089</v>
      </c>
      <c r="F2420" s="6" t="str">
        <f>IF($M2420="PADD I","PADD 1",IF($M2420="PADD II","PADD 2",IF($M2420="PADD III","PADD 3",IF($M2420="PADD IV","PADD 4",IF($M2420="PADD V","PADD 5","")))))</f>
        <v>PADD 2</v>
      </c>
      <c r="G2420" s="6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6" t="s">
        <v>471</v>
      </c>
      <c r="I2420" s="6" t="s">
        <v>1096</v>
      </c>
      <c r="J2420" s="6" t="s">
        <v>398</v>
      </c>
      <c r="K2420" s="10">
        <v>6.6</v>
      </c>
      <c r="L2420" s="10">
        <v>20</v>
      </c>
      <c r="M2420" s="6" t="s">
        <v>425</v>
      </c>
      <c r="N2420" s="6" t="str">
        <f>IF(OR($G2420="FCC",$G2420="Hydrocracker",$G2420="Reformer"),IF(COUNTIFS($D:$D,$D2420,$A:$A,$A2420,$B:$B,$B2420,$G:$G,"CDU",$J:$J,"PLANNED")&gt;0,"tied","standalone"),"")</f>
        <v>standalone</v>
      </c>
    </row>
    <row r="2421" spans="1:14">
      <c r="A2421" s="6">
        <v>2023</v>
      </c>
      <c r="B2421" s="6">
        <v>11</v>
      </c>
      <c r="C2421" s="6" t="s">
        <v>70</v>
      </c>
      <c r="D2421" s="6" t="s">
        <v>597</v>
      </c>
      <c r="E2421" s="6" t="s">
        <v>441</v>
      </c>
      <c r="F2421" s="6" t="str">
        <f>IF($M2421="PADD I","PADD 1",IF($M2421="PADD II","PADD 2",IF($M2421="PADD III","PADD 3",IF($M2421="PADD IV","PADD 4",IF($M2421="PADD V","PADD 5","")))))</f>
        <v>PADD 5</v>
      </c>
      <c r="G2421" s="6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6" t="s">
        <v>44</v>
      </c>
      <c r="I2421" s="6" t="s">
        <v>979</v>
      </c>
      <c r="J2421" s="6" t="s">
        <v>394</v>
      </c>
      <c r="K2421" s="10">
        <v>6.48</v>
      </c>
      <c r="L2421" s="10">
        <v>64.8</v>
      </c>
      <c r="M2421" s="6" t="s">
        <v>436</v>
      </c>
      <c r="N2421" s="6">
        <f>IF(OR($G2421="FCC",$G2421="Hydrocracker",$G2421="Reformer"),IF(COUNTIFS($D:$D,$D2421,$A:$A,$A2421,$B:$B,$B2421,$G:$G,"CDU",$J:$J,"PLANNED")&gt;0,"tied","standalone"),"")</f>
        <v/>
      </c>
    </row>
    <row r="2422" spans="1:14">
      <c r="A2422" s="6">
        <v>2023</v>
      </c>
      <c r="B2422" s="6">
        <v>11</v>
      </c>
      <c r="C2422" s="6" t="s">
        <v>70</v>
      </c>
      <c r="D2422" s="6" t="s">
        <v>937</v>
      </c>
      <c r="E2422" s="6" t="s">
        <v>455</v>
      </c>
      <c r="F2422" s="6" t="str">
        <f>IF($M2422="PADD I","PADD 1",IF($M2422="PADD II","PADD 2",IF($M2422="PADD III","PADD 3",IF($M2422="PADD IV","PADD 4",IF($M2422="PADD V","PADD 5","")))))</f>
        <v>PADD 3</v>
      </c>
      <c r="G2422" s="6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6" t="s">
        <v>471</v>
      </c>
      <c r="I2422" s="6" t="s">
        <v>589</v>
      </c>
      <c r="J2422" s="6" t="s">
        <v>394</v>
      </c>
      <c r="K2422" s="10">
        <v>6.21</v>
      </c>
      <c r="L2422" s="10">
        <v>23</v>
      </c>
      <c r="M2422" s="6" t="s">
        <v>421</v>
      </c>
      <c r="N2422" s="6" t="str">
        <f>IF(OR($G2422="FCC",$G2422="Hydrocracker",$G2422="Reformer"),IF(COUNTIFS($D:$D,$D2422,$A:$A,$A2422,$B:$B,$B2422,$G:$G,"CDU",$J:$J,"PLANNED")&gt;0,"tied","standalone"),"")</f>
        <v>standalone</v>
      </c>
    </row>
    <row r="2423" spans="1:14">
      <c r="A2423" s="6">
        <v>2023</v>
      </c>
      <c r="B2423" s="6">
        <v>11</v>
      </c>
      <c r="C2423" s="6" t="s">
        <v>70</v>
      </c>
      <c r="D2423" s="6" t="s">
        <v>1010</v>
      </c>
      <c r="E2423" s="6" t="s">
        <v>931</v>
      </c>
      <c r="F2423" s="6" t="str">
        <f>IF($M2423="PADD I","PADD 1",IF($M2423="PADD II","PADD 2",IF($M2423="PADD III","PADD 3",IF($M2423="PADD IV","PADD 4",IF($M2423="PADD V","PADD 5","")))))</f>
        <v>PADD 3</v>
      </c>
      <c r="G2423" s="6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6" t="s">
        <v>44</v>
      </c>
      <c r="I2423" s="6" t="s">
        <v>1011</v>
      </c>
      <c r="J2423" s="6" t="s">
        <v>398</v>
      </c>
      <c r="K2423" s="10">
        <v>6.16</v>
      </c>
      <c r="L2423" s="10">
        <v>8</v>
      </c>
      <c r="M2423" s="6" t="s">
        <v>421</v>
      </c>
      <c r="N2423" s="6">
        <f>IF(OR($G2423="FCC",$G2423="Hydrocracker",$G2423="Reformer"),IF(COUNTIFS($D:$D,$D2423,$A:$A,$A2423,$B:$B,$B2423,$G:$G,"CDU",$J:$J,"PLANNED")&gt;0,"tied","standalone"),"")</f>
        <v/>
      </c>
    </row>
    <row r="2424" spans="1:14">
      <c r="A2424" s="6">
        <v>2023</v>
      </c>
      <c r="B2424" s="6">
        <v>11</v>
      </c>
      <c r="C2424" s="6" t="s">
        <v>70</v>
      </c>
      <c r="D2424" s="6" t="s">
        <v>484</v>
      </c>
      <c r="E2424" s="6" t="s">
        <v>438</v>
      </c>
      <c r="F2424" s="6" t="str">
        <f>IF($M2424="PADD I","PADD 1",IF($M2424="PADD II","PADD 2",IF($M2424="PADD III","PADD 3",IF($M2424="PADD IV","PADD 4",IF($M2424="PADD V","PADD 5","")))))</f>
        <v>PADD 5</v>
      </c>
      <c r="G2424" s="6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6" t="s">
        <v>471</v>
      </c>
      <c r="I2424" s="6" t="s">
        <v>721</v>
      </c>
      <c r="J2424" s="6" t="s">
        <v>394</v>
      </c>
      <c r="K2424" s="10">
        <v>6.11</v>
      </c>
      <c r="L2424" s="10">
        <v>13</v>
      </c>
      <c r="M2424" s="6" t="s">
        <v>436</v>
      </c>
      <c r="N2424" s="6" t="str">
        <f>IF(OR($G2424="FCC",$G2424="Hydrocracker",$G2424="Reformer"),IF(COUNTIFS($D:$D,$D2424,$A:$A,$A2424,$B:$B,$B2424,$G:$G,"CDU",$J:$J,"PLANNED")&gt;0,"tied","standalone"),"")</f>
        <v>tied</v>
      </c>
    </row>
    <row r="2425" spans="1:14">
      <c r="A2425" s="6">
        <v>2023</v>
      </c>
      <c r="B2425" s="6">
        <v>11</v>
      </c>
      <c r="C2425" s="6" t="s">
        <v>70</v>
      </c>
      <c r="D2425" s="6" t="s">
        <v>546</v>
      </c>
      <c r="E2425" s="6" t="s">
        <v>438</v>
      </c>
      <c r="F2425" s="6" t="str">
        <f>IF($M2425="PADD I","PADD 1",IF($M2425="PADD II","PADD 2",IF($M2425="PADD III","PADD 3",IF($M2425="PADD IV","PADD 4",IF($M2425="PADD V","PADD 5","")))))</f>
        <v>PADD 2</v>
      </c>
      <c r="G2425" s="6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6" t="s">
        <v>44</v>
      </c>
      <c r="I2425" s="6" t="s">
        <v>1005</v>
      </c>
      <c r="J2425" s="6" t="s">
        <v>398</v>
      </c>
      <c r="K2425" s="10">
        <v>6</v>
      </c>
      <c r="L2425" s="10">
        <v>6</v>
      </c>
      <c r="M2425" s="6" t="s">
        <v>425</v>
      </c>
      <c r="N2425" s="6">
        <f>IF(OR($G2425="FCC",$G2425="Hydrocracker",$G2425="Reformer"),IF(COUNTIFS($D:$D,$D2425,$A:$A,$A2425,$B:$B,$B2425,$G:$G,"CDU",$J:$J,"PLANNED")&gt;0,"tied","standalone"),"")</f>
        <v/>
      </c>
    </row>
    <row r="2426" spans="1:14">
      <c r="A2426" s="6">
        <v>2023</v>
      </c>
      <c r="B2426" s="6">
        <v>11</v>
      </c>
      <c r="C2426" s="6" t="s">
        <v>70</v>
      </c>
      <c r="D2426" s="6" t="s">
        <v>597</v>
      </c>
      <c r="E2426" s="6" t="s">
        <v>441</v>
      </c>
      <c r="F2426" s="6" t="str">
        <f>IF($M2426="PADD I","PADD 1",IF($M2426="PADD II","PADD 2",IF($M2426="PADD III","PADD 3",IF($M2426="PADD IV","PADD 4",IF($M2426="PADD V","PADD 5","")))))</f>
        <v>PADD 5</v>
      </c>
      <c r="G2426" s="6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6" t="s">
        <v>44</v>
      </c>
      <c r="I2426" s="6" t="s">
        <v>980</v>
      </c>
      <c r="J2426" s="6" t="s">
        <v>394</v>
      </c>
      <c r="K2426" s="10">
        <v>5.9</v>
      </c>
      <c r="L2426" s="10">
        <v>59</v>
      </c>
      <c r="M2426" s="6" t="s">
        <v>436</v>
      </c>
      <c r="N2426" s="6">
        <f>IF(OR($G2426="FCC",$G2426="Hydrocracker",$G2426="Reformer"),IF(COUNTIFS($D:$D,$D2426,$A:$A,$A2426,$B:$B,$B2426,$G:$G,"CDU",$J:$J,"PLANNED")&gt;0,"tied","standalone"),"")</f>
        <v/>
      </c>
    </row>
    <row r="2427" spans="1:14">
      <c r="A2427" s="6">
        <v>2023</v>
      </c>
      <c r="B2427" s="6">
        <v>11</v>
      </c>
      <c r="C2427" s="6" t="s">
        <v>70</v>
      </c>
      <c r="D2427" s="6" t="s">
        <v>696</v>
      </c>
      <c r="E2427" s="6" t="s">
        <v>455</v>
      </c>
      <c r="F2427" s="6" t="str">
        <f>IF($M2427="PADD I","PADD 1",IF($M2427="PADD II","PADD 2",IF($M2427="PADD III","PADD 3",IF($M2427="PADD IV","PADD 4",IF($M2427="PADD V","PADD 5","")))))</f>
        <v>PADD 3</v>
      </c>
      <c r="G2427" s="6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6" t="s">
        <v>44</v>
      </c>
      <c r="I2427" s="6" t="s">
        <v>697</v>
      </c>
      <c r="J2427" s="6" t="s">
        <v>394</v>
      </c>
      <c r="K2427" s="10">
        <v>5.85</v>
      </c>
      <c r="L2427" s="10">
        <v>45</v>
      </c>
      <c r="M2427" s="6" t="s">
        <v>421</v>
      </c>
      <c r="N2427" s="6">
        <f>IF(OR($G2427="FCC",$G2427="Hydrocracker",$G2427="Reformer"),IF(COUNTIFS($D:$D,$D2427,$A:$A,$A2427,$B:$B,$B2427,$G:$G,"CDU",$J:$J,"PLANNED")&gt;0,"tied","standalone"),"")</f>
        <v/>
      </c>
    </row>
    <row r="2428" spans="1:14">
      <c r="A2428" s="6">
        <v>2023</v>
      </c>
      <c r="B2428" s="6">
        <v>11</v>
      </c>
      <c r="C2428" s="6" t="s">
        <v>70</v>
      </c>
      <c r="D2428" s="6" t="s">
        <v>597</v>
      </c>
      <c r="E2428" s="6" t="s">
        <v>441</v>
      </c>
      <c r="F2428" s="6" t="str">
        <f>IF($M2428="PADD I","PADD 1",IF($M2428="PADD II","PADD 2",IF($M2428="PADD III","PADD 3",IF($M2428="PADD IV","PADD 4",IF($M2428="PADD V","PADD 5","")))))</f>
        <v>PADD 5</v>
      </c>
      <c r="G2428" s="6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6" t="s">
        <v>44</v>
      </c>
      <c r="I2428" s="6" t="s">
        <v>981</v>
      </c>
      <c r="J2428" s="6" t="s">
        <v>394</v>
      </c>
      <c r="K2428" s="10">
        <v>5.76</v>
      </c>
      <c r="L2428" s="10">
        <v>57.6</v>
      </c>
      <c r="M2428" s="6" t="s">
        <v>436</v>
      </c>
      <c r="N2428" s="6">
        <f>IF(OR($G2428="FCC",$G2428="Hydrocracker",$G2428="Reformer"),IF(COUNTIFS($D:$D,$D2428,$A:$A,$A2428,$B:$B,$B2428,$G:$G,"CDU",$J:$J,"PLANNED")&gt;0,"tied","standalone"),"")</f>
        <v/>
      </c>
    </row>
    <row r="2429" spans="1:14">
      <c r="A2429" s="6">
        <v>2023</v>
      </c>
      <c r="B2429" s="6">
        <v>11</v>
      </c>
      <c r="C2429" s="6" t="s">
        <v>70</v>
      </c>
      <c r="D2429" s="6" t="s">
        <v>49</v>
      </c>
      <c r="E2429" s="6" t="s">
        <v>438</v>
      </c>
      <c r="F2429" s="6" t="str">
        <f>IF($M2429="PADD I","PADD 1",IF($M2429="PADD II","PADD 2",IF($M2429="PADD III","PADD 3",IF($M2429="PADD IV","PADD 4",IF($M2429="PADD V","PADD 5","")))))</f>
        <v>PADD 2</v>
      </c>
      <c r="G2429" s="6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6" t="s">
        <v>428</v>
      </c>
      <c r="I2429" s="6" t="s">
        <v>481</v>
      </c>
      <c r="J2429" s="6" t="s">
        <v>394</v>
      </c>
      <c r="K2429" s="10">
        <v>5.32</v>
      </c>
      <c r="L2429" s="10">
        <v>76</v>
      </c>
      <c r="M2429" s="6" t="s">
        <v>425</v>
      </c>
      <c r="N2429" s="6">
        <f>IF(OR($G2429="FCC",$G2429="Hydrocracker",$G2429="Reformer"),IF(COUNTIFS($D:$D,$D2429,$A:$A,$A2429,$B:$B,$B2429,$G:$G,"CDU",$J:$J,"PLANNED")&gt;0,"tied","standalone"),"")</f>
        <v/>
      </c>
    </row>
    <row r="2430" spans="1:14">
      <c r="A2430" s="6">
        <v>2023</v>
      </c>
      <c r="B2430" s="6">
        <v>11</v>
      </c>
      <c r="C2430" s="6" t="s">
        <v>70</v>
      </c>
      <c r="D2430" s="6" t="s">
        <v>382</v>
      </c>
      <c r="E2430" s="6" t="s">
        <v>431</v>
      </c>
      <c r="F2430" s="6" t="str">
        <f>IF($M2430="PADD I","PADD 1",IF($M2430="PADD II","PADD 2",IF($M2430="PADD III","PADD 3",IF($M2430="PADD IV","PADD 4",IF($M2430="PADD V","PADD 5","")))))</f>
        <v>PADD 3</v>
      </c>
      <c r="G2430" s="6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6" t="s">
        <v>471</v>
      </c>
      <c r="I2430" s="6" t="s">
        <v>1092</v>
      </c>
      <c r="J2430" s="6" t="s">
        <v>398</v>
      </c>
      <c r="K2430" s="10">
        <v>5.25</v>
      </c>
      <c r="L2430" s="10">
        <v>75</v>
      </c>
      <c r="M2430" s="6" t="s">
        <v>421</v>
      </c>
      <c r="N2430" s="6" t="str">
        <f>IF(OR($G2430="FCC",$G2430="Hydrocracker",$G2430="Reformer"),IF(COUNTIFS($D:$D,$D2430,$A:$A,$A2430,$B:$B,$B2430,$G:$G,"CDU",$J:$J,"PLANNED")&gt;0,"tied","standalone"),"")</f>
        <v>standalone</v>
      </c>
    </row>
    <row r="2431" spans="1:14">
      <c r="A2431" s="6">
        <v>2023</v>
      </c>
      <c r="B2431" s="6">
        <v>11</v>
      </c>
      <c r="C2431" s="6" t="s">
        <v>70</v>
      </c>
      <c r="D2431" s="6" t="s">
        <v>490</v>
      </c>
      <c r="E2431" s="6" t="s">
        <v>419</v>
      </c>
      <c r="F2431" s="6" t="str">
        <f>IF($M2431="PADD I","PADD 1",IF($M2431="PADD II","PADD 2",IF($M2431="PADD III","PADD 3",IF($M2431="PADD IV","PADD 4",IF($M2431="PADD V","PADD 5","")))))</f>
        <v>PADD 5</v>
      </c>
      <c r="G2431" s="6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6" t="s">
        <v>44</v>
      </c>
      <c r="I2431" s="6" t="s">
        <v>717</v>
      </c>
      <c r="J2431" s="6" t="s">
        <v>394</v>
      </c>
      <c r="K2431" s="10">
        <v>5.2</v>
      </c>
      <c r="L2431" s="10">
        <v>40</v>
      </c>
      <c r="M2431" s="6" t="s">
        <v>436</v>
      </c>
      <c r="N2431" s="6">
        <f>IF(OR($G2431="FCC",$G2431="Hydrocracker",$G2431="Reformer"),IF(COUNTIFS($D:$D,$D2431,$A:$A,$A2431,$B:$B,$B2431,$G:$G,"CDU",$J:$J,"PLANNED")&gt;0,"tied","standalone"),"")</f>
        <v/>
      </c>
    </row>
    <row r="2432" spans="1:14">
      <c r="A2432" s="6">
        <v>2023</v>
      </c>
      <c r="B2432" s="6">
        <v>11</v>
      </c>
      <c r="C2432" s="6" t="s">
        <v>70</v>
      </c>
      <c r="D2432" s="6" t="s">
        <v>496</v>
      </c>
      <c r="E2432" s="6" t="s">
        <v>441</v>
      </c>
      <c r="F2432" s="6" t="str">
        <f>IF($M2432="PADD I","PADD 1",IF($M2432="PADD II","PADD 2",IF($M2432="PADD III","PADD 3",IF($M2432="PADD IV","PADD 4",IF($M2432="PADD V","PADD 5","")))))</f>
        <v>PADD 3</v>
      </c>
      <c r="G2432" s="6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6" t="s">
        <v>510</v>
      </c>
      <c r="I2432" s="6" t="s">
        <v>630</v>
      </c>
      <c r="J2432" s="6" t="s">
        <v>394</v>
      </c>
      <c r="K2432" s="10">
        <v>5.04</v>
      </c>
      <c r="L2432" s="10">
        <v>7.2</v>
      </c>
      <c r="M2432" s="6" t="s">
        <v>421</v>
      </c>
      <c r="N2432" s="6">
        <f>IF(OR($G2432="FCC",$G2432="Hydrocracker",$G2432="Reformer"),IF(COUNTIFS($D:$D,$D2432,$A:$A,$A2432,$B:$B,$B2432,$G:$G,"CDU",$J:$J,"PLANNED")&gt;0,"tied","standalone"),"")</f>
        <v/>
      </c>
    </row>
    <row r="2433" spans="1:14">
      <c r="A2433" s="6">
        <v>2023</v>
      </c>
      <c r="B2433" s="6">
        <v>11</v>
      </c>
      <c r="C2433" s="6" t="s">
        <v>70</v>
      </c>
      <c r="D2433" s="6" t="s">
        <v>849</v>
      </c>
      <c r="E2433" s="6" t="s">
        <v>441</v>
      </c>
      <c r="F2433" s="6" t="str">
        <f>IF($M2433="PADD I","PADD 1",IF($M2433="PADD II","PADD 2",IF($M2433="PADD III","PADD 3",IF($M2433="PADD IV","PADD 4",IF($M2433="PADD V","PADD 5","")))))</f>
        <v>PADD 4</v>
      </c>
      <c r="G2433" s="6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6" t="s">
        <v>44</v>
      </c>
      <c r="I2433" s="6" t="s">
        <v>1114</v>
      </c>
      <c r="J2433" s="6" t="s">
        <v>394</v>
      </c>
      <c r="K2433" s="10">
        <v>4.921</v>
      </c>
      <c r="L2433" s="10">
        <v>13.3</v>
      </c>
      <c r="M2433" s="6" t="s">
        <v>480</v>
      </c>
      <c r="N2433" s="6">
        <f>IF(OR($G2433="FCC",$G2433="Hydrocracker",$G2433="Reformer"),IF(COUNTIFS($D:$D,$D2433,$A:$A,$A2433,$B:$B,$B2433,$G:$G,"CDU",$J:$J,"PLANNED")&gt;0,"tied","standalone"),"")</f>
        <v/>
      </c>
    </row>
    <row r="2434" spans="1:14">
      <c r="A2434" s="6">
        <v>2023</v>
      </c>
      <c r="B2434" s="6">
        <v>11</v>
      </c>
      <c r="C2434" s="6" t="s">
        <v>70</v>
      </c>
      <c r="D2434" s="6" t="s">
        <v>652</v>
      </c>
      <c r="E2434" s="6" t="s">
        <v>419</v>
      </c>
      <c r="F2434" s="6" t="str">
        <f>IF($M2434="PADD I","PADD 1",IF($M2434="PADD II","PADD 2",IF($M2434="PADD III","PADD 3",IF($M2434="PADD IV","PADD 4",IF($M2434="PADD V","PADD 5","")))))</f>
        <v>PADD 2</v>
      </c>
      <c r="G2434" s="6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6" t="s">
        <v>44</v>
      </c>
      <c r="I2434" s="6" t="s">
        <v>1043</v>
      </c>
      <c r="J2434" s="6" t="s">
        <v>398</v>
      </c>
      <c r="K2434" s="10">
        <v>4.55</v>
      </c>
      <c r="L2434" s="10">
        <v>35</v>
      </c>
      <c r="M2434" s="6" t="s">
        <v>425</v>
      </c>
      <c r="N2434" s="6">
        <f>IF(OR($G2434="FCC",$G2434="Hydrocracker",$G2434="Reformer"),IF(COUNTIFS($D:$D,$D2434,$A:$A,$A2434,$B:$B,$B2434,$G:$G,"CDU",$J:$J,"PLANNED")&gt;0,"tied","standalone"),"")</f>
        <v/>
      </c>
    </row>
    <row r="2435" spans="1:14">
      <c r="A2435" s="6">
        <v>2023</v>
      </c>
      <c r="B2435" s="6">
        <v>11</v>
      </c>
      <c r="C2435" s="6" t="s">
        <v>70</v>
      </c>
      <c r="D2435" s="6" t="s">
        <v>597</v>
      </c>
      <c r="E2435" s="6" t="s">
        <v>441</v>
      </c>
      <c r="F2435" s="6" t="str">
        <f>IF($M2435="PADD I","PADD 1",IF($M2435="PADD II","PADD 2",IF($M2435="PADD III","PADD 3",IF($M2435="PADD IV","PADD 4",IF($M2435="PADD V","PADD 5","")))))</f>
        <v>PADD 5</v>
      </c>
      <c r="G2435" s="6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6" t="s">
        <v>494</v>
      </c>
      <c r="I2435" s="6" t="s">
        <v>784</v>
      </c>
      <c r="J2435" s="6" t="s">
        <v>394</v>
      </c>
      <c r="K2435" s="10">
        <v>4.4</v>
      </c>
      <c r="L2435" s="10">
        <v>44</v>
      </c>
      <c r="M2435" s="6" t="s">
        <v>436</v>
      </c>
      <c r="N2435" s="6" t="str">
        <f>IF(OR($G2435="FCC",$G2435="Hydrocracker",$G2435="Reformer"),IF(COUNTIFS($D:$D,$D2435,$A:$A,$A2435,$B:$B,$B2435,$G:$G,"CDU",$J:$J,"PLANNED")&gt;0,"tied","standalone"),"")</f>
        <v>standalone</v>
      </c>
    </row>
    <row r="2436" spans="1:14">
      <c r="A2436" s="6">
        <v>2023</v>
      </c>
      <c r="B2436" s="6">
        <v>11</v>
      </c>
      <c r="C2436" s="6" t="s">
        <v>70</v>
      </c>
      <c r="D2436" s="6" t="s">
        <v>1115</v>
      </c>
      <c r="E2436" s="6" t="s">
        <v>466</v>
      </c>
      <c r="F2436" s="6" t="str">
        <f>IF($M2436="PADD I","PADD 1",IF($M2436="PADD II","PADD 2",IF($M2436="PADD III","PADD 3",IF($M2436="PADD IV","PADD 4",IF($M2436="PADD V","PADD 5","")))))</f>
        <v>PADD 2</v>
      </c>
      <c r="G2436" s="6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6" t="s">
        <v>510</v>
      </c>
      <c r="I2436" s="6" t="s">
        <v>1116</v>
      </c>
      <c r="J2436" s="6" t="s">
        <v>394</v>
      </c>
      <c r="K2436" s="10">
        <v>4.347</v>
      </c>
      <c r="L2436" s="10">
        <v>18.9</v>
      </c>
      <c r="M2436" s="6" t="s">
        <v>425</v>
      </c>
      <c r="N2436" s="6">
        <f>IF(OR($G2436="FCC",$G2436="Hydrocracker",$G2436="Reformer"),IF(COUNTIFS($D:$D,$D2436,$A:$A,$A2436,$B:$B,$B2436,$G:$G,"CDU",$J:$J,"PLANNED")&gt;0,"tied","standalone"),"")</f>
        <v/>
      </c>
    </row>
    <row r="2437" spans="1:14">
      <c r="A2437" s="6">
        <v>2023</v>
      </c>
      <c r="B2437" s="6">
        <v>11</v>
      </c>
      <c r="C2437" s="6" t="s">
        <v>70</v>
      </c>
      <c r="D2437" s="6" t="s">
        <v>1010</v>
      </c>
      <c r="E2437" s="6" t="s">
        <v>931</v>
      </c>
      <c r="F2437" s="6" t="str">
        <f>IF($M2437="PADD I","PADD 1",IF($M2437="PADD II","PADD 2",IF($M2437="PADD III","PADD 3",IF($M2437="PADD IV","PADD 4",IF($M2437="PADD V","PADD 5","")))))</f>
        <v>PADD 3</v>
      </c>
      <c r="G2437" s="6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6" t="s">
        <v>471</v>
      </c>
      <c r="I2437" s="6" t="s">
        <v>1111</v>
      </c>
      <c r="J2437" s="6" t="s">
        <v>398</v>
      </c>
      <c r="K2437" s="10">
        <v>4.235</v>
      </c>
      <c r="L2437" s="10">
        <v>5.5</v>
      </c>
      <c r="M2437" s="6" t="s">
        <v>421</v>
      </c>
      <c r="N2437" s="6" t="str">
        <f>IF(OR($G2437="FCC",$G2437="Hydrocracker",$G2437="Reformer"),IF(COUNTIFS($D:$D,$D2437,$A:$A,$A2437,$B:$B,$B2437,$G:$G,"CDU",$J:$J,"PLANNED")&gt;0,"tied","standalone"),"")</f>
        <v>tied</v>
      </c>
    </row>
    <row r="2438" spans="1:14">
      <c r="A2438" s="6">
        <v>2023</v>
      </c>
      <c r="B2438" s="6">
        <v>11</v>
      </c>
      <c r="C2438" s="6" t="s">
        <v>70</v>
      </c>
      <c r="D2438" s="6" t="s">
        <v>1010</v>
      </c>
      <c r="E2438" s="6" t="s">
        <v>931</v>
      </c>
      <c r="F2438" s="6" t="str">
        <f>IF($M2438="PADD I","PADD 1",IF($M2438="PADD II","PADD 2",IF($M2438="PADD III","PADD 3",IF($M2438="PADD IV","PADD 4",IF($M2438="PADD V","PADD 5","")))))</f>
        <v>PADD 3</v>
      </c>
      <c r="G2438" s="6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6" t="s">
        <v>471</v>
      </c>
      <c r="I2438" s="6" t="s">
        <v>860</v>
      </c>
      <c r="J2438" s="6" t="s">
        <v>398</v>
      </c>
      <c r="K2438" s="10">
        <v>4.235</v>
      </c>
      <c r="L2438" s="10">
        <v>5.5</v>
      </c>
      <c r="M2438" s="6" t="s">
        <v>421</v>
      </c>
      <c r="N2438" s="6" t="str">
        <f>IF(OR($G2438="FCC",$G2438="Hydrocracker",$G2438="Reformer"),IF(COUNTIFS($D:$D,$D2438,$A:$A,$A2438,$B:$B,$B2438,$G:$G,"CDU",$J:$J,"PLANNED")&gt;0,"tied","standalone"),"")</f>
        <v>tied</v>
      </c>
    </row>
    <row r="2439" spans="1:14">
      <c r="A2439" s="6">
        <v>2023</v>
      </c>
      <c r="B2439" s="6">
        <v>11</v>
      </c>
      <c r="C2439" s="6" t="s">
        <v>70</v>
      </c>
      <c r="D2439" s="6" t="s">
        <v>487</v>
      </c>
      <c r="E2439" s="6" t="s">
        <v>488</v>
      </c>
      <c r="F2439" s="6" t="str">
        <f>IF($M2439="PADD I","PADD 1",IF($M2439="PADD II","PADD 2",IF($M2439="PADD III","PADD 3",IF($M2439="PADD IV","PADD 4",IF($M2439="PADD V","PADD 5","")))))</f>
        <v>PADD 4</v>
      </c>
      <c r="G2439" s="6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6" t="s">
        <v>44</v>
      </c>
      <c r="I2439" s="6" t="s">
        <v>543</v>
      </c>
      <c r="J2439" s="6" t="s">
        <v>394</v>
      </c>
      <c r="K2439" s="10">
        <v>4.2</v>
      </c>
      <c r="L2439" s="10">
        <v>21</v>
      </c>
      <c r="M2439" s="6" t="s">
        <v>480</v>
      </c>
      <c r="N2439" s="6">
        <f>IF(OR($G2439="FCC",$G2439="Hydrocracker",$G2439="Reformer"),IF(COUNTIFS($D:$D,$D2439,$A:$A,$A2439,$B:$B,$B2439,$G:$G,"CDU",$J:$J,"PLANNED")&gt;0,"tied","standalone"),"")</f>
        <v/>
      </c>
    </row>
    <row r="2440" spans="1:14">
      <c r="A2440" s="6">
        <v>2023</v>
      </c>
      <c r="B2440" s="6">
        <v>11</v>
      </c>
      <c r="C2440" s="6" t="s">
        <v>70</v>
      </c>
      <c r="D2440" s="6" t="s">
        <v>41</v>
      </c>
      <c r="E2440" s="6" t="s">
        <v>786</v>
      </c>
      <c r="F2440" s="6" t="str">
        <f>IF($M2440="PADD I","PADD 1",IF($M2440="PADD II","PADD 2",IF($M2440="PADD III","PADD 3",IF($M2440="PADD IV","PADD 4",IF($M2440="PADD V","PADD 5","")))))</f>
        <v>PADD 1</v>
      </c>
      <c r="G2440" s="6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6" t="s">
        <v>687</v>
      </c>
      <c r="I2440" s="6" t="s">
        <v>1069</v>
      </c>
      <c r="J2440" s="6" t="s">
        <v>398</v>
      </c>
      <c r="K2440" s="10">
        <v>4.2</v>
      </c>
      <c r="L2440" s="10">
        <v>14</v>
      </c>
      <c r="M2440" s="6" t="s">
        <v>463</v>
      </c>
      <c r="N2440" s="6">
        <f>IF(OR($G2440="FCC",$G2440="Hydrocracker",$G2440="Reformer"),IF(COUNTIFS($D:$D,$D2440,$A:$A,$A2440,$B:$B,$B2440,$G:$G,"CDU",$J:$J,"PLANNED")&gt;0,"tied","standalone"),"")</f>
        <v/>
      </c>
    </row>
    <row r="2441" spans="1:14">
      <c r="A2441" s="6">
        <v>2023</v>
      </c>
      <c r="B2441" s="6">
        <v>11</v>
      </c>
      <c r="C2441" s="6" t="s">
        <v>70</v>
      </c>
      <c r="D2441" s="6" t="s">
        <v>512</v>
      </c>
      <c r="E2441" s="6" t="s">
        <v>488</v>
      </c>
      <c r="F2441" s="6" t="str">
        <f>IF($M2441="PADD I","PADD 1",IF($M2441="PADD II","PADD 2",IF($M2441="PADD III","PADD 3",IF($M2441="PADD IV","PADD 4",IF($M2441="PADD V","PADD 5","")))))</f>
        <v>PADD 4</v>
      </c>
      <c r="G2441" s="6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6" t="s">
        <v>426</v>
      </c>
      <c r="I2441" s="6" t="s">
        <v>106</v>
      </c>
      <c r="J2441" s="6" t="s">
        <v>394</v>
      </c>
      <c r="K2441" s="10">
        <v>4.14</v>
      </c>
      <c r="L2441" s="10">
        <v>20.7</v>
      </c>
      <c r="M2441" s="6" t="s">
        <v>480</v>
      </c>
      <c r="N2441" s="6" t="str">
        <f>IF(OR($G2441="FCC",$G2441="Hydrocracker",$G2441="Reformer"),IF(COUNTIFS($D:$D,$D2441,$A:$A,$A2441,$B:$B,$B2441,$G:$G,"CDU",$J:$J,"PLANNED")&gt;0,"tied","standalone"),"")</f>
        <v>standalone</v>
      </c>
    </row>
    <row r="2442" spans="1:14">
      <c r="A2442" s="6">
        <v>2023</v>
      </c>
      <c r="B2442" s="6">
        <v>11</v>
      </c>
      <c r="C2442" s="6" t="s">
        <v>70</v>
      </c>
      <c r="D2442" s="6" t="s">
        <v>780</v>
      </c>
      <c r="E2442" s="6" t="s">
        <v>781</v>
      </c>
      <c r="F2442" s="6" t="str">
        <f>IF($M2442="PADD I","PADD 1",IF($M2442="PADD II","PADD 2",IF($M2442="PADD III","PADD 3",IF($M2442="PADD IV","PADD 4",IF($M2442="PADD V","PADD 5","")))))</f>
        <v>PADD 3</v>
      </c>
      <c r="G2442" s="6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6" t="s">
        <v>471</v>
      </c>
      <c r="I2442" s="6" t="s">
        <v>15</v>
      </c>
      <c r="J2442" s="6" t="s">
        <v>398</v>
      </c>
      <c r="K2442" s="10">
        <v>4.07</v>
      </c>
      <c r="L2442" s="10">
        <v>11</v>
      </c>
      <c r="M2442" s="6" t="s">
        <v>421</v>
      </c>
      <c r="N2442" s="6" t="str">
        <f>IF(OR($G2442="FCC",$G2442="Hydrocracker",$G2442="Reformer"),IF(COUNTIFS($D:$D,$D2442,$A:$A,$A2442,$B:$B,$B2442,$G:$G,"CDU",$J:$J,"PLANNED")&gt;0,"tied","standalone"),"")</f>
        <v>tied</v>
      </c>
    </row>
    <row r="2443" spans="1:14">
      <c r="A2443" s="6">
        <v>2023</v>
      </c>
      <c r="B2443" s="6">
        <v>11</v>
      </c>
      <c r="C2443" s="6" t="s">
        <v>70</v>
      </c>
      <c r="D2443" s="6" t="s">
        <v>1113</v>
      </c>
      <c r="E2443" s="6" t="s">
        <v>438</v>
      </c>
      <c r="F2443" s="6" t="str">
        <f>IF($M2443="PADD I","PADD 1",IF($M2443="PADD II","PADD 2",IF($M2443="PADD III","PADD 3",IF($M2443="PADD IV","PADD 4",IF($M2443="PADD V","PADD 5","")))))</f>
        <v>PADD 2</v>
      </c>
      <c r="G2443" s="6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6" t="s">
        <v>39</v>
      </c>
      <c r="I2443" s="6" t="s">
        <v>82</v>
      </c>
      <c r="J2443" s="6" t="s">
        <v>394</v>
      </c>
      <c r="K2443" s="10">
        <v>4.05</v>
      </c>
      <c r="L2443" s="10">
        <v>135</v>
      </c>
      <c r="M2443" s="6" t="s">
        <v>425</v>
      </c>
      <c r="N2443" s="6">
        <f>IF(OR($G2443="FCC",$G2443="Hydrocracker",$G2443="Reformer"),IF(COUNTIFS($D:$D,$D2443,$A:$A,$A2443,$B:$B,$B2443,$G:$G,"CDU",$J:$J,"PLANNED")&gt;0,"tied","standalone"),"")</f>
        <v/>
      </c>
    </row>
    <row r="2444" spans="1:14">
      <c r="A2444" s="6">
        <v>2023</v>
      </c>
      <c r="B2444" s="6">
        <v>11</v>
      </c>
      <c r="C2444" s="6" t="s">
        <v>70</v>
      </c>
      <c r="D2444" s="6" t="s">
        <v>652</v>
      </c>
      <c r="E2444" s="6" t="s">
        <v>419</v>
      </c>
      <c r="F2444" s="6" t="str">
        <f>IF($M2444="PADD I","PADD 1",IF($M2444="PADD II","PADD 2",IF($M2444="PADD III","PADD 3",IF($M2444="PADD IV","PADD 4",IF($M2444="PADD V","PADD 5","")))))</f>
        <v>PADD 2</v>
      </c>
      <c r="G2444" s="6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6" t="s">
        <v>485</v>
      </c>
      <c r="I2444" s="6" t="s">
        <v>491</v>
      </c>
      <c r="J2444" s="6" t="s">
        <v>398</v>
      </c>
      <c r="K2444" s="10">
        <v>4.03</v>
      </c>
      <c r="L2444" s="10">
        <v>31</v>
      </c>
      <c r="M2444" s="6" t="s">
        <v>425</v>
      </c>
      <c r="N2444" s="6">
        <f>IF(OR($G2444="FCC",$G2444="Hydrocracker",$G2444="Reformer"),IF(COUNTIFS($D:$D,$D2444,$A:$A,$A2444,$B:$B,$B2444,$G:$G,"CDU",$J:$J,"PLANNED")&gt;0,"tied","standalone"),"")</f>
        <v/>
      </c>
    </row>
    <row r="2445" spans="1:14">
      <c r="A2445" s="6">
        <v>2023</v>
      </c>
      <c r="B2445" s="6">
        <v>11</v>
      </c>
      <c r="C2445" s="6" t="s">
        <v>70</v>
      </c>
      <c r="D2445" s="6" t="s">
        <v>597</v>
      </c>
      <c r="E2445" s="6" t="s">
        <v>441</v>
      </c>
      <c r="F2445" s="6" t="str">
        <f>IF($M2445="PADD I","PADD 1",IF($M2445="PADD II","PADD 2",IF($M2445="PADD III","PADD 3",IF($M2445="PADD IV","PADD 4",IF($M2445="PADD V","PADD 5","")))))</f>
        <v>PADD 5</v>
      </c>
      <c r="G2445" s="6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6" t="s">
        <v>471</v>
      </c>
      <c r="I2445" s="6" t="s">
        <v>982</v>
      </c>
      <c r="J2445" s="6" t="s">
        <v>394</v>
      </c>
      <c r="K2445" s="10">
        <v>4</v>
      </c>
      <c r="L2445" s="10">
        <v>40</v>
      </c>
      <c r="M2445" s="6" t="s">
        <v>436</v>
      </c>
      <c r="N2445" s="6" t="str">
        <f>IF(OR($G2445="FCC",$G2445="Hydrocracker",$G2445="Reformer"),IF(COUNTIFS($D:$D,$D2445,$A:$A,$A2445,$B:$B,$B2445,$G:$G,"CDU",$J:$J,"PLANNED")&gt;0,"tied","standalone"),"")</f>
        <v>standalone</v>
      </c>
    </row>
    <row r="2446" spans="1:14">
      <c r="A2446" s="6">
        <v>2023</v>
      </c>
      <c r="B2446" s="6">
        <v>11</v>
      </c>
      <c r="C2446" s="6" t="s">
        <v>70</v>
      </c>
      <c r="D2446" s="6" t="s">
        <v>652</v>
      </c>
      <c r="E2446" s="6" t="s">
        <v>419</v>
      </c>
      <c r="F2446" s="6" t="str">
        <f>IF($M2446="PADD I","PADD 1",IF($M2446="PADD II","PADD 2",IF($M2446="PADD III","PADD 3",IF($M2446="PADD IV","PADD 4",IF($M2446="PADD V","PADD 5","")))))</f>
        <v>PADD 2</v>
      </c>
      <c r="G2446" s="6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6" t="s">
        <v>44</v>
      </c>
      <c r="I2446" s="6" t="s">
        <v>1048</v>
      </c>
      <c r="J2446" s="6" t="s">
        <v>398</v>
      </c>
      <c r="K2446" s="10">
        <v>3.9</v>
      </c>
      <c r="L2446" s="10">
        <v>30</v>
      </c>
      <c r="M2446" s="6" t="s">
        <v>425</v>
      </c>
      <c r="N2446" s="6">
        <f>IF(OR($G2446="FCC",$G2446="Hydrocracker",$G2446="Reformer"),IF(COUNTIFS($D:$D,$D2446,$A:$A,$A2446,$B:$B,$B2446,$G:$G,"CDU",$J:$J,"PLANNED")&gt;0,"tied","standalone"),"")</f>
        <v/>
      </c>
    </row>
    <row r="2447" spans="1:14">
      <c r="A2447" s="6">
        <v>2023</v>
      </c>
      <c r="B2447" s="6">
        <v>11</v>
      </c>
      <c r="C2447" s="6" t="s">
        <v>70</v>
      </c>
      <c r="D2447" s="6" t="s">
        <v>652</v>
      </c>
      <c r="E2447" s="6" t="s">
        <v>419</v>
      </c>
      <c r="F2447" s="6" t="str">
        <f>IF($M2447="PADD I","PADD 1",IF($M2447="PADD II","PADD 2",IF($M2447="PADD III","PADD 3",IF($M2447="PADD IV","PADD 4",IF($M2447="PADD V","PADD 5","")))))</f>
        <v>PADD 2</v>
      </c>
      <c r="G2447" s="6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6" t="s">
        <v>44</v>
      </c>
      <c r="I2447" s="6" t="s">
        <v>1049</v>
      </c>
      <c r="J2447" s="6" t="s">
        <v>398</v>
      </c>
      <c r="K2447" s="10">
        <v>3.9</v>
      </c>
      <c r="L2447" s="10">
        <v>30</v>
      </c>
      <c r="M2447" s="6" t="s">
        <v>425</v>
      </c>
      <c r="N2447" s="6">
        <f>IF(OR($G2447="FCC",$G2447="Hydrocracker",$G2447="Reformer"),IF(COUNTIFS($D:$D,$D2447,$A:$A,$A2447,$B:$B,$B2447,$G:$G,"CDU",$J:$J,"PLANNED")&gt;0,"tied","standalone"),"")</f>
        <v/>
      </c>
    </row>
    <row r="2448" spans="1:14">
      <c r="A2448" s="6">
        <v>2023</v>
      </c>
      <c r="B2448" s="6">
        <v>11</v>
      </c>
      <c r="C2448" s="6" t="s">
        <v>70</v>
      </c>
      <c r="D2448" s="6" t="s">
        <v>465</v>
      </c>
      <c r="E2448" s="6" t="s">
        <v>466</v>
      </c>
      <c r="F2448" s="6" t="str">
        <f>IF($M2448="PADD I","PADD 1",IF($M2448="PADD II","PADD 2",IF($M2448="PADD III","PADD 3",IF($M2448="PADD IV","PADD 4",IF($M2448="PADD V","PADD 5","")))))</f>
        <v>PADD 3</v>
      </c>
      <c r="G2448" s="6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6" t="s">
        <v>471</v>
      </c>
      <c r="I2448" s="6" t="s">
        <v>504</v>
      </c>
      <c r="J2448" s="6" t="s">
        <v>394</v>
      </c>
      <c r="K2448" s="10">
        <v>3.724</v>
      </c>
      <c r="L2448" s="10">
        <v>53.2</v>
      </c>
      <c r="M2448" s="6" t="s">
        <v>421</v>
      </c>
      <c r="N2448" s="6" t="str">
        <f>IF(OR($G2448="FCC",$G2448="Hydrocracker",$G2448="Reformer"),IF(COUNTIFS($D:$D,$D2448,$A:$A,$A2448,$B:$B,$B2448,$G:$G,"CDU",$J:$J,"PLANNED")&gt;0,"tied","standalone"),"")</f>
        <v>standalone</v>
      </c>
    </row>
    <row r="2449" spans="1:14">
      <c r="A2449" s="6">
        <v>2023</v>
      </c>
      <c r="B2449" s="6">
        <v>11</v>
      </c>
      <c r="C2449" s="6" t="s">
        <v>70</v>
      </c>
      <c r="D2449" s="6" t="s">
        <v>780</v>
      </c>
      <c r="E2449" s="6" t="s">
        <v>781</v>
      </c>
      <c r="F2449" s="6" t="str">
        <f>IF($M2449="PADD I","PADD 1",IF($M2449="PADD II","PADD 2",IF($M2449="PADD III","PADD 3",IF($M2449="PADD IV","PADD 4",IF($M2449="PADD V","PADD 5","")))))</f>
        <v>PADD 3</v>
      </c>
      <c r="G2449" s="6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6" t="s">
        <v>44</v>
      </c>
      <c r="I2449" s="6" t="s">
        <v>1104</v>
      </c>
      <c r="J2449" s="6" t="s">
        <v>398</v>
      </c>
      <c r="K2449" s="10">
        <v>3.7</v>
      </c>
      <c r="L2449" s="10">
        <v>10</v>
      </c>
      <c r="M2449" s="6" t="s">
        <v>421</v>
      </c>
      <c r="N2449" s="6">
        <f>IF(OR($G2449="FCC",$G2449="Hydrocracker",$G2449="Reformer"),IF(COUNTIFS($D:$D,$D2449,$A:$A,$A2449,$B:$B,$B2449,$G:$G,"CDU",$J:$J,"PLANNED")&gt;0,"tied","standalone"),"")</f>
        <v/>
      </c>
    </row>
    <row r="2450" spans="1:14">
      <c r="A2450" s="6">
        <v>2023</v>
      </c>
      <c r="B2450" s="6">
        <v>11</v>
      </c>
      <c r="C2450" s="6" t="s">
        <v>70</v>
      </c>
      <c r="D2450" s="6" t="s">
        <v>41</v>
      </c>
      <c r="E2450" s="6" t="s">
        <v>786</v>
      </c>
      <c r="F2450" s="6" t="str">
        <f>IF($M2450="PADD I","PADD 1",IF($M2450="PADD II","PADD 2",IF($M2450="PADD III","PADD 3",IF($M2450="PADD IV","PADD 4",IF($M2450="PADD V","PADD 5","")))))</f>
        <v>PADD 1</v>
      </c>
      <c r="G2450" s="6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6" t="s">
        <v>44</v>
      </c>
      <c r="I2450" s="6" t="s">
        <v>1071</v>
      </c>
      <c r="J2450" s="6" t="s">
        <v>398</v>
      </c>
      <c r="K2450" s="10">
        <v>3.45</v>
      </c>
      <c r="L2450" s="10">
        <v>11.5</v>
      </c>
      <c r="M2450" s="6" t="s">
        <v>463</v>
      </c>
      <c r="N2450" s="6">
        <f>IF(OR($G2450="FCC",$G2450="Hydrocracker",$G2450="Reformer"),IF(COUNTIFS($D:$D,$D2450,$A:$A,$A2450,$B:$B,$B2450,$G:$G,"CDU",$J:$J,"PLANNED")&gt;0,"tied","standalone"),"")</f>
        <v/>
      </c>
    </row>
    <row r="2451" spans="1:14">
      <c r="A2451" s="6">
        <v>2023</v>
      </c>
      <c r="B2451" s="6">
        <v>11</v>
      </c>
      <c r="C2451" s="6" t="s">
        <v>70</v>
      </c>
      <c r="D2451" s="6" t="s">
        <v>437</v>
      </c>
      <c r="E2451" s="6" t="s">
        <v>438</v>
      </c>
      <c r="F2451" s="6" t="str">
        <f>IF($M2451="PADD I","PADD 1",IF($M2451="PADD II","PADD 2",IF($M2451="PADD III","PADD 3",IF($M2451="PADD IV","PADD 4",IF($M2451="PADD V","PADD 5","")))))</f>
        <v>PADD 3</v>
      </c>
      <c r="G2451" s="6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6" t="s">
        <v>428</v>
      </c>
      <c r="I2451" s="6" t="s">
        <v>492</v>
      </c>
      <c r="J2451" s="6" t="s">
        <v>394</v>
      </c>
      <c r="K2451" s="10">
        <v>3.375</v>
      </c>
      <c r="L2451" s="10">
        <v>112.5</v>
      </c>
      <c r="M2451" s="6" t="s">
        <v>421</v>
      </c>
      <c r="N2451" s="6">
        <f>IF(OR($G2451="FCC",$G2451="Hydrocracker",$G2451="Reformer"),IF(COUNTIFS($D:$D,$D2451,$A:$A,$A2451,$B:$B,$B2451,$G:$G,"CDU",$J:$J,"PLANNED")&gt;0,"tied","standalone"),"")</f>
        <v/>
      </c>
    </row>
    <row r="2452" spans="1:14">
      <c r="A2452" s="6">
        <v>2023</v>
      </c>
      <c r="B2452" s="6">
        <v>11</v>
      </c>
      <c r="C2452" s="6" t="s">
        <v>70</v>
      </c>
      <c r="D2452" s="6" t="s">
        <v>652</v>
      </c>
      <c r="E2452" s="6" t="s">
        <v>419</v>
      </c>
      <c r="F2452" s="6" t="str">
        <f>IF($M2452="PADD I","PADD 1",IF($M2452="PADD II","PADD 2",IF($M2452="PADD III","PADD 3",IF($M2452="PADD IV","PADD 4",IF($M2452="PADD V","PADD 5","")))))</f>
        <v>PADD 2</v>
      </c>
      <c r="G2452" s="6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6" t="s">
        <v>44</v>
      </c>
      <c r="I2452" s="6" t="s">
        <v>1051</v>
      </c>
      <c r="J2452" s="6" t="s">
        <v>398</v>
      </c>
      <c r="K2452" s="10">
        <v>3.25</v>
      </c>
      <c r="L2452" s="10">
        <v>25</v>
      </c>
      <c r="M2452" s="6" t="s">
        <v>425</v>
      </c>
      <c r="N2452" s="6">
        <f>IF(OR($G2452="FCC",$G2452="Hydrocracker",$G2452="Reformer"),IF(COUNTIFS($D:$D,$D2452,$A:$A,$A2452,$B:$B,$B2452,$G:$G,"CDU",$J:$J,"PLANNED")&gt;0,"tied","standalone"),"")</f>
        <v/>
      </c>
    </row>
    <row r="2453" spans="1:14">
      <c r="A2453" s="6">
        <v>2023</v>
      </c>
      <c r="B2453" s="6">
        <v>11</v>
      </c>
      <c r="C2453" s="6" t="s">
        <v>70</v>
      </c>
      <c r="D2453" s="6" t="s">
        <v>652</v>
      </c>
      <c r="E2453" s="6" t="s">
        <v>419</v>
      </c>
      <c r="F2453" s="6" t="str">
        <f>IF($M2453="PADD I","PADD 1",IF($M2453="PADD II","PADD 2",IF($M2453="PADD III","PADD 3",IF($M2453="PADD IV","PADD 4",IF($M2453="PADD V","PADD 5","")))))</f>
        <v>PADD 2</v>
      </c>
      <c r="G2453" s="6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6" t="s">
        <v>44</v>
      </c>
      <c r="I2453" s="6" t="s">
        <v>1052</v>
      </c>
      <c r="J2453" s="6" t="s">
        <v>398</v>
      </c>
      <c r="K2453" s="10">
        <v>3.12</v>
      </c>
      <c r="L2453" s="10">
        <v>24</v>
      </c>
      <c r="M2453" s="6" t="s">
        <v>425</v>
      </c>
      <c r="N2453" s="6">
        <f>IF(OR($G2453="FCC",$G2453="Hydrocracker",$G2453="Reformer"),IF(COUNTIFS($D:$D,$D2453,$A:$A,$A2453,$B:$B,$B2453,$G:$G,"CDU",$J:$J,"PLANNED")&gt;0,"tied","standalone"),"")</f>
        <v/>
      </c>
    </row>
    <row r="2454" spans="1:14">
      <c r="A2454" s="6">
        <v>2023</v>
      </c>
      <c r="B2454" s="6">
        <v>11</v>
      </c>
      <c r="C2454" s="6" t="s">
        <v>70</v>
      </c>
      <c r="D2454" s="6" t="s">
        <v>484</v>
      </c>
      <c r="E2454" s="6" t="s">
        <v>438</v>
      </c>
      <c r="F2454" s="6" t="str">
        <f>IF($M2454="PADD I","PADD 1",IF($M2454="PADD II","PADD 2",IF($M2454="PADD III","PADD 3",IF($M2454="PADD IV","PADD 4",IF($M2454="PADD V","PADD 5","")))))</f>
        <v>PADD 5</v>
      </c>
      <c r="G2454" s="6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6" t="s">
        <v>471</v>
      </c>
      <c r="I2454" s="6" t="s">
        <v>721</v>
      </c>
      <c r="J2454" s="6" t="s">
        <v>394</v>
      </c>
      <c r="K2454" s="10">
        <v>3</v>
      </c>
      <c r="L2454" s="10">
        <v>15</v>
      </c>
      <c r="M2454" s="6" t="s">
        <v>436</v>
      </c>
      <c r="N2454" s="6" t="str">
        <f>IF(OR($G2454="FCC",$G2454="Hydrocracker",$G2454="Reformer"),IF(COUNTIFS($D:$D,$D2454,$A:$A,$A2454,$B:$B,$B2454,$G:$G,"CDU",$J:$J,"PLANNED")&gt;0,"tied","standalone"),"")</f>
        <v>tied</v>
      </c>
    </row>
    <row r="2455" spans="1:14">
      <c r="A2455" s="6">
        <v>2023</v>
      </c>
      <c r="B2455" s="6">
        <v>11</v>
      </c>
      <c r="C2455" s="6" t="s">
        <v>70</v>
      </c>
      <c r="D2455" s="6" t="s">
        <v>422</v>
      </c>
      <c r="E2455" s="6" t="s">
        <v>423</v>
      </c>
      <c r="F2455" s="6" t="str">
        <f>IF($M2455="PADD I","PADD 1",IF($M2455="PADD II","PADD 2",IF($M2455="PADD III","PADD 3",IF($M2455="PADD IV","PADD 4",IF($M2455="PADD V","PADD 5","")))))</f>
        <v>PADD 2</v>
      </c>
      <c r="G2455" s="6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6" t="s">
        <v>485</v>
      </c>
      <c r="I2455" s="6" t="s">
        <v>634</v>
      </c>
      <c r="J2455" s="6" t="s">
        <v>394</v>
      </c>
      <c r="K2455" s="10">
        <v>3</v>
      </c>
      <c r="L2455" s="10">
        <v>7.5</v>
      </c>
      <c r="M2455" s="6" t="s">
        <v>425</v>
      </c>
      <c r="N2455" s="6">
        <f>IF(OR($G2455="FCC",$G2455="Hydrocracker",$G2455="Reformer"),IF(COUNTIFS($D:$D,$D2455,$A:$A,$A2455,$B:$B,$B2455,$G:$G,"CDU",$J:$J,"PLANNED")&gt;0,"tied","standalone"),"")</f>
        <v/>
      </c>
    </row>
    <row r="2456" spans="1:14">
      <c r="A2456" s="6">
        <v>2023</v>
      </c>
      <c r="B2456" s="6">
        <v>11</v>
      </c>
      <c r="C2456" s="6" t="s">
        <v>70</v>
      </c>
      <c r="D2456" s="6" t="s">
        <v>597</v>
      </c>
      <c r="E2456" s="6" t="s">
        <v>441</v>
      </c>
      <c r="F2456" s="6" t="str">
        <f>IF($M2456="PADD I","PADD 1",IF($M2456="PADD II","PADD 2",IF($M2456="PADD III","PADD 3",IF($M2456="PADD IV","PADD 4",IF($M2456="PADD V","PADD 5","")))))</f>
        <v>PADD 5</v>
      </c>
      <c r="G2456" s="6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6" t="s">
        <v>471</v>
      </c>
      <c r="I2456" s="6" t="s">
        <v>986</v>
      </c>
      <c r="J2456" s="6" t="s">
        <v>394</v>
      </c>
      <c r="K2456" s="10">
        <v>2.8</v>
      </c>
      <c r="L2456" s="10">
        <v>28</v>
      </c>
      <c r="M2456" s="6" t="s">
        <v>436</v>
      </c>
      <c r="N2456" s="6" t="str">
        <f>IF(OR($G2456="FCC",$G2456="Hydrocracker",$G2456="Reformer"),IF(COUNTIFS($D:$D,$D2456,$A:$A,$A2456,$B:$B,$B2456,$G:$G,"CDU",$J:$J,"PLANNED")&gt;0,"tied","standalone"),"")</f>
        <v>standalone</v>
      </c>
    </row>
    <row r="2457" spans="1:14">
      <c r="A2457" s="6">
        <v>2023</v>
      </c>
      <c r="B2457" s="6">
        <v>11</v>
      </c>
      <c r="C2457" s="6" t="s">
        <v>70</v>
      </c>
      <c r="D2457" s="6" t="s">
        <v>849</v>
      </c>
      <c r="E2457" s="6" t="s">
        <v>441</v>
      </c>
      <c r="F2457" s="6" t="str">
        <f>IF($M2457="PADD I","PADD 1",IF($M2457="PADD II","PADD 2",IF($M2457="PADD III","PADD 3",IF($M2457="PADD IV","PADD 4",IF($M2457="PADD V","PADD 5","")))))</f>
        <v>PADD 4</v>
      </c>
      <c r="G2457" s="6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6" t="s">
        <v>44</v>
      </c>
      <c r="I2457" s="6" t="s">
        <v>850</v>
      </c>
      <c r="J2457" s="6" t="s">
        <v>394</v>
      </c>
      <c r="K2457" s="10">
        <v>2.79</v>
      </c>
      <c r="L2457" s="10">
        <v>27.9</v>
      </c>
      <c r="M2457" s="6" t="s">
        <v>480</v>
      </c>
      <c r="N2457" s="6">
        <f>IF(OR($G2457="FCC",$G2457="Hydrocracker",$G2457="Reformer"),IF(COUNTIFS($D:$D,$D2457,$A:$A,$A2457,$B:$B,$B2457,$G:$G,"CDU",$J:$J,"PLANNED")&gt;0,"tied","standalone"),"")</f>
        <v/>
      </c>
    </row>
    <row r="2458" spans="1:14">
      <c r="A2458" s="6">
        <v>2023</v>
      </c>
      <c r="B2458" s="6">
        <v>11</v>
      </c>
      <c r="C2458" s="6" t="s">
        <v>70</v>
      </c>
      <c r="D2458" s="6" t="s">
        <v>49</v>
      </c>
      <c r="E2458" s="6" t="s">
        <v>438</v>
      </c>
      <c r="F2458" s="6" t="str">
        <f>IF($M2458="PADD I","PADD 1",IF($M2458="PADD II","PADD 2",IF($M2458="PADD III","PADD 3",IF($M2458="PADD IV","PADD 4",IF($M2458="PADD V","PADD 5","")))))</f>
        <v>PADD 2</v>
      </c>
      <c r="G2458" s="6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6" t="s">
        <v>471</v>
      </c>
      <c r="I2458" s="6" t="s">
        <v>771</v>
      </c>
      <c r="J2458" s="6" t="s">
        <v>394</v>
      </c>
      <c r="K2458" s="10">
        <v>2.73</v>
      </c>
      <c r="L2458" s="10">
        <v>39</v>
      </c>
      <c r="M2458" s="6" t="s">
        <v>425</v>
      </c>
      <c r="N2458" s="6" t="str">
        <f>IF(OR($G2458="FCC",$G2458="Hydrocracker",$G2458="Reformer"),IF(COUNTIFS($D:$D,$D2458,$A:$A,$A2458,$B:$B,$B2458,$G:$G,"CDU",$J:$J,"PLANNED")&gt;0,"tied","standalone"),"")</f>
        <v>standalone</v>
      </c>
    </row>
    <row r="2459" spans="1:14">
      <c r="A2459" s="6">
        <v>2023</v>
      </c>
      <c r="B2459" s="6">
        <v>11</v>
      </c>
      <c r="C2459" s="6" t="s">
        <v>70</v>
      </c>
      <c r="D2459" s="6" t="s">
        <v>597</v>
      </c>
      <c r="E2459" s="6" t="s">
        <v>441</v>
      </c>
      <c r="F2459" s="6" t="str">
        <f>IF($M2459="PADD I","PADD 1",IF($M2459="PADD II","PADD 2",IF($M2459="PADD III","PADD 3",IF($M2459="PADD IV","PADD 4",IF($M2459="PADD V","PADD 5","")))))</f>
        <v>PADD 5</v>
      </c>
      <c r="G2459" s="6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6" t="s">
        <v>44</v>
      </c>
      <c r="I2459" s="6" t="s">
        <v>954</v>
      </c>
      <c r="J2459" s="6" t="s">
        <v>394</v>
      </c>
      <c r="K2459" s="10">
        <v>2.7</v>
      </c>
      <c r="L2459" s="10">
        <v>27</v>
      </c>
      <c r="M2459" s="6" t="s">
        <v>436</v>
      </c>
      <c r="N2459" s="6">
        <f>IF(OR($G2459="FCC",$G2459="Hydrocracker",$G2459="Reformer"),IF(COUNTIFS($D:$D,$D2459,$A:$A,$A2459,$B:$B,$B2459,$G:$G,"CDU",$J:$J,"PLANNED")&gt;0,"tied","standalone"),"")</f>
        <v/>
      </c>
    </row>
    <row r="2460" spans="1:14">
      <c r="A2460" s="6">
        <v>2023</v>
      </c>
      <c r="B2460" s="6">
        <v>11</v>
      </c>
      <c r="C2460" s="6" t="s">
        <v>70</v>
      </c>
      <c r="D2460" s="6" t="s">
        <v>1113</v>
      </c>
      <c r="E2460" s="6" t="s">
        <v>438</v>
      </c>
      <c r="F2460" s="6" t="str">
        <f>IF($M2460="PADD I","PADD 1",IF($M2460="PADD II","PADD 2",IF($M2460="PADD III","PADD 3",IF($M2460="PADD IV","PADD 4",IF($M2460="PADD V","PADD 5","")))))</f>
        <v>PADD 2</v>
      </c>
      <c r="G2460" s="6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6" t="s">
        <v>428</v>
      </c>
      <c r="I2460" s="6" t="s">
        <v>481</v>
      </c>
      <c r="J2460" s="6" t="s">
        <v>394</v>
      </c>
      <c r="K2460" s="10">
        <v>2.66</v>
      </c>
      <c r="L2460" s="10">
        <v>38</v>
      </c>
      <c r="M2460" s="6" t="s">
        <v>425</v>
      </c>
      <c r="N2460" s="6">
        <f>IF(OR($G2460="FCC",$G2460="Hydrocracker",$G2460="Reformer"),IF(COUNTIFS($D:$D,$D2460,$A:$A,$A2460,$B:$B,$B2460,$G:$G,"CDU",$J:$J,"PLANNED")&gt;0,"tied","standalone"),"")</f>
        <v/>
      </c>
    </row>
    <row r="2461" spans="1:14">
      <c r="A2461" s="6">
        <v>2023</v>
      </c>
      <c r="B2461" s="6">
        <v>11</v>
      </c>
      <c r="C2461" s="6" t="s">
        <v>70</v>
      </c>
      <c r="D2461" s="6" t="s">
        <v>937</v>
      </c>
      <c r="E2461" s="6" t="s">
        <v>455</v>
      </c>
      <c r="F2461" s="6" t="str">
        <f>IF($M2461="PADD I","PADD 1",IF($M2461="PADD II","PADD 2",IF($M2461="PADD III","PADD 3",IF($M2461="PADD IV","PADD 4",IF($M2461="PADD V","PADD 5","")))))</f>
        <v>PADD 3</v>
      </c>
      <c r="G2461" s="6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6" t="s">
        <v>510</v>
      </c>
      <c r="I2461" s="6" t="s">
        <v>666</v>
      </c>
      <c r="J2461" s="6" t="s">
        <v>398</v>
      </c>
      <c r="K2461" s="10">
        <v>2.6</v>
      </c>
      <c r="L2461" s="10">
        <v>6.5</v>
      </c>
      <c r="M2461" s="6" t="s">
        <v>421</v>
      </c>
      <c r="N2461" s="6">
        <f>IF(OR($G2461="FCC",$G2461="Hydrocracker",$G2461="Reformer"),IF(COUNTIFS($D:$D,$D2461,$A:$A,$A2461,$B:$B,$B2461,$G:$G,"CDU",$J:$J,"PLANNED")&gt;0,"tied","standalone"),"")</f>
        <v/>
      </c>
    </row>
    <row r="2462" spans="1:14">
      <c r="A2462" s="6">
        <v>2023</v>
      </c>
      <c r="B2462" s="6">
        <v>11</v>
      </c>
      <c r="C2462" s="6" t="s">
        <v>70</v>
      </c>
      <c r="D2462" s="6" t="s">
        <v>652</v>
      </c>
      <c r="E2462" s="6" t="s">
        <v>419</v>
      </c>
      <c r="F2462" s="6" t="str">
        <f>IF($M2462="PADD I","PADD 1",IF($M2462="PADD II","PADD 2",IF($M2462="PADD III","PADD 3",IF($M2462="PADD IV","PADD 4",IF($M2462="PADD V","PADD 5","")))))</f>
        <v>PADD 2</v>
      </c>
      <c r="G2462" s="6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6" t="s">
        <v>471</v>
      </c>
      <c r="I2462" s="6" t="s">
        <v>747</v>
      </c>
      <c r="J2462" s="6" t="s">
        <v>398</v>
      </c>
      <c r="K2462" s="10">
        <v>2.6</v>
      </c>
      <c r="L2462" s="10">
        <v>20</v>
      </c>
      <c r="M2462" s="6" t="s">
        <v>425</v>
      </c>
      <c r="N2462" s="6" t="str">
        <f>IF(OR($G2462="FCC",$G2462="Hydrocracker",$G2462="Reformer"),IF(COUNTIFS($D:$D,$D2462,$A:$A,$A2462,$B:$B,$B2462,$G:$G,"CDU",$J:$J,"PLANNED")&gt;0,"tied","standalone"),"")</f>
        <v>standalone</v>
      </c>
    </row>
    <row r="2463" spans="1:14">
      <c r="A2463" s="6">
        <v>2023</v>
      </c>
      <c r="B2463" s="6">
        <v>11</v>
      </c>
      <c r="C2463" s="6" t="s">
        <v>70</v>
      </c>
      <c r="D2463" s="6" t="s">
        <v>712</v>
      </c>
      <c r="E2463" s="6" t="s">
        <v>602</v>
      </c>
      <c r="F2463" s="6" t="str">
        <f>IF($M2463="PADD I","PADD 1",IF($M2463="PADD II","PADD 2",IF($M2463="PADD III","PADD 3",IF($M2463="PADD IV","PADD 4",IF($M2463="PADD V","PADD 5","")))))</f>
        <v>PADD 3</v>
      </c>
      <c r="G2463" s="6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6" t="s">
        <v>44</v>
      </c>
      <c r="I2463" s="6" t="s">
        <v>977</v>
      </c>
      <c r="J2463" s="6" t="s">
        <v>398</v>
      </c>
      <c r="K2463" s="10">
        <v>2.55</v>
      </c>
      <c r="L2463" s="10">
        <v>25.5</v>
      </c>
      <c r="M2463" s="6" t="s">
        <v>421</v>
      </c>
      <c r="N2463" s="6">
        <f>IF(OR($G2463="FCC",$G2463="Hydrocracker",$G2463="Reformer"),IF(COUNTIFS($D:$D,$D2463,$A:$A,$A2463,$B:$B,$B2463,$G:$G,"CDU",$J:$J,"PLANNED")&gt;0,"tied","standalone"),"")</f>
        <v/>
      </c>
    </row>
    <row r="2464" spans="1:14">
      <c r="A2464" s="6">
        <v>2023</v>
      </c>
      <c r="B2464" s="6">
        <v>11</v>
      </c>
      <c r="C2464" s="6" t="s">
        <v>70</v>
      </c>
      <c r="D2464" s="6" t="s">
        <v>49</v>
      </c>
      <c r="E2464" s="6" t="s">
        <v>438</v>
      </c>
      <c r="F2464" s="6" t="str">
        <f>IF($M2464="PADD I","PADD 1",IF($M2464="PADD II","PADD 2",IF($M2464="PADD III","PADD 3",IF($M2464="PADD IV","PADD 4",IF($M2464="PADD V","PADD 5","")))))</f>
        <v>PADD 2</v>
      </c>
      <c r="G2464" s="6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6" t="s">
        <v>44</v>
      </c>
      <c r="I2464" s="6" t="s">
        <v>746</v>
      </c>
      <c r="J2464" s="6" t="s">
        <v>394</v>
      </c>
      <c r="K2464" s="10">
        <v>2.505</v>
      </c>
      <c r="L2464" s="10">
        <v>83.5</v>
      </c>
      <c r="M2464" s="6" t="s">
        <v>425</v>
      </c>
      <c r="N2464" s="6">
        <f>IF(OR($G2464="FCC",$G2464="Hydrocracker",$G2464="Reformer"),IF(COUNTIFS($D:$D,$D2464,$A:$A,$A2464,$B:$B,$B2464,$G:$G,"CDU",$J:$J,"PLANNED")&gt;0,"tied","standalone"),"")</f>
        <v/>
      </c>
    </row>
    <row r="2465" spans="1:14">
      <c r="A2465" s="6">
        <v>2023</v>
      </c>
      <c r="B2465" s="6">
        <v>11</v>
      </c>
      <c r="C2465" s="6" t="s">
        <v>70</v>
      </c>
      <c r="D2465" s="6" t="s">
        <v>712</v>
      </c>
      <c r="E2465" s="6" t="s">
        <v>602</v>
      </c>
      <c r="F2465" s="6" t="str">
        <f>IF($M2465="PADD I","PADD 1",IF($M2465="PADD II","PADD 2",IF($M2465="PADD III","PADD 3",IF($M2465="PADD IV","PADD 4",IF($M2465="PADD V","PADD 5","")))))</f>
        <v>PADD 3</v>
      </c>
      <c r="G2465" s="6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6" t="s">
        <v>426</v>
      </c>
      <c r="I2465" s="6" t="s">
        <v>106</v>
      </c>
      <c r="J2465" s="6" t="s">
        <v>398</v>
      </c>
      <c r="K2465" s="10">
        <v>2.5</v>
      </c>
      <c r="L2465" s="10">
        <v>25</v>
      </c>
      <c r="M2465" s="6" t="s">
        <v>421</v>
      </c>
      <c r="N2465" s="6" t="str">
        <f>IF(OR($G2465="FCC",$G2465="Hydrocracker",$G2465="Reformer"),IF(COUNTIFS($D:$D,$D2465,$A:$A,$A2465,$B:$B,$B2465,$G:$G,"CDU",$J:$J,"PLANNED")&gt;0,"tied","standalone"),"")</f>
        <v>standalone</v>
      </c>
    </row>
    <row r="2466" spans="1:14">
      <c r="A2466" s="6">
        <v>2023</v>
      </c>
      <c r="B2466" s="6">
        <v>11</v>
      </c>
      <c r="C2466" s="6" t="s">
        <v>70</v>
      </c>
      <c r="D2466" s="6" t="s">
        <v>652</v>
      </c>
      <c r="E2466" s="6" t="s">
        <v>419</v>
      </c>
      <c r="F2466" s="6" t="str">
        <f>IF($M2466="PADD I","PADD 1",IF($M2466="PADD II","PADD 2",IF($M2466="PADD III","PADD 3",IF($M2466="PADD IV","PADD 4",IF($M2466="PADD V","PADD 5","")))))</f>
        <v>PADD 2</v>
      </c>
      <c r="G2466" s="6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6" t="s">
        <v>44</v>
      </c>
      <c r="I2466" s="6" t="s">
        <v>1057</v>
      </c>
      <c r="J2466" s="6" t="s">
        <v>398</v>
      </c>
      <c r="K2466" s="10">
        <v>2.34</v>
      </c>
      <c r="L2466" s="10">
        <v>18</v>
      </c>
      <c r="M2466" s="6" t="s">
        <v>425</v>
      </c>
      <c r="N2466" s="6">
        <f>IF(OR($G2466="FCC",$G2466="Hydrocracker",$G2466="Reformer"),IF(COUNTIFS($D:$D,$D2466,$A:$A,$A2466,$B:$B,$B2466,$G:$G,"CDU",$J:$J,"PLANNED")&gt;0,"tied","standalone"),"")</f>
        <v/>
      </c>
    </row>
    <row r="2467" spans="1:14">
      <c r="A2467" s="6">
        <v>2023</v>
      </c>
      <c r="B2467" s="6">
        <v>11</v>
      </c>
      <c r="C2467" s="6" t="s">
        <v>70</v>
      </c>
      <c r="D2467" s="6" t="s">
        <v>437</v>
      </c>
      <c r="E2467" s="6" t="s">
        <v>438</v>
      </c>
      <c r="F2467" s="6" t="str">
        <f>IF($M2467="PADD I","PADD 1",IF($M2467="PADD II","PADD 2",IF($M2467="PADD III","PADD 3",IF($M2467="PADD IV","PADD 4",IF($M2467="PADD V","PADD 5","")))))</f>
        <v>PADD 3</v>
      </c>
      <c r="G2467" s="6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6" t="s">
        <v>471</v>
      </c>
      <c r="I2467" s="6" t="s">
        <v>493</v>
      </c>
      <c r="J2467" s="6" t="s">
        <v>394</v>
      </c>
      <c r="K2467" s="10">
        <v>2.325</v>
      </c>
      <c r="L2467" s="10">
        <v>77.5</v>
      </c>
      <c r="M2467" s="6" t="s">
        <v>421</v>
      </c>
      <c r="N2467" s="6" t="str">
        <f>IF(OR($G2467="FCC",$G2467="Hydrocracker",$G2467="Reformer"),IF(COUNTIFS($D:$D,$D2467,$A:$A,$A2467,$B:$B,$B2467,$G:$G,"CDU",$J:$J,"PLANNED")&gt;0,"tied","standalone"),"")</f>
        <v>standalone</v>
      </c>
    </row>
    <row r="2468" spans="1:14">
      <c r="A2468" s="6">
        <v>2023</v>
      </c>
      <c r="B2468" s="6">
        <v>11</v>
      </c>
      <c r="C2468" s="6" t="s">
        <v>70</v>
      </c>
      <c r="D2468" s="6" t="s">
        <v>712</v>
      </c>
      <c r="E2468" s="6" t="s">
        <v>602</v>
      </c>
      <c r="F2468" s="6" t="str">
        <f>IF($M2468="PADD I","PADD 1",IF($M2468="PADD II","PADD 2",IF($M2468="PADD III","PADD 3",IF($M2468="PADD IV","PADD 4",IF($M2468="PADD V","PADD 5","")))))</f>
        <v>PADD 3</v>
      </c>
      <c r="G2468" s="6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6" t="s">
        <v>44</v>
      </c>
      <c r="I2468" s="6" t="s">
        <v>785</v>
      </c>
      <c r="J2468" s="6" t="s">
        <v>398</v>
      </c>
      <c r="K2468" s="10">
        <v>2.3</v>
      </c>
      <c r="L2468" s="10">
        <v>23</v>
      </c>
      <c r="M2468" s="6" t="s">
        <v>421</v>
      </c>
      <c r="N2468" s="6">
        <f>IF(OR($G2468="FCC",$G2468="Hydrocracker",$G2468="Reformer"),IF(COUNTIFS($D:$D,$D2468,$A:$A,$A2468,$B:$B,$B2468,$G:$G,"CDU",$J:$J,"PLANNED")&gt;0,"tied","standalone"),"")</f>
        <v/>
      </c>
    </row>
    <row r="2469" spans="1:14">
      <c r="A2469" s="6">
        <v>2023</v>
      </c>
      <c r="B2469" s="6">
        <v>11</v>
      </c>
      <c r="C2469" s="6" t="s">
        <v>70</v>
      </c>
      <c r="D2469" s="6" t="s">
        <v>853</v>
      </c>
      <c r="E2469" s="6" t="s">
        <v>438</v>
      </c>
      <c r="F2469" s="6" t="str">
        <f>IF($M2469="PADD I","PADD 1",IF($M2469="PADD II","PADD 2",IF($M2469="PADD III","PADD 3",IF($M2469="PADD IV","PADD 4",IF($M2469="PADD V","PADD 5","")))))</f>
        <v>PADD 2</v>
      </c>
      <c r="G2469" s="6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6" t="s">
        <v>471</v>
      </c>
      <c r="I2469" s="6" t="s">
        <v>609</v>
      </c>
      <c r="J2469" s="6" t="s">
        <v>394</v>
      </c>
      <c r="K2469" s="10">
        <v>2.25</v>
      </c>
      <c r="L2469" s="10">
        <v>11.25</v>
      </c>
      <c r="M2469" s="6" t="s">
        <v>425</v>
      </c>
      <c r="N2469" s="6" t="str">
        <f>IF(OR($G2469="FCC",$G2469="Hydrocracker",$G2469="Reformer"),IF(COUNTIFS($D:$D,$D2469,$A:$A,$A2469,$B:$B,$B2469,$G:$G,"CDU",$J:$J,"PLANNED")&gt;0,"tied","standalone"),"")</f>
        <v>standalone</v>
      </c>
    </row>
    <row r="2470" spans="1:14">
      <c r="A2470" s="6">
        <v>2023</v>
      </c>
      <c r="B2470" s="6">
        <v>11</v>
      </c>
      <c r="C2470" s="6" t="s">
        <v>70</v>
      </c>
      <c r="D2470" s="6" t="s">
        <v>384</v>
      </c>
      <c r="E2470" s="6" t="s">
        <v>419</v>
      </c>
      <c r="F2470" s="6" t="str">
        <f>IF($M2470="PADD I","PADD 1",IF($M2470="PADD II","PADD 2",IF($M2470="PADD III","PADD 3",IF($M2470="PADD IV","PADD 4",IF($M2470="PADD V","PADD 5","")))))</f>
        <v>PADD 3</v>
      </c>
      <c r="G2470" s="6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6" t="s">
        <v>426</v>
      </c>
      <c r="I2470" s="6" t="s">
        <v>522</v>
      </c>
      <c r="J2470" s="6" t="s">
        <v>394</v>
      </c>
      <c r="K2470" s="10">
        <v>2.1</v>
      </c>
      <c r="L2470" s="10">
        <v>30</v>
      </c>
      <c r="M2470" s="6" t="s">
        <v>421</v>
      </c>
      <c r="N2470" s="6" t="str">
        <f>IF(OR($G2470="FCC",$G2470="Hydrocracker",$G2470="Reformer"),IF(COUNTIFS($D:$D,$D2470,$A:$A,$A2470,$B:$B,$B2470,$G:$G,"CDU",$J:$J,"PLANNED")&gt;0,"tied","standalone"),"")</f>
        <v>standalone</v>
      </c>
    </row>
    <row r="2471" spans="1:14">
      <c r="A2471" s="6">
        <v>2023</v>
      </c>
      <c r="B2471" s="6">
        <v>11</v>
      </c>
      <c r="C2471" s="6" t="s">
        <v>70</v>
      </c>
      <c r="D2471" s="6" t="s">
        <v>49</v>
      </c>
      <c r="E2471" s="6" t="s">
        <v>438</v>
      </c>
      <c r="F2471" s="6" t="str">
        <f>IF($M2471="PADD I","PADD 1",IF($M2471="PADD II","PADD 2",IF($M2471="PADD III","PADD 3",IF($M2471="PADD IV","PADD 4",IF($M2471="PADD V","PADD 5","")))))</f>
        <v>PADD 2</v>
      </c>
      <c r="G2471" s="6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6" t="s">
        <v>687</v>
      </c>
      <c r="I2471" s="6" t="s">
        <v>654</v>
      </c>
      <c r="J2471" s="6" t="s">
        <v>394</v>
      </c>
      <c r="K2471" s="10">
        <v>2.08</v>
      </c>
      <c r="L2471" s="10">
        <v>16</v>
      </c>
      <c r="M2471" s="6" t="s">
        <v>425</v>
      </c>
      <c r="N2471" s="6">
        <f>IF(OR($G2471="FCC",$G2471="Hydrocracker",$G2471="Reformer"),IF(COUNTIFS($D:$D,$D2471,$A:$A,$A2471,$B:$B,$B2471,$G:$G,"CDU",$J:$J,"PLANNED")&gt;0,"tied","standalone"),"")</f>
        <v/>
      </c>
    </row>
    <row r="2472" spans="1:14">
      <c r="A2472" s="6">
        <v>2023</v>
      </c>
      <c r="B2472" s="6">
        <v>11</v>
      </c>
      <c r="C2472" s="6" t="s">
        <v>70</v>
      </c>
      <c r="D2472" s="6" t="s">
        <v>597</v>
      </c>
      <c r="E2472" s="6" t="s">
        <v>441</v>
      </c>
      <c r="F2472" s="6" t="str">
        <f>IF($M2472="PADD I","PADD 1",IF($M2472="PADD II","PADD 2",IF($M2472="PADD III","PADD 3",IF($M2472="PADD IV","PADD 4",IF($M2472="PADD V","PADD 5","")))))</f>
        <v>PADD 5</v>
      </c>
      <c r="G2472" s="6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6" t="s">
        <v>510</v>
      </c>
      <c r="I2472" s="6" t="s">
        <v>511</v>
      </c>
      <c r="J2472" s="6" t="s">
        <v>394</v>
      </c>
      <c r="K2472" s="10">
        <v>2</v>
      </c>
      <c r="L2472" s="10">
        <v>20</v>
      </c>
      <c r="M2472" s="6" t="s">
        <v>436</v>
      </c>
      <c r="N2472" s="6">
        <f>IF(OR($G2472="FCC",$G2472="Hydrocracker",$G2472="Reformer"),IF(COUNTIFS($D:$D,$D2472,$A:$A,$A2472,$B:$B,$B2472,$G:$G,"CDU",$J:$J,"PLANNED")&gt;0,"tied","standalone"),"")</f>
        <v/>
      </c>
    </row>
    <row r="2473" spans="1:14">
      <c r="A2473" s="6">
        <v>2023</v>
      </c>
      <c r="B2473" s="6">
        <v>11</v>
      </c>
      <c r="C2473" s="6" t="s">
        <v>70</v>
      </c>
      <c r="D2473" s="6" t="s">
        <v>437</v>
      </c>
      <c r="E2473" s="6" t="s">
        <v>438</v>
      </c>
      <c r="F2473" s="6" t="str">
        <f>IF($M2473="PADD I","PADD 1",IF($M2473="PADD II","PADD 2",IF($M2473="PADD III","PADD 3",IF($M2473="PADD IV","PADD 4",IF($M2473="PADD V","PADD 5","")))))</f>
        <v>PADD 3</v>
      </c>
      <c r="G2473" s="6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6" t="s">
        <v>471</v>
      </c>
      <c r="I2473" s="6" t="s">
        <v>633</v>
      </c>
      <c r="J2473" s="6" t="s">
        <v>394</v>
      </c>
      <c r="K2473" s="10">
        <v>1.965</v>
      </c>
      <c r="L2473" s="10">
        <v>65.5</v>
      </c>
      <c r="M2473" s="6" t="s">
        <v>421</v>
      </c>
      <c r="N2473" s="6" t="str">
        <f>IF(OR($G2473="FCC",$G2473="Hydrocracker",$G2473="Reformer"),IF(COUNTIFS($D:$D,$D2473,$A:$A,$A2473,$B:$B,$B2473,$G:$G,"CDU",$J:$J,"PLANNED")&gt;0,"tied","standalone"),"")</f>
        <v>standalone</v>
      </c>
    </row>
    <row r="2474" spans="1:14">
      <c r="A2474" s="6">
        <v>2023</v>
      </c>
      <c r="B2474" s="6">
        <v>11</v>
      </c>
      <c r="C2474" s="6" t="s">
        <v>70</v>
      </c>
      <c r="D2474" s="6" t="s">
        <v>937</v>
      </c>
      <c r="E2474" s="6" t="s">
        <v>455</v>
      </c>
      <c r="F2474" s="6" t="str">
        <f>IF($M2474="PADD I","PADD 1",IF($M2474="PADD II","PADD 2",IF($M2474="PADD III","PADD 3",IF($M2474="PADD IV","PADD 4",IF($M2474="PADD V","PADD 5","")))))</f>
        <v>PADD 3</v>
      </c>
      <c r="G2474" s="6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6" t="s">
        <v>471</v>
      </c>
      <c r="I2474" s="6" t="s">
        <v>589</v>
      </c>
      <c r="J2474" s="6" t="s">
        <v>394</v>
      </c>
      <c r="K2474" s="10">
        <v>1.61</v>
      </c>
      <c r="L2474" s="10">
        <v>23</v>
      </c>
      <c r="M2474" s="6" t="s">
        <v>421</v>
      </c>
      <c r="N2474" s="6" t="str">
        <f>IF(OR($G2474="FCC",$G2474="Hydrocracker",$G2474="Reformer"),IF(COUNTIFS($D:$D,$D2474,$A:$A,$A2474,$B:$B,$B2474,$G:$G,"CDU",$J:$J,"PLANNED")&gt;0,"tied","standalone"),"")</f>
        <v>standalone</v>
      </c>
    </row>
    <row r="2475" spans="1:14">
      <c r="A2475" s="6">
        <v>2023</v>
      </c>
      <c r="B2475" s="6">
        <v>11</v>
      </c>
      <c r="C2475" s="6" t="s">
        <v>70</v>
      </c>
      <c r="D2475" s="6" t="s">
        <v>652</v>
      </c>
      <c r="E2475" s="6" t="s">
        <v>419</v>
      </c>
      <c r="F2475" s="6" t="str">
        <f>IF($M2475="PADD I","PADD 1",IF($M2475="PADD II","PADD 2",IF($M2475="PADD III","PADD 3",IF($M2475="PADD IV","PADD 4",IF($M2475="PADD V","PADD 5","")))))</f>
        <v>PADD 2</v>
      </c>
      <c r="G2475" s="6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6" t="s">
        <v>618</v>
      </c>
      <c r="I2475" s="6" t="s">
        <v>1065</v>
      </c>
      <c r="J2475" s="6" t="s">
        <v>398</v>
      </c>
      <c r="K2475" s="10">
        <v>1.56</v>
      </c>
      <c r="L2475" s="10">
        <v>12</v>
      </c>
      <c r="M2475" s="6" t="s">
        <v>425</v>
      </c>
      <c r="N2475" s="6">
        <f>IF(OR($G2475="FCC",$G2475="Hydrocracker",$G2475="Reformer"),IF(COUNTIFS($D:$D,$D2475,$A:$A,$A2475,$B:$B,$B2475,$G:$G,"CDU",$J:$J,"PLANNED")&gt;0,"tied","standalone"),"")</f>
        <v/>
      </c>
    </row>
    <row r="2476" spans="1:14">
      <c r="A2476" s="6">
        <v>2023</v>
      </c>
      <c r="B2476" s="6">
        <v>11</v>
      </c>
      <c r="C2476" s="6" t="s">
        <v>70</v>
      </c>
      <c r="D2476" s="6" t="s">
        <v>712</v>
      </c>
      <c r="E2476" s="6" t="s">
        <v>602</v>
      </c>
      <c r="F2476" s="6" t="str">
        <f>IF($M2476="PADD I","PADD 1",IF($M2476="PADD II","PADD 2",IF($M2476="PADD III","PADD 3",IF($M2476="PADD IV","PADD 4",IF($M2476="PADD V","PADD 5","")))))</f>
        <v>PADD 3</v>
      </c>
      <c r="G2476" s="6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6" t="s">
        <v>471</v>
      </c>
      <c r="I2476" s="6" t="s">
        <v>1099</v>
      </c>
      <c r="J2476" s="6" t="s">
        <v>398</v>
      </c>
      <c r="K2476" s="10">
        <v>1.505</v>
      </c>
      <c r="L2476" s="10">
        <v>21.5</v>
      </c>
      <c r="M2476" s="6" t="s">
        <v>421</v>
      </c>
      <c r="N2476" s="6" t="str">
        <f>IF(OR($G2476="FCC",$G2476="Hydrocracker",$G2476="Reformer"),IF(COUNTIFS($D:$D,$D2476,$A:$A,$A2476,$B:$B,$B2476,$G:$G,"CDU",$J:$J,"PLANNED")&gt;0,"tied","standalone"),"")</f>
        <v>standalone</v>
      </c>
    </row>
    <row r="2477" spans="1:14">
      <c r="A2477" s="6">
        <v>2023</v>
      </c>
      <c r="B2477" s="6">
        <v>11</v>
      </c>
      <c r="C2477" s="6" t="s">
        <v>70</v>
      </c>
      <c r="D2477" s="6" t="s">
        <v>1113</v>
      </c>
      <c r="E2477" s="6" t="s">
        <v>438</v>
      </c>
      <c r="F2477" s="6" t="str">
        <f>IF($M2477="PADD I","PADD 1",IF($M2477="PADD II","PADD 2",IF($M2477="PADD III","PADD 3",IF($M2477="PADD IV","PADD 4",IF($M2477="PADD V","PADD 5","")))))</f>
        <v>PADD 2</v>
      </c>
      <c r="G2477" s="6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6" t="s">
        <v>426</v>
      </c>
      <c r="I2477" s="6" t="s">
        <v>106</v>
      </c>
      <c r="J2477" s="6" t="s">
        <v>394</v>
      </c>
      <c r="K2477" s="10">
        <v>1.5</v>
      </c>
      <c r="L2477" s="10">
        <v>50</v>
      </c>
      <c r="M2477" s="6" t="s">
        <v>425</v>
      </c>
      <c r="N2477" s="6" t="str">
        <f>IF(OR($G2477="FCC",$G2477="Hydrocracker",$G2477="Reformer"),IF(COUNTIFS($D:$D,$D2477,$A:$A,$A2477,$B:$B,$B2477,$G:$G,"CDU",$J:$J,"PLANNED")&gt;0,"tied","standalone"),"")</f>
        <v>standalone</v>
      </c>
    </row>
    <row r="2478" spans="1:14">
      <c r="A2478" s="6">
        <v>2023</v>
      </c>
      <c r="B2478" s="6">
        <v>11</v>
      </c>
      <c r="C2478" s="6" t="s">
        <v>70</v>
      </c>
      <c r="D2478" s="6" t="s">
        <v>849</v>
      </c>
      <c r="E2478" s="6" t="s">
        <v>441</v>
      </c>
      <c r="F2478" s="6" t="str">
        <f>IF($M2478="PADD I","PADD 1",IF($M2478="PADD II","PADD 2",IF($M2478="PADD III","PADD 3",IF($M2478="PADD IV","PADD 4",IF($M2478="PADD V","PADD 5","")))))</f>
        <v>PADD 4</v>
      </c>
      <c r="G2478" s="6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6" t="s">
        <v>44</v>
      </c>
      <c r="I2478" s="6" t="s">
        <v>1117</v>
      </c>
      <c r="J2478" s="6" t="s">
        <v>394</v>
      </c>
      <c r="K2478" s="10">
        <v>1.5</v>
      </c>
      <c r="L2478" s="10">
        <v>15</v>
      </c>
      <c r="M2478" s="6" t="s">
        <v>480</v>
      </c>
      <c r="N2478" s="6">
        <f>IF(OR($G2478="FCC",$G2478="Hydrocracker",$G2478="Reformer"),IF(COUNTIFS($D:$D,$D2478,$A:$A,$A2478,$B:$B,$B2478,$G:$G,"CDU",$J:$J,"PLANNED")&gt;0,"tied","standalone"),"")</f>
        <v/>
      </c>
    </row>
    <row r="2479" spans="1:14">
      <c r="A2479" s="6">
        <v>2023</v>
      </c>
      <c r="B2479" s="6">
        <v>11</v>
      </c>
      <c r="C2479" s="6" t="s">
        <v>70</v>
      </c>
      <c r="D2479" s="6" t="s">
        <v>780</v>
      </c>
      <c r="E2479" s="6" t="s">
        <v>781</v>
      </c>
      <c r="F2479" s="6" t="str">
        <f>IF($M2479="PADD I","PADD 1",IF($M2479="PADD II","PADD 2",IF($M2479="PADD III","PADD 3",IF($M2479="PADD IV","PADD 4",IF($M2479="PADD V","PADD 5","")))))</f>
        <v>PADD 3</v>
      </c>
      <c r="G2479" s="6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6" t="s">
        <v>510</v>
      </c>
      <c r="I2479" s="6" t="s">
        <v>666</v>
      </c>
      <c r="J2479" s="6" t="s">
        <v>398</v>
      </c>
      <c r="K2479" s="10">
        <v>1.48</v>
      </c>
      <c r="L2479" s="10">
        <v>4</v>
      </c>
      <c r="M2479" s="6" t="s">
        <v>421</v>
      </c>
      <c r="N2479" s="6">
        <f>IF(OR($G2479="FCC",$G2479="Hydrocracker",$G2479="Reformer"),IF(COUNTIFS($D:$D,$D2479,$A:$A,$A2479,$B:$B,$B2479,$G:$G,"CDU",$J:$J,"PLANNED")&gt;0,"tied","standalone"),"")</f>
        <v/>
      </c>
    </row>
    <row r="2480" spans="1:14">
      <c r="A2480" s="6">
        <v>2023</v>
      </c>
      <c r="B2480" s="6">
        <v>11</v>
      </c>
      <c r="C2480" s="6" t="s">
        <v>70</v>
      </c>
      <c r="D2480" s="6" t="s">
        <v>507</v>
      </c>
      <c r="E2480" s="6" t="s">
        <v>438</v>
      </c>
      <c r="F2480" s="6" t="str">
        <f>IF($M2480="PADD I","PADD 1",IF($M2480="PADD II","PADD 2",IF($M2480="PADD III","PADD 3",IF($M2480="PADD IV","PADD 4",IF($M2480="PADD V","PADD 5","")))))</f>
        <v>PADD 5</v>
      </c>
      <c r="G2480" s="6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6" t="s">
        <v>471</v>
      </c>
      <c r="I2480" s="6" t="s">
        <v>607</v>
      </c>
      <c r="J2480" s="6" t="s">
        <v>394</v>
      </c>
      <c r="K2480" s="10">
        <v>1.4</v>
      </c>
      <c r="L2480" s="10">
        <v>20</v>
      </c>
      <c r="M2480" s="6" t="s">
        <v>436</v>
      </c>
      <c r="N2480" s="6" t="str">
        <f>IF(OR($G2480="FCC",$G2480="Hydrocracker",$G2480="Reformer"),IF(COUNTIFS($D:$D,$D2480,$A:$A,$A2480,$B:$B,$B2480,$G:$G,"CDU",$J:$J,"PLANNED")&gt;0,"tied","standalone"),"")</f>
        <v>standalone</v>
      </c>
    </row>
    <row r="2481" spans="1:14">
      <c r="A2481" s="6">
        <v>2023</v>
      </c>
      <c r="B2481" s="6">
        <v>11</v>
      </c>
      <c r="C2481" s="6" t="s">
        <v>70</v>
      </c>
      <c r="D2481" s="6" t="s">
        <v>49</v>
      </c>
      <c r="E2481" s="6" t="s">
        <v>438</v>
      </c>
      <c r="F2481" s="6" t="str">
        <f>IF($M2481="PADD I","PADD 1",IF($M2481="PADD II","PADD 2",IF($M2481="PADD III","PADD 3",IF($M2481="PADD IV","PADD 4",IF($M2481="PADD V","PADD 5","")))))</f>
        <v>PADD 2</v>
      </c>
      <c r="G2481" s="6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6" t="s">
        <v>494</v>
      </c>
      <c r="I2481" s="6" t="s">
        <v>808</v>
      </c>
      <c r="J2481" s="6" t="s">
        <v>394</v>
      </c>
      <c r="K2481" s="10">
        <v>1.32</v>
      </c>
      <c r="L2481" s="10">
        <v>44</v>
      </c>
      <c r="M2481" s="6" t="s">
        <v>425</v>
      </c>
      <c r="N2481" s="6" t="str">
        <f>IF(OR($G2481="FCC",$G2481="Hydrocracker",$G2481="Reformer"),IF(COUNTIFS($D:$D,$D2481,$A:$A,$A2481,$B:$B,$B2481,$G:$G,"CDU",$J:$J,"PLANNED")&gt;0,"tied","standalone"),"")</f>
        <v>standalone</v>
      </c>
    </row>
    <row r="2482" spans="1:14">
      <c r="A2482" s="6">
        <v>2023</v>
      </c>
      <c r="B2482" s="6">
        <v>11</v>
      </c>
      <c r="C2482" s="6" t="s">
        <v>70</v>
      </c>
      <c r="D2482" s="6" t="s">
        <v>484</v>
      </c>
      <c r="E2482" s="6" t="s">
        <v>438</v>
      </c>
      <c r="F2482" s="6" t="str">
        <f>IF($M2482="PADD I","PADD 1",IF($M2482="PADD II","PADD 2",IF($M2482="PADD III","PADD 3",IF($M2482="PADD IV","PADD 4",IF($M2482="PADD V","PADD 5","")))))</f>
        <v>PADD 5</v>
      </c>
      <c r="G2482" s="6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6" t="s">
        <v>485</v>
      </c>
      <c r="I2482" s="6" t="s">
        <v>486</v>
      </c>
      <c r="J2482" s="6" t="s">
        <v>394</v>
      </c>
      <c r="K2482" s="10">
        <v>1.26</v>
      </c>
      <c r="L2482" s="10">
        <v>42</v>
      </c>
      <c r="M2482" s="6" t="s">
        <v>436</v>
      </c>
      <c r="N2482" s="6">
        <f>IF(OR($G2482="FCC",$G2482="Hydrocracker",$G2482="Reformer"),IF(COUNTIFS($D:$D,$D2482,$A:$A,$A2482,$B:$B,$B2482,$G:$G,"CDU",$J:$J,"PLANNED")&gt;0,"tied","standalone"),"")</f>
        <v/>
      </c>
    </row>
    <row r="2483" spans="1:14">
      <c r="A2483" s="6">
        <v>2023</v>
      </c>
      <c r="B2483" s="6">
        <v>11</v>
      </c>
      <c r="C2483" s="6" t="s">
        <v>70</v>
      </c>
      <c r="D2483" s="6" t="s">
        <v>41</v>
      </c>
      <c r="E2483" s="6" t="s">
        <v>786</v>
      </c>
      <c r="F2483" s="6" t="str">
        <f>IF($M2483="PADD I","PADD 1",IF($M2483="PADD II","PADD 2",IF($M2483="PADD III","PADD 3",IF($M2483="PADD IV","PADD 4",IF($M2483="PADD V","PADD 5","")))))</f>
        <v>PADD 1</v>
      </c>
      <c r="G2483" s="6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6" t="s">
        <v>44</v>
      </c>
      <c r="I2483" s="6" t="s">
        <v>1079</v>
      </c>
      <c r="J2483" s="6" t="s">
        <v>398</v>
      </c>
      <c r="K2483" s="10">
        <v>1.26</v>
      </c>
      <c r="L2483" s="10">
        <v>4.2</v>
      </c>
      <c r="M2483" s="6" t="s">
        <v>463</v>
      </c>
      <c r="N2483" s="6">
        <f>IF(OR($G2483="FCC",$G2483="Hydrocracker",$G2483="Reformer"),IF(COUNTIFS($D:$D,$D2483,$A:$A,$A2483,$B:$B,$B2483,$G:$G,"CDU",$J:$J,"PLANNED")&gt;0,"tied","standalone"),"")</f>
        <v/>
      </c>
    </row>
    <row r="2484" spans="1:14">
      <c r="A2484" s="6">
        <v>2023</v>
      </c>
      <c r="B2484" s="6">
        <v>11</v>
      </c>
      <c r="C2484" s="6" t="s">
        <v>70</v>
      </c>
      <c r="D2484" s="6" t="s">
        <v>652</v>
      </c>
      <c r="E2484" s="6" t="s">
        <v>419</v>
      </c>
      <c r="F2484" s="6" t="str">
        <f>IF($M2484="PADD I","PADD 1",IF($M2484="PADD II","PADD 2",IF($M2484="PADD III","PADD 3",IF($M2484="PADD IV","PADD 4",IF($M2484="PADD V","PADD 5","")))))</f>
        <v>PADD 2</v>
      </c>
      <c r="G2484" s="6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6" t="s">
        <v>618</v>
      </c>
      <c r="I2484" s="6" t="s">
        <v>654</v>
      </c>
      <c r="J2484" s="6" t="s">
        <v>398</v>
      </c>
      <c r="K2484" s="10">
        <v>1.17</v>
      </c>
      <c r="L2484" s="10">
        <v>9</v>
      </c>
      <c r="M2484" s="6" t="s">
        <v>425</v>
      </c>
      <c r="N2484" s="6">
        <f>IF(OR($G2484="FCC",$G2484="Hydrocracker",$G2484="Reformer"),IF(COUNTIFS($D:$D,$D2484,$A:$A,$A2484,$B:$B,$B2484,$G:$G,"CDU",$J:$J,"PLANNED")&gt;0,"tied","standalone"),"")</f>
        <v/>
      </c>
    </row>
    <row r="2485" spans="1:14">
      <c r="A2485" s="6">
        <v>2023</v>
      </c>
      <c r="B2485" s="6">
        <v>11</v>
      </c>
      <c r="C2485" s="6" t="s">
        <v>70</v>
      </c>
      <c r="D2485" s="6" t="s">
        <v>1113</v>
      </c>
      <c r="E2485" s="6" t="s">
        <v>438</v>
      </c>
      <c r="F2485" s="6" t="str">
        <f>IF($M2485="PADD I","PADD 1",IF($M2485="PADD II","PADD 2",IF($M2485="PADD III","PADD 3",IF($M2485="PADD IV","PADD 4",IF($M2485="PADD V","PADD 5","")))))</f>
        <v>PADD 2</v>
      </c>
      <c r="G2485" s="6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6" t="s">
        <v>428</v>
      </c>
      <c r="I2485" s="6" t="s">
        <v>481</v>
      </c>
      <c r="J2485" s="6" t="s">
        <v>394</v>
      </c>
      <c r="K2485" s="10">
        <v>1.14</v>
      </c>
      <c r="L2485" s="10">
        <v>38</v>
      </c>
      <c r="M2485" s="6" t="s">
        <v>425</v>
      </c>
      <c r="N2485" s="6">
        <f>IF(OR($G2485="FCC",$G2485="Hydrocracker",$G2485="Reformer"),IF(COUNTIFS($D:$D,$D2485,$A:$A,$A2485,$B:$B,$B2485,$G:$G,"CDU",$J:$J,"PLANNED")&gt;0,"tied","standalone"),"")</f>
        <v/>
      </c>
    </row>
    <row r="2486" spans="1:14">
      <c r="A2486" s="6">
        <v>2023</v>
      </c>
      <c r="B2486" s="6">
        <v>11</v>
      </c>
      <c r="C2486" s="6" t="s">
        <v>70</v>
      </c>
      <c r="D2486" s="6" t="s">
        <v>1113</v>
      </c>
      <c r="E2486" s="6" t="s">
        <v>438</v>
      </c>
      <c r="F2486" s="6" t="str">
        <f>IF($M2486="PADD I","PADD 1",IF($M2486="PADD II","PADD 2",IF($M2486="PADD III","PADD 3",IF($M2486="PADD IV","PADD 4",IF($M2486="PADD V","PADD 5","")))))</f>
        <v>PADD 2</v>
      </c>
      <c r="G2486" s="6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6" t="s">
        <v>44</v>
      </c>
      <c r="I2486" s="6" t="s">
        <v>499</v>
      </c>
      <c r="J2486" s="6" t="s">
        <v>394</v>
      </c>
      <c r="K2486" s="10">
        <v>0.99</v>
      </c>
      <c r="L2486" s="10">
        <v>33</v>
      </c>
      <c r="M2486" s="6" t="s">
        <v>425</v>
      </c>
      <c r="N2486" s="6">
        <f>IF(OR($G2486="FCC",$G2486="Hydrocracker",$G2486="Reformer"),IF(COUNTIFS($D:$D,$D2486,$A:$A,$A2486,$B:$B,$B2486,$G:$G,"CDU",$J:$J,"PLANNED")&gt;0,"tied","standalone"),"")</f>
        <v/>
      </c>
    </row>
    <row r="2487" spans="1:14">
      <c r="A2487" s="6">
        <v>2023</v>
      </c>
      <c r="B2487" s="6">
        <v>11</v>
      </c>
      <c r="C2487" s="6" t="s">
        <v>70</v>
      </c>
      <c r="D2487" s="6" t="s">
        <v>1113</v>
      </c>
      <c r="E2487" s="6" t="s">
        <v>438</v>
      </c>
      <c r="F2487" s="6" t="str">
        <f>IF($M2487="PADD I","PADD 1",IF($M2487="PADD II","PADD 2",IF($M2487="PADD III","PADD 3",IF($M2487="PADD IV","PADD 4",IF($M2487="PADD V","PADD 5","")))))</f>
        <v>PADD 2</v>
      </c>
      <c r="G2487" s="6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6" t="s">
        <v>44</v>
      </c>
      <c r="I2487" s="6" t="s">
        <v>1118</v>
      </c>
      <c r="J2487" s="6" t="s">
        <v>394</v>
      </c>
      <c r="K2487" s="10">
        <v>0.93</v>
      </c>
      <c r="L2487" s="10">
        <v>31</v>
      </c>
      <c r="M2487" s="6" t="s">
        <v>425</v>
      </c>
      <c r="N2487" s="6">
        <f>IF(OR($G2487="FCC",$G2487="Hydrocracker",$G2487="Reformer"),IF(COUNTIFS($D:$D,$D2487,$A:$A,$A2487,$B:$B,$B2487,$G:$G,"CDU",$J:$J,"PLANNED")&gt;0,"tied","standalone"),"")</f>
        <v/>
      </c>
    </row>
    <row r="2488" spans="1:14">
      <c r="A2488" s="6">
        <v>2023</v>
      </c>
      <c r="B2488" s="6">
        <v>11</v>
      </c>
      <c r="C2488" s="6" t="s">
        <v>70</v>
      </c>
      <c r="D2488" s="6" t="s">
        <v>597</v>
      </c>
      <c r="E2488" s="6" t="s">
        <v>441</v>
      </c>
      <c r="F2488" s="6" t="str">
        <f>IF($M2488="PADD I","PADD 1",IF($M2488="PADD II","PADD 2",IF($M2488="PADD III","PADD 3",IF($M2488="PADD IV","PADD 4",IF($M2488="PADD V","PADD 5","")))))</f>
        <v>PADD 5</v>
      </c>
      <c r="G2488" s="6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6" t="s">
        <v>618</v>
      </c>
      <c r="I2488" s="6" t="s">
        <v>988</v>
      </c>
      <c r="J2488" s="6" t="s">
        <v>394</v>
      </c>
      <c r="K2488" s="10">
        <v>0.86</v>
      </c>
      <c r="L2488" s="10">
        <v>8.6</v>
      </c>
      <c r="M2488" s="6" t="s">
        <v>436</v>
      </c>
      <c r="N2488" s="6">
        <f>IF(OR($G2488="FCC",$G2488="Hydrocracker",$G2488="Reformer"),IF(COUNTIFS($D:$D,$D2488,$A:$A,$A2488,$B:$B,$B2488,$G:$G,"CDU",$J:$J,"PLANNED")&gt;0,"tied","standalone"),"")</f>
        <v/>
      </c>
    </row>
    <row r="2489" spans="1:14">
      <c r="A2489" s="6">
        <v>2023</v>
      </c>
      <c r="B2489" s="6">
        <v>11</v>
      </c>
      <c r="C2489" s="6" t="s">
        <v>70</v>
      </c>
      <c r="D2489" s="6" t="s">
        <v>1113</v>
      </c>
      <c r="E2489" s="6" t="s">
        <v>438</v>
      </c>
      <c r="F2489" s="6" t="str">
        <f>IF($M2489="PADD I","PADD 1",IF($M2489="PADD II","PADD 2",IF($M2489="PADD III","PADD 3",IF($M2489="PADD IV","PADD 4",IF($M2489="PADD V","PADD 5","")))))</f>
        <v>PADD 2</v>
      </c>
      <c r="G2489" s="6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6" t="s">
        <v>485</v>
      </c>
      <c r="I2489" s="6" t="s">
        <v>491</v>
      </c>
      <c r="J2489" s="6" t="s">
        <v>394</v>
      </c>
      <c r="K2489" s="10">
        <v>0.84</v>
      </c>
      <c r="L2489" s="10">
        <v>28</v>
      </c>
      <c r="M2489" s="6" t="s">
        <v>425</v>
      </c>
      <c r="N2489" s="6">
        <f>IF(OR($G2489="FCC",$G2489="Hydrocracker",$G2489="Reformer"),IF(COUNTIFS($D:$D,$D2489,$A:$A,$A2489,$B:$B,$B2489,$G:$G,"CDU",$J:$J,"PLANNED")&gt;0,"tied","standalone"),"")</f>
        <v/>
      </c>
    </row>
    <row r="2490" spans="1:14">
      <c r="A2490" s="6">
        <v>2023</v>
      </c>
      <c r="B2490" s="6">
        <v>11</v>
      </c>
      <c r="C2490" s="6" t="s">
        <v>70</v>
      </c>
      <c r="D2490" s="6" t="s">
        <v>851</v>
      </c>
      <c r="E2490" s="6" t="s">
        <v>829</v>
      </c>
      <c r="F2490" s="6" t="str">
        <f>IF($M2490="PADD I","PADD 1",IF($M2490="PADD II","PADD 2",IF($M2490="PADD III","PADD 3",IF($M2490="PADD IV","PADD 4",IF($M2490="PADD V","PADD 5","")))))</f>
        <v>PADD 2</v>
      </c>
      <c r="G2490" s="6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6" t="s">
        <v>510</v>
      </c>
      <c r="I2490" s="6" t="s">
        <v>511</v>
      </c>
      <c r="J2490" s="6" t="s">
        <v>398</v>
      </c>
      <c r="K2490" s="10">
        <v>0.84</v>
      </c>
      <c r="L2490" s="10">
        <v>12</v>
      </c>
      <c r="M2490" s="6" t="s">
        <v>425</v>
      </c>
      <c r="N2490" s="6">
        <f>IF(OR($G2490="FCC",$G2490="Hydrocracker",$G2490="Reformer"),IF(COUNTIFS($D:$D,$D2490,$A:$A,$A2490,$B:$B,$B2490,$G:$G,"CDU",$J:$J,"PLANNED")&gt;0,"tied","standalone"),"")</f>
        <v/>
      </c>
    </row>
    <row r="2491" spans="1:14">
      <c r="A2491" s="6">
        <v>2023</v>
      </c>
      <c r="B2491" s="6">
        <v>11</v>
      </c>
      <c r="C2491" s="6" t="s">
        <v>70</v>
      </c>
      <c r="D2491" s="6" t="s">
        <v>682</v>
      </c>
      <c r="E2491" s="6" t="s">
        <v>683</v>
      </c>
      <c r="F2491" s="6" t="str">
        <f>IF($M2491="PADD I","PADD 1",IF($M2491="PADD II","PADD 2",IF($M2491="PADD III","PADD 3",IF($M2491="PADD IV","PADD 4",IF($M2491="PADD V","PADD 5","")))))</f>
        <v>PADD 4</v>
      </c>
      <c r="G2491" s="6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6" t="s">
        <v>44</v>
      </c>
      <c r="I2491" s="6" t="s">
        <v>724</v>
      </c>
      <c r="J2491" s="6" t="s">
        <v>394</v>
      </c>
      <c r="K2491" s="10">
        <v>0.805</v>
      </c>
      <c r="L2491" s="10">
        <v>11.5</v>
      </c>
      <c r="M2491" s="6" t="s">
        <v>480</v>
      </c>
      <c r="N2491" s="6">
        <f>IF(OR($G2491="FCC",$G2491="Hydrocracker",$G2491="Reformer"),IF(COUNTIFS($D:$D,$D2491,$A:$A,$A2491,$B:$B,$B2491,$G:$G,"CDU",$J:$J,"PLANNED")&gt;0,"tied","standalone"),"")</f>
        <v/>
      </c>
    </row>
    <row r="2492" spans="1:14">
      <c r="A2492" s="6">
        <v>2023</v>
      </c>
      <c r="B2492" s="6">
        <v>11</v>
      </c>
      <c r="C2492" s="6" t="s">
        <v>70</v>
      </c>
      <c r="D2492" s="6" t="s">
        <v>712</v>
      </c>
      <c r="E2492" s="6" t="s">
        <v>602</v>
      </c>
      <c r="F2492" s="6" t="str">
        <f>IF($M2492="PADD I","PADD 1",IF($M2492="PADD II","PADD 2",IF($M2492="PADD III","PADD 3",IF($M2492="PADD IV","PADD 4",IF($M2492="PADD V","PADD 5","")))))</f>
        <v>PADD 3</v>
      </c>
      <c r="G2492" s="6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6" t="s">
        <v>44</v>
      </c>
      <c r="I2492" s="6" t="s">
        <v>977</v>
      </c>
      <c r="J2492" s="6" t="s">
        <v>398</v>
      </c>
      <c r="K2492" s="10">
        <v>0.765</v>
      </c>
      <c r="L2492" s="10">
        <v>25.5</v>
      </c>
      <c r="M2492" s="6" t="s">
        <v>421</v>
      </c>
      <c r="N2492" s="6">
        <f>IF(OR($G2492="FCC",$G2492="Hydrocracker",$G2492="Reformer"),IF(COUNTIFS($D:$D,$D2492,$A:$A,$A2492,$B:$B,$B2492,$G:$G,"CDU",$J:$J,"PLANNED")&gt;0,"tied","standalone"),"")</f>
        <v/>
      </c>
    </row>
    <row r="2493" spans="1:14">
      <c r="A2493" s="6">
        <v>2023</v>
      </c>
      <c r="B2493" s="6">
        <v>11</v>
      </c>
      <c r="C2493" s="6" t="s">
        <v>70</v>
      </c>
      <c r="D2493" s="6" t="s">
        <v>712</v>
      </c>
      <c r="E2493" s="6" t="s">
        <v>602</v>
      </c>
      <c r="F2493" s="6" t="str">
        <f>IF($M2493="PADD I","PADD 1",IF($M2493="PADD II","PADD 2",IF($M2493="PADD III","PADD 3",IF($M2493="PADD IV","PADD 4",IF($M2493="PADD V","PADD 5","")))))</f>
        <v>PADD 3</v>
      </c>
      <c r="G2493" s="6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6" t="s">
        <v>44</v>
      </c>
      <c r="I2493" s="6" t="s">
        <v>785</v>
      </c>
      <c r="J2493" s="6" t="s">
        <v>398</v>
      </c>
      <c r="K2493" s="10">
        <v>0.6899999999999999</v>
      </c>
      <c r="L2493" s="10">
        <v>23</v>
      </c>
      <c r="M2493" s="6" t="s">
        <v>421</v>
      </c>
      <c r="N2493" s="6">
        <f>IF(OR($G2493="FCC",$G2493="Hydrocracker",$G2493="Reformer"),IF(COUNTIFS($D:$D,$D2493,$A:$A,$A2493,$B:$B,$B2493,$G:$G,"CDU",$J:$J,"PLANNED")&gt;0,"tied","standalone"),"")</f>
        <v/>
      </c>
    </row>
    <row r="2494" spans="1:14">
      <c r="A2494" s="6">
        <v>2023</v>
      </c>
      <c r="B2494" s="6">
        <v>11</v>
      </c>
      <c r="C2494" s="6" t="s">
        <v>70</v>
      </c>
      <c r="D2494" s="6" t="s">
        <v>712</v>
      </c>
      <c r="E2494" s="6" t="s">
        <v>602</v>
      </c>
      <c r="F2494" s="6" t="str">
        <f>IF($M2494="PADD I","PADD 1",IF($M2494="PADD II","PADD 2",IF($M2494="PADD III","PADD 3",IF($M2494="PADD IV","PADD 4",IF($M2494="PADD V","PADD 5","")))))</f>
        <v>PADD 3</v>
      </c>
      <c r="G2494" s="6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6" t="s">
        <v>471</v>
      </c>
      <c r="I2494" s="6" t="s">
        <v>1099</v>
      </c>
      <c r="J2494" s="6" t="s">
        <v>398</v>
      </c>
      <c r="K2494" s="10">
        <v>0.645</v>
      </c>
      <c r="L2494" s="10">
        <v>21.5</v>
      </c>
      <c r="M2494" s="6" t="s">
        <v>421</v>
      </c>
      <c r="N2494" s="6" t="str">
        <f>IF(OR($G2494="FCC",$G2494="Hydrocracker",$G2494="Reformer"),IF(COUNTIFS($D:$D,$D2494,$A:$A,$A2494,$B:$B,$B2494,$G:$G,"CDU",$J:$J,"PLANNED")&gt;0,"tied","standalone"),"")</f>
        <v>standalone</v>
      </c>
    </row>
    <row r="2495" spans="1:14">
      <c r="A2495" s="6">
        <v>2023</v>
      </c>
      <c r="B2495" s="6">
        <v>11</v>
      </c>
      <c r="C2495" s="6" t="s">
        <v>70</v>
      </c>
      <c r="D2495" s="6" t="s">
        <v>1113</v>
      </c>
      <c r="E2495" s="6" t="s">
        <v>438</v>
      </c>
      <c r="F2495" s="6" t="str">
        <f>IF($M2495="PADD I","PADD 1",IF($M2495="PADD II","PADD 2",IF($M2495="PADD III","PADD 3",IF($M2495="PADD IV","PADD 4",IF($M2495="PADD V","PADD 5","")))))</f>
        <v>PADD 2</v>
      </c>
      <c r="G2495" s="6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6" t="s">
        <v>471</v>
      </c>
      <c r="I2495" s="6" t="s">
        <v>1119</v>
      </c>
      <c r="J2495" s="6" t="s">
        <v>394</v>
      </c>
      <c r="K2495" s="10">
        <v>0.6</v>
      </c>
      <c r="L2495" s="10">
        <v>20</v>
      </c>
      <c r="M2495" s="6" t="s">
        <v>425</v>
      </c>
      <c r="N2495" s="6" t="str">
        <f>IF(OR($G2495="FCC",$G2495="Hydrocracker",$G2495="Reformer"),IF(COUNTIFS($D:$D,$D2495,$A:$A,$A2495,$B:$B,$B2495,$G:$G,"CDU",$J:$J,"PLANNED")&gt;0,"tied","standalone"),"")</f>
        <v>standalone</v>
      </c>
    </row>
    <row r="2496" spans="1:14">
      <c r="A2496" s="6">
        <v>2023</v>
      </c>
      <c r="B2496" s="6">
        <v>11</v>
      </c>
      <c r="C2496" s="6" t="s">
        <v>70</v>
      </c>
      <c r="D2496" s="6" t="s">
        <v>682</v>
      </c>
      <c r="E2496" s="6" t="s">
        <v>683</v>
      </c>
      <c r="F2496" s="6" t="str">
        <f>IF($M2496="PADD I","PADD 1",IF($M2496="PADD II","PADD 2",IF($M2496="PADD III","PADD 3",IF($M2496="PADD IV","PADD 4",IF($M2496="PADD V","PADD 5","")))))</f>
        <v>PADD 4</v>
      </c>
      <c r="G2496" s="6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6" t="s">
        <v>471</v>
      </c>
      <c r="I2496" s="6" t="s">
        <v>1120</v>
      </c>
      <c r="J2496" s="6" t="s">
        <v>394</v>
      </c>
      <c r="K2496" s="10">
        <v>0.595</v>
      </c>
      <c r="L2496" s="10">
        <v>8.5</v>
      </c>
      <c r="M2496" s="6" t="s">
        <v>480</v>
      </c>
      <c r="N2496" s="6" t="str">
        <f>IF(OR($G2496="FCC",$G2496="Hydrocracker",$G2496="Reformer"),IF(COUNTIFS($D:$D,$D2496,$A:$A,$A2496,$B:$B,$B2496,$G:$G,"CDU",$J:$J,"PLANNED")&gt;0,"tied","standalone"),"")</f>
        <v>standalone</v>
      </c>
    </row>
    <row r="2497" spans="1:14">
      <c r="A2497" s="6">
        <v>2023</v>
      </c>
      <c r="B2497" s="6">
        <v>11</v>
      </c>
      <c r="C2497" s="6" t="s">
        <v>70</v>
      </c>
      <c r="D2497" s="6" t="s">
        <v>49</v>
      </c>
      <c r="E2497" s="6" t="s">
        <v>438</v>
      </c>
      <c r="F2497" s="6" t="str">
        <f>IF($M2497="PADD I","PADD 1",IF($M2497="PADD II","PADD 2",IF($M2497="PADD III","PADD 3",IF($M2497="PADD IV","PADD 4",IF($M2497="PADD V","PADD 5","")))))</f>
        <v>PADD 2</v>
      </c>
      <c r="G2497" s="6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6" t="s">
        <v>485</v>
      </c>
      <c r="I2497" s="6" t="s">
        <v>804</v>
      </c>
      <c r="J2497" s="6" t="s">
        <v>394</v>
      </c>
      <c r="K2497" s="10">
        <v>0.555</v>
      </c>
      <c r="L2497" s="10">
        <v>18.5</v>
      </c>
      <c r="M2497" s="6" t="s">
        <v>425</v>
      </c>
      <c r="N2497" s="6">
        <f>IF(OR($G2497="FCC",$G2497="Hydrocracker",$G2497="Reformer"),IF(COUNTIFS($D:$D,$D2497,$A:$A,$A2497,$B:$B,$B2497,$G:$G,"CDU",$J:$J,"PLANNED")&gt;0,"tied","standalone"),"")</f>
        <v/>
      </c>
    </row>
    <row r="2498" spans="1:14">
      <c r="A2498" s="6">
        <v>2023</v>
      </c>
      <c r="B2498" s="6">
        <v>11</v>
      </c>
      <c r="C2498" s="6" t="s">
        <v>70</v>
      </c>
      <c r="D2498" s="6" t="s">
        <v>1113</v>
      </c>
      <c r="E2498" s="6" t="s">
        <v>438</v>
      </c>
      <c r="F2498" s="6" t="str">
        <f>IF($M2498="PADD I","PADD 1",IF($M2498="PADD II","PADD 2",IF($M2498="PADD III","PADD 3",IF($M2498="PADD IV","PADD 4",IF($M2498="PADD V","PADD 5","")))))</f>
        <v>PADD 2</v>
      </c>
      <c r="G2498" s="6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6" t="s">
        <v>573</v>
      </c>
      <c r="I2498" s="6" t="s">
        <v>1121</v>
      </c>
      <c r="J2498" s="6" t="s">
        <v>394</v>
      </c>
      <c r="K2498" s="10">
        <v>0.54</v>
      </c>
      <c r="L2498" s="10">
        <v>18</v>
      </c>
      <c r="M2498" s="6" t="s">
        <v>425</v>
      </c>
      <c r="N2498" s="6">
        <f>IF(OR($G2498="FCC",$G2498="Hydrocracker",$G2498="Reformer"),IF(COUNTIFS($D:$D,$D2498,$A:$A,$A2498,$B:$B,$B2498,$G:$G,"CDU",$J:$J,"PLANNED")&gt;0,"tied","standalone"),"")</f>
        <v/>
      </c>
    </row>
    <row r="2499" spans="1:14">
      <c r="A2499" s="6">
        <v>2023</v>
      </c>
      <c r="B2499" s="6">
        <v>11</v>
      </c>
      <c r="C2499" s="6" t="s">
        <v>70</v>
      </c>
      <c r="D2499" s="6" t="s">
        <v>712</v>
      </c>
      <c r="E2499" s="6" t="s">
        <v>602</v>
      </c>
      <c r="F2499" s="6" t="str">
        <f>IF($M2499="PADD I","PADD 1",IF($M2499="PADD II","PADD 2",IF($M2499="PADD III","PADD 3",IF($M2499="PADD IV","PADD 4",IF($M2499="PADD V","PADD 5","")))))</f>
        <v>PADD 3</v>
      </c>
      <c r="G2499" s="6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6" t="s">
        <v>44</v>
      </c>
      <c r="I2499" s="6" t="s">
        <v>894</v>
      </c>
      <c r="J2499" s="6" t="s">
        <v>398</v>
      </c>
      <c r="K2499" s="10">
        <v>0.5</v>
      </c>
      <c r="L2499" s="10">
        <v>5</v>
      </c>
      <c r="M2499" s="6" t="s">
        <v>421</v>
      </c>
      <c r="N2499" s="6">
        <f>IF(OR($G2499="FCC",$G2499="Hydrocracker",$G2499="Reformer"),IF(COUNTIFS($D:$D,$D2499,$A:$A,$A2499,$B:$B,$B2499,$G:$G,"CDU",$J:$J,"PLANNED")&gt;0,"tied","standalone"),"")</f>
        <v/>
      </c>
    </row>
    <row r="2500" spans="1:14">
      <c r="A2500" s="6">
        <v>2023</v>
      </c>
      <c r="B2500" s="6">
        <v>11</v>
      </c>
      <c r="C2500" s="6" t="s">
        <v>70</v>
      </c>
      <c r="D2500" s="6" t="s">
        <v>1113</v>
      </c>
      <c r="E2500" s="6" t="s">
        <v>438</v>
      </c>
      <c r="F2500" s="6" t="str">
        <f>IF($M2500="PADD I","PADD 1",IF($M2500="PADD II","PADD 2",IF($M2500="PADD III","PADD 3",IF($M2500="PADD IV","PADD 4",IF($M2500="PADD V","PADD 5","")))))</f>
        <v>PADD 2</v>
      </c>
      <c r="G2500" s="6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6" t="s">
        <v>44</v>
      </c>
      <c r="I2500" s="6" t="s">
        <v>1122</v>
      </c>
      <c r="J2500" s="6" t="s">
        <v>394</v>
      </c>
      <c r="K2500" s="10">
        <v>0.21</v>
      </c>
      <c r="L2500" s="10">
        <v>7</v>
      </c>
      <c r="M2500" s="6" t="s">
        <v>425</v>
      </c>
      <c r="N2500" s="6">
        <f>IF(OR($G2500="FCC",$G2500="Hydrocracker",$G2500="Reformer"),IF(COUNTIFS($D:$D,$D2500,$A:$A,$A2500,$B:$B,$B2500,$G:$G,"CDU",$J:$J,"PLANNED")&gt;0,"tied","standalone"),"")</f>
        <v/>
      </c>
    </row>
    <row r="2501" spans="1:14">
      <c r="A2501" s="6">
        <v>2023</v>
      </c>
      <c r="B2501" s="6">
        <v>11</v>
      </c>
      <c r="C2501" s="6" t="s">
        <v>70</v>
      </c>
      <c r="D2501" s="6" t="s">
        <v>712</v>
      </c>
      <c r="E2501" s="6" t="s">
        <v>602</v>
      </c>
      <c r="F2501" s="6" t="str">
        <f>IF($M2501="PADD I","PADD 1",IF($M2501="PADD II","PADD 2",IF($M2501="PADD III","PADD 3",IF($M2501="PADD IV","PADD 4",IF($M2501="PADD V","PADD 5","")))))</f>
        <v>PADD 3</v>
      </c>
      <c r="G2501" s="6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6" t="s">
        <v>44</v>
      </c>
      <c r="I2501" s="6" t="s">
        <v>894</v>
      </c>
      <c r="J2501" s="6" t="s">
        <v>398</v>
      </c>
      <c r="K2501" s="10">
        <v>0.15</v>
      </c>
      <c r="L2501" s="10">
        <v>5</v>
      </c>
      <c r="M2501" s="6" t="s">
        <v>421</v>
      </c>
      <c r="N2501" s="6">
        <f>IF(OR($G2501="FCC",$G2501="Hydrocracker",$G2501="Reformer"),IF(COUNTIFS($D:$D,$D2501,$A:$A,$A2501,$B:$B,$B2501,$G:$G,"CDU",$J:$J,"PLANNED")&gt;0,"tied","standalone"),"")</f>
        <v/>
      </c>
    </row>
    <row r="2502" spans="1:14">
      <c r="A2502" s="6">
        <v>2023</v>
      </c>
      <c r="B2502" s="6">
        <v>11</v>
      </c>
      <c r="C2502" s="6" t="s">
        <v>70</v>
      </c>
      <c r="D2502" s="6" t="s">
        <v>1113</v>
      </c>
      <c r="E2502" s="6" t="s">
        <v>438</v>
      </c>
      <c r="F2502" s="6" t="str">
        <f>IF($M2502="PADD I","PADD 1",IF($M2502="PADD II","PADD 2",IF($M2502="PADD III","PADD 3",IF($M2502="PADD IV","PADD 4",IF($M2502="PADD V","PADD 5","")))))</f>
        <v>PADD 2</v>
      </c>
      <c r="G2502" s="6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6" t="s">
        <v>510</v>
      </c>
      <c r="I2502" s="6" t="s">
        <v>511</v>
      </c>
      <c r="J2502" s="6" t="s">
        <v>394</v>
      </c>
      <c r="K2502" s="10">
        <v>0.12</v>
      </c>
      <c r="L2502" s="10">
        <v>4</v>
      </c>
      <c r="M2502" s="6" t="s">
        <v>425</v>
      </c>
      <c r="N2502" s="6">
        <f>IF(OR($G2502="FCC",$G2502="Hydrocracker",$G2502="Reformer"),IF(COUNTIFS($D:$D,$D2502,$A:$A,$A2502,$B:$B,$B2502,$G:$G,"CDU",$J:$J,"PLANNED")&gt;0,"tied","standalone"),"")</f>
        <v/>
      </c>
    </row>
    <row r="2503" spans="1:14">
      <c r="A2503" s="6">
        <v>2023</v>
      </c>
      <c r="B2503" s="6">
        <v>12</v>
      </c>
      <c r="C2503" s="6" t="s">
        <v>71</v>
      </c>
      <c r="D2503" s="6" t="s">
        <v>458</v>
      </c>
      <c r="E2503" s="6" t="s">
        <v>459</v>
      </c>
      <c r="F2503" s="6" t="str">
        <f>IF($M2503="PADD I","PADD 1",IF($M2503="PADD II","PADD 2",IF($M2503="PADD III","PADD 3",IF($M2503="PADD IV","PADD 4",IF($M2503="PADD V","PADD 5","")))))</f>
        <v>PADD 3</v>
      </c>
      <c r="G2503" s="6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6" t="s">
        <v>39</v>
      </c>
      <c r="I2503" s="6" t="s">
        <v>460</v>
      </c>
      <c r="J2503" s="6" t="s">
        <v>394</v>
      </c>
      <c r="K2503" s="10">
        <v>80</v>
      </c>
      <c r="L2503" s="10">
        <v>80</v>
      </c>
      <c r="M2503" s="6" t="s">
        <v>421</v>
      </c>
      <c r="N2503" s="6">
        <f>IF(OR($G2503="FCC",$G2503="Hydrocracker",$G2503="Reformer"),IF(COUNTIFS($D:$D,$D2503,$A:$A,$A2503,$B:$B,$B2503,$G:$G,"CDU",$J:$J,"PLANNED")&gt;0,"tied","standalone"),"")</f>
        <v/>
      </c>
    </row>
    <row r="2504" spans="1:14">
      <c r="A2504" s="6">
        <v>2023</v>
      </c>
      <c r="B2504" s="6">
        <v>12</v>
      </c>
      <c r="C2504" s="6" t="s">
        <v>71</v>
      </c>
      <c r="D2504" s="6" t="s">
        <v>458</v>
      </c>
      <c r="E2504" s="6" t="s">
        <v>459</v>
      </c>
      <c r="F2504" s="6" t="str">
        <f>IF($M2504="PADD I","PADD 1",IF($M2504="PADD II","PADD 2",IF($M2504="PADD III","PADD 3",IF($M2504="PADD IV","PADD 4",IF($M2504="PADD V","PADD 5","")))))</f>
        <v>PADD 3</v>
      </c>
      <c r="G2504" s="6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6" t="s">
        <v>428</v>
      </c>
      <c r="I2504" s="6" t="s">
        <v>556</v>
      </c>
      <c r="J2504" s="6" t="s">
        <v>394</v>
      </c>
      <c r="K2504" s="10">
        <v>52</v>
      </c>
      <c r="L2504" s="10">
        <v>52</v>
      </c>
      <c r="M2504" s="6" t="s">
        <v>421</v>
      </c>
      <c r="N2504" s="6">
        <f>IF(OR($G2504="FCC",$G2504="Hydrocracker",$G2504="Reformer"),IF(COUNTIFS($D:$D,$D2504,$A:$A,$A2504,$B:$B,$B2504,$G:$G,"CDU",$J:$J,"PLANNED")&gt;0,"tied","standalone"),"")</f>
        <v/>
      </c>
    </row>
    <row r="2505" spans="1:14">
      <c r="A2505" s="6">
        <v>2023</v>
      </c>
      <c r="B2505" s="6">
        <v>12</v>
      </c>
      <c r="C2505" s="6" t="s">
        <v>71</v>
      </c>
      <c r="D2505" s="6" t="s">
        <v>465</v>
      </c>
      <c r="E2505" s="6" t="s">
        <v>466</v>
      </c>
      <c r="F2505" s="6" t="str">
        <f>IF($M2505="PADD I","PADD 1",IF($M2505="PADD II","PADD 2",IF($M2505="PADD III","PADD 3",IF($M2505="PADD IV","PADD 4",IF($M2505="PADD V","PADD 5","")))))</f>
        <v>PADD 3</v>
      </c>
      <c r="G2505" s="6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6" t="s">
        <v>428</v>
      </c>
      <c r="I2505" s="6" t="s">
        <v>467</v>
      </c>
      <c r="J2505" s="6" t="s">
        <v>394</v>
      </c>
      <c r="K2505" s="10">
        <v>50</v>
      </c>
      <c r="L2505" s="10">
        <v>50</v>
      </c>
      <c r="M2505" s="6" t="s">
        <v>421</v>
      </c>
      <c r="N2505" s="6">
        <f>IF(OR($G2505="FCC",$G2505="Hydrocracker",$G2505="Reformer"),IF(COUNTIFS($D:$D,$D2505,$A:$A,$A2505,$B:$B,$B2505,$G:$G,"CDU",$J:$J,"PLANNED")&gt;0,"tied","standalone"),"")</f>
        <v/>
      </c>
    </row>
    <row r="2506" spans="1:14">
      <c r="A2506" s="6">
        <v>2023</v>
      </c>
      <c r="B2506" s="6">
        <v>12</v>
      </c>
      <c r="C2506" s="6" t="s">
        <v>71</v>
      </c>
      <c r="D2506" s="6" t="s">
        <v>496</v>
      </c>
      <c r="E2506" s="6" t="s">
        <v>441</v>
      </c>
      <c r="F2506" s="6" t="str">
        <f>IF($M2506="PADD I","PADD 1",IF($M2506="PADD II","PADD 2",IF($M2506="PADD III","PADD 3",IF($M2506="PADD IV","PADD 4",IF($M2506="PADD V","PADD 5","")))))</f>
        <v>PADD 3</v>
      </c>
      <c r="G2506" s="6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6" t="s">
        <v>44</v>
      </c>
      <c r="I2506" s="6" t="s">
        <v>497</v>
      </c>
      <c r="J2506" s="6" t="s">
        <v>398</v>
      </c>
      <c r="K2506" s="10">
        <v>35</v>
      </c>
      <c r="L2506" s="10">
        <v>35</v>
      </c>
      <c r="M2506" s="6" t="s">
        <v>421</v>
      </c>
      <c r="N2506" s="6">
        <f>IF(OR($G2506="FCC",$G2506="Hydrocracker",$G2506="Reformer"),IF(COUNTIFS($D:$D,$D2506,$A:$A,$A2506,$B:$B,$B2506,$G:$G,"CDU",$J:$J,"PLANNED")&gt;0,"tied","standalone"),"")</f>
        <v/>
      </c>
    </row>
    <row r="2507" spans="1:14">
      <c r="A2507" s="6">
        <v>2023</v>
      </c>
      <c r="B2507" s="6">
        <v>12</v>
      </c>
      <c r="C2507" s="6" t="s">
        <v>71</v>
      </c>
      <c r="D2507" s="6" t="s">
        <v>498</v>
      </c>
      <c r="E2507" s="6" t="s">
        <v>441</v>
      </c>
      <c r="F2507" s="6" t="str">
        <f>IF($M2507="PADD I","PADD 1",IF($M2507="PADD II","PADD 2",IF($M2507="PADD III","PADD 3",IF($M2507="PADD IV","PADD 4",IF($M2507="PADD V","PADD 5","")))))</f>
        <v>PADD 3</v>
      </c>
      <c r="G2507" s="6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6" t="s">
        <v>44</v>
      </c>
      <c r="I2507" s="6" t="s">
        <v>499</v>
      </c>
      <c r="J2507" s="6" t="s">
        <v>394</v>
      </c>
      <c r="K2507" s="10">
        <v>35</v>
      </c>
      <c r="L2507" s="10">
        <v>35</v>
      </c>
      <c r="M2507" s="6" t="s">
        <v>421</v>
      </c>
      <c r="N2507" s="6">
        <f>IF(OR($G2507="FCC",$G2507="Hydrocracker",$G2507="Reformer"),IF(COUNTIFS($D:$D,$D2507,$A:$A,$A2507,$B:$B,$B2507,$G:$G,"CDU",$J:$J,"PLANNED")&gt;0,"tied","standalone"),"")</f>
        <v/>
      </c>
    </row>
    <row r="2508" spans="1:14">
      <c r="A2508" s="6">
        <v>2023</v>
      </c>
      <c r="B2508" s="6">
        <v>12</v>
      </c>
      <c r="C2508" s="6" t="s">
        <v>71</v>
      </c>
      <c r="D2508" s="6" t="s">
        <v>437</v>
      </c>
      <c r="E2508" s="6" t="s">
        <v>438</v>
      </c>
      <c r="F2508" s="6" t="str">
        <f>IF($M2508="PADD I","PADD 1",IF($M2508="PADD II","PADD 2",IF($M2508="PADD III","PADD 3",IF($M2508="PADD IV","PADD 4",IF($M2508="PADD V","PADD 5","")))))</f>
        <v>PADD 3</v>
      </c>
      <c r="G2508" s="6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6" t="s">
        <v>39</v>
      </c>
      <c r="I2508" s="6" t="s">
        <v>439</v>
      </c>
      <c r="J2508" s="6" t="s">
        <v>394</v>
      </c>
      <c r="K2508" s="10">
        <v>34.45</v>
      </c>
      <c r="L2508" s="10">
        <v>265</v>
      </c>
      <c r="M2508" s="6" t="s">
        <v>421</v>
      </c>
      <c r="N2508" s="6">
        <f>IF(OR($G2508="FCC",$G2508="Hydrocracker",$G2508="Reformer"),IF(COUNTIFS($D:$D,$D2508,$A:$A,$A2508,$B:$B,$B2508,$G:$G,"CDU",$J:$J,"PLANNED")&gt;0,"tied","standalone"),"")</f>
        <v/>
      </c>
    </row>
    <row r="2509" spans="1:14">
      <c r="A2509" s="6">
        <v>2023</v>
      </c>
      <c r="B2509" s="6">
        <v>12</v>
      </c>
      <c r="C2509" s="6" t="s">
        <v>71</v>
      </c>
      <c r="D2509" s="6" t="s">
        <v>465</v>
      </c>
      <c r="E2509" s="6" t="s">
        <v>466</v>
      </c>
      <c r="F2509" s="6" t="str">
        <f>IF($M2509="PADD I","PADD 1",IF($M2509="PADD II","PADD 2",IF($M2509="PADD III","PADD 3",IF($M2509="PADD IV","PADD 4",IF($M2509="PADD V","PADD 5","")))))</f>
        <v>PADD 3</v>
      </c>
      <c r="G2509" s="6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6" t="s">
        <v>485</v>
      </c>
      <c r="I2509" s="6" t="s">
        <v>503</v>
      </c>
      <c r="J2509" s="6" t="s">
        <v>394</v>
      </c>
      <c r="K2509" s="10">
        <v>34</v>
      </c>
      <c r="L2509" s="10">
        <v>34</v>
      </c>
      <c r="M2509" s="6" t="s">
        <v>421</v>
      </c>
      <c r="N2509" s="6">
        <f>IF(OR($G2509="FCC",$G2509="Hydrocracker",$G2509="Reformer"),IF(COUNTIFS($D:$D,$D2509,$A:$A,$A2509,$B:$B,$B2509,$G:$G,"CDU",$J:$J,"PLANNED")&gt;0,"tied","standalone"),"")</f>
        <v/>
      </c>
    </row>
    <row r="2510" spans="1:14">
      <c r="A2510" s="6">
        <v>2023</v>
      </c>
      <c r="B2510" s="6">
        <v>12</v>
      </c>
      <c r="C2510" s="6" t="s">
        <v>71</v>
      </c>
      <c r="D2510" s="6" t="s">
        <v>465</v>
      </c>
      <c r="E2510" s="6" t="s">
        <v>466</v>
      </c>
      <c r="F2510" s="6" t="str">
        <f>IF($M2510="PADD I","PADD 1",IF($M2510="PADD II","PADD 2",IF($M2510="PADD III","PADD 3",IF($M2510="PADD IV","PADD 4",IF($M2510="PADD V","PADD 5","")))))</f>
        <v>PADD 3</v>
      </c>
      <c r="G2510" s="6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6" t="s">
        <v>485</v>
      </c>
      <c r="I2510" s="6" t="s">
        <v>503</v>
      </c>
      <c r="J2510" s="6" t="s">
        <v>394</v>
      </c>
      <c r="K2510" s="10">
        <v>34</v>
      </c>
      <c r="L2510" s="10">
        <v>34</v>
      </c>
      <c r="M2510" s="6" t="s">
        <v>421</v>
      </c>
      <c r="N2510" s="6">
        <f>IF(OR($G2510="FCC",$G2510="Hydrocracker",$G2510="Reformer"),IF(COUNTIFS($D:$D,$D2510,$A:$A,$A2510,$B:$B,$B2510,$G:$G,"CDU",$J:$J,"PLANNED")&gt;0,"tied","standalone"),"")</f>
        <v/>
      </c>
    </row>
    <row r="2511" spans="1:14">
      <c r="A2511" s="6">
        <v>2023</v>
      </c>
      <c r="B2511" s="6">
        <v>12</v>
      </c>
      <c r="C2511" s="6" t="s">
        <v>71</v>
      </c>
      <c r="D2511" s="6" t="s">
        <v>568</v>
      </c>
      <c r="E2511" s="6" t="s">
        <v>419</v>
      </c>
      <c r="F2511" s="6" t="str">
        <f>IF($M2511="PADD I","PADD 1",IF($M2511="PADD II","PADD 2",IF($M2511="PADD III","PADD 3",IF($M2511="PADD IV","PADD 4",IF($M2511="PADD V","PADD 5","")))))</f>
        <v>PADD 5</v>
      </c>
      <c r="G2511" s="6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6" t="s">
        <v>39</v>
      </c>
      <c r="I2511" s="6" t="s">
        <v>603</v>
      </c>
      <c r="J2511" s="6" t="s">
        <v>394</v>
      </c>
      <c r="K2511" s="10">
        <v>32</v>
      </c>
      <c r="L2511" s="10">
        <v>32</v>
      </c>
      <c r="M2511" s="6" t="s">
        <v>436</v>
      </c>
      <c r="N2511" s="6">
        <f>IF(OR($G2511="FCC",$G2511="Hydrocracker",$G2511="Reformer"),IF(COUNTIFS($D:$D,$D2511,$A:$A,$A2511,$B:$B,$B2511,$G:$G,"CDU",$J:$J,"PLANNED")&gt;0,"tied","standalone"),"")</f>
        <v/>
      </c>
    </row>
    <row r="2512" spans="1:14">
      <c r="A2512" s="6">
        <v>2023</v>
      </c>
      <c r="B2512" s="6">
        <v>12</v>
      </c>
      <c r="C2512" s="6" t="s">
        <v>71</v>
      </c>
      <c r="D2512" s="6" t="s">
        <v>518</v>
      </c>
      <c r="E2512" s="6" t="s">
        <v>419</v>
      </c>
      <c r="F2512" s="6" t="str">
        <f>IF($M2512="PADD I","PADD 1",IF($M2512="PADD II","PADD 2",IF($M2512="PADD III","PADD 3",IF($M2512="PADD IV","PADD 4",IF($M2512="PADD V","PADD 5","")))))</f>
        <v>PADD 3</v>
      </c>
      <c r="G2512" s="6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6" t="s">
        <v>426</v>
      </c>
      <c r="I2512" s="6" t="s">
        <v>523</v>
      </c>
      <c r="J2512" s="6" t="s">
        <v>398</v>
      </c>
      <c r="K2512" s="10">
        <v>30</v>
      </c>
      <c r="L2512" s="10">
        <v>30</v>
      </c>
      <c r="M2512" s="6" t="s">
        <v>421</v>
      </c>
      <c r="N2512" s="6" t="str">
        <f>IF(OR($G2512="FCC",$G2512="Hydrocracker",$G2512="Reformer"),IF(COUNTIFS($D:$D,$D2512,$A:$A,$A2512,$B:$B,$B2512,$G:$G,"CDU",$J:$J,"PLANNED")&gt;0,"tied","standalone"),"")</f>
        <v>standalone</v>
      </c>
    </row>
    <row r="2513" spans="1:14">
      <c r="A2513" s="6">
        <v>2023</v>
      </c>
      <c r="B2513" s="6">
        <v>12</v>
      </c>
      <c r="C2513" s="6" t="s">
        <v>71</v>
      </c>
      <c r="D2513" s="6" t="s">
        <v>581</v>
      </c>
      <c r="E2513" s="6" t="s">
        <v>582</v>
      </c>
      <c r="F2513" s="6" t="str">
        <f>IF($M2513="PADD I","PADD 1",IF($M2513="PADD II","PADD 2",IF($M2513="PADD III","PADD 3",IF($M2513="PADD IV","PADD 4",IF($M2513="PADD V","PADD 5","")))))</f>
        <v>PADD 5</v>
      </c>
      <c r="G2513" s="6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6" t="s">
        <v>426</v>
      </c>
      <c r="I2513" s="6" t="s">
        <v>106</v>
      </c>
      <c r="J2513" s="6" t="s">
        <v>398</v>
      </c>
      <c r="K2513" s="10">
        <v>23</v>
      </c>
      <c r="L2513" s="10">
        <v>100</v>
      </c>
      <c r="M2513" s="6" t="s">
        <v>436</v>
      </c>
      <c r="N2513" s="6" t="str">
        <f>IF(OR($G2513="FCC",$G2513="Hydrocracker",$G2513="Reformer"),IF(COUNTIFS($D:$D,$D2513,$A:$A,$A2513,$B:$B,$B2513,$G:$G,"CDU",$J:$J,"PLANNED")&gt;0,"tied","standalone"),"")</f>
        <v>standalone</v>
      </c>
    </row>
    <row r="2514" spans="1:14">
      <c r="A2514" s="6">
        <v>2023</v>
      </c>
      <c r="B2514" s="6">
        <v>12</v>
      </c>
      <c r="C2514" s="6" t="s">
        <v>71</v>
      </c>
      <c r="D2514" s="6" t="s">
        <v>507</v>
      </c>
      <c r="E2514" s="6" t="s">
        <v>438</v>
      </c>
      <c r="F2514" s="6" t="str">
        <f>IF($M2514="PADD I","PADD 1",IF($M2514="PADD II","PADD 2",IF($M2514="PADD III","PADD 3",IF($M2514="PADD IV","PADD 4",IF($M2514="PADD V","PADD 5","")))))</f>
        <v>PADD 5</v>
      </c>
      <c r="G2514" s="6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6" t="s">
        <v>44</v>
      </c>
      <c r="I2514" s="6" t="s">
        <v>1123</v>
      </c>
      <c r="J2514" s="6" t="s">
        <v>394</v>
      </c>
      <c r="K2514" s="10">
        <v>21.39</v>
      </c>
      <c r="L2514" s="10">
        <v>93</v>
      </c>
      <c r="M2514" s="6" t="s">
        <v>436</v>
      </c>
      <c r="N2514" s="6">
        <f>IF(OR($G2514="FCC",$G2514="Hydrocracker",$G2514="Reformer"),IF(COUNTIFS($D:$D,$D2514,$A:$A,$A2514,$B:$B,$B2514,$G:$G,"CDU",$J:$J,"PLANNED")&gt;0,"tied","standalone"),"")</f>
        <v/>
      </c>
    </row>
    <row r="2515" spans="1:14">
      <c r="A2515" s="6">
        <v>2023</v>
      </c>
      <c r="B2515" s="6">
        <v>12</v>
      </c>
      <c r="C2515" s="6" t="s">
        <v>71</v>
      </c>
      <c r="D2515" s="6" t="s">
        <v>1035</v>
      </c>
      <c r="E2515" s="6" t="s">
        <v>593</v>
      </c>
      <c r="F2515" s="6" t="str">
        <f>IF($M2515="PADD I","PADD 1",IF($M2515="PADD II","PADD 2",IF($M2515="PADD III","PADD 3",IF($M2515="PADD IV","PADD 4",IF($M2515="PADD V","PADD 5","")))))</f>
        <v>PADD 2</v>
      </c>
      <c r="G2515" s="6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6" t="s">
        <v>428</v>
      </c>
      <c r="I2515" s="6" t="s">
        <v>836</v>
      </c>
      <c r="J2515" s="6" t="s">
        <v>394</v>
      </c>
      <c r="K2515" s="10">
        <v>19.3056</v>
      </c>
      <c r="L2515" s="10">
        <v>60.33</v>
      </c>
      <c r="M2515" s="6" t="s">
        <v>425</v>
      </c>
      <c r="N2515" s="6">
        <f>IF(OR($G2515="FCC",$G2515="Hydrocracker",$G2515="Reformer"),IF(COUNTIFS($D:$D,$D2515,$A:$A,$A2515,$B:$B,$B2515,$G:$G,"CDU",$J:$J,"PLANNED")&gt;0,"tied","standalone"),"")</f>
        <v/>
      </c>
    </row>
    <row r="2516" spans="1:14">
      <c r="A2516" s="6">
        <v>2023</v>
      </c>
      <c r="B2516" s="6">
        <v>12</v>
      </c>
      <c r="C2516" s="6" t="s">
        <v>71</v>
      </c>
      <c r="D2516" s="6" t="s">
        <v>996</v>
      </c>
      <c r="E2516" s="6" t="s">
        <v>455</v>
      </c>
      <c r="F2516" s="6" t="str">
        <f>IF($M2516="PADD I","PADD 1",IF($M2516="PADD II","PADD 2",IF($M2516="PADD III","PADD 3",IF($M2516="PADD IV","PADD 4",IF($M2516="PADD V","PADD 5","")))))</f>
        <v>PADD 5</v>
      </c>
      <c r="G2516" s="6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6" t="s">
        <v>426</v>
      </c>
      <c r="I2516" s="6" t="s">
        <v>997</v>
      </c>
      <c r="J2516" s="6" t="s">
        <v>394</v>
      </c>
      <c r="K2516" s="10">
        <v>17.92</v>
      </c>
      <c r="L2516" s="10">
        <v>56</v>
      </c>
      <c r="M2516" s="6" t="s">
        <v>436</v>
      </c>
      <c r="N2516" s="6" t="str">
        <f>IF(OR($G2516="FCC",$G2516="Hydrocracker",$G2516="Reformer"),IF(COUNTIFS($D:$D,$D2516,$A:$A,$A2516,$B:$B,$B2516,$G:$G,"CDU",$J:$J,"PLANNED")&gt;0,"tied","standalone"),"")</f>
        <v>standalone</v>
      </c>
    </row>
    <row r="2517" spans="1:14">
      <c r="A2517" s="6">
        <v>2023</v>
      </c>
      <c r="B2517" s="6">
        <v>12</v>
      </c>
      <c r="C2517" s="6" t="s">
        <v>71</v>
      </c>
      <c r="D2517" s="6" t="s">
        <v>568</v>
      </c>
      <c r="E2517" s="6" t="s">
        <v>419</v>
      </c>
      <c r="F2517" s="6" t="str">
        <f>IF($M2517="PADD I","PADD 1",IF($M2517="PADD II","PADD 2",IF($M2517="PADD III","PADD 3",IF($M2517="PADD IV","PADD 4",IF($M2517="PADD V","PADD 5","")))))</f>
        <v>PADD 5</v>
      </c>
      <c r="G2517" s="6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6" t="s">
        <v>494</v>
      </c>
      <c r="I2517" s="6" t="s">
        <v>632</v>
      </c>
      <c r="J2517" s="6" t="s">
        <v>394</v>
      </c>
      <c r="K2517" s="10">
        <v>17.71</v>
      </c>
      <c r="L2517" s="10">
        <v>23</v>
      </c>
      <c r="M2517" s="6" t="s">
        <v>436</v>
      </c>
      <c r="N2517" s="6" t="str">
        <f>IF(OR($G2517="FCC",$G2517="Hydrocracker",$G2517="Reformer"),IF(COUNTIFS($D:$D,$D2517,$A:$A,$A2517,$B:$B,$B2517,$G:$G,"CDU",$J:$J,"PLANNED")&gt;0,"tied","standalone"),"")</f>
        <v>standalone</v>
      </c>
    </row>
    <row r="2518" spans="1:14">
      <c r="A2518" s="6">
        <v>2023</v>
      </c>
      <c r="B2518" s="6">
        <v>12</v>
      </c>
      <c r="C2518" s="6" t="s">
        <v>71</v>
      </c>
      <c r="D2518" s="6" t="s">
        <v>838</v>
      </c>
      <c r="E2518" s="6" t="s">
        <v>455</v>
      </c>
      <c r="F2518" s="6" t="str">
        <f>IF($M2518="PADD I","PADD 1",IF($M2518="PADD II","PADD 2",IF($M2518="PADD III","PADD 3",IF($M2518="PADD IV","PADD 4",IF($M2518="PADD V","PADD 5","")))))</f>
        <v>PADD 3</v>
      </c>
      <c r="G2518" s="6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6" t="s">
        <v>494</v>
      </c>
      <c r="I2518" s="6" t="s">
        <v>881</v>
      </c>
      <c r="J2518" s="6" t="s">
        <v>394</v>
      </c>
      <c r="K2518" s="10">
        <v>17.6</v>
      </c>
      <c r="L2518" s="10">
        <v>55</v>
      </c>
      <c r="M2518" s="6" t="s">
        <v>421</v>
      </c>
      <c r="N2518" s="6" t="str">
        <f>IF(OR($G2518="FCC",$G2518="Hydrocracker",$G2518="Reformer"),IF(COUNTIFS($D:$D,$D2518,$A:$A,$A2518,$B:$B,$B2518,$G:$G,"CDU",$J:$J,"PLANNED")&gt;0,"tied","standalone"),"")</f>
        <v>standalone</v>
      </c>
    </row>
    <row r="2519" spans="1:14">
      <c r="A2519" s="6">
        <v>2023</v>
      </c>
      <c r="B2519" s="6">
        <v>12</v>
      </c>
      <c r="C2519" s="6" t="s">
        <v>71</v>
      </c>
      <c r="D2519" s="6" t="s">
        <v>484</v>
      </c>
      <c r="E2519" s="6" t="s">
        <v>438</v>
      </c>
      <c r="F2519" s="6" t="str">
        <f>IF($M2519="PADD I","PADD 1",IF($M2519="PADD II","PADD 2",IF($M2519="PADD III","PADD 3",IF($M2519="PADD IV","PADD 4",IF($M2519="PADD V","PADD 5","")))))</f>
        <v>PADD 5</v>
      </c>
      <c r="G2519" s="6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6" t="s">
        <v>39</v>
      </c>
      <c r="I2519" s="6" t="s">
        <v>713</v>
      </c>
      <c r="J2519" s="6" t="s">
        <v>394</v>
      </c>
      <c r="K2519" s="10">
        <v>16.8</v>
      </c>
      <c r="L2519" s="10">
        <v>105</v>
      </c>
      <c r="M2519" s="6" t="s">
        <v>436</v>
      </c>
      <c r="N2519" s="6">
        <f>IF(OR($G2519="FCC",$G2519="Hydrocracker",$G2519="Reformer"),IF(COUNTIFS($D:$D,$D2519,$A:$A,$A2519,$B:$B,$B2519,$G:$G,"CDU",$J:$J,"PLANNED")&gt;0,"tied","standalone"),"")</f>
        <v/>
      </c>
    </row>
    <row r="2520" spans="1:14">
      <c r="A2520" s="6">
        <v>2023</v>
      </c>
      <c r="B2520" s="6">
        <v>12</v>
      </c>
      <c r="C2520" s="6" t="s">
        <v>71</v>
      </c>
      <c r="D2520" s="6" t="s">
        <v>437</v>
      </c>
      <c r="E2520" s="6" t="s">
        <v>438</v>
      </c>
      <c r="F2520" s="6" t="str">
        <f>IF($M2520="PADD I","PADD 1",IF($M2520="PADD II","PADD 2",IF($M2520="PADD III","PADD 3",IF($M2520="PADD IV","PADD 4",IF($M2520="PADD V","PADD 5","")))))</f>
        <v>PADD 3</v>
      </c>
      <c r="G2520" s="6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6" t="s">
        <v>428</v>
      </c>
      <c r="I2520" s="6" t="s">
        <v>492</v>
      </c>
      <c r="J2520" s="6" t="s">
        <v>394</v>
      </c>
      <c r="K2520" s="10">
        <v>14.625</v>
      </c>
      <c r="L2520" s="10">
        <v>112.5</v>
      </c>
      <c r="M2520" s="6" t="s">
        <v>421</v>
      </c>
      <c r="N2520" s="6">
        <f>IF(OR($G2520="FCC",$G2520="Hydrocracker",$G2520="Reformer"),IF(COUNTIFS($D:$D,$D2520,$A:$A,$A2520,$B:$B,$B2520,$G:$G,"CDU",$J:$J,"PLANNED")&gt;0,"tied","standalone"),"")</f>
        <v/>
      </c>
    </row>
    <row r="2521" spans="1:14">
      <c r="A2521" s="6">
        <v>2023</v>
      </c>
      <c r="B2521" s="6">
        <v>12</v>
      </c>
      <c r="C2521" s="6" t="s">
        <v>71</v>
      </c>
      <c r="D2521" s="6" t="s">
        <v>487</v>
      </c>
      <c r="E2521" s="6" t="s">
        <v>488</v>
      </c>
      <c r="F2521" s="6" t="str">
        <f>IF($M2521="PADD I","PADD 1",IF($M2521="PADD II","PADD 2",IF($M2521="PADD III","PADD 3",IF($M2521="PADD IV","PADD 4",IF($M2521="PADD V","PADD 5","")))))</f>
        <v>PADD 4</v>
      </c>
      <c r="G2521" s="6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6" t="s">
        <v>39</v>
      </c>
      <c r="I2521" s="6" t="s">
        <v>379</v>
      </c>
      <c r="J2521" s="6" t="s">
        <v>394</v>
      </c>
      <c r="K2521" s="10">
        <v>13.65</v>
      </c>
      <c r="L2521" s="10">
        <v>39</v>
      </c>
      <c r="M2521" s="6" t="s">
        <v>480</v>
      </c>
      <c r="N2521" s="6">
        <f>IF(OR($G2521="FCC",$G2521="Hydrocracker",$G2521="Reformer"),IF(COUNTIFS($D:$D,$D2521,$A:$A,$A2521,$B:$B,$B2521,$G:$G,"CDU",$J:$J,"PLANNED")&gt;0,"tied","standalone"),"")</f>
        <v/>
      </c>
    </row>
    <row r="2522" spans="1:14">
      <c r="A2522" s="6">
        <v>2023</v>
      </c>
      <c r="B2522" s="6">
        <v>12</v>
      </c>
      <c r="C2522" s="6" t="s">
        <v>71</v>
      </c>
      <c r="D2522" s="6" t="s">
        <v>512</v>
      </c>
      <c r="E2522" s="6" t="s">
        <v>488</v>
      </c>
      <c r="F2522" s="6" t="str">
        <f>IF($M2522="PADD I","PADD 1",IF($M2522="PADD II","PADD 2",IF($M2522="PADD III","PADD 3",IF($M2522="PADD IV","PADD 4",IF($M2522="PADD V","PADD 5","")))))</f>
        <v>PADD 4</v>
      </c>
      <c r="G2522" s="6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6" t="s">
        <v>426</v>
      </c>
      <c r="I2522" s="6" t="s">
        <v>106</v>
      </c>
      <c r="J2522" s="6" t="s">
        <v>394</v>
      </c>
      <c r="K2522" s="10">
        <v>13.584</v>
      </c>
      <c r="L2522" s="10">
        <v>28.3</v>
      </c>
      <c r="M2522" s="6" t="s">
        <v>480</v>
      </c>
      <c r="N2522" s="6" t="str">
        <f>IF(OR($G2522="FCC",$G2522="Hydrocracker",$G2522="Reformer"),IF(COUNTIFS($D:$D,$D2522,$A:$A,$A2522,$B:$B,$B2522,$G:$G,"CDU",$J:$J,"PLANNED")&gt;0,"tied","standalone"),"")</f>
        <v>standalone</v>
      </c>
    </row>
    <row r="2523" spans="1:14">
      <c r="A2523" s="6">
        <v>2023</v>
      </c>
      <c r="B2523" s="6">
        <v>12</v>
      </c>
      <c r="C2523" s="6" t="s">
        <v>71</v>
      </c>
      <c r="D2523" s="6" t="s">
        <v>461</v>
      </c>
      <c r="E2523" s="6" t="s">
        <v>419</v>
      </c>
      <c r="F2523" s="6" t="str">
        <f>IF($M2523="PADD I","PADD 1",IF($M2523="PADD II","PADD 2",IF($M2523="PADD III","PADD 3",IF($M2523="PADD IV","PADD 4",IF($M2523="PADD V","PADD 5","")))))</f>
        <v>PADD 1</v>
      </c>
      <c r="G2523" s="6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6" t="s">
        <v>39</v>
      </c>
      <c r="I2523" s="6" t="s">
        <v>579</v>
      </c>
      <c r="J2523" s="6" t="s">
        <v>394</v>
      </c>
      <c r="K2523" s="10">
        <v>12.95</v>
      </c>
      <c r="L2523" s="10">
        <v>129.5</v>
      </c>
      <c r="M2523" s="6" t="s">
        <v>463</v>
      </c>
      <c r="N2523" s="6">
        <f>IF(OR($G2523="FCC",$G2523="Hydrocracker",$G2523="Reformer"),IF(COUNTIFS($D:$D,$D2523,$A:$A,$A2523,$B:$B,$B2523,$G:$G,"CDU",$J:$J,"PLANNED")&gt;0,"tied","standalone"),"")</f>
        <v/>
      </c>
    </row>
    <row r="2524" spans="1:14">
      <c r="A2524" s="6">
        <v>2023</v>
      </c>
      <c r="B2524" s="6">
        <v>12</v>
      </c>
      <c r="C2524" s="6" t="s">
        <v>71</v>
      </c>
      <c r="D2524" s="6" t="s">
        <v>461</v>
      </c>
      <c r="E2524" s="6" t="s">
        <v>419</v>
      </c>
      <c r="F2524" s="6" t="str">
        <f>IF($M2524="PADD I","PADD 1",IF($M2524="PADD II","PADD 2",IF($M2524="PADD III","PADD 3",IF($M2524="PADD IV","PADD 4",IF($M2524="PADD V","PADD 5","")))))</f>
        <v>PADD 1</v>
      </c>
      <c r="G2524" s="6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6" t="s">
        <v>39</v>
      </c>
      <c r="I2524" s="6" t="s">
        <v>462</v>
      </c>
      <c r="J2524" s="6" t="s">
        <v>394</v>
      </c>
      <c r="K2524" s="10">
        <v>12.9</v>
      </c>
      <c r="L2524" s="10">
        <v>129</v>
      </c>
      <c r="M2524" s="6" t="s">
        <v>463</v>
      </c>
      <c r="N2524" s="6">
        <f>IF(OR($G2524="FCC",$G2524="Hydrocracker",$G2524="Reformer"),IF(COUNTIFS($D:$D,$D2524,$A:$A,$A2524,$B:$B,$B2524,$G:$G,"CDU",$J:$J,"PLANNED")&gt;0,"tied","standalone"),"")</f>
        <v/>
      </c>
    </row>
    <row r="2525" spans="1:14">
      <c r="A2525" s="6">
        <v>2023</v>
      </c>
      <c r="B2525" s="6">
        <v>12</v>
      </c>
      <c r="C2525" s="6" t="s">
        <v>71</v>
      </c>
      <c r="D2525" s="6" t="s">
        <v>568</v>
      </c>
      <c r="E2525" s="6" t="s">
        <v>419</v>
      </c>
      <c r="F2525" s="6" t="str">
        <f>IF($M2525="PADD I","PADD 1",IF($M2525="PADD II","PADD 2",IF($M2525="PADD III","PADD 3",IF($M2525="PADD IV","PADD 4",IF($M2525="PADD V","PADD 5","")))))</f>
        <v>PADD 5</v>
      </c>
      <c r="G2525" s="6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6" t="s">
        <v>631</v>
      </c>
      <c r="I2525" s="6" t="s">
        <v>632</v>
      </c>
      <c r="J2525" s="6" t="s">
        <v>394</v>
      </c>
      <c r="K2525" s="10">
        <v>12.65</v>
      </c>
      <c r="L2525" s="10">
        <v>23</v>
      </c>
      <c r="M2525" s="6" t="s">
        <v>436</v>
      </c>
      <c r="N2525" s="6" t="str">
        <f>IF(OR($G2525="FCC",$G2525="Hydrocracker",$G2525="Reformer"),IF(COUNTIFS($D:$D,$D2525,$A:$A,$A2525,$B:$B,$B2525,$G:$G,"CDU",$J:$J,"PLANNED")&gt;0,"tied","standalone"),"")</f>
        <v>standalone</v>
      </c>
    </row>
    <row r="2526" spans="1:14">
      <c r="A2526" s="6">
        <v>2023</v>
      </c>
      <c r="B2526" s="6">
        <v>12</v>
      </c>
      <c r="C2526" s="6" t="s">
        <v>71</v>
      </c>
      <c r="D2526" s="6" t="s">
        <v>395</v>
      </c>
      <c r="E2526" s="6" t="s">
        <v>433</v>
      </c>
      <c r="F2526" s="6" t="str">
        <f>IF($M2526="PADD I","PADD 1",IF($M2526="PADD II","PADD 2",IF($M2526="PADD III","PADD 3",IF($M2526="PADD IV","PADD 4",IF($M2526="PADD V","PADD 5","")))))</f>
        <v>PADD 2</v>
      </c>
      <c r="G2526" s="6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6" t="s">
        <v>471</v>
      </c>
      <c r="I2526" s="6" t="s">
        <v>521</v>
      </c>
      <c r="J2526" s="6" t="s">
        <v>394</v>
      </c>
      <c r="K2526" s="10">
        <v>12.6</v>
      </c>
      <c r="L2526" s="10">
        <v>30</v>
      </c>
      <c r="M2526" s="6" t="s">
        <v>425</v>
      </c>
      <c r="N2526" s="6" t="str">
        <f>IF(OR($G2526="FCC",$G2526="Hydrocracker",$G2526="Reformer"),IF(COUNTIFS($D:$D,$D2526,$A:$A,$A2526,$B:$B,$B2526,$G:$G,"CDU",$J:$J,"PLANNED")&gt;0,"tied","standalone"),"")</f>
        <v>standalone</v>
      </c>
    </row>
    <row r="2527" spans="1:14">
      <c r="A2527" s="6">
        <v>2023</v>
      </c>
      <c r="B2527" s="6">
        <v>12</v>
      </c>
      <c r="C2527" s="6" t="s">
        <v>71</v>
      </c>
      <c r="D2527" s="6" t="s">
        <v>448</v>
      </c>
      <c r="E2527" s="6" t="s">
        <v>449</v>
      </c>
      <c r="F2527" s="6" t="str">
        <f>IF($M2527="PADD I","PADD 1",IF($M2527="PADD II","PADD 2",IF($M2527="PADD III","PADD 3",IF($M2527="PADD IV","PADD 4",IF($M2527="PADD V","PADD 5","")))))</f>
        <v>PADD 3</v>
      </c>
      <c r="G2527" s="6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6" t="s">
        <v>426</v>
      </c>
      <c r="I2527" s="6" t="s">
        <v>1086</v>
      </c>
      <c r="J2527" s="6" t="s">
        <v>394</v>
      </c>
      <c r="K2527" s="10">
        <v>11.7</v>
      </c>
      <c r="L2527" s="10">
        <v>90</v>
      </c>
      <c r="M2527" s="6" t="s">
        <v>421</v>
      </c>
      <c r="N2527" s="6" t="str">
        <f>IF(OR($G2527="FCC",$G2527="Hydrocracker",$G2527="Reformer"),IF(COUNTIFS($D:$D,$D2527,$A:$A,$A2527,$B:$B,$B2527,$G:$G,"CDU",$J:$J,"PLANNED")&gt;0,"tied","standalone"),"")</f>
        <v>standalone</v>
      </c>
    </row>
    <row r="2528" spans="1:14">
      <c r="A2528" s="6">
        <v>2023</v>
      </c>
      <c r="B2528" s="6">
        <v>12</v>
      </c>
      <c r="C2528" s="6" t="s">
        <v>71</v>
      </c>
      <c r="D2528" s="6" t="s">
        <v>52</v>
      </c>
      <c r="E2528" s="6" t="s">
        <v>441</v>
      </c>
      <c r="F2528" s="6" t="str">
        <f>IF($M2528="PADD I","PADD 1",IF($M2528="PADD II","PADD 2",IF($M2528="PADD III","PADD 3",IF($M2528="PADD IV","PADD 4",IF($M2528="PADD V","PADD 5","")))))</f>
        <v>PADD 5</v>
      </c>
      <c r="G2528" s="6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6" t="s">
        <v>426</v>
      </c>
      <c r="I2528" s="6" t="s">
        <v>106</v>
      </c>
      <c r="J2528" s="6" t="s">
        <v>394</v>
      </c>
      <c r="K2528" s="10">
        <v>11.6</v>
      </c>
      <c r="L2528" s="10">
        <v>72.5</v>
      </c>
      <c r="M2528" s="6" t="s">
        <v>436</v>
      </c>
      <c r="N2528" s="6" t="str">
        <f>IF(OR($G2528="FCC",$G2528="Hydrocracker",$G2528="Reformer"),IF(COUNTIFS($D:$D,$D2528,$A:$A,$A2528,$B:$B,$B2528,$G:$G,"CDU",$J:$J,"PLANNED")&gt;0,"tied","standalone"),"")</f>
        <v>standalone</v>
      </c>
    </row>
    <row r="2529" spans="1:14">
      <c r="A2529" s="6">
        <v>2023</v>
      </c>
      <c r="B2529" s="6">
        <v>12</v>
      </c>
      <c r="C2529" s="6" t="s">
        <v>71</v>
      </c>
      <c r="D2529" s="6" t="s">
        <v>368</v>
      </c>
      <c r="E2529" s="6" t="s">
        <v>715</v>
      </c>
      <c r="F2529" s="6" t="str">
        <f>IF($M2529="PADD I","PADD 1",IF($M2529="PADD II","PADD 2",IF($M2529="PADD III","PADD 3",IF($M2529="PADD IV","PADD 4",IF($M2529="PADD V","PADD 5","")))))</f>
        <v>PADD 3</v>
      </c>
      <c r="G2529" s="6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6" t="s">
        <v>426</v>
      </c>
      <c r="I2529" s="6" t="s">
        <v>925</v>
      </c>
      <c r="J2529" s="6" t="s">
        <v>394</v>
      </c>
      <c r="K2529" s="10">
        <v>11</v>
      </c>
      <c r="L2529" s="10">
        <v>110</v>
      </c>
      <c r="M2529" s="6" t="s">
        <v>421</v>
      </c>
      <c r="N2529" s="6" t="str">
        <f>IF(OR($G2529="FCC",$G2529="Hydrocracker",$G2529="Reformer"),IF(COUNTIFS($D:$D,$D2529,$A:$A,$A2529,$B:$B,$B2529,$G:$G,"CDU",$J:$J,"PLANNED")&gt;0,"tied","standalone"),"")</f>
        <v>standalone</v>
      </c>
    </row>
    <row r="2530" spans="1:14">
      <c r="A2530" s="6">
        <v>2023</v>
      </c>
      <c r="B2530" s="6">
        <v>12</v>
      </c>
      <c r="C2530" s="6" t="s">
        <v>71</v>
      </c>
      <c r="D2530" s="6" t="s">
        <v>52</v>
      </c>
      <c r="E2530" s="6" t="s">
        <v>441</v>
      </c>
      <c r="F2530" s="6" t="str">
        <f>IF($M2530="PADD I","PADD 1",IF($M2530="PADD II","PADD 2",IF($M2530="PADD III","PADD 3",IF($M2530="PADD IV","PADD 4",IF($M2530="PADD V","PADD 5","")))))</f>
        <v>PADD 5</v>
      </c>
      <c r="G2530" s="6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6" t="s">
        <v>510</v>
      </c>
      <c r="I2530" s="6" t="s">
        <v>511</v>
      </c>
      <c r="J2530" s="6" t="s">
        <v>394</v>
      </c>
      <c r="K2530" s="10">
        <v>10.56</v>
      </c>
      <c r="L2530" s="10">
        <v>33</v>
      </c>
      <c r="M2530" s="6" t="s">
        <v>436</v>
      </c>
      <c r="N2530" s="6">
        <f>IF(OR($G2530="FCC",$G2530="Hydrocracker",$G2530="Reformer"),IF(COUNTIFS($D:$D,$D2530,$A:$A,$A2530,$B:$B,$B2530,$G:$G,"CDU",$J:$J,"PLANNED")&gt;0,"tied","standalone"),"")</f>
        <v/>
      </c>
    </row>
    <row r="2531" spans="1:14">
      <c r="A2531" s="6">
        <v>2023</v>
      </c>
      <c r="B2531" s="6">
        <v>12</v>
      </c>
      <c r="C2531" s="6" t="s">
        <v>71</v>
      </c>
      <c r="D2531" s="6" t="s">
        <v>384</v>
      </c>
      <c r="E2531" s="6" t="s">
        <v>419</v>
      </c>
      <c r="F2531" s="6" t="str">
        <f>IF($M2531="PADD I","PADD 1",IF($M2531="PADD II","PADD 2",IF($M2531="PADD III","PADD 3",IF($M2531="PADD IV","PADD 4",IF($M2531="PADD V","PADD 5","")))))</f>
        <v>PADD 3</v>
      </c>
      <c r="G2531" s="6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6" t="s">
        <v>426</v>
      </c>
      <c r="I2531" s="6" t="s">
        <v>522</v>
      </c>
      <c r="J2531" s="6" t="s">
        <v>394</v>
      </c>
      <c r="K2531" s="10">
        <v>10.5</v>
      </c>
      <c r="L2531" s="10">
        <v>30</v>
      </c>
      <c r="M2531" s="6" t="s">
        <v>421</v>
      </c>
      <c r="N2531" s="6" t="str">
        <f>IF(OR($G2531="FCC",$G2531="Hydrocracker",$G2531="Reformer"),IF(COUNTIFS($D:$D,$D2531,$A:$A,$A2531,$B:$B,$B2531,$G:$G,"CDU",$J:$J,"PLANNED")&gt;0,"tied","standalone"),"")</f>
        <v>standalone</v>
      </c>
    </row>
    <row r="2532" spans="1:14">
      <c r="A2532" s="6">
        <v>2023</v>
      </c>
      <c r="B2532" s="6">
        <v>12</v>
      </c>
      <c r="C2532" s="6" t="s">
        <v>71</v>
      </c>
      <c r="D2532" s="6" t="s">
        <v>384</v>
      </c>
      <c r="E2532" s="6" t="s">
        <v>419</v>
      </c>
      <c r="F2532" s="6" t="str">
        <f>IF($M2532="PADD I","PADD 1",IF($M2532="PADD II","PADD 2",IF($M2532="PADD III","PADD 3",IF($M2532="PADD IV","PADD 4",IF($M2532="PADD V","PADD 5","")))))</f>
        <v>PADD 3</v>
      </c>
      <c r="G2532" s="6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6" t="s">
        <v>426</v>
      </c>
      <c r="I2532" s="6" t="s">
        <v>522</v>
      </c>
      <c r="J2532" s="6" t="s">
        <v>394</v>
      </c>
      <c r="K2532" s="10">
        <v>10.5</v>
      </c>
      <c r="L2532" s="10">
        <v>30</v>
      </c>
      <c r="M2532" s="6" t="s">
        <v>421</v>
      </c>
      <c r="N2532" s="6" t="str">
        <f>IF(OR($G2532="FCC",$G2532="Hydrocracker",$G2532="Reformer"),IF(COUNTIFS($D:$D,$D2532,$A:$A,$A2532,$B:$B,$B2532,$G:$G,"CDU",$J:$J,"PLANNED")&gt;0,"tied","standalone"),"")</f>
        <v>standalone</v>
      </c>
    </row>
    <row r="2533" spans="1:14">
      <c r="A2533" s="6">
        <v>2023</v>
      </c>
      <c r="B2533" s="6">
        <v>12</v>
      </c>
      <c r="C2533" s="6" t="s">
        <v>71</v>
      </c>
      <c r="D2533" s="6" t="s">
        <v>487</v>
      </c>
      <c r="E2533" s="6" t="s">
        <v>488</v>
      </c>
      <c r="F2533" s="6" t="str">
        <f>IF($M2533="PADD I","PADD 1",IF($M2533="PADD II","PADD 2",IF($M2533="PADD III","PADD 3",IF($M2533="PADD IV","PADD 4",IF($M2533="PADD V","PADD 5","")))))</f>
        <v>PADD 4</v>
      </c>
      <c r="G2533" s="6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6" t="s">
        <v>44</v>
      </c>
      <c r="I2533" s="6" t="s">
        <v>543</v>
      </c>
      <c r="J2533" s="6" t="s">
        <v>394</v>
      </c>
      <c r="K2533" s="10">
        <v>10.08</v>
      </c>
      <c r="L2533" s="10">
        <v>21</v>
      </c>
      <c r="M2533" s="6" t="s">
        <v>480</v>
      </c>
      <c r="N2533" s="6">
        <f>IF(OR($G2533="FCC",$G2533="Hydrocracker",$G2533="Reformer"),IF(COUNTIFS($D:$D,$D2533,$A:$A,$A2533,$B:$B,$B2533,$G:$G,"CDU",$J:$J,"PLANNED")&gt;0,"tied","standalone"),"")</f>
        <v/>
      </c>
    </row>
    <row r="2534" spans="1:14">
      <c r="A2534" s="6">
        <v>2023</v>
      </c>
      <c r="B2534" s="6">
        <v>12</v>
      </c>
      <c r="C2534" s="6" t="s">
        <v>71</v>
      </c>
      <c r="D2534" s="6" t="s">
        <v>437</v>
      </c>
      <c r="E2534" s="6" t="s">
        <v>438</v>
      </c>
      <c r="F2534" s="6" t="str">
        <f>IF($M2534="PADD I","PADD 1",IF($M2534="PADD II","PADD 2",IF($M2534="PADD III","PADD 3",IF($M2534="PADD IV","PADD 4",IF($M2534="PADD V","PADD 5","")))))</f>
        <v>PADD 3</v>
      </c>
      <c r="G2534" s="6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6" t="s">
        <v>471</v>
      </c>
      <c r="I2534" s="6" t="s">
        <v>493</v>
      </c>
      <c r="J2534" s="6" t="s">
        <v>394</v>
      </c>
      <c r="K2534" s="10">
        <v>10.075</v>
      </c>
      <c r="L2534" s="10">
        <v>77.5</v>
      </c>
      <c r="M2534" s="6" t="s">
        <v>421</v>
      </c>
      <c r="N2534" s="6" t="str">
        <f>IF(OR($G2534="FCC",$G2534="Hydrocracker",$G2534="Reformer"),IF(COUNTIFS($D:$D,$D2534,$A:$A,$A2534,$B:$B,$B2534,$G:$G,"CDU",$J:$J,"PLANNED")&gt;0,"tied","standalone"),"")</f>
        <v>standalone</v>
      </c>
    </row>
    <row r="2535" spans="1:14">
      <c r="A2535" s="6">
        <v>2023</v>
      </c>
      <c r="B2535" s="6">
        <v>12</v>
      </c>
      <c r="C2535" s="6" t="s">
        <v>71</v>
      </c>
      <c r="D2535" s="6" t="s">
        <v>849</v>
      </c>
      <c r="E2535" s="6" t="s">
        <v>441</v>
      </c>
      <c r="F2535" s="6" t="str">
        <f>IF($M2535="PADD I","PADD 1",IF($M2535="PADD II","PADD 2",IF($M2535="PADD III","PADD 3",IF($M2535="PADD IV","PADD 4",IF($M2535="PADD V","PADD 5","")))))</f>
        <v>PADD 4</v>
      </c>
      <c r="G2535" s="6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6" t="s">
        <v>44</v>
      </c>
      <c r="I2535" s="6" t="s">
        <v>850</v>
      </c>
      <c r="J2535" s="6" t="s">
        <v>394</v>
      </c>
      <c r="K2535" s="10">
        <v>9.765000000000001</v>
      </c>
      <c r="L2535" s="10">
        <v>27.9</v>
      </c>
      <c r="M2535" s="6" t="s">
        <v>480</v>
      </c>
      <c r="N2535" s="6">
        <f>IF(OR($G2535="FCC",$G2535="Hydrocracker",$G2535="Reformer"),IF(COUNTIFS($D:$D,$D2535,$A:$A,$A2535,$B:$B,$B2535,$G:$G,"CDU",$J:$J,"PLANNED")&gt;0,"tied","standalone"),"")</f>
        <v/>
      </c>
    </row>
    <row r="2536" spans="1:14">
      <c r="A2536" s="6">
        <v>2023</v>
      </c>
      <c r="B2536" s="6">
        <v>12</v>
      </c>
      <c r="C2536" s="6" t="s">
        <v>71</v>
      </c>
      <c r="D2536" s="6" t="s">
        <v>712</v>
      </c>
      <c r="E2536" s="6" t="s">
        <v>602</v>
      </c>
      <c r="F2536" s="6" t="str">
        <f>IF($M2536="PADD I","PADD 1",IF($M2536="PADD II","PADD 2",IF($M2536="PADD III","PADD 3",IF($M2536="PADD IV","PADD 4",IF($M2536="PADD V","PADD 5","")))))</f>
        <v>PADD 3</v>
      </c>
      <c r="G2536" s="6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6" t="s">
        <v>39</v>
      </c>
      <c r="I2536" s="6" t="s">
        <v>713</v>
      </c>
      <c r="J2536" s="6" t="s">
        <v>394</v>
      </c>
      <c r="K2536" s="10">
        <v>9.49</v>
      </c>
      <c r="L2536" s="10">
        <v>73</v>
      </c>
      <c r="M2536" s="6" t="s">
        <v>421</v>
      </c>
      <c r="N2536" s="6">
        <f>IF(OR($G2536="FCC",$G2536="Hydrocracker",$G2536="Reformer"),IF(COUNTIFS($D:$D,$D2536,$A:$A,$A2536,$B:$B,$B2536,$G:$G,"CDU",$J:$J,"PLANNED")&gt;0,"tied","standalone"),"")</f>
        <v/>
      </c>
    </row>
    <row r="2537" spans="1:14">
      <c r="A2537" s="6">
        <v>2023</v>
      </c>
      <c r="B2537" s="6">
        <v>12</v>
      </c>
      <c r="C2537" s="6" t="s">
        <v>71</v>
      </c>
      <c r="D2537" s="6" t="s">
        <v>996</v>
      </c>
      <c r="E2537" s="6" t="s">
        <v>455</v>
      </c>
      <c r="F2537" s="6" t="str">
        <f>IF($M2537="PADD I","PADD 1",IF($M2537="PADD II","PADD 2",IF($M2537="PADD III","PADD 3",IF($M2537="PADD IV","PADD 4",IF($M2537="PADD V","PADD 5","")))))</f>
        <v>PADD 5</v>
      </c>
      <c r="G2537" s="6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6" t="s">
        <v>510</v>
      </c>
      <c r="I2537" s="6" t="s">
        <v>1002</v>
      </c>
      <c r="J2537" s="6" t="s">
        <v>394</v>
      </c>
      <c r="K2537" s="10">
        <v>9</v>
      </c>
      <c r="L2537" s="10">
        <v>20</v>
      </c>
      <c r="M2537" s="6" t="s">
        <v>436</v>
      </c>
      <c r="N2537" s="6">
        <f>IF(OR($G2537="FCC",$G2537="Hydrocracker",$G2537="Reformer"),IF(COUNTIFS($D:$D,$D2537,$A:$A,$A2537,$B:$B,$B2537,$G:$G,"CDU",$J:$J,"PLANNED")&gt;0,"tied","standalone"),"")</f>
        <v/>
      </c>
    </row>
    <row r="2538" spans="1:14">
      <c r="A2538" s="6">
        <v>2023</v>
      </c>
      <c r="B2538" s="6">
        <v>12</v>
      </c>
      <c r="C2538" s="6" t="s">
        <v>71</v>
      </c>
      <c r="D2538" s="6" t="s">
        <v>487</v>
      </c>
      <c r="E2538" s="6" t="s">
        <v>488</v>
      </c>
      <c r="F2538" s="6" t="str">
        <f>IF($M2538="PADD I","PADD 1",IF($M2538="PADD II","PADD 2",IF($M2538="PADD III","PADD 3",IF($M2538="PADD IV","PADD 4",IF($M2538="PADD V","PADD 5","")))))</f>
        <v>PADD 4</v>
      </c>
      <c r="G2538" s="6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6" t="s">
        <v>39</v>
      </c>
      <c r="I2538" s="6" t="s">
        <v>489</v>
      </c>
      <c r="J2538" s="6" t="s">
        <v>394</v>
      </c>
      <c r="K2538" s="10">
        <v>8.970000000000001</v>
      </c>
      <c r="L2538" s="10">
        <v>39</v>
      </c>
      <c r="M2538" s="6" t="s">
        <v>480</v>
      </c>
      <c r="N2538" s="6">
        <f>IF(OR($G2538="FCC",$G2538="Hydrocracker",$G2538="Reformer"),IF(COUNTIFS($D:$D,$D2538,$A:$A,$A2538,$B:$B,$B2538,$G:$G,"CDU",$J:$J,"PLANNED")&gt;0,"tied","standalone"),"")</f>
        <v/>
      </c>
    </row>
    <row r="2539" spans="1:14">
      <c r="A2539" s="6">
        <v>2023</v>
      </c>
      <c r="B2539" s="6">
        <v>12</v>
      </c>
      <c r="C2539" s="6" t="s">
        <v>71</v>
      </c>
      <c r="D2539" s="6" t="s">
        <v>487</v>
      </c>
      <c r="E2539" s="6" t="s">
        <v>488</v>
      </c>
      <c r="F2539" s="6" t="str">
        <f>IF($M2539="PADD I","PADD 1",IF($M2539="PADD II","PADD 2",IF($M2539="PADD III","PADD 3",IF($M2539="PADD IV","PADD 4",IF($M2539="PADD V","PADD 5","")))))</f>
        <v>PADD 4</v>
      </c>
      <c r="G2539" s="6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6" t="s">
        <v>39</v>
      </c>
      <c r="I2539" s="6" t="s">
        <v>489</v>
      </c>
      <c r="J2539" s="6" t="s">
        <v>394</v>
      </c>
      <c r="K2539" s="10">
        <v>8.74</v>
      </c>
      <c r="L2539" s="10">
        <v>38</v>
      </c>
      <c r="M2539" s="6" t="s">
        <v>480</v>
      </c>
      <c r="N2539" s="6">
        <f>IF(OR($G2539="FCC",$G2539="Hydrocracker",$G2539="Reformer"),IF(COUNTIFS($D:$D,$D2539,$A:$A,$A2539,$B:$B,$B2539,$G:$G,"CDU",$J:$J,"PLANNED")&gt;0,"tied","standalone"),"")</f>
        <v/>
      </c>
    </row>
    <row r="2540" spans="1:14">
      <c r="A2540" s="6">
        <v>2023</v>
      </c>
      <c r="B2540" s="6">
        <v>12</v>
      </c>
      <c r="C2540" s="6" t="s">
        <v>71</v>
      </c>
      <c r="D2540" s="6" t="s">
        <v>368</v>
      </c>
      <c r="E2540" s="6" t="s">
        <v>715</v>
      </c>
      <c r="F2540" s="6" t="str">
        <f>IF($M2540="PADD I","PADD 1",IF($M2540="PADD II","PADD 2",IF($M2540="PADD III","PADD 3",IF($M2540="PADD IV","PADD 4",IF($M2540="PADD V","PADD 5","")))))</f>
        <v>PADD 3</v>
      </c>
      <c r="G2540" s="6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6" t="s">
        <v>485</v>
      </c>
      <c r="I2540" s="6" t="s">
        <v>491</v>
      </c>
      <c r="J2540" s="6" t="s">
        <v>398</v>
      </c>
      <c r="K2540" s="10">
        <v>8.338200000000001</v>
      </c>
      <c r="L2540" s="10">
        <v>21.38</v>
      </c>
      <c r="M2540" s="6" t="s">
        <v>421</v>
      </c>
      <c r="N2540" s="6">
        <f>IF(OR($G2540="FCC",$G2540="Hydrocracker",$G2540="Reformer"),IF(COUNTIFS($D:$D,$D2540,$A:$A,$A2540,$B:$B,$B2540,$G:$G,"CDU",$J:$J,"PLANNED")&gt;0,"tied","standalone"),"")</f>
        <v/>
      </c>
    </row>
    <row r="2541" spans="1:14">
      <c r="A2541" s="6">
        <v>2023</v>
      </c>
      <c r="B2541" s="6">
        <v>12</v>
      </c>
      <c r="C2541" s="6" t="s">
        <v>71</v>
      </c>
      <c r="D2541" s="6" t="s">
        <v>380</v>
      </c>
      <c r="E2541" s="6" t="s">
        <v>423</v>
      </c>
      <c r="F2541" s="6" t="str">
        <f>IF($M2541="PADD I","PADD 1",IF($M2541="PADD II","PADD 2",IF($M2541="PADD III","PADD 3",IF($M2541="PADD IV","PADD 4",IF($M2541="PADD V","PADD 5","")))))</f>
        <v>PADD 2</v>
      </c>
      <c r="G2541" s="6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6" t="s">
        <v>485</v>
      </c>
      <c r="I2541" s="6" t="s">
        <v>491</v>
      </c>
      <c r="J2541" s="6" t="s">
        <v>394</v>
      </c>
      <c r="K2541" s="10">
        <v>8.050000000000001</v>
      </c>
      <c r="L2541" s="10">
        <v>23</v>
      </c>
      <c r="M2541" s="6" t="s">
        <v>425</v>
      </c>
      <c r="N2541" s="6">
        <f>IF(OR($G2541="FCC",$G2541="Hydrocracker",$G2541="Reformer"),IF(COUNTIFS($D:$D,$D2541,$A:$A,$A2541,$B:$B,$B2541,$G:$G,"CDU",$J:$J,"PLANNED")&gt;0,"tied","standalone"),"")</f>
        <v/>
      </c>
    </row>
    <row r="2542" spans="1:14">
      <c r="A2542" s="6">
        <v>2023</v>
      </c>
      <c r="B2542" s="6">
        <v>12</v>
      </c>
      <c r="C2542" s="6" t="s">
        <v>71</v>
      </c>
      <c r="D2542" s="6" t="s">
        <v>52</v>
      </c>
      <c r="E2542" s="6" t="s">
        <v>441</v>
      </c>
      <c r="F2542" s="6" t="str">
        <f>IF($M2542="PADD I","PADD 1",IF($M2542="PADD II","PADD 2",IF($M2542="PADD III","PADD 3",IF($M2542="PADD IV","PADD 4",IF($M2542="PADD V","PADD 5","")))))</f>
        <v>PADD 5</v>
      </c>
      <c r="G2542" s="6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6" t="s">
        <v>494</v>
      </c>
      <c r="I2542" s="6" t="s">
        <v>1124</v>
      </c>
      <c r="J2542" s="6" t="s">
        <v>394</v>
      </c>
      <c r="K2542" s="10">
        <v>7.2</v>
      </c>
      <c r="L2542" s="10">
        <v>45</v>
      </c>
      <c r="M2542" s="6" t="s">
        <v>436</v>
      </c>
      <c r="N2542" s="6" t="str">
        <f>IF(OR($G2542="FCC",$G2542="Hydrocracker",$G2542="Reformer"),IF(COUNTIFS($D:$D,$D2542,$A:$A,$A2542,$B:$B,$B2542,$G:$G,"CDU",$J:$J,"PLANNED")&gt;0,"tied","standalone"),"")</f>
        <v>standalone</v>
      </c>
    </row>
    <row r="2543" spans="1:14">
      <c r="A2543" s="6">
        <v>2023</v>
      </c>
      <c r="B2543" s="6">
        <v>12</v>
      </c>
      <c r="C2543" s="6" t="s">
        <v>71</v>
      </c>
      <c r="D2543" s="6" t="s">
        <v>518</v>
      </c>
      <c r="E2543" s="6" t="s">
        <v>419</v>
      </c>
      <c r="F2543" s="6" t="str">
        <f>IF($M2543="PADD I","PADD 1",IF($M2543="PADD II","PADD 2",IF($M2543="PADD III","PADD 3",IF($M2543="PADD IV","PADD 4",IF($M2543="PADD V","PADD 5","")))))</f>
        <v>PADD 3</v>
      </c>
      <c r="G2543" s="6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6" t="s">
        <v>471</v>
      </c>
      <c r="I2543" s="6" t="s">
        <v>685</v>
      </c>
      <c r="J2543" s="6" t="s">
        <v>398</v>
      </c>
      <c r="K2543" s="10">
        <v>7</v>
      </c>
      <c r="L2543" s="10">
        <v>7</v>
      </c>
      <c r="M2543" s="6" t="s">
        <v>421</v>
      </c>
      <c r="N2543" s="6" t="str">
        <f>IF(OR($G2543="FCC",$G2543="Hydrocracker",$G2543="Reformer"),IF(COUNTIFS($D:$D,$D2543,$A:$A,$A2543,$B:$B,$B2543,$G:$G,"CDU",$J:$J,"PLANNED")&gt;0,"tied","standalone"),"")</f>
        <v>standalone</v>
      </c>
    </row>
    <row r="2544" spans="1:14">
      <c r="A2544" s="6">
        <v>2023</v>
      </c>
      <c r="B2544" s="6">
        <v>12</v>
      </c>
      <c r="C2544" s="6" t="s">
        <v>71</v>
      </c>
      <c r="D2544" s="6" t="s">
        <v>484</v>
      </c>
      <c r="E2544" s="6" t="s">
        <v>438</v>
      </c>
      <c r="F2544" s="6" t="str">
        <f>IF($M2544="PADD I","PADD 1",IF($M2544="PADD II","PADD 2",IF($M2544="PADD III","PADD 3",IF($M2544="PADD IV","PADD 4",IF($M2544="PADD V","PADD 5","")))))</f>
        <v>PADD 5</v>
      </c>
      <c r="G2544" s="6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6" t="s">
        <v>485</v>
      </c>
      <c r="I2544" s="6" t="s">
        <v>486</v>
      </c>
      <c r="J2544" s="6" t="s">
        <v>394</v>
      </c>
      <c r="K2544" s="10">
        <v>6.72</v>
      </c>
      <c r="L2544" s="10">
        <v>42</v>
      </c>
      <c r="M2544" s="6" t="s">
        <v>436</v>
      </c>
      <c r="N2544" s="6">
        <f>IF(OR($G2544="FCC",$G2544="Hydrocracker",$G2544="Reformer"),IF(COUNTIFS($D:$D,$D2544,$A:$A,$A2544,$B:$B,$B2544,$G:$G,"CDU",$J:$J,"PLANNED")&gt;0,"tied","standalone"),"")</f>
        <v/>
      </c>
    </row>
    <row r="2545" spans="1:14">
      <c r="A2545" s="6">
        <v>2023</v>
      </c>
      <c r="B2545" s="6">
        <v>12</v>
      </c>
      <c r="C2545" s="6" t="s">
        <v>71</v>
      </c>
      <c r="D2545" s="6" t="s">
        <v>437</v>
      </c>
      <c r="E2545" s="6" t="s">
        <v>438</v>
      </c>
      <c r="F2545" s="6" t="str">
        <f>IF($M2545="PADD I","PADD 1",IF($M2545="PADD II","PADD 2",IF($M2545="PADD III","PADD 3",IF($M2545="PADD IV","PADD 4",IF($M2545="PADD V","PADD 5","")))))</f>
        <v>PADD 3</v>
      </c>
      <c r="G2545" s="6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6" t="s">
        <v>471</v>
      </c>
      <c r="I2545" s="6" t="s">
        <v>633</v>
      </c>
      <c r="J2545" s="6" t="s">
        <v>394</v>
      </c>
      <c r="K2545" s="10">
        <v>6.55</v>
      </c>
      <c r="L2545" s="10">
        <v>65.5</v>
      </c>
      <c r="M2545" s="6" t="s">
        <v>421</v>
      </c>
      <c r="N2545" s="6" t="str">
        <f>IF(OR($G2545="FCC",$G2545="Hydrocracker",$G2545="Reformer"),IF(COUNTIFS($D:$D,$D2545,$A:$A,$A2545,$B:$B,$B2545,$G:$G,"CDU",$J:$J,"PLANNED")&gt;0,"tied","standalone"),"")</f>
        <v>standalone</v>
      </c>
    </row>
    <row r="2546" spans="1:14">
      <c r="A2546" s="6">
        <v>2023</v>
      </c>
      <c r="B2546" s="6">
        <v>12</v>
      </c>
      <c r="C2546" s="6" t="s">
        <v>71</v>
      </c>
      <c r="D2546" s="6" t="s">
        <v>568</v>
      </c>
      <c r="E2546" s="6" t="s">
        <v>419</v>
      </c>
      <c r="F2546" s="6" t="str">
        <f>IF($M2546="PADD I","PADD 1",IF($M2546="PADD II","PADD 2",IF($M2546="PADD III","PADD 3",IF($M2546="PADD IV","PADD 4",IF($M2546="PADD V","PADD 5","")))))</f>
        <v>PADD 5</v>
      </c>
      <c r="G2546" s="6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6" t="s">
        <v>471</v>
      </c>
      <c r="I2546" s="6" t="s">
        <v>636</v>
      </c>
      <c r="J2546" s="6" t="s">
        <v>394</v>
      </c>
      <c r="K2546" s="10">
        <v>6.475</v>
      </c>
      <c r="L2546" s="10">
        <v>18.5</v>
      </c>
      <c r="M2546" s="6" t="s">
        <v>436</v>
      </c>
      <c r="N2546" s="6" t="str">
        <f>IF(OR($G2546="FCC",$G2546="Hydrocracker",$G2546="Reformer"),IF(COUNTIFS($D:$D,$D2546,$A:$A,$A2546,$B:$B,$B2546,$G:$G,"CDU",$J:$J,"PLANNED")&gt;0,"tied","standalone"),"")</f>
        <v>standalone</v>
      </c>
    </row>
    <row r="2547" spans="1:14">
      <c r="A2547" s="6">
        <v>2023</v>
      </c>
      <c r="B2547" s="6">
        <v>12</v>
      </c>
      <c r="C2547" s="6" t="s">
        <v>71</v>
      </c>
      <c r="D2547" s="6" t="s">
        <v>487</v>
      </c>
      <c r="E2547" s="6" t="s">
        <v>488</v>
      </c>
      <c r="F2547" s="6" t="str">
        <f>IF($M2547="PADD I","PADD 1",IF($M2547="PADD II","PADD 2",IF($M2547="PADD III","PADD 3",IF($M2547="PADD IV","PADD 4",IF($M2547="PADD V","PADD 5","")))))</f>
        <v>PADD 4</v>
      </c>
      <c r="G2547" s="6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6" t="s">
        <v>39</v>
      </c>
      <c r="I2547" s="6" t="s">
        <v>379</v>
      </c>
      <c r="J2547" s="6" t="s">
        <v>398</v>
      </c>
      <c r="K2547" s="10">
        <v>6.44</v>
      </c>
      <c r="L2547" s="10">
        <v>28</v>
      </c>
      <c r="M2547" s="6" t="s">
        <v>480</v>
      </c>
      <c r="N2547" s="6">
        <f>IF(OR($G2547="FCC",$G2547="Hydrocracker",$G2547="Reformer"),IF(COUNTIFS($D:$D,$D2547,$A:$A,$A2547,$B:$B,$B2547,$G:$G,"CDU",$J:$J,"PLANNED")&gt;0,"tied","standalone"),"")</f>
        <v/>
      </c>
    </row>
    <row r="2548" spans="1:14">
      <c r="A2548" s="6">
        <v>2023</v>
      </c>
      <c r="B2548" s="6">
        <v>12</v>
      </c>
      <c r="C2548" s="6" t="s">
        <v>71</v>
      </c>
      <c r="D2548" s="6" t="s">
        <v>487</v>
      </c>
      <c r="E2548" s="6" t="s">
        <v>488</v>
      </c>
      <c r="F2548" s="6" t="str">
        <f>IF($M2548="PADD I","PADD 1",IF($M2548="PADD II","PADD 2",IF($M2548="PADD III","PADD 3",IF($M2548="PADD IV","PADD 4",IF($M2548="PADD V","PADD 5","")))))</f>
        <v>PADD 4</v>
      </c>
      <c r="G2548" s="6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6" t="s">
        <v>39</v>
      </c>
      <c r="I2548" s="6" t="s">
        <v>489</v>
      </c>
      <c r="J2548" s="6" t="s">
        <v>394</v>
      </c>
      <c r="K2548" s="10">
        <v>6.08</v>
      </c>
      <c r="L2548" s="10">
        <v>38</v>
      </c>
      <c r="M2548" s="6" t="s">
        <v>480</v>
      </c>
      <c r="N2548" s="6">
        <f>IF(OR($G2548="FCC",$G2548="Hydrocracker",$G2548="Reformer"),IF(COUNTIFS($D:$D,$D2548,$A:$A,$A2548,$B:$B,$B2548,$G:$G,"CDU",$J:$J,"PLANNED")&gt;0,"tied","standalone"),"")</f>
        <v/>
      </c>
    </row>
    <row r="2549" spans="1:14">
      <c r="A2549" s="6">
        <v>2023</v>
      </c>
      <c r="B2549" s="6">
        <v>12</v>
      </c>
      <c r="C2549" s="6" t="s">
        <v>71</v>
      </c>
      <c r="D2549" s="6" t="s">
        <v>546</v>
      </c>
      <c r="E2549" s="6" t="s">
        <v>438</v>
      </c>
      <c r="F2549" s="6" t="str">
        <f>IF($M2549="PADD I","PADD 1",IF($M2549="PADD II","PADD 2",IF($M2549="PADD III","PADD 3",IF($M2549="PADD IV","PADD 4",IF($M2549="PADD V","PADD 5","")))))</f>
        <v>PADD 2</v>
      </c>
      <c r="G2549" s="6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6" t="s">
        <v>44</v>
      </c>
      <c r="I2549" s="6" t="s">
        <v>1005</v>
      </c>
      <c r="J2549" s="6" t="s">
        <v>398</v>
      </c>
      <c r="K2549" s="10">
        <v>6</v>
      </c>
      <c r="L2549" s="10">
        <v>6</v>
      </c>
      <c r="M2549" s="6" t="s">
        <v>425</v>
      </c>
      <c r="N2549" s="6">
        <f>IF(OR($G2549="FCC",$G2549="Hydrocracker",$G2549="Reformer"),IF(COUNTIFS($D:$D,$D2549,$A:$A,$A2549,$B:$B,$B2549,$G:$G,"CDU",$J:$J,"PLANNED")&gt;0,"tied","standalone"),"")</f>
        <v/>
      </c>
    </row>
    <row r="2550" spans="1:14">
      <c r="A2550" s="6">
        <v>2023</v>
      </c>
      <c r="B2550" s="6">
        <v>12</v>
      </c>
      <c r="C2550" s="6" t="s">
        <v>71</v>
      </c>
      <c r="D2550" s="6" t="s">
        <v>487</v>
      </c>
      <c r="E2550" s="6" t="s">
        <v>488</v>
      </c>
      <c r="F2550" s="6" t="str">
        <f>IF($M2550="PADD I","PADD 1",IF($M2550="PADD II","PADD 2",IF($M2550="PADD III","PADD 3",IF($M2550="PADD IV","PADD 4",IF($M2550="PADD V","PADD 5","")))))</f>
        <v>PADD 4</v>
      </c>
      <c r="G2550" s="6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6" t="s">
        <v>428</v>
      </c>
      <c r="I2550" s="6" t="s">
        <v>544</v>
      </c>
      <c r="J2550" s="6" t="s">
        <v>394</v>
      </c>
      <c r="K2550" s="10">
        <v>5.8625</v>
      </c>
      <c r="L2550" s="10">
        <v>16.75</v>
      </c>
      <c r="M2550" s="6" t="s">
        <v>480</v>
      </c>
      <c r="N2550" s="6">
        <f>IF(OR($G2550="FCC",$G2550="Hydrocracker",$G2550="Reformer"),IF(COUNTIFS($D:$D,$D2550,$A:$A,$A2550,$B:$B,$B2550,$G:$G,"CDU",$J:$J,"PLANNED")&gt;0,"tied","standalone"),"")</f>
        <v/>
      </c>
    </row>
    <row r="2551" spans="1:14">
      <c r="A2551" s="6">
        <v>2023</v>
      </c>
      <c r="B2551" s="6">
        <v>12</v>
      </c>
      <c r="C2551" s="6" t="s">
        <v>71</v>
      </c>
      <c r="D2551" s="6" t="s">
        <v>568</v>
      </c>
      <c r="E2551" s="6" t="s">
        <v>419</v>
      </c>
      <c r="F2551" s="6" t="str">
        <f>IF($M2551="PADD I","PADD 1",IF($M2551="PADD II","PADD 2",IF($M2551="PADD III","PADD 3",IF($M2551="PADD IV","PADD 4",IF($M2551="PADD V","PADD 5","")))))</f>
        <v>PADD 5</v>
      </c>
      <c r="G2551" s="6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6" t="s">
        <v>44</v>
      </c>
      <c r="I2551" s="6" t="s">
        <v>629</v>
      </c>
      <c r="J2551" s="6" t="s">
        <v>394</v>
      </c>
      <c r="K2551" s="10">
        <v>5.859</v>
      </c>
      <c r="L2551" s="10">
        <v>16.74</v>
      </c>
      <c r="M2551" s="6" t="s">
        <v>436</v>
      </c>
      <c r="N2551" s="6">
        <f>IF(OR($G2551="FCC",$G2551="Hydrocracker",$G2551="Reformer"),IF(COUNTIFS($D:$D,$D2551,$A:$A,$A2551,$B:$B,$B2551,$G:$G,"CDU",$J:$J,"PLANNED")&gt;0,"tied","standalone"),"")</f>
        <v/>
      </c>
    </row>
    <row r="2552" spans="1:14">
      <c r="A2552" s="6">
        <v>2023</v>
      </c>
      <c r="B2552" s="6">
        <v>12</v>
      </c>
      <c r="C2552" s="6" t="s">
        <v>71</v>
      </c>
      <c r="D2552" s="6" t="s">
        <v>849</v>
      </c>
      <c r="E2552" s="6" t="s">
        <v>441</v>
      </c>
      <c r="F2552" s="6" t="str">
        <f>IF($M2552="PADD I","PADD 1",IF($M2552="PADD II","PADD 2",IF($M2552="PADD III","PADD 3",IF($M2552="PADD IV","PADD 4",IF($M2552="PADD V","PADD 5","")))))</f>
        <v>PADD 4</v>
      </c>
      <c r="G2552" s="6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6" t="s">
        <v>44</v>
      </c>
      <c r="I2552" s="6" t="s">
        <v>1117</v>
      </c>
      <c r="J2552" s="6" t="s">
        <v>394</v>
      </c>
      <c r="K2552" s="10">
        <v>5.85</v>
      </c>
      <c r="L2552" s="10">
        <v>15</v>
      </c>
      <c r="M2552" s="6" t="s">
        <v>480</v>
      </c>
      <c r="N2552" s="6">
        <f>IF(OR($G2552="FCC",$G2552="Hydrocracker",$G2552="Reformer"),IF(COUNTIFS($D:$D,$D2552,$A:$A,$A2552,$B:$B,$B2552,$G:$G,"CDU",$J:$J,"PLANNED")&gt;0,"tied","standalone"),"")</f>
        <v/>
      </c>
    </row>
    <row r="2553" spans="1:14">
      <c r="A2553" s="6">
        <v>2023</v>
      </c>
      <c r="B2553" s="6">
        <v>12</v>
      </c>
      <c r="C2553" s="6" t="s">
        <v>71</v>
      </c>
      <c r="D2553" s="6" t="s">
        <v>496</v>
      </c>
      <c r="E2553" s="6" t="s">
        <v>441</v>
      </c>
      <c r="F2553" s="6" t="str">
        <f>IF($M2553="PADD I","PADD 1",IF($M2553="PADD II","PADD 2",IF($M2553="PADD III","PADD 3",IF($M2553="PADD IV","PADD 4",IF($M2553="PADD V","PADD 5","")))))</f>
        <v>PADD 3</v>
      </c>
      <c r="G2553" s="6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6" t="s">
        <v>510</v>
      </c>
      <c r="I2553" s="6" t="s">
        <v>1125</v>
      </c>
      <c r="J2553" s="6" t="s">
        <v>394</v>
      </c>
      <c r="K2553" s="10">
        <v>5.544</v>
      </c>
      <c r="L2553" s="10">
        <v>7.2</v>
      </c>
      <c r="M2553" s="6" t="s">
        <v>421</v>
      </c>
      <c r="N2553" s="6">
        <f>IF(OR($G2553="FCC",$G2553="Hydrocracker",$G2553="Reformer"),IF(COUNTIFS($D:$D,$D2553,$A:$A,$A2553,$B:$B,$B2553,$G:$G,"CDU",$J:$J,"PLANNED")&gt;0,"tied","standalone"),"")</f>
        <v/>
      </c>
    </row>
    <row r="2554" spans="1:14">
      <c r="A2554" s="6">
        <v>2023</v>
      </c>
      <c r="B2554" s="6">
        <v>12</v>
      </c>
      <c r="C2554" s="6" t="s">
        <v>71</v>
      </c>
      <c r="D2554" s="6" t="s">
        <v>576</v>
      </c>
      <c r="E2554" s="6" t="s">
        <v>455</v>
      </c>
      <c r="F2554" s="6" t="str">
        <f>IF($M2554="PADD I","PADD 1",IF($M2554="PADD II","PADD 2",IF($M2554="PADD III","PADD 3",IF($M2554="PADD IV","PADD 4",IF($M2554="PADD V","PADD 5","")))))</f>
        <v>PADD 3</v>
      </c>
      <c r="G2554" s="6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6" t="s">
        <v>44</v>
      </c>
      <c r="I2554" s="6" t="s">
        <v>1126</v>
      </c>
      <c r="J2554" s="6" t="s">
        <v>394</v>
      </c>
      <c r="K2554" s="10">
        <v>5.5</v>
      </c>
      <c r="L2554" s="10">
        <v>55</v>
      </c>
      <c r="M2554" s="6" t="s">
        <v>421</v>
      </c>
      <c r="N2554" s="6">
        <f>IF(OR($G2554="FCC",$G2554="Hydrocracker",$G2554="Reformer"),IF(COUNTIFS($D:$D,$D2554,$A:$A,$A2554,$B:$B,$B2554,$G:$G,"CDU",$J:$J,"PLANNED")&gt;0,"tied","standalone"),"")</f>
        <v/>
      </c>
    </row>
    <row r="2555" spans="1:14">
      <c r="A2555" s="6">
        <v>2023</v>
      </c>
      <c r="B2555" s="6">
        <v>12</v>
      </c>
      <c r="C2555" s="6" t="s">
        <v>71</v>
      </c>
      <c r="D2555" s="6" t="s">
        <v>52</v>
      </c>
      <c r="E2555" s="6" t="s">
        <v>441</v>
      </c>
      <c r="F2555" s="6" t="str">
        <f>IF($M2555="PADD I","PADD 1",IF($M2555="PADD II","PADD 2",IF($M2555="PADD III","PADD 3",IF($M2555="PADD IV","PADD 4",IF($M2555="PADD V","PADD 5","")))))</f>
        <v>PADD 5</v>
      </c>
      <c r="G2555" s="6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6" t="s">
        <v>510</v>
      </c>
      <c r="I2555" s="6" t="s">
        <v>511</v>
      </c>
      <c r="J2555" s="6" t="s">
        <v>394</v>
      </c>
      <c r="K2555" s="10">
        <v>5.28</v>
      </c>
      <c r="L2555" s="10">
        <v>33</v>
      </c>
      <c r="M2555" s="6" t="s">
        <v>436</v>
      </c>
      <c r="N2555" s="6">
        <f>IF(OR($G2555="FCC",$G2555="Hydrocracker",$G2555="Reformer"),IF(COUNTIFS($D:$D,$D2555,$A:$A,$A2555,$B:$B,$B2555,$G:$G,"CDU",$J:$J,"PLANNED")&gt;0,"tied","standalone"),"")</f>
        <v/>
      </c>
    </row>
    <row r="2556" spans="1:14">
      <c r="A2556" s="6">
        <v>2023</v>
      </c>
      <c r="B2556" s="6">
        <v>12</v>
      </c>
      <c r="C2556" s="6" t="s">
        <v>71</v>
      </c>
      <c r="D2556" s="6" t="s">
        <v>484</v>
      </c>
      <c r="E2556" s="6" t="s">
        <v>438</v>
      </c>
      <c r="F2556" s="6" t="str">
        <f>IF($M2556="PADD I","PADD 1",IF($M2556="PADD II","PADD 2",IF($M2556="PADD III","PADD 3",IF($M2556="PADD IV","PADD 4",IF($M2556="PADD V","PADD 5","")))))</f>
        <v>PADD 5</v>
      </c>
      <c r="G2556" s="6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6" t="s">
        <v>494</v>
      </c>
      <c r="I2556" s="6" t="s">
        <v>14</v>
      </c>
      <c r="J2556" s="6" t="s">
        <v>394</v>
      </c>
      <c r="K2556" s="10">
        <v>5.12</v>
      </c>
      <c r="L2556" s="10">
        <v>32</v>
      </c>
      <c r="M2556" s="6" t="s">
        <v>436</v>
      </c>
      <c r="N2556" s="6" t="str">
        <f>IF(OR($G2556="FCC",$G2556="Hydrocracker",$G2556="Reformer"),IF(COUNTIFS($D:$D,$D2556,$A:$A,$A2556,$B:$B,$B2556,$G:$G,"CDU",$J:$J,"PLANNED")&gt;0,"tied","standalone"),"")</f>
        <v>standalone</v>
      </c>
    </row>
    <row r="2557" spans="1:14">
      <c r="A2557" s="6">
        <v>2023</v>
      </c>
      <c r="B2557" s="6">
        <v>12</v>
      </c>
      <c r="C2557" s="6" t="s">
        <v>71</v>
      </c>
      <c r="D2557" s="6" t="s">
        <v>487</v>
      </c>
      <c r="E2557" s="6" t="s">
        <v>488</v>
      </c>
      <c r="F2557" s="6" t="str">
        <f>IF($M2557="PADD I","PADD 1",IF($M2557="PADD II","PADD 2",IF($M2557="PADD III","PADD 3",IF($M2557="PADD IV","PADD 4",IF($M2557="PADD V","PADD 5","")))))</f>
        <v>PADD 4</v>
      </c>
      <c r="G2557" s="6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6" t="s">
        <v>39</v>
      </c>
      <c r="I2557" s="6" t="s">
        <v>489</v>
      </c>
      <c r="J2557" s="6" t="s">
        <v>394</v>
      </c>
      <c r="K2557" s="10">
        <v>5.07</v>
      </c>
      <c r="L2557" s="10">
        <v>39</v>
      </c>
      <c r="M2557" s="6" t="s">
        <v>480</v>
      </c>
      <c r="N2557" s="6">
        <f>IF(OR($G2557="FCC",$G2557="Hydrocracker",$G2557="Reformer"),IF(COUNTIFS($D:$D,$D2557,$A:$A,$A2557,$B:$B,$B2557,$G:$G,"CDU",$J:$J,"PLANNED")&gt;0,"tied","standalone"),"")</f>
        <v/>
      </c>
    </row>
    <row r="2558" spans="1:14">
      <c r="A2558" s="6">
        <v>2023</v>
      </c>
      <c r="B2558" s="6">
        <v>12</v>
      </c>
      <c r="C2558" s="6" t="s">
        <v>71</v>
      </c>
      <c r="D2558" s="6" t="s">
        <v>996</v>
      </c>
      <c r="E2558" s="6" t="s">
        <v>455</v>
      </c>
      <c r="F2558" s="6" t="str">
        <f>IF($M2558="PADD I","PADD 1",IF($M2558="PADD II","PADD 2",IF($M2558="PADD III","PADD 3",IF($M2558="PADD IV","PADD 4",IF($M2558="PADD V","PADD 5","")))))</f>
        <v>PADD 5</v>
      </c>
      <c r="G2558" s="6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6" t="s">
        <v>510</v>
      </c>
      <c r="I2558" s="6" t="s">
        <v>1002</v>
      </c>
      <c r="J2558" s="6" t="s">
        <v>394</v>
      </c>
      <c r="K2558" s="10">
        <v>5.06</v>
      </c>
      <c r="L2558" s="10">
        <v>22</v>
      </c>
      <c r="M2558" s="6" t="s">
        <v>436</v>
      </c>
      <c r="N2558" s="6">
        <f>IF(OR($G2558="FCC",$G2558="Hydrocracker",$G2558="Reformer"),IF(COUNTIFS($D:$D,$D2558,$A:$A,$A2558,$B:$B,$B2558,$G:$G,"CDU",$J:$J,"PLANNED")&gt;0,"tied","standalone"),"")</f>
        <v/>
      </c>
    </row>
    <row r="2559" spans="1:14">
      <c r="A2559" s="6">
        <v>2023</v>
      </c>
      <c r="B2559" s="6">
        <v>12</v>
      </c>
      <c r="C2559" s="6" t="s">
        <v>71</v>
      </c>
      <c r="D2559" s="6" t="s">
        <v>41</v>
      </c>
      <c r="E2559" s="6" t="s">
        <v>786</v>
      </c>
      <c r="F2559" s="6" t="str">
        <f>IF($M2559="PADD I","PADD 1",IF($M2559="PADD II","PADD 2",IF($M2559="PADD III","PADD 3",IF($M2559="PADD IV","PADD 4",IF($M2559="PADD V","PADD 5","")))))</f>
        <v>PADD 1</v>
      </c>
      <c r="G2559" s="6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6" t="s">
        <v>428</v>
      </c>
      <c r="I2559" s="6" t="s">
        <v>1059</v>
      </c>
      <c r="J2559" s="6" t="s">
        <v>394</v>
      </c>
      <c r="K2559" s="10">
        <v>4.94</v>
      </c>
      <c r="L2559" s="10">
        <v>26</v>
      </c>
      <c r="M2559" s="6" t="s">
        <v>463</v>
      </c>
      <c r="N2559" s="6">
        <f>IF(OR($G2559="FCC",$G2559="Hydrocracker",$G2559="Reformer"),IF(COUNTIFS($D:$D,$D2559,$A:$A,$A2559,$B:$B,$B2559,$G:$G,"CDU",$J:$J,"PLANNED")&gt;0,"tied","standalone"),"")</f>
        <v/>
      </c>
    </row>
    <row r="2560" spans="1:14">
      <c r="A2560" s="6">
        <v>2023</v>
      </c>
      <c r="B2560" s="6">
        <v>12</v>
      </c>
      <c r="C2560" s="6" t="s">
        <v>71</v>
      </c>
      <c r="D2560" s="6" t="s">
        <v>550</v>
      </c>
      <c r="E2560" s="6" t="s">
        <v>438</v>
      </c>
      <c r="F2560" s="6" t="str">
        <f>IF($M2560="PADD I","PADD 1",IF($M2560="PADD II","PADD 2",IF($M2560="PADD III","PADD 3",IF($M2560="PADD IV","PADD 4",IF($M2560="PADD V","PADD 5","")))))</f>
        <v>PADD 2</v>
      </c>
      <c r="G2560" s="6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6" t="s">
        <v>44</v>
      </c>
      <c r="I2560" s="6" t="s">
        <v>551</v>
      </c>
      <c r="J2560" s="6" t="s">
        <v>394</v>
      </c>
      <c r="K2560" s="10">
        <v>4.88</v>
      </c>
      <c r="L2560" s="10">
        <v>30.5</v>
      </c>
      <c r="M2560" s="6" t="s">
        <v>425</v>
      </c>
      <c r="N2560" s="6">
        <f>IF(OR($G2560="FCC",$G2560="Hydrocracker",$G2560="Reformer"),IF(COUNTIFS($D:$D,$D2560,$A:$A,$A2560,$B:$B,$B2560,$G:$G,"CDU",$J:$J,"PLANNED")&gt;0,"tied","standalone"),"")</f>
        <v/>
      </c>
    </row>
    <row r="2561" spans="1:14">
      <c r="A2561" s="6">
        <v>2023</v>
      </c>
      <c r="B2561" s="6">
        <v>12</v>
      </c>
      <c r="C2561" s="6" t="s">
        <v>71</v>
      </c>
      <c r="D2561" s="6" t="s">
        <v>465</v>
      </c>
      <c r="E2561" s="6" t="s">
        <v>466</v>
      </c>
      <c r="F2561" s="6" t="str">
        <f>IF($M2561="PADD I","PADD 1",IF($M2561="PADD II","PADD 2",IF($M2561="PADD III","PADD 3",IF($M2561="PADD IV","PADD 4",IF($M2561="PADD V","PADD 5","")))))</f>
        <v>PADD 3</v>
      </c>
      <c r="G2561" s="6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6" t="s">
        <v>428</v>
      </c>
      <c r="I2561" s="6" t="s">
        <v>1127</v>
      </c>
      <c r="J2561" s="6" t="s">
        <v>398</v>
      </c>
      <c r="K2561" s="10">
        <v>4.68</v>
      </c>
      <c r="L2561" s="10">
        <v>36</v>
      </c>
      <c r="M2561" s="6" t="s">
        <v>421</v>
      </c>
      <c r="N2561" s="6">
        <f>IF(OR($G2561="FCC",$G2561="Hydrocracker",$G2561="Reformer"),IF(COUNTIFS($D:$D,$D2561,$A:$A,$A2561,$B:$B,$B2561,$G:$G,"CDU",$J:$J,"PLANNED")&gt;0,"tied","standalone"),"")</f>
        <v/>
      </c>
    </row>
    <row r="2562" spans="1:14">
      <c r="A2562" s="6">
        <v>2023</v>
      </c>
      <c r="B2562" s="6">
        <v>12</v>
      </c>
      <c r="C2562" s="6" t="s">
        <v>71</v>
      </c>
      <c r="D2562" s="6" t="s">
        <v>512</v>
      </c>
      <c r="E2562" s="6" t="s">
        <v>488</v>
      </c>
      <c r="F2562" s="6" t="str">
        <f>IF($M2562="PADD I","PADD 1",IF($M2562="PADD II","PADD 2",IF($M2562="PADD III","PADD 3",IF($M2562="PADD IV","PADD 4",IF($M2562="PADD V","PADD 5","")))))</f>
        <v>PADD 4</v>
      </c>
      <c r="G2562" s="6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6" t="s">
        <v>39</v>
      </c>
      <c r="I2562" s="6" t="s">
        <v>124</v>
      </c>
      <c r="J2562" s="6" t="s">
        <v>394</v>
      </c>
      <c r="K2562" s="10">
        <v>4.16</v>
      </c>
      <c r="L2562" s="10">
        <v>32</v>
      </c>
      <c r="M2562" s="6" t="s">
        <v>480</v>
      </c>
      <c r="N2562" s="6">
        <f>IF(OR($G2562="FCC",$G2562="Hydrocracker",$G2562="Reformer"),IF(COUNTIFS($D:$D,$D2562,$A:$A,$A2562,$B:$B,$B2562,$G:$G,"CDU",$J:$J,"PLANNED")&gt;0,"tied","standalone"),"")</f>
        <v/>
      </c>
    </row>
    <row r="2563" spans="1:14">
      <c r="A2563" s="6">
        <v>2023</v>
      </c>
      <c r="B2563" s="6">
        <v>12</v>
      </c>
      <c r="C2563" s="6" t="s">
        <v>71</v>
      </c>
      <c r="D2563" s="6" t="s">
        <v>484</v>
      </c>
      <c r="E2563" s="6" t="s">
        <v>438</v>
      </c>
      <c r="F2563" s="6" t="str">
        <f>IF($M2563="PADD I","PADD 1",IF($M2563="PADD II","PADD 2",IF($M2563="PADD III","PADD 3",IF($M2563="PADD IV","PADD 4",IF($M2563="PADD V","PADD 5","")))))</f>
        <v>PADD 5</v>
      </c>
      <c r="G2563" s="6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6" t="s">
        <v>44</v>
      </c>
      <c r="I2563" s="6" t="s">
        <v>955</v>
      </c>
      <c r="J2563" s="6" t="s">
        <v>394</v>
      </c>
      <c r="K2563" s="10">
        <v>4</v>
      </c>
      <c r="L2563" s="10">
        <v>25</v>
      </c>
      <c r="M2563" s="6" t="s">
        <v>436</v>
      </c>
      <c r="N2563" s="6">
        <f>IF(OR($G2563="FCC",$G2563="Hydrocracker",$G2563="Reformer"),IF(COUNTIFS($D:$D,$D2563,$A:$A,$A2563,$B:$B,$B2563,$G:$G,"CDU",$J:$J,"PLANNED")&gt;0,"tied","standalone"),"")</f>
        <v/>
      </c>
    </row>
    <row r="2564" spans="1:14">
      <c r="A2564" s="6">
        <v>2023</v>
      </c>
      <c r="B2564" s="6">
        <v>12</v>
      </c>
      <c r="C2564" s="6" t="s">
        <v>71</v>
      </c>
      <c r="D2564" s="6" t="s">
        <v>518</v>
      </c>
      <c r="E2564" s="6" t="s">
        <v>419</v>
      </c>
      <c r="F2564" s="6" t="str">
        <f>IF($M2564="PADD I","PADD 1",IF($M2564="PADD II","PADD 2",IF($M2564="PADD III","PADD 3",IF($M2564="PADD IV","PADD 4",IF($M2564="PADD V","PADD 5","")))))</f>
        <v>PADD 3</v>
      </c>
      <c r="G2564" s="6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6" t="s">
        <v>426</v>
      </c>
      <c r="I2564" s="6" t="s">
        <v>519</v>
      </c>
      <c r="J2564" s="6" t="s">
        <v>398</v>
      </c>
      <c r="K2564" s="10">
        <v>3.9</v>
      </c>
      <c r="L2564" s="10">
        <v>30</v>
      </c>
      <c r="M2564" s="6" t="s">
        <v>421</v>
      </c>
      <c r="N2564" s="6" t="str">
        <f>IF(OR($G2564="FCC",$G2564="Hydrocracker",$G2564="Reformer"),IF(COUNTIFS($D:$D,$D2564,$A:$A,$A2564,$B:$B,$B2564,$G:$G,"CDU",$J:$J,"PLANNED")&gt;0,"tied","standalone"),"")</f>
        <v>standalone</v>
      </c>
    </row>
    <row r="2565" spans="1:14">
      <c r="A2565" s="6">
        <v>2023</v>
      </c>
      <c r="B2565" s="6">
        <v>12</v>
      </c>
      <c r="C2565" s="6" t="s">
        <v>71</v>
      </c>
      <c r="D2565" s="6" t="s">
        <v>720</v>
      </c>
      <c r="E2565" s="6" t="s">
        <v>455</v>
      </c>
      <c r="F2565" s="6" t="str">
        <f>IF($M2565="PADD I","PADD 1",IF($M2565="PADD II","PADD 2",IF($M2565="PADD III","PADD 3",IF($M2565="PADD IV","PADD 4",IF($M2565="PADD V","PADD 5","")))))</f>
        <v>PADD 2</v>
      </c>
      <c r="G2565" s="6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6" t="s">
        <v>426</v>
      </c>
      <c r="I2565" s="6" t="s">
        <v>106</v>
      </c>
      <c r="J2565" s="6" t="s">
        <v>394</v>
      </c>
      <c r="K2565" s="10">
        <v>3.9</v>
      </c>
      <c r="L2565" s="10">
        <v>65</v>
      </c>
      <c r="M2565" s="6" t="s">
        <v>425</v>
      </c>
      <c r="N2565" s="6" t="str">
        <f>IF(OR($G2565="FCC",$G2565="Hydrocracker",$G2565="Reformer"),IF(COUNTIFS($D:$D,$D2565,$A:$A,$A2565,$B:$B,$B2565,$G:$G,"CDU",$J:$J,"PLANNED")&gt;0,"tied","standalone"),"")</f>
        <v>standalone</v>
      </c>
    </row>
    <row r="2566" spans="1:14">
      <c r="A2566" s="6">
        <v>2023</v>
      </c>
      <c r="B2566" s="6">
        <v>12</v>
      </c>
      <c r="C2566" s="6" t="s">
        <v>71</v>
      </c>
      <c r="D2566" s="6" t="s">
        <v>484</v>
      </c>
      <c r="E2566" s="6" t="s">
        <v>438</v>
      </c>
      <c r="F2566" s="6" t="str">
        <f>IF($M2566="PADD I","PADD 1",IF($M2566="PADD II","PADD 2",IF($M2566="PADD III","PADD 3",IF($M2566="PADD IV","PADD 4",IF($M2566="PADD V","PADD 5","")))))</f>
        <v>PADD 5</v>
      </c>
      <c r="G2566" s="6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6" t="s">
        <v>471</v>
      </c>
      <c r="I2566" s="6" t="s">
        <v>721</v>
      </c>
      <c r="J2566" s="6" t="s">
        <v>394</v>
      </c>
      <c r="K2566" s="10">
        <v>3.9</v>
      </c>
      <c r="L2566" s="10">
        <v>15</v>
      </c>
      <c r="M2566" s="6" t="s">
        <v>436</v>
      </c>
      <c r="N2566" s="6" t="str">
        <f>IF(OR($G2566="FCC",$G2566="Hydrocracker",$G2566="Reformer"),IF(COUNTIFS($D:$D,$D2566,$A:$A,$A2566,$B:$B,$B2566,$G:$G,"CDU",$J:$J,"PLANNED")&gt;0,"tied","standalone"),"")</f>
        <v>standalone</v>
      </c>
    </row>
    <row r="2567" spans="1:14">
      <c r="A2567" s="6">
        <v>2023</v>
      </c>
      <c r="B2567" s="6">
        <v>12</v>
      </c>
      <c r="C2567" s="6" t="s">
        <v>71</v>
      </c>
      <c r="D2567" s="6" t="s">
        <v>518</v>
      </c>
      <c r="E2567" s="6" t="s">
        <v>419</v>
      </c>
      <c r="F2567" s="6" t="str">
        <f>IF($M2567="PADD I","PADD 1",IF($M2567="PADD II","PADD 2",IF($M2567="PADD III","PADD 3",IF($M2567="PADD IV","PADD 4",IF($M2567="PADD V","PADD 5","")))))</f>
        <v>PADD 3</v>
      </c>
      <c r="G2567" s="6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6" t="s">
        <v>471</v>
      </c>
      <c r="I2567" s="6" t="s">
        <v>685</v>
      </c>
      <c r="J2567" s="6" t="s">
        <v>394</v>
      </c>
      <c r="K2567" s="10">
        <v>3.64</v>
      </c>
      <c r="L2567" s="10">
        <v>7</v>
      </c>
      <c r="M2567" s="6" t="s">
        <v>421</v>
      </c>
      <c r="N2567" s="6" t="str">
        <f>IF(OR($G2567="FCC",$G2567="Hydrocracker",$G2567="Reformer"),IF(COUNTIFS($D:$D,$D2567,$A:$A,$A2567,$B:$B,$B2567,$G:$G,"CDU",$J:$J,"PLANNED")&gt;0,"tied","standalone"),"")</f>
        <v>standalone</v>
      </c>
    </row>
    <row r="2568" spans="1:14">
      <c r="A2568" s="6">
        <v>2023</v>
      </c>
      <c r="B2568" s="6">
        <v>12</v>
      </c>
      <c r="C2568" s="6" t="s">
        <v>71</v>
      </c>
      <c r="D2568" s="6" t="s">
        <v>712</v>
      </c>
      <c r="E2568" s="6" t="s">
        <v>602</v>
      </c>
      <c r="F2568" s="6" t="str">
        <f>IF($M2568="PADD I","PADD 1",IF($M2568="PADD II","PADD 2",IF($M2568="PADD III","PADD 3",IF($M2568="PADD IV","PADD 4",IF($M2568="PADD V","PADD 5","")))))</f>
        <v>PADD 3</v>
      </c>
      <c r="G2568" s="6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6" t="s">
        <v>428</v>
      </c>
      <c r="I2568" s="6" t="s">
        <v>481</v>
      </c>
      <c r="J2568" s="6" t="s">
        <v>394</v>
      </c>
      <c r="K2568" s="10">
        <v>3.12</v>
      </c>
      <c r="L2568" s="10">
        <v>24</v>
      </c>
      <c r="M2568" s="6" t="s">
        <v>421</v>
      </c>
      <c r="N2568" s="6">
        <f>IF(OR($G2568="FCC",$G2568="Hydrocracker",$G2568="Reformer"),IF(COUNTIFS($D:$D,$D2568,$A:$A,$A2568,$B:$B,$B2568,$G:$G,"CDU",$J:$J,"PLANNED")&gt;0,"tied","standalone"),"")</f>
        <v/>
      </c>
    </row>
    <row r="2569" spans="1:14">
      <c r="A2569" s="6">
        <v>2023</v>
      </c>
      <c r="B2569" s="6">
        <v>12</v>
      </c>
      <c r="C2569" s="6" t="s">
        <v>71</v>
      </c>
      <c r="D2569" s="6" t="s">
        <v>652</v>
      </c>
      <c r="E2569" s="6" t="s">
        <v>419</v>
      </c>
      <c r="F2569" s="6" t="str">
        <f>IF($M2569="PADD I","PADD 1",IF($M2569="PADD II","PADD 2",IF($M2569="PADD III","PADD 3",IF($M2569="PADD IV","PADD 4",IF($M2569="PADD V","PADD 5","")))))</f>
        <v>PADD 2</v>
      </c>
      <c r="G2569" s="6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6" t="s">
        <v>485</v>
      </c>
      <c r="I2569" s="6" t="s">
        <v>491</v>
      </c>
      <c r="J2569" s="6" t="s">
        <v>394</v>
      </c>
      <c r="K2569" s="10">
        <v>3.003</v>
      </c>
      <c r="L2569" s="10">
        <v>23.1</v>
      </c>
      <c r="M2569" s="6" t="s">
        <v>425</v>
      </c>
      <c r="N2569" s="6">
        <f>IF(OR($G2569="FCC",$G2569="Hydrocracker",$G2569="Reformer"),IF(COUNTIFS($D:$D,$D2569,$A:$A,$A2569,$B:$B,$B2569,$G:$G,"CDU",$J:$J,"PLANNED")&gt;0,"tied","standalone"),"")</f>
        <v/>
      </c>
    </row>
    <row r="2570" spans="1:14">
      <c r="A2570" s="6">
        <v>2023</v>
      </c>
      <c r="B2570" s="6">
        <v>12</v>
      </c>
      <c r="C2570" s="6" t="s">
        <v>71</v>
      </c>
      <c r="D2570" s="6" t="s">
        <v>384</v>
      </c>
      <c r="E2570" s="6" t="s">
        <v>419</v>
      </c>
      <c r="F2570" s="6" t="str">
        <f>IF($M2570="PADD I","PADD 1",IF($M2570="PADD II","PADD 2",IF($M2570="PADD III","PADD 3",IF($M2570="PADD IV","PADD 4",IF($M2570="PADD V","PADD 5","")))))</f>
        <v>PADD 3</v>
      </c>
      <c r="G2570" s="6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6" t="s">
        <v>426</v>
      </c>
      <c r="I2570" s="6" t="s">
        <v>522</v>
      </c>
      <c r="J2570" s="6" t="s">
        <v>394</v>
      </c>
      <c r="K2570" s="10">
        <v>3</v>
      </c>
      <c r="L2570" s="10">
        <v>30</v>
      </c>
      <c r="M2570" s="6" t="s">
        <v>421</v>
      </c>
      <c r="N2570" s="6" t="str">
        <f>IF(OR($G2570="FCC",$G2570="Hydrocracker",$G2570="Reformer"),IF(COUNTIFS($D:$D,$D2570,$A:$A,$A2570,$B:$B,$B2570,$G:$G,"CDU",$J:$J,"PLANNED")&gt;0,"tied","standalone"),"")</f>
        <v>standalone</v>
      </c>
    </row>
    <row r="2571" spans="1:14">
      <c r="A2571" s="6">
        <v>2023</v>
      </c>
      <c r="B2571" s="6">
        <v>12</v>
      </c>
      <c r="C2571" s="6" t="s">
        <v>71</v>
      </c>
      <c r="D2571" s="6" t="s">
        <v>678</v>
      </c>
      <c r="E2571" s="6" t="s">
        <v>438</v>
      </c>
      <c r="F2571" s="6" t="str">
        <f>IF($M2571="PADD I","PADD 1",IF($M2571="PADD II","PADD 2",IF($M2571="PADD III","PADD 3",IF($M2571="PADD IV","PADD 4",IF($M2571="PADD V","PADD 5","")))))</f>
        <v>PADD 3</v>
      </c>
      <c r="G2571" s="6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6" t="s">
        <v>39</v>
      </c>
      <c r="I2571" s="6" t="s">
        <v>1098</v>
      </c>
      <c r="J2571" s="6" t="s">
        <v>398</v>
      </c>
      <c r="K2571" s="10">
        <v>3</v>
      </c>
      <c r="L2571" s="10">
        <v>50</v>
      </c>
      <c r="M2571" s="6" t="s">
        <v>421</v>
      </c>
      <c r="N2571" s="6">
        <f>IF(OR($G2571="FCC",$G2571="Hydrocracker",$G2571="Reformer"),IF(COUNTIFS($D:$D,$D2571,$A:$A,$A2571,$B:$B,$B2571,$G:$G,"CDU",$J:$J,"PLANNED")&gt;0,"tied","standalone"),"")</f>
        <v/>
      </c>
    </row>
    <row r="2572" spans="1:14">
      <c r="A2572" s="6">
        <v>2023</v>
      </c>
      <c r="B2572" s="6">
        <v>12</v>
      </c>
      <c r="C2572" s="6" t="s">
        <v>71</v>
      </c>
      <c r="D2572" s="6" t="s">
        <v>470</v>
      </c>
      <c r="E2572" s="6" t="s">
        <v>423</v>
      </c>
      <c r="F2572" s="6" t="str">
        <f>IF($M2572="PADD I","PADD 1",IF($M2572="PADD II","PADD 2",IF($M2572="PADD III","PADD 3",IF($M2572="PADD IV","PADD 4",IF($M2572="PADD V","PADD 5","")))))</f>
        <v>PADD 2</v>
      </c>
      <c r="G2572" s="6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6" t="s">
        <v>471</v>
      </c>
      <c r="I2572" s="6" t="s">
        <v>621</v>
      </c>
      <c r="J2572" s="6" t="s">
        <v>394</v>
      </c>
      <c r="K2572" s="10">
        <v>2.8</v>
      </c>
      <c r="L2572" s="10">
        <v>8</v>
      </c>
      <c r="M2572" s="6" t="s">
        <v>425</v>
      </c>
      <c r="N2572" s="6" t="str">
        <f>IF(OR($G2572="FCC",$G2572="Hydrocracker",$G2572="Reformer"),IF(COUNTIFS($D:$D,$D2572,$A:$A,$A2572,$B:$B,$B2572,$G:$G,"CDU",$J:$J,"PLANNED")&gt;0,"tied","standalone"),"")</f>
        <v>standalone</v>
      </c>
    </row>
    <row r="2573" spans="1:14">
      <c r="A2573" s="6">
        <v>2023</v>
      </c>
      <c r="B2573" s="6">
        <v>12</v>
      </c>
      <c r="C2573" s="6" t="s">
        <v>71</v>
      </c>
      <c r="D2573" s="6" t="s">
        <v>487</v>
      </c>
      <c r="E2573" s="6" t="s">
        <v>488</v>
      </c>
      <c r="F2573" s="6" t="str">
        <f>IF($M2573="PADD I","PADD 1",IF($M2573="PADD II","PADD 2",IF($M2573="PADD III","PADD 3",IF($M2573="PADD IV","PADD 4",IF($M2573="PADD V","PADD 5","")))))</f>
        <v>PADD 4</v>
      </c>
      <c r="G2573" s="6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6" t="s">
        <v>471</v>
      </c>
      <c r="I2573" s="6" t="s">
        <v>607</v>
      </c>
      <c r="J2573" s="6" t="s">
        <v>394</v>
      </c>
      <c r="K2573" s="10">
        <v>2.64</v>
      </c>
      <c r="L2573" s="10">
        <v>5.5</v>
      </c>
      <c r="M2573" s="6" t="s">
        <v>480</v>
      </c>
      <c r="N2573" s="6" t="str">
        <f>IF(OR($G2573="FCC",$G2573="Hydrocracker",$G2573="Reformer"),IF(COUNTIFS($D:$D,$D2573,$A:$A,$A2573,$B:$B,$B2573,$G:$G,"CDU",$J:$J,"PLANNED")&gt;0,"tied","standalone"),"")</f>
        <v>tied</v>
      </c>
    </row>
    <row r="2574" spans="1:14">
      <c r="A2574" s="6">
        <v>2023</v>
      </c>
      <c r="B2574" s="6">
        <v>12</v>
      </c>
      <c r="C2574" s="6" t="s">
        <v>71</v>
      </c>
      <c r="D2574" s="6" t="s">
        <v>484</v>
      </c>
      <c r="E2574" s="6" t="s">
        <v>438</v>
      </c>
      <c r="F2574" s="6" t="str">
        <f>IF($M2574="PADD I","PADD 1",IF($M2574="PADD II","PADD 2",IF($M2574="PADD III","PADD 3",IF($M2574="PADD IV","PADD 4",IF($M2574="PADD V","PADD 5","")))))</f>
        <v>PADD 5</v>
      </c>
      <c r="G2574" s="6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6" t="s">
        <v>471</v>
      </c>
      <c r="I2574" s="6" t="s">
        <v>956</v>
      </c>
      <c r="J2574" s="6" t="s">
        <v>394</v>
      </c>
      <c r="K2574" s="10">
        <v>2.47</v>
      </c>
      <c r="L2574" s="10">
        <v>13</v>
      </c>
      <c r="M2574" s="6" t="s">
        <v>436</v>
      </c>
      <c r="N2574" s="6" t="str">
        <f>IF(OR($G2574="FCC",$G2574="Hydrocracker",$G2574="Reformer"),IF(COUNTIFS($D:$D,$D2574,$A:$A,$A2574,$B:$B,$B2574,$G:$G,"CDU",$J:$J,"PLANNED")&gt;0,"tied","standalone"),"")</f>
        <v>standalone</v>
      </c>
    </row>
    <row r="2575" spans="1:14">
      <c r="A2575" s="6">
        <v>2023</v>
      </c>
      <c r="B2575" s="6">
        <v>12</v>
      </c>
      <c r="C2575" s="6" t="s">
        <v>71</v>
      </c>
      <c r="D2575" s="6" t="s">
        <v>437</v>
      </c>
      <c r="E2575" s="6" t="s">
        <v>438</v>
      </c>
      <c r="F2575" s="6" t="str">
        <f>IF($M2575="PADD I","PADD 1",IF($M2575="PADD II","PADD 2",IF($M2575="PADD III","PADD 3",IF($M2575="PADD IV","PADD 4",IF($M2575="PADD V","PADD 5","")))))</f>
        <v>PADD 3</v>
      </c>
      <c r="G2575" s="6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6" t="s">
        <v>471</v>
      </c>
      <c r="I2575" s="6" t="s">
        <v>493</v>
      </c>
      <c r="J2575" s="6" t="s">
        <v>394</v>
      </c>
      <c r="K2575" s="10">
        <v>2.325</v>
      </c>
      <c r="L2575" s="10">
        <v>77.5</v>
      </c>
      <c r="M2575" s="6" t="s">
        <v>421</v>
      </c>
      <c r="N2575" s="6" t="str">
        <f>IF(OR($G2575="FCC",$G2575="Hydrocracker",$G2575="Reformer"),IF(COUNTIFS($D:$D,$D2575,$A:$A,$A2575,$B:$B,$B2575,$G:$G,"CDU",$J:$J,"PLANNED")&gt;0,"tied","standalone"),"")</f>
        <v>standalone</v>
      </c>
    </row>
    <row r="2576" spans="1:14">
      <c r="A2576" s="6">
        <v>2023</v>
      </c>
      <c r="B2576" s="6">
        <v>12</v>
      </c>
      <c r="C2576" s="6" t="s">
        <v>71</v>
      </c>
      <c r="D2576" s="6" t="s">
        <v>581</v>
      </c>
      <c r="E2576" s="6" t="s">
        <v>582</v>
      </c>
      <c r="F2576" s="6" t="str">
        <f>IF($M2576="PADD I","PADD 1",IF($M2576="PADD II","PADD 2",IF($M2576="PADD III","PADD 3",IF($M2576="PADD IV","PADD 4",IF($M2576="PADD V","PADD 5","")))))</f>
        <v>PADD 5</v>
      </c>
      <c r="G2576" s="6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6" t="s">
        <v>510</v>
      </c>
      <c r="I2576" s="6" t="s">
        <v>666</v>
      </c>
      <c r="J2576" s="6" t="s">
        <v>394</v>
      </c>
      <c r="K2576" s="10">
        <v>2.2</v>
      </c>
      <c r="L2576" s="10">
        <v>22</v>
      </c>
      <c r="M2576" s="6" t="s">
        <v>436</v>
      </c>
      <c r="N2576" s="6">
        <f>IF(OR($G2576="FCC",$G2576="Hydrocracker",$G2576="Reformer"),IF(COUNTIFS($D:$D,$D2576,$A:$A,$A2576,$B:$B,$B2576,$G:$G,"CDU",$J:$J,"PLANNED")&gt;0,"tied","standalone"),"")</f>
        <v/>
      </c>
    </row>
    <row r="2577" spans="1:14">
      <c r="A2577" s="6">
        <v>2023</v>
      </c>
      <c r="B2577" s="6">
        <v>12</v>
      </c>
      <c r="C2577" s="6" t="s">
        <v>71</v>
      </c>
      <c r="D2577" s="6" t="s">
        <v>487</v>
      </c>
      <c r="E2577" s="6" t="s">
        <v>488</v>
      </c>
      <c r="F2577" s="6" t="str">
        <f>IF($M2577="PADD I","PADD 1",IF($M2577="PADD II","PADD 2",IF($M2577="PADD III","PADD 3",IF($M2577="PADD IV","PADD 4",IF($M2577="PADD V","PADD 5","")))))</f>
        <v>PADD 4</v>
      </c>
      <c r="G2577" s="6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6" t="s">
        <v>44</v>
      </c>
      <c r="I2577" s="6" t="s">
        <v>543</v>
      </c>
      <c r="J2577" s="6" t="s">
        <v>394</v>
      </c>
      <c r="K2577" s="10">
        <v>2.1</v>
      </c>
      <c r="L2577" s="10">
        <v>21</v>
      </c>
      <c r="M2577" s="6" t="s">
        <v>480</v>
      </c>
      <c r="N2577" s="6">
        <f>IF(OR($G2577="FCC",$G2577="Hydrocracker",$G2577="Reformer"),IF(COUNTIFS($D:$D,$D2577,$A:$A,$A2577,$B:$B,$B2577,$G:$G,"CDU",$J:$J,"PLANNED")&gt;0,"tied","standalone"),"")</f>
        <v/>
      </c>
    </row>
    <row r="2578" spans="1:14">
      <c r="A2578" s="6">
        <v>2023</v>
      </c>
      <c r="B2578" s="6">
        <v>12</v>
      </c>
      <c r="C2578" s="6" t="s">
        <v>71</v>
      </c>
      <c r="D2578" s="6" t="s">
        <v>484</v>
      </c>
      <c r="E2578" s="6" t="s">
        <v>438</v>
      </c>
      <c r="F2578" s="6" t="str">
        <f>IF($M2578="PADD I","PADD 1",IF($M2578="PADD II","PADD 2",IF($M2578="PADD III","PADD 3",IF($M2578="PADD IV","PADD 4",IF($M2578="PADD V","PADD 5","")))))</f>
        <v>PADD 5</v>
      </c>
      <c r="G2578" s="6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6" t="s">
        <v>471</v>
      </c>
      <c r="I2578" s="6" t="s">
        <v>721</v>
      </c>
      <c r="J2578" s="6" t="s">
        <v>394</v>
      </c>
      <c r="K2578" s="10">
        <v>2.08</v>
      </c>
      <c r="L2578" s="10">
        <v>13</v>
      </c>
      <c r="M2578" s="6" t="s">
        <v>436</v>
      </c>
      <c r="N2578" s="6" t="str">
        <f>IF(OR($G2578="FCC",$G2578="Hydrocracker",$G2578="Reformer"),IF(COUNTIFS($D:$D,$D2578,$A:$A,$A2578,$B:$B,$B2578,$G:$G,"CDU",$J:$J,"PLANNED")&gt;0,"tied","standalone"),"")</f>
        <v>standalone</v>
      </c>
    </row>
    <row r="2579" spans="1:14">
      <c r="A2579" s="6">
        <v>2023</v>
      </c>
      <c r="B2579" s="6">
        <v>12</v>
      </c>
      <c r="C2579" s="6" t="s">
        <v>71</v>
      </c>
      <c r="D2579" s="6" t="s">
        <v>487</v>
      </c>
      <c r="E2579" s="6" t="s">
        <v>488</v>
      </c>
      <c r="F2579" s="6" t="str">
        <f>IF($M2579="PADD I","PADD 1",IF($M2579="PADD II","PADD 2",IF($M2579="PADD III","PADD 3",IF($M2579="PADD IV","PADD 4",IF($M2579="PADD V","PADD 5","")))))</f>
        <v>PADD 4</v>
      </c>
      <c r="G2579" s="6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6" t="s">
        <v>428</v>
      </c>
      <c r="I2579" s="6" t="s">
        <v>606</v>
      </c>
      <c r="J2579" s="6" t="s">
        <v>394</v>
      </c>
      <c r="K2579" s="10">
        <v>1.9274</v>
      </c>
      <c r="L2579" s="10">
        <v>8.380000000000001</v>
      </c>
      <c r="M2579" s="6" t="s">
        <v>480</v>
      </c>
      <c r="N2579" s="6">
        <f>IF(OR($G2579="FCC",$G2579="Hydrocracker",$G2579="Reformer"),IF(COUNTIFS($D:$D,$D2579,$A:$A,$A2579,$B:$B,$B2579,$G:$G,"CDU",$J:$J,"PLANNED")&gt;0,"tied","standalone"),"")</f>
        <v/>
      </c>
    </row>
    <row r="2580" spans="1:14">
      <c r="A2580" s="6">
        <v>2023</v>
      </c>
      <c r="B2580" s="6">
        <v>12</v>
      </c>
      <c r="C2580" s="6" t="s">
        <v>71</v>
      </c>
      <c r="D2580" s="6" t="s">
        <v>518</v>
      </c>
      <c r="E2580" s="6" t="s">
        <v>419</v>
      </c>
      <c r="F2580" s="6" t="str">
        <f>IF($M2580="PADD I","PADD 1",IF($M2580="PADD II","PADD 2",IF($M2580="PADD III","PADD 3",IF($M2580="PADD IV","PADD 4",IF($M2580="PADD V","PADD 5","")))))</f>
        <v>PADD 3</v>
      </c>
      <c r="G2580" s="6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6" t="s">
        <v>471</v>
      </c>
      <c r="I2580" s="6" t="s">
        <v>685</v>
      </c>
      <c r="J2580" s="6" t="s">
        <v>394</v>
      </c>
      <c r="K2580" s="10">
        <v>1.82</v>
      </c>
      <c r="L2580" s="10">
        <v>7</v>
      </c>
      <c r="M2580" s="6" t="s">
        <v>421</v>
      </c>
      <c r="N2580" s="6" t="str">
        <f>IF(OR($G2580="FCC",$G2580="Hydrocracker",$G2580="Reformer"),IF(COUNTIFS($D:$D,$D2580,$A:$A,$A2580,$B:$B,$B2580,$G:$G,"CDU",$J:$J,"PLANNED")&gt;0,"tied","standalone"),"")</f>
        <v>standalone</v>
      </c>
    </row>
    <row r="2581" spans="1:14">
      <c r="A2581" s="6">
        <v>2023</v>
      </c>
      <c r="B2581" s="6">
        <v>12</v>
      </c>
      <c r="C2581" s="6" t="s">
        <v>71</v>
      </c>
      <c r="D2581" s="6" t="s">
        <v>384</v>
      </c>
      <c r="E2581" s="6" t="s">
        <v>419</v>
      </c>
      <c r="F2581" s="6" t="str">
        <f>IF($M2581="PADD I","PADD 1",IF($M2581="PADD II","PADD 2",IF($M2581="PADD III","PADD 3",IF($M2581="PADD IV","PADD 4",IF($M2581="PADD V","PADD 5","")))))</f>
        <v>PADD 3</v>
      </c>
      <c r="G2581" s="6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6" t="s">
        <v>426</v>
      </c>
      <c r="I2581" s="6" t="s">
        <v>522</v>
      </c>
      <c r="J2581" s="6" t="s">
        <v>394</v>
      </c>
      <c r="K2581" s="10">
        <v>1.8</v>
      </c>
      <c r="L2581" s="10">
        <v>30</v>
      </c>
      <c r="M2581" s="6" t="s">
        <v>421</v>
      </c>
      <c r="N2581" s="6" t="str">
        <f>IF(OR($G2581="FCC",$G2581="Hydrocracker",$G2581="Reformer"),IF(COUNTIFS($D:$D,$D2581,$A:$A,$A2581,$B:$B,$B2581,$G:$G,"CDU",$J:$J,"PLANNED")&gt;0,"tied","standalone"),"")</f>
        <v>standalone</v>
      </c>
    </row>
    <row r="2582" spans="1:14">
      <c r="A2582" s="6">
        <v>2023</v>
      </c>
      <c r="B2582" s="6">
        <v>12</v>
      </c>
      <c r="C2582" s="6" t="s">
        <v>71</v>
      </c>
      <c r="D2582" s="6" t="s">
        <v>487</v>
      </c>
      <c r="E2582" s="6" t="s">
        <v>488</v>
      </c>
      <c r="F2582" s="6" t="str">
        <f>IF($M2582="PADD I","PADD 1",IF($M2582="PADD II","PADD 2",IF($M2582="PADD III","PADD 3",IF($M2582="PADD IV","PADD 4",IF($M2582="PADD V","PADD 5","")))))</f>
        <v>PADD 4</v>
      </c>
      <c r="G2582" s="6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6" t="s">
        <v>428</v>
      </c>
      <c r="I2582" s="6" t="s">
        <v>606</v>
      </c>
      <c r="J2582" s="6" t="s">
        <v>394</v>
      </c>
      <c r="K2582" s="10">
        <v>1.3408</v>
      </c>
      <c r="L2582" s="10">
        <v>8.380000000000001</v>
      </c>
      <c r="M2582" s="6" t="s">
        <v>480</v>
      </c>
      <c r="N2582" s="6">
        <f>IF(OR($G2582="FCC",$G2582="Hydrocracker",$G2582="Reformer"),IF(COUNTIFS($D:$D,$D2582,$A:$A,$A2582,$B:$B,$B2582,$G:$G,"CDU",$J:$J,"PLANNED")&gt;0,"tied","standalone"),"")</f>
        <v/>
      </c>
    </row>
    <row r="2583" spans="1:14">
      <c r="A2583" s="6">
        <v>2023</v>
      </c>
      <c r="B2583" s="6">
        <v>12</v>
      </c>
      <c r="C2583" s="6" t="s">
        <v>71</v>
      </c>
      <c r="D2583" s="6" t="s">
        <v>512</v>
      </c>
      <c r="E2583" s="6" t="s">
        <v>488</v>
      </c>
      <c r="F2583" s="6" t="str">
        <f>IF($M2583="PADD I","PADD 1",IF($M2583="PADD II","PADD 2",IF($M2583="PADD III","PADD 3",IF($M2583="PADD IV","PADD 4",IF($M2583="PADD V","PADD 5","")))))</f>
        <v>PADD 4</v>
      </c>
      <c r="G2583" s="6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6" t="s">
        <v>428</v>
      </c>
      <c r="I2583" s="6" t="s">
        <v>605</v>
      </c>
      <c r="J2583" s="6" t="s">
        <v>394</v>
      </c>
      <c r="K2583" s="10">
        <v>1.3</v>
      </c>
      <c r="L2583" s="10">
        <v>10</v>
      </c>
      <c r="M2583" s="6" t="s">
        <v>480</v>
      </c>
      <c r="N2583" s="6">
        <f>IF(OR($G2583="FCC",$G2583="Hydrocracker",$G2583="Reformer"),IF(COUNTIFS($D:$D,$D2583,$A:$A,$A2583,$B:$B,$B2583,$G:$G,"CDU",$J:$J,"PLANNED")&gt;0,"tied","standalone"),"")</f>
        <v/>
      </c>
    </row>
    <row r="2584" spans="1:14">
      <c r="A2584" s="6">
        <v>2023</v>
      </c>
      <c r="B2584" s="6">
        <v>12</v>
      </c>
      <c r="C2584" s="6" t="s">
        <v>71</v>
      </c>
      <c r="D2584" s="6" t="s">
        <v>484</v>
      </c>
      <c r="E2584" s="6" t="s">
        <v>438</v>
      </c>
      <c r="F2584" s="6" t="str">
        <f>IF($M2584="PADD I","PADD 1",IF($M2584="PADD II","PADD 2",IF($M2584="PADD III","PADD 3",IF($M2584="PADD IV","PADD 4",IF($M2584="PADD V","PADD 5","")))))</f>
        <v>PADD 5</v>
      </c>
      <c r="G2584" s="6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6" t="s">
        <v>471</v>
      </c>
      <c r="I2584" s="6" t="s">
        <v>721</v>
      </c>
      <c r="J2584" s="6" t="s">
        <v>394</v>
      </c>
      <c r="K2584" s="10">
        <v>1.3</v>
      </c>
      <c r="L2584" s="10">
        <v>13</v>
      </c>
      <c r="M2584" s="6" t="s">
        <v>436</v>
      </c>
      <c r="N2584" s="6" t="str">
        <f>IF(OR($G2584="FCC",$G2584="Hydrocracker",$G2584="Reformer"),IF(COUNTIFS($D:$D,$D2584,$A:$A,$A2584,$B:$B,$B2584,$G:$G,"CDU",$J:$J,"PLANNED")&gt;0,"tied","standalone"),"")</f>
        <v>standalone</v>
      </c>
    </row>
    <row r="2585" spans="1:14">
      <c r="A2585" s="6">
        <v>2023</v>
      </c>
      <c r="B2585" s="6">
        <v>12</v>
      </c>
      <c r="C2585" s="6" t="s">
        <v>71</v>
      </c>
      <c r="D2585" s="6" t="s">
        <v>665</v>
      </c>
      <c r="E2585" s="6" t="s">
        <v>455</v>
      </c>
      <c r="F2585" s="6" t="str">
        <f>IF($M2585="PADD I","PADD 1",IF($M2585="PADD II","PADD 2",IF($M2585="PADD III","PADD 3",IF($M2585="PADD IV","PADD 4",IF($M2585="PADD V","PADD 5","")))))</f>
        <v>PADD 5</v>
      </c>
      <c r="G2585" s="6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6" t="s">
        <v>471</v>
      </c>
      <c r="I2585" s="6" t="s">
        <v>716</v>
      </c>
      <c r="J2585" s="6" t="s">
        <v>394</v>
      </c>
      <c r="K2585" s="10">
        <v>1.2</v>
      </c>
      <c r="L2585" s="10">
        <v>40</v>
      </c>
      <c r="M2585" s="6" t="s">
        <v>436</v>
      </c>
      <c r="N2585" s="6" t="str">
        <f>IF(OR($G2585="FCC",$G2585="Hydrocracker",$G2585="Reformer"),IF(COUNTIFS($D:$D,$D2585,$A:$A,$A2585,$B:$B,$B2585,$G:$G,"CDU",$J:$J,"PLANNED")&gt;0,"tied","standalone"),"")</f>
        <v>standalone</v>
      </c>
    </row>
    <row r="2586" spans="1:14">
      <c r="A2586" s="6">
        <v>2023</v>
      </c>
      <c r="B2586" s="6">
        <v>12</v>
      </c>
      <c r="C2586" s="6" t="s">
        <v>71</v>
      </c>
      <c r="D2586" s="6" t="s">
        <v>678</v>
      </c>
      <c r="E2586" s="6" t="s">
        <v>438</v>
      </c>
      <c r="F2586" s="6" t="str">
        <f>IF($M2586="PADD I","PADD 1",IF($M2586="PADD II","PADD 2",IF($M2586="PADD III","PADD 3",IF($M2586="PADD IV","PADD 4",IF($M2586="PADD V","PADD 5","")))))</f>
        <v>PADD 3</v>
      </c>
      <c r="G2586" s="6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6" t="s">
        <v>39</v>
      </c>
      <c r="I2586" s="6" t="s">
        <v>1103</v>
      </c>
      <c r="J2586" s="6" t="s">
        <v>398</v>
      </c>
      <c r="K2586" s="10">
        <v>1.2</v>
      </c>
      <c r="L2586" s="10">
        <v>20</v>
      </c>
      <c r="M2586" s="6" t="s">
        <v>421</v>
      </c>
      <c r="N2586" s="6">
        <f>IF(OR($G2586="FCC",$G2586="Hydrocracker",$G2586="Reformer"),IF(COUNTIFS($D:$D,$D2586,$A:$A,$A2586,$B:$B,$B2586,$G:$G,"CDU",$J:$J,"PLANNED")&gt;0,"tied","standalone"),"")</f>
        <v/>
      </c>
    </row>
    <row r="2587" spans="1:14">
      <c r="A2587" s="6">
        <v>2023</v>
      </c>
      <c r="B2587" s="6">
        <v>12</v>
      </c>
      <c r="C2587" s="6" t="s">
        <v>71</v>
      </c>
      <c r="D2587" s="6" t="s">
        <v>512</v>
      </c>
      <c r="E2587" s="6" t="s">
        <v>488</v>
      </c>
      <c r="F2587" s="6" t="str">
        <f>IF($M2587="PADD I","PADD 1",IF($M2587="PADD II","PADD 2",IF($M2587="PADD III","PADD 3",IF($M2587="PADD IV","PADD 4",IF($M2587="PADD V","PADD 5","")))))</f>
        <v>PADD 4</v>
      </c>
      <c r="G2587" s="6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6" t="s">
        <v>44</v>
      </c>
      <c r="I2587" s="6" t="s">
        <v>520</v>
      </c>
      <c r="J2587" s="6" t="s">
        <v>394</v>
      </c>
      <c r="K2587" s="10">
        <v>0.9</v>
      </c>
      <c r="L2587" s="10">
        <v>30</v>
      </c>
      <c r="M2587" s="6" t="s">
        <v>480</v>
      </c>
      <c r="N2587" s="6">
        <f>IF(OR($G2587="FCC",$G2587="Hydrocracker",$G2587="Reformer"),IF(COUNTIFS($D:$D,$D2587,$A:$A,$A2587,$B:$B,$B2587,$G:$G,"CDU",$J:$J,"PLANNED")&gt;0,"tied","standalone"),"")</f>
        <v/>
      </c>
    </row>
    <row r="2588" spans="1:14">
      <c r="A2588" s="6">
        <v>2023</v>
      </c>
      <c r="B2588" s="6">
        <v>12</v>
      </c>
      <c r="C2588" s="6" t="s">
        <v>71</v>
      </c>
      <c r="D2588" s="6" t="s">
        <v>849</v>
      </c>
      <c r="E2588" s="6" t="s">
        <v>441</v>
      </c>
      <c r="F2588" s="6" t="str">
        <f>IF($M2588="PADD I","PADD 1",IF($M2588="PADD II","PADD 2",IF($M2588="PADD III","PADD 3",IF($M2588="PADD IV","PADD 4",IF($M2588="PADD V","PADD 5","")))))</f>
        <v>PADD 4</v>
      </c>
      <c r="G2588" s="6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6" t="s">
        <v>510</v>
      </c>
      <c r="I2588" s="6" t="s">
        <v>958</v>
      </c>
      <c r="J2588" s="6" t="s">
        <v>394</v>
      </c>
      <c r="K2588" s="10">
        <v>0.896</v>
      </c>
      <c r="L2588" s="10">
        <v>5.6</v>
      </c>
      <c r="M2588" s="6" t="s">
        <v>480</v>
      </c>
      <c r="N2588" s="6">
        <f>IF(OR($G2588="FCC",$G2588="Hydrocracker",$G2588="Reformer"),IF(COUNTIFS($D:$D,$D2588,$A:$A,$A2588,$B:$B,$B2588,$G:$G,"CDU",$J:$J,"PLANNED")&gt;0,"tied","standalone"),"")</f>
        <v/>
      </c>
    </row>
    <row r="2589" spans="1:14">
      <c r="A2589" s="6">
        <v>2023</v>
      </c>
      <c r="B2589" s="6">
        <v>12</v>
      </c>
      <c r="C2589" s="6" t="s">
        <v>71</v>
      </c>
      <c r="D2589" s="6" t="s">
        <v>512</v>
      </c>
      <c r="E2589" s="6" t="s">
        <v>488</v>
      </c>
      <c r="F2589" s="6" t="str">
        <f>IF($M2589="PADD I","PADD 1",IF($M2589="PADD II","PADD 2",IF($M2589="PADD III","PADD 3",IF($M2589="PADD IV","PADD 4",IF($M2589="PADD V","PADD 5","")))))</f>
        <v>PADD 4</v>
      </c>
      <c r="G2589" s="6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6" t="s">
        <v>44</v>
      </c>
      <c r="I2589" s="6" t="s">
        <v>545</v>
      </c>
      <c r="J2589" s="6" t="s">
        <v>394</v>
      </c>
      <c r="K2589" s="10">
        <v>0.6</v>
      </c>
      <c r="L2589" s="10">
        <v>20</v>
      </c>
      <c r="M2589" s="6" t="s">
        <v>480</v>
      </c>
      <c r="N2589" s="6">
        <f>IF(OR($G2589="FCC",$G2589="Hydrocracker",$G2589="Reformer"),IF(COUNTIFS($D:$D,$D2589,$A:$A,$A2589,$B:$B,$B2589,$G:$G,"CDU",$J:$J,"PLANNED")&gt;0,"tied","standalone"),"")</f>
        <v/>
      </c>
    </row>
    <row r="2590" spans="1:14">
      <c r="A2590" s="6">
        <v>2023</v>
      </c>
      <c r="B2590" s="6">
        <v>12</v>
      </c>
      <c r="C2590" s="6" t="s">
        <v>71</v>
      </c>
      <c r="D2590" s="6" t="s">
        <v>512</v>
      </c>
      <c r="E2590" s="6" t="s">
        <v>488</v>
      </c>
      <c r="F2590" s="6" t="str">
        <f>IF($M2590="PADD I","PADD 1",IF($M2590="PADD II","PADD 2",IF($M2590="PADD III","PADD 3",IF($M2590="PADD IV","PADD 4",IF($M2590="PADD V","PADD 5","")))))</f>
        <v>PADD 4</v>
      </c>
      <c r="G2590" s="6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6" t="s">
        <v>44</v>
      </c>
      <c r="I2590" s="6" t="s">
        <v>585</v>
      </c>
      <c r="J2590" s="6" t="s">
        <v>394</v>
      </c>
      <c r="K2590" s="10">
        <v>0.36</v>
      </c>
      <c r="L2590" s="10">
        <v>12</v>
      </c>
      <c r="M2590" s="6" t="s">
        <v>480</v>
      </c>
      <c r="N2590" s="6">
        <f>IF(OR($G2590="FCC",$G2590="Hydrocracker",$G2590="Reformer"),IF(COUNTIFS($D:$D,$D2590,$A:$A,$A2590,$B:$B,$B2590,$G:$G,"CDU",$J:$J,"PLANNED")&gt;0,"tied","standalone"),"")</f>
        <v/>
      </c>
    </row>
    <row r="2591" spans="1:14">
      <c r="A2591" s="6">
        <v>2023</v>
      </c>
      <c r="B2591" s="6">
        <v>12</v>
      </c>
      <c r="C2591" s="6" t="s">
        <v>71</v>
      </c>
      <c r="D2591" s="6" t="s">
        <v>512</v>
      </c>
      <c r="E2591" s="6" t="s">
        <v>488</v>
      </c>
      <c r="F2591" s="6" t="str">
        <f>IF($M2591="PADD I","PADD 1",IF($M2591="PADD II","PADD 2",IF($M2591="PADD III","PADD 3",IF($M2591="PADD IV","PADD 4",IF($M2591="PADD V","PADD 5","")))))</f>
        <v>PADD 4</v>
      </c>
      <c r="G2591" s="6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6" t="s">
        <v>44</v>
      </c>
      <c r="I2591" s="6" t="s">
        <v>608</v>
      </c>
      <c r="J2591" s="6" t="s">
        <v>394</v>
      </c>
      <c r="K2591" s="10">
        <v>0.3</v>
      </c>
      <c r="L2591" s="10">
        <v>10</v>
      </c>
      <c r="M2591" s="6" t="s">
        <v>480</v>
      </c>
      <c r="N2591" s="6">
        <f>IF(OR($G2591="FCC",$G2591="Hydrocracker",$G2591="Reformer"),IF(COUNTIFS($D:$D,$D2591,$A:$A,$A2591,$B:$B,$B2591,$G:$G,"CDU",$J:$J,"PLANNED")&gt;0,"tied","standalone"),"")</f>
        <v/>
      </c>
    </row>
    <row r="2592" spans="1:14">
      <c r="A2592" s="6">
        <v>2023</v>
      </c>
      <c r="B2592" s="6">
        <v>12</v>
      </c>
      <c r="C2592" s="6" t="s">
        <v>71</v>
      </c>
      <c r="D2592" s="6" t="s">
        <v>512</v>
      </c>
      <c r="E2592" s="6" t="s">
        <v>488</v>
      </c>
      <c r="F2592" s="6" t="str">
        <f>IF($M2592="PADD I","PADD 1",IF($M2592="PADD II","PADD 2",IF($M2592="PADD III","PADD 3",IF($M2592="PADD IV","PADD 4",IF($M2592="PADD V","PADD 5","")))))</f>
        <v>PADD 4</v>
      </c>
      <c r="G2592" s="6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6" t="s">
        <v>471</v>
      </c>
      <c r="I2592" s="6" t="s">
        <v>609</v>
      </c>
      <c r="J2592" s="6" t="s">
        <v>394</v>
      </c>
      <c r="K2592" s="10">
        <v>0.3</v>
      </c>
      <c r="L2592" s="10">
        <v>10</v>
      </c>
      <c r="M2592" s="6" t="s">
        <v>480</v>
      </c>
      <c r="N2592" s="6" t="str">
        <f>IF(OR($G2592="FCC",$G2592="Hydrocracker",$G2592="Reformer"),IF(COUNTIFS($D:$D,$D2592,$A:$A,$A2592,$B:$B,$B2592,$G:$G,"CDU",$J:$J,"PLANNED")&gt;0,"tied","standalone"),"")</f>
        <v>standalone</v>
      </c>
    </row>
    <row r="2593" spans="1:14">
      <c r="A2593" s="6">
        <v>2023</v>
      </c>
      <c r="B2593" s="6">
        <v>12</v>
      </c>
      <c r="C2593" s="6" t="s">
        <v>71</v>
      </c>
      <c r="D2593" s="6" t="s">
        <v>512</v>
      </c>
      <c r="E2593" s="6" t="s">
        <v>488</v>
      </c>
      <c r="F2593" s="6" t="str">
        <f>IF($M2593="PADD I","PADD 1",IF($M2593="PADD II","PADD 2",IF($M2593="PADD III","PADD 3",IF($M2593="PADD IV","PADD 4",IF($M2593="PADD V","PADD 5","")))))</f>
        <v>PADD 4</v>
      </c>
      <c r="G2593" s="6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6" t="s">
        <v>44</v>
      </c>
      <c r="I2593" s="6" t="s">
        <v>543</v>
      </c>
      <c r="J2593" s="6" t="s">
        <v>394</v>
      </c>
      <c r="K2593" s="10">
        <v>0.3</v>
      </c>
      <c r="L2593" s="10">
        <v>10</v>
      </c>
      <c r="M2593" s="6" t="s">
        <v>480</v>
      </c>
      <c r="N2593" s="6">
        <f>IF(OR($G2593="FCC",$G2593="Hydrocracker",$G2593="Reformer"),IF(COUNTIFS($D:$D,$D2593,$A:$A,$A2593,$B:$B,$B2593,$G:$G,"CDU",$J:$J,"PLANNED")&gt;0,"tied","standalone"),"")</f>
        <v/>
      </c>
    </row>
    <row r="2594" spans="1:14">
      <c r="A2594" s="6">
        <v>2023</v>
      </c>
      <c r="B2594" s="6">
        <v>12</v>
      </c>
      <c r="C2594" s="6" t="s">
        <v>71</v>
      </c>
      <c r="D2594" s="6" t="s">
        <v>1128</v>
      </c>
      <c r="E2594" s="6" t="s">
        <v>1129</v>
      </c>
      <c r="F2594" s="6" t="str">
        <f>IF($M2594="PADD I","PADD 1",IF($M2594="PADD II","PADD 2",IF($M2594="PADD III","PADD 3",IF($M2594="PADD IV","PADD 4",IF($M2594="PADD V","PADD 5","")))))</f>
        <v>PADD 3</v>
      </c>
      <c r="G2594" s="6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6" t="s">
        <v>428</v>
      </c>
      <c r="I2594" s="6" t="s">
        <v>586</v>
      </c>
      <c r="J2594" s="6" t="s">
        <v>394</v>
      </c>
      <c r="K2594" s="10">
        <v>0.27</v>
      </c>
      <c r="L2594" s="10">
        <v>4.5</v>
      </c>
      <c r="M2594" s="6" t="s">
        <v>421</v>
      </c>
      <c r="N2594" s="6">
        <f>IF(OR($G2594="FCC",$G2594="Hydrocracker",$G2594="Reformer"),IF(COUNTIFS($D:$D,$D2594,$A:$A,$A2594,$B:$B,$B2594,$G:$G,"CDU",$J:$J,"PLANNED")&gt;0,"tied","standalone"),"")</f>
        <v/>
      </c>
    </row>
    <row r="2595" spans="1:14">
      <c r="A2595" s="6">
        <v>2023</v>
      </c>
      <c r="B2595" s="6">
        <v>12</v>
      </c>
      <c r="C2595" s="6" t="s">
        <v>71</v>
      </c>
      <c r="D2595" s="6" t="s">
        <v>768</v>
      </c>
      <c r="E2595" s="6" t="s">
        <v>455</v>
      </c>
      <c r="F2595" s="6" t="str">
        <f>IF($M2595="PADD I","PADD 1",IF($M2595="PADD II","PADD 2",IF($M2595="PADD III","PADD 3",IF($M2595="PADD IV","PADD 4",IF($M2595="PADD V","PADD 5","")))))</f>
        <v>PADD 5</v>
      </c>
      <c r="G2595" s="6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6" t="s">
        <v>39</v>
      </c>
      <c r="I2595" s="6" t="s">
        <v>82</v>
      </c>
      <c r="J2595" s="6" t="s">
        <v>394</v>
      </c>
      <c r="K2595" s="10">
        <v>0.18</v>
      </c>
      <c r="L2595" s="10">
        <v>6</v>
      </c>
      <c r="M2595" s="6" t="s">
        <v>436</v>
      </c>
      <c r="N2595" s="6">
        <f>IF(OR($G2595="FCC",$G2595="Hydrocracker",$G2595="Reformer"),IF(COUNTIFS($D:$D,$D2595,$A:$A,$A2595,$B:$B,$B2595,$G:$G,"CDU",$J:$J,"PLANNED")&gt;0,"tied","standalone"),"")</f>
        <v/>
      </c>
    </row>
    <row r="2596" spans="1:14">
      <c r="A2596" s="6">
        <v>2023</v>
      </c>
      <c r="B2596" s="6">
        <v>12</v>
      </c>
      <c r="C2596" s="6" t="s">
        <v>71</v>
      </c>
      <c r="D2596" s="6" t="s">
        <v>768</v>
      </c>
      <c r="E2596" s="6" t="s">
        <v>455</v>
      </c>
      <c r="F2596" s="6" t="str">
        <f>IF($M2596="PADD I","PADD 1",IF($M2596="PADD II","PADD 2",IF($M2596="PADD III","PADD 3",IF($M2596="PADD IV","PADD 4",IF($M2596="PADD V","PADD 5","")))))</f>
        <v>PADD 5</v>
      </c>
      <c r="G2596" s="6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6" t="s">
        <v>428</v>
      </c>
      <c r="I2596" s="6" t="s">
        <v>481</v>
      </c>
      <c r="J2596" s="6" t="s">
        <v>394</v>
      </c>
      <c r="K2596" s="10">
        <v>0.15</v>
      </c>
      <c r="L2596" s="10">
        <v>5</v>
      </c>
      <c r="M2596" s="6" t="s">
        <v>436</v>
      </c>
      <c r="N2596" s="6">
        <f>IF(OR($G2596="FCC",$G2596="Hydrocracker",$G2596="Reformer"),IF(COUNTIFS($D:$D,$D2596,$A:$A,$A2596,$B:$B,$B2596,$G:$G,"CDU",$J:$J,"PLANNED")&gt;0,"tied","standalone"),"")</f>
        <v/>
      </c>
    </row>
    <row r="2597" spans="1:14">
      <c r="A2597" s="6">
        <v>2023</v>
      </c>
      <c r="B2597" s="6">
        <v>12</v>
      </c>
      <c r="C2597" s="6" t="s">
        <v>71</v>
      </c>
      <c r="D2597" s="6" t="s">
        <v>768</v>
      </c>
      <c r="E2597" s="6" t="s">
        <v>455</v>
      </c>
      <c r="F2597" s="6" t="str">
        <f>IF($M2597="PADD I","PADD 1",IF($M2597="PADD II","PADD 2",IF($M2597="PADD III","PADD 3",IF($M2597="PADD IV","PADD 4",IF($M2597="PADD V","PADD 5","")))))</f>
        <v>PADD 5</v>
      </c>
      <c r="G2597" s="6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6" t="s">
        <v>573</v>
      </c>
      <c r="I2597" s="6" t="s">
        <v>574</v>
      </c>
      <c r="J2597" s="6" t="s">
        <v>394</v>
      </c>
      <c r="K2597" s="10">
        <v>0.105</v>
      </c>
      <c r="L2597" s="10">
        <v>3.5</v>
      </c>
      <c r="M2597" s="6" t="s">
        <v>436</v>
      </c>
      <c r="N2597" s="6">
        <f>IF(OR($G2597="FCC",$G2597="Hydrocracker",$G2597="Reformer"),IF(COUNTIFS($D:$D,$D2597,$A:$A,$A2597,$B:$B,$B2597,$G:$G,"CDU",$J:$J,"PLANNED")&gt;0,"tied","standalone"),"")</f>
        <v/>
      </c>
    </row>
    <row r="2598" spans="1:14">
      <c r="A2598" s="6">
        <v>2024</v>
      </c>
      <c r="B2598" s="6">
        <v>1</v>
      </c>
      <c r="C2598" s="6" t="s">
        <v>60</v>
      </c>
      <c r="D2598" s="6" t="s">
        <v>540</v>
      </c>
      <c r="E2598" s="6" t="s">
        <v>541</v>
      </c>
      <c r="F2598" s="6" t="str">
        <f>IF($M2598="PADD I","PADD 1",IF($M2598="PADD II","PADD 2",IF($M2598="PADD III","PADD 3",IF($M2598="PADD IV","PADD 4",IF($M2598="PADD V","PADD 5","")))))</f>
        <v>PADD 3</v>
      </c>
      <c r="G2598" s="6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6" t="s">
        <v>39</v>
      </c>
      <c r="I2598" s="6" t="s">
        <v>1130</v>
      </c>
      <c r="J2598" s="6" t="s">
        <v>398</v>
      </c>
      <c r="K2598" s="10">
        <v>269.5</v>
      </c>
      <c r="L2598" s="10">
        <v>350</v>
      </c>
      <c r="M2598" s="6" t="s">
        <v>421</v>
      </c>
      <c r="N2598" s="6">
        <f>IF(OR($G2598="FCC",$G2598="Hydrocracker",$G2598="Reformer"),IF(COUNTIFS($D:$D,$D2598,$A:$A,$A2598,$B:$B,$B2598,$G:$G,"CDU",$J:$J,"PLANNED")&gt;0,"tied","standalone"),"")</f>
        <v/>
      </c>
    </row>
    <row r="2599" spans="1:14">
      <c r="A2599" s="6">
        <v>2024</v>
      </c>
      <c r="B2599" s="6">
        <v>1</v>
      </c>
      <c r="C2599" s="6" t="s">
        <v>60</v>
      </c>
      <c r="D2599" s="6" t="s">
        <v>505</v>
      </c>
      <c r="E2599" s="6" t="s">
        <v>455</v>
      </c>
      <c r="F2599" s="6" t="str">
        <f>IF($M2599="PADD I","PADD 1",IF($M2599="PADD II","PADD 2",IF($M2599="PADD III","PADD 3",IF($M2599="PADD IV","PADD 4",IF($M2599="PADD V","PADD 5","")))))</f>
        <v>PADD 3</v>
      </c>
      <c r="G2599" s="6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6" t="s">
        <v>39</v>
      </c>
      <c r="I2599" s="6" t="s">
        <v>379</v>
      </c>
      <c r="J2599" s="6" t="s">
        <v>398</v>
      </c>
      <c r="K2599" s="10">
        <v>220.9</v>
      </c>
      <c r="L2599" s="10">
        <v>235</v>
      </c>
      <c r="M2599" s="6" t="s">
        <v>421</v>
      </c>
      <c r="N2599" s="6">
        <f>IF(OR($G2599="FCC",$G2599="Hydrocracker",$G2599="Reformer"),IF(COUNTIFS($D:$D,$D2599,$A:$A,$A2599,$B:$B,$B2599,$G:$G,"CDU",$J:$J,"PLANNED")&gt;0,"tied","standalone"),"")</f>
        <v/>
      </c>
    </row>
    <row r="2600" spans="1:14">
      <c r="A2600" s="6">
        <v>2024</v>
      </c>
      <c r="B2600" s="6">
        <v>1</v>
      </c>
      <c r="C2600" s="6" t="s">
        <v>60</v>
      </c>
      <c r="D2600" s="6" t="s">
        <v>505</v>
      </c>
      <c r="E2600" s="6" t="s">
        <v>455</v>
      </c>
      <c r="F2600" s="6" t="str">
        <f>IF($M2600="PADD I","PADD 1",IF($M2600="PADD II","PADD 2",IF($M2600="PADD III","PADD 3",IF($M2600="PADD IV","PADD 4",IF($M2600="PADD V","PADD 5","")))))</f>
        <v>PADD 3</v>
      </c>
      <c r="G2600" s="6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6" t="s">
        <v>428</v>
      </c>
      <c r="I2600" s="6" t="s">
        <v>1014</v>
      </c>
      <c r="J2600" s="6" t="s">
        <v>398</v>
      </c>
      <c r="K2600" s="10">
        <v>169.2</v>
      </c>
      <c r="L2600" s="10">
        <v>180</v>
      </c>
      <c r="M2600" s="6" t="s">
        <v>421</v>
      </c>
      <c r="N2600" s="6">
        <f>IF(OR($G2600="FCC",$G2600="Hydrocracker",$G2600="Reformer"),IF(COUNTIFS($D:$D,$D2600,$A:$A,$A2600,$B:$B,$B2600,$G:$G,"CDU",$J:$J,"PLANNED")&gt;0,"tied","standalone"),"")</f>
        <v/>
      </c>
    </row>
    <row r="2601" spans="1:14">
      <c r="A2601" s="6">
        <v>2024</v>
      </c>
      <c r="B2601" s="6">
        <v>1</v>
      </c>
      <c r="C2601" s="6" t="s">
        <v>60</v>
      </c>
      <c r="D2601" s="6" t="s">
        <v>373</v>
      </c>
      <c r="E2601" s="6" t="s">
        <v>438</v>
      </c>
      <c r="F2601" s="6" t="str">
        <f>IF($M2601="PADD I","PADD 1",IF($M2601="PADD II","PADD 2",IF($M2601="PADD III","PADD 3",IF($M2601="PADD IV","PADD 4",IF($M2601="PADD V","PADD 5","")))))</f>
        <v>PADD 3</v>
      </c>
      <c r="G2601" s="6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6" t="s">
        <v>39</v>
      </c>
      <c r="I2601" s="6" t="s">
        <v>100</v>
      </c>
      <c r="J2601" s="6" t="s">
        <v>394</v>
      </c>
      <c r="K2601" s="10">
        <v>155.65</v>
      </c>
      <c r="L2601" s="10">
        <v>283</v>
      </c>
      <c r="M2601" s="6" t="s">
        <v>421</v>
      </c>
      <c r="N2601" s="6">
        <f>IF(OR($G2601="FCC",$G2601="Hydrocracker",$G2601="Reformer"),IF(COUNTIFS($D:$D,$D2601,$A:$A,$A2601,$B:$B,$B2601,$G:$G,"CDU",$J:$J,"PLANNED")&gt;0,"tied","standalone"),"")</f>
        <v/>
      </c>
    </row>
    <row r="2602" spans="1:14">
      <c r="A2602" s="6">
        <v>2024</v>
      </c>
      <c r="B2602" s="6">
        <v>1</v>
      </c>
      <c r="C2602" s="6" t="s">
        <v>60</v>
      </c>
      <c r="D2602" s="6" t="s">
        <v>540</v>
      </c>
      <c r="E2602" s="6" t="s">
        <v>541</v>
      </c>
      <c r="F2602" s="6" t="str">
        <f>IF($M2602="PADD I","PADD 1",IF($M2602="PADD II","PADD 2",IF($M2602="PADD III","PADD 3",IF($M2602="PADD IV","PADD 4",IF($M2602="PADD V","PADD 5","")))))</f>
        <v>PADD 3</v>
      </c>
      <c r="G2602" s="6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6" t="s">
        <v>428</v>
      </c>
      <c r="I2602" s="6" t="s">
        <v>1131</v>
      </c>
      <c r="J2602" s="6" t="s">
        <v>394</v>
      </c>
      <c r="K2602" s="10">
        <v>123.2</v>
      </c>
      <c r="L2602" s="10">
        <v>160</v>
      </c>
      <c r="M2602" s="6" t="s">
        <v>421</v>
      </c>
      <c r="N2602" s="6">
        <f>IF(OR($G2602="FCC",$G2602="Hydrocracker",$G2602="Reformer"),IF(COUNTIFS($D:$D,$D2602,$A:$A,$A2602,$B:$B,$B2602,$G:$G,"CDU",$J:$J,"PLANNED")&gt;0,"tied","standalone"),"")</f>
        <v/>
      </c>
    </row>
    <row r="2603" spans="1:14">
      <c r="A2603" s="6">
        <v>2024</v>
      </c>
      <c r="B2603" s="6">
        <v>1</v>
      </c>
      <c r="C2603" s="6" t="s">
        <v>60</v>
      </c>
      <c r="D2603" s="6" t="s">
        <v>576</v>
      </c>
      <c r="E2603" s="6" t="s">
        <v>455</v>
      </c>
      <c r="F2603" s="6" t="str">
        <f>IF($M2603="PADD I","PADD 1",IF($M2603="PADD II","PADD 2",IF($M2603="PADD III","PADD 3",IF($M2603="PADD IV","PADD 4",IF($M2603="PADD V","PADD 5","")))))</f>
        <v>PADD 3</v>
      </c>
      <c r="G2603" s="6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6" t="s">
        <v>39</v>
      </c>
      <c r="I2603" s="6" t="s">
        <v>399</v>
      </c>
      <c r="J2603" s="6" t="s">
        <v>398</v>
      </c>
      <c r="K2603" s="10">
        <v>115.5</v>
      </c>
      <c r="L2603" s="10">
        <v>210</v>
      </c>
      <c r="M2603" s="6" t="s">
        <v>421</v>
      </c>
      <c r="N2603" s="6">
        <f>IF(OR($G2603="FCC",$G2603="Hydrocracker",$G2603="Reformer"),IF(COUNTIFS($D:$D,$D2603,$A:$A,$A2603,$B:$B,$B2603,$G:$G,"CDU",$J:$J,"PLANNED")&gt;0,"tied","standalone"),"")</f>
        <v/>
      </c>
    </row>
    <row r="2604" spans="1:14">
      <c r="A2604" s="6">
        <v>2024</v>
      </c>
      <c r="B2604" s="6">
        <v>1</v>
      </c>
      <c r="C2604" s="6" t="s">
        <v>60</v>
      </c>
      <c r="D2604" s="6" t="s">
        <v>507</v>
      </c>
      <c r="E2604" s="6" t="s">
        <v>438</v>
      </c>
      <c r="F2604" s="6" t="str">
        <f>IF($M2604="PADD I","PADD 1",IF($M2604="PADD II","PADD 2",IF($M2604="PADD III","PADD 3",IF($M2604="PADD IV","PADD 4",IF($M2604="PADD V","PADD 5","")))))</f>
        <v>PADD 5</v>
      </c>
      <c r="G2604" s="6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6" t="s">
        <v>39</v>
      </c>
      <c r="I2604" s="6" t="s">
        <v>132</v>
      </c>
      <c r="J2604" s="6" t="s">
        <v>398</v>
      </c>
      <c r="K2604" s="10">
        <v>104</v>
      </c>
      <c r="L2604" s="10">
        <v>160</v>
      </c>
      <c r="M2604" s="6" t="s">
        <v>436</v>
      </c>
      <c r="N2604" s="6">
        <f>IF(OR($G2604="FCC",$G2604="Hydrocracker",$G2604="Reformer"),IF(COUNTIFS($D:$D,$D2604,$A:$A,$A2604,$B:$B,$B2604,$G:$G,"CDU",$J:$J,"PLANNED")&gt;0,"tied","standalone"),"")</f>
        <v/>
      </c>
    </row>
    <row r="2605" spans="1:14">
      <c r="A2605" s="6">
        <v>2024</v>
      </c>
      <c r="B2605" s="6">
        <v>1</v>
      </c>
      <c r="C2605" s="6" t="s">
        <v>60</v>
      </c>
      <c r="D2605" s="6" t="s">
        <v>576</v>
      </c>
      <c r="E2605" s="6" t="s">
        <v>455</v>
      </c>
      <c r="F2605" s="6" t="str">
        <f>IF($M2605="PADD I","PADD 1",IF($M2605="PADD II","PADD 2",IF($M2605="PADD III","PADD 3",IF($M2605="PADD IV","PADD 4",IF($M2605="PADD V","PADD 5","")))))</f>
        <v>PADD 3</v>
      </c>
      <c r="G2605" s="6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6" t="s">
        <v>428</v>
      </c>
      <c r="I2605" s="6" t="s">
        <v>699</v>
      </c>
      <c r="J2605" s="6" t="s">
        <v>398</v>
      </c>
      <c r="K2605" s="10">
        <v>94.59999999999999</v>
      </c>
      <c r="L2605" s="10">
        <v>172</v>
      </c>
      <c r="M2605" s="6" t="s">
        <v>421</v>
      </c>
      <c r="N2605" s="6">
        <f>IF(OR($G2605="FCC",$G2605="Hydrocracker",$G2605="Reformer"),IF(COUNTIFS($D:$D,$D2605,$A:$A,$A2605,$B:$B,$B2605,$G:$G,"CDU",$J:$J,"PLANNED")&gt;0,"tied","standalone"),"")</f>
        <v/>
      </c>
    </row>
    <row r="2606" spans="1:14">
      <c r="A2606" s="6">
        <v>2024</v>
      </c>
      <c r="B2606" s="6">
        <v>1</v>
      </c>
      <c r="C2606" s="6" t="s">
        <v>60</v>
      </c>
      <c r="D2606" s="6" t="s">
        <v>458</v>
      </c>
      <c r="E2606" s="6" t="s">
        <v>459</v>
      </c>
      <c r="F2606" s="6" t="str">
        <f>IF($M2606="PADD I","PADD 1",IF($M2606="PADD II","PADD 2",IF($M2606="PADD III","PADD 3",IF($M2606="PADD IV","PADD 4",IF($M2606="PADD V","PADD 5","")))))</f>
        <v>PADD 3</v>
      </c>
      <c r="G2606" s="6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6" t="s">
        <v>39</v>
      </c>
      <c r="I2606" s="6" t="s">
        <v>460</v>
      </c>
      <c r="J2606" s="6" t="s">
        <v>394</v>
      </c>
      <c r="K2606" s="10">
        <v>85.8</v>
      </c>
      <c r="L2606" s="10">
        <v>165</v>
      </c>
      <c r="M2606" s="6" t="s">
        <v>421</v>
      </c>
      <c r="N2606" s="6">
        <f>IF(OR($G2606="FCC",$G2606="Hydrocracker",$G2606="Reformer"),IF(COUNTIFS($D:$D,$D2606,$A:$A,$A2606,$B:$B,$B2606,$G:$G,"CDU",$J:$J,"PLANNED")&gt;0,"tied","standalone"),"")</f>
        <v/>
      </c>
    </row>
    <row r="2607" spans="1:14">
      <c r="A2607" s="6">
        <v>2024</v>
      </c>
      <c r="B2607" s="6">
        <v>1</v>
      </c>
      <c r="C2607" s="6" t="s">
        <v>60</v>
      </c>
      <c r="D2607" s="6" t="s">
        <v>505</v>
      </c>
      <c r="E2607" s="6" t="s">
        <v>455</v>
      </c>
      <c r="F2607" s="6" t="str">
        <f>IF($M2607="PADD I","PADD 1",IF($M2607="PADD II","PADD 2",IF($M2607="PADD III","PADD 3",IF($M2607="PADD IV","PADD 4",IF($M2607="PADD V","PADD 5","")))))</f>
        <v>PADD 3</v>
      </c>
      <c r="G2607" s="6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6" t="s">
        <v>485</v>
      </c>
      <c r="I2607" s="6" t="s">
        <v>491</v>
      </c>
      <c r="J2607" s="6" t="s">
        <v>398</v>
      </c>
      <c r="K2607" s="10">
        <v>75.2</v>
      </c>
      <c r="L2607" s="10">
        <v>80</v>
      </c>
      <c r="M2607" s="6" t="s">
        <v>421</v>
      </c>
      <c r="N2607" s="6">
        <f>IF(OR($G2607="FCC",$G2607="Hydrocracker",$G2607="Reformer"),IF(COUNTIFS($D:$D,$D2607,$A:$A,$A2607,$B:$B,$B2607,$G:$G,"CDU",$J:$J,"PLANNED")&gt;0,"tied","standalone"),"")</f>
        <v/>
      </c>
    </row>
    <row r="2608" spans="1:14">
      <c r="A2608" s="6">
        <v>2024</v>
      </c>
      <c r="B2608" s="6">
        <v>1</v>
      </c>
      <c r="C2608" s="6" t="s">
        <v>60</v>
      </c>
      <c r="D2608" s="6" t="s">
        <v>540</v>
      </c>
      <c r="E2608" s="6" t="s">
        <v>541</v>
      </c>
      <c r="F2608" s="6" t="str">
        <f>IF($M2608="PADD I","PADD 1",IF($M2608="PADD II","PADD 2",IF($M2608="PADD III","PADD 3",IF($M2608="PADD IV","PADD 4",IF($M2608="PADD V","PADD 5","")))))</f>
        <v>PADD 3</v>
      </c>
      <c r="G2608" s="6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6" t="s">
        <v>485</v>
      </c>
      <c r="I2608" s="6" t="s">
        <v>693</v>
      </c>
      <c r="J2608" s="6" t="s">
        <v>394</v>
      </c>
      <c r="K2608" s="10">
        <v>73.15000000000001</v>
      </c>
      <c r="L2608" s="10">
        <v>95</v>
      </c>
      <c r="M2608" s="6" t="s">
        <v>421</v>
      </c>
      <c r="N2608" s="6">
        <f>IF(OR($G2608="FCC",$G2608="Hydrocracker",$G2608="Reformer"),IF(COUNTIFS($D:$D,$D2608,$A:$A,$A2608,$B:$B,$B2608,$G:$G,"CDU",$J:$J,"PLANNED")&gt;0,"tied","standalone"),"")</f>
        <v/>
      </c>
    </row>
    <row r="2609" spans="1:14">
      <c r="A2609" s="6">
        <v>2024</v>
      </c>
      <c r="B2609" s="6">
        <v>1</v>
      </c>
      <c r="C2609" s="6" t="s">
        <v>60</v>
      </c>
      <c r="D2609" s="6" t="s">
        <v>378</v>
      </c>
      <c r="E2609" s="6" t="s">
        <v>477</v>
      </c>
      <c r="F2609" s="6" t="str">
        <f>IF($M2609="PADD I","PADD 1",IF($M2609="PADD II","PADD 2",IF($M2609="PADD III","PADD 3",IF($M2609="PADD IV","PADD 4",IF($M2609="PADD V","PADD 5","")))))</f>
        <v>PADD 3</v>
      </c>
      <c r="G2609" s="6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6" t="s">
        <v>428</v>
      </c>
      <c r="I2609" s="6" t="s">
        <v>478</v>
      </c>
      <c r="J2609" s="6" t="s">
        <v>394</v>
      </c>
      <c r="K2609" s="10">
        <v>72.8</v>
      </c>
      <c r="L2609" s="10">
        <v>112</v>
      </c>
      <c r="M2609" s="6" t="s">
        <v>421</v>
      </c>
      <c r="N2609" s="6">
        <f>IF(OR($G2609="FCC",$G2609="Hydrocracker",$G2609="Reformer"),IF(COUNTIFS($D:$D,$D2609,$A:$A,$A2609,$B:$B,$B2609,$G:$G,"CDU",$J:$J,"PLANNED")&gt;0,"tied","standalone"),"")</f>
        <v/>
      </c>
    </row>
    <row r="2610" spans="1:14">
      <c r="A2610" s="6">
        <v>2024</v>
      </c>
      <c r="B2610" s="6">
        <v>1</v>
      </c>
      <c r="C2610" s="6" t="s">
        <v>60</v>
      </c>
      <c r="D2610" s="6" t="s">
        <v>373</v>
      </c>
      <c r="E2610" s="6" t="s">
        <v>438</v>
      </c>
      <c r="F2610" s="6" t="str">
        <f>IF($M2610="PADD I","PADD 1",IF($M2610="PADD II","PADD 2",IF($M2610="PADD III","PADD 3",IF($M2610="PADD IV","PADD 4",IF($M2610="PADD V","PADD 5","")))))</f>
        <v>PADD 3</v>
      </c>
      <c r="G2610" s="6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6" t="s">
        <v>494</v>
      </c>
      <c r="I2610" s="6" t="s">
        <v>995</v>
      </c>
      <c r="J2610" s="6" t="s">
        <v>394</v>
      </c>
      <c r="K2610" s="10">
        <v>59.28</v>
      </c>
      <c r="L2610" s="10">
        <v>114</v>
      </c>
      <c r="M2610" s="6" t="s">
        <v>421</v>
      </c>
      <c r="N2610" s="6" t="str">
        <f>IF(OR($G2610="FCC",$G2610="Hydrocracker",$G2610="Reformer"),IF(COUNTIFS($D:$D,$D2610,$A:$A,$A2610,$B:$B,$B2610,$G:$G,"CDU",$J:$J,"PLANNED")&gt;0,"tied","standalone"),"")</f>
        <v>standalone</v>
      </c>
    </row>
    <row r="2611" spans="1:14">
      <c r="A2611" s="6">
        <v>2024</v>
      </c>
      <c r="B2611" s="6">
        <v>1</v>
      </c>
      <c r="C2611" s="6" t="s">
        <v>60</v>
      </c>
      <c r="D2611" s="6" t="s">
        <v>540</v>
      </c>
      <c r="E2611" s="6" t="s">
        <v>541</v>
      </c>
      <c r="F2611" s="6" t="str">
        <f>IF($M2611="PADD I","PADD 1",IF($M2611="PADD II","PADD 2",IF($M2611="PADD III","PADD 3",IF($M2611="PADD IV","PADD 4",IF($M2611="PADD V","PADD 5","")))))</f>
        <v>PADD 3</v>
      </c>
      <c r="G2611" s="6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6" t="s">
        <v>471</v>
      </c>
      <c r="I2611" s="6" t="s">
        <v>1132</v>
      </c>
      <c r="J2611" s="6" t="s">
        <v>394</v>
      </c>
      <c r="K2611" s="10">
        <v>57.8</v>
      </c>
      <c r="L2611" s="10">
        <v>85</v>
      </c>
      <c r="M2611" s="6" t="s">
        <v>421</v>
      </c>
      <c r="N2611" s="6" t="str">
        <f>IF(OR($G2611="FCC",$G2611="Hydrocracker",$G2611="Reformer"),IF(COUNTIFS($D:$D,$D2611,$A:$A,$A2611,$B:$B,$B2611,$G:$G,"CDU",$J:$J,"PLANNED")&gt;0,"tied","standalone"),"")</f>
        <v>standalone</v>
      </c>
    </row>
    <row r="2612" spans="1:14">
      <c r="A2612" s="6">
        <v>2024</v>
      </c>
      <c r="B2612" s="6">
        <v>1</v>
      </c>
      <c r="C2612" s="6" t="s">
        <v>60</v>
      </c>
      <c r="D2612" s="6" t="s">
        <v>505</v>
      </c>
      <c r="E2612" s="6" t="s">
        <v>455</v>
      </c>
      <c r="F2612" s="6" t="str">
        <f>IF($M2612="PADD I","PADD 1",IF($M2612="PADD II","PADD 2",IF($M2612="PADD III","PADD 3",IF($M2612="PADD IV","PADD 4",IF($M2612="PADD V","PADD 5","")))))</f>
        <v>PADD 3</v>
      </c>
      <c r="G2612" s="6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6" t="s">
        <v>39</v>
      </c>
      <c r="I2612" s="6" t="s">
        <v>379</v>
      </c>
      <c r="J2612" s="6" t="s">
        <v>394</v>
      </c>
      <c r="K2612" s="10">
        <v>57.2</v>
      </c>
      <c r="L2612" s="10">
        <v>220</v>
      </c>
      <c r="M2612" s="6" t="s">
        <v>421</v>
      </c>
      <c r="N2612" s="6">
        <f>IF(OR($G2612="FCC",$G2612="Hydrocracker",$G2612="Reformer"),IF(COUNTIFS($D:$D,$D2612,$A:$A,$A2612,$B:$B,$B2612,$G:$G,"CDU",$J:$J,"PLANNED")&gt;0,"tied","standalone"),"")</f>
        <v/>
      </c>
    </row>
    <row r="2613" spans="1:14">
      <c r="A2613" s="6">
        <v>2024</v>
      </c>
      <c r="B2613" s="6">
        <v>1</v>
      </c>
      <c r="C2613" s="6" t="s">
        <v>60</v>
      </c>
      <c r="D2613" s="6" t="s">
        <v>576</v>
      </c>
      <c r="E2613" s="6" t="s">
        <v>455</v>
      </c>
      <c r="F2613" s="6" t="str">
        <f>IF($M2613="PADD I","PADD 1",IF($M2613="PADD II","PADD 2",IF($M2613="PADD III","PADD 3",IF($M2613="PADD IV","PADD 4",IF($M2613="PADD V","PADD 5","")))))</f>
        <v>PADD 3</v>
      </c>
      <c r="G2613" s="6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6" t="s">
        <v>485</v>
      </c>
      <c r="I2613" s="6" t="s">
        <v>1004</v>
      </c>
      <c r="J2613" s="6" t="s">
        <v>394</v>
      </c>
      <c r="K2613" s="10">
        <v>55</v>
      </c>
      <c r="L2613" s="10">
        <v>100</v>
      </c>
      <c r="M2613" s="6" t="s">
        <v>421</v>
      </c>
      <c r="N2613" s="6">
        <f>IF(OR($G2613="FCC",$G2613="Hydrocracker",$G2613="Reformer"),IF(COUNTIFS($D:$D,$D2613,$A:$A,$A2613,$B:$B,$B2613,$G:$G,"CDU",$J:$J,"PLANNED")&gt;0,"tied","standalone"),"")</f>
        <v/>
      </c>
    </row>
    <row r="2614" spans="1:14">
      <c r="A2614" s="6">
        <v>2024</v>
      </c>
      <c r="B2614" s="6">
        <v>1</v>
      </c>
      <c r="C2614" s="6" t="s">
        <v>60</v>
      </c>
      <c r="D2614" s="6" t="s">
        <v>465</v>
      </c>
      <c r="E2614" s="6" t="s">
        <v>466</v>
      </c>
      <c r="F2614" s="6" t="str">
        <f>IF($M2614="PADD I","PADD 1",IF($M2614="PADD II","PADD 2",IF($M2614="PADD III","PADD 3",IF($M2614="PADD IV","PADD 4",IF($M2614="PADD V","PADD 5","")))))</f>
        <v>PADD 3</v>
      </c>
      <c r="G2614" s="6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6" t="s">
        <v>428</v>
      </c>
      <c r="I2614" s="6" t="s">
        <v>467</v>
      </c>
      <c r="J2614" s="6" t="s">
        <v>394</v>
      </c>
      <c r="K2614" s="10">
        <v>50</v>
      </c>
      <c r="L2614" s="10">
        <v>50</v>
      </c>
      <c r="M2614" s="6" t="s">
        <v>421</v>
      </c>
      <c r="N2614" s="6">
        <f>IF(OR($G2614="FCC",$G2614="Hydrocracker",$G2614="Reformer"),IF(COUNTIFS($D:$D,$D2614,$A:$A,$A2614,$B:$B,$B2614,$G:$G,"CDU",$J:$J,"PLANNED")&gt;0,"tied","standalone"),"")</f>
        <v/>
      </c>
    </row>
    <row r="2615" spans="1:14">
      <c r="A2615" s="6">
        <v>2024</v>
      </c>
      <c r="B2615" s="6">
        <v>1</v>
      </c>
      <c r="C2615" s="6" t="s">
        <v>60</v>
      </c>
      <c r="D2615" s="6" t="s">
        <v>378</v>
      </c>
      <c r="E2615" s="6" t="s">
        <v>477</v>
      </c>
      <c r="F2615" s="6" t="str">
        <f>IF($M2615="PADD I","PADD 1",IF($M2615="PADD II","PADD 2",IF($M2615="PADD III","PADD 3",IF($M2615="PADD IV","PADD 4",IF($M2615="PADD V","PADD 5","")))))</f>
        <v>PADD 3</v>
      </c>
      <c r="G2615" s="6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6" t="s">
        <v>39</v>
      </c>
      <c r="I2615" s="6" t="s">
        <v>124</v>
      </c>
      <c r="J2615" s="6" t="s">
        <v>398</v>
      </c>
      <c r="K2615" s="10">
        <v>46.08</v>
      </c>
      <c r="L2615" s="10">
        <v>96</v>
      </c>
      <c r="M2615" s="6" t="s">
        <v>421</v>
      </c>
      <c r="N2615" s="6">
        <f>IF(OR($G2615="FCC",$G2615="Hydrocracker",$G2615="Reformer"),IF(COUNTIFS($D:$D,$D2615,$A:$A,$A2615,$B:$B,$B2615,$G:$G,"CDU",$J:$J,"PLANNED")&gt;0,"tied","standalone"),"")</f>
        <v/>
      </c>
    </row>
    <row r="2616" spans="1:14">
      <c r="A2616" s="6">
        <v>2024</v>
      </c>
      <c r="B2616" s="6">
        <v>1</v>
      </c>
      <c r="C2616" s="6" t="s">
        <v>60</v>
      </c>
      <c r="D2616" s="6" t="s">
        <v>780</v>
      </c>
      <c r="E2616" s="6" t="s">
        <v>781</v>
      </c>
      <c r="F2616" s="6" t="str">
        <f>IF($M2616="PADD I","PADD 1",IF($M2616="PADD II","PADD 2",IF($M2616="PADD III","PADD 3",IF($M2616="PADD IV","PADD 4",IF($M2616="PADD V","PADD 5","")))))</f>
        <v>PADD 3</v>
      </c>
      <c r="G2616" s="6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6" t="s">
        <v>39</v>
      </c>
      <c r="I2616" s="6" t="s">
        <v>82</v>
      </c>
      <c r="J2616" s="6" t="s">
        <v>394</v>
      </c>
      <c r="K2616" s="10">
        <v>41.6</v>
      </c>
      <c r="L2616" s="10">
        <v>80</v>
      </c>
      <c r="M2616" s="6" t="s">
        <v>421</v>
      </c>
      <c r="N2616" s="6">
        <f>IF(OR($G2616="FCC",$G2616="Hydrocracker",$G2616="Reformer"),IF(COUNTIFS($D:$D,$D2616,$A:$A,$A2616,$B:$B,$B2616,$G:$G,"CDU",$J:$J,"PLANNED")&gt;0,"tied","standalone"),"")</f>
        <v/>
      </c>
    </row>
    <row r="2617" spans="1:14">
      <c r="A2617" s="6">
        <v>2024</v>
      </c>
      <c r="B2617" s="6">
        <v>1</v>
      </c>
      <c r="C2617" s="6" t="s">
        <v>60</v>
      </c>
      <c r="D2617" s="6" t="s">
        <v>458</v>
      </c>
      <c r="E2617" s="6" t="s">
        <v>459</v>
      </c>
      <c r="F2617" s="6" t="str">
        <f>IF($M2617="PADD I","PADD 1",IF($M2617="PADD II","PADD 2",IF($M2617="PADD III","PADD 3",IF($M2617="PADD IV","PADD 4",IF($M2617="PADD V","PADD 5","")))))</f>
        <v>PADD 3</v>
      </c>
      <c r="G2617" s="6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6" t="s">
        <v>39</v>
      </c>
      <c r="I2617" s="6" t="s">
        <v>460</v>
      </c>
      <c r="J2617" s="6" t="s">
        <v>394</v>
      </c>
      <c r="K2617" s="10">
        <v>41.6</v>
      </c>
      <c r="L2617" s="10">
        <v>80</v>
      </c>
      <c r="M2617" s="6" t="s">
        <v>421</v>
      </c>
      <c r="N2617" s="6">
        <f>IF(OR($G2617="FCC",$G2617="Hydrocracker",$G2617="Reformer"),IF(COUNTIFS($D:$D,$D2617,$A:$A,$A2617,$B:$B,$B2617,$G:$G,"CDU",$J:$J,"PLANNED")&gt;0,"tied","standalone"),"")</f>
        <v/>
      </c>
    </row>
    <row r="2618" spans="1:14">
      <c r="A2618" s="6">
        <v>2024</v>
      </c>
      <c r="B2618" s="6">
        <v>1</v>
      </c>
      <c r="C2618" s="6" t="s">
        <v>60</v>
      </c>
      <c r="D2618" s="6" t="s">
        <v>505</v>
      </c>
      <c r="E2618" s="6" t="s">
        <v>455</v>
      </c>
      <c r="F2618" s="6" t="str">
        <f>IF($M2618="PADD I","PADD 1",IF($M2618="PADD II","PADD 2",IF($M2618="PADD III","PADD 3",IF($M2618="PADD IV","PADD 4",IF($M2618="PADD V","PADD 5","")))))</f>
        <v>PADD 3</v>
      </c>
      <c r="G2618" s="6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6" t="s">
        <v>428</v>
      </c>
      <c r="I2618" s="6" t="s">
        <v>1014</v>
      </c>
      <c r="J2618" s="6" t="s">
        <v>394</v>
      </c>
      <c r="K2618" s="10">
        <v>41.6</v>
      </c>
      <c r="L2618" s="10">
        <v>160</v>
      </c>
      <c r="M2618" s="6" t="s">
        <v>421</v>
      </c>
      <c r="N2618" s="6">
        <f>IF(OR($G2618="FCC",$G2618="Hydrocracker",$G2618="Reformer"),IF(COUNTIFS($D:$D,$D2618,$A:$A,$A2618,$B:$B,$B2618,$G:$G,"CDU",$J:$J,"PLANNED")&gt;0,"tied","standalone"),"")</f>
        <v/>
      </c>
    </row>
    <row r="2619" spans="1:14">
      <c r="A2619" s="6">
        <v>2024</v>
      </c>
      <c r="B2619" s="6">
        <v>1</v>
      </c>
      <c r="C2619" s="6" t="s">
        <v>60</v>
      </c>
      <c r="D2619" s="6" t="s">
        <v>465</v>
      </c>
      <c r="E2619" s="6" t="s">
        <v>466</v>
      </c>
      <c r="F2619" s="6" t="str">
        <f>IF($M2619="PADD I","PADD 1",IF($M2619="PADD II","PADD 2",IF($M2619="PADD III","PADD 3",IF($M2619="PADD IV","PADD 4",IF($M2619="PADD V","PADD 5","")))))</f>
        <v>PADD 3</v>
      </c>
      <c r="G2619" s="6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6" t="s">
        <v>471</v>
      </c>
      <c r="I2619" s="6" t="s">
        <v>504</v>
      </c>
      <c r="J2619" s="6" t="s">
        <v>394</v>
      </c>
      <c r="K2619" s="10">
        <v>40.964</v>
      </c>
      <c r="L2619" s="10">
        <v>53.2</v>
      </c>
      <c r="M2619" s="6" t="s">
        <v>421</v>
      </c>
      <c r="N2619" s="6" t="str">
        <f>IF(OR($G2619="FCC",$G2619="Hydrocracker",$G2619="Reformer"),IF(COUNTIFS($D:$D,$D2619,$A:$A,$A2619,$B:$B,$B2619,$G:$G,"CDU",$J:$J,"PLANNED")&gt;0,"tied","standalone"),"")</f>
        <v>tied</v>
      </c>
    </row>
    <row r="2620" spans="1:14">
      <c r="A2620" s="6">
        <v>2024</v>
      </c>
      <c r="B2620" s="6">
        <v>1</v>
      </c>
      <c r="C2620" s="6" t="s">
        <v>60</v>
      </c>
      <c r="D2620" s="6" t="s">
        <v>678</v>
      </c>
      <c r="E2620" s="6" t="s">
        <v>438</v>
      </c>
      <c r="F2620" s="6" t="str">
        <f>IF($M2620="PADD I","PADD 1",IF($M2620="PADD II","PADD 2",IF($M2620="PADD III","PADD 3",IF($M2620="PADD IV","PADD 4",IF($M2620="PADD V","PADD 5","")))))</f>
        <v>PADD 3</v>
      </c>
      <c r="G2620" s="6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6" t="s">
        <v>426</v>
      </c>
      <c r="I2620" s="6" t="s">
        <v>106</v>
      </c>
      <c r="J2620" s="6" t="s">
        <v>398</v>
      </c>
      <c r="K2620" s="10">
        <v>40.8</v>
      </c>
      <c r="L2620" s="10">
        <v>60</v>
      </c>
      <c r="M2620" s="6" t="s">
        <v>421</v>
      </c>
      <c r="N2620" s="6" t="str">
        <f>IF(OR($G2620="FCC",$G2620="Hydrocracker",$G2620="Reformer"),IF(COUNTIFS($D:$D,$D2620,$A:$A,$A2620,$B:$B,$B2620,$G:$G,"CDU",$J:$J,"PLANNED")&gt;0,"tied","standalone"),"")</f>
        <v>tied</v>
      </c>
    </row>
    <row r="2621" spans="1:14">
      <c r="A2621" s="6">
        <v>2024</v>
      </c>
      <c r="B2621" s="6">
        <v>1</v>
      </c>
      <c r="C2621" s="6" t="s">
        <v>60</v>
      </c>
      <c r="D2621" s="6" t="s">
        <v>458</v>
      </c>
      <c r="E2621" s="6" t="s">
        <v>459</v>
      </c>
      <c r="F2621" s="6" t="str">
        <f>IF($M2621="PADD I","PADD 1",IF($M2621="PADD II","PADD 2",IF($M2621="PADD III","PADD 3",IF($M2621="PADD IV","PADD 4",IF($M2621="PADD V","PADD 5","")))))</f>
        <v>PADD 3</v>
      </c>
      <c r="G2621" s="6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6" t="s">
        <v>426</v>
      </c>
      <c r="I2621" s="6" t="s">
        <v>476</v>
      </c>
      <c r="J2621" s="6" t="s">
        <v>394</v>
      </c>
      <c r="K2621" s="10">
        <v>39.52</v>
      </c>
      <c r="L2621" s="10">
        <v>76</v>
      </c>
      <c r="M2621" s="6" t="s">
        <v>421</v>
      </c>
      <c r="N2621" s="6" t="str">
        <f>IF(OR($G2621="FCC",$G2621="Hydrocracker",$G2621="Reformer"),IF(COUNTIFS($D:$D,$D2621,$A:$A,$A2621,$B:$B,$B2621,$G:$G,"CDU",$J:$J,"PLANNED")&gt;0,"tied","standalone"),"")</f>
        <v>standalone</v>
      </c>
    </row>
    <row r="2622" spans="1:14">
      <c r="A2622" s="6">
        <v>2024</v>
      </c>
      <c r="B2622" s="6">
        <v>1</v>
      </c>
      <c r="C2622" s="6" t="s">
        <v>60</v>
      </c>
      <c r="D2622" s="6" t="s">
        <v>51</v>
      </c>
      <c r="E2622" s="6" t="s">
        <v>431</v>
      </c>
      <c r="F2622" s="6" t="str">
        <f>IF($M2622="PADD I","PADD 1",IF($M2622="PADD II","PADD 2",IF($M2622="PADD III","PADD 3",IF($M2622="PADD IV","PADD 4",IF($M2622="PADD V","PADD 5","")))))</f>
        <v>PADD 3</v>
      </c>
      <c r="G2622" s="6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6" t="s">
        <v>44</v>
      </c>
      <c r="I2622" s="6" t="s">
        <v>1133</v>
      </c>
      <c r="J2622" s="6" t="s">
        <v>398</v>
      </c>
      <c r="K2622" s="10">
        <v>38.4</v>
      </c>
      <c r="L2622" s="10">
        <v>80</v>
      </c>
      <c r="M2622" s="6" t="s">
        <v>421</v>
      </c>
      <c r="N2622" s="6">
        <f>IF(OR($G2622="FCC",$G2622="Hydrocracker",$G2622="Reformer"),IF(COUNTIFS($D:$D,$D2622,$A:$A,$A2622,$B:$B,$B2622,$G:$G,"CDU",$J:$J,"PLANNED")&gt;0,"tied","standalone"),"")</f>
        <v/>
      </c>
    </row>
    <row r="2623" spans="1:14">
      <c r="A2623" s="6">
        <v>2024</v>
      </c>
      <c r="B2623" s="6">
        <v>1</v>
      </c>
      <c r="C2623" s="6" t="s">
        <v>60</v>
      </c>
      <c r="D2623" s="6" t="s">
        <v>507</v>
      </c>
      <c r="E2623" s="6" t="s">
        <v>438</v>
      </c>
      <c r="F2623" s="6" t="str">
        <f>IF($M2623="PADD I","PADD 1",IF($M2623="PADD II","PADD 2",IF($M2623="PADD III","PADD 3",IF($M2623="PADD IV","PADD 4",IF($M2623="PADD V","PADD 5","")))))</f>
        <v>PADD 5</v>
      </c>
      <c r="G2623" s="6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6" t="s">
        <v>428</v>
      </c>
      <c r="I2623" s="6" t="s">
        <v>635</v>
      </c>
      <c r="J2623" s="6" t="s">
        <v>398</v>
      </c>
      <c r="K2623" s="10">
        <v>37.82</v>
      </c>
      <c r="L2623" s="10">
        <v>62</v>
      </c>
      <c r="M2623" s="6" t="s">
        <v>436</v>
      </c>
      <c r="N2623" s="6">
        <f>IF(OR($G2623="FCC",$G2623="Hydrocracker",$G2623="Reformer"),IF(COUNTIFS($D:$D,$D2623,$A:$A,$A2623,$B:$B,$B2623,$G:$G,"CDU",$J:$J,"PLANNED")&gt;0,"tied","standalone"),"")</f>
        <v/>
      </c>
    </row>
    <row r="2624" spans="1:14">
      <c r="A2624" s="6">
        <v>2024</v>
      </c>
      <c r="B2624" s="6">
        <v>1</v>
      </c>
      <c r="C2624" s="6" t="s">
        <v>60</v>
      </c>
      <c r="D2624" s="6" t="s">
        <v>857</v>
      </c>
      <c r="E2624" s="6" t="s">
        <v>829</v>
      </c>
      <c r="F2624" s="6" t="str">
        <f>IF($M2624="PADD I","PADD 1",IF($M2624="PADD II","PADD 2",IF($M2624="PADD III","PADD 3",IF($M2624="PADD IV","PADD 4",IF($M2624="PADD V","PADD 5","")))))</f>
        <v>PADD 3</v>
      </c>
      <c r="G2624" s="6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6" t="s">
        <v>39</v>
      </c>
      <c r="I2624" s="6" t="s">
        <v>136</v>
      </c>
      <c r="J2624" s="6" t="s">
        <v>398</v>
      </c>
      <c r="K2624" s="10">
        <v>36.85</v>
      </c>
      <c r="L2624" s="10">
        <v>67</v>
      </c>
      <c r="M2624" s="6" t="s">
        <v>421</v>
      </c>
      <c r="N2624" s="6">
        <f>IF(OR($G2624="FCC",$G2624="Hydrocracker",$G2624="Reformer"),IF(COUNTIFS($D:$D,$D2624,$A:$A,$A2624,$B:$B,$B2624,$G:$G,"CDU",$J:$J,"PLANNED")&gt;0,"tied","standalone"),"")</f>
        <v/>
      </c>
    </row>
    <row r="2625" spans="1:14">
      <c r="A2625" s="6">
        <v>2024</v>
      </c>
      <c r="B2625" s="6">
        <v>1</v>
      </c>
      <c r="C2625" s="6" t="s">
        <v>60</v>
      </c>
      <c r="D2625" s="6" t="s">
        <v>496</v>
      </c>
      <c r="E2625" s="6" t="s">
        <v>441</v>
      </c>
      <c r="F2625" s="6" t="str">
        <f>IF($M2625="PADD I","PADD 1",IF($M2625="PADD II","PADD 2",IF($M2625="PADD III","PADD 3",IF($M2625="PADD IV","PADD 4",IF($M2625="PADD V","PADD 5","")))))</f>
        <v>PADD 3</v>
      </c>
      <c r="G2625" s="6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6" t="s">
        <v>44</v>
      </c>
      <c r="I2625" s="6" t="s">
        <v>497</v>
      </c>
      <c r="J2625" s="6" t="s">
        <v>398</v>
      </c>
      <c r="K2625" s="10">
        <v>35</v>
      </c>
      <c r="L2625" s="10">
        <v>35</v>
      </c>
      <c r="M2625" s="6" t="s">
        <v>421</v>
      </c>
      <c r="N2625" s="6">
        <f>IF(OR($G2625="FCC",$G2625="Hydrocracker",$G2625="Reformer"),IF(COUNTIFS($D:$D,$D2625,$A:$A,$A2625,$B:$B,$B2625,$G:$G,"CDU",$J:$J,"PLANNED")&gt;0,"tied","standalone"),"")</f>
        <v/>
      </c>
    </row>
    <row r="2626" spans="1:14">
      <c r="A2626" s="6">
        <v>2024</v>
      </c>
      <c r="B2626" s="6">
        <v>1</v>
      </c>
      <c r="C2626" s="6" t="s">
        <v>60</v>
      </c>
      <c r="D2626" s="6" t="s">
        <v>498</v>
      </c>
      <c r="E2626" s="6" t="s">
        <v>441</v>
      </c>
      <c r="F2626" s="6" t="str">
        <f>IF($M2626="PADD I","PADD 1",IF($M2626="PADD II","PADD 2",IF($M2626="PADD III","PADD 3",IF($M2626="PADD IV","PADD 4",IF($M2626="PADD V","PADD 5","")))))</f>
        <v>PADD 3</v>
      </c>
      <c r="G2626" s="6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6" t="s">
        <v>44</v>
      </c>
      <c r="I2626" s="6" t="s">
        <v>499</v>
      </c>
      <c r="J2626" s="6" t="s">
        <v>394</v>
      </c>
      <c r="K2626" s="10">
        <v>35</v>
      </c>
      <c r="L2626" s="10">
        <v>35</v>
      </c>
      <c r="M2626" s="6" t="s">
        <v>421</v>
      </c>
      <c r="N2626" s="6">
        <f>IF(OR($G2626="FCC",$G2626="Hydrocracker",$G2626="Reformer"),IF(COUNTIFS($D:$D,$D2626,$A:$A,$A2626,$B:$B,$B2626,$G:$G,"CDU",$J:$J,"PLANNED")&gt;0,"tied","standalone"),"")</f>
        <v/>
      </c>
    </row>
    <row r="2627" spans="1:14">
      <c r="A2627" s="6">
        <v>2024</v>
      </c>
      <c r="B2627" s="6">
        <v>1</v>
      </c>
      <c r="C2627" s="6" t="s">
        <v>60</v>
      </c>
      <c r="D2627" s="6" t="s">
        <v>534</v>
      </c>
      <c r="E2627" s="6" t="s">
        <v>459</v>
      </c>
      <c r="F2627" s="6" t="str">
        <f>IF($M2627="PADD I","PADD 1",IF($M2627="PADD II","PADD 2",IF($M2627="PADD III","PADD 3",IF($M2627="PADD IV","PADD 4",IF($M2627="PADD V","PADD 5","")))))</f>
        <v>PADD 3</v>
      </c>
      <c r="G2627" s="6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6" t="s">
        <v>44</v>
      </c>
      <c r="I2627" s="6" t="s">
        <v>535</v>
      </c>
      <c r="J2627" s="6" t="s">
        <v>394</v>
      </c>
      <c r="K2627" s="10">
        <v>34.32</v>
      </c>
      <c r="L2627" s="10">
        <v>66</v>
      </c>
      <c r="M2627" s="6" t="s">
        <v>421</v>
      </c>
      <c r="N2627" s="6">
        <f>IF(OR($G2627="FCC",$G2627="Hydrocracker",$G2627="Reformer"),IF(COUNTIFS($D:$D,$D2627,$A:$A,$A2627,$B:$B,$B2627,$G:$G,"CDU",$J:$J,"PLANNED")&gt;0,"tied","standalone"),"")</f>
        <v/>
      </c>
    </row>
    <row r="2628" spans="1:14">
      <c r="A2628" s="6">
        <v>2024</v>
      </c>
      <c r="B2628" s="6">
        <v>1</v>
      </c>
      <c r="C2628" s="6" t="s">
        <v>60</v>
      </c>
      <c r="D2628" s="6" t="s">
        <v>507</v>
      </c>
      <c r="E2628" s="6" t="s">
        <v>438</v>
      </c>
      <c r="F2628" s="6" t="str">
        <f>IF($M2628="PADD I","PADD 1",IF($M2628="PADD II","PADD 2",IF($M2628="PADD III","PADD 3",IF($M2628="PADD IV","PADD 4",IF($M2628="PADD V","PADD 5","")))))</f>
        <v>PADD 5</v>
      </c>
      <c r="G2628" s="6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6" t="s">
        <v>44</v>
      </c>
      <c r="I2628" s="6" t="s">
        <v>1123</v>
      </c>
      <c r="J2628" s="6" t="s">
        <v>398</v>
      </c>
      <c r="K2628" s="10">
        <v>34.125</v>
      </c>
      <c r="L2628" s="10">
        <v>52.5</v>
      </c>
      <c r="M2628" s="6" t="s">
        <v>436</v>
      </c>
      <c r="N2628" s="6">
        <f>IF(OR($G2628="FCC",$G2628="Hydrocracker",$G2628="Reformer"),IF(COUNTIFS($D:$D,$D2628,$A:$A,$A2628,$B:$B,$B2628,$G:$G,"CDU",$J:$J,"PLANNED")&gt;0,"tied","standalone"),"")</f>
        <v/>
      </c>
    </row>
    <row r="2629" spans="1:14">
      <c r="A2629" s="6">
        <v>2024</v>
      </c>
      <c r="B2629" s="6">
        <v>1</v>
      </c>
      <c r="C2629" s="6" t="s">
        <v>60</v>
      </c>
      <c r="D2629" s="6" t="s">
        <v>857</v>
      </c>
      <c r="E2629" s="6" t="s">
        <v>829</v>
      </c>
      <c r="F2629" s="6" t="str">
        <f>IF($M2629="PADD I","PADD 1",IF($M2629="PADD II","PADD 2",IF($M2629="PADD III","PADD 3",IF($M2629="PADD IV","PADD 4",IF($M2629="PADD V","PADD 5","")))))</f>
        <v>PADD 3</v>
      </c>
      <c r="G2629" s="6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6" t="s">
        <v>44</v>
      </c>
      <c r="I2629" s="6" t="s">
        <v>843</v>
      </c>
      <c r="J2629" s="6" t="s">
        <v>398</v>
      </c>
      <c r="K2629" s="10">
        <v>34</v>
      </c>
      <c r="L2629" s="10">
        <v>50</v>
      </c>
      <c r="M2629" s="6" t="s">
        <v>421</v>
      </c>
      <c r="N2629" s="6">
        <f>IF(OR($G2629="FCC",$G2629="Hydrocracker",$G2629="Reformer"),IF(COUNTIFS($D:$D,$D2629,$A:$A,$A2629,$B:$B,$B2629,$G:$G,"CDU",$J:$J,"PLANNED")&gt;0,"tied","standalone"),"")</f>
        <v/>
      </c>
    </row>
    <row r="2630" spans="1:14">
      <c r="A2630" s="6">
        <v>2024</v>
      </c>
      <c r="B2630" s="6">
        <v>1</v>
      </c>
      <c r="C2630" s="6" t="s">
        <v>60</v>
      </c>
      <c r="D2630" s="6" t="s">
        <v>465</v>
      </c>
      <c r="E2630" s="6" t="s">
        <v>466</v>
      </c>
      <c r="F2630" s="6" t="str">
        <f>IF($M2630="PADD I","PADD 1",IF($M2630="PADD II","PADD 2",IF($M2630="PADD III","PADD 3",IF($M2630="PADD IV","PADD 4",IF($M2630="PADD V","PADD 5","")))))</f>
        <v>PADD 3</v>
      </c>
      <c r="G2630" s="6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6" t="s">
        <v>485</v>
      </c>
      <c r="I2630" s="6" t="s">
        <v>503</v>
      </c>
      <c r="J2630" s="6" t="s">
        <v>394</v>
      </c>
      <c r="K2630" s="10">
        <v>34</v>
      </c>
      <c r="L2630" s="10">
        <v>34</v>
      </c>
      <c r="M2630" s="6" t="s">
        <v>421</v>
      </c>
      <c r="N2630" s="6">
        <f>IF(OR($G2630="FCC",$G2630="Hydrocracker",$G2630="Reformer"),IF(COUNTIFS($D:$D,$D2630,$A:$A,$A2630,$B:$B,$B2630,$G:$G,"CDU",$J:$J,"PLANNED")&gt;0,"tied","standalone"),"")</f>
        <v/>
      </c>
    </row>
    <row r="2631" spans="1:14">
      <c r="A2631" s="6">
        <v>2024</v>
      </c>
      <c r="B2631" s="6">
        <v>1</v>
      </c>
      <c r="C2631" s="6" t="s">
        <v>60</v>
      </c>
      <c r="D2631" s="6" t="s">
        <v>678</v>
      </c>
      <c r="E2631" s="6" t="s">
        <v>438</v>
      </c>
      <c r="F2631" s="6" t="str">
        <f>IF($M2631="PADD I","PADD 1",IF($M2631="PADD II","PADD 2",IF($M2631="PADD III","PADD 3",IF($M2631="PADD IV","PADD 4",IF($M2631="PADD V","PADD 5","")))))</f>
        <v>PADD 3</v>
      </c>
      <c r="G2631" s="6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6" t="s">
        <v>39</v>
      </c>
      <c r="I2631" s="6" t="s">
        <v>1098</v>
      </c>
      <c r="J2631" s="6" t="s">
        <v>398</v>
      </c>
      <c r="K2631" s="10">
        <v>34</v>
      </c>
      <c r="L2631" s="10">
        <v>50</v>
      </c>
      <c r="M2631" s="6" t="s">
        <v>421</v>
      </c>
      <c r="N2631" s="6">
        <f>IF(OR($G2631="FCC",$G2631="Hydrocracker",$G2631="Reformer"),IF(COUNTIFS($D:$D,$D2631,$A:$A,$A2631,$B:$B,$B2631,$G:$G,"CDU",$J:$J,"PLANNED")&gt;0,"tied","standalone"),"")</f>
        <v/>
      </c>
    </row>
    <row r="2632" spans="1:14">
      <c r="A2632" s="6">
        <v>2024</v>
      </c>
      <c r="B2632" s="6">
        <v>1</v>
      </c>
      <c r="C2632" s="6" t="s">
        <v>60</v>
      </c>
      <c r="D2632" s="6" t="s">
        <v>465</v>
      </c>
      <c r="E2632" s="6" t="s">
        <v>466</v>
      </c>
      <c r="F2632" s="6" t="str">
        <f>IF($M2632="PADD I","PADD 1",IF($M2632="PADD II","PADD 2",IF($M2632="PADD III","PADD 3",IF($M2632="PADD IV","PADD 4",IF($M2632="PADD V","PADD 5","")))))</f>
        <v>PADD 3</v>
      </c>
      <c r="G2632" s="6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6" t="s">
        <v>485</v>
      </c>
      <c r="I2632" s="6" t="s">
        <v>503</v>
      </c>
      <c r="J2632" s="6" t="s">
        <v>394</v>
      </c>
      <c r="K2632" s="10">
        <v>34</v>
      </c>
      <c r="L2632" s="10">
        <v>34</v>
      </c>
      <c r="M2632" s="6" t="s">
        <v>421</v>
      </c>
      <c r="N2632" s="6">
        <f>IF(OR($G2632="FCC",$G2632="Hydrocracker",$G2632="Reformer"),IF(COUNTIFS($D:$D,$D2632,$A:$A,$A2632,$B:$B,$B2632,$G:$G,"CDU",$J:$J,"PLANNED")&gt;0,"tied","standalone"),"")</f>
        <v/>
      </c>
    </row>
    <row r="2633" spans="1:14">
      <c r="A2633" s="6">
        <v>2024</v>
      </c>
      <c r="B2633" s="6">
        <v>1</v>
      </c>
      <c r="C2633" s="6" t="s">
        <v>60</v>
      </c>
      <c r="D2633" s="6" t="s">
        <v>507</v>
      </c>
      <c r="E2633" s="6" t="s">
        <v>438</v>
      </c>
      <c r="F2633" s="6" t="str">
        <f>IF($M2633="PADD I","PADD 1",IF($M2633="PADD II","PADD 2",IF($M2633="PADD III","PADD 3",IF($M2633="PADD IV","PADD 4",IF($M2633="PADD V","PADD 5","")))))</f>
        <v>PADD 5</v>
      </c>
      <c r="G2633" s="6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6" t="s">
        <v>426</v>
      </c>
      <c r="I2633" s="6" t="s">
        <v>106</v>
      </c>
      <c r="J2633" s="6" t="s">
        <v>398</v>
      </c>
      <c r="K2633" s="10">
        <v>33.8</v>
      </c>
      <c r="L2633" s="10">
        <v>52</v>
      </c>
      <c r="M2633" s="6" t="s">
        <v>436</v>
      </c>
      <c r="N2633" s="6" t="str">
        <f>IF(OR($G2633="FCC",$G2633="Hydrocracker",$G2633="Reformer"),IF(COUNTIFS($D:$D,$D2633,$A:$A,$A2633,$B:$B,$B2633,$G:$G,"CDU",$J:$J,"PLANNED")&gt;0,"tied","standalone"),"")</f>
        <v>tied</v>
      </c>
    </row>
    <row r="2634" spans="1:14">
      <c r="A2634" s="6">
        <v>2024</v>
      </c>
      <c r="B2634" s="6">
        <v>1</v>
      </c>
      <c r="C2634" s="6" t="s">
        <v>60</v>
      </c>
      <c r="D2634" s="6" t="s">
        <v>568</v>
      </c>
      <c r="E2634" s="6" t="s">
        <v>419</v>
      </c>
      <c r="F2634" s="6" t="str">
        <f>IF($M2634="PADD I","PADD 1",IF($M2634="PADD II","PADD 2",IF($M2634="PADD III","PADD 3",IF($M2634="PADD IV","PADD 4",IF($M2634="PADD V","PADD 5","")))))</f>
        <v>PADD 5</v>
      </c>
      <c r="G2634" s="6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6" t="s">
        <v>39</v>
      </c>
      <c r="I2634" s="6" t="s">
        <v>603</v>
      </c>
      <c r="J2634" s="6" t="s">
        <v>394</v>
      </c>
      <c r="K2634" s="10">
        <v>32</v>
      </c>
      <c r="L2634" s="10">
        <v>32</v>
      </c>
      <c r="M2634" s="6" t="s">
        <v>436</v>
      </c>
      <c r="N2634" s="6">
        <f>IF(OR($G2634="FCC",$G2634="Hydrocracker",$G2634="Reformer"),IF(COUNTIFS($D:$D,$D2634,$A:$A,$A2634,$B:$B,$B2634,$G:$G,"CDU",$J:$J,"PLANNED")&gt;0,"tied","standalone"),"")</f>
        <v/>
      </c>
    </row>
    <row r="2635" spans="1:14">
      <c r="A2635" s="6">
        <v>2024</v>
      </c>
      <c r="B2635" s="6">
        <v>1</v>
      </c>
      <c r="C2635" s="6" t="s">
        <v>60</v>
      </c>
      <c r="D2635" s="6" t="s">
        <v>440</v>
      </c>
      <c r="E2635" s="6" t="s">
        <v>441</v>
      </c>
      <c r="F2635" s="6" t="str">
        <f>IF($M2635="PADD I","PADD 1",IF($M2635="PADD II","PADD 2",IF($M2635="PADD III","PADD 3",IF($M2635="PADD IV","PADD 4",IF($M2635="PADD V","PADD 5","")))))</f>
        <v>PADD 3</v>
      </c>
      <c r="G2635" s="6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6" t="s">
        <v>44</v>
      </c>
      <c r="I2635" s="6" t="s">
        <v>1134</v>
      </c>
      <c r="J2635" s="6" t="s">
        <v>398</v>
      </c>
      <c r="K2635" s="10">
        <v>31.95</v>
      </c>
      <c r="L2635" s="10">
        <v>45</v>
      </c>
      <c r="M2635" s="6" t="s">
        <v>421</v>
      </c>
      <c r="N2635" s="6">
        <f>IF(OR($G2635="FCC",$G2635="Hydrocracker",$G2635="Reformer"),IF(COUNTIFS($D:$D,$D2635,$A:$A,$A2635,$B:$B,$B2635,$G:$G,"CDU",$J:$J,"PLANNED")&gt;0,"tied","standalone"),"")</f>
        <v/>
      </c>
    </row>
    <row r="2636" spans="1:14">
      <c r="A2636" s="6">
        <v>2024</v>
      </c>
      <c r="B2636" s="6">
        <v>1</v>
      </c>
      <c r="C2636" s="6" t="s">
        <v>60</v>
      </c>
      <c r="D2636" s="6" t="s">
        <v>465</v>
      </c>
      <c r="E2636" s="6" t="s">
        <v>466</v>
      </c>
      <c r="F2636" s="6" t="str">
        <f>IF($M2636="PADD I","PADD 1",IF($M2636="PADD II","PADD 2",IF($M2636="PADD III","PADD 3",IF($M2636="PADD IV","PADD 4",IF($M2636="PADD V","PADD 5","")))))</f>
        <v>PADD 3</v>
      </c>
      <c r="G2636" s="6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6" t="s">
        <v>39</v>
      </c>
      <c r="I2636" s="6" t="s">
        <v>1135</v>
      </c>
      <c r="J2636" s="6" t="s">
        <v>398</v>
      </c>
      <c r="K2636" s="10">
        <v>31.5</v>
      </c>
      <c r="L2636" s="10">
        <v>75</v>
      </c>
      <c r="M2636" s="6" t="s">
        <v>421</v>
      </c>
      <c r="N2636" s="6">
        <f>IF(OR($G2636="FCC",$G2636="Hydrocracker",$G2636="Reformer"),IF(COUNTIFS($D:$D,$D2636,$A:$A,$A2636,$B:$B,$B2636,$G:$G,"CDU",$J:$J,"PLANNED")&gt;0,"tied","standalone"),"")</f>
        <v/>
      </c>
    </row>
    <row r="2637" spans="1:14">
      <c r="A2637" s="6">
        <v>2024</v>
      </c>
      <c r="B2637" s="6">
        <v>1</v>
      </c>
      <c r="C2637" s="6" t="s">
        <v>60</v>
      </c>
      <c r="D2637" s="6" t="s">
        <v>576</v>
      </c>
      <c r="E2637" s="6" t="s">
        <v>455</v>
      </c>
      <c r="F2637" s="6" t="str">
        <f>IF($M2637="PADD I","PADD 1",IF($M2637="PADD II","PADD 2",IF($M2637="PADD III","PADD 3",IF($M2637="PADD IV","PADD 4",IF($M2637="PADD V","PADD 5","")))))</f>
        <v>PADD 3</v>
      </c>
      <c r="G2637" s="6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6" t="s">
        <v>494</v>
      </c>
      <c r="I2637" s="6" t="s">
        <v>577</v>
      </c>
      <c r="J2637" s="6" t="s">
        <v>398</v>
      </c>
      <c r="K2637" s="10">
        <v>31.35</v>
      </c>
      <c r="L2637" s="10">
        <v>57</v>
      </c>
      <c r="M2637" s="6" t="s">
        <v>421</v>
      </c>
      <c r="N2637" s="6" t="str">
        <f>IF(OR($G2637="FCC",$G2637="Hydrocracker",$G2637="Reformer"),IF(COUNTIFS($D:$D,$D2637,$A:$A,$A2637,$B:$B,$B2637,$G:$G,"CDU",$J:$J,"PLANNED")&gt;0,"tied","standalone"),"")</f>
        <v>tied</v>
      </c>
    </row>
    <row r="2638" spans="1:14">
      <c r="A2638" s="6">
        <v>2024</v>
      </c>
      <c r="B2638" s="6">
        <v>1</v>
      </c>
      <c r="C2638" s="6" t="s">
        <v>60</v>
      </c>
      <c r="D2638" s="6" t="s">
        <v>51</v>
      </c>
      <c r="E2638" s="6" t="s">
        <v>431</v>
      </c>
      <c r="F2638" s="6" t="str">
        <f>IF($M2638="PADD I","PADD 1",IF($M2638="PADD II","PADD 2",IF($M2638="PADD III","PADD 3",IF($M2638="PADD IV","PADD 4",IF($M2638="PADD V","PADD 5","")))))</f>
        <v>PADD 3</v>
      </c>
      <c r="G2638" s="6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6" t="s">
        <v>471</v>
      </c>
      <c r="I2638" s="6" t="s">
        <v>1136</v>
      </c>
      <c r="J2638" s="6" t="s">
        <v>398</v>
      </c>
      <c r="K2638" s="10">
        <v>31.35</v>
      </c>
      <c r="L2638" s="10">
        <v>57</v>
      </c>
      <c r="M2638" s="6" t="s">
        <v>421</v>
      </c>
      <c r="N2638" s="6" t="str">
        <f>IF(OR($G2638="FCC",$G2638="Hydrocracker",$G2638="Reformer"),IF(COUNTIFS($D:$D,$D2638,$A:$A,$A2638,$B:$B,$B2638,$G:$G,"CDU",$J:$J,"PLANNED")&gt;0,"tied","standalone"),"")</f>
        <v>standalone</v>
      </c>
    </row>
    <row r="2639" spans="1:14">
      <c r="A2639" s="6">
        <v>2024</v>
      </c>
      <c r="B2639" s="6">
        <v>1</v>
      </c>
      <c r="C2639" s="6" t="s">
        <v>60</v>
      </c>
      <c r="D2639" s="6" t="s">
        <v>576</v>
      </c>
      <c r="E2639" s="6" t="s">
        <v>455</v>
      </c>
      <c r="F2639" s="6" t="str">
        <f>IF($M2639="PADD I","PADD 1",IF($M2639="PADD II","PADD 2",IF($M2639="PADD III","PADD 3",IF($M2639="PADD IV","PADD 4",IF($M2639="PADD V","PADD 5","")))))</f>
        <v>PADD 3</v>
      </c>
      <c r="G2639" s="6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6" t="s">
        <v>494</v>
      </c>
      <c r="I2639" s="6" t="s">
        <v>400</v>
      </c>
      <c r="J2639" s="6" t="s">
        <v>394</v>
      </c>
      <c r="K2639" s="10">
        <v>31.35</v>
      </c>
      <c r="L2639" s="10">
        <v>57</v>
      </c>
      <c r="M2639" s="6" t="s">
        <v>421</v>
      </c>
      <c r="N2639" s="6" t="str">
        <f>IF(OR($G2639="FCC",$G2639="Hydrocracker",$G2639="Reformer"),IF(COUNTIFS($D:$D,$D2639,$A:$A,$A2639,$B:$B,$B2639,$G:$G,"CDU",$J:$J,"PLANNED")&gt;0,"tied","standalone"),"")</f>
        <v>tied</v>
      </c>
    </row>
    <row r="2640" spans="1:14">
      <c r="A2640" s="6">
        <v>2024</v>
      </c>
      <c r="B2640" s="6">
        <v>1</v>
      </c>
      <c r="C2640" s="6" t="s">
        <v>60</v>
      </c>
      <c r="D2640" s="6" t="s">
        <v>458</v>
      </c>
      <c r="E2640" s="6" t="s">
        <v>459</v>
      </c>
      <c r="F2640" s="6" t="str">
        <f>IF($M2640="PADD I","PADD 1",IF($M2640="PADD II","PADD 2",IF($M2640="PADD III","PADD 3",IF($M2640="PADD IV","PADD 4",IF($M2640="PADD V","PADD 5","")))))</f>
        <v>PADD 3</v>
      </c>
      <c r="G2640" s="6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6" t="s">
        <v>485</v>
      </c>
      <c r="I2640" s="6" t="s">
        <v>509</v>
      </c>
      <c r="J2640" s="6" t="s">
        <v>394</v>
      </c>
      <c r="K2640" s="10">
        <v>31.2</v>
      </c>
      <c r="L2640" s="10">
        <v>60</v>
      </c>
      <c r="M2640" s="6" t="s">
        <v>421</v>
      </c>
      <c r="N2640" s="6">
        <f>IF(OR($G2640="FCC",$G2640="Hydrocracker",$G2640="Reformer"),IF(COUNTIFS($D:$D,$D2640,$A:$A,$A2640,$B:$B,$B2640,$G:$G,"CDU",$J:$J,"PLANNED")&gt;0,"tied","standalone"),"")</f>
        <v/>
      </c>
    </row>
    <row r="2641" spans="1:14">
      <c r="A2641" s="6">
        <v>2024</v>
      </c>
      <c r="B2641" s="6">
        <v>1</v>
      </c>
      <c r="C2641" s="6" t="s">
        <v>60</v>
      </c>
      <c r="D2641" s="6" t="s">
        <v>712</v>
      </c>
      <c r="E2641" s="6" t="s">
        <v>602</v>
      </c>
      <c r="F2641" s="6" t="str">
        <f>IF($M2641="PADD I","PADD 1",IF($M2641="PADD II","PADD 2",IF($M2641="PADD III","PADD 3",IF($M2641="PADD IV","PADD 4",IF($M2641="PADD V","PADD 5","")))))</f>
        <v>PADD 3</v>
      </c>
      <c r="G2641" s="6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6" t="s">
        <v>39</v>
      </c>
      <c r="I2641" s="6" t="s">
        <v>713</v>
      </c>
      <c r="J2641" s="6" t="s">
        <v>394</v>
      </c>
      <c r="K2641" s="10">
        <v>30.66</v>
      </c>
      <c r="L2641" s="10">
        <v>73</v>
      </c>
      <c r="M2641" s="6" t="s">
        <v>421</v>
      </c>
      <c r="N2641" s="6">
        <f>IF(OR($G2641="FCC",$G2641="Hydrocracker",$G2641="Reformer"),IF(COUNTIFS($D:$D,$D2641,$A:$A,$A2641,$B:$B,$B2641,$G:$G,"CDU",$J:$J,"PLANNED")&gt;0,"tied","standalone"),"")</f>
        <v/>
      </c>
    </row>
    <row r="2642" spans="1:14">
      <c r="A2642" s="6">
        <v>2024</v>
      </c>
      <c r="B2642" s="6">
        <v>1</v>
      </c>
      <c r="C2642" s="6" t="s">
        <v>60</v>
      </c>
      <c r="D2642" s="6" t="s">
        <v>857</v>
      </c>
      <c r="E2642" s="6" t="s">
        <v>829</v>
      </c>
      <c r="F2642" s="6" t="str">
        <f>IF($M2642="PADD I","PADD 1",IF($M2642="PADD II","PADD 2",IF($M2642="PADD III","PADD 3",IF($M2642="PADD IV","PADD 4",IF($M2642="PADD V","PADD 5","")))))</f>
        <v>PADD 3</v>
      </c>
      <c r="G2642" s="6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6" t="s">
        <v>426</v>
      </c>
      <c r="I2642" s="6" t="s">
        <v>478</v>
      </c>
      <c r="J2642" s="6" t="s">
        <v>398</v>
      </c>
      <c r="K2642" s="10">
        <v>30.25</v>
      </c>
      <c r="L2642" s="10">
        <v>55</v>
      </c>
      <c r="M2642" s="6" t="s">
        <v>421</v>
      </c>
      <c r="N2642" s="6" t="str">
        <f>IF(OR($G2642="FCC",$G2642="Hydrocracker",$G2642="Reformer"),IF(COUNTIFS($D:$D,$D2642,$A:$A,$A2642,$B:$B,$B2642,$G:$G,"CDU",$J:$J,"PLANNED")&gt;0,"tied","standalone"),"")</f>
        <v>tied</v>
      </c>
    </row>
    <row r="2643" spans="1:14">
      <c r="A2643" s="6">
        <v>2024</v>
      </c>
      <c r="B2643" s="6">
        <v>1</v>
      </c>
      <c r="C2643" s="6" t="s">
        <v>60</v>
      </c>
      <c r="D2643" s="6" t="s">
        <v>518</v>
      </c>
      <c r="E2643" s="6" t="s">
        <v>419</v>
      </c>
      <c r="F2643" s="6" t="str">
        <f>IF($M2643="PADD I","PADD 1",IF($M2643="PADD II","PADD 2",IF($M2643="PADD III","PADD 3",IF($M2643="PADD IV","PADD 4",IF($M2643="PADD V","PADD 5","")))))</f>
        <v>PADD 3</v>
      </c>
      <c r="G2643" s="6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6" t="s">
        <v>426</v>
      </c>
      <c r="I2643" s="6" t="s">
        <v>523</v>
      </c>
      <c r="J2643" s="6" t="s">
        <v>398</v>
      </c>
      <c r="K2643" s="10">
        <v>30</v>
      </c>
      <c r="L2643" s="10">
        <v>30</v>
      </c>
      <c r="M2643" s="6" t="s">
        <v>421</v>
      </c>
      <c r="N2643" s="6" t="str">
        <f>IF(OR($G2643="FCC",$G2643="Hydrocracker",$G2643="Reformer"),IF(COUNTIFS($D:$D,$D2643,$A:$A,$A2643,$B:$B,$B2643,$G:$G,"CDU",$J:$J,"PLANNED")&gt;0,"tied","standalone"),"")</f>
        <v>standalone</v>
      </c>
    </row>
    <row r="2644" spans="1:14">
      <c r="A2644" s="6">
        <v>2024</v>
      </c>
      <c r="B2644" s="6">
        <v>1</v>
      </c>
      <c r="C2644" s="6" t="s">
        <v>60</v>
      </c>
      <c r="D2644" s="6" t="s">
        <v>430</v>
      </c>
      <c r="E2644" s="6" t="s">
        <v>431</v>
      </c>
      <c r="F2644" s="6" t="str">
        <f>IF($M2644="PADD I","PADD 1",IF($M2644="PADD II","PADD 2",IF($M2644="PADD III","PADD 3",IF($M2644="PADD IV","PADD 4",IF($M2644="PADD V","PADD 5","")))))</f>
        <v>PADD 3</v>
      </c>
      <c r="G2644" s="6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6" t="s">
        <v>426</v>
      </c>
      <c r="I2644" s="6" t="s">
        <v>702</v>
      </c>
      <c r="J2644" s="6" t="s">
        <v>398</v>
      </c>
      <c r="K2644" s="10">
        <v>28.6</v>
      </c>
      <c r="L2644" s="10">
        <v>110</v>
      </c>
      <c r="M2644" s="6" t="s">
        <v>421</v>
      </c>
      <c r="N2644" s="6" t="str">
        <f>IF(OR($G2644="FCC",$G2644="Hydrocracker",$G2644="Reformer"),IF(COUNTIFS($D:$D,$D2644,$A:$A,$A2644,$B:$B,$B2644,$G:$G,"CDU",$J:$J,"PLANNED")&gt;0,"tied","standalone"),"")</f>
        <v>standalone</v>
      </c>
    </row>
    <row r="2645" spans="1:14">
      <c r="A2645" s="6">
        <v>2024</v>
      </c>
      <c r="B2645" s="6">
        <v>1</v>
      </c>
      <c r="C2645" s="6" t="s">
        <v>60</v>
      </c>
      <c r="D2645" s="6" t="s">
        <v>507</v>
      </c>
      <c r="E2645" s="6" t="s">
        <v>438</v>
      </c>
      <c r="F2645" s="6" t="str">
        <f>IF($M2645="PADD I","PADD 1",IF($M2645="PADD II","PADD 2",IF($M2645="PADD III","PADD 3",IF($M2645="PADD IV","PADD 4",IF($M2645="PADD V","PADD 5","")))))</f>
        <v>PADD 5</v>
      </c>
      <c r="G2645" s="6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6" t="s">
        <v>494</v>
      </c>
      <c r="I2645" s="6" t="s">
        <v>14</v>
      </c>
      <c r="J2645" s="6" t="s">
        <v>394</v>
      </c>
      <c r="K2645" s="10">
        <v>28.6</v>
      </c>
      <c r="L2645" s="10">
        <v>55</v>
      </c>
      <c r="M2645" s="6" t="s">
        <v>436</v>
      </c>
      <c r="N2645" s="6" t="str">
        <f>IF(OR($G2645="FCC",$G2645="Hydrocracker",$G2645="Reformer"),IF(COUNTIFS($D:$D,$D2645,$A:$A,$A2645,$B:$B,$B2645,$G:$G,"CDU",$J:$J,"PLANNED")&gt;0,"tied","standalone"),"")</f>
        <v>tied</v>
      </c>
    </row>
    <row r="2646" spans="1:14">
      <c r="A2646" s="6">
        <v>2024</v>
      </c>
      <c r="B2646" s="6">
        <v>1</v>
      </c>
      <c r="C2646" s="6" t="s">
        <v>60</v>
      </c>
      <c r="D2646" s="6" t="s">
        <v>458</v>
      </c>
      <c r="E2646" s="6" t="s">
        <v>459</v>
      </c>
      <c r="F2646" s="6" t="str">
        <f>IF($M2646="PADD I","PADD 1",IF($M2646="PADD II","PADD 2",IF($M2646="PADD III","PADD 3",IF($M2646="PADD IV","PADD 4",IF($M2646="PADD V","PADD 5","")))))</f>
        <v>PADD 3</v>
      </c>
      <c r="G2646" s="6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6" t="s">
        <v>428</v>
      </c>
      <c r="I2646" s="6" t="s">
        <v>539</v>
      </c>
      <c r="J2646" s="6" t="s">
        <v>394</v>
      </c>
      <c r="K2646" s="10">
        <v>28.6</v>
      </c>
      <c r="L2646" s="10">
        <v>55</v>
      </c>
      <c r="M2646" s="6" t="s">
        <v>421</v>
      </c>
      <c r="N2646" s="6">
        <f>IF(OR($G2646="FCC",$G2646="Hydrocracker",$G2646="Reformer"),IF(COUNTIFS($D:$D,$D2646,$A:$A,$A2646,$B:$B,$B2646,$G:$G,"CDU",$J:$J,"PLANNED")&gt;0,"tied","standalone"),"")</f>
        <v/>
      </c>
    </row>
    <row r="2647" spans="1:14">
      <c r="A2647" s="6">
        <v>2024</v>
      </c>
      <c r="B2647" s="6">
        <v>1</v>
      </c>
      <c r="C2647" s="6" t="s">
        <v>60</v>
      </c>
      <c r="D2647" s="6" t="s">
        <v>576</v>
      </c>
      <c r="E2647" s="6" t="s">
        <v>455</v>
      </c>
      <c r="F2647" s="6" t="str">
        <f>IF($M2647="PADD I","PADD 1",IF($M2647="PADD II","PADD 2",IF($M2647="PADD III","PADD 3",IF($M2647="PADD IV","PADD 4",IF($M2647="PADD V","PADD 5","")))))</f>
        <v>PADD 3</v>
      </c>
      <c r="G2647" s="6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6" t="s">
        <v>471</v>
      </c>
      <c r="I2647" s="6" t="s">
        <v>647</v>
      </c>
      <c r="J2647" s="6" t="s">
        <v>398</v>
      </c>
      <c r="K2647" s="10">
        <v>27.56</v>
      </c>
      <c r="L2647" s="10">
        <v>53</v>
      </c>
      <c r="M2647" s="6" t="s">
        <v>421</v>
      </c>
      <c r="N2647" s="6" t="str">
        <f>IF(OR($G2647="FCC",$G2647="Hydrocracker",$G2647="Reformer"),IF(COUNTIFS($D:$D,$D2647,$A:$A,$A2647,$B:$B,$B2647,$G:$G,"CDU",$J:$J,"PLANNED")&gt;0,"tied","standalone"),"")</f>
        <v>tied</v>
      </c>
    </row>
    <row r="2648" spans="1:14">
      <c r="A2648" s="6">
        <v>2024</v>
      </c>
      <c r="B2648" s="6">
        <v>1</v>
      </c>
      <c r="C2648" s="6" t="s">
        <v>60</v>
      </c>
      <c r="D2648" s="6" t="s">
        <v>576</v>
      </c>
      <c r="E2648" s="6" t="s">
        <v>455</v>
      </c>
      <c r="F2648" s="6" t="str">
        <f>IF($M2648="PADD I","PADD 1",IF($M2648="PADD II","PADD 2",IF($M2648="PADD III","PADD 3",IF($M2648="PADD IV","PADD 4",IF($M2648="PADD V","PADD 5","")))))</f>
        <v>PADD 3</v>
      </c>
      <c r="G2648" s="6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6" t="s">
        <v>471</v>
      </c>
      <c r="I2648" s="6" t="s">
        <v>647</v>
      </c>
      <c r="J2648" s="6" t="s">
        <v>394</v>
      </c>
      <c r="K2648" s="10">
        <v>27.56</v>
      </c>
      <c r="L2648" s="10">
        <v>53</v>
      </c>
      <c r="M2648" s="6" t="s">
        <v>421</v>
      </c>
      <c r="N2648" s="6" t="str">
        <f>IF(OR($G2648="FCC",$G2648="Hydrocracker",$G2648="Reformer"),IF(COUNTIFS($D:$D,$D2648,$A:$A,$A2648,$B:$B,$B2648,$G:$G,"CDU",$J:$J,"PLANNED")&gt;0,"tied","standalone"),"")</f>
        <v>tied</v>
      </c>
    </row>
    <row r="2649" spans="1:14">
      <c r="A2649" s="6">
        <v>2024</v>
      </c>
      <c r="B2649" s="6">
        <v>1</v>
      </c>
      <c r="C2649" s="6" t="s">
        <v>60</v>
      </c>
      <c r="D2649" s="6" t="s">
        <v>576</v>
      </c>
      <c r="E2649" s="6" t="s">
        <v>455</v>
      </c>
      <c r="F2649" s="6" t="str">
        <f>IF($M2649="PADD I","PADD 1",IF($M2649="PADD II","PADD 2",IF($M2649="PADD III","PADD 3",IF($M2649="PADD IV","PADD 4",IF($M2649="PADD V","PADD 5","")))))</f>
        <v>PADD 3</v>
      </c>
      <c r="G2649" s="6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6" t="s">
        <v>471</v>
      </c>
      <c r="I2649" s="6" t="s">
        <v>978</v>
      </c>
      <c r="J2649" s="6" t="s">
        <v>398</v>
      </c>
      <c r="K2649" s="10">
        <v>27.5</v>
      </c>
      <c r="L2649" s="10">
        <v>50</v>
      </c>
      <c r="M2649" s="6" t="s">
        <v>421</v>
      </c>
      <c r="N2649" s="6" t="str">
        <f>IF(OR($G2649="FCC",$G2649="Hydrocracker",$G2649="Reformer"),IF(COUNTIFS($D:$D,$D2649,$A:$A,$A2649,$B:$B,$B2649,$G:$G,"CDU",$J:$J,"PLANNED")&gt;0,"tied","standalone"),"")</f>
        <v>tied</v>
      </c>
    </row>
    <row r="2650" spans="1:14">
      <c r="A2650" s="6">
        <v>2024</v>
      </c>
      <c r="B2650" s="6">
        <v>1</v>
      </c>
      <c r="C2650" s="6" t="s">
        <v>60</v>
      </c>
      <c r="D2650" s="6" t="s">
        <v>458</v>
      </c>
      <c r="E2650" s="6" t="s">
        <v>459</v>
      </c>
      <c r="F2650" s="6" t="str">
        <f>IF($M2650="PADD I","PADD 1",IF($M2650="PADD II","PADD 2",IF($M2650="PADD III","PADD 3",IF($M2650="PADD IV","PADD 4",IF($M2650="PADD V","PADD 5","")))))</f>
        <v>PADD 3</v>
      </c>
      <c r="G2650" s="6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6" t="s">
        <v>44</v>
      </c>
      <c r="I2650" s="6" t="s">
        <v>514</v>
      </c>
      <c r="J2650" s="6" t="s">
        <v>394</v>
      </c>
      <c r="K2650" s="10">
        <v>27.5</v>
      </c>
      <c r="L2650" s="10">
        <v>50</v>
      </c>
      <c r="M2650" s="6" t="s">
        <v>421</v>
      </c>
      <c r="N2650" s="6">
        <f>IF(OR($G2650="FCC",$G2650="Hydrocracker",$G2650="Reformer"),IF(COUNTIFS($D:$D,$D2650,$A:$A,$A2650,$B:$B,$B2650,$G:$G,"CDU",$J:$J,"PLANNED")&gt;0,"tied","standalone"),"")</f>
        <v/>
      </c>
    </row>
    <row r="2651" spans="1:14">
      <c r="A2651" s="6">
        <v>2024</v>
      </c>
      <c r="B2651" s="6">
        <v>1</v>
      </c>
      <c r="C2651" s="6" t="s">
        <v>60</v>
      </c>
      <c r="D2651" s="6" t="s">
        <v>465</v>
      </c>
      <c r="E2651" s="6" t="s">
        <v>466</v>
      </c>
      <c r="F2651" s="6" t="str">
        <f>IF($M2651="PADD I","PADD 1",IF($M2651="PADD II","PADD 2",IF($M2651="PADD III","PADD 3",IF($M2651="PADD IV","PADD 4",IF($M2651="PADD V","PADD 5","")))))</f>
        <v>PADD 3</v>
      </c>
      <c r="G2651" s="6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6" t="s">
        <v>471</v>
      </c>
      <c r="I2651" s="6" t="s">
        <v>504</v>
      </c>
      <c r="J2651" s="6" t="s">
        <v>394</v>
      </c>
      <c r="K2651" s="10">
        <v>27.04</v>
      </c>
      <c r="L2651" s="10">
        <v>52</v>
      </c>
      <c r="M2651" s="6" t="s">
        <v>421</v>
      </c>
      <c r="N2651" s="6" t="str">
        <f>IF(OR($G2651="FCC",$G2651="Hydrocracker",$G2651="Reformer"),IF(COUNTIFS($D:$D,$D2651,$A:$A,$A2651,$B:$B,$B2651,$G:$G,"CDU",$J:$J,"PLANNED")&gt;0,"tied","standalone"),"")</f>
        <v>tied</v>
      </c>
    </row>
    <row r="2652" spans="1:14">
      <c r="A2652" s="6">
        <v>2024</v>
      </c>
      <c r="B2652" s="6">
        <v>1</v>
      </c>
      <c r="C2652" s="6" t="s">
        <v>60</v>
      </c>
      <c r="D2652" s="6" t="s">
        <v>458</v>
      </c>
      <c r="E2652" s="6" t="s">
        <v>459</v>
      </c>
      <c r="F2652" s="6" t="str">
        <f>IF($M2652="PADD I","PADD 1",IF($M2652="PADD II","PADD 2",IF($M2652="PADD III","PADD 3",IF($M2652="PADD IV","PADD 4",IF($M2652="PADD V","PADD 5","")))))</f>
        <v>PADD 3</v>
      </c>
      <c r="G2652" s="6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6" t="s">
        <v>428</v>
      </c>
      <c r="I2652" s="6" t="s">
        <v>556</v>
      </c>
      <c r="J2652" s="6" t="s">
        <v>394</v>
      </c>
      <c r="K2652" s="10">
        <v>27.04</v>
      </c>
      <c r="L2652" s="10">
        <v>52</v>
      </c>
      <c r="M2652" s="6" t="s">
        <v>421</v>
      </c>
      <c r="N2652" s="6">
        <f>IF(OR($G2652="FCC",$G2652="Hydrocracker",$G2652="Reformer"),IF(COUNTIFS($D:$D,$D2652,$A:$A,$A2652,$B:$B,$B2652,$G:$G,"CDU",$J:$J,"PLANNED")&gt;0,"tied","standalone"),"")</f>
        <v/>
      </c>
    </row>
    <row r="2653" spans="1:14">
      <c r="A2653" s="6">
        <v>2024</v>
      </c>
      <c r="B2653" s="6">
        <v>1</v>
      </c>
      <c r="C2653" s="6" t="s">
        <v>60</v>
      </c>
      <c r="D2653" s="6" t="s">
        <v>507</v>
      </c>
      <c r="E2653" s="6" t="s">
        <v>438</v>
      </c>
      <c r="F2653" s="6" t="str">
        <f>IF($M2653="PADD I","PADD 1",IF($M2653="PADD II","PADD 2",IF($M2653="PADD III","PADD 3",IF($M2653="PADD IV","PADD 4",IF($M2653="PADD V","PADD 5","")))))</f>
        <v>PADD 5</v>
      </c>
      <c r="G2653" s="6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6" t="s">
        <v>39</v>
      </c>
      <c r="I2653" s="6" t="s">
        <v>138</v>
      </c>
      <c r="J2653" s="6" t="s">
        <v>398</v>
      </c>
      <c r="K2653" s="10">
        <v>26</v>
      </c>
      <c r="L2653" s="10">
        <v>40</v>
      </c>
      <c r="M2653" s="6" t="s">
        <v>436</v>
      </c>
      <c r="N2653" s="6">
        <f>IF(OR($G2653="FCC",$G2653="Hydrocracker",$G2653="Reformer"),IF(COUNTIFS($D:$D,$D2653,$A:$A,$A2653,$B:$B,$B2653,$G:$G,"CDU",$J:$J,"PLANNED")&gt;0,"tied","standalone"),"")</f>
        <v/>
      </c>
    </row>
    <row r="2654" spans="1:14">
      <c r="A2654" s="6">
        <v>2024</v>
      </c>
      <c r="B2654" s="6">
        <v>1</v>
      </c>
      <c r="C2654" s="6" t="s">
        <v>60</v>
      </c>
      <c r="D2654" s="6" t="s">
        <v>576</v>
      </c>
      <c r="E2654" s="6" t="s">
        <v>455</v>
      </c>
      <c r="F2654" s="6" t="str">
        <f>IF($M2654="PADD I","PADD 1",IF($M2654="PADD II","PADD 2",IF($M2654="PADD III","PADD 3",IF($M2654="PADD IV","PADD 4",IF($M2654="PADD V","PADD 5","")))))</f>
        <v>PADD 3</v>
      </c>
      <c r="G2654" s="6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6" t="s">
        <v>44</v>
      </c>
      <c r="I2654" s="6" t="s">
        <v>1126</v>
      </c>
      <c r="J2654" s="6" t="s">
        <v>398</v>
      </c>
      <c r="K2654" s="10">
        <v>25.85</v>
      </c>
      <c r="L2654" s="10">
        <v>47</v>
      </c>
      <c r="M2654" s="6" t="s">
        <v>421</v>
      </c>
      <c r="N2654" s="6">
        <f>IF(OR($G2654="FCC",$G2654="Hydrocracker",$G2654="Reformer"),IF(COUNTIFS($D:$D,$D2654,$A:$A,$A2654,$B:$B,$B2654,$G:$G,"CDU",$J:$J,"PLANNED")&gt;0,"tied","standalone"),"")</f>
        <v/>
      </c>
    </row>
    <row r="2655" spans="1:14">
      <c r="A2655" s="6">
        <v>2024</v>
      </c>
      <c r="B2655" s="6">
        <v>1</v>
      </c>
      <c r="C2655" s="6" t="s">
        <v>60</v>
      </c>
      <c r="D2655" s="6" t="s">
        <v>828</v>
      </c>
      <c r="E2655" s="6" t="s">
        <v>829</v>
      </c>
      <c r="F2655" s="6" t="str">
        <f>IF($M2655="PADD I","PADD 1",IF($M2655="PADD II","PADD 2",IF($M2655="PADD III","PADD 3",IF($M2655="PADD IV","PADD 4",IF($M2655="PADD V","PADD 5","")))))</f>
        <v>PADD 3</v>
      </c>
      <c r="G2655" s="6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6" t="s">
        <v>39</v>
      </c>
      <c r="I2655" s="6" t="s">
        <v>830</v>
      </c>
      <c r="J2655" s="6" t="s">
        <v>394</v>
      </c>
      <c r="K2655" s="10">
        <v>25.61</v>
      </c>
      <c r="L2655" s="10">
        <v>197</v>
      </c>
      <c r="M2655" s="6" t="s">
        <v>421</v>
      </c>
      <c r="N2655" s="6">
        <f>IF(OR($G2655="FCC",$G2655="Hydrocracker",$G2655="Reformer"),IF(COUNTIFS($D:$D,$D2655,$A:$A,$A2655,$B:$B,$B2655,$G:$G,"CDU",$J:$J,"PLANNED")&gt;0,"tied","standalone"),"")</f>
        <v/>
      </c>
    </row>
    <row r="2656" spans="1:14">
      <c r="A2656" s="6">
        <v>2024</v>
      </c>
      <c r="B2656" s="6">
        <v>1</v>
      </c>
      <c r="C2656" s="6" t="s">
        <v>60</v>
      </c>
      <c r="D2656" s="6" t="s">
        <v>507</v>
      </c>
      <c r="E2656" s="6" t="s">
        <v>438</v>
      </c>
      <c r="F2656" s="6" t="str">
        <f>IF($M2656="PADD I","PADD 1",IF($M2656="PADD II","PADD 2",IF($M2656="PADD III","PADD 3",IF($M2656="PADD IV","PADD 4",IF($M2656="PADD V","PADD 5","")))))</f>
        <v>PADD 5</v>
      </c>
      <c r="G2656" s="6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6" t="s">
        <v>485</v>
      </c>
      <c r="I2656" s="6" t="s">
        <v>503</v>
      </c>
      <c r="J2656" s="6" t="s">
        <v>398</v>
      </c>
      <c r="K2656" s="10">
        <v>25.35</v>
      </c>
      <c r="L2656" s="10">
        <v>39</v>
      </c>
      <c r="M2656" s="6" t="s">
        <v>436</v>
      </c>
      <c r="N2656" s="6">
        <f>IF(OR($G2656="FCC",$G2656="Hydrocracker",$G2656="Reformer"),IF(COUNTIFS($D:$D,$D2656,$A:$A,$A2656,$B:$B,$B2656,$G:$G,"CDU",$J:$J,"PLANNED")&gt;0,"tied","standalone"),"")</f>
        <v/>
      </c>
    </row>
    <row r="2657" spans="1:14">
      <c r="A2657" s="6">
        <v>2024</v>
      </c>
      <c r="B2657" s="6">
        <v>1</v>
      </c>
      <c r="C2657" s="6" t="s">
        <v>60</v>
      </c>
      <c r="D2657" s="6" t="s">
        <v>43</v>
      </c>
      <c r="E2657" s="6" t="s">
        <v>455</v>
      </c>
      <c r="F2657" s="6" t="str">
        <f>IF($M2657="PADD I","PADD 1",IF($M2657="PADD II","PADD 2",IF($M2657="PADD III","PADD 3",IF($M2657="PADD IV","PADD 4",IF($M2657="PADD V","PADD 5","")))))</f>
        <v>PADD 3</v>
      </c>
      <c r="G2657" s="6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6" t="s">
        <v>44</v>
      </c>
      <c r="I2657" s="6" t="s">
        <v>1137</v>
      </c>
      <c r="J2657" s="6" t="s">
        <v>398</v>
      </c>
      <c r="K2657" s="10">
        <v>25.3</v>
      </c>
      <c r="L2657" s="10">
        <v>110</v>
      </c>
      <c r="M2657" s="6" t="s">
        <v>421</v>
      </c>
      <c r="N2657" s="6">
        <f>IF(OR($G2657="FCC",$G2657="Hydrocracker",$G2657="Reformer"),IF(COUNTIFS($D:$D,$D2657,$A:$A,$A2657,$B:$B,$B2657,$G:$G,"CDU",$J:$J,"PLANNED")&gt;0,"tied","standalone"),"")</f>
        <v/>
      </c>
    </row>
    <row r="2658" spans="1:14">
      <c r="A2658" s="6">
        <v>2024</v>
      </c>
      <c r="B2658" s="6">
        <v>1</v>
      </c>
      <c r="C2658" s="6" t="s">
        <v>60</v>
      </c>
      <c r="D2658" s="6" t="s">
        <v>43</v>
      </c>
      <c r="E2658" s="6" t="s">
        <v>455</v>
      </c>
      <c r="F2658" s="6" t="str">
        <f>IF($M2658="PADD I","PADD 1",IF($M2658="PADD II","PADD 2",IF($M2658="PADD III","PADD 3",IF($M2658="PADD IV","PADD 4",IF($M2658="PADD V","PADD 5","")))))</f>
        <v>PADD 3</v>
      </c>
      <c r="G2658" s="6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6" t="s">
        <v>44</v>
      </c>
      <c r="I2658" s="6" t="s">
        <v>1138</v>
      </c>
      <c r="J2658" s="6" t="s">
        <v>394</v>
      </c>
      <c r="K2658" s="10">
        <v>25.3</v>
      </c>
      <c r="L2658" s="10">
        <v>110</v>
      </c>
      <c r="M2658" s="6" t="s">
        <v>421</v>
      </c>
      <c r="N2658" s="6">
        <f>IF(OR($G2658="FCC",$G2658="Hydrocracker",$G2658="Reformer"),IF(COUNTIFS($D:$D,$D2658,$A:$A,$A2658,$B:$B,$B2658,$G:$G,"CDU",$J:$J,"PLANNED")&gt;0,"tied","standalone"),"")</f>
        <v/>
      </c>
    </row>
    <row r="2659" spans="1:14">
      <c r="A2659" s="6">
        <v>2024</v>
      </c>
      <c r="B2659" s="6">
        <v>1</v>
      </c>
      <c r="C2659" s="6" t="s">
        <v>60</v>
      </c>
      <c r="D2659" s="6" t="s">
        <v>465</v>
      </c>
      <c r="E2659" s="6" t="s">
        <v>466</v>
      </c>
      <c r="F2659" s="6" t="str">
        <f>IF($M2659="PADD I","PADD 1",IF($M2659="PADD II","PADD 2",IF($M2659="PADD III","PADD 3",IF($M2659="PADD IV","PADD 4",IF($M2659="PADD V","PADD 5","")))))</f>
        <v>PADD 3</v>
      </c>
      <c r="G2659" s="6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6" t="s">
        <v>494</v>
      </c>
      <c r="I2659" s="6" t="s">
        <v>990</v>
      </c>
      <c r="J2659" s="6" t="s">
        <v>394</v>
      </c>
      <c r="K2659" s="10">
        <v>24.576</v>
      </c>
      <c r="L2659" s="10">
        <v>51.2</v>
      </c>
      <c r="M2659" s="6" t="s">
        <v>421</v>
      </c>
      <c r="N2659" s="6" t="str">
        <f>IF(OR($G2659="FCC",$G2659="Hydrocracker",$G2659="Reformer"),IF(COUNTIFS($D:$D,$D2659,$A:$A,$A2659,$B:$B,$B2659,$G:$G,"CDU",$J:$J,"PLANNED")&gt;0,"tied","standalone"),"")</f>
        <v>tied</v>
      </c>
    </row>
    <row r="2660" spans="1:14">
      <c r="A2660" s="6">
        <v>2024</v>
      </c>
      <c r="B2660" s="6">
        <v>1</v>
      </c>
      <c r="C2660" s="6" t="s">
        <v>60</v>
      </c>
      <c r="D2660" s="6" t="s">
        <v>857</v>
      </c>
      <c r="E2660" s="6" t="s">
        <v>829</v>
      </c>
      <c r="F2660" s="6" t="str">
        <f>IF($M2660="PADD I","PADD 1",IF($M2660="PADD II","PADD 2",IF($M2660="PADD III","PADD 3",IF($M2660="PADD IV","PADD 4",IF($M2660="PADD V","PADD 5","")))))</f>
        <v>PADD 3</v>
      </c>
      <c r="G2660" s="6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6" t="s">
        <v>428</v>
      </c>
      <c r="I2660" s="6" t="s">
        <v>481</v>
      </c>
      <c r="J2660" s="6" t="s">
        <v>398</v>
      </c>
      <c r="K2660" s="10">
        <v>24.48</v>
      </c>
      <c r="L2660" s="10">
        <v>36</v>
      </c>
      <c r="M2660" s="6" t="s">
        <v>421</v>
      </c>
      <c r="N2660" s="6">
        <f>IF(OR($G2660="FCC",$G2660="Hydrocracker",$G2660="Reformer"),IF(COUNTIFS($D:$D,$D2660,$A:$A,$A2660,$B:$B,$B2660,$G:$G,"CDU",$J:$J,"PLANNED")&gt;0,"tied","standalone"),"")</f>
        <v/>
      </c>
    </row>
    <row r="2661" spans="1:14">
      <c r="A2661" s="6">
        <v>2024</v>
      </c>
      <c r="B2661" s="6">
        <v>1</v>
      </c>
      <c r="C2661" s="6" t="s">
        <v>60</v>
      </c>
      <c r="D2661" s="6" t="s">
        <v>678</v>
      </c>
      <c r="E2661" s="6" t="s">
        <v>438</v>
      </c>
      <c r="F2661" s="6" t="str">
        <f>IF($M2661="PADD I","PADD 1",IF($M2661="PADD II","PADD 2",IF($M2661="PADD III","PADD 3",IF($M2661="PADD IV","PADD 4",IF($M2661="PADD V","PADD 5","")))))</f>
        <v>PADD 3</v>
      </c>
      <c r="G2661" s="6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6" t="s">
        <v>39</v>
      </c>
      <c r="I2661" s="6" t="s">
        <v>1103</v>
      </c>
      <c r="J2661" s="6" t="s">
        <v>398</v>
      </c>
      <c r="K2661" s="10">
        <v>23.8</v>
      </c>
      <c r="L2661" s="10">
        <v>35</v>
      </c>
      <c r="M2661" s="6" t="s">
        <v>421</v>
      </c>
      <c r="N2661" s="6">
        <f>IF(OR($G2661="FCC",$G2661="Hydrocracker",$G2661="Reformer"),IF(COUNTIFS($D:$D,$D2661,$A:$A,$A2661,$B:$B,$B2661,$G:$G,"CDU",$J:$J,"PLANNED")&gt;0,"tied","standalone"),"")</f>
        <v/>
      </c>
    </row>
    <row r="2662" spans="1:14">
      <c r="A2662" s="6">
        <v>2024</v>
      </c>
      <c r="B2662" s="6">
        <v>1</v>
      </c>
      <c r="C2662" s="6" t="s">
        <v>60</v>
      </c>
      <c r="D2662" s="6" t="s">
        <v>534</v>
      </c>
      <c r="E2662" s="6" t="s">
        <v>459</v>
      </c>
      <c r="F2662" s="6" t="str">
        <f>IF($M2662="PADD I","PADD 1",IF($M2662="PADD II","PADD 2",IF($M2662="PADD III","PADD 3",IF($M2662="PADD IV","PADD 4",IF($M2662="PADD V","PADD 5","")))))</f>
        <v>PADD 3</v>
      </c>
      <c r="G2662" s="6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6" t="s">
        <v>44</v>
      </c>
      <c r="I2662" s="6" t="s">
        <v>551</v>
      </c>
      <c r="J2662" s="6" t="s">
        <v>394</v>
      </c>
      <c r="K2662" s="10">
        <v>23.66</v>
      </c>
      <c r="L2662" s="10">
        <v>45.5</v>
      </c>
      <c r="M2662" s="6" t="s">
        <v>421</v>
      </c>
      <c r="N2662" s="6">
        <f>IF(OR($G2662="FCC",$G2662="Hydrocracker",$G2662="Reformer"),IF(COUNTIFS($D:$D,$D2662,$A:$A,$A2662,$B:$B,$B2662,$G:$G,"CDU",$J:$J,"PLANNED")&gt;0,"tied","standalone"),"")</f>
        <v/>
      </c>
    </row>
    <row r="2663" spans="1:14">
      <c r="A2663" s="6">
        <v>2024</v>
      </c>
      <c r="B2663" s="6">
        <v>1</v>
      </c>
      <c r="C2663" s="6" t="s">
        <v>60</v>
      </c>
      <c r="D2663" s="6" t="s">
        <v>576</v>
      </c>
      <c r="E2663" s="6" t="s">
        <v>455</v>
      </c>
      <c r="F2663" s="6" t="str">
        <f>IF($M2663="PADD I","PADD 1",IF($M2663="PADD II","PADD 2",IF($M2663="PADD III","PADD 3",IF($M2663="PADD IV","PADD 4",IF($M2663="PADD V","PADD 5","")))))</f>
        <v>PADD 3</v>
      </c>
      <c r="G2663" s="6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6" t="s">
        <v>44</v>
      </c>
      <c r="I2663" s="6" t="s">
        <v>1139</v>
      </c>
      <c r="J2663" s="6" t="s">
        <v>398</v>
      </c>
      <c r="K2663" s="10">
        <v>23.65</v>
      </c>
      <c r="L2663" s="10">
        <v>43</v>
      </c>
      <c r="M2663" s="6" t="s">
        <v>421</v>
      </c>
      <c r="N2663" s="6">
        <f>IF(OR($G2663="FCC",$G2663="Hydrocracker",$G2663="Reformer"),IF(COUNTIFS($D:$D,$D2663,$A:$A,$A2663,$B:$B,$B2663,$G:$G,"CDU",$J:$J,"PLANNED")&gt;0,"tied","standalone"),"")</f>
        <v/>
      </c>
    </row>
    <row r="2664" spans="1:14">
      <c r="A2664" s="6">
        <v>2024</v>
      </c>
      <c r="B2664" s="6">
        <v>1</v>
      </c>
      <c r="C2664" s="6" t="s">
        <v>60</v>
      </c>
      <c r="D2664" s="6" t="s">
        <v>458</v>
      </c>
      <c r="E2664" s="6" t="s">
        <v>459</v>
      </c>
      <c r="F2664" s="6" t="str">
        <f>IF($M2664="PADD I","PADD 1",IF($M2664="PADD II","PADD 2",IF($M2664="PADD III","PADD 3",IF($M2664="PADD IV","PADD 4",IF($M2664="PADD V","PADD 5","")))))</f>
        <v>PADD 3</v>
      </c>
      <c r="G2664" s="6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6" t="s">
        <v>44</v>
      </c>
      <c r="I2664" s="6" t="s">
        <v>528</v>
      </c>
      <c r="J2664" s="6" t="s">
        <v>394</v>
      </c>
      <c r="K2664" s="10">
        <v>23.1</v>
      </c>
      <c r="L2664" s="10">
        <v>42</v>
      </c>
      <c r="M2664" s="6" t="s">
        <v>421</v>
      </c>
      <c r="N2664" s="6">
        <f>IF(OR($G2664="FCC",$G2664="Hydrocracker",$G2664="Reformer"),IF(COUNTIFS($D:$D,$D2664,$A:$A,$A2664,$B:$B,$B2664,$G:$G,"CDU",$J:$J,"PLANNED")&gt;0,"tied","standalone"),"")</f>
        <v/>
      </c>
    </row>
    <row r="2665" spans="1:14">
      <c r="A2665" s="6">
        <v>2024</v>
      </c>
      <c r="B2665" s="6">
        <v>1</v>
      </c>
      <c r="C2665" s="6" t="s">
        <v>60</v>
      </c>
      <c r="D2665" s="6" t="s">
        <v>568</v>
      </c>
      <c r="E2665" s="6" t="s">
        <v>419</v>
      </c>
      <c r="F2665" s="6" t="str">
        <f>IF($M2665="PADD I","PADD 1",IF($M2665="PADD II","PADD 2",IF($M2665="PADD III","PADD 3",IF($M2665="PADD IV","PADD 4",IF($M2665="PADD V","PADD 5","")))))</f>
        <v>PADD 5</v>
      </c>
      <c r="G2665" s="6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6" t="s">
        <v>494</v>
      </c>
      <c r="I2665" s="6" t="s">
        <v>632</v>
      </c>
      <c r="J2665" s="6" t="s">
        <v>394</v>
      </c>
      <c r="K2665" s="10">
        <v>23</v>
      </c>
      <c r="L2665" s="10">
        <v>23</v>
      </c>
      <c r="M2665" s="6" t="s">
        <v>436</v>
      </c>
      <c r="N2665" s="6" t="str">
        <f>IF(OR($G2665="FCC",$G2665="Hydrocracker",$G2665="Reformer"),IF(COUNTIFS($D:$D,$D2665,$A:$A,$A2665,$B:$B,$B2665,$G:$G,"CDU",$J:$J,"PLANNED")&gt;0,"tied","standalone"),"")</f>
        <v>standalone</v>
      </c>
    </row>
    <row r="2666" spans="1:14">
      <c r="A2666" s="6">
        <v>2024</v>
      </c>
      <c r="B2666" s="6">
        <v>1</v>
      </c>
      <c r="C2666" s="6" t="s">
        <v>60</v>
      </c>
      <c r="D2666" s="6" t="s">
        <v>378</v>
      </c>
      <c r="E2666" s="6" t="s">
        <v>477</v>
      </c>
      <c r="F2666" s="6" t="str">
        <f>IF($M2666="PADD I","PADD 1",IF($M2666="PADD II","PADD 2",IF($M2666="PADD III","PADD 3",IF($M2666="PADD IV","PADD 4",IF($M2666="PADD V","PADD 5","")))))</f>
        <v>PADD 3</v>
      </c>
      <c r="G2666" s="6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6" t="s">
        <v>428</v>
      </c>
      <c r="I2666" s="6" t="s">
        <v>1014</v>
      </c>
      <c r="J2666" s="6" t="s">
        <v>394</v>
      </c>
      <c r="K2666" s="10">
        <v>22</v>
      </c>
      <c r="L2666" s="10">
        <v>40</v>
      </c>
      <c r="M2666" s="6" t="s">
        <v>421</v>
      </c>
      <c r="N2666" s="6">
        <f>IF(OR($G2666="FCC",$G2666="Hydrocracker",$G2666="Reformer"),IF(COUNTIFS($D:$D,$D2666,$A:$A,$A2666,$B:$B,$B2666,$G:$G,"CDU",$J:$J,"PLANNED")&gt;0,"tied","standalone"),"")</f>
        <v/>
      </c>
    </row>
    <row r="2667" spans="1:14">
      <c r="A2667" s="6">
        <v>2024</v>
      </c>
      <c r="B2667" s="6">
        <v>1</v>
      </c>
      <c r="C2667" s="6" t="s">
        <v>60</v>
      </c>
      <c r="D2667" s="6" t="s">
        <v>437</v>
      </c>
      <c r="E2667" s="6" t="s">
        <v>438</v>
      </c>
      <c r="F2667" s="6" t="str">
        <f>IF($M2667="PADD I","PADD 1",IF($M2667="PADD II","PADD 2",IF($M2667="PADD III","PADD 3",IF($M2667="PADD IV","PADD 4",IF($M2667="PADD V","PADD 5","")))))</f>
        <v>PADD 3</v>
      </c>
      <c r="G2667" s="6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6" t="s">
        <v>44</v>
      </c>
      <c r="I2667" s="6" t="s">
        <v>1140</v>
      </c>
      <c r="J2667" s="6" t="s">
        <v>398</v>
      </c>
      <c r="K2667" s="10">
        <v>21.85</v>
      </c>
      <c r="L2667" s="10">
        <v>115</v>
      </c>
      <c r="M2667" s="6" t="s">
        <v>421</v>
      </c>
      <c r="N2667" s="6">
        <f>IF(OR($G2667="FCC",$G2667="Hydrocracker",$G2667="Reformer"),IF(COUNTIFS($D:$D,$D2667,$A:$A,$A2667,$B:$B,$B2667,$G:$G,"CDU",$J:$J,"PLANNED")&gt;0,"tied","standalone"),"")</f>
        <v/>
      </c>
    </row>
    <row r="2668" spans="1:14">
      <c r="A2668" s="6">
        <v>2024</v>
      </c>
      <c r="B2668" s="6">
        <v>1</v>
      </c>
      <c r="C2668" s="6" t="s">
        <v>60</v>
      </c>
      <c r="D2668" s="6" t="s">
        <v>51</v>
      </c>
      <c r="E2668" s="6" t="s">
        <v>431</v>
      </c>
      <c r="F2668" s="6" t="str">
        <f>IF($M2668="PADD I","PADD 1",IF($M2668="PADD II","PADD 2",IF($M2668="PADD III","PADD 3",IF($M2668="PADD IV","PADD 4",IF($M2668="PADD V","PADD 5","")))))</f>
        <v>PADD 3</v>
      </c>
      <c r="G2668" s="6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6" t="s">
        <v>44</v>
      </c>
      <c r="I2668" s="6" t="s">
        <v>1141</v>
      </c>
      <c r="J2668" s="6" t="s">
        <v>398</v>
      </c>
      <c r="K2668" s="10">
        <v>20.8</v>
      </c>
      <c r="L2668" s="10">
        <v>40</v>
      </c>
      <c r="M2668" s="6" t="s">
        <v>421</v>
      </c>
      <c r="N2668" s="6">
        <f>IF(OR($G2668="FCC",$G2668="Hydrocracker",$G2668="Reformer"),IF(COUNTIFS($D:$D,$D2668,$A:$A,$A2668,$B:$B,$B2668,$G:$G,"CDU",$J:$J,"PLANNED")&gt;0,"tied","standalone"),"")</f>
        <v/>
      </c>
    </row>
    <row r="2669" spans="1:14">
      <c r="A2669" s="6">
        <v>2024</v>
      </c>
      <c r="B2669" s="6">
        <v>1</v>
      </c>
      <c r="C2669" s="6" t="s">
        <v>60</v>
      </c>
      <c r="D2669" s="6" t="s">
        <v>505</v>
      </c>
      <c r="E2669" s="6" t="s">
        <v>455</v>
      </c>
      <c r="F2669" s="6" t="str">
        <f>IF($M2669="PADD I","PADD 1",IF($M2669="PADD II","PADD 2",IF($M2669="PADD III","PADD 3",IF($M2669="PADD IV","PADD 4",IF($M2669="PADD V","PADD 5","")))))</f>
        <v>PADD 3</v>
      </c>
      <c r="G2669" s="6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6" t="s">
        <v>485</v>
      </c>
      <c r="I2669" s="6" t="s">
        <v>491</v>
      </c>
      <c r="J2669" s="6" t="s">
        <v>394</v>
      </c>
      <c r="K2669" s="10">
        <v>20.8</v>
      </c>
      <c r="L2669" s="10">
        <v>80</v>
      </c>
      <c r="M2669" s="6" t="s">
        <v>421</v>
      </c>
      <c r="N2669" s="6">
        <f>IF(OR($G2669="FCC",$G2669="Hydrocracker",$G2669="Reformer"),IF(COUNTIFS($D:$D,$D2669,$A:$A,$A2669,$B:$B,$B2669,$G:$G,"CDU",$J:$J,"PLANNED")&gt;0,"tied","standalone"),"")</f>
        <v/>
      </c>
    </row>
    <row r="2670" spans="1:14">
      <c r="A2670" s="6">
        <v>2024</v>
      </c>
      <c r="B2670" s="6">
        <v>1</v>
      </c>
      <c r="C2670" s="6" t="s">
        <v>60</v>
      </c>
      <c r="D2670" s="6" t="s">
        <v>780</v>
      </c>
      <c r="E2670" s="6" t="s">
        <v>781</v>
      </c>
      <c r="F2670" s="6" t="str">
        <f>IF($M2670="PADD I","PADD 1",IF($M2670="PADD II","PADD 2",IF($M2670="PADD III","PADD 3",IF($M2670="PADD IV","PADD 4",IF($M2670="PADD V","PADD 5","")))))</f>
        <v>PADD 3</v>
      </c>
      <c r="G2670" s="6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6" t="s">
        <v>426</v>
      </c>
      <c r="I2670" s="6" t="s">
        <v>106</v>
      </c>
      <c r="J2670" s="6" t="s">
        <v>394</v>
      </c>
      <c r="K2670" s="10">
        <v>20.445</v>
      </c>
      <c r="L2670" s="10">
        <v>23.5</v>
      </c>
      <c r="M2670" s="6" t="s">
        <v>421</v>
      </c>
      <c r="N2670" s="6" t="str">
        <f>IF(OR($G2670="FCC",$G2670="Hydrocracker",$G2670="Reformer"),IF(COUNTIFS($D:$D,$D2670,$A:$A,$A2670,$B:$B,$B2670,$G:$G,"CDU",$J:$J,"PLANNED")&gt;0,"tied","standalone"),"")</f>
        <v>standalone</v>
      </c>
    </row>
    <row r="2671" spans="1:14">
      <c r="A2671" s="6">
        <v>2024</v>
      </c>
      <c r="B2671" s="6">
        <v>1</v>
      </c>
      <c r="C2671" s="6" t="s">
        <v>60</v>
      </c>
      <c r="D2671" s="6" t="s">
        <v>678</v>
      </c>
      <c r="E2671" s="6" t="s">
        <v>438</v>
      </c>
      <c r="F2671" s="6" t="str">
        <f>IF($M2671="PADD I","PADD 1",IF($M2671="PADD II","PADD 2",IF($M2671="PADD III","PADD 3",IF($M2671="PADD IV","PADD 4",IF($M2671="PADD V","PADD 5","")))))</f>
        <v>PADD 3</v>
      </c>
      <c r="G2671" s="6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6" t="s">
        <v>44</v>
      </c>
      <c r="I2671" s="6" t="s">
        <v>514</v>
      </c>
      <c r="J2671" s="6" t="s">
        <v>398</v>
      </c>
      <c r="K2671" s="10">
        <v>20.4</v>
      </c>
      <c r="L2671" s="10">
        <v>30</v>
      </c>
      <c r="M2671" s="6" t="s">
        <v>421</v>
      </c>
      <c r="N2671" s="6">
        <f>IF(OR($G2671="FCC",$G2671="Hydrocracker",$G2671="Reformer"),IF(COUNTIFS($D:$D,$D2671,$A:$A,$A2671,$B:$B,$B2671,$G:$G,"CDU",$J:$J,"PLANNED")&gt;0,"tied","standalone"),"")</f>
        <v/>
      </c>
    </row>
    <row r="2672" spans="1:14">
      <c r="A2672" s="6">
        <v>2024</v>
      </c>
      <c r="B2672" s="6">
        <v>1</v>
      </c>
      <c r="C2672" s="6" t="s">
        <v>60</v>
      </c>
      <c r="D2672" s="6" t="s">
        <v>822</v>
      </c>
      <c r="E2672" s="6" t="s">
        <v>455</v>
      </c>
      <c r="F2672" s="6" t="str">
        <f>IF($M2672="PADD I","PADD 1",IF($M2672="PADD II","PADD 2",IF($M2672="PADD III","PADD 3",IF($M2672="PADD IV","PADD 4",IF($M2672="PADD V","PADD 5","")))))</f>
        <v>PADD 3</v>
      </c>
      <c r="G2672" s="6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6" t="s">
        <v>428</v>
      </c>
      <c r="I2672" s="6" t="s">
        <v>481</v>
      </c>
      <c r="J2672" s="6" t="s">
        <v>394</v>
      </c>
      <c r="K2672" s="10">
        <v>20.4</v>
      </c>
      <c r="L2672" s="10">
        <v>30</v>
      </c>
      <c r="M2672" s="6" t="s">
        <v>421</v>
      </c>
      <c r="N2672" s="6">
        <f>IF(OR($G2672="FCC",$G2672="Hydrocracker",$G2672="Reformer"),IF(COUNTIFS($D:$D,$D2672,$A:$A,$A2672,$B:$B,$B2672,$G:$G,"CDU",$J:$J,"PLANNED")&gt;0,"tied","standalone"),"")</f>
        <v/>
      </c>
    </row>
    <row r="2673" spans="1:14">
      <c r="A2673" s="6">
        <v>2024</v>
      </c>
      <c r="B2673" s="6">
        <v>1</v>
      </c>
      <c r="C2673" s="6" t="s">
        <v>60</v>
      </c>
      <c r="D2673" s="6" t="s">
        <v>384</v>
      </c>
      <c r="E2673" s="6" t="s">
        <v>419</v>
      </c>
      <c r="F2673" s="6" t="str">
        <f>IF($M2673="PADD I","PADD 1",IF($M2673="PADD II","PADD 2",IF($M2673="PADD III","PADD 3",IF($M2673="PADD IV","PADD 4",IF($M2673="PADD V","PADD 5","")))))</f>
        <v>PADD 3</v>
      </c>
      <c r="G2673" s="6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6" t="s">
        <v>426</v>
      </c>
      <c r="I2673" s="6" t="s">
        <v>522</v>
      </c>
      <c r="J2673" s="6" t="s">
        <v>394</v>
      </c>
      <c r="K2673" s="10">
        <v>20.4</v>
      </c>
      <c r="L2673" s="10">
        <v>30</v>
      </c>
      <c r="M2673" s="6" t="s">
        <v>421</v>
      </c>
      <c r="N2673" s="6" t="str">
        <f>IF(OR($G2673="FCC",$G2673="Hydrocracker",$G2673="Reformer"),IF(COUNTIFS($D:$D,$D2673,$A:$A,$A2673,$B:$B,$B2673,$G:$G,"CDU",$J:$J,"PLANNED")&gt;0,"tied","standalone"),"")</f>
        <v>standalone</v>
      </c>
    </row>
    <row r="2674" spans="1:14">
      <c r="A2674" s="6">
        <v>2024</v>
      </c>
      <c r="B2674" s="6">
        <v>1</v>
      </c>
      <c r="C2674" s="6" t="s">
        <v>60</v>
      </c>
      <c r="D2674" s="6" t="s">
        <v>43</v>
      </c>
      <c r="E2674" s="6" t="s">
        <v>455</v>
      </c>
      <c r="F2674" s="6" t="str">
        <f>IF($M2674="PADD I","PADD 1",IF($M2674="PADD II","PADD 2",IF($M2674="PADD III","PADD 3",IF($M2674="PADD IV","PADD 4",IF($M2674="PADD V","PADD 5","")))))</f>
        <v>PADD 3</v>
      </c>
      <c r="G2674" s="6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6" t="s">
        <v>426</v>
      </c>
      <c r="I2674" s="6" t="s">
        <v>106</v>
      </c>
      <c r="J2674" s="6" t="s">
        <v>398</v>
      </c>
      <c r="K2674" s="10">
        <v>20.24</v>
      </c>
      <c r="L2674" s="10">
        <v>88</v>
      </c>
      <c r="M2674" s="6" t="s">
        <v>421</v>
      </c>
      <c r="N2674" s="6" t="str">
        <f>IF(OR($G2674="FCC",$G2674="Hydrocracker",$G2674="Reformer"),IF(COUNTIFS($D:$D,$D2674,$A:$A,$A2674,$B:$B,$B2674,$G:$G,"CDU",$J:$J,"PLANNED")&gt;0,"tied","standalone"),"")</f>
        <v>standalone</v>
      </c>
    </row>
    <row r="2675" spans="1:14">
      <c r="A2675" s="6">
        <v>2024</v>
      </c>
      <c r="B2675" s="6">
        <v>1</v>
      </c>
      <c r="C2675" s="6" t="s">
        <v>60</v>
      </c>
      <c r="D2675" s="6" t="s">
        <v>448</v>
      </c>
      <c r="E2675" s="6" t="s">
        <v>449</v>
      </c>
      <c r="F2675" s="6" t="str">
        <f>IF($M2675="PADD I","PADD 1",IF($M2675="PADD II","PADD 2",IF($M2675="PADD III","PADD 3",IF($M2675="PADD IV","PADD 4",IF($M2675="PADD V","PADD 5","")))))</f>
        <v>PADD 3</v>
      </c>
      <c r="G2675" s="6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6" t="s">
        <v>485</v>
      </c>
      <c r="I2675" s="6" t="s">
        <v>578</v>
      </c>
      <c r="J2675" s="6" t="s">
        <v>394</v>
      </c>
      <c r="K2675" s="10">
        <v>19.95</v>
      </c>
      <c r="L2675" s="10">
        <v>57</v>
      </c>
      <c r="M2675" s="6" t="s">
        <v>421</v>
      </c>
      <c r="N2675" s="6">
        <f>IF(OR($G2675="FCC",$G2675="Hydrocracker",$G2675="Reformer"),IF(COUNTIFS($D:$D,$D2675,$A:$A,$A2675,$B:$B,$B2675,$G:$G,"CDU",$J:$J,"PLANNED")&gt;0,"tied","standalone"),"")</f>
        <v/>
      </c>
    </row>
    <row r="2676" spans="1:14">
      <c r="A2676" s="6">
        <v>2024</v>
      </c>
      <c r="B2676" s="6">
        <v>1</v>
      </c>
      <c r="C2676" s="6" t="s">
        <v>60</v>
      </c>
      <c r="D2676" s="6" t="s">
        <v>507</v>
      </c>
      <c r="E2676" s="6" t="s">
        <v>438</v>
      </c>
      <c r="F2676" s="6" t="str">
        <f>IF($M2676="PADD I","PADD 1",IF($M2676="PADD II","PADD 2",IF($M2676="PADD III","PADD 3",IF($M2676="PADD IV","PADD 4",IF($M2676="PADD V","PADD 5","")))))</f>
        <v>PADD 5</v>
      </c>
      <c r="G2676" s="6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6" t="s">
        <v>39</v>
      </c>
      <c r="I2676" s="6" t="s">
        <v>136</v>
      </c>
      <c r="J2676" s="6" t="s">
        <v>398</v>
      </c>
      <c r="K2676" s="10">
        <v>19.5</v>
      </c>
      <c r="L2676" s="10">
        <v>30</v>
      </c>
      <c r="M2676" s="6" t="s">
        <v>436</v>
      </c>
      <c r="N2676" s="6">
        <f>IF(OR($G2676="FCC",$G2676="Hydrocracker",$G2676="Reformer"),IF(COUNTIFS($D:$D,$D2676,$A:$A,$A2676,$B:$B,$B2676,$G:$G,"CDU",$J:$J,"PLANNED")&gt;0,"tied","standalone"),"")</f>
        <v/>
      </c>
    </row>
    <row r="2677" spans="1:14">
      <c r="A2677" s="6">
        <v>2024</v>
      </c>
      <c r="B2677" s="6">
        <v>1</v>
      </c>
      <c r="C2677" s="6" t="s">
        <v>60</v>
      </c>
      <c r="D2677" s="6" t="s">
        <v>507</v>
      </c>
      <c r="E2677" s="6" t="s">
        <v>438</v>
      </c>
      <c r="F2677" s="6" t="str">
        <f>IF($M2677="PADD I","PADD 1",IF($M2677="PADD II","PADD 2",IF($M2677="PADD III","PADD 3",IF($M2677="PADD IV","PADD 4",IF($M2677="PADD V","PADD 5","")))))</f>
        <v>PADD 5</v>
      </c>
      <c r="G2677" s="6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6" t="s">
        <v>428</v>
      </c>
      <c r="I2677" s="6" t="s">
        <v>651</v>
      </c>
      <c r="J2677" s="6" t="s">
        <v>398</v>
      </c>
      <c r="K2677" s="10">
        <v>18.91</v>
      </c>
      <c r="L2677" s="10">
        <v>31</v>
      </c>
      <c r="M2677" s="6" t="s">
        <v>436</v>
      </c>
      <c r="N2677" s="6">
        <f>IF(OR($G2677="FCC",$G2677="Hydrocracker",$G2677="Reformer"),IF(COUNTIFS($D:$D,$D2677,$A:$A,$A2677,$B:$B,$B2677,$G:$G,"CDU",$J:$J,"PLANNED")&gt;0,"tied","standalone"),"")</f>
        <v/>
      </c>
    </row>
    <row r="2678" spans="1:14">
      <c r="A2678" s="6">
        <v>2024</v>
      </c>
      <c r="B2678" s="6">
        <v>1</v>
      </c>
      <c r="C2678" s="6" t="s">
        <v>60</v>
      </c>
      <c r="D2678" s="6" t="s">
        <v>373</v>
      </c>
      <c r="E2678" s="6" t="s">
        <v>438</v>
      </c>
      <c r="F2678" s="6" t="str">
        <f>IF($M2678="PADD I","PADD 1",IF($M2678="PADD II","PADD 2",IF($M2678="PADD III","PADD 3",IF($M2678="PADD IV","PADD 4",IF($M2678="PADD V","PADD 5","")))))</f>
        <v>PADD 3</v>
      </c>
      <c r="G2678" s="6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6" t="s">
        <v>485</v>
      </c>
      <c r="I2678" s="6" t="s">
        <v>1006</v>
      </c>
      <c r="J2678" s="6" t="s">
        <v>398</v>
      </c>
      <c r="K2678" s="10">
        <v>18.48</v>
      </c>
      <c r="L2678" s="10">
        <v>44</v>
      </c>
      <c r="M2678" s="6" t="s">
        <v>421</v>
      </c>
      <c r="N2678" s="6">
        <f>IF(OR($G2678="FCC",$G2678="Hydrocracker",$G2678="Reformer"),IF(COUNTIFS($D:$D,$D2678,$A:$A,$A2678,$B:$B,$B2678,$G:$G,"CDU",$J:$J,"PLANNED")&gt;0,"tied","standalone"),"")</f>
        <v/>
      </c>
    </row>
    <row r="2679" spans="1:14">
      <c r="A2679" s="6">
        <v>2024</v>
      </c>
      <c r="B2679" s="6">
        <v>1</v>
      </c>
      <c r="C2679" s="6" t="s">
        <v>60</v>
      </c>
      <c r="D2679" s="6" t="s">
        <v>465</v>
      </c>
      <c r="E2679" s="6" t="s">
        <v>466</v>
      </c>
      <c r="F2679" s="6" t="str">
        <f>IF($M2679="PADD I","PADD 1",IF($M2679="PADD II","PADD 2",IF($M2679="PADD III","PADD 3",IF($M2679="PADD IV","PADD 4",IF($M2679="PADD V","PADD 5","")))))</f>
        <v>PADD 3</v>
      </c>
      <c r="G2679" s="6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6" t="s">
        <v>494</v>
      </c>
      <c r="I2679" s="6" t="s">
        <v>990</v>
      </c>
      <c r="J2679" s="6" t="s">
        <v>394</v>
      </c>
      <c r="K2679" s="10">
        <v>18.24</v>
      </c>
      <c r="L2679" s="10">
        <v>38</v>
      </c>
      <c r="M2679" s="6" t="s">
        <v>421</v>
      </c>
      <c r="N2679" s="6" t="str">
        <f>IF(OR($G2679="FCC",$G2679="Hydrocracker",$G2679="Reformer"),IF(COUNTIFS($D:$D,$D2679,$A:$A,$A2679,$B:$B,$B2679,$G:$G,"CDU",$J:$J,"PLANNED")&gt;0,"tied","standalone"),"")</f>
        <v>tied</v>
      </c>
    </row>
    <row r="2680" spans="1:14">
      <c r="A2680" s="6">
        <v>2024</v>
      </c>
      <c r="B2680" s="6">
        <v>1</v>
      </c>
      <c r="C2680" s="6" t="s">
        <v>60</v>
      </c>
      <c r="D2680" s="6" t="s">
        <v>448</v>
      </c>
      <c r="E2680" s="6" t="s">
        <v>449</v>
      </c>
      <c r="F2680" s="6" t="str">
        <f>IF($M2680="PADD I","PADD 1",IF($M2680="PADD II","PADD 2",IF($M2680="PADD III","PADD 3",IF($M2680="PADD IV","PADD 4",IF($M2680="PADD V","PADD 5","")))))</f>
        <v>PADD 3</v>
      </c>
      <c r="G2680" s="6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6" t="s">
        <v>485</v>
      </c>
      <c r="I2680" s="6" t="s">
        <v>578</v>
      </c>
      <c r="J2680" s="6" t="s">
        <v>398</v>
      </c>
      <c r="K2680" s="10">
        <v>18.24</v>
      </c>
      <c r="L2680" s="10">
        <v>57</v>
      </c>
      <c r="M2680" s="6" t="s">
        <v>421</v>
      </c>
      <c r="N2680" s="6">
        <f>IF(OR($G2680="FCC",$G2680="Hydrocracker",$G2680="Reformer"),IF(COUNTIFS($D:$D,$D2680,$A:$A,$A2680,$B:$B,$B2680,$G:$G,"CDU",$J:$J,"PLANNED")&gt;0,"tied","standalone"),"")</f>
        <v/>
      </c>
    </row>
    <row r="2681" spans="1:14">
      <c r="A2681" s="6">
        <v>2024</v>
      </c>
      <c r="B2681" s="6">
        <v>1</v>
      </c>
      <c r="C2681" s="6" t="s">
        <v>60</v>
      </c>
      <c r="D2681" s="6" t="s">
        <v>458</v>
      </c>
      <c r="E2681" s="6" t="s">
        <v>459</v>
      </c>
      <c r="F2681" s="6" t="str">
        <f>IF($M2681="PADD I","PADD 1",IF($M2681="PADD II","PADD 2",IF($M2681="PADD III","PADD 3",IF($M2681="PADD IV","PADD 4",IF($M2681="PADD V","PADD 5","")))))</f>
        <v>PADD 3</v>
      </c>
      <c r="G2681" s="6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6" t="s">
        <v>471</v>
      </c>
      <c r="I2681" s="6" t="s">
        <v>583</v>
      </c>
      <c r="J2681" s="6" t="s">
        <v>394</v>
      </c>
      <c r="K2681" s="10">
        <v>18.2</v>
      </c>
      <c r="L2681" s="10">
        <v>35</v>
      </c>
      <c r="M2681" s="6" t="s">
        <v>421</v>
      </c>
      <c r="N2681" s="6" t="str">
        <f>IF(OR($G2681="FCC",$G2681="Hydrocracker",$G2681="Reformer"),IF(COUNTIFS($D:$D,$D2681,$A:$A,$A2681,$B:$B,$B2681,$G:$G,"CDU",$J:$J,"PLANNED")&gt;0,"tied","standalone"),"")</f>
        <v>standalone</v>
      </c>
    </row>
    <row r="2682" spans="1:14">
      <c r="A2682" s="6">
        <v>2024</v>
      </c>
      <c r="B2682" s="6">
        <v>1</v>
      </c>
      <c r="C2682" s="6" t="s">
        <v>60</v>
      </c>
      <c r="D2682" s="6" t="s">
        <v>373</v>
      </c>
      <c r="E2682" s="6" t="s">
        <v>438</v>
      </c>
      <c r="F2682" s="6" t="str">
        <f>IF($M2682="PADD I","PADD 1",IF($M2682="PADD II","PADD 2",IF($M2682="PADD III","PADD 3",IF($M2682="PADD IV","PADD 4",IF($M2682="PADD V","PADD 5","")))))</f>
        <v>PADD 3</v>
      </c>
      <c r="G2682" s="6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6" t="s">
        <v>428</v>
      </c>
      <c r="I2682" s="6" t="s">
        <v>1142</v>
      </c>
      <c r="J2682" s="6" t="s">
        <v>398</v>
      </c>
      <c r="K2682" s="10">
        <v>18.15</v>
      </c>
      <c r="L2682" s="10">
        <v>33</v>
      </c>
      <c r="M2682" s="6" t="s">
        <v>421</v>
      </c>
      <c r="N2682" s="6">
        <f>IF(OR($G2682="FCC",$G2682="Hydrocracker",$G2682="Reformer"),IF(COUNTIFS($D:$D,$D2682,$A:$A,$A2682,$B:$B,$B2682,$G:$G,"CDU",$J:$J,"PLANNED")&gt;0,"tied","standalone"),"")</f>
        <v/>
      </c>
    </row>
    <row r="2683" spans="1:14">
      <c r="A2683" s="6">
        <v>2024</v>
      </c>
      <c r="B2683" s="6">
        <v>1</v>
      </c>
      <c r="C2683" s="6" t="s">
        <v>60</v>
      </c>
      <c r="D2683" s="6" t="s">
        <v>487</v>
      </c>
      <c r="E2683" s="6" t="s">
        <v>488</v>
      </c>
      <c r="F2683" s="6" t="str">
        <f>IF($M2683="PADD I","PADD 1",IF($M2683="PADD II","PADD 2",IF($M2683="PADD III","PADD 3",IF($M2683="PADD IV","PADD 4",IF($M2683="PADD V","PADD 5","")))))</f>
        <v>PADD 4</v>
      </c>
      <c r="G2683" s="6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6" t="s">
        <v>39</v>
      </c>
      <c r="I2683" s="6" t="s">
        <v>489</v>
      </c>
      <c r="J2683" s="6" t="s">
        <v>394</v>
      </c>
      <c r="K2683" s="10">
        <v>17.524</v>
      </c>
      <c r="L2683" s="10">
        <v>33.7</v>
      </c>
      <c r="M2683" s="6" t="s">
        <v>480</v>
      </c>
      <c r="N2683" s="6">
        <f>IF(OR($G2683="FCC",$G2683="Hydrocracker",$G2683="Reformer"),IF(COUNTIFS($D:$D,$D2683,$A:$A,$A2683,$B:$B,$B2683,$G:$G,"CDU",$J:$J,"PLANNED")&gt;0,"tied","standalone"),"")</f>
        <v/>
      </c>
    </row>
    <row r="2684" spans="1:14">
      <c r="A2684" s="6">
        <v>2024</v>
      </c>
      <c r="B2684" s="6">
        <v>1</v>
      </c>
      <c r="C2684" s="6" t="s">
        <v>60</v>
      </c>
      <c r="D2684" s="6" t="s">
        <v>780</v>
      </c>
      <c r="E2684" s="6" t="s">
        <v>781</v>
      </c>
      <c r="F2684" s="6" t="str">
        <f>IF($M2684="PADD I","PADD 1",IF($M2684="PADD II","PADD 2",IF($M2684="PADD III","PADD 3",IF($M2684="PADD IV","PADD 4",IF($M2684="PADD V","PADD 5","")))))</f>
        <v>PADD 3</v>
      </c>
      <c r="G2684" s="6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6" t="s">
        <v>44</v>
      </c>
      <c r="I2684" s="6" t="s">
        <v>508</v>
      </c>
      <c r="J2684" s="6" t="s">
        <v>394</v>
      </c>
      <c r="K2684" s="10">
        <v>17.4</v>
      </c>
      <c r="L2684" s="10">
        <v>20</v>
      </c>
      <c r="M2684" s="6" t="s">
        <v>421</v>
      </c>
      <c r="N2684" s="6">
        <f>IF(OR($G2684="FCC",$G2684="Hydrocracker",$G2684="Reformer"),IF(COUNTIFS($D:$D,$D2684,$A:$A,$A2684,$B:$B,$B2684,$G:$G,"CDU",$J:$J,"PLANNED")&gt;0,"tied","standalone"),"")</f>
        <v/>
      </c>
    </row>
    <row r="2685" spans="1:14">
      <c r="A2685" s="6">
        <v>2024</v>
      </c>
      <c r="B2685" s="6">
        <v>1</v>
      </c>
      <c r="C2685" s="6" t="s">
        <v>60</v>
      </c>
      <c r="D2685" s="6" t="s">
        <v>458</v>
      </c>
      <c r="E2685" s="6" t="s">
        <v>459</v>
      </c>
      <c r="F2685" s="6" t="str">
        <f>IF($M2685="PADD I","PADD 1",IF($M2685="PADD II","PADD 2",IF($M2685="PADD III","PADD 3",IF($M2685="PADD IV","PADD 4",IF($M2685="PADD V","PADD 5","")))))</f>
        <v>PADD 3</v>
      </c>
      <c r="G2685" s="6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6" t="s">
        <v>44</v>
      </c>
      <c r="I2685" s="6" t="s">
        <v>547</v>
      </c>
      <c r="J2685" s="6" t="s">
        <v>394</v>
      </c>
      <c r="K2685" s="10">
        <v>17.05</v>
      </c>
      <c r="L2685" s="10">
        <v>31</v>
      </c>
      <c r="M2685" s="6" t="s">
        <v>421</v>
      </c>
      <c r="N2685" s="6">
        <f>IF(OR($G2685="FCC",$G2685="Hydrocracker",$G2685="Reformer"),IF(COUNTIFS($D:$D,$D2685,$A:$A,$A2685,$B:$B,$B2685,$G:$G,"CDU",$J:$J,"PLANNED")&gt;0,"tied","standalone"),"")</f>
        <v/>
      </c>
    </row>
    <row r="2686" spans="1:14">
      <c r="A2686" s="6">
        <v>2024</v>
      </c>
      <c r="B2686" s="6">
        <v>1</v>
      </c>
      <c r="C2686" s="6" t="s">
        <v>60</v>
      </c>
      <c r="D2686" s="6" t="s">
        <v>373</v>
      </c>
      <c r="E2686" s="6" t="s">
        <v>438</v>
      </c>
      <c r="F2686" s="6" t="str">
        <f>IF($M2686="PADD I","PADD 1",IF($M2686="PADD II","PADD 2",IF($M2686="PADD III","PADD 3",IF($M2686="PADD IV","PADD 4",IF($M2686="PADD V","PADD 5","")))))</f>
        <v>PADD 3</v>
      </c>
      <c r="G2686" s="6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6" t="s">
        <v>471</v>
      </c>
      <c r="I2686" s="6" t="s">
        <v>692</v>
      </c>
      <c r="J2686" s="6" t="s">
        <v>398</v>
      </c>
      <c r="K2686" s="10">
        <v>16.9</v>
      </c>
      <c r="L2686" s="10">
        <v>65</v>
      </c>
      <c r="M2686" s="6" t="s">
        <v>421</v>
      </c>
      <c r="N2686" s="6" t="str">
        <f>IF(OR($G2686="FCC",$G2686="Hydrocracker",$G2686="Reformer"),IF(COUNTIFS($D:$D,$D2686,$A:$A,$A2686,$B:$B,$B2686,$G:$G,"CDU",$J:$J,"PLANNED")&gt;0,"tied","standalone"),"")</f>
        <v>standalone</v>
      </c>
    </row>
    <row r="2687" spans="1:14">
      <c r="A2687" s="6">
        <v>2024</v>
      </c>
      <c r="B2687" s="6">
        <v>1</v>
      </c>
      <c r="C2687" s="6" t="s">
        <v>60</v>
      </c>
      <c r="D2687" s="6" t="s">
        <v>568</v>
      </c>
      <c r="E2687" s="6" t="s">
        <v>419</v>
      </c>
      <c r="F2687" s="6" t="str">
        <f>IF($M2687="PADD I","PADD 1",IF($M2687="PADD II","PADD 2",IF($M2687="PADD III","PADD 3",IF($M2687="PADD IV","PADD 4",IF($M2687="PADD V","PADD 5","")))))</f>
        <v>PADD 5</v>
      </c>
      <c r="G2687" s="6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6" t="s">
        <v>44</v>
      </c>
      <c r="I2687" s="6" t="s">
        <v>629</v>
      </c>
      <c r="J2687" s="6" t="s">
        <v>394</v>
      </c>
      <c r="K2687" s="10">
        <v>16.74</v>
      </c>
      <c r="L2687" s="10">
        <v>16.74</v>
      </c>
      <c r="M2687" s="6" t="s">
        <v>436</v>
      </c>
      <c r="N2687" s="6">
        <f>IF(OR($G2687="FCC",$G2687="Hydrocracker",$G2687="Reformer"),IF(COUNTIFS($D:$D,$D2687,$A:$A,$A2687,$B:$B,$B2687,$G:$G,"CDU",$J:$J,"PLANNED")&gt;0,"tied","standalone"),"")</f>
        <v/>
      </c>
    </row>
    <row r="2688" spans="1:14">
      <c r="A2688" s="6">
        <v>2024</v>
      </c>
      <c r="B2688" s="6">
        <v>1</v>
      </c>
      <c r="C2688" s="6" t="s">
        <v>60</v>
      </c>
      <c r="D2688" s="6" t="s">
        <v>512</v>
      </c>
      <c r="E2688" s="6" t="s">
        <v>488</v>
      </c>
      <c r="F2688" s="6" t="str">
        <f>IF($M2688="PADD I","PADD 1",IF($M2688="PADD II","PADD 2",IF($M2688="PADD III","PADD 3",IF($M2688="PADD IV","PADD 4",IF($M2688="PADD V","PADD 5","")))))</f>
        <v>PADD 4</v>
      </c>
      <c r="G2688" s="6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6" t="s">
        <v>39</v>
      </c>
      <c r="I2688" s="6" t="s">
        <v>124</v>
      </c>
      <c r="J2688" s="6" t="s">
        <v>394</v>
      </c>
      <c r="K2688" s="10">
        <v>16.64</v>
      </c>
      <c r="L2688" s="10">
        <v>32</v>
      </c>
      <c r="M2688" s="6" t="s">
        <v>480</v>
      </c>
      <c r="N2688" s="6">
        <f>IF(OR($G2688="FCC",$G2688="Hydrocracker",$G2688="Reformer"),IF(COUNTIFS($D:$D,$D2688,$A:$A,$A2688,$B:$B,$B2688,$G:$G,"CDU",$J:$J,"PLANNED")&gt;0,"tied","standalone"),"")</f>
        <v/>
      </c>
    </row>
    <row r="2689" spans="1:14">
      <c r="A2689" s="6">
        <v>2024</v>
      </c>
      <c r="B2689" s="6">
        <v>1</v>
      </c>
      <c r="C2689" s="6" t="s">
        <v>60</v>
      </c>
      <c r="D2689" s="6" t="s">
        <v>458</v>
      </c>
      <c r="E2689" s="6" t="s">
        <v>459</v>
      </c>
      <c r="F2689" s="6" t="str">
        <f>IF($M2689="PADD I","PADD 1",IF($M2689="PADD II","PADD 2",IF($M2689="PADD III","PADD 3",IF($M2689="PADD IV","PADD 4",IF($M2689="PADD V","PADD 5","")))))</f>
        <v>PADD 3</v>
      </c>
      <c r="G2689" s="6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6" t="s">
        <v>44</v>
      </c>
      <c r="I2689" s="6" t="s">
        <v>552</v>
      </c>
      <c r="J2689" s="6" t="s">
        <v>394</v>
      </c>
      <c r="K2689" s="10">
        <v>16.5</v>
      </c>
      <c r="L2689" s="10">
        <v>30</v>
      </c>
      <c r="M2689" s="6" t="s">
        <v>421</v>
      </c>
      <c r="N2689" s="6">
        <f>IF(OR($G2689="FCC",$G2689="Hydrocracker",$G2689="Reformer"),IF(COUNTIFS($D:$D,$D2689,$A:$A,$A2689,$B:$B,$B2689,$G:$G,"CDU",$J:$J,"PLANNED")&gt;0,"tied","standalone"),"")</f>
        <v/>
      </c>
    </row>
    <row r="2690" spans="1:14">
      <c r="A2690" s="6">
        <v>2024</v>
      </c>
      <c r="B2690" s="6">
        <v>1</v>
      </c>
      <c r="C2690" s="6" t="s">
        <v>60</v>
      </c>
      <c r="D2690" s="6" t="s">
        <v>458</v>
      </c>
      <c r="E2690" s="6" t="s">
        <v>459</v>
      </c>
      <c r="F2690" s="6" t="str">
        <f>IF($M2690="PADD I","PADD 1",IF($M2690="PADD II","PADD 2",IF($M2690="PADD III","PADD 3",IF($M2690="PADD IV","PADD 4",IF($M2690="PADD V","PADD 5","")))))</f>
        <v>PADD 3</v>
      </c>
      <c r="G2690" s="6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6" t="s">
        <v>44</v>
      </c>
      <c r="I2690" s="6" t="s">
        <v>553</v>
      </c>
      <c r="J2690" s="6" t="s">
        <v>394</v>
      </c>
      <c r="K2690" s="10">
        <v>16.5</v>
      </c>
      <c r="L2690" s="10">
        <v>30</v>
      </c>
      <c r="M2690" s="6" t="s">
        <v>421</v>
      </c>
      <c r="N2690" s="6">
        <f>IF(OR($G2690="FCC",$G2690="Hydrocracker",$G2690="Reformer"),IF(COUNTIFS($D:$D,$D2690,$A:$A,$A2690,$B:$B,$B2690,$G:$G,"CDU",$J:$J,"PLANNED")&gt;0,"tied","standalone"),"")</f>
        <v/>
      </c>
    </row>
    <row r="2691" spans="1:14">
      <c r="A2691" s="6">
        <v>2024</v>
      </c>
      <c r="B2691" s="6">
        <v>1</v>
      </c>
      <c r="C2691" s="6" t="s">
        <v>60</v>
      </c>
      <c r="D2691" s="6" t="s">
        <v>507</v>
      </c>
      <c r="E2691" s="6" t="s">
        <v>438</v>
      </c>
      <c r="F2691" s="6" t="str">
        <f>IF($M2691="PADD I","PADD 1",IF($M2691="PADD II","PADD 2",IF($M2691="PADD III","PADD 3",IF($M2691="PADD IV","PADD 4",IF($M2691="PADD V","PADD 5","")))))</f>
        <v>PADD 5</v>
      </c>
      <c r="G2691" s="6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6" t="s">
        <v>44</v>
      </c>
      <c r="I2691" s="6" t="s">
        <v>1143</v>
      </c>
      <c r="J2691" s="6" t="s">
        <v>398</v>
      </c>
      <c r="K2691" s="10">
        <v>16.25</v>
      </c>
      <c r="L2691" s="10">
        <v>25</v>
      </c>
      <c r="M2691" s="6" t="s">
        <v>436</v>
      </c>
      <c r="N2691" s="6">
        <f>IF(OR($G2691="FCC",$G2691="Hydrocracker",$G2691="Reformer"),IF(COUNTIFS($D:$D,$D2691,$A:$A,$A2691,$B:$B,$B2691,$G:$G,"CDU",$J:$J,"PLANNED")&gt;0,"tied","standalone"),"")</f>
        <v/>
      </c>
    </row>
    <row r="2692" spans="1:14">
      <c r="A2692" s="6">
        <v>2024</v>
      </c>
      <c r="B2692" s="6">
        <v>1</v>
      </c>
      <c r="C2692" s="6" t="s">
        <v>60</v>
      </c>
      <c r="D2692" s="6" t="s">
        <v>507</v>
      </c>
      <c r="E2692" s="6" t="s">
        <v>438</v>
      </c>
      <c r="F2692" s="6" t="str">
        <f>IF($M2692="PADD I","PADD 1",IF($M2692="PADD II","PADD 2",IF($M2692="PADD III","PADD 3",IF($M2692="PADD IV","PADD 4",IF($M2692="PADD V","PADD 5","")))))</f>
        <v>PADD 5</v>
      </c>
      <c r="G2692" s="6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6" t="s">
        <v>44</v>
      </c>
      <c r="I2692" s="6" t="s">
        <v>1144</v>
      </c>
      <c r="J2692" s="6" t="s">
        <v>398</v>
      </c>
      <c r="K2692" s="10">
        <v>16.25</v>
      </c>
      <c r="L2692" s="10">
        <v>25</v>
      </c>
      <c r="M2692" s="6" t="s">
        <v>436</v>
      </c>
      <c r="N2692" s="6">
        <f>IF(OR($G2692="FCC",$G2692="Hydrocracker",$G2692="Reformer"),IF(COUNTIFS($D:$D,$D2692,$A:$A,$A2692,$B:$B,$B2692,$G:$G,"CDU",$J:$J,"PLANNED")&gt;0,"tied","standalone"),"")</f>
        <v/>
      </c>
    </row>
    <row r="2693" spans="1:14">
      <c r="A2693" s="6">
        <v>2024</v>
      </c>
      <c r="B2693" s="6">
        <v>1</v>
      </c>
      <c r="C2693" s="6" t="s">
        <v>60</v>
      </c>
      <c r="D2693" s="6" t="s">
        <v>465</v>
      </c>
      <c r="E2693" s="6" t="s">
        <v>466</v>
      </c>
      <c r="F2693" s="6" t="str">
        <f>IF($M2693="PADD I","PADD 1",IF($M2693="PADD II","PADD 2",IF($M2693="PADD III","PADD 3",IF($M2693="PADD IV","PADD 4",IF($M2693="PADD V","PADD 5","")))))</f>
        <v>PADD 3</v>
      </c>
      <c r="G2693" s="6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6" t="s">
        <v>44</v>
      </c>
      <c r="I2693" s="6" t="s">
        <v>1145</v>
      </c>
      <c r="J2693" s="6" t="s">
        <v>398</v>
      </c>
      <c r="K2693" s="10">
        <v>15.96</v>
      </c>
      <c r="L2693" s="10">
        <v>38</v>
      </c>
      <c r="M2693" s="6" t="s">
        <v>421</v>
      </c>
      <c r="N2693" s="6">
        <f>IF(OR($G2693="FCC",$G2693="Hydrocracker",$G2693="Reformer"),IF(COUNTIFS($D:$D,$D2693,$A:$A,$A2693,$B:$B,$B2693,$G:$G,"CDU",$J:$J,"PLANNED")&gt;0,"tied","standalone"),"")</f>
        <v/>
      </c>
    </row>
    <row r="2694" spans="1:14">
      <c r="A2694" s="6">
        <v>2024</v>
      </c>
      <c r="B2694" s="6">
        <v>1</v>
      </c>
      <c r="C2694" s="6" t="s">
        <v>60</v>
      </c>
      <c r="D2694" s="6" t="s">
        <v>445</v>
      </c>
      <c r="E2694" s="6" t="s">
        <v>446</v>
      </c>
      <c r="F2694" s="6" t="str">
        <f>IF($M2694="PADD I","PADD 1",IF($M2694="PADD II","PADD 2",IF($M2694="PADD III","PADD 3",IF($M2694="PADD IV","PADD 4",IF($M2694="PADD V","PADD 5","")))))</f>
        <v>PADD 3</v>
      </c>
      <c r="G2694" s="6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6" t="s">
        <v>39</v>
      </c>
      <c r="I2694" s="6" t="s">
        <v>447</v>
      </c>
      <c r="J2694" s="6" t="s">
        <v>394</v>
      </c>
      <c r="K2694" s="10">
        <v>15.66</v>
      </c>
      <c r="L2694" s="10">
        <v>54</v>
      </c>
      <c r="M2694" s="6" t="s">
        <v>421</v>
      </c>
      <c r="N2694" s="6">
        <f>IF(OR($G2694="FCC",$G2694="Hydrocracker",$G2694="Reformer"),IF(COUNTIFS($D:$D,$D2694,$A:$A,$A2694,$B:$B,$B2694,$G:$G,"CDU",$J:$J,"PLANNED")&gt;0,"tied","standalone"),"")</f>
        <v/>
      </c>
    </row>
    <row r="2695" spans="1:14">
      <c r="A2695" s="6">
        <v>2024</v>
      </c>
      <c r="B2695" s="6">
        <v>1</v>
      </c>
      <c r="C2695" s="6" t="s">
        <v>60</v>
      </c>
      <c r="D2695" s="6" t="s">
        <v>458</v>
      </c>
      <c r="E2695" s="6" t="s">
        <v>459</v>
      </c>
      <c r="F2695" s="6" t="str">
        <f>IF($M2695="PADD I","PADD 1",IF($M2695="PADD II","PADD 2",IF($M2695="PADD III","PADD 3",IF($M2695="PADD IV","PADD 4",IF($M2695="PADD V","PADD 5","")))))</f>
        <v>PADD 3</v>
      </c>
      <c r="G2695" s="6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6" t="s">
        <v>39</v>
      </c>
      <c r="I2695" s="6" t="s">
        <v>460</v>
      </c>
      <c r="J2695" s="6" t="s">
        <v>394</v>
      </c>
      <c r="K2695" s="10">
        <v>15.2</v>
      </c>
      <c r="L2695" s="10">
        <v>80</v>
      </c>
      <c r="M2695" s="6" t="s">
        <v>421</v>
      </c>
      <c r="N2695" s="6">
        <f>IF(OR($G2695="FCC",$G2695="Hydrocracker",$G2695="Reformer"),IF(COUNTIFS($D:$D,$D2695,$A:$A,$A2695,$B:$B,$B2695,$G:$G,"CDU",$J:$J,"PLANNED")&gt;0,"tied","standalone"),"")</f>
        <v/>
      </c>
    </row>
    <row r="2696" spans="1:14">
      <c r="A2696" s="6">
        <v>2024</v>
      </c>
      <c r="B2696" s="6">
        <v>1</v>
      </c>
      <c r="C2696" s="6" t="s">
        <v>60</v>
      </c>
      <c r="D2696" s="6" t="s">
        <v>822</v>
      </c>
      <c r="E2696" s="6" t="s">
        <v>455</v>
      </c>
      <c r="F2696" s="6" t="str">
        <f>IF($M2696="PADD I","PADD 1",IF($M2696="PADD II","PADD 2",IF($M2696="PADD III","PADD 3",IF($M2696="PADD IV","PADD 4",IF($M2696="PADD V","PADD 5","")))))</f>
        <v>PADD 3</v>
      </c>
      <c r="G2696" s="6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6" t="s">
        <v>494</v>
      </c>
      <c r="I2696" s="6" t="s">
        <v>911</v>
      </c>
      <c r="J2696" s="6" t="s">
        <v>394</v>
      </c>
      <c r="K2696" s="10">
        <v>15.12</v>
      </c>
      <c r="L2696" s="10">
        <v>36</v>
      </c>
      <c r="M2696" s="6" t="s">
        <v>421</v>
      </c>
      <c r="N2696" s="6" t="str">
        <f>IF(OR($G2696="FCC",$G2696="Hydrocracker",$G2696="Reformer"),IF(COUNTIFS($D:$D,$D2696,$A:$A,$A2696,$B:$B,$B2696,$G:$G,"CDU",$J:$J,"PLANNED")&gt;0,"tied","standalone"),"")</f>
        <v>standalone</v>
      </c>
    </row>
    <row r="2697" spans="1:14">
      <c r="A2697" s="6">
        <v>2024</v>
      </c>
      <c r="B2697" s="6">
        <v>1</v>
      </c>
      <c r="C2697" s="6" t="s">
        <v>60</v>
      </c>
      <c r="D2697" s="6" t="s">
        <v>1003</v>
      </c>
      <c r="E2697" s="6" t="s">
        <v>783</v>
      </c>
      <c r="F2697" s="6" t="str">
        <f>IF($M2697="PADD I","PADD 1",IF($M2697="PADD II","PADD 2",IF($M2697="PADD III","PADD 3",IF($M2697="PADD IV","PADD 4",IF($M2697="PADD V","PADD 5","")))))</f>
        <v>PADD 2</v>
      </c>
      <c r="G2697" s="6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6" t="s">
        <v>471</v>
      </c>
      <c r="I2697" s="6" t="s">
        <v>832</v>
      </c>
      <c r="J2697" s="6" t="s">
        <v>394</v>
      </c>
      <c r="K2697" s="10">
        <v>14.4</v>
      </c>
      <c r="L2697" s="10">
        <v>32</v>
      </c>
      <c r="M2697" s="6" t="s">
        <v>425</v>
      </c>
      <c r="N2697" s="6" t="str">
        <f>IF(OR($G2697="FCC",$G2697="Hydrocracker",$G2697="Reformer"),IF(COUNTIFS($D:$D,$D2697,$A:$A,$A2697,$B:$B,$B2697,$G:$G,"CDU",$J:$J,"PLANNED")&gt;0,"tied","standalone"),"")</f>
        <v>standalone</v>
      </c>
    </row>
    <row r="2698" spans="1:14">
      <c r="A2698" s="6">
        <v>2024</v>
      </c>
      <c r="B2698" s="6">
        <v>1</v>
      </c>
      <c r="C2698" s="6" t="s">
        <v>60</v>
      </c>
      <c r="D2698" s="6" t="s">
        <v>780</v>
      </c>
      <c r="E2698" s="6" t="s">
        <v>781</v>
      </c>
      <c r="F2698" s="6" t="str">
        <f>IF($M2698="PADD I","PADD 1",IF($M2698="PADD II","PADD 2",IF($M2698="PADD III","PADD 3",IF($M2698="PADD IV","PADD 4",IF($M2698="PADD V","PADD 5","")))))</f>
        <v>PADD 3</v>
      </c>
      <c r="G2698" s="6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6" t="s">
        <v>428</v>
      </c>
      <c r="I2698" s="6" t="s">
        <v>481</v>
      </c>
      <c r="J2698" s="6" t="s">
        <v>394</v>
      </c>
      <c r="K2698" s="10">
        <v>14.08</v>
      </c>
      <c r="L2698" s="10">
        <v>25.6</v>
      </c>
      <c r="M2698" s="6" t="s">
        <v>421</v>
      </c>
      <c r="N2698" s="6">
        <f>IF(OR($G2698="FCC",$G2698="Hydrocracker",$G2698="Reformer"),IF(COUNTIFS($D:$D,$D2698,$A:$A,$A2698,$B:$B,$B2698,$G:$G,"CDU",$J:$J,"PLANNED")&gt;0,"tied","standalone"),"")</f>
        <v/>
      </c>
    </row>
    <row r="2699" spans="1:14">
      <c r="A2699" s="6">
        <v>2024</v>
      </c>
      <c r="B2699" s="6">
        <v>1</v>
      </c>
      <c r="C2699" s="6" t="s">
        <v>60</v>
      </c>
      <c r="D2699" s="6" t="s">
        <v>458</v>
      </c>
      <c r="E2699" s="6" t="s">
        <v>459</v>
      </c>
      <c r="F2699" s="6" t="str">
        <f>IF($M2699="PADD I","PADD 1",IF($M2699="PADD II","PADD 2",IF($M2699="PADD III","PADD 3",IF($M2699="PADD IV","PADD 4",IF($M2699="PADD V","PADD 5","")))))</f>
        <v>PADD 3</v>
      </c>
      <c r="G2699" s="6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6" t="s">
        <v>44</v>
      </c>
      <c r="I2699" s="6" t="s">
        <v>567</v>
      </c>
      <c r="J2699" s="6" t="s">
        <v>394</v>
      </c>
      <c r="K2699" s="10">
        <v>13.2</v>
      </c>
      <c r="L2699" s="10">
        <v>24</v>
      </c>
      <c r="M2699" s="6" t="s">
        <v>421</v>
      </c>
      <c r="N2699" s="6">
        <f>IF(OR($G2699="FCC",$G2699="Hydrocracker",$G2699="Reformer"),IF(COUNTIFS($D:$D,$D2699,$A:$A,$A2699,$B:$B,$B2699,$G:$G,"CDU",$J:$J,"PLANNED")&gt;0,"tied","standalone"),"")</f>
        <v/>
      </c>
    </row>
    <row r="2700" spans="1:14">
      <c r="A2700" s="6">
        <v>2024</v>
      </c>
      <c r="B2700" s="6">
        <v>1</v>
      </c>
      <c r="C2700" s="6" t="s">
        <v>60</v>
      </c>
      <c r="D2700" s="6" t="s">
        <v>689</v>
      </c>
      <c r="E2700" s="6" t="s">
        <v>502</v>
      </c>
      <c r="F2700" s="6" t="str">
        <f>IF($M2700="PADD I","PADD 1",IF($M2700="PADD II","PADD 2",IF($M2700="PADD III","PADD 3",IF($M2700="PADD IV","PADD 4",IF($M2700="PADD V","PADD 5","")))))</f>
        <v>PADD 5</v>
      </c>
      <c r="G2700" s="6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6" t="s">
        <v>485</v>
      </c>
      <c r="I2700" s="6" t="s">
        <v>1146</v>
      </c>
      <c r="J2700" s="6" t="s">
        <v>394</v>
      </c>
      <c r="K2700" s="10">
        <v>13.2</v>
      </c>
      <c r="L2700" s="10">
        <v>24</v>
      </c>
      <c r="M2700" s="6" t="s">
        <v>436</v>
      </c>
      <c r="N2700" s="6">
        <f>IF(OR($G2700="FCC",$G2700="Hydrocracker",$G2700="Reformer"),IF(COUNTIFS($D:$D,$D2700,$A:$A,$A2700,$B:$B,$B2700,$G:$G,"CDU",$J:$J,"PLANNED")&gt;0,"tied","standalone"),"")</f>
        <v/>
      </c>
    </row>
    <row r="2701" spans="1:14">
      <c r="A2701" s="6">
        <v>2024</v>
      </c>
      <c r="B2701" s="6">
        <v>1</v>
      </c>
      <c r="C2701" s="6" t="s">
        <v>60</v>
      </c>
      <c r="D2701" s="6" t="s">
        <v>507</v>
      </c>
      <c r="E2701" s="6" t="s">
        <v>438</v>
      </c>
      <c r="F2701" s="6" t="str">
        <f>IF($M2701="PADD I","PADD 1",IF($M2701="PADD II","PADD 2",IF($M2701="PADD III","PADD 3",IF($M2701="PADD IV","PADD 4",IF($M2701="PADD V","PADD 5","")))))</f>
        <v>PADD 5</v>
      </c>
      <c r="G2701" s="6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6" t="s">
        <v>471</v>
      </c>
      <c r="I2701" s="6" t="s">
        <v>609</v>
      </c>
      <c r="J2701" s="6" t="s">
        <v>398</v>
      </c>
      <c r="K2701" s="10">
        <v>13</v>
      </c>
      <c r="L2701" s="10">
        <v>20</v>
      </c>
      <c r="M2701" s="6" t="s">
        <v>436</v>
      </c>
      <c r="N2701" s="6" t="str">
        <f>IF(OR($G2701="FCC",$G2701="Hydrocracker",$G2701="Reformer"),IF(COUNTIFS($D:$D,$D2701,$A:$A,$A2701,$B:$B,$B2701,$G:$G,"CDU",$J:$J,"PLANNED")&gt;0,"tied","standalone"),"")</f>
        <v>tied</v>
      </c>
    </row>
    <row r="2702" spans="1:14">
      <c r="A2702" s="6">
        <v>2024</v>
      </c>
      <c r="B2702" s="6">
        <v>1</v>
      </c>
      <c r="C2702" s="6" t="s">
        <v>60</v>
      </c>
      <c r="D2702" s="6" t="s">
        <v>597</v>
      </c>
      <c r="E2702" s="6" t="s">
        <v>441</v>
      </c>
      <c r="F2702" s="6" t="str">
        <f>IF($M2702="PADD I","PADD 1",IF($M2702="PADD II","PADD 2",IF($M2702="PADD III","PADD 3",IF($M2702="PADD IV","PADD 4",IF($M2702="PADD V","PADD 5","")))))</f>
        <v>PADD 5</v>
      </c>
      <c r="G2702" s="6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6" t="s">
        <v>471</v>
      </c>
      <c r="I2702" s="6" t="s">
        <v>598</v>
      </c>
      <c r="J2702" s="6" t="s">
        <v>394</v>
      </c>
      <c r="K2702" s="10">
        <v>12.6</v>
      </c>
      <c r="L2702" s="10">
        <v>28</v>
      </c>
      <c r="M2702" s="6" t="s">
        <v>436</v>
      </c>
      <c r="N2702" s="6" t="str">
        <f>IF(OR($G2702="FCC",$G2702="Hydrocracker",$G2702="Reformer"),IF(COUNTIFS($D:$D,$D2702,$A:$A,$A2702,$B:$B,$B2702,$G:$G,"CDU",$J:$J,"PLANNED")&gt;0,"tied","standalone"),"")</f>
        <v>standalone</v>
      </c>
    </row>
    <row r="2703" spans="1:14">
      <c r="A2703" s="6">
        <v>2024</v>
      </c>
      <c r="B2703" s="6">
        <v>1</v>
      </c>
      <c r="C2703" s="6" t="s">
        <v>60</v>
      </c>
      <c r="D2703" s="6" t="s">
        <v>41</v>
      </c>
      <c r="E2703" s="6" t="s">
        <v>786</v>
      </c>
      <c r="F2703" s="6" t="str">
        <f>IF($M2703="PADD I","PADD 1",IF($M2703="PADD II","PADD 2",IF($M2703="PADD III","PADD 3",IF($M2703="PADD IV","PADD 4",IF($M2703="PADD V","PADD 5","")))))</f>
        <v>PADD 1</v>
      </c>
      <c r="G2703" s="6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6" t="s">
        <v>39</v>
      </c>
      <c r="I2703" s="6" t="s">
        <v>1039</v>
      </c>
      <c r="J2703" s="6" t="s">
        <v>394</v>
      </c>
      <c r="K2703" s="10">
        <v>12.025</v>
      </c>
      <c r="L2703" s="10">
        <v>92.5</v>
      </c>
      <c r="M2703" s="6" t="s">
        <v>463</v>
      </c>
      <c r="N2703" s="6">
        <f>IF(OR($G2703="FCC",$G2703="Hydrocracker",$G2703="Reformer"),IF(COUNTIFS($D:$D,$D2703,$A:$A,$A2703,$B:$B,$B2703,$G:$G,"CDU",$J:$J,"PLANNED")&gt;0,"tied","standalone"),"")</f>
        <v/>
      </c>
    </row>
    <row r="2704" spans="1:14">
      <c r="A2704" s="6">
        <v>2024</v>
      </c>
      <c r="B2704" s="6">
        <v>1</v>
      </c>
      <c r="C2704" s="6" t="s">
        <v>60</v>
      </c>
      <c r="D2704" s="6" t="s">
        <v>41</v>
      </c>
      <c r="E2704" s="6" t="s">
        <v>786</v>
      </c>
      <c r="F2704" s="6" t="str">
        <f>IF($M2704="PADD I","PADD 1",IF($M2704="PADD II","PADD 2",IF($M2704="PADD III","PADD 3",IF($M2704="PADD IV","PADD 4",IF($M2704="PADD V","PADD 5","")))))</f>
        <v>PADD 1</v>
      </c>
      <c r="G2704" s="6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6" t="s">
        <v>39</v>
      </c>
      <c r="I2704" s="6" t="s">
        <v>1030</v>
      </c>
      <c r="J2704" s="6" t="s">
        <v>394</v>
      </c>
      <c r="K2704" s="10">
        <v>12.025</v>
      </c>
      <c r="L2704" s="10">
        <v>92.5</v>
      </c>
      <c r="M2704" s="6" t="s">
        <v>463</v>
      </c>
      <c r="N2704" s="6">
        <f>IF(OR($G2704="FCC",$G2704="Hydrocracker",$G2704="Reformer"),IF(COUNTIFS($D:$D,$D2704,$A:$A,$A2704,$B:$B,$B2704,$G:$G,"CDU",$J:$J,"PLANNED")&gt;0,"tied","standalone"),"")</f>
        <v/>
      </c>
    </row>
    <row r="2705" spans="1:14">
      <c r="A2705" s="6">
        <v>2024</v>
      </c>
      <c r="B2705" s="6">
        <v>1</v>
      </c>
      <c r="C2705" s="6" t="s">
        <v>60</v>
      </c>
      <c r="D2705" s="6" t="s">
        <v>712</v>
      </c>
      <c r="E2705" s="6" t="s">
        <v>602</v>
      </c>
      <c r="F2705" s="6" t="str">
        <f>IF($M2705="PADD I","PADD 1",IF($M2705="PADD II","PADD 2",IF($M2705="PADD III","PADD 3",IF($M2705="PADD IV","PADD 4",IF($M2705="PADD V","PADD 5","")))))</f>
        <v>PADD 3</v>
      </c>
      <c r="G2705" s="6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6" t="s">
        <v>426</v>
      </c>
      <c r="I2705" s="6" t="s">
        <v>106</v>
      </c>
      <c r="J2705" s="6" t="s">
        <v>394</v>
      </c>
      <c r="K2705" s="10">
        <v>12</v>
      </c>
      <c r="L2705" s="10">
        <v>25</v>
      </c>
      <c r="M2705" s="6" t="s">
        <v>421</v>
      </c>
      <c r="N2705" s="6" t="str">
        <f>IF(OR($G2705="FCC",$G2705="Hydrocracker",$G2705="Reformer"),IF(COUNTIFS($D:$D,$D2705,$A:$A,$A2705,$B:$B,$B2705,$G:$G,"CDU",$J:$J,"PLANNED")&gt;0,"tied","standalone"),"")</f>
        <v>standalone</v>
      </c>
    </row>
    <row r="2706" spans="1:14">
      <c r="A2706" s="6">
        <v>2024</v>
      </c>
      <c r="B2706" s="6">
        <v>1</v>
      </c>
      <c r="C2706" s="6" t="s">
        <v>60</v>
      </c>
      <c r="D2706" s="6" t="s">
        <v>507</v>
      </c>
      <c r="E2706" s="6" t="s">
        <v>438</v>
      </c>
      <c r="F2706" s="6" t="str">
        <f>IF($M2706="PADD I","PADD 1",IF($M2706="PADD II","PADD 2",IF($M2706="PADD III","PADD 3",IF($M2706="PADD IV","PADD 4",IF($M2706="PADD V","PADD 5","")))))</f>
        <v>PADD 5</v>
      </c>
      <c r="G2706" s="6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6" t="s">
        <v>471</v>
      </c>
      <c r="I2706" s="6" t="s">
        <v>607</v>
      </c>
      <c r="J2706" s="6" t="s">
        <v>394</v>
      </c>
      <c r="K2706" s="10">
        <v>11.6</v>
      </c>
      <c r="L2706" s="10">
        <v>20</v>
      </c>
      <c r="M2706" s="6" t="s">
        <v>436</v>
      </c>
      <c r="N2706" s="6" t="str">
        <f>IF(OR($G2706="FCC",$G2706="Hydrocracker",$G2706="Reformer"),IF(COUNTIFS($D:$D,$D2706,$A:$A,$A2706,$B:$B,$B2706,$G:$G,"CDU",$J:$J,"PLANNED")&gt;0,"tied","standalone"),"")</f>
        <v>tied</v>
      </c>
    </row>
    <row r="2707" spans="1:14">
      <c r="A2707" s="6">
        <v>2024</v>
      </c>
      <c r="B2707" s="6">
        <v>1</v>
      </c>
      <c r="C2707" s="6" t="s">
        <v>60</v>
      </c>
      <c r="D2707" s="6" t="s">
        <v>780</v>
      </c>
      <c r="E2707" s="6" t="s">
        <v>781</v>
      </c>
      <c r="F2707" s="6" t="str">
        <f>IF($M2707="PADD I","PADD 1",IF($M2707="PADD II","PADD 2",IF($M2707="PADD III","PADD 3",IF($M2707="PADD IV","PADD 4",IF($M2707="PADD V","PADD 5","")))))</f>
        <v>PADD 3</v>
      </c>
      <c r="G2707" s="6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6" t="s">
        <v>44</v>
      </c>
      <c r="I2707" s="6" t="s">
        <v>1095</v>
      </c>
      <c r="J2707" s="6" t="s">
        <v>394</v>
      </c>
      <c r="K2707" s="10">
        <v>11</v>
      </c>
      <c r="L2707" s="10">
        <v>20</v>
      </c>
      <c r="M2707" s="6" t="s">
        <v>421</v>
      </c>
      <c r="N2707" s="6">
        <f>IF(OR($G2707="FCC",$G2707="Hydrocracker",$G2707="Reformer"),IF(COUNTIFS($D:$D,$D2707,$A:$A,$A2707,$B:$B,$B2707,$G:$G,"CDU",$J:$J,"PLANNED")&gt;0,"tied","standalone"),"")</f>
        <v/>
      </c>
    </row>
    <row r="2708" spans="1:14">
      <c r="A2708" s="6">
        <v>2024</v>
      </c>
      <c r="B2708" s="6">
        <v>1</v>
      </c>
      <c r="C2708" s="6" t="s">
        <v>60</v>
      </c>
      <c r="D2708" s="6" t="s">
        <v>822</v>
      </c>
      <c r="E2708" s="6" t="s">
        <v>455</v>
      </c>
      <c r="F2708" s="6" t="str">
        <f>IF($M2708="PADD I","PADD 1",IF($M2708="PADD II","PADD 2",IF($M2708="PADD III","PADD 3",IF($M2708="PADD IV","PADD 4",IF($M2708="PADD V","PADD 5","")))))</f>
        <v>PADD 3</v>
      </c>
      <c r="G2708" s="6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6" t="s">
        <v>39</v>
      </c>
      <c r="I2708" s="6" t="s">
        <v>1147</v>
      </c>
      <c r="J2708" s="6" t="s">
        <v>394</v>
      </c>
      <c r="K2708" s="10">
        <v>10.788</v>
      </c>
      <c r="L2708" s="10">
        <v>37.2</v>
      </c>
      <c r="M2708" s="6" t="s">
        <v>421</v>
      </c>
      <c r="N2708" s="6">
        <f>IF(OR($G2708="FCC",$G2708="Hydrocracker",$G2708="Reformer"),IF(COUNTIFS($D:$D,$D2708,$A:$A,$A2708,$B:$B,$B2708,$G:$G,"CDU",$J:$J,"PLANNED")&gt;0,"tied","standalone"),"")</f>
        <v/>
      </c>
    </row>
    <row r="2709" spans="1:14">
      <c r="A2709" s="6">
        <v>2024</v>
      </c>
      <c r="B2709" s="6">
        <v>1</v>
      </c>
      <c r="C2709" s="6" t="s">
        <v>60</v>
      </c>
      <c r="D2709" s="6" t="s">
        <v>712</v>
      </c>
      <c r="E2709" s="6" t="s">
        <v>602</v>
      </c>
      <c r="F2709" s="6" t="str">
        <f>IF($M2709="PADD I","PADD 1",IF($M2709="PADD II","PADD 2",IF($M2709="PADD III","PADD 3",IF($M2709="PADD IV","PADD 4",IF($M2709="PADD V","PADD 5","")))))</f>
        <v>PADD 3</v>
      </c>
      <c r="G2709" s="6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6" t="s">
        <v>44</v>
      </c>
      <c r="I2709" s="6" t="s">
        <v>977</v>
      </c>
      <c r="J2709" s="6" t="s">
        <v>398</v>
      </c>
      <c r="K2709" s="10">
        <v>10.71</v>
      </c>
      <c r="L2709" s="10">
        <v>25.5</v>
      </c>
      <c r="M2709" s="6" t="s">
        <v>421</v>
      </c>
      <c r="N2709" s="6">
        <f>IF(OR($G2709="FCC",$G2709="Hydrocracker",$G2709="Reformer"),IF(COUNTIFS($D:$D,$D2709,$A:$A,$A2709,$B:$B,$B2709,$G:$G,"CDU",$J:$J,"PLANNED")&gt;0,"tied","standalone"),"")</f>
        <v/>
      </c>
    </row>
    <row r="2710" spans="1:14">
      <c r="A2710" s="6">
        <v>2024</v>
      </c>
      <c r="B2710" s="6">
        <v>1</v>
      </c>
      <c r="C2710" s="6" t="s">
        <v>60</v>
      </c>
      <c r="D2710" s="6" t="s">
        <v>540</v>
      </c>
      <c r="E2710" s="6" t="s">
        <v>541</v>
      </c>
      <c r="F2710" s="6" t="str">
        <f>IF($M2710="PADD I","PADD 1",IF($M2710="PADD II","PADD 2",IF($M2710="PADD III","PADD 3",IF($M2710="PADD IV","PADD 4",IF($M2710="PADD V","PADD 5","")))))</f>
        <v>PADD 3</v>
      </c>
      <c r="G2710" s="6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6" t="s">
        <v>426</v>
      </c>
      <c r="I2710" s="6" t="s">
        <v>522</v>
      </c>
      <c r="J2710" s="6" t="s">
        <v>394</v>
      </c>
      <c r="K2710" s="10">
        <v>10.53</v>
      </c>
      <c r="L2710" s="10">
        <v>81</v>
      </c>
      <c r="M2710" s="6" t="s">
        <v>421</v>
      </c>
      <c r="N2710" s="6" t="str">
        <f>IF(OR($G2710="FCC",$G2710="Hydrocracker",$G2710="Reformer"),IF(COUNTIFS($D:$D,$D2710,$A:$A,$A2710,$B:$B,$B2710,$G:$G,"CDU",$J:$J,"PLANNED")&gt;0,"tied","standalone"),"")</f>
        <v>standalone</v>
      </c>
    </row>
    <row r="2711" spans="1:14">
      <c r="A2711" s="6">
        <v>2024</v>
      </c>
      <c r="B2711" s="6">
        <v>1</v>
      </c>
      <c r="C2711" s="6" t="s">
        <v>60</v>
      </c>
      <c r="D2711" s="6" t="s">
        <v>712</v>
      </c>
      <c r="E2711" s="6" t="s">
        <v>602</v>
      </c>
      <c r="F2711" s="6" t="str">
        <f>IF($M2711="PADD I","PADD 1",IF($M2711="PADD II","PADD 2",IF($M2711="PADD III","PADD 3",IF($M2711="PADD IV","PADD 4",IF($M2711="PADD V","PADD 5","")))))</f>
        <v>PADD 3</v>
      </c>
      <c r="G2711" s="6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6" t="s">
        <v>428</v>
      </c>
      <c r="I2711" s="6" t="s">
        <v>481</v>
      </c>
      <c r="J2711" s="6" t="s">
        <v>394</v>
      </c>
      <c r="K2711" s="10">
        <v>10.08</v>
      </c>
      <c r="L2711" s="10">
        <v>24</v>
      </c>
      <c r="M2711" s="6" t="s">
        <v>421</v>
      </c>
      <c r="N2711" s="6">
        <f>IF(OR($G2711="FCC",$G2711="Hydrocracker",$G2711="Reformer"),IF(COUNTIFS($D:$D,$D2711,$A:$A,$A2711,$B:$B,$B2711,$G:$G,"CDU",$J:$J,"PLANNED")&gt;0,"tied","standalone"),"")</f>
        <v/>
      </c>
    </row>
    <row r="2712" spans="1:14">
      <c r="A2712" s="6">
        <v>2024</v>
      </c>
      <c r="B2712" s="6">
        <v>1</v>
      </c>
      <c r="C2712" s="6" t="s">
        <v>60</v>
      </c>
      <c r="D2712" s="6" t="s">
        <v>458</v>
      </c>
      <c r="E2712" s="6" t="s">
        <v>459</v>
      </c>
      <c r="F2712" s="6" t="str">
        <f>IF($M2712="PADD I","PADD 1",IF($M2712="PADD II","PADD 2",IF($M2712="PADD III","PADD 3",IF($M2712="PADD IV","PADD 4",IF($M2712="PADD V","PADD 5","")))))</f>
        <v>PADD 3</v>
      </c>
      <c r="G2712" s="6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6" t="s">
        <v>428</v>
      </c>
      <c r="I2712" s="6" t="s">
        <v>556</v>
      </c>
      <c r="J2712" s="6" t="s">
        <v>394</v>
      </c>
      <c r="K2712" s="10">
        <v>9.880000000000001</v>
      </c>
      <c r="L2712" s="10">
        <v>52</v>
      </c>
      <c r="M2712" s="6" t="s">
        <v>421</v>
      </c>
      <c r="N2712" s="6">
        <f>IF(OR($G2712="FCC",$G2712="Hydrocracker",$G2712="Reformer"),IF(COUNTIFS($D:$D,$D2712,$A:$A,$A2712,$B:$B,$B2712,$G:$G,"CDU",$J:$J,"PLANNED")&gt;0,"tied","standalone"),"")</f>
        <v/>
      </c>
    </row>
    <row r="2713" spans="1:14">
      <c r="A2713" s="6">
        <v>2024</v>
      </c>
      <c r="B2713" s="6">
        <v>1</v>
      </c>
      <c r="C2713" s="6" t="s">
        <v>60</v>
      </c>
      <c r="D2713" s="6" t="s">
        <v>652</v>
      </c>
      <c r="E2713" s="6" t="s">
        <v>419</v>
      </c>
      <c r="F2713" s="6" t="str">
        <f>IF($M2713="PADD I","PADD 1",IF($M2713="PADD II","PADD 2",IF($M2713="PADD III","PADD 3",IF($M2713="PADD IV","PADD 4",IF($M2713="PADD V","PADD 5","")))))</f>
        <v>PADD 2</v>
      </c>
      <c r="G2713" s="6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6" t="s">
        <v>485</v>
      </c>
      <c r="I2713" s="6" t="s">
        <v>491</v>
      </c>
      <c r="J2713" s="6" t="s">
        <v>394</v>
      </c>
      <c r="K2713" s="10">
        <v>9.702</v>
      </c>
      <c r="L2713" s="10">
        <v>23.1</v>
      </c>
      <c r="M2713" s="6" t="s">
        <v>425</v>
      </c>
      <c r="N2713" s="6">
        <f>IF(OR($G2713="FCC",$G2713="Hydrocracker",$G2713="Reformer"),IF(COUNTIFS($D:$D,$D2713,$A:$A,$A2713,$B:$B,$B2713,$G:$G,"CDU",$J:$J,"PLANNED")&gt;0,"tied","standalone"),"")</f>
        <v/>
      </c>
    </row>
    <row r="2714" spans="1:14">
      <c r="A2714" s="6">
        <v>2024</v>
      </c>
      <c r="B2714" s="6">
        <v>1</v>
      </c>
      <c r="C2714" s="6" t="s">
        <v>60</v>
      </c>
      <c r="D2714" s="6" t="s">
        <v>712</v>
      </c>
      <c r="E2714" s="6" t="s">
        <v>602</v>
      </c>
      <c r="F2714" s="6" t="str">
        <f>IF($M2714="PADD I","PADD 1",IF($M2714="PADD II","PADD 2",IF($M2714="PADD III","PADD 3",IF($M2714="PADD IV","PADD 4",IF($M2714="PADD V","PADD 5","")))))</f>
        <v>PADD 3</v>
      </c>
      <c r="G2714" s="6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6" t="s">
        <v>44</v>
      </c>
      <c r="I2714" s="6" t="s">
        <v>785</v>
      </c>
      <c r="J2714" s="6" t="s">
        <v>398</v>
      </c>
      <c r="K2714" s="10">
        <v>9.66</v>
      </c>
      <c r="L2714" s="10">
        <v>23</v>
      </c>
      <c r="M2714" s="6" t="s">
        <v>421</v>
      </c>
      <c r="N2714" s="6">
        <f>IF(OR($G2714="FCC",$G2714="Hydrocracker",$G2714="Reformer"),IF(COUNTIFS($D:$D,$D2714,$A:$A,$A2714,$B:$B,$B2714,$G:$G,"CDU",$J:$J,"PLANNED")&gt;0,"tied","standalone"),"")</f>
        <v/>
      </c>
    </row>
    <row r="2715" spans="1:14">
      <c r="A2715" s="6">
        <v>2024</v>
      </c>
      <c r="B2715" s="6">
        <v>1</v>
      </c>
      <c r="C2715" s="6" t="s">
        <v>60</v>
      </c>
      <c r="D2715" s="6" t="s">
        <v>712</v>
      </c>
      <c r="E2715" s="6" t="s">
        <v>602</v>
      </c>
      <c r="F2715" s="6" t="str">
        <f>IF($M2715="PADD I","PADD 1",IF($M2715="PADD II","PADD 2",IF($M2715="PADD III","PADD 3",IF($M2715="PADD IV","PADD 4",IF($M2715="PADD V","PADD 5","")))))</f>
        <v>PADD 3</v>
      </c>
      <c r="G2715" s="6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6" t="s">
        <v>471</v>
      </c>
      <c r="I2715" s="6" t="s">
        <v>1100</v>
      </c>
      <c r="J2715" s="6" t="s">
        <v>394</v>
      </c>
      <c r="K2715" s="10">
        <v>9.449999999999999</v>
      </c>
      <c r="L2715" s="10">
        <v>21</v>
      </c>
      <c r="M2715" s="6" t="s">
        <v>421</v>
      </c>
      <c r="N2715" s="6" t="str">
        <f>IF(OR($G2715="FCC",$G2715="Hydrocracker",$G2715="Reformer"),IF(COUNTIFS($D:$D,$D2715,$A:$A,$A2715,$B:$B,$B2715,$G:$G,"CDU",$J:$J,"PLANNED")&gt;0,"tied","standalone"),"")</f>
        <v>standalone</v>
      </c>
    </row>
    <row r="2716" spans="1:14">
      <c r="A2716" s="6">
        <v>2024</v>
      </c>
      <c r="B2716" s="6">
        <v>1</v>
      </c>
      <c r="C2716" s="6" t="s">
        <v>60</v>
      </c>
      <c r="D2716" s="6" t="s">
        <v>678</v>
      </c>
      <c r="E2716" s="6" t="s">
        <v>438</v>
      </c>
      <c r="F2716" s="6" t="str">
        <f>IF($M2716="PADD I","PADD 1",IF($M2716="PADD II","PADD 2",IF($M2716="PADD III","PADD 3",IF($M2716="PADD IV","PADD 4",IF($M2716="PADD V","PADD 5","")))))</f>
        <v>PADD 3</v>
      </c>
      <c r="G2716" s="6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6" t="s">
        <v>510</v>
      </c>
      <c r="I2716" s="6" t="s">
        <v>666</v>
      </c>
      <c r="J2716" s="6" t="s">
        <v>394</v>
      </c>
      <c r="K2716" s="10">
        <v>9.384</v>
      </c>
      <c r="L2716" s="10">
        <v>13.8</v>
      </c>
      <c r="M2716" s="6" t="s">
        <v>421</v>
      </c>
      <c r="N2716" s="6">
        <f>IF(OR($G2716="FCC",$G2716="Hydrocracker",$G2716="Reformer"),IF(COUNTIFS($D:$D,$D2716,$A:$A,$A2716,$B:$B,$B2716,$G:$G,"CDU",$J:$J,"PLANNED")&gt;0,"tied","standalone"),"")</f>
        <v/>
      </c>
    </row>
    <row r="2717" spans="1:14">
      <c r="A2717" s="6">
        <v>2024</v>
      </c>
      <c r="B2717" s="6">
        <v>1</v>
      </c>
      <c r="C2717" s="6" t="s">
        <v>60</v>
      </c>
      <c r="D2717" s="6" t="s">
        <v>828</v>
      </c>
      <c r="E2717" s="6" t="s">
        <v>829</v>
      </c>
      <c r="F2717" s="6" t="str">
        <f>IF($M2717="PADD I","PADD 1",IF($M2717="PADD II","PADD 2",IF($M2717="PADD III","PADD 3",IF($M2717="PADD IV","PADD 4",IF($M2717="PADD V","PADD 5","")))))</f>
        <v>PADD 3</v>
      </c>
      <c r="G2717" s="6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6" t="s">
        <v>39</v>
      </c>
      <c r="I2717" s="6" t="s">
        <v>855</v>
      </c>
      <c r="J2717" s="6" t="s">
        <v>394</v>
      </c>
      <c r="K2717" s="10">
        <v>9.279999999999999</v>
      </c>
      <c r="L2717" s="10">
        <v>58</v>
      </c>
      <c r="M2717" s="6" t="s">
        <v>421</v>
      </c>
      <c r="N2717" s="6">
        <f>IF(OR($G2717="FCC",$G2717="Hydrocracker",$G2717="Reformer"),IF(COUNTIFS($D:$D,$D2717,$A:$A,$A2717,$B:$B,$B2717,$G:$G,"CDU",$J:$J,"PLANNED")&gt;0,"tied","standalone"),"")</f>
        <v/>
      </c>
    </row>
    <row r="2718" spans="1:14">
      <c r="A2718" s="6">
        <v>2024</v>
      </c>
      <c r="B2718" s="6">
        <v>1</v>
      </c>
      <c r="C2718" s="6" t="s">
        <v>60</v>
      </c>
      <c r="D2718" s="6" t="s">
        <v>568</v>
      </c>
      <c r="E2718" s="6" t="s">
        <v>419</v>
      </c>
      <c r="F2718" s="6" t="str">
        <f>IF($M2718="PADD I","PADD 1",IF($M2718="PADD II","PADD 2",IF($M2718="PADD III","PADD 3",IF($M2718="PADD IV","PADD 4",IF($M2718="PADD V","PADD 5","")))))</f>
        <v>PADD 5</v>
      </c>
      <c r="G2718" s="6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6" t="s">
        <v>471</v>
      </c>
      <c r="I2718" s="6" t="s">
        <v>636</v>
      </c>
      <c r="J2718" s="6" t="s">
        <v>394</v>
      </c>
      <c r="K2718" s="10">
        <v>8.880000000000001</v>
      </c>
      <c r="L2718" s="10">
        <v>18.5</v>
      </c>
      <c r="M2718" s="6" t="s">
        <v>436</v>
      </c>
      <c r="N2718" s="6" t="str">
        <f>IF(OR($G2718="FCC",$G2718="Hydrocracker",$G2718="Reformer"),IF(COUNTIFS($D:$D,$D2718,$A:$A,$A2718,$B:$B,$B2718,$G:$G,"CDU",$J:$J,"PLANNED")&gt;0,"tied","standalone"),"")</f>
        <v>standalone</v>
      </c>
    </row>
    <row r="2719" spans="1:14">
      <c r="A2719" s="6">
        <v>2024</v>
      </c>
      <c r="B2719" s="6">
        <v>1</v>
      </c>
      <c r="C2719" s="6" t="s">
        <v>60</v>
      </c>
      <c r="D2719" s="6" t="s">
        <v>41</v>
      </c>
      <c r="E2719" s="6" t="s">
        <v>786</v>
      </c>
      <c r="F2719" s="6" t="str">
        <f>IF($M2719="PADD I","PADD 1",IF($M2719="PADD II","PADD 2",IF($M2719="PADD III","PADD 3",IF($M2719="PADD IV","PADD 4",IF($M2719="PADD V","PADD 5","")))))</f>
        <v>PADD 1</v>
      </c>
      <c r="G2719" s="6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6" t="s">
        <v>426</v>
      </c>
      <c r="I2719" s="6" t="s">
        <v>787</v>
      </c>
      <c r="J2719" s="6" t="s">
        <v>394</v>
      </c>
      <c r="K2719" s="10">
        <v>8.84</v>
      </c>
      <c r="L2719" s="10">
        <v>68</v>
      </c>
      <c r="M2719" s="6" t="s">
        <v>463</v>
      </c>
      <c r="N2719" s="6" t="str">
        <f>IF(OR($G2719="FCC",$G2719="Hydrocracker",$G2719="Reformer"),IF(COUNTIFS($D:$D,$D2719,$A:$A,$A2719,$B:$B,$B2719,$G:$G,"CDU",$J:$J,"PLANNED")&gt;0,"tied","standalone"),"")</f>
        <v>standalone</v>
      </c>
    </row>
    <row r="2720" spans="1:14">
      <c r="A2720" s="6">
        <v>2024</v>
      </c>
      <c r="B2720" s="6">
        <v>1</v>
      </c>
      <c r="C2720" s="6" t="s">
        <v>60</v>
      </c>
      <c r="D2720" s="6" t="s">
        <v>828</v>
      </c>
      <c r="E2720" s="6" t="s">
        <v>829</v>
      </c>
      <c r="F2720" s="6" t="str">
        <f>IF($M2720="PADD I","PADD 1",IF($M2720="PADD II","PADD 2",IF($M2720="PADD III","PADD 3",IF($M2720="PADD IV","PADD 4",IF($M2720="PADD V","PADD 5","")))))</f>
        <v>PADD 3</v>
      </c>
      <c r="G2720" s="6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6" t="s">
        <v>428</v>
      </c>
      <c r="I2720" s="6" t="s">
        <v>847</v>
      </c>
      <c r="J2720" s="6" t="s">
        <v>394</v>
      </c>
      <c r="K2720" s="10">
        <v>8.385</v>
      </c>
      <c r="L2720" s="10">
        <v>64.5</v>
      </c>
      <c r="M2720" s="6" t="s">
        <v>421</v>
      </c>
      <c r="N2720" s="6">
        <f>IF(OR($G2720="FCC",$G2720="Hydrocracker",$G2720="Reformer"),IF(COUNTIFS($D:$D,$D2720,$A:$A,$A2720,$B:$B,$B2720,$G:$G,"CDU",$J:$J,"PLANNED")&gt;0,"tied","standalone"),"")</f>
        <v/>
      </c>
    </row>
    <row r="2721" spans="1:14">
      <c r="A2721" s="6">
        <v>2024</v>
      </c>
      <c r="B2721" s="6">
        <v>1</v>
      </c>
      <c r="C2721" s="6" t="s">
        <v>60</v>
      </c>
      <c r="D2721" s="6" t="s">
        <v>712</v>
      </c>
      <c r="E2721" s="6" t="s">
        <v>602</v>
      </c>
      <c r="F2721" s="6" t="str">
        <f>IF($M2721="PADD I","PADD 1",IF($M2721="PADD II","PADD 2",IF($M2721="PADD III","PADD 3",IF($M2721="PADD IV","PADD 4",IF($M2721="PADD V","PADD 5","")))))</f>
        <v>PADD 3</v>
      </c>
      <c r="G2721" s="6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6" t="s">
        <v>471</v>
      </c>
      <c r="I2721" s="6" t="s">
        <v>1099</v>
      </c>
      <c r="J2721" s="6" t="s">
        <v>398</v>
      </c>
      <c r="K2721" s="10">
        <v>8.385</v>
      </c>
      <c r="L2721" s="10">
        <v>21.5</v>
      </c>
      <c r="M2721" s="6" t="s">
        <v>421</v>
      </c>
      <c r="N2721" s="6" t="str">
        <f>IF(OR($G2721="FCC",$G2721="Hydrocracker",$G2721="Reformer"),IF(COUNTIFS($D:$D,$D2721,$A:$A,$A2721,$B:$B,$B2721,$G:$G,"CDU",$J:$J,"PLANNED")&gt;0,"tied","standalone"),"")</f>
        <v>standalone</v>
      </c>
    </row>
    <row r="2722" spans="1:14">
      <c r="A2722" s="6">
        <v>2024</v>
      </c>
      <c r="B2722" s="6">
        <v>1</v>
      </c>
      <c r="C2722" s="6" t="s">
        <v>60</v>
      </c>
      <c r="D2722" s="6" t="s">
        <v>487</v>
      </c>
      <c r="E2722" s="6" t="s">
        <v>488</v>
      </c>
      <c r="F2722" s="6" t="str">
        <f>IF($M2722="PADD I","PADD 1",IF($M2722="PADD II","PADD 2",IF($M2722="PADD III","PADD 3",IF($M2722="PADD IV","PADD 4",IF($M2722="PADD V","PADD 5","")))))</f>
        <v>PADD 4</v>
      </c>
      <c r="G2722" s="6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6" t="s">
        <v>39</v>
      </c>
      <c r="I2722" s="6" t="s">
        <v>379</v>
      </c>
      <c r="J2722" s="6" t="s">
        <v>398</v>
      </c>
      <c r="K2722" s="10">
        <v>8.119999999999999</v>
      </c>
      <c r="L2722" s="10">
        <v>28</v>
      </c>
      <c r="M2722" s="6" t="s">
        <v>480</v>
      </c>
      <c r="N2722" s="6">
        <f>IF(OR($G2722="FCC",$G2722="Hydrocracker",$G2722="Reformer"),IF(COUNTIFS($D:$D,$D2722,$A:$A,$A2722,$B:$B,$B2722,$G:$G,"CDU",$J:$J,"PLANNED")&gt;0,"tied","standalone"),"")</f>
        <v/>
      </c>
    </row>
    <row r="2723" spans="1:14">
      <c r="A2723" s="6">
        <v>2024</v>
      </c>
      <c r="B2723" s="6">
        <v>1</v>
      </c>
      <c r="C2723" s="6" t="s">
        <v>60</v>
      </c>
      <c r="D2723" s="6" t="s">
        <v>458</v>
      </c>
      <c r="E2723" s="6" t="s">
        <v>459</v>
      </c>
      <c r="F2723" s="6" t="str">
        <f>IF($M2723="PADD I","PADD 1",IF($M2723="PADD II","PADD 2",IF($M2723="PADD III","PADD 3",IF($M2723="PADD IV","PADD 4",IF($M2723="PADD V","PADD 5","")))))</f>
        <v>PADD 3</v>
      </c>
      <c r="G2723" s="6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6" t="s">
        <v>39</v>
      </c>
      <c r="I2723" s="6" t="s">
        <v>460</v>
      </c>
      <c r="J2723" s="6" t="s">
        <v>394</v>
      </c>
      <c r="K2723" s="10">
        <v>8</v>
      </c>
      <c r="L2723" s="10">
        <v>80</v>
      </c>
      <c r="M2723" s="6" t="s">
        <v>421</v>
      </c>
      <c r="N2723" s="6">
        <f>IF(OR($G2723="FCC",$G2723="Hydrocracker",$G2723="Reformer"),IF(COUNTIFS($D:$D,$D2723,$A:$A,$A2723,$B:$B,$B2723,$G:$G,"CDU",$J:$J,"PLANNED")&gt;0,"tied","standalone"),"")</f>
        <v/>
      </c>
    </row>
    <row r="2724" spans="1:14">
      <c r="A2724" s="6">
        <v>2024</v>
      </c>
      <c r="B2724" s="6">
        <v>1</v>
      </c>
      <c r="C2724" s="6" t="s">
        <v>60</v>
      </c>
      <c r="D2724" s="6" t="s">
        <v>41</v>
      </c>
      <c r="E2724" s="6" t="s">
        <v>786</v>
      </c>
      <c r="F2724" s="6" t="str">
        <f>IF($M2724="PADD I","PADD 1",IF($M2724="PADD II","PADD 2",IF($M2724="PADD III","PADD 3",IF($M2724="PADD IV","PADD 4",IF($M2724="PADD V","PADD 5","")))))</f>
        <v>PADD 1</v>
      </c>
      <c r="G2724" s="6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6" t="s">
        <v>471</v>
      </c>
      <c r="I2724" s="6" t="s">
        <v>832</v>
      </c>
      <c r="J2724" s="6" t="s">
        <v>394</v>
      </c>
      <c r="K2724" s="10">
        <v>7.8</v>
      </c>
      <c r="L2724" s="10">
        <v>60</v>
      </c>
      <c r="M2724" s="6" t="s">
        <v>463</v>
      </c>
      <c r="N2724" s="6" t="str">
        <f>IF(OR($G2724="FCC",$G2724="Hydrocracker",$G2724="Reformer"),IF(COUNTIFS($D:$D,$D2724,$A:$A,$A2724,$B:$B,$B2724,$G:$G,"CDU",$J:$J,"PLANNED")&gt;0,"tied","standalone"),"")</f>
        <v>standalone</v>
      </c>
    </row>
    <row r="2725" spans="1:14">
      <c r="A2725" s="6">
        <v>2024</v>
      </c>
      <c r="B2725" s="6">
        <v>1</v>
      </c>
      <c r="C2725" s="6" t="s">
        <v>60</v>
      </c>
      <c r="D2725" s="6" t="s">
        <v>461</v>
      </c>
      <c r="E2725" s="6" t="s">
        <v>419</v>
      </c>
      <c r="F2725" s="6" t="str">
        <f>IF($M2725="PADD I","PADD 1",IF($M2725="PADD II","PADD 2",IF($M2725="PADD III","PADD 3",IF($M2725="PADD IV","PADD 4",IF($M2725="PADD V","PADD 5","")))))</f>
        <v>PADD 1</v>
      </c>
      <c r="G2725" s="6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6" t="s">
        <v>39</v>
      </c>
      <c r="I2725" s="6" t="s">
        <v>579</v>
      </c>
      <c r="J2725" s="6" t="s">
        <v>394</v>
      </c>
      <c r="K2725" s="10">
        <v>7.77</v>
      </c>
      <c r="L2725" s="10">
        <v>129.5</v>
      </c>
      <c r="M2725" s="6" t="s">
        <v>463</v>
      </c>
      <c r="N2725" s="6">
        <f>IF(OR($G2725="FCC",$G2725="Hydrocracker",$G2725="Reformer"),IF(COUNTIFS($D:$D,$D2725,$A:$A,$A2725,$B:$B,$B2725,$G:$G,"CDU",$J:$J,"PLANNED")&gt;0,"tied","standalone"),"")</f>
        <v/>
      </c>
    </row>
    <row r="2726" spans="1:14">
      <c r="A2726" s="6">
        <v>2024</v>
      </c>
      <c r="B2726" s="6">
        <v>1</v>
      </c>
      <c r="C2726" s="6" t="s">
        <v>60</v>
      </c>
      <c r="D2726" s="6" t="s">
        <v>461</v>
      </c>
      <c r="E2726" s="6" t="s">
        <v>419</v>
      </c>
      <c r="F2726" s="6" t="str">
        <f>IF($M2726="PADD I","PADD 1",IF($M2726="PADD II","PADD 2",IF($M2726="PADD III","PADD 3",IF($M2726="PADD IV","PADD 4",IF($M2726="PADD V","PADD 5","")))))</f>
        <v>PADD 1</v>
      </c>
      <c r="G2726" s="6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6" t="s">
        <v>39</v>
      </c>
      <c r="I2726" s="6" t="s">
        <v>462</v>
      </c>
      <c r="J2726" s="6" t="s">
        <v>394</v>
      </c>
      <c r="K2726" s="10">
        <v>7.74</v>
      </c>
      <c r="L2726" s="10">
        <v>129</v>
      </c>
      <c r="M2726" s="6" t="s">
        <v>463</v>
      </c>
      <c r="N2726" s="6">
        <f>IF(OR($G2726="FCC",$G2726="Hydrocracker",$G2726="Reformer"),IF(COUNTIFS($D:$D,$D2726,$A:$A,$A2726,$B:$B,$B2726,$G:$G,"CDU",$J:$J,"PLANNED")&gt;0,"tied","standalone"),"")</f>
        <v/>
      </c>
    </row>
    <row r="2727" spans="1:14">
      <c r="A2727" s="6">
        <v>2024</v>
      </c>
      <c r="B2727" s="6">
        <v>1</v>
      </c>
      <c r="C2727" s="6" t="s">
        <v>60</v>
      </c>
      <c r="D2727" s="6" t="s">
        <v>465</v>
      </c>
      <c r="E2727" s="6" t="s">
        <v>466</v>
      </c>
      <c r="F2727" s="6" t="str">
        <f>IF($M2727="PADD I","PADD 1",IF($M2727="PADD II","PADD 2",IF($M2727="PADD III","PADD 3",IF($M2727="PADD IV","PADD 4",IF($M2727="PADD V","PADD 5","")))))</f>
        <v>PADD 3</v>
      </c>
      <c r="G2727" s="6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6" t="s">
        <v>471</v>
      </c>
      <c r="I2727" s="6" t="s">
        <v>1148</v>
      </c>
      <c r="J2727" s="6" t="s">
        <v>398</v>
      </c>
      <c r="K2727" s="10">
        <v>7.56</v>
      </c>
      <c r="L2727" s="10">
        <v>18</v>
      </c>
      <c r="M2727" s="6" t="s">
        <v>421</v>
      </c>
      <c r="N2727" s="6" t="str">
        <f>IF(OR($G2727="FCC",$G2727="Hydrocracker",$G2727="Reformer"),IF(COUNTIFS($D:$D,$D2727,$A:$A,$A2727,$B:$B,$B2727,$G:$G,"CDU",$J:$J,"PLANNED")&gt;0,"tied","standalone"),"")</f>
        <v>tied</v>
      </c>
    </row>
    <row r="2728" spans="1:14">
      <c r="A2728" s="6">
        <v>2024</v>
      </c>
      <c r="B2728" s="6">
        <v>1</v>
      </c>
      <c r="C2728" s="6" t="s">
        <v>60</v>
      </c>
      <c r="D2728" s="6" t="s">
        <v>458</v>
      </c>
      <c r="E2728" s="6" t="s">
        <v>459</v>
      </c>
      <c r="F2728" s="6" t="str">
        <f>IF($M2728="PADD I","PADD 1",IF($M2728="PADD II","PADD 2",IF($M2728="PADD III","PADD 3",IF($M2728="PADD IV","PADD 4",IF($M2728="PADD V","PADD 5","")))))</f>
        <v>PADD 3</v>
      </c>
      <c r="G2728" s="6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6" t="s">
        <v>618</v>
      </c>
      <c r="I2728" s="6" t="s">
        <v>619</v>
      </c>
      <c r="J2728" s="6" t="s">
        <v>394</v>
      </c>
      <c r="K2728" s="10">
        <v>7.425</v>
      </c>
      <c r="L2728" s="10">
        <v>13.5</v>
      </c>
      <c r="M2728" s="6" t="s">
        <v>421</v>
      </c>
      <c r="N2728" s="6">
        <f>IF(OR($G2728="FCC",$G2728="Hydrocracker",$G2728="Reformer"),IF(COUNTIFS($D:$D,$D2728,$A:$A,$A2728,$B:$B,$B2728,$G:$G,"CDU",$J:$J,"PLANNED")&gt;0,"tied","standalone"),"")</f>
        <v/>
      </c>
    </row>
    <row r="2729" spans="1:14">
      <c r="A2729" s="6">
        <v>2024</v>
      </c>
      <c r="B2729" s="6">
        <v>1</v>
      </c>
      <c r="C2729" s="6" t="s">
        <v>60</v>
      </c>
      <c r="D2729" s="6" t="s">
        <v>496</v>
      </c>
      <c r="E2729" s="6" t="s">
        <v>441</v>
      </c>
      <c r="F2729" s="6" t="str">
        <f>IF($M2729="PADD I","PADD 1",IF($M2729="PADD II","PADD 2",IF($M2729="PADD III","PADD 3",IF($M2729="PADD IV","PADD 4",IF($M2729="PADD V","PADD 5","")))))</f>
        <v>PADD 3</v>
      </c>
      <c r="G2729" s="6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6" t="s">
        <v>510</v>
      </c>
      <c r="I2729" s="6" t="s">
        <v>1125</v>
      </c>
      <c r="J2729" s="6" t="s">
        <v>394</v>
      </c>
      <c r="K2729" s="10">
        <v>7.2</v>
      </c>
      <c r="L2729" s="10">
        <v>7.2</v>
      </c>
      <c r="M2729" s="6" t="s">
        <v>421</v>
      </c>
      <c r="N2729" s="6">
        <f>IF(OR($G2729="FCC",$G2729="Hydrocracker",$G2729="Reformer"),IF(COUNTIFS($D:$D,$D2729,$A:$A,$A2729,$B:$B,$B2729,$G:$G,"CDU",$J:$J,"PLANNED")&gt;0,"tied","standalone"),"")</f>
        <v/>
      </c>
    </row>
    <row r="2730" spans="1:14">
      <c r="A2730" s="6">
        <v>2024</v>
      </c>
      <c r="B2730" s="6">
        <v>1</v>
      </c>
      <c r="C2730" s="6" t="s">
        <v>60</v>
      </c>
      <c r="D2730" s="6" t="s">
        <v>540</v>
      </c>
      <c r="E2730" s="6" t="s">
        <v>541</v>
      </c>
      <c r="F2730" s="6" t="str">
        <f>IF($M2730="PADD I","PADD 1",IF($M2730="PADD II","PADD 2",IF($M2730="PADD III","PADD 3",IF($M2730="PADD IV","PADD 4",IF($M2730="PADD V","PADD 5","")))))</f>
        <v>PADD 3</v>
      </c>
      <c r="G2730" s="6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6" t="s">
        <v>485</v>
      </c>
      <c r="I2730" s="6" t="s">
        <v>737</v>
      </c>
      <c r="J2730" s="6" t="s">
        <v>394</v>
      </c>
      <c r="K2730" s="10">
        <v>7.02</v>
      </c>
      <c r="L2730" s="10">
        <v>54</v>
      </c>
      <c r="M2730" s="6" t="s">
        <v>421</v>
      </c>
      <c r="N2730" s="6">
        <f>IF(OR($G2730="FCC",$G2730="Hydrocracker",$G2730="Reformer"),IF(COUNTIFS($D:$D,$D2730,$A:$A,$A2730,$B:$B,$B2730,$G:$G,"CDU",$J:$J,"PLANNED")&gt;0,"tied","standalone"),"")</f>
        <v/>
      </c>
    </row>
    <row r="2731" spans="1:14">
      <c r="A2731" s="6">
        <v>2024</v>
      </c>
      <c r="B2731" s="6">
        <v>1</v>
      </c>
      <c r="C2731" s="6" t="s">
        <v>60</v>
      </c>
      <c r="D2731" s="6" t="s">
        <v>518</v>
      </c>
      <c r="E2731" s="6" t="s">
        <v>419</v>
      </c>
      <c r="F2731" s="6" t="str">
        <f>IF($M2731="PADD I","PADD 1",IF($M2731="PADD II","PADD 2",IF($M2731="PADD III","PADD 3",IF($M2731="PADD IV","PADD 4",IF($M2731="PADD V","PADD 5","")))))</f>
        <v>PADD 3</v>
      </c>
      <c r="G2731" s="6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6" t="s">
        <v>471</v>
      </c>
      <c r="I2731" s="6" t="s">
        <v>685</v>
      </c>
      <c r="J2731" s="6" t="s">
        <v>398</v>
      </c>
      <c r="K2731" s="10">
        <v>7</v>
      </c>
      <c r="L2731" s="10">
        <v>7</v>
      </c>
      <c r="M2731" s="6" t="s">
        <v>421</v>
      </c>
      <c r="N2731" s="6" t="str">
        <f>IF(OR($G2731="FCC",$G2731="Hydrocracker",$G2731="Reformer"),IF(COUNTIFS($D:$D,$D2731,$A:$A,$A2731,$B:$B,$B2731,$G:$G,"CDU",$J:$J,"PLANNED")&gt;0,"tied","standalone"),"")</f>
        <v>standalone</v>
      </c>
    </row>
    <row r="2732" spans="1:14">
      <c r="A2732" s="6">
        <v>2024</v>
      </c>
      <c r="B2732" s="6">
        <v>1</v>
      </c>
      <c r="C2732" s="6" t="s">
        <v>60</v>
      </c>
      <c r="D2732" s="6" t="s">
        <v>678</v>
      </c>
      <c r="E2732" s="6" t="s">
        <v>438</v>
      </c>
      <c r="F2732" s="6" t="str">
        <f>IF($M2732="PADD I","PADD 1",IF($M2732="PADD II","PADD 2",IF($M2732="PADD III","PADD 3",IF($M2732="PADD IV","PADD 4",IF($M2732="PADD V","PADD 5","")))))</f>
        <v>PADD 3</v>
      </c>
      <c r="G2732" s="6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6" t="s">
        <v>471</v>
      </c>
      <c r="I2732" s="6" t="s">
        <v>621</v>
      </c>
      <c r="J2732" s="6" t="s">
        <v>398</v>
      </c>
      <c r="K2732" s="10">
        <v>6.8</v>
      </c>
      <c r="L2732" s="10">
        <v>10</v>
      </c>
      <c r="M2732" s="6" t="s">
        <v>421</v>
      </c>
      <c r="N2732" s="6" t="str">
        <f>IF(OR($G2732="FCC",$G2732="Hydrocracker",$G2732="Reformer"),IF(COUNTIFS($D:$D,$D2732,$A:$A,$A2732,$B:$B,$B2732,$G:$G,"CDU",$J:$J,"PLANNED")&gt;0,"tied","standalone"),"")</f>
        <v>tied</v>
      </c>
    </row>
    <row r="2733" spans="1:14">
      <c r="A2733" s="6">
        <v>2024</v>
      </c>
      <c r="B2733" s="6">
        <v>1</v>
      </c>
      <c r="C2733" s="6" t="s">
        <v>60</v>
      </c>
      <c r="D2733" s="6" t="s">
        <v>445</v>
      </c>
      <c r="E2733" s="6" t="s">
        <v>446</v>
      </c>
      <c r="F2733" s="6" t="str">
        <f>IF($M2733="PADD I","PADD 1",IF($M2733="PADD II","PADD 2",IF($M2733="PADD III","PADD 3",IF($M2733="PADD IV","PADD 4",IF($M2733="PADD V","PADD 5","")))))</f>
        <v>PADD 3</v>
      </c>
      <c r="G2733" s="6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6" t="s">
        <v>428</v>
      </c>
      <c r="I2733" s="6" t="s">
        <v>524</v>
      </c>
      <c r="J2733" s="6" t="s">
        <v>394</v>
      </c>
      <c r="K2733" s="10">
        <v>6.67</v>
      </c>
      <c r="L2733" s="10">
        <v>23</v>
      </c>
      <c r="M2733" s="6" t="s">
        <v>421</v>
      </c>
      <c r="N2733" s="6">
        <f>IF(OR($G2733="FCC",$G2733="Hydrocracker",$G2733="Reformer"),IF(COUNTIFS($D:$D,$D2733,$A:$A,$A2733,$B:$B,$B2733,$G:$G,"CDU",$J:$J,"PLANNED")&gt;0,"tied","standalone"),"")</f>
        <v/>
      </c>
    </row>
    <row r="2734" spans="1:14">
      <c r="A2734" s="6">
        <v>2024</v>
      </c>
      <c r="B2734" s="6">
        <v>1</v>
      </c>
      <c r="C2734" s="6" t="s">
        <v>60</v>
      </c>
      <c r="D2734" s="6" t="s">
        <v>384</v>
      </c>
      <c r="E2734" s="6" t="s">
        <v>419</v>
      </c>
      <c r="F2734" s="6" t="str">
        <f>IF($M2734="PADD I","PADD 1",IF($M2734="PADD II","PADD 2",IF($M2734="PADD III","PADD 3",IF($M2734="PADD IV","PADD 4",IF($M2734="PADD V","PADD 5","")))))</f>
        <v>PADD 3</v>
      </c>
      <c r="G2734" s="6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6" t="s">
        <v>471</v>
      </c>
      <c r="I2734" s="6" t="s">
        <v>1149</v>
      </c>
      <c r="J2734" s="6" t="s">
        <v>398</v>
      </c>
      <c r="K2734" s="10">
        <v>6.65</v>
      </c>
      <c r="L2734" s="10">
        <v>35</v>
      </c>
      <c r="M2734" s="6" t="s">
        <v>421</v>
      </c>
      <c r="N2734" s="6" t="str">
        <f>IF(OR($G2734="FCC",$G2734="Hydrocracker",$G2734="Reformer"),IF(COUNTIFS($D:$D,$D2734,$A:$A,$A2734,$B:$B,$B2734,$G:$G,"CDU",$J:$J,"PLANNED")&gt;0,"tied","standalone"),"")</f>
        <v>standalone</v>
      </c>
    </row>
    <row r="2735" spans="1:14">
      <c r="A2735" s="6">
        <v>2024</v>
      </c>
      <c r="B2735" s="6">
        <v>1</v>
      </c>
      <c r="C2735" s="6" t="s">
        <v>60</v>
      </c>
      <c r="D2735" s="6" t="s">
        <v>507</v>
      </c>
      <c r="E2735" s="6" t="s">
        <v>438</v>
      </c>
      <c r="F2735" s="6" t="str">
        <f>IF($M2735="PADD I","PADD 1",IF($M2735="PADD II","PADD 2",IF($M2735="PADD III","PADD 3",IF($M2735="PADD IV","PADD 4",IF($M2735="PADD V","PADD 5","")))))</f>
        <v>PADD 5</v>
      </c>
      <c r="G2735" s="6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6" t="s">
        <v>44</v>
      </c>
      <c r="I2735" s="6" t="s">
        <v>1150</v>
      </c>
      <c r="J2735" s="6" t="s">
        <v>398</v>
      </c>
      <c r="K2735" s="10">
        <v>6.5</v>
      </c>
      <c r="L2735" s="10">
        <v>10</v>
      </c>
      <c r="M2735" s="6" t="s">
        <v>436</v>
      </c>
      <c r="N2735" s="6">
        <f>IF(OR($G2735="FCC",$G2735="Hydrocracker",$G2735="Reformer"),IF(COUNTIFS($D:$D,$D2735,$A:$A,$A2735,$B:$B,$B2735,$G:$G,"CDU",$J:$J,"PLANNED")&gt;0,"tied","standalone"),"")</f>
        <v/>
      </c>
    </row>
    <row r="2736" spans="1:14">
      <c r="A2736" s="6">
        <v>2024</v>
      </c>
      <c r="B2736" s="6">
        <v>1</v>
      </c>
      <c r="C2736" s="6" t="s">
        <v>60</v>
      </c>
      <c r="D2736" s="6" t="s">
        <v>41</v>
      </c>
      <c r="E2736" s="6" t="s">
        <v>786</v>
      </c>
      <c r="F2736" s="6" t="str">
        <f>IF($M2736="PADD I","PADD 1",IF($M2736="PADD II","PADD 2",IF($M2736="PADD III","PADD 3",IF($M2736="PADD IV","PADD 4",IF($M2736="PADD V","PADD 5","")))))</f>
        <v>PADD 1</v>
      </c>
      <c r="G2736" s="6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6" t="s">
        <v>44</v>
      </c>
      <c r="I2736" s="6" t="s">
        <v>1044</v>
      </c>
      <c r="J2736" s="6" t="s">
        <v>394</v>
      </c>
      <c r="K2736" s="10">
        <v>6.5</v>
      </c>
      <c r="L2736" s="10">
        <v>65</v>
      </c>
      <c r="M2736" s="6" t="s">
        <v>463</v>
      </c>
      <c r="N2736" s="6">
        <f>IF(OR($G2736="FCC",$G2736="Hydrocracker",$G2736="Reformer"),IF(COUNTIFS($D:$D,$D2736,$A:$A,$A2736,$B:$B,$B2736,$G:$G,"CDU",$J:$J,"PLANNED")&gt;0,"tied","standalone"),"")</f>
        <v/>
      </c>
    </row>
    <row r="2737" spans="1:14">
      <c r="A2737" s="6">
        <v>2024</v>
      </c>
      <c r="B2737" s="6">
        <v>1</v>
      </c>
      <c r="C2737" s="6" t="s">
        <v>60</v>
      </c>
      <c r="D2737" s="6" t="s">
        <v>780</v>
      </c>
      <c r="E2737" s="6" t="s">
        <v>781</v>
      </c>
      <c r="F2737" s="6" t="str">
        <f>IF($M2737="PADD I","PADD 1",IF($M2737="PADD II","PADD 2",IF($M2737="PADD III","PADD 3",IF($M2737="PADD IV","PADD 4",IF($M2737="PADD V","PADD 5","")))))</f>
        <v>PADD 3</v>
      </c>
      <c r="G2737" s="6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6" t="s">
        <v>44</v>
      </c>
      <c r="I2737" s="6" t="s">
        <v>1104</v>
      </c>
      <c r="J2737" s="6" t="s">
        <v>394</v>
      </c>
      <c r="K2737" s="10">
        <v>6.5</v>
      </c>
      <c r="L2737" s="10">
        <v>10</v>
      </c>
      <c r="M2737" s="6" t="s">
        <v>421</v>
      </c>
      <c r="N2737" s="6">
        <f>IF(OR($G2737="FCC",$G2737="Hydrocracker",$G2737="Reformer"),IF(COUNTIFS($D:$D,$D2737,$A:$A,$A2737,$B:$B,$B2737,$G:$G,"CDU",$J:$J,"PLANNED")&gt;0,"tied","standalone"),"")</f>
        <v/>
      </c>
    </row>
    <row r="2738" spans="1:14">
      <c r="A2738" s="6">
        <v>2024</v>
      </c>
      <c r="B2738" s="6">
        <v>1</v>
      </c>
      <c r="C2738" s="6" t="s">
        <v>60</v>
      </c>
      <c r="D2738" s="6" t="s">
        <v>41</v>
      </c>
      <c r="E2738" s="6" t="s">
        <v>786</v>
      </c>
      <c r="F2738" s="6" t="str">
        <f>IF($M2738="PADD I","PADD 1",IF($M2738="PADD II","PADD 2",IF($M2738="PADD III","PADD 3",IF($M2738="PADD IV","PADD 4",IF($M2738="PADD V","PADD 5","")))))</f>
        <v>PADD 1</v>
      </c>
      <c r="G2738" s="6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6" t="s">
        <v>44</v>
      </c>
      <c r="I2738" s="6" t="s">
        <v>543</v>
      </c>
      <c r="J2738" s="6" t="s">
        <v>394</v>
      </c>
      <c r="K2738" s="10">
        <v>6</v>
      </c>
      <c r="L2738" s="10">
        <v>60</v>
      </c>
      <c r="M2738" s="6" t="s">
        <v>463</v>
      </c>
      <c r="N2738" s="6">
        <f>IF(OR($G2738="FCC",$G2738="Hydrocracker",$G2738="Reformer"),IF(COUNTIFS($D:$D,$D2738,$A:$A,$A2738,$B:$B,$B2738,$G:$G,"CDU",$J:$J,"PLANNED")&gt;0,"tied","standalone"),"")</f>
        <v/>
      </c>
    </row>
    <row r="2739" spans="1:14">
      <c r="A2739" s="6">
        <v>2024</v>
      </c>
      <c r="B2739" s="6">
        <v>1</v>
      </c>
      <c r="C2739" s="6" t="s">
        <v>60</v>
      </c>
      <c r="D2739" s="6" t="s">
        <v>546</v>
      </c>
      <c r="E2739" s="6" t="s">
        <v>438</v>
      </c>
      <c r="F2739" s="6" t="str">
        <f>IF($M2739="PADD I","PADD 1",IF($M2739="PADD II","PADD 2",IF($M2739="PADD III","PADD 3",IF($M2739="PADD IV","PADD 4",IF($M2739="PADD V","PADD 5","")))))</f>
        <v>PADD 2</v>
      </c>
      <c r="G2739" s="6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6" t="s">
        <v>44</v>
      </c>
      <c r="I2739" s="6" t="s">
        <v>1005</v>
      </c>
      <c r="J2739" s="6" t="s">
        <v>398</v>
      </c>
      <c r="K2739" s="10">
        <v>6</v>
      </c>
      <c r="L2739" s="10">
        <v>6</v>
      </c>
      <c r="M2739" s="6" t="s">
        <v>425</v>
      </c>
      <c r="N2739" s="6">
        <f>IF(OR($G2739="FCC",$G2739="Hydrocracker",$G2739="Reformer"),IF(COUNTIFS($D:$D,$D2739,$A:$A,$A2739,$B:$B,$B2739,$G:$G,"CDU",$J:$J,"PLANNED")&gt;0,"tied","standalone"),"")</f>
        <v/>
      </c>
    </row>
    <row r="2740" spans="1:14">
      <c r="A2740" s="6">
        <v>2024</v>
      </c>
      <c r="B2740" s="6">
        <v>1</v>
      </c>
      <c r="C2740" s="6" t="s">
        <v>60</v>
      </c>
      <c r="D2740" s="6" t="s">
        <v>1003</v>
      </c>
      <c r="E2740" s="6" t="s">
        <v>783</v>
      </c>
      <c r="F2740" s="6" t="str">
        <f>IF($M2740="PADD I","PADD 1",IF($M2740="PADD II","PADD 2",IF($M2740="PADD III","PADD 3",IF($M2740="PADD IV","PADD 4",IF($M2740="PADD V","PADD 5","")))))</f>
        <v>PADD 2</v>
      </c>
      <c r="G2740" s="6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6" t="s">
        <v>39</v>
      </c>
      <c r="I2740" s="6" t="s">
        <v>124</v>
      </c>
      <c r="J2740" s="6" t="s">
        <v>394</v>
      </c>
      <c r="K2740" s="10">
        <v>5.9</v>
      </c>
      <c r="L2740" s="10">
        <v>59</v>
      </c>
      <c r="M2740" s="6" t="s">
        <v>425</v>
      </c>
      <c r="N2740" s="6">
        <f>IF(OR($G2740="FCC",$G2740="Hydrocracker",$G2740="Reformer"),IF(COUNTIFS($D:$D,$D2740,$A:$A,$A2740,$B:$B,$B2740,$G:$G,"CDU",$J:$J,"PLANNED")&gt;0,"tied","standalone"),"")</f>
        <v/>
      </c>
    </row>
    <row r="2741" spans="1:14">
      <c r="A2741" s="6">
        <v>2024</v>
      </c>
      <c r="B2741" s="6">
        <v>1</v>
      </c>
      <c r="C2741" s="6" t="s">
        <v>60</v>
      </c>
      <c r="D2741" s="6" t="s">
        <v>712</v>
      </c>
      <c r="E2741" s="6" t="s">
        <v>602</v>
      </c>
      <c r="F2741" s="6" t="str">
        <f>IF($M2741="PADD I","PADD 1",IF($M2741="PADD II","PADD 2",IF($M2741="PADD III","PADD 3",IF($M2741="PADD IV","PADD 4",IF($M2741="PADD V","PADD 5","")))))</f>
        <v>PADD 3</v>
      </c>
      <c r="G2741" s="6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6" t="s">
        <v>44</v>
      </c>
      <c r="I2741" s="6" t="s">
        <v>878</v>
      </c>
      <c r="J2741" s="6" t="s">
        <v>398</v>
      </c>
      <c r="K2741" s="10">
        <v>5.76</v>
      </c>
      <c r="L2741" s="10">
        <v>12</v>
      </c>
      <c r="M2741" s="6" t="s">
        <v>421</v>
      </c>
      <c r="N2741" s="6">
        <f>IF(OR($G2741="FCC",$G2741="Hydrocracker",$G2741="Reformer"),IF(COUNTIFS($D:$D,$D2741,$A:$A,$A2741,$B:$B,$B2741,$G:$G,"CDU",$J:$J,"PLANNED")&gt;0,"tied","standalone"),"")</f>
        <v/>
      </c>
    </row>
    <row r="2742" spans="1:14">
      <c r="A2742" s="6">
        <v>2024</v>
      </c>
      <c r="B2742" s="6">
        <v>1</v>
      </c>
      <c r="C2742" s="6" t="s">
        <v>60</v>
      </c>
      <c r="D2742" s="6" t="s">
        <v>780</v>
      </c>
      <c r="E2742" s="6" t="s">
        <v>781</v>
      </c>
      <c r="F2742" s="6" t="str">
        <f>IF($M2742="PADD I","PADD 1",IF($M2742="PADD II","PADD 2",IF($M2742="PADD III","PADD 3",IF($M2742="PADD IV","PADD 4",IF($M2742="PADD V","PADD 5","")))))</f>
        <v>PADD 3</v>
      </c>
      <c r="G2742" s="6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6" t="s">
        <v>471</v>
      </c>
      <c r="I2742" s="6" t="s">
        <v>15</v>
      </c>
      <c r="J2742" s="6" t="s">
        <v>394</v>
      </c>
      <c r="K2742" s="10">
        <v>5.72</v>
      </c>
      <c r="L2742" s="10">
        <v>11</v>
      </c>
      <c r="M2742" s="6" t="s">
        <v>421</v>
      </c>
      <c r="N2742" s="6" t="str">
        <f>IF(OR($G2742="FCC",$G2742="Hydrocracker",$G2742="Reformer"),IF(COUNTIFS($D:$D,$D2742,$A:$A,$A2742,$B:$B,$B2742,$G:$G,"CDU",$J:$J,"PLANNED")&gt;0,"tied","standalone"),"")</f>
        <v>standalone</v>
      </c>
    </row>
    <row r="2743" spans="1:14">
      <c r="A2743" s="6">
        <v>2024</v>
      </c>
      <c r="B2743" s="6">
        <v>1</v>
      </c>
      <c r="C2743" s="6" t="s">
        <v>60</v>
      </c>
      <c r="D2743" s="6" t="s">
        <v>445</v>
      </c>
      <c r="E2743" s="6" t="s">
        <v>446</v>
      </c>
      <c r="F2743" s="6" t="str">
        <f>IF($M2743="PADD I","PADD 1",IF($M2743="PADD II","PADD 2",IF($M2743="PADD III","PADD 3",IF($M2743="PADD IV","PADD 4",IF($M2743="PADD V","PADD 5","")))))</f>
        <v>PADD 3</v>
      </c>
      <c r="G2743" s="6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6" t="s">
        <v>485</v>
      </c>
      <c r="I2743" s="6" t="s">
        <v>491</v>
      </c>
      <c r="J2743" s="6" t="s">
        <v>394</v>
      </c>
      <c r="K2743" s="10">
        <v>5.336</v>
      </c>
      <c r="L2743" s="10">
        <v>18.4</v>
      </c>
      <c r="M2743" s="6" t="s">
        <v>421</v>
      </c>
      <c r="N2743" s="6">
        <f>IF(OR($G2743="FCC",$G2743="Hydrocracker",$G2743="Reformer"),IF(COUNTIFS($D:$D,$D2743,$A:$A,$A2743,$B:$B,$B2743,$G:$G,"CDU",$J:$J,"PLANNED")&gt;0,"tied","standalone"),"")</f>
        <v/>
      </c>
    </row>
    <row r="2744" spans="1:14">
      <c r="A2744" s="6">
        <v>2024</v>
      </c>
      <c r="B2744" s="6">
        <v>1</v>
      </c>
      <c r="C2744" s="6" t="s">
        <v>60</v>
      </c>
      <c r="D2744" s="6" t="s">
        <v>613</v>
      </c>
      <c r="E2744" s="6" t="s">
        <v>446</v>
      </c>
      <c r="F2744" s="6" t="str">
        <f>IF($M2744="PADD I","PADD 1",IF($M2744="PADD II","PADD 2",IF($M2744="PADD III","PADD 3",IF($M2744="PADD IV","PADD 4",IF($M2744="PADD V","PADD 5","")))))</f>
        <v>PADD 3</v>
      </c>
      <c r="G2744" s="6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6" t="s">
        <v>44</v>
      </c>
      <c r="I2744" s="6" t="s">
        <v>614</v>
      </c>
      <c r="J2744" s="6" t="s">
        <v>394</v>
      </c>
      <c r="K2744" s="10">
        <v>5.317</v>
      </c>
      <c r="L2744" s="10">
        <v>40.9</v>
      </c>
      <c r="M2744" s="6" t="s">
        <v>421</v>
      </c>
      <c r="N2744" s="6">
        <f>IF(OR($G2744="FCC",$G2744="Hydrocracker",$G2744="Reformer"),IF(COUNTIFS($D:$D,$D2744,$A:$A,$A2744,$B:$B,$B2744,$G:$G,"CDU",$J:$J,"PLANNED")&gt;0,"tied","standalone"),"")</f>
        <v/>
      </c>
    </row>
    <row r="2745" spans="1:14">
      <c r="A2745" s="6">
        <v>2024</v>
      </c>
      <c r="B2745" s="6">
        <v>1</v>
      </c>
      <c r="C2745" s="6" t="s">
        <v>60</v>
      </c>
      <c r="D2745" s="6" t="s">
        <v>380</v>
      </c>
      <c r="E2745" s="6" t="s">
        <v>423</v>
      </c>
      <c r="F2745" s="6" t="str">
        <f>IF($M2745="PADD I","PADD 1",IF($M2745="PADD II","PADD 2",IF($M2745="PADD III","PADD 3",IF($M2745="PADD IV","PADD 4",IF($M2745="PADD V","PADD 5","")))))</f>
        <v>PADD 2</v>
      </c>
      <c r="G2745" s="6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6" t="s">
        <v>485</v>
      </c>
      <c r="I2745" s="6" t="s">
        <v>491</v>
      </c>
      <c r="J2745" s="6" t="s">
        <v>394</v>
      </c>
      <c r="K2745" s="10">
        <v>5.29</v>
      </c>
      <c r="L2745" s="10">
        <v>23</v>
      </c>
      <c r="M2745" s="6" t="s">
        <v>425</v>
      </c>
      <c r="N2745" s="6">
        <f>IF(OR($G2745="FCC",$G2745="Hydrocracker",$G2745="Reformer"),IF(COUNTIFS($D:$D,$D2745,$A:$A,$A2745,$B:$B,$B2745,$G:$G,"CDU",$J:$J,"PLANNED")&gt;0,"tied","standalone"),"")</f>
        <v/>
      </c>
    </row>
    <row r="2746" spans="1:14">
      <c r="A2746" s="6">
        <v>2024</v>
      </c>
      <c r="B2746" s="6">
        <v>1</v>
      </c>
      <c r="C2746" s="6" t="s">
        <v>60</v>
      </c>
      <c r="D2746" s="6" t="s">
        <v>1003</v>
      </c>
      <c r="E2746" s="6" t="s">
        <v>783</v>
      </c>
      <c r="F2746" s="6" t="str">
        <f>IF($M2746="PADD I","PADD 1",IF($M2746="PADD II","PADD 2",IF($M2746="PADD III","PADD 3",IF($M2746="PADD IV","PADD 4",IF($M2746="PADD V","PADD 5","")))))</f>
        <v>PADD 2</v>
      </c>
      <c r="G2746" s="6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6" t="s">
        <v>44</v>
      </c>
      <c r="I2746" s="6" t="s">
        <v>570</v>
      </c>
      <c r="J2746" s="6" t="s">
        <v>394</v>
      </c>
      <c r="K2746" s="10">
        <v>5.2</v>
      </c>
      <c r="L2746" s="10">
        <v>52</v>
      </c>
      <c r="M2746" s="6" t="s">
        <v>425</v>
      </c>
      <c r="N2746" s="6">
        <f>IF(OR($G2746="FCC",$G2746="Hydrocracker",$G2746="Reformer"),IF(COUNTIFS($D:$D,$D2746,$A:$A,$A2746,$B:$B,$B2746,$G:$G,"CDU",$J:$J,"PLANNED")&gt;0,"tied","standalone"),"")</f>
        <v/>
      </c>
    </row>
    <row r="2747" spans="1:14">
      <c r="A2747" s="6">
        <v>2024</v>
      </c>
      <c r="B2747" s="6">
        <v>1</v>
      </c>
      <c r="C2747" s="6" t="s">
        <v>60</v>
      </c>
      <c r="D2747" s="6" t="s">
        <v>665</v>
      </c>
      <c r="E2747" s="6" t="s">
        <v>455</v>
      </c>
      <c r="F2747" s="6" t="str">
        <f>IF($M2747="PADD I","PADD 1",IF($M2747="PADD II","PADD 2",IF($M2747="PADD III","PADD 3",IF($M2747="PADD IV","PADD 4",IF($M2747="PADD V","PADD 5","")))))</f>
        <v>PADD 5</v>
      </c>
      <c r="G2747" s="6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6" t="s">
        <v>471</v>
      </c>
      <c r="I2747" s="6" t="s">
        <v>716</v>
      </c>
      <c r="J2747" s="6" t="s">
        <v>394</v>
      </c>
      <c r="K2747" s="10">
        <v>5.2</v>
      </c>
      <c r="L2747" s="10">
        <v>40</v>
      </c>
      <c r="M2747" s="6" t="s">
        <v>436</v>
      </c>
      <c r="N2747" s="6" t="str">
        <f>IF(OR($G2747="FCC",$G2747="Hydrocracker",$G2747="Reformer"),IF(COUNTIFS($D:$D,$D2747,$A:$A,$A2747,$B:$B,$B2747,$G:$G,"CDU",$J:$J,"PLANNED")&gt;0,"tied","standalone"),"")</f>
        <v>standalone</v>
      </c>
    </row>
    <row r="2748" spans="1:14">
      <c r="A2748" s="6">
        <v>2024</v>
      </c>
      <c r="B2748" s="6">
        <v>1</v>
      </c>
      <c r="C2748" s="6" t="s">
        <v>60</v>
      </c>
      <c r="D2748" s="6" t="s">
        <v>458</v>
      </c>
      <c r="E2748" s="6" t="s">
        <v>459</v>
      </c>
      <c r="F2748" s="6" t="str">
        <f>IF($M2748="PADD I","PADD 1",IF($M2748="PADD II","PADD 2",IF($M2748="PADD III","PADD 3",IF($M2748="PADD IV","PADD 4",IF($M2748="PADD V","PADD 5","")))))</f>
        <v>PADD 3</v>
      </c>
      <c r="G2748" s="6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6" t="s">
        <v>428</v>
      </c>
      <c r="I2748" s="6" t="s">
        <v>556</v>
      </c>
      <c r="J2748" s="6" t="s">
        <v>394</v>
      </c>
      <c r="K2748" s="10">
        <v>5.2</v>
      </c>
      <c r="L2748" s="10">
        <v>52</v>
      </c>
      <c r="M2748" s="6" t="s">
        <v>421</v>
      </c>
      <c r="N2748" s="6">
        <f>IF(OR($G2748="FCC",$G2748="Hydrocracker",$G2748="Reformer"),IF(COUNTIFS($D:$D,$D2748,$A:$A,$A2748,$B:$B,$B2748,$G:$G,"CDU",$J:$J,"PLANNED")&gt;0,"tied","standalone"),"")</f>
        <v/>
      </c>
    </row>
    <row r="2749" spans="1:14">
      <c r="A2749" s="6">
        <v>2024</v>
      </c>
      <c r="B2749" s="6">
        <v>1</v>
      </c>
      <c r="C2749" s="6" t="s">
        <v>60</v>
      </c>
      <c r="D2749" s="6" t="s">
        <v>534</v>
      </c>
      <c r="E2749" s="6" t="s">
        <v>459</v>
      </c>
      <c r="F2749" s="6" t="str">
        <f>IF($M2749="PADD I","PADD 1",IF($M2749="PADD II","PADD 2",IF($M2749="PADD III","PADD 3",IF($M2749="PADD IV","PADD 4",IF($M2749="PADD V","PADD 5","")))))</f>
        <v>PADD 3</v>
      </c>
      <c r="G2749" s="6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6" t="s">
        <v>44</v>
      </c>
      <c r="I2749" s="6" t="s">
        <v>543</v>
      </c>
      <c r="J2749" s="6" t="s">
        <v>394</v>
      </c>
      <c r="K2749" s="10">
        <v>5.2</v>
      </c>
      <c r="L2749" s="10">
        <v>10</v>
      </c>
      <c r="M2749" s="6" t="s">
        <v>421</v>
      </c>
      <c r="N2749" s="6">
        <f>IF(OR($G2749="FCC",$G2749="Hydrocracker",$G2749="Reformer"),IF(COUNTIFS($D:$D,$D2749,$A:$A,$A2749,$B:$B,$B2749,$G:$G,"CDU",$J:$J,"PLANNED")&gt;0,"tied","standalone"),"")</f>
        <v/>
      </c>
    </row>
    <row r="2750" spans="1:14">
      <c r="A2750" s="6">
        <v>2024</v>
      </c>
      <c r="B2750" s="6">
        <v>1</v>
      </c>
      <c r="C2750" s="6" t="s">
        <v>60</v>
      </c>
      <c r="D2750" s="6" t="s">
        <v>665</v>
      </c>
      <c r="E2750" s="6" t="s">
        <v>455</v>
      </c>
      <c r="F2750" s="6" t="str">
        <f>IF($M2750="PADD I","PADD 1",IF($M2750="PADD II","PADD 2",IF($M2750="PADD III","PADD 3",IF($M2750="PADD IV","PADD 4",IF($M2750="PADD V","PADD 5","")))))</f>
        <v>PADD 5</v>
      </c>
      <c r="G2750" s="6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6" t="s">
        <v>471</v>
      </c>
      <c r="I2750" s="6" t="s">
        <v>716</v>
      </c>
      <c r="J2750" s="6" t="s">
        <v>398</v>
      </c>
      <c r="K2750" s="10">
        <v>5.2</v>
      </c>
      <c r="L2750" s="10">
        <v>40</v>
      </c>
      <c r="M2750" s="6" t="s">
        <v>436</v>
      </c>
      <c r="N2750" s="6" t="str">
        <f>IF(OR($G2750="FCC",$G2750="Hydrocracker",$G2750="Reformer"),IF(COUNTIFS($D:$D,$D2750,$A:$A,$A2750,$B:$B,$B2750,$G:$G,"CDU",$J:$J,"PLANNED")&gt;0,"tied","standalone"),"")</f>
        <v>standalone</v>
      </c>
    </row>
    <row r="2751" spans="1:14">
      <c r="A2751" s="6">
        <v>2024</v>
      </c>
      <c r="B2751" s="6">
        <v>1</v>
      </c>
      <c r="C2751" s="6" t="s">
        <v>60</v>
      </c>
      <c r="D2751" s="6" t="s">
        <v>1003</v>
      </c>
      <c r="E2751" s="6" t="s">
        <v>783</v>
      </c>
      <c r="F2751" s="6" t="str">
        <f>IF($M2751="PADD I","PADD 1",IF($M2751="PADD II","PADD 2",IF($M2751="PADD III","PADD 3",IF($M2751="PADD IV","PADD 4",IF($M2751="PADD V","PADD 5","")))))</f>
        <v>PADD 2</v>
      </c>
      <c r="G2751" s="6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6" t="s">
        <v>39</v>
      </c>
      <c r="I2751" s="6" t="s">
        <v>379</v>
      </c>
      <c r="J2751" s="6" t="s">
        <v>394</v>
      </c>
      <c r="K2751" s="10">
        <v>5</v>
      </c>
      <c r="L2751" s="10">
        <v>50</v>
      </c>
      <c r="M2751" s="6" t="s">
        <v>425</v>
      </c>
      <c r="N2751" s="6">
        <f>IF(OR($G2751="FCC",$G2751="Hydrocracker",$G2751="Reformer"),IF(COUNTIFS($D:$D,$D2751,$A:$A,$A2751,$B:$B,$B2751,$G:$G,"CDU",$J:$J,"PLANNED")&gt;0,"tied","standalone"),"")</f>
        <v/>
      </c>
    </row>
    <row r="2752" spans="1:14">
      <c r="A2752" s="6">
        <v>2024</v>
      </c>
      <c r="B2752" s="6">
        <v>1</v>
      </c>
      <c r="C2752" s="6" t="s">
        <v>60</v>
      </c>
      <c r="D2752" s="6" t="s">
        <v>678</v>
      </c>
      <c r="E2752" s="6" t="s">
        <v>438</v>
      </c>
      <c r="F2752" s="6" t="str">
        <f>IF($M2752="PADD I","PADD 1",IF($M2752="PADD II","PADD 2",IF($M2752="PADD III","PADD 3",IF($M2752="PADD IV","PADD 4",IF($M2752="PADD V","PADD 5","")))))</f>
        <v>PADD 3</v>
      </c>
      <c r="G2752" s="6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6" t="s">
        <v>39</v>
      </c>
      <c r="I2752" s="6" t="s">
        <v>1098</v>
      </c>
      <c r="J2752" s="6" t="s">
        <v>398</v>
      </c>
      <c r="K2752" s="10">
        <v>5</v>
      </c>
      <c r="L2752" s="10">
        <v>50</v>
      </c>
      <c r="M2752" s="6" t="s">
        <v>421</v>
      </c>
      <c r="N2752" s="6">
        <f>IF(OR($G2752="FCC",$G2752="Hydrocracker",$G2752="Reformer"),IF(COUNTIFS($D:$D,$D2752,$A:$A,$A2752,$B:$B,$B2752,$G:$G,"CDU",$J:$J,"PLANNED")&gt;0,"tied","standalone"),"")</f>
        <v/>
      </c>
    </row>
    <row r="2753" spans="1:14">
      <c r="A2753" s="6">
        <v>2024</v>
      </c>
      <c r="B2753" s="6">
        <v>1</v>
      </c>
      <c r="C2753" s="6" t="s">
        <v>60</v>
      </c>
      <c r="D2753" s="6" t="s">
        <v>458</v>
      </c>
      <c r="E2753" s="6" t="s">
        <v>459</v>
      </c>
      <c r="F2753" s="6" t="str">
        <f>IF($M2753="PADD I","PADD 1",IF($M2753="PADD II","PADD 2",IF($M2753="PADD III","PADD 3",IF($M2753="PADD IV","PADD 4",IF($M2753="PADD V","PADD 5","")))))</f>
        <v>PADD 3</v>
      </c>
      <c r="G2753" s="6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6" t="s">
        <v>39</v>
      </c>
      <c r="I2753" s="6" t="s">
        <v>460</v>
      </c>
      <c r="J2753" s="6" t="s">
        <v>394</v>
      </c>
      <c r="K2753" s="10">
        <v>4.5</v>
      </c>
      <c r="L2753" s="10">
        <v>150</v>
      </c>
      <c r="M2753" s="6" t="s">
        <v>421</v>
      </c>
      <c r="N2753" s="6">
        <f>IF(OR($G2753="FCC",$G2753="Hydrocracker",$G2753="Reformer"),IF(COUNTIFS($D:$D,$D2753,$A:$A,$A2753,$B:$B,$B2753,$G:$G,"CDU",$J:$J,"PLANNED")&gt;0,"tied","standalone"),"")</f>
        <v/>
      </c>
    </row>
    <row r="2754" spans="1:14">
      <c r="A2754" s="6">
        <v>2024</v>
      </c>
      <c r="B2754" s="6">
        <v>1</v>
      </c>
      <c r="C2754" s="6" t="s">
        <v>60</v>
      </c>
      <c r="D2754" s="6" t="s">
        <v>1151</v>
      </c>
      <c r="E2754" s="6" t="s">
        <v>931</v>
      </c>
      <c r="F2754" s="6" t="str">
        <f>IF($M2754="PADD I","PADD 1",IF($M2754="PADD II","PADD 2",IF($M2754="PADD III","PADD 3",IF($M2754="PADD IV","PADD 4",IF($M2754="PADD V","PADD 5","")))))</f>
        <v>PADD 3</v>
      </c>
      <c r="G2754" s="6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6" t="s">
        <v>39</v>
      </c>
      <c r="I2754" s="6" t="s">
        <v>82</v>
      </c>
      <c r="J2754" s="6" t="s">
        <v>398</v>
      </c>
      <c r="K2754" s="10">
        <v>4.5</v>
      </c>
      <c r="L2754" s="10">
        <v>10</v>
      </c>
      <c r="M2754" s="6" t="s">
        <v>421</v>
      </c>
      <c r="N2754" s="6">
        <f>IF(OR($G2754="FCC",$G2754="Hydrocracker",$G2754="Reformer"),IF(COUNTIFS($D:$D,$D2754,$A:$A,$A2754,$B:$B,$B2754,$G:$G,"CDU",$J:$J,"PLANNED")&gt;0,"tied","standalone"),"")</f>
        <v/>
      </c>
    </row>
    <row r="2755" spans="1:14">
      <c r="A2755" s="6">
        <v>2024</v>
      </c>
      <c r="B2755" s="6">
        <v>1</v>
      </c>
      <c r="C2755" s="6" t="s">
        <v>60</v>
      </c>
      <c r="D2755" s="6" t="s">
        <v>512</v>
      </c>
      <c r="E2755" s="6" t="s">
        <v>488</v>
      </c>
      <c r="F2755" s="6" t="str">
        <f>IF($M2755="PADD I","PADD 1",IF($M2755="PADD II","PADD 2",IF($M2755="PADD III","PADD 3",IF($M2755="PADD IV","PADD 4",IF($M2755="PADD V","PADD 5","")))))</f>
        <v>PADD 4</v>
      </c>
      <c r="G2755" s="6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6" t="s">
        <v>428</v>
      </c>
      <c r="I2755" s="6" t="s">
        <v>605</v>
      </c>
      <c r="J2755" s="6" t="s">
        <v>394</v>
      </c>
      <c r="K2755" s="10">
        <v>4.3576</v>
      </c>
      <c r="L2755" s="10">
        <v>8.380000000000001</v>
      </c>
      <c r="M2755" s="6" t="s">
        <v>480</v>
      </c>
      <c r="N2755" s="6">
        <f>IF(OR($G2755="FCC",$G2755="Hydrocracker",$G2755="Reformer"),IF(COUNTIFS($D:$D,$D2755,$A:$A,$A2755,$B:$B,$B2755,$G:$G,"CDU",$J:$J,"PLANNED")&gt;0,"tied","standalone"),"")</f>
        <v/>
      </c>
    </row>
    <row r="2756" spans="1:14">
      <c r="A2756" s="6">
        <v>2024</v>
      </c>
      <c r="B2756" s="6">
        <v>1</v>
      </c>
      <c r="C2756" s="6" t="s">
        <v>60</v>
      </c>
      <c r="D2756" s="6" t="s">
        <v>512</v>
      </c>
      <c r="E2756" s="6" t="s">
        <v>488</v>
      </c>
      <c r="F2756" s="6" t="str">
        <f>IF($M2756="PADD I","PADD 1",IF($M2756="PADD II","PADD 2",IF($M2756="PADD III","PADD 3",IF($M2756="PADD IV","PADD 4",IF($M2756="PADD V","PADD 5","")))))</f>
        <v>PADD 4</v>
      </c>
      <c r="G2756" s="6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6" t="s">
        <v>428</v>
      </c>
      <c r="I2756" s="6" t="s">
        <v>605</v>
      </c>
      <c r="J2756" s="6" t="s">
        <v>394</v>
      </c>
      <c r="K2756" s="10">
        <v>4.316</v>
      </c>
      <c r="L2756" s="10">
        <v>8.300000000000001</v>
      </c>
      <c r="M2756" s="6" t="s">
        <v>480</v>
      </c>
      <c r="N2756" s="6">
        <f>IF(OR($G2756="FCC",$G2756="Hydrocracker",$G2756="Reformer"),IF(COUNTIFS($D:$D,$D2756,$A:$A,$A2756,$B:$B,$B2756,$G:$G,"CDU",$J:$J,"PLANNED")&gt;0,"tied","standalone"),"")</f>
        <v/>
      </c>
    </row>
    <row r="2757" spans="1:14">
      <c r="A2757" s="6">
        <v>2024</v>
      </c>
      <c r="B2757" s="6">
        <v>1</v>
      </c>
      <c r="C2757" s="6" t="s">
        <v>60</v>
      </c>
      <c r="D2757" s="6" t="s">
        <v>487</v>
      </c>
      <c r="E2757" s="6" t="s">
        <v>488</v>
      </c>
      <c r="F2757" s="6" t="str">
        <f>IF($M2757="PADD I","PADD 1",IF($M2757="PADD II","PADD 2",IF($M2757="PADD III","PADD 3",IF($M2757="PADD IV","PADD 4",IF($M2757="PADD V","PADD 5","")))))</f>
        <v>PADD 4</v>
      </c>
      <c r="G2757" s="6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6" t="s">
        <v>428</v>
      </c>
      <c r="I2757" s="6" t="s">
        <v>606</v>
      </c>
      <c r="J2757" s="6" t="s">
        <v>394</v>
      </c>
      <c r="K2757" s="10">
        <v>4.316</v>
      </c>
      <c r="L2757" s="10">
        <v>8.300000000000001</v>
      </c>
      <c r="M2757" s="6" t="s">
        <v>480</v>
      </c>
      <c r="N2757" s="6">
        <f>IF(OR($G2757="FCC",$G2757="Hydrocracker",$G2757="Reformer"),IF(COUNTIFS($D:$D,$D2757,$A:$A,$A2757,$B:$B,$B2757,$G:$G,"CDU",$J:$J,"PLANNED")&gt;0,"tied","standalone"),"")</f>
        <v/>
      </c>
    </row>
    <row r="2758" spans="1:14">
      <c r="A2758" s="6">
        <v>2024</v>
      </c>
      <c r="B2758" s="6">
        <v>1</v>
      </c>
      <c r="C2758" s="6" t="s">
        <v>60</v>
      </c>
      <c r="D2758" s="6" t="s">
        <v>568</v>
      </c>
      <c r="E2758" s="6" t="s">
        <v>419</v>
      </c>
      <c r="F2758" s="6" t="str">
        <f>IF($M2758="PADD I","PADD 1",IF($M2758="PADD II","PADD 2",IF($M2758="PADD III","PADD 3",IF($M2758="PADD IV","PADD 4",IF($M2758="PADD V","PADD 5","")))))</f>
        <v>PADD 5</v>
      </c>
      <c r="G2758" s="6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6" t="s">
        <v>471</v>
      </c>
      <c r="I2758" s="6" t="s">
        <v>895</v>
      </c>
      <c r="J2758" s="6" t="s">
        <v>394</v>
      </c>
      <c r="K2758" s="10">
        <v>4.255</v>
      </c>
      <c r="L2758" s="10">
        <v>18.5</v>
      </c>
      <c r="M2758" s="6" t="s">
        <v>436</v>
      </c>
      <c r="N2758" s="6" t="str">
        <f>IF(OR($G2758="FCC",$G2758="Hydrocracker",$G2758="Reformer"),IF(COUNTIFS($D:$D,$D2758,$A:$A,$A2758,$B:$B,$B2758,$G:$G,"CDU",$J:$J,"PLANNED")&gt;0,"tied","standalone"),"")</f>
        <v>standalone</v>
      </c>
    </row>
    <row r="2759" spans="1:14">
      <c r="A2759" s="6">
        <v>2024</v>
      </c>
      <c r="B2759" s="6">
        <v>1</v>
      </c>
      <c r="C2759" s="6" t="s">
        <v>60</v>
      </c>
      <c r="D2759" s="6" t="s">
        <v>568</v>
      </c>
      <c r="E2759" s="6" t="s">
        <v>419</v>
      </c>
      <c r="F2759" s="6" t="str">
        <f>IF($M2759="PADD I","PADD 1",IF($M2759="PADD II","PADD 2",IF($M2759="PADD III","PADD 3",IF($M2759="PADD IV","PADD 4",IF($M2759="PADD V","PADD 5","")))))</f>
        <v>PADD 5</v>
      </c>
      <c r="G2759" s="6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6" t="s">
        <v>471</v>
      </c>
      <c r="I2759" s="6" t="s">
        <v>636</v>
      </c>
      <c r="J2759" s="6" t="s">
        <v>394</v>
      </c>
      <c r="K2759" s="10">
        <v>4.255</v>
      </c>
      <c r="L2759" s="10">
        <v>18.5</v>
      </c>
      <c r="M2759" s="6" t="s">
        <v>436</v>
      </c>
      <c r="N2759" s="6" t="str">
        <f>IF(OR($G2759="FCC",$G2759="Hydrocracker",$G2759="Reformer"),IF(COUNTIFS($D:$D,$D2759,$A:$A,$A2759,$B:$B,$B2759,$G:$G,"CDU",$J:$J,"PLANNED")&gt;0,"tied","standalone"),"")</f>
        <v>standalone</v>
      </c>
    </row>
    <row r="2760" spans="1:14">
      <c r="A2760" s="6">
        <v>2024</v>
      </c>
      <c r="B2760" s="6">
        <v>1</v>
      </c>
      <c r="C2760" s="6" t="s">
        <v>60</v>
      </c>
      <c r="D2760" s="6" t="s">
        <v>507</v>
      </c>
      <c r="E2760" s="6" t="s">
        <v>438</v>
      </c>
      <c r="F2760" s="6" t="str">
        <f>IF($M2760="PADD I","PADD 1",IF($M2760="PADD II","PADD 2",IF($M2760="PADD III","PADD 3",IF($M2760="PADD IV","PADD 4",IF($M2760="PADD V","PADD 5","")))))</f>
        <v>PADD 5</v>
      </c>
      <c r="G2760" s="6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6" t="s">
        <v>510</v>
      </c>
      <c r="I2760" s="6" t="s">
        <v>511</v>
      </c>
      <c r="J2760" s="6" t="s">
        <v>398</v>
      </c>
      <c r="K2760" s="10">
        <v>4.225</v>
      </c>
      <c r="L2760" s="10">
        <v>6.5</v>
      </c>
      <c r="M2760" s="6" t="s">
        <v>436</v>
      </c>
      <c r="N2760" s="6">
        <f>IF(OR($G2760="FCC",$G2760="Hydrocracker",$G2760="Reformer"),IF(COUNTIFS($D:$D,$D2760,$A:$A,$A2760,$B:$B,$B2760,$G:$G,"CDU",$J:$J,"PLANNED")&gt;0,"tied","standalone"),"")</f>
        <v/>
      </c>
    </row>
    <row r="2761" spans="1:14">
      <c r="A2761" s="6">
        <v>2024</v>
      </c>
      <c r="B2761" s="6">
        <v>1</v>
      </c>
      <c r="C2761" s="6" t="s">
        <v>60</v>
      </c>
      <c r="D2761" s="6" t="s">
        <v>445</v>
      </c>
      <c r="E2761" s="6" t="s">
        <v>446</v>
      </c>
      <c r="F2761" s="6" t="str">
        <f>IF($M2761="PADD I","PADD 1",IF($M2761="PADD II","PADD 2",IF($M2761="PADD III","PADD 3",IF($M2761="PADD IV","PADD 4",IF($M2761="PADD V","PADD 5","")))))</f>
        <v>PADD 3</v>
      </c>
      <c r="G2761" s="6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6" t="s">
        <v>44</v>
      </c>
      <c r="I2761" s="6" t="s">
        <v>549</v>
      </c>
      <c r="J2761" s="6" t="s">
        <v>394</v>
      </c>
      <c r="K2761" s="10">
        <v>4.176</v>
      </c>
      <c r="L2761" s="10">
        <v>14.4</v>
      </c>
      <c r="M2761" s="6" t="s">
        <v>421</v>
      </c>
      <c r="N2761" s="6">
        <f>IF(OR($G2761="FCC",$G2761="Hydrocracker",$G2761="Reformer"),IF(COUNTIFS($D:$D,$D2761,$A:$A,$A2761,$B:$B,$B2761,$G:$G,"CDU",$J:$J,"PLANNED")&gt;0,"tied","standalone"),"")</f>
        <v/>
      </c>
    </row>
    <row r="2762" spans="1:14">
      <c r="A2762" s="6">
        <v>2024</v>
      </c>
      <c r="B2762" s="6">
        <v>1</v>
      </c>
      <c r="C2762" s="6" t="s">
        <v>60</v>
      </c>
      <c r="D2762" s="6" t="s">
        <v>41</v>
      </c>
      <c r="E2762" s="6" t="s">
        <v>786</v>
      </c>
      <c r="F2762" s="6" t="str">
        <f>IF($M2762="PADD I","PADD 1",IF($M2762="PADD II","PADD 2",IF($M2762="PADD III","PADD 3",IF($M2762="PADD IV","PADD 4",IF($M2762="PADD V","PADD 5","")))))</f>
        <v>PADD 1</v>
      </c>
      <c r="G2762" s="6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6" t="s">
        <v>428</v>
      </c>
      <c r="I2762" s="6" t="s">
        <v>1059</v>
      </c>
      <c r="J2762" s="6" t="s">
        <v>394</v>
      </c>
      <c r="K2762" s="10">
        <v>4.16</v>
      </c>
      <c r="L2762" s="10">
        <v>26</v>
      </c>
      <c r="M2762" s="6" t="s">
        <v>463</v>
      </c>
      <c r="N2762" s="6">
        <f>IF(OR($G2762="FCC",$G2762="Hydrocracker",$G2762="Reformer"),IF(COUNTIFS($D:$D,$D2762,$A:$A,$A2762,$B:$B,$B2762,$G:$G,"CDU",$J:$J,"PLANNED")&gt;0,"tied","standalone"),"")</f>
        <v/>
      </c>
    </row>
    <row r="2763" spans="1:14">
      <c r="A2763" s="6">
        <v>2024</v>
      </c>
      <c r="B2763" s="6">
        <v>1</v>
      </c>
      <c r="C2763" s="6" t="s">
        <v>60</v>
      </c>
      <c r="D2763" s="6" t="s">
        <v>445</v>
      </c>
      <c r="E2763" s="6" t="s">
        <v>446</v>
      </c>
      <c r="F2763" s="6" t="str">
        <f>IF($M2763="PADD I","PADD 1",IF($M2763="PADD II","PADD 2",IF($M2763="PADD III","PADD 3",IF($M2763="PADD IV","PADD 4",IF($M2763="PADD V","PADD 5","")))))</f>
        <v>PADD 3</v>
      </c>
      <c r="G2763" s="6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6" t="s">
        <v>39</v>
      </c>
      <c r="I2763" s="6" t="s">
        <v>560</v>
      </c>
      <c r="J2763" s="6" t="s">
        <v>394</v>
      </c>
      <c r="K2763" s="10">
        <v>4.06</v>
      </c>
      <c r="L2763" s="10">
        <v>14</v>
      </c>
      <c r="M2763" s="6" t="s">
        <v>421</v>
      </c>
      <c r="N2763" s="6">
        <f>IF(OR($G2763="FCC",$G2763="Hydrocracker",$G2763="Reformer"),IF(COUNTIFS($D:$D,$D2763,$A:$A,$A2763,$B:$B,$B2763,$G:$G,"CDU",$J:$J,"PLANNED")&gt;0,"tied","standalone"),"")</f>
        <v/>
      </c>
    </row>
    <row r="2764" spans="1:14">
      <c r="A2764" s="6">
        <v>2024</v>
      </c>
      <c r="B2764" s="6">
        <v>1</v>
      </c>
      <c r="C2764" s="6" t="s">
        <v>60</v>
      </c>
      <c r="D2764" s="6" t="s">
        <v>445</v>
      </c>
      <c r="E2764" s="6" t="s">
        <v>446</v>
      </c>
      <c r="F2764" s="6" t="str">
        <f>IF($M2764="PADD I","PADD 1",IF($M2764="PADD II","PADD 2",IF($M2764="PADD III","PADD 3",IF($M2764="PADD IV","PADD 4",IF($M2764="PADD V","PADD 5","")))))</f>
        <v>PADD 3</v>
      </c>
      <c r="G2764" s="6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6" t="s">
        <v>426</v>
      </c>
      <c r="I2764" s="6" t="s">
        <v>106</v>
      </c>
      <c r="J2764" s="6" t="s">
        <v>394</v>
      </c>
      <c r="K2764" s="10">
        <v>4.06</v>
      </c>
      <c r="L2764" s="10">
        <v>14</v>
      </c>
      <c r="M2764" s="6" t="s">
        <v>421</v>
      </c>
      <c r="N2764" s="6" t="str">
        <f>IF(OR($G2764="FCC",$G2764="Hydrocracker",$G2764="Reformer"),IF(COUNTIFS($D:$D,$D2764,$A:$A,$A2764,$B:$B,$B2764,$G:$G,"CDU",$J:$J,"PLANNED")&gt;0,"tied","standalone"),"")</f>
        <v>standalone</v>
      </c>
    </row>
    <row r="2765" spans="1:14">
      <c r="A2765" s="6">
        <v>2024</v>
      </c>
      <c r="B2765" s="6">
        <v>1</v>
      </c>
      <c r="C2765" s="6" t="s">
        <v>60</v>
      </c>
      <c r="D2765" s="6" t="s">
        <v>445</v>
      </c>
      <c r="E2765" s="6" t="s">
        <v>446</v>
      </c>
      <c r="F2765" s="6" t="str">
        <f>IF($M2765="PADD I","PADD 1",IF($M2765="PADD II","PADD 2",IF($M2765="PADD III","PADD 3",IF($M2765="PADD IV","PADD 4",IF($M2765="PADD V","PADD 5","")))))</f>
        <v>PADD 3</v>
      </c>
      <c r="G2765" s="6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6" t="s">
        <v>494</v>
      </c>
      <c r="I2765" s="6" t="s">
        <v>562</v>
      </c>
      <c r="J2765" s="6" t="s">
        <v>394</v>
      </c>
      <c r="K2765" s="10">
        <v>4.02</v>
      </c>
      <c r="L2765" s="10">
        <v>67</v>
      </c>
      <c r="M2765" s="6" t="s">
        <v>421</v>
      </c>
      <c r="N2765" s="6" t="str">
        <f>IF(OR($G2765="FCC",$G2765="Hydrocracker",$G2765="Reformer"),IF(COUNTIFS($D:$D,$D2765,$A:$A,$A2765,$B:$B,$B2765,$G:$G,"CDU",$J:$J,"PLANNED")&gt;0,"tied","standalone"),"")</f>
        <v>standalone</v>
      </c>
    </row>
    <row r="2766" spans="1:14">
      <c r="A2766" s="6">
        <v>2024</v>
      </c>
      <c r="B2766" s="6">
        <v>1</v>
      </c>
      <c r="C2766" s="6" t="s">
        <v>60</v>
      </c>
      <c r="D2766" s="6" t="s">
        <v>41</v>
      </c>
      <c r="E2766" s="6" t="s">
        <v>786</v>
      </c>
      <c r="F2766" s="6" t="str">
        <f>IF($M2766="PADD I","PADD 1",IF($M2766="PADD II","PADD 2",IF($M2766="PADD III","PADD 3",IF($M2766="PADD IV","PADD 4",IF($M2766="PADD V","PADD 5","")))))</f>
        <v>PADD 1</v>
      </c>
      <c r="G2766" s="6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6" t="s">
        <v>44</v>
      </c>
      <c r="I2766" s="6" t="s">
        <v>1053</v>
      </c>
      <c r="J2766" s="6" t="s">
        <v>394</v>
      </c>
      <c r="K2766" s="10">
        <v>4</v>
      </c>
      <c r="L2766" s="10">
        <v>40</v>
      </c>
      <c r="M2766" s="6" t="s">
        <v>463</v>
      </c>
      <c r="N2766" s="6">
        <f>IF(OR($G2766="FCC",$G2766="Hydrocracker",$G2766="Reformer"),IF(COUNTIFS($D:$D,$D2766,$A:$A,$A2766,$B:$B,$B2766,$G:$G,"CDU",$J:$J,"PLANNED")&gt;0,"tied","standalone"),"")</f>
        <v/>
      </c>
    </row>
    <row r="2767" spans="1:14">
      <c r="A2767" s="6">
        <v>2024</v>
      </c>
      <c r="B2767" s="6">
        <v>1</v>
      </c>
      <c r="C2767" s="6" t="s">
        <v>60</v>
      </c>
      <c r="D2767" s="6" t="s">
        <v>384</v>
      </c>
      <c r="E2767" s="6" t="s">
        <v>419</v>
      </c>
      <c r="F2767" s="6" t="str">
        <f>IF($M2767="PADD I","PADD 1",IF($M2767="PADD II","PADD 2",IF($M2767="PADD III","PADD 3",IF($M2767="PADD IV","PADD 4",IF($M2767="PADD V","PADD 5","")))))</f>
        <v>PADD 3</v>
      </c>
      <c r="G2767" s="6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6" t="s">
        <v>426</v>
      </c>
      <c r="I2767" s="6" t="s">
        <v>522</v>
      </c>
      <c r="J2767" s="6" t="s">
        <v>394</v>
      </c>
      <c r="K2767" s="10">
        <v>3.9</v>
      </c>
      <c r="L2767" s="10">
        <v>30</v>
      </c>
      <c r="M2767" s="6" t="s">
        <v>421</v>
      </c>
      <c r="N2767" s="6" t="str">
        <f>IF(OR($G2767="FCC",$G2767="Hydrocracker",$G2767="Reformer"),IF(COUNTIFS($D:$D,$D2767,$A:$A,$A2767,$B:$B,$B2767,$G:$G,"CDU",$J:$J,"PLANNED")&gt;0,"tied","standalone"),"")</f>
        <v>standalone</v>
      </c>
    </row>
    <row r="2768" spans="1:14">
      <c r="A2768" s="6">
        <v>2024</v>
      </c>
      <c r="B2768" s="6">
        <v>1</v>
      </c>
      <c r="C2768" s="6" t="s">
        <v>60</v>
      </c>
      <c r="D2768" s="6" t="s">
        <v>445</v>
      </c>
      <c r="E2768" s="6" t="s">
        <v>446</v>
      </c>
      <c r="F2768" s="6" t="str">
        <f>IF($M2768="PADD I","PADD 1",IF($M2768="PADD II","PADD 2",IF($M2768="PADD III","PADD 3",IF($M2768="PADD IV","PADD 4",IF($M2768="PADD V","PADD 5","")))))</f>
        <v>PADD 3</v>
      </c>
      <c r="G2768" s="6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6" t="s">
        <v>494</v>
      </c>
      <c r="I2768" s="6" t="s">
        <v>562</v>
      </c>
      <c r="J2768" s="6" t="s">
        <v>394</v>
      </c>
      <c r="K2768" s="10">
        <v>3.886</v>
      </c>
      <c r="L2768" s="10">
        <v>13.4</v>
      </c>
      <c r="M2768" s="6" t="s">
        <v>421</v>
      </c>
      <c r="N2768" s="6" t="str">
        <f>IF(OR($G2768="FCC",$G2768="Hydrocracker",$G2768="Reformer"),IF(COUNTIFS($D:$D,$D2768,$A:$A,$A2768,$B:$B,$B2768,$G:$G,"CDU",$J:$J,"PLANNED")&gt;0,"tied","standalone"),"")</f>
        <v>standalone</v>
      </c>
    </row>
    <row r="2769" spans="1:14">
      <c r="A2769" s="6">
        <v>2024</v>
      </c>
      <c r="B2769" s="6">
        <v>1</v>
      </c>
      <c r="C2769" s="6" t="s">
        <v>60</v>
      </c>
      <c r="D2769" s="6" t="s">
        <v>487</v>
      </c>
      <c r="E2769" s="6" t="s">
        <v>488</v>
      </c>
      <c r="F2769" s="6" t="str">
        <f>IF($M2769="PADD I","PADD 1",IF($M2769="PADD II","PADD 2",IF($M2769="PADD III","PADD 3",IF($M2769="PADD IV","PADD 4",IF($M2769="PADD V","PADD 5","")))))</f>
        <v>PADD 4</v>
      </c>
      <c r="G2769" s="6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6" t="s">
        <v>39</v>
      </c>
      <c r="I2769" s="6" t="s">
        <v>489</v>
      </c>
      <c r="J2769" s="6" t="s">
        <v>394</v>
      </c>
      <c r="K2769" s="10">
        <v>3.8</v>
      </c>
      <c r="L2769" s="10">
        <v>38</v>
      </c>
      <c r="M2769" s="6" t="s">
        <v>480</v>
      </c>
      <c r="N2769" s="6">
        <f>IF(OR($G2769="FCC",$G2769="Hydrocracker",$G2769="Reformer"),IF(COUNTIFS($D:$D,$D2769,$A:$A,$A2769,$B:$B,$B2769,$G:$G,"CDU",$J:$J,"PLANNED")&gt;0,"tied","standalone"),"")</f>
        <v/>
      </c>
    </row>
    <row r="2770" spans="1:14">
      <c r="A2770" s="6">
        <v>2024</v>
      </c>
      <c r="B2770" s="6">
        <v>1</v>
      </c>
      <c r="C2770" s="6" t="s">
        <v>60</v>
      </c>
      <c r="D2770" s="6" t="s">
        <v>1003</v>
      </c>
      <c r="E2770" s="6" t="s">
        <v>783</v>
      </c>
      <c r="F2770" s="6" t="str">
        <f>IF($M2770="PADD I","PADD 1",IF($M2770="PADD II","PADD 2",IF($M2770="PADD III","PADD 3",IF($M2770="PADD IV","PADD 4",IF($M2770="PADD V","PADD 5","")))))</f>
        <v>PADD 2</v>
      </c>
      <c r="G2770" s="6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6" t="s">
        <v>428</v>
      </c>
      <c r="I2770" s="6" t="s">
        <v>481</v>
      </c>
      <c r="J2770" s="6" t="s">
        <v>394</v>
      </c>
      <c r="K2770" s="10">
        <v>3.75</v>
      </c>
      <c r="L2770" s="10">
        <v>37.5</v>
      </c>
      <c r="M2770" s="6" t="s">
        <v>425</v>
      </c>
      <c r="N2770" s="6">
        <f>IF(OR($G2770="FCC",$G2770="Hydrocracker",$G2770="Reformer"),IF(COUNTIFS($D:$D,$D2770,$A:$A,$A2770,$B:$B,$B2770,$G:$G,"CDU",$J:$J,"PLANNED")&gt;0,"tied","standalone"),"")</f>
        <v/>
      </c>
    </row>
    <row r="2771" spans="1:14">
      <c r="A2771" s="6">
        <v>2024</v>
      </c>
      <c r="B2771" s="6">
        <v>1</v>
      </c>
      <c r="C2771" s="6" t="s">
        <v>60</v>
      </c>
      <c r="D2771" s="6" t="s">
        <v>1151</v>
      </c>
      <c r="E2771" s="6" t="s">
        <v>931</v>
      </c>
      <c r="F2771" s="6" t="str">
        <f>IF($M2771="PADD I","PADD 1",IF($M2771="PADD II","PADD 2",IF($M2771="PADD III","PADD 3",IF($M2771="PADD IV","PADD 4",IF($M2771="PADD V","PADD 5","")))))</f>
        <v>PADD 3</v>
      </c>
      <c r="G2771" s="6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6" t="s">
        <v>44</v>
      </c>
      <c r="I2771" s="6" t="s">
        <v>1152</v>
      </c>
      <c r="J2771" s="6" t="s">
        <v>398</v>
      </c>
      <c r="K2771" s="10">
        <v>3.6</v>
      </c>
      <c r="L2771" s="10">
        <v>8</v>
      </c>
      <c r="M2771" s="6" t="s">
        <v>421</v>
      </c>
      <c r="N2771" s="6">
        <f>IF(OR($G2771="FCC",$G2771="Hydrocracker",$G2771="Reformer"),IF(COUNTIFS($D:$D,$D2771,$A:$A,$A2771,$B:$B,$B2771,$G:$G,"CDU",$J:$J,"PLANNED")&gt;0,"tied","standalone"),"")</f>
        <v/>
      </c>
    </row>
    <row r="2772" spans="1:14">
      <c r="A2772" s="6">
        <v>2024</v>
      </c>
      <c r="B2772" s="6">
        <v>1</v>
      </c>
      <c r="C2772" s="6" t="s">
        <v>60</v>
      </c>
      <c r="D2772" s="6" t="s">
        <v>484</v>
      </c>
      <c r="E2772" s="6" t="s">
        <v>438</v>
      </c>
      <c r="F2772" s="6" t="str">
        <f>IF($M2772="PADD I","PADD 1",IF($M2772="PADD II","PADD 2",IF($M2772="PADD III","PADD 3",IF($M2772="PADD IV","PADD 4",IF($M2772="PADD V","PADD 5","")))))</f>
        <v>PADD 5</v>
      </c>
      <c r="G2772" s="6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6" t="s">
        <v>471</v>
      </c>
      <c r="I2772" s="6" t="s">
        <v>721</v>
      </c>
      <c r="J2772" s="6" t="s">
        <v>394</v>
      </c>
      <c r="K2772" s="10">
        <v>3.45</v>
      </c>
      <c r="L2772" s="10">
        <v>15</v>
      </c>
      <c r="M2772" s="6" t="s">
        <v>436</v>
      </c>
      <c r="N2772" s="6" t="str">
        <f>IF(OR($G2772="FCC",$G2772="Hydrocracker",$G2772="Reformer"),IF(COUNTIFS($D:$D,$D2772,$A:$A,$A2772,$B:$B,$B2772,$G:$G,"CDU",$J:$J,"PLANNED")&gt;0,"tied","standalone"),"")</f>
        <v>standalone</v>
      </c>
    </row>
    <row r="2773" spans="1:14">
      <c r="A2773" s="6">
        <v>2024</v>
      </c>
      <c r="B2773" s="6">
        <v>1</v>
      </c>
      <c r="C2773" s="6" t="s">
        <v>60</v>
      </c>
      <c r="D2773" s="6" t="s">
        <v>41</v>
      </c>
      <c r="E2773" s="6" t="s">
        <v>786</v>
      </c>
      <c r="F2773" s="6" t="str">
        <f>IF($M2773="PADD I","PADD 1",IF($M2773="PADD II","PADD 2",IF($M2773="PADD III","PADD 3",IF($M2773="PADD IV","PADD 4",IF($M2773="PADD V","PADD 5","")))))</f>
        <v>PADD 1</v>
      </c>
      <c r="G2773" s="6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6" t="s">
        <v>44</v>
      </c>
      <c r="I2773" s="6" t="s">
        <v>1061</v>
      </c>
      <c r="J2773" s="6" t="s">
        <v>394</v>
      </c>
      <c r="K2773" s="10">
        <v>3.38</v>
      </c>
      <c r="L2773" s="10">
        <v>26</v>
      </c>
      <c r="M2773" s="6" t="s">
        <v>463</v>
      </c>
      <c r="N2773" s="6">
        <f>IF(OR($G2773="FCC",$G2773="Hydrocracker",$G2773="Reformer"),IF(COUNTIFS($D:$D,$D2773,$A:$A,$A2773,$B:$B,$B2773,$G:$G,"CDU",$J:$J,"PLANNED")&gt;0,"tied","standalone"),"")</f>
        <v/>
      </c>
    </row>
    <row r="2774" spans="1:14">
      <c r="A2774" s="6">
        <v>2024</v>
      </c>
      <c r="B2774" s="6">
        <v>1</v>
      </c>
      <c r="C2774" s="6" t="s">
        <v>60</v>
      </c>
      <c r="D2774" s="6" t="s">
        <v>41</v>
      </c>
      <c r="E2774" s="6" t="s">
        <v>786</v>
      </c>
      <c r="F2774" s="6" t="str">
        <f>IF($M2774="PADD I","PADD 1",IF($M2774="PADD II","PADD 2",IF($M2774="PADD III","PADD 3",IF($M2774="PADD IV","PADD 4",IF($M2774="PADD V","PADD 5","")))))</f>
        <v>PADD 1</v>
      </c>
      <c r="G2774" s="6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6" t="s">
        <v>428</v>
      </c>
      <c r="I2774" s="6" t="s">
        <v>1013</v>
      </c>
      <c r="J2774" s="6" t="s">
        <v>394</v>
      </c>
      <c r="K2774" s="10">
        <v>3.38</v>
      </c>
      <c r="L2774" s="10">
        <v>26</v>
      </c>
      <c r="M2774" s="6" t="s">
        <v>463</v>
      </c>
      <c r="N2774" s="6">
        <f>IF(OR($G2774="FCC",$G2774="Hydrocracker",$G2774="Reformer"),IF(COUNTIFS($D:$D,$D2774,$A:$A,$A2774,$B:$B,$B2774,$G:$G,"CDU",$J:$J,"PLANNED")&gt;0,"tied","standalone"),"")</f>
        <v/>
      </c>
    </row>
    <row r="2775" spans="1:14">
      <c r="A2775" s="6">
        <v>2024</v>
      </c>
      <c r="B2775" s="6">
        <v>1</v>
      </c>
      <c r="C2775" s="6" t="s">
        <v>60</v>
      </c>
      <c r="D2775" s="6" t="s">
        <v>41</v>
      </c>
      <c r="E2775" s="6" t="s">
        <v>786</v>
      </c>
      <c r="F2775" s="6" t="str">
        <f>IF($M2775="PADD I","PADD 1",IF($M2775="PADD II","PADD 2",IF($M2775="PADD III","PADD 3",IF($M2775="PADD IV","PADD 4",IF($M2775="PADD V","PADD 5","")))))</f>
        <v>PADD 1</v>
      </c>
      <c r="G2775" s="6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6" t="s">
        <v>428</v>
      </c>
      <c r="I2775" s="6" t="s">
        <v>1060</v>
      </c>
      <c r="J2775" s="6" t="s">
        <v>394</v>
      </c>
      <c r="K2775" s="10">
        <v>3.38</v>
      </c>
      <c r="L2775" s="10">
        <v>26</v>
      </c>
      <c r="M2775" s="6" t="s">
        <v>463</v>
      </c>
      <c r="N2775" s="6">
        <f>IF(OR($G2775="FCC",$G2775="Hydrocracker",$G2775="Reformer"),IF(COUNTIFS($D:$D,$D2775,$A:$A,$A2775,$B:$B,$B2775,$G:$G,"CDU",$J:$J,"PLANNED")&gt;0,"tied","standalone"),"")</f>
        <v/>
      </c>
    </row>
    <row r="2776" spans="1:14">
      <c r="A2776" s="6">
        <v>2024</v>
      </c>
      <c r="B2776" s="6">
        <v>1</v>
      </c>
      <c r="C2776" s="6" t="s">
        <v>60</v>
      </c>
      <c r="D2776" s="6" t="s">
        <v>928</v>
      </c>
      <c r="E2776" s="6" t="s">
        <v>502</v>
      </c>
      <c r="F2776" s="6" t="str">
        <f>IF($M2776="PADD I","PADD 1",IF($M2776="PADD II","PADD 2",IF($M2776="PADD III","PADD 3",IF($M2776="PADD IV","PADD 4",IF($M2776="PADD V","PADD 5","")))))</f>
        <v>PADD 2</v>
      </c>
      <c r="G2776" s="6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6" t="s">
        <v>485</v>
      </c>
      <c r="I2776" s="6" t="s">
        <v>491</v>
      </c>
      <c r="J2776" s="6" t="s">
        <v>394</v>
      </c>
      <c r="K2776" s="10">
        <v>3.315</v>
      </c>
      <c r="L2776" s="10">
        <v>8.5</v>
      </c>
      <c r="M2776" s="6" t="s">
        <v>425</v>
      </c>
      <c r="N2776" s="6">
        <f>IF(OR($G2776="FCC",$G2776="Hydrocracker",$G2776="Reformer"),IF(COUNTIFS($D:$D,$D2776,$A:$A,$A2776,$B:$B,$B2776,$G:$G,"CDU",$J:$J,"PLANNED")&gt;0,"tied","standalone"),"")</f>
        <v/>
      </c>
    </row>
    <row r="2777" spans="1:14">
      <c r="A2777" s="6">
        <v>2024</v>
      </c>
      <c r="B2777" s="6">
        <v>1</v>
      </c>
      <c r="C2777" s="6" t="s">
        <v>60</v>
      </c>
      <c r="D2777" s="6" t="s">
        <v>540</v>
      </c>
      <c r="E2777" s="6" t="s">
        <v>541</v>
      </c>
      <c r="F2777" s="6" t="str">
        <f>IF($M2777="PADD I","PADD 1",IF($M2777="PADD II","PADD 2",IF($M2777="PADD III","PADD 3",IF($M2777="PADD IV","PADD 4",IF($M2777="PADD V","PADD 5","")))))</f>
        <v>PADD 3</v>
      </c>
      <c r="G2777" s="6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6" t="s">
        <v>44</v>
      </c>
      <c r="I2777" s="6" t="s">
        <v>1007</v>
      </c>
      <c r="J2777" s="6" t="s">
        <v>394</v>
      </c>
      <c r="K2777" s="10">
        <v>3.276</v>
      </c>
      <c r="L2777" s="10">
        <v>25.2</v>
      </c>
      <c r="M2777" s="6" t="s">
        <v>421</v>
      </c>
      <c r="N2777" s="6">
        <f>IF(OR($G2777="FCC",$G2777="Hydrocracker",$G2777="Reformer"),IF(COUNTIFS($D:$D,$D2777,$A:$A,$A2777,$B:$B,$B2777,$G:$G,"CDU",$J:$J,"PLANNED")&gt;0,"tied","standalone"),"")</f>
        <v/>
      </c>
    </row>
    <row r="2778" spans="1:14">
      <c r="A2778" s="6">
        <v>2024</v>
      </c>
      <c r="B2778" s="6">
        <v>1</v>
      </c>
      <c r="C2778" s="6" t="s">
        <v>60</v>
      </c>
      <c r="D2778" s="6" t="s">
        <v>507</v>
      </c>
      <c r="E2778" s="6" t="s">
        <v>438</v>
      </c>
      <c r="F2778" s="6" t="str">
        <f>IF($M2778="PADD I","PADD 1",IF($M2778="PADD II","PADD 2",IF($M2778="PADD III","PADD 3",IF($M2778="PADD IV","PADD 4",IF($M2778="PADD V","PADD 5","")))))</f>
        <v>PADD 5</v>
      </c>
      <c r="G2778" s="6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6" t="s">
        <v>471</v>
      </c>
      <c r="I2778" s="6" t="s">
        <v>1153</v>
      </c>
      <c r="J2778" s="6" t="s">
        <v>398</v>
      </c>
      <c r="K2778" s="10">
        <v>3.25</v>
      </c>
      <c r="L2778" s="10">
        <v>5</v>
      </c>
      <c r="M2778" s="6" t="s">
        <v>436</v>
      </c>
      <c r="N2778" s="6" t="str">
        <f>IF(OR($G2778="FCC",$G2778="Hydrocracker",$G2778="Reformer"),IF(COUNTIFS($D:$D,$D2778,$A:$A,$A2778,$B:$B,$B2778,$G:$G,"CDU",$J:$J,"PLANNED")&gt;0,"tied","standalone"),"")</f>
        <v>tied</v>
      </c>
    </row>
    <row r="2779" spans="1:14">
      <c r="A2779" s="6">
        <v>2024</v>
      </c>
      <c r="B2779" s="6">
        <v>1</v>
      </c>
      <c r="C2779" s="6" t="s">
        <v>60</v>
      </c>
      <c r="D2779" s="6" t="s">
        <v>849</v>
      </c>
      <c r="E2779" s="6" t="s">
        <v>441</v>
      </c>
      <c r="F2779" s="6" t="str">
        <f>IF($M2779="PADD I","PADD 1",IF($M2779="PADD II","PADD 2",IF($M2779="PADD III","PADD 3",IF($M2779="PADD IV","PADD 4",IF($M2779="PADD V","PADD 5","")))))</f>
        <v>PADD 4</v>
      </c>
      <c r="G2779" s="6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6" t="s">
        <v>39</v>
      </c>
      <c r="I2779" s="6" t="s">
        <v>1154</v>
      </c>
      <c r="J2779" s="6" t="s">
        <v>394</v>
      </c>
      <c r="K2779" s="10">
        <v>3.12</v>
      </c>
      <c r="L2779" s="10">
        <v>52</v>
      </c>
      <c r="M2779" s="6" t="s">
        <v>480</v>
      </c>
      <c r="N2779" s="6">
        <f>IF(OR($G2779="FCC",$G2779="Hydrocracker",$G2779="Reformer"),IF(COUNTIFS($D:$D,$D2779,$A:$A,$A2779,$B:$B,$B2779,$G:$G,"CDU",$J:$J,"PLANNED")&gt;0,"tied","standalone"),"")</f>
        <v/>
      </c>
    </row>
    <row r="2780" spans="1:14">
      <c r="A2780" s="6">
        <v>2024</v>
      </c>
      <c r="B2780" s="6">
        <v>1</v>
      </c>
      <c r="C2780" s="6" t="s">
        <v>60</v>
      </c>
      <c r="D2780" s="6" t="s">
        <v>1003</v>
      </c>
      <c r="E2780" s="6" t="s">
        <v>783</v>
      </c>
      <c r="F2780" s="6" t="str">
        <f>IF($M2780="PADD I","PADD 1",IF($M2780="PADD II","PADD 2",IF($M2780="PADD III","PADD 3",IF($M2780="PADD IV","PADD 4",IF($M2780="PADD V","PADD 5","")))))</f>
        <v>PADD 2</v>
      </c>
      <c r="G2780" s="6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6" t="s">
        <v>494</v>
      </c>
      <c r="I2780" s="6" t="s">
        <v>14</v>
      </c>
      <c r="J2780" s="6" t="s">
        <v>394</v>
      </c>
      <c r="K2780" s="10">
        <v>3</v>
      </c>
      <c r="L2780" s="10">
        <v>30</v>
      </c>
      <c r="M2780" s="6" t="s">
        <v>425</v>
      </c>
      <c r="N2780" s="6" t="str">
        <f>IF(OR($G2780="FCC",$G2780="Hydrocracker",$G2780="Reformer"),IF(COUNTIFS($D:$D,$D2780,$A:$A,$A2780,$B:$B,$B2780,$G:$G,"CDU",$J:$J,"PLANNED")&gt;0,"tied","standalone"),"")</f>
        <v>standalone</v>
      </c>
    </row>
    <row r="2781" spans="1:14">
      <c r="A2781" s="6">
        <v>2024</v>
      </c>
      <c r="B2781" s="6">
        <v>1</v>
      </c>
      <c r="C2781" s="6" t="s">
        <v>60</v>
      </c>
      <c r="D2781" s="6" t="s">
        <v>1003</v>
      </c>
      <c r="E2781" s="6" t="s">
        <v>783</v>
      </c>
      <c r="F2781" s="6" t="str">
        <f>IF($M2781="PADD I","PADD 1",IF($M2781="PADD II","PADD 2",IF($M2781="PADD III","PADD 3",IF($M2781="PADD IV","PADD 4",IF($M2781="PADD V","PADD 5","")))))</f>
        <v>PADD 2</v>
      </c>
      <c r="G2781" s="6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6" t="s">
        <v>44</v>
      </c>
      <c r="I2781" s="6" t="s">
        <v>543</v>
      </c>
      <c r="J2781" s="6" t="s">
        <v>394</v>
      </c>
      <c r="K2781" s="10">
        <v>3</v>
      </c>
      <c r="L2781" s="10">
        <v>30</v>
      </c>
      <c r="M2781" s="6" t="s">
        <v>425</v>
      </c>
      <c r="N2781" s="6">
        <f>IF(OR($G2781="FCC",$G2781="Hydrocracker",$G2781="Reformer"),IF(COUNTIFS($D:$D,$D2781,$A:$A,$A2781,$B:$B,$B2781,$G:$G,"CDU",$J:$J,"PLANNED")&gt;0,"tied","standalone"),"")</f>
        <v/>
      </c>
    </row>
    <row r="2782" spans="1:14">
      <c r="A2782" s="6">
        <v>2024</v>
      </c>
      <c r="B2782" s="6">
        <v>1</v>
      </c>
      <c r="C2782" s="6" t="s">
        <v>60</v>
      </c>
      <c r="D2782" s="6" t="s">
        <v>41</v>
      </c>
      <c r="E2782" s="6" t="s">
        <v>786</v>
      </c>
      <c r="F2782" s="6" t="str">
        <f>IF($M2782="PADD I","PADD 1",IF($M2782="PADD II","PADD 2",IF($M2782="PADD III","PADD 3",IF($M2782="PADD IV","PADD 4",IF($M2782="PADD V","PADD 5","")))))</f>
        <v>PADD 1</v>
      </c>
      <c r="G2782" s="6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6" t="s">
        <v>494</v>
      </c>
      <c r="I2782" s="6" t="s">
        <v>495</v>
      </c>
      <c r="J2782" s="6" t="s">
        <v>394</v>
      </c>
      <c r="K2782" s="10">
        <v>2.99</v>
      </c>
      <c r="L2782" s="10">
        <v>23</v>
      </c>
      <c r="M2782" s="6" t="s">
        <v>463</v>
      </c>
      <c r="N2782" s="6" t="str">
        <f>IF(OR($G2782="FCC",$G2782="Hydrocracker",$G2782="Reformer"),IF(COUNTIFS($D:$D,$D2782,$A:$A,$A2782,$B:$B,$B2782,$G:$G,"CDU",$J:$J,"PLANNED")&gt;0,"tied","standalone"),"")</f>
        <v>standalone</v>
      </c>
    </row>
    <row r="2783" spans="1:14">
      <c r="A2783" s="6">
        <v>2024</v>
      </c>
      <c r="B2783" s="6">
        <v>1</v>
      </c>
      <c r="C2783" s="6" t="s">
        <v>60</v>
      </c>
      <c r="D2783" s="6" t="s">
        <v>568</v>
      </c>
      <c r="E2783" s="6" t="s">
        <v>419</v>
      </c>
      <c r="F2783" s="6" t="str">
        <f>IF($M2783="PADD I","PADD 1",IF($M2783="PADD II","PADD 2",IF($M2783="PADD III","PADD 3",IF($M2783="PADD IV","PADD 4",IF($M2783="PADD V","PADD 5","")))))</f>
        <v>PADD 5</v>
      </c>
      <c r="G2783" s="6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6" t="s">
        <v>471</v>
      </c>
      <c r="I2783" s="6" t="s">
        <v>636</v>
      </c>
      <c r="J2783" s="6" t="s">
        <v>394</v>
      </c>
      <c r="K2783" s="10">
        <v>2.96</v>
      </c>
      <c r="L2783" s="10">
        <v>18.5</v>
      </c>
      <c r="M2783" s="6" t="s">
        <v>436</v>
      </c>
      <c r="N2783" s="6" t="str">
        <f>IF(OR($G2783="FCC",$G2783="Hydrocracker",$G2783="Reformer"),IF(COUNTIFS($D:$D,$D2783,$A:$A,$A2783,$B:$B,$B2783,$G:$G,"CDU",$J:$J,"PLANNED")&gt;0,"tied","standalone"),"")</f>
        <v>standalone</v>
      </c>
    </row>
    <row r="2784" spans="1:14">
      <c r="A2784" s="6">
        <v>2024</v>
      </c>
      <c r="B2784" s="6">
        <v>1</v>
      </c>
      <c r="C2784" s="6" t="s">
        <v>60</v>
      </c>
      <c r="D2784" s="6" t="s">
        <v>984</v>
      </c>
      <c r="E2784" s="6" t="s">
        <v>438</v>
      </c>
      <c r="F2784" s="6" t="str">
        <f>IF($M2784="PADD I","PADD 1",IF($M2784="PADD II","PADD 2",IF($M2784="PADD III","PADD 3",IF($M2784="PADD IV","PADD 4",IF($M2784="PADD V","PADD 5","")))))</f>
        <v>PADD 3</v>
      </c>
      <c r="G2784" s="6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6" t="s">
        <v>426</v>
      </c>
      <c r="I2784" s="6" t="s">
        <v>106</v>
      </c>
      <c r="J2784" s="6" t="s">
        <v>394</v>
      </c>
      <c r="K2784" s="10">
        <v>2.95</v>
      </c>
      <c r="L2784" s="10">
        <v>29.5</v>
      </c>
      <c r="M2784" s="6" t="s">
        <v>421</v>
      </c>
      <c r="N2784" s="6" t="str">
        <f>IF(OR($G2784="FCC",$G2784="Hydrocracker",$G2784="Reformer"),IF(COUNTIFS($D:$D,$D2784,$A:$A,$A2784,$B:$B,$B2784,$G:$G,"CDU",$J:$J,"PLANNED")&gt;0,"tied","standalone"),"")</f>
        <v>standalone</v>
      </c>
    </row>
    <row r="2785" spans="1:14">
      <c r="A2785" s="6">
        <v>2024</v>
      </c>
      <c r="B2785" s="6">
        <v>1</v>
      </c>
      <c r="C2785" s="6" t="s">
        <v>60</v>
      </c>
      <c r="D2785" s="6" t="s">
        <v>984</v>
      </c>
      <c r="E2785" s="6" t="s">
        <v>438</v>
      </c>
      <c r="F2785" s="6" t="str">
        <f>IF($M2785="PADD I","PADD 1",IF($M2785="PADD II","PADD 2",IF($M2785="PADD III","PADD 3",IF($M2785="PADD IV","PADD 4",IF($M2785="PADD V","PADD 5","")))))</f>
        <v>PADD 3</v>
      </c>
      <c r="G2785" s="6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6" t="s">
        <v>44</v>
      </c>
      <c r="I2785" s="6" t="s">
        <v>508</v>
      </c>
      <c r="J2785" s="6" t="s">
        <v>394</v>
      </c>
      <c r="K2785" s="10">
        <v>2.928</v>
      </c>
      <c r="L2785" s="10">
        <v>18.3</v>
      </c>
      <c r="M2785" s="6" t="s">
        <v>421</v>
      </c>
      <c r="N2785" s="6">
        <f>IF(OR($G2785="FCC",$G2785="Hydrocracker",$G2785="Reformer"),IF(COUNTIFS($D:$D,$D2785,$A:$A,$A2785,$B:$B,$B2785,$G:$G,"CDU",$J:$J,"PLANNED")&gt;0,"tied","standalone"),"")</f>
        <v/>
      </c>
    </row>
    <row r="2786" spans="1:14">
      <c r="A2786" s="6">
        <v>2024</v>
      </c>
      <c r="B2786" s="6">
        <v>1</v>
      </c>
      <c r="C2786" s="6" t="s">
        <v>60</v>
      </c>
      <c r="D2786" s="6" t="s">
        <v>576</v>
      </c>
      <c r="E2786" s="6" t="s">
        <v>455</v>
      </c>
      <c r="F2786" s="6" t="str">
        <f>IF($M2786="PADD I","PADD 1",IF($M2786="PADD II","PADD 2",IF($M2786="PADD III","PADD 3",IF($M2786="PADD IV","PADD 4",IF($M2786="PADD V","PADD 5","")))))</f>
        <v>PADD 3</v>
      </c>
      <c r="G2786" s="6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6" t="s">
        <v>44</v>
      </c>
      <c r="I2786" s="6" t="s">
        <v>1126</v>
      </c>
      <c r="J2786" s="6" t="s">
        <v>398</v>
      </c>
      <c r="K2786" s="10">
        <v>2.82</v>
      </c>
      <c r="L2786" s="10">
        <v>47</v>
      </c>
      <c r="M2786" s="6" t="s">
        <v>421</v>
      </c>
      <c r="N2786" s="6">
        <f>IF(OR($G2786="FCC",$G2786="Hydrocracker",$G2786="Reformer"),IF(COUNTIFS($D:$D,$D2786,$A:$A,$A2786,$B:$B,$B2786,$G:$G,"CDU",$J:$J,"PLANNED")&gt;0,"tied","standalone"),"")</f>
        <v/>
      </c>
    </row>
    <row r="2787" spans="1:14">
      <c r="A2787" s="6">
        <v>2024</v>
      </c>
      <c r="B2787" s="6">
        <v>1</v>
      </c>
      <c r="C2787" s="6" t="s">
        <v>60</v>
      </c>
      <c r="D2787" s="6" t="s">
        <v>41</v>
      </c>
      <c r="E2787" s="6" t="s">
        <v>786</v>
      </c>
      <c r="F2787" s="6" t="str">
        <f>IF($M2787="PADD I","PADD 1",IF($M2787="PADD II","PADD 2",IF($M2787="PADD III","PADD 3",IF($M2787="PADD IV","PADD 4",IF($M2787="PADD V","PADD 5","")))))</f>
        <v>PADD 1</v>
      </c>
      <c r="G2787" s="6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6" t="s">
        <v>44</v>
      </c>
      <c r="I2787" s="6" t="s">
        <v>1064</v>
      </c>
      <c r="J2787" s="6" t="s">
        <v>394</v>
      </c>
      <c r="K2787" s="10">
        <v>2.8</v>
      </c>
      <c r="L2787" s="10">
        <v>28</v>
      </c>
      <c r="M2787" s="6" t="s">
        <v>463</v>
      </c>
      <c r="N2787" s="6">
        <f>IF(OR($G2787="FCC",$G2787="Hydrocracker",$G2787="Reformer"),IF(COUNTIFS($D:$D,$D2787,$A:$A,$A2787,$B:$B,$B2787,$G:$G,"CDU",$J:$J,"PLANNED")&gt;0,"tied","standalone"),"")</f>
        <v/>
      </c>
    </row>
    <row r="2788" spans="1:14">
      <c r="A2788" s="6">
        <v>2024</v>
      </c>
      <c r="B2788" s="6">
        <v>1</v>
      </c>
      <c r="C2788" s="6" t="s">
        <v>60</v>
      </c>
      <c r="D2788" s="6" t="s">
        <v>43</v>
      </c>
      <c r="E2788" s="6" t="s">
        <v>455</v>
      </c>
      <c r="F2788" s="6" t="str">
        <f>IF($M2788="PADD I","PADD 1",IF($M2788="PADD II","PADD 2",IF($M2788="PADD III","PADD 3",IF($M2788="PADD IV","PADD 4",IF($M2788="PADD V","PADD 5","")))))</f>
        <v>PADD 3</v>
      </c>
      <c r="G2788" s="6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6" t="s">
        <v>510</v>
      </c>
      <c r="I2788" s="6" t="s">
        <v>666</v>
      </c>
      <c r="J2788" s="6" t="s">
        <v>398</v>
      </c>
      <c r="K2788" s="10">
        <v>2.76</v>
      </c>
      <c r="L2788" s="10">
        <v>12</v>
      </c>
      <c r="M2788" s="6" t="s">
        <v>421</v>
      </c>
      <c r="N2788" s="6">
        <f>IF(OR($G2788="FCC",$G2788="Hydrocracker",$G2788="Reformer"),IF(COUNTIFS($D:$D,$D2788,$A:$A,$A2788,$B:$B,$B2788,$G:$G,"CDU",$J:$J,"PLANNED")&gt;0,"tied","standalone"),"")</f>
        <v/>
      </c>
    </row>
    <row r="2789" spans="1:14">
      <c r="A2789" s="6">
        <v>2024</v>
      </c>
      <c r="B2789" s="6">
        <v>1</v>
      </c>
      <c r="C2789" s="6" t="s">
        <v>60</v>
      </c>
      <c r="D2789" s="6" t="s">
        <v>458</v>
      </c>
      <c r="E2789" s="6" t="s">
        <v>459</v>
      </c>
      <c r="F2789" s="6" t="str">
        <f>IF($M2789="PADD I","PADD 1",IF($M2789="PADD II","PADD 2",IF($M2789="PADD III","PADD 3",IF($M2789="PADD IV","PADD 4",IF($M2789="PADD V","PADD 5","")))))</f>
        <v>PADD 3</v>
      </c>
      <c r="G2789" s="6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6" t="s">
        <v>510</v>
      </c>
      <c r="I2789" s="6" t="s">
        <v>656</v>
      </c>
      <c r="J2789" s="6" t="s">
        <v>394</v>
      </c>
      <c r="K2789" s="10">
        <v>2.75</v>
      </c>
      <c r="L2789" s="10">
        <v>5</v>
      </c>
      <c r="M2789" s="6" t="s">
        <v>421</v>
      </c>
      <c r="N2789" s="6">
        <f>IF(OR($G2789="FCC",$G2789="Hydrocracker",$G2789="Reformer"),IF(COUNTIFS($D:$D,$D2789,$A:$A,$A2789,$B:$B,$B2789,$G:$G,"CDU",$J:$J,"PLANNED")&gt;0,"tied","standalone"),"")</f>
        <v/>
      </c>
    </row>
    <row r="2790" spans="1:14">
      <c r="A2790" s="6">
        <v>2024</v>
      </c>
      <c r="B2790" s="6">
        <v>1</v>
      </c>
      <c r="C2790" s="6" t="s">
        <v>60</v>
      </c>
      <c r="D2790" s="6" t="s">
        <v>445</v>
      </c>
      <c r="E2790" s="6" t="s">
        <v>446</v>
      </c>
      <c r="F2790" s="6" t="str">
        <f>IF($M2790="PADD I","PADD 1",IF($M2790="PADD II","PADD 2",IF($M2790="PADD III","PADD 3",IF($M2790="PADD IV","PADD 4",IF($M2790="PADD V","PADD 5","")))))</f>
        <v>PADD 3</v>
      </c>
      <c r="G2790" s="6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6" t="s">
        <v>471</v>
      </c>
      <c r="I2790" s="6" t="s">
        <v>588</v>
      </c>
      <c r="J2790" s="6" t="s">
        <v>394</v>
      </c>
      <c r="K2790" s="10">
        <v>2.6622</v>
      </c>
      <c r="L2790" s="10">
        <v>9.18</v>
      </c>
      <c r="M2790" s="6" t="s">
        <v>421</v>
      </c>
      <c r="N2790" s="6" t="str">
        <f>IF(OR($G2790="FCC",$G2790="Hydrocracker",$G2790="Reformer"),IF(COUNTIFS($D:$D,$D2790,$A:$A,$A2790,$B:$B,$B2790,$G:$G,"CDU",$J:$J,"PLANNED")&gt;0,"tied","standalone"),"")</f>
        <v>standalone</v>
      </c>
    </row>
    <row r="2791" spans="1:14">
      <c r="A2791" s="6">
        <v>2024</v>
      </c>
      <c r="B2791" s="6">
        <v>1</v>
      </c>
      <c r="C2791" s="6" t="s">
        <v>60</v>
      </c>
      <c r="D2791" s="6" t="s">
        <v>780</v>
      </c>
      <c r="E2791" s="6" t="s">
        <v>781</v>
      </c>
      <c r="F2791" s="6" t="str">
        <f>IF($M2791="PADD I","PADD 1",IF($M2791="PADD II","PADD 2",IF($M2791="PADD III","PADD 3",IF($M2791="PADD IV","PADD 4",IF($M2791="PADD V","PADD 5","")))))</f>
        <v>PADD 3</v>
      </c>
      <c r="G2791" s="6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6" t="s">
        <v>510</v>
      </c>
      <c r="I2791" s="6" t="s">
        <v>666</v>
      </c>
      <c r="J2791" s="6" t="s">
        <v>394</v>
      </c>
      <c r="K2791" s="10">
        <v>2.6</v>
      </c>
      <c r="L2791" s="10">
        <v>4</v>
      </c>
      <c r="M2791" s="6" t="s">
        <v>421</v>
      </c>
      <c r="N2791" s="6">
        <f>IF(OR($G2791="FCC",$G2791="Hydrocracker",$G2791="Reformer"),IF(COUNTIFS($D:$D,$D2791,$A:$A,$A2791,$B:$B,$B2791,$G:$G,"CDU",$J:$J,"PLANNED")&gt;0,"tied","standalone"),"")</f>
        <v/>
      </c>
    </row>
    <row r="2792" spans="1:14">
      <c r="A2792" s="6">
        <v>2024</v>
      </c>
      <c r="B2792" s="6">
        <v>1</v>
      </c>
      <c r="C2792" s="6" t="s">
        <v>60</v>
      </c>
      <c r="D2792" s="6" t="s">
        <v>660</v>
      </c>
      <c r="E2792" s="6" t="s">
        <v>661</v>
      </c>
      <c r="F2792" s="6" t="str">
        <f>IF($M2792="PADD I","PADD 1",IF($M2792="PADD II","PADD 2",IF($M2792="PADD III","PADD 3",IF($M2792="PADD IV","PADD 4",IF($M2792="PADD V","PADD 5","")))))</f>
        <v>PADD 2</v>
      </c>
      <c r="G2792" s="6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6" t="s">
        <v>485</v>
      </c>
      <c r="I2792" s="6" t="s">
        <v>491</v>
      </c>
      <c r="J2792" s="6" t="s">
        <v>394</v>
      </c>
      <c r="K2792" s="10">
        <v>2.535</v>
      </c>
      <c r="L2792" s="10">
        <v>19.5</v>
      </c>
      <c r="M2792" s="6" t="s">
        <v>425</v>
      </c>
      <c r="N2792" s="6">
        <f>IF(OR($G2792="FCC",$G2792="Hydrocracker",$G2792="Reformer"),IF(COUNTIFS($D:$D,$D2792,$A:$A,$A2792,$B:$B,$B2792,$G:$G,"CDU",$J:$J,"PLANNED")&gt;0,"tied","standalone"),"")</f>
        <v/>
      </c>
    </row>
    <row r="2793" spans="1:14">
      <c r="A2793" s="6">
        <v>2024</v>
      </c>
      <c r="B2793" s="6">
        <v>1</v>
      </c>
      <c r="C2793" s="6" t="s">
        <v>60</v>
      </c>
      <c r="D2793" s="6" t="s">
        <v>1003</v>
      </c>
      <c r="E2793" s="6" t="s">
        <v>783</v>
      </c>
      <c r="F2793" s="6" t="str">
        <f>IF($M2793="PADD I","PADD 1",IF($M2793="PADD II","PADD 2",IF($M2793="PADD III","PADD 3",IF($M2793="PADD IV","PADD 4",IF($M2793="PADD V","PADD 5","")))))</f>
        <v>PADD 2</v>
      </c>
      <c r="G2793" s="6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6" t="s">
        <v>618</v>
      </c>
      <c r="I2793" s="6" t="s">
        <v>1155</v>
      </c>
      <c r="J2793" s="6" t="s">
        <v>394</v>
      </c>
      <c r="K2793" s="10">
        <v>2.52</v>
      </c>
      <c r="L2793" s="10">
        <v>25.2</v>
      </c>
      <c r="M2793" s="6" t="s">
        <v>425</v>
      </c>
      <c r="N2793" s="6">
        <f>IF(OR($G2793="FCC",$G2793="Hydrocracker",$G2793="Reformer"),IF(COUNTIFS($D:$D,$D2793,$A:$A,$A2793,$B:$B,$B2793,$G:$G,"CDU",$J:$J,"PLANNED")&gt;0,"tied","standalone"),"")</f>
        <v/>
      </c>
    </row>
    <row r="2794" spans="1:14">
      <c r="A2794" s="6">
        <v>2024</v>
      </c>
      <c r="B2794" s="6">
        <v>1</v>
      </c>
      <c r="C2794" s="6" t="s">
        <v>60</v>
      </c>
      <c r="D2794" s="6" t="s">
        <v>1003</v>
      </c>
      <c r="E2794" s="6" t="s">
        <v>783</v>
      </c>
      <c r="F2794" s="6" t="str">
        <f>IF($M2794="PADD I","PADD 1",IF($M2794="PADD II","PADD 2",IF($M2794="PADD III","PADD 3",IF($M2794="PADD IV","PADD 4",IF($M2794="PADD V","PADD 5","")))))</f>
        <v>PADD 2</v>
      </c>
      <c r="G2794" s="6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6" t="s">
        <v>485</v>
      </c>
      <c r="I2794" s="6" t="s">
        <v>491</v>
      </c>
      <c r="J2794" s="6" t="s">
        <v>394</v>
      </c>
      <c r="K2794" s="10">
        <v>2.5</v>
      </c>
      <c r="L2794" s="10">
        <v>25</v>
      </c>
      <c r="M2794" s="6" t="s">
        <v>425</v>
      </c>
      <c r="N2794" s="6">
        <f>IF(OR($G2794="FCC",$G2794="Hydrocracker",$G2794="Reformer"),IF(COUNTIFS($D:$D,$D2794,$A:$A,$A2794,$B:$B,$B2794,$G:$G,"CDU",$J:$J,"PLANNED")&gt;0,"tied","standalone"),"")</f>
        <v/>
      </c>
    </row>
    <row r="2795" spans="1:14">
      <c r="A2795" s="6">
        <v>2024</v>
      </c>
      <c r="B2795" s="6">
        <v>1</v>
      </c>
      <c r="C2795" s="6" t="s">
        <v>60</v>
      </c>
      <c r="D2795" s="6" t="s">
        <v>445</v>
      </c>
      <c r="E2795" s="6" t="s">
        <v>446</v>
      </c>
      <c r="F2795" s="6" t="str">
        <f>IF($M2795="PADD I","PADD 1",IF($M2795="PADD II","PADD 2",IF($M2795="PADD III","PADD 3",IF($M2795="PADD IV","PADD 4",IF($M2795="PADD V","PADD 5","")))))</f>
        <v>PADD 3</v>
      </c>
      <c r="G2795" s="6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6" t="s">
        <v>44</v>
      </c>
      <c r="I2795" s="6" t="s">
        <v>595</v>
      </c>
      <c r="J2795" s="6" t="s">
        <v>394</v>
      </c>
      <c r="K2795" s="10">
        <v>2.494</v>
      </c>
      <c r="L2795" s="10">
        <v>8.6</v>
      </c>
      <c r="M2795" s="6" t="s">
        <v>421</v>
      </c>
      <c r="N2795" s="6">
        <f>IF(OR($G2795="FCC",$G2795="Hydrocracker",$G2795="Reformer"),IF(COUNTIFS($D:$D,$D2795,$A:$A,$A2795,$B:$B,$B2795,$G:$G,"CDU",$J:$J,"PLANNED")&gt;0,"tied","standalone"),"")</f>
        <v/>
      </c>
    </row>
    <row r="2796" spans="1:14">
      <c r="A2796" s="6">
        <v>2024</v>
      </c>
      <c r="B2796" s="6">
        <v>1</v>
      </c>
      <c r="C2796" s="6" t="s">
        <v>60</v>
      </c>
      <c r="D2796" s="6" t="s">
        <v>445</v>
      </c>
      <c r="E2796" s="6" t="s">
        <v>446</v>
      </c>
      <c r="F2796" s="6" t="str">
        <f>IF($M2796="PADD I","PADD 1",IF($M2796="PADD II","PADD 2",IF($M2796="PADD III","PADD 3",IF($M2796="PADD IV","PADD 4",IF($M2796="PADD V","PADD 5","")))))</f>
        <v>PADD 3</v>
      </c>
      <c r="G2796" s="6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6" t="s">
        <v>44</v>
      </c>
      <c r="I2796" s="6" t="s">
        <v>599</v>
      </c>
      <c r="J2796" s="6" t="s">
        <v>394</v>
      </c>
      <c r="K2796" s="10">
        <v>2.407</v>
      </c>
      <c r="L2796" s="10">
        <v>8.300000000000001</v>
      </c>
      <c r="M2796" s="6" t="s">
        <v>421</v>
      </c>
      <c r="N2796" s="6">
        <f>IF(OR($G2796="FCC",$G2796="Hydrocracker",$G2796="Reformer"),IF(COUNTIFS($D:$D,$D2796,$A:$A,$A2796,$B:$B,$B2796,$G:$G,"CDU",$J:$J,"PLANNED")&gt;0,"tied","standalone"),"")</f>
        <v/>
      </c>
    </row>
    <row r="2797" spans="1:14">
      <c r="A2797" s="6">
        <v>2024</v>
      </c>
      <c r="B2797" s="6">
        <v>1</v>
      </c>
      <c r="C2797" s="6" t="s">
        <v>60</v>
      </c>
      <c r="D2797" s="6" t="s">
        <v>712</v>
      </c>
      <c r="E2797" s="6" t="s">
        <v>602</v>
      </c>
      <c r="F2797" s="6" t="str">
        <f>IF($M2797="PADD I","PADD 1",IF($M2797="PADD II","PADD 2",IF($M2797="PADD III","PADD 3",IF($M2797="PADD IV","PADD 4",IF($M2797="PADD V","PADD 5","")))))</f>
        <v>PADD 3</v>
      </c>
      <c r="G2797" s="6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6" t="s">
        <v>44</v>
      </c>
      <c r="I2797" s="6" t="s">
        <v>894</v>
      </c>
      <c r="J2797" s="6" t="s">
        <v>398</v>
      </c>
      <c r="K2797" s="10">
        <v>2.4</v>
      </c>
      <c r="L2797" s="10">
        <v>5</v>
      </c>
      <c r="M2797" s="6" t="s">
        <v>421</v>
      </c>
      <c r="N2797" s="6">
        <f>IF(OR($G2797="FCC",$G2797="Hydrocracker",$G2797="Reformer"),IF(COUNTIFS($D:$D,$D2797,$A:$A,$A2797,$B:$B,$B2797,$G:$G,"CDU",$J:$J,"PLANNED")&gt;0,"tied","standalone"),"")</f>
        <v/>
      </c>
    </row>
    <row r="2798" spans="1:14">
      <c r="A2798" s="6">
        <v>2024</v>
      </c>
      <c r="B2798" s="6">
        <v>1</v>
      </c>
      <c r="C2798" s="6" t="s">
        <v>60</v>
      </c>
      <c r="D2798" s="6" t="s">
        <v>445</v>
      </c>
      <c r="E2798" s="6" t="s">
        <v>446</v>
      </c>
      <c r="F2798" s="6" t="str">
        <f>IF($M2798="PADD I","PADD 1",IF($M2798="PADD II","PADD 2",IF($M2798="PADD III","PADD 3",IF($M2798="PADD IV","PADD 4",IF($M2798="PADD V","PADD 5","")))))</f>
        <v>PADD 3</v>
      </c>
      <c r="G2798" s="6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6" t="s">
        <v>44</v>
      </c>
      <c r="I2798" s="6" t="s">
        <v>600</v>
      </c>
      <c r="J2798" s="6" t="s">
        <v>394</v>
      </c>
      <c r="K2798" s="10">
        <v>2.3838</v>
      </c>
      <c r="L2798" s="10">
        <v>8.220000000000001</v>
      </c>
      <c r="M2798" s="6" t="s">
        <v>421</v>
      </c>
      <c r="N2798" s="6">
        <f>IF(OR($G2798="FCC",$G2798="Hydrocracker",$G2798="Reformer"),IF(COUNTIFS($D:$D,$D2798,$A:$A,$A2798,$B:$B,$B2798,$G:$G,"CDU",$J:$J,"PLANNED")&gt;0,"tied","standalone"),"")</f>
        <v/>
      </c>
    </row>
    <row r="2799" spans="1:14">
      <c r="A2799" s="6">
        <v>2024</v>
      </c>
      <c r="B2799" s="6">
        <v>1</v>
      </c>
      <c r="C2799" s="6" t="s">
        <v>60</v>
      </c>
      <c r="D2799" s="6" t="s">
        <v>445</v>
      </c>
      <c r="E2799" s="6" t="s">
        <v>446</v>
      </c>
      <c r="F2799" s="6" t="str">
        <f>IF($M2799="PADD I","PADD 1",IF($M2799="PADD II","PADD 2",IF($M2799="PADD III","PADD 3",IF($M2799="PADD IV","PADD 4",IF($M2799="PADD V","PADD 5","")))))</f>
        <v>PADD 3</v>
      </c>
      <c r="G2799" s="6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6" t="s">
        <v>44</v>
      </c>
      <c r="I2799" s="6" t="s">
        <v>601</v>
      </c>
      <c r="J2799" s="6" t="s">
        <v>394</v>
      </c>
      <c r="K2799" s="10">
        <v>2.3722</v>
      </c>
      <c r="L2799" s="10">
        <v>8.18</v>
      </c>
      <c r="M2799" s="6" t="s">
        <v>421</v>
      </c>
      <c r="N2799" s="6">
        <f>IF(OR($G2799="FCC",$G2799="Hydrocracker",$G2799="Reformer"),IF(COUNTIFS($D:$D,$D2799,$A:$A,$A2799,$B:$B,$B2799,$G:$G,"CDU",$J:$J,"PLANNED")&gt;0,"tied","standalone"),"")</f>
        <v/>
      </c>
    </row>
    <row r="2800" spans="1:14">
      <c r="A2800" s="6">
        <v>2024</v>
      </c>
      <c r="B2800" s="6">
        <v>1</v>
      </c>
      <c r="C2800" s="6" t="s">
        <v>60</v>
      </c>
      <c r="D2800" s="6" t="s">
        <v>487</v>
      </c>
      <c r="E2800" s="6" t="s">
        <v>488</v>
      </c>
      <c r="F2800" s="6" t="str">
        <f>IF($M2800="PADD I","PADD 1",IF($M2800="PADD II","PADD 2",IF($M2800="PADD III","PADD 3",IF($M2800="PADD IV","PADD 4",IF($M2800="PADD V","PADD 5","")))))</f>
        <v>PADD 4</v>
      </c>
      <c r="G2800" s="6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6" t="s">
        <v>39</v>
      </c>
      <c r="I2800" s="6" t="s">
        <v>489</v>
      </c>
      <c r="J2800" s="6" t="s">
        <v>394</v>
      </c>
      <c r="K2800" s="10">
        <v>2.34</v>
      </c>
      <c r="L2800" s="10">
        <v>39</v>
      </c>
      <c r="M2800" s="6" t="s">
        <v>480</v>
      </c>
      <c r="N2800" s="6">
        <f>IF(OR($G2800="FCC",$G2800="Hydrocracker",$G2800="Reformer"),IF(COUNTIFS($D:$D,$D2800,$A:$A,$A2800,$B:$B,$B2800,$G:$G,"CDU",$J:$J,"PLANNED")&gt;0,"tied","standalone"),"")</f>
        <v/>
      </c>
    </row>
    <row r="2801" spans="1:14">
      <c r="A2801" s="6">
        <v>2024</v>
      </c>
      <c r="B2801" s="6">
        <v>1</v>
      </c>
      <c r="C2801" s="6" t="s">
        <v>60</v>
      </c>
      <c r="D2801" s="6" t="s">
        <v>772</v>
      </c>
      <c r="E2801" s="6" t="s">
        <v>502</v>
      </c>
      <c r="F2801" s="6" t="str">
        <f>IF($M2801="PADD I","PADD 1",IF($M2801="PADD II","PADD 2",IF($M2801="PADD III","PADD 3",IF($M2801="PADD IV","PADD 4",IF($M2801="PADD V","PADD 5","")))))</f>
        <v>PADD 4</v>
      </c>
      <c r="G2801" s="6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6" t="s">
        <v>426</v>
      </c>
      <c r="I2801" s="6" t="s">
        <v>1156</v>
      </c>
      <c r="J2801" s="6" t="s">
        <v>398</v>
      </c>
      <c r="K2801" s="10">
        <v>2.314</v>
      </c>
      <c r="L2801" s="10">
        <v>8.9</v>
      </c>
      <c r="M2801" s="6" t="s">
        <v>480</v>
      </c>
      <c r="N2801" s="6" t="str">
        <f>IF(OR($G2801="FCC",$G2801="Hydrocracker",$G2801="Reformer"),IF(COUNTIFS($D:$D,$D2801,$A:$A,$A2801,$B:$B,$B2801,$G:$G,"CDU",$J:$J,"PLANNED")&gt;0,"tied","standalone"),"")</f>
        <v>standalone</v>
      </c>
    </row>
    <row r="2802" spans="1:14">
      <c r="A2802" s="6">
        <v>2024</v>
      </c>
      <c r="B2802" s="6">
        <v>1</v>
      </c>
      <c r="C2802" s="6" t="s">
        <v>60</v>
      </c>
      <c r="D2802" s="6" t="s">
        <v>496</v>
      </c>
      <c r="E2802" s="6" t="s">
        <v>441</v>
      </c>
      <c r="F2802" s="6" t="str">
        <f>IF($M2802="PADD I","PADD 1",IF($M2802="PADD II","PADD 2",IF($M2802="PADD III","PADD 3",IF($M2802="PADD IV","PADD 4",IF($M2802="PADD V","PADD 5","")))))</f>
        <v>PADD 3</v>
      </c>
      <c r="G2802" s="6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6" t="s">
        <v>471</v>
      </c>
      <c r="I2802" s="6" t="s">
        <v>533</v>
      </c>
      <c r="J2802" s="6" t="s">
        <v>394</v>
      </c>
      <c r="K2802" s="10">
        <v>2.3</v>
      </c>
      <c r="L2802" s="10">
        <v>23</v>
      </c>
      <c r="M2802" s="6" t="s">
        <v>421</v>
      </c>
      <c r="N2802" s="6" t="str">
        <f>IF(OR($G2802="FCC",$G2802="Hydrocracker",$G2802="Reformer"),IF(COUNTIFS($D:$D,$D2802,$A:$A,$A2802,$B:$B,$B2802,$G:$G,"CDU",$J:$J,"PLANNED")&gt;0,"tied","standalone"),"")</f>
        <v>standalone</v>
      </c>
    </row>
    <row r="2803" spans="1:14">
      <c r="A2803" s="6">
        <v>2024</v>
      </c>
      <c r="B2803" s="6">
        <v>1</v>
      </c>
      <c r="C2803" s="6" t="s">
        <v>60</v>
      </c>
      <c r="D2803" s="6" t="s">
        <v>458</v>
      </c>
      <c r="E2803" s="6" t="s">
        <v>459</v>
      </c>
      <c r="F2803" s="6" t="str">
        <f>IF($M2803="PADD I","PADD 1",IF($M2803="PADD II","PADD 2",IF($M2803="PADD III","PADD 3",IF($M2803="PADD IV","PADD 4",IF($M2803="PADD V","PADD 5","")))))</f>
        <v>PADD 3</v>
      </c>
      <c r="G2803" s="6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6" t="s">
        <v>426</v>
      </c>
      <c r="I2803" s="6" t="s">
        <v>476</v>
      </c>
      <c r="J2803" s="6" t="s">
        <v>394</v>
      </c>
      <c r="K2803" s="10">
        <v>2.28</v>
      </c>
      <c r="L2803" s="10">
        <v>76</v>
      </c>
      <c r="M2803" s="6" t="s">
        <v>421</v>
      </c>
      <c r="N2803" s="6" t="str">
        <f>IF(OR($G2803="FCC",$G2803="Hydrocracker",$G2803="Reformer"),IF(COUNTIFS($D:$D,$D2803,$A:$A,$A2803,$B:$B,$B2803,$G:$G,"CDU",$J:$J,"PLANNED")&gt;0,"tied","standalone"),"")</f>
        <v>standalone</v>
      </c>
    </row>
    <row r="2804" spans="1:14">
      <c r="A2804" s="6">
        <v>2024</v>
      </c>
      <c r="B2804" s="6">
        <v>1</v>
      </c>
      <c r="C2804" s="6" t="s">
        <v>60</v>
      </c>
      <c r="D2804" s="6" t="s">
        <v>1003</v>
      </c>
      <c r="E2804" s="6" t="s">
        <v>783</v>
      </c>
      <c r="F2804" s="6" t="str">
        <f>IF($M2804="PADD I","PADD 1",IF($M2804="PADD II","PADD 2",IF($M2804="PADD III","PADD 3",IF($M2804="PADD IV","PADD 4",IF($M2804="PADD V","PADD 5","")))))</f>
        <v>PADD 2</v>
      </c>
      <c r="G2804" s="6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6" t="s">
        <v>426</v>
      </c>
      <c r="I2804" s="6" t="s">
        <v>106</v>
      </c>
      <c r="J2804" s="6" t="s">
        <v>394</v>
      </c>
      <c r="K2804" s="10">
        <v>2.27</v>
      </c>
      <c r="L2804" s="10">
        <v>22.7</v>
      </c>
      <c r="M2804" s="6" t="s">
        <v>425</v>
      </c>
      <c r="N2804" s="6" t="str">
        <f>IF(OR($G2804="FCC",$G2804="Hydrocracker",$G2804="Reformer"),IF(COUNTIFS($D:$D,$D2804,$A:$A,$A2804,$B:$B,$B2804,$G:$G,"CDU",$J:$J,"PLANNED")&gt;0,"tied","standalone"),"")</f>
        <v>standalone</v>
      </c>
    </row>
    <row r="2805" spans="1:14">
      <c r="A2805" s="6">
        <v>2024</v>
      </c>
      <c r="B2805" s="6">
        <v>1</v>
      </c>
      <c r="C2805" s="6" t="s">
        <v>60</v>
      </c>
      <c r="D2805" s="6" t="s">
        <v>445</v>
      </c>
      <c r="E2805" s="6" t="s">
        <v>446</v>
      </c>
      <c r="F2805" s="6" t="str">
        <f>IF($M2805="PADD I","PADD 1",IF($M2805="PADD II","PADD 2",IF($M2805="PADD III","PADD 3",IF($M2805="PADD IV","PADD 4",IF($M2805="PADD V","PADD 5","")))))</f>
        <v>PADD 3</v>
      </c>
      <c r="G2805" s="6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6" t="s">
        <v>44</v>
      </c>
      <c r="I2805" s="6" t="s">
        <v>604</v>
      </c>
      <c r="J2805" s="6" t="s">
        <v>394</v>
      </c>
      <c r="K2805" s="10">
        <v>2.233</v>
      </c>
      <c r="L2805" s="10">
        <v>7.7</v>
      </c>
      <c r="M2805" s="6" t="s">
        <v>421</v>
      </c>
      <c r="N2805" s="6">
        <f>IF(OR($G2805="FCC",$G2805="Hydrocracker",$G2805="Reformer"),IF(COUNTIFS($D:$D,$D2805,$A:$A,$A2805,$B:$B,$B2805,$G:$G,"CDU",$J:$J,"PLANNED")&gt;0,"tied","standalone"),"")</f>
        <v/>
      </c>
    </row>
    <row r="2806" spans="1:14">
      <c r="A2806" s="6">
        <v>2024</v>
      </c>
      <c r="B2806" s="6">
        <v>1</v>
      </c>
      <c r="C2806" s="6" t="s">
        <v>60</v>
      </c>
      <c r="D2806" s="6" t="s">
        <v>368</v>
      </c>
      <c r="E2806" s="6" t="s">
        <v>715</v>
      </c>
      <c r="F2806" s="6" t="str">
        <f>IF($M2806="PADD I","PADD 1",IF($M2806="PADD II","PADD 2",IF($M2806="PADD III","PADD 3",IF($M2806="PADD IV","PADD 4",IF($M2806="PADD V","PADD 5","")))))</f>
        <v>PADD 3</v>
      </c>
      <c r="G2806" s="6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6" t="s">
        <v>485</v>
      </c>
      <c r="I2806" s="6" t="s">
        <v>491</v>
      </c>
      <c r="J2806" s="6" t="s">
        <v>398</v>
      </c>
      <c r="K2806" s="10">
        <v>2.138</v>
      </c>
      <c r="L2806" s="10">
        <v>21.38</v>
      </c>
      <c r="M2806" s="6" t="s">
        <v>421</v>
      </c>
      <c r="N2806" s="6">
        <f>IF(OR($G2806="FCC",$G2806="Hydrocracker",$G2806="Reformer"),IF(COUNTIFS($D:$D,$D2806,$A:$A,$A2806,$B:$B,$B2806,$G:$G,"CDU",$J:$J,"PLANNED")&gt;0,"tied","standalone"),"")</f>
        <v/>
      </c>
    </row>
    <row r="2807" spans="1:14">
      <c r="A2807" s="6">
        <v>2024</v>
      </c>
      <c r="B2807" s="6">
        <v>1</v>
      </c>
      <c r="C2807" s="6" t="s">
        <v>60</v>
      </c>
      <c r="D2807" s="6" t="s">
        <v>772</v>
      </c>
      <c r="E2807" s="6" t="s">
        <v>502</v>
      </c>
      <c r="F2807" s="6" t="str">
        <f>IF($M2807="PADD I","PADD 1",IF($M2807="PADD II","PADD 2",IF($M2807="PADD III","PADD 3",IF($M2807="PADD IV","PADD 4",IF($M2807="PADD V","PADD 5","")))))</f>
        <v>PADD 4</v>
      </c>
      <c r="G2807" s="6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6" t="s">
        <v>471</v>
      </c>
      <c r="I2807" s="6" t="s">
        <v>1157</v>
      </c>
      <c r="J2807" s="6" t="s">
        <v>398</v>
      </c>
      <c r="K2807" s="10">
        <v>2.08</v>
      </c>
      <c r="L2807" s="10">
        <v>8</v>
      </c>
      <c r="M2807" s="6" t="s">
        <v>480</v>
      </c>
      <c r="N2807" s="6" t="str">
        <f>IF(OR($G2807="FCC",$G2807="Hydrocracker",$G2807="Reformer"),IF(COUNTIFS($D:$D,$D2807,$A:$A,$A2807,$B:$B,$B2807,$G:$G,"CDU",$J:$J,"PLANNED")&gt;0,"tied","standalone"),"")</f>
        <v>standalone</v>
      </c>
    </row>
    <row r="2808" spans="1:14">
      <c r="A2808" s="6">
        <v>2024</v>
      </c>
      <c r="B2808" s="6">
        <v>1</v>
      </c>
      <c r="C2808" s="6" t="s">
        <v>60</v>
      </c>
      <c r="D2808" s="6" t="s">
        <v>857</v>
      </c>
      <c r="E2808" s="6" t="s">
        <v>829</v>
      </c>
      <c r="F2808" s="6" t="str">
        <f>IF($M2808="PADD I","PADD 1",IF($M2808="PADD II","PADD 2",IF($M2808="PADD III","PADD 3",IF($M2808="PADD IV","PADD 4",IF($M2808="PADD V","PADD 5","")))))</f>
        <v>PADD 3</v>
      </c>
      <c r="G2808" s="6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6" t="s">
        <v>1158</v>
      </c>
      <c r="I2808" s="6" t="s">
        <v>1158</v>
      </c>
      <c r="J2808" s="6" t="s">
        <v>398</v>
      </c>
      <c r="K2808" s="10">
        <v>2.04</v>
      </c>
      <c r="L2808" s="10">
        <v>3</v>
      </c>
      <c r="M2808" s="6" t="s">
        <v>421</v>
      </c>
      <c r="N2808" s="6">
        <f>IF(OR($G2808="FCC",$G2808="Hydrocracker",$G2808="Reformer"),IF(COUNTIFS($D:$D,$D2808,$A:$A,$A2808,$B:$B,$B2808,$G:$G,"CDU",$J:$J,"PLANNED")&gt;0,"tied","standalone"),"")</f>
        <v/>
      </c>
    </row>
    <row r="2809" spans="1:14">
      <c r="A2809" s="6">
        <v>2024</v>
      </c>
      <c r="B2809" s="6">
        <v>1</v>
      </c>
      <c r="C2809" s="6" t="s">
        <v>60</v>
      </c>
      <c r="D2809" s="6" t="s">
        <v>678</v>
      </c>
      <c r="E2809" s="6" t="s">
        <v>438</v>
      </c>
      <c r="F2809" s="6" t="str">
        <f>IF($M2809="PADD I","PADD 1",IF($M2809="PADD II","PADD 2",IF($M2809="PADD III","PADD 3",IF($M2809="PADD IV","PADD 4",IF($M2809="PADD V","PADD 5","")))))</f>
        <v>PADD 3</v>
      </c>
      <c r="G2809" s="6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6" t="s">
        <v>39</v>
      </c>
      <c r="I2809" s="6" t="s">
        <v>1103</v>
      </c>
      <c r="J2809" s="6" t="s">
        <v>398</v>
      </c>
      <c r="K2809" s="10">
        <v>2</v>
      </c>
      <c r="L2809" s="10">
        <v>20</v>
      </c>
      <c r="M2809" s="6" t="s">
        <v>421</v>
      </c>
      <c r="N2809" s="6">
        <f>IF(OR($G2809="FCC",$G2809="Hydrocracker",$G2809="Reformer"),IF(COUNTIFS($D:$D,$D2809,$A:$A,$A2809,$B:$B,$B2809,$G:$G,"CDU",$J:$J,"PLANNED")&gt;0,"tied","standalone"),"")</f>
        <v/>
      </c>
    </row>
    <row r="2810" spans="1:14">
      <c r="A2810" s="6">
        <v>2024</v>
      </c>
      <c r="B2810" s="6">
        <v>1</v>
      </c>
      <c r="C2810" s="6" t="s">
        <v>60</v>
      </c>
      <c r="D2810" s="6" t="s">
        <v>1088</v>
      </c>
      <c r="E2810" s="6" t="s">
        <v>1089</v>
      </c>
      <c r="F2810" s="6" t="str">
        <f>IF($M2810="PADD I","PADD 1",IF($M2810="PADD II","PADD 2",IF($M2810="PADD III","PADD 3",IF($M2810="PADD IV","PADD 4",IF($M2810="PADD V","PADD 5","")))))</f>
        <v>PADD 2</v>
      </c>
      <c r="G2810" s="6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6" t="s">
        <v>471</v>
      </c>
      <c r="I2810" s="6" t="s">
        <v>1096</v>
      </c>
      <c r="J2810" s="6" t="s">
        <v>394</v>
      </c>
      <c r="K2810" s="10">
        <v>2</v>
      </c>
      <c r="L2810" s="10">
        <v>20</v>
      </c>
      <c r="M2810" s="6" t="s">
        <v>425</v>
      </c>
      <c r="N2810" s="6" t="str">
        <f>IF(OR($G2810="FCC",$G2810="Hydrocracker",$G2810="Reformer"),IF(COUNTIFS($D:$D,$D2810,$A:$A,$A2810,$B:$B,$B2810,$G:$G,"CDU",$J:$J,"PLANNED")&gt;0,"tied","standalone"),"")</f>
        <v>standalone</v>
      </c>
    </row>
    <row r="2811" spans="1:14">
      <c r="A2811" s="6">
        <v>2024</v>
      </c>
      <c r="B2811" s="6">
        <v>1</v>
      </c>
      <c r="C2811" s="6" t="s">
        <v>60</v>
      </c>
      <c r="D2811" s="6" t="s">
        <v>1151</v>
      </c>
      <c r="E2811" s="6" t="s">
        <v>931</v>
      </c>
      <c r="F2811" s="6" t="str">
        <f>IF($M2811="PADD I","PADD 1",IF($M2811="PADD II","PADD 2",IF($M2811="PADD III","PADD 3",IF($M2811="PADD IV","PADD 4",IF($M2811="PADD V","PADD 5","")))))</f>
        <v>PADD 3</v>
      </c>
      <c r="G2811" s="6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6" t="s">
        <v>428</v>
      </c>
      <c r="I2811" s="6" t="s">
        <v>481</v>
      </c>
      <c r="J2811" s="6" t="s">
        <v>398</v>
      </c>
      <c r="K2811" s="10">
        <v>1.978</v>
      </c>
      <c r="L2811" s="10">
        <v>8.6</v>
      </c>
      <c r="M2811" s="6" t="s">
        <v>421</v>
      </c>
      <c r="N2811" s="6">
        <f>IF(OR($G2811="FCC",$G2811="Hydrocracker",$G2811="Reformer"),IF(COUNTIFS($D:$D,$D2811,$A:$A,$A2811,$B:$B,$B2811,$G:$G,"CDU",$J:$J,"PLANNED")&gt;0,"tied","standalone"),"")</f>
        <v/>
      </c>
    </row>
    <row r="2812" spans="1:14">
      <c r="A2812" s="6">
        <v>2024</v>
      </c>
      <c r="B2812" s="6">
        <v>1</v>
      </c>
      <c r="C2812" s="6" t="s">
        <v>60</v>
      </c>
      <c r="D2812" s="6" t="s">
        <v>395</v>
      </c>
      <c r="E2812" s="6" t="s">
        <v>433</v>
      </c>
      <c r="F2812" s="6" t="str">
        <f>IF($M2812="PADD I","PADD 1",IF($M2812="PADD II","PADD 2",IF($M2812="PADD III","PADD 3",IF($M2812="PADD IV","PADD 4",IF($M2812="PADD V","PADD 5","")))))</f>
        <v>PADD 2</v>
      </c>
      <c r="G2812" s="6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6" t="s">
        <v>471</v>
      </c>
      <c r="I2812" s="6" t="s">
        <v>521</v>
      </c>
      <c r="J2812" s="6" t="s">
        <v>394</v>
      </c>
      <c r="K2812" s="10">
        <v>1.8</v>
      </c>
      <c r="L2812" s="10">
        <v>30</v>
      </c>
      <c r="M2812" s="6" t="s">
        <v>425</v>
      </c>
      <c r="N2812" s="6" t="str">
        <f>IF(OR($G2812="FCC",$G2812="Hydrocracker",$G2812="Reformer"),IF(COUNTIFS($D:$D,$D2812,$A:$A,$A2812,$B:$B,$B2812,$G:$G,"CDU",$J:$J,"PLANNED")&gt;0,"tied","standalone"),"")</f>
        <v>standalone</v>
      </c>
    </row>
    <row r="2813" spans="1:14">
      <c r="A2813" s="6">
        <v>2024</v>
      </c>
      <c r="B2813" s="6">
        <v>1</v>
      </c>
      <c r="C2813" s="6" t="s">
        <v>60</v>
      </c>
      <c r="D2813" s="6" t="s">
        <v>484</v>
      </c>
      <c r="E2813" s="6" t="s">
        <v>438</v>
      </c>
      <c r="F2813" s="6" t="str">
        <f>IF($M2813="PADD I","PADD 1",IF($M2813="PADD II","PADD 2",IF($M2813="PADD III","PADD 3",IF($M2813="PADD IV","PADD 4",IF($M2813="PADD V","PADD 5","")))))</f>
        <v>PADD 5</v>
      </c>
      <c r="G2813" s="6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6" t="s">
        <v>494</v>
      </c>
      <c r="I2813" s="6" t="s">
        <v>14</v>
      </c>
      <c r="J2813" s="6" t="s">
        <v>394</v>
      </c>
      <c r="K2813" s="10">
        <v>1.8</v>
      </c>
      <c r="L2813" s="10">
        <v>30</v>
      </c>
      <c r="M2813" s="6" t="s">
        <v>436</v>
      </c>
      <c r="N2813" s="6" t="str">
        <f>IF(OR($G2813="FCC",$G2813="Hydrocracker",$G2813="Reformer"),IF(COUNTIFS($D:$D,$D2813,$A:$A,$A2813,$B:$B,$B2813,$G:$G,"CDU",$J:$J,"PLANNED")&gt;0,"tied","standalone"),"")</f>
        <v>standalone</v>
      </c>
    </row>
    <row r="2814" spans="1:14">
      <c r="A2814" s="6">
        <v>2024</v>
      </c>
      <c r="B2814" s="6">
        <v>1</v>
      </c>
      <c r="C2814" s="6" t="s">
        <v>60</v>
      </c>
      <c r="D2814" s="6" t="s">
        <v>576</v>
      </c>
      <c r="E2814" s="6" t="s">
        <v>455</v>
      </c>
      <c r="F2814" s="6" t="str">
        <f>IF($M2814="PADD I","PADD 1",IF($M2814="PADD II","PADD 2",IF($M2814="PADD III","PADD 3",IF($M2814="PADD IV","PADD 4",IF($M2814="PADD V","PADD 5","")))))</f>
        <v>PADD 3</v>
      </c>
      <c r="G2814" s="6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6" t="s">
        <v>44</v>
      </c>
      <c r="I2814" s="6" t="s">
        <v>1126</v>
      </c>
      <c r="J2814" s="6" t="s">
        <v>394</v>
      </c>
      <c r="K2814" s="10">
        <v>1.65</v>
      </c>
      <c r="L2814" s="10">
        <v>55</v>
      </c>
      <c r="M2814" s="6" t="s">
        <v>421</v>
      </c>
      <c r="N2814" s="6">
        <f>IF(OR($G2814="FCC",$G2814="Hydrocracker",$G2814="Reformer"),IF(COUNTIFS($D:$D,$D2814,$A:$A,$A2814,$B:$B,$B2814,$G:$G,"CDU",$J:$J,"PLANNED")&gt;0,"tied","standalone"),"")</f>
        <v/>
      </c>
    </row>
    <row r="2815" spans="1:14">
      <c r="A2815" s="6">
        <v>2024</v>
      </c>
      <c r="B2815" s="6">
        <v>1</v>
      </c>
      <c r="C2815" s="6" t="s">
        <v>60</v>
      </c>
      <c r="D2815" s="6" t="s">
        <v>458</v>
      </c>
      <c r="E2815" s="6" t="s">
        <v>459</v>
      </c>
      <c r="F2815" s="6" t="str">
        <f>IF($M2815="PADD I","PADD 1",IF($M2815="PADD II","PADD 2",IF($M2815="PADD III","PADD 3",IF($M2815="PADD IV","PADD 4",IF($M2815="PADD V","PADD 5","")))))</f>
        <v>PADD 3</v>
      </c>
      <c r="G2815" s="6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6" t="s">
        <v>428</v>
      </c>
      <c r="I2815" s="6" t="s">
        <v>539</v>
      </c>
      <c r="J2815" s="6" t="s">
        <v>394</v>
      </c>
      <c r="K2815" s="10">
        <v>1.65</v>
      </c>
      <c r="L2815" s="10">
        <v>55</v>
      </c>
      <c r="M2815" s="6" t="s">
        <v>421</v>
      </c>
      <c r="N2815" s="6">
        <f>IF(OR($G2815="FCC",$G2815="Hydrocracker",$G2815="Reformer"),IF(COUNTIFS($D:$D,$D2815,$A:$A,$A2815,$B:$B,$B2815,$G:$G,"CDU",$J:$J,"PLANNED")&gt;0,"tied","standalone"),"")</f>
        <v/>
      </c>
    </row>
    <row r="2816" spans="1:14">
      <c r="A2816" s="6">
        <v>2024</v>
      </c>
      <c r="B2816" s="6">
        <v>1</v>
      </c>
      <c r="C2816" s="6" t="s">
        <v>60</v>
      </c>
      <c r="D2816" s="6" t="s">
        <v>849</v>
      </c>
      <c r="E2816" s="6" t="s">
        <v>441</v>
      </c>
      <c r="F2816" s="6" t="str">
        <f>IF($M2816="PADD I","PADD 1",IF($M2816="PADD II","PADD 2",IF($M2816="PADD III","PADD 3",IF($M2816="PADD IV","PADD 4",IF($M2816="PADD V","PADD 5","")))))</f>
        <v>PADD 4</v>
      </c>
      <c r="G2816" s="6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6" t="s">
        <v>428</v>
      </c>
      <c r="I2816" s="6" t="s">
        <v>429</v>
      </c>
      <c r="J2816" s="6" t="s">
        <v>394</v>
      </c>
      <c r="K2816" s="10">
        <v>1.536</v>
      </c>
      <c r="L2816" s="10">
        <v>25.6</v>
      </c>
      <c r="M2816" s="6" t="s">
        <v>480</v>
      </c>
      <c r="N2816" s="6">
        <f>IF(OR($G2816="FCC",$G2816="Hydrocracker",$G2816="Reformer"),IF(COUNTIFS($D:$D,$D2816,$A:$A,$A2816,$B:$B,$B2816,$G:$G,"CDU",$J:$J,"PLANNED")&gt;0,"tied","standalone"),"")</f>
        <v/>
      </c>
    </row>
    <row r="2817" spans="1:14">
      <c r="A2817" s="6">
        <v>2024</v>
      </c>
      <c r="B2817" s="6">
        <v>1</v>
      </c>
      <c r="C2817" s="6" t="s">
        <v>60</v>
      </c>
      <c r="D2817" s="6" t="s">
        <v>622</v>
      </c>
      <c r="E2817" s="6" t="s">
        <v>623</v>
      </c>
      <c r="F2817" s="6" t="str">
        <f>IF($M2817="PADD I","PADD 1",IF($M2817="PADD II","PADD 2",IF($M2817="PADD III","PADD 3",IF($M2817="PADD IV","PADD 4",IF($M2817="PADD V","PADD 5","")))))</f>
        <v>PADD 3</v>
      </c>
      <c r="G2817" s="6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6" t="s">
        <v>39</v>
      </c>
      <c r="I2817" s="6" t="s">
        <v>624</v>
      </c>
      <c r="J2817" s="6" t="s">
        <v>394</v>
      </c>
      <c r="K2817" s="10">
        <v>1.5</v>
      </c>
      <c r="L2817" s="10">
        <v>50</v>
      </c>
      <c r="M2817" s="6" t="s">
        <v>421</v>
      </c>
      <c r="N2817" s="6">
        <f>IF(OR($G2817="FCC",$G2817="Hydrocracker",$G2817="Reformer"),IF(COUNTIFS($D:$D,$D2817,$A:$A,$A2817,$B:$B,$B2817,$G:$G,"CDU",$J:$J,"PLANNED")&gt;0,"tied","standalone"),"")</f>
        <v/>
      </c>
    </row>
    <row r="2818" spans="1:14">
      <c r="A2818" s="6">
        <v>2024</v>
      </c>
      <c r="B2818" s="6">
        <v>1</v>
      </c>
      <c r="C2818" s="6" t="s">
        <v>60</v>
      </c>
      <c r="D2818" s="6" t="s">
        <v>806</v>
      </c>
      <c r="E2818" s="6" t="s">
        <v>807</v>
      </c>
      <c r="F2818" s="6" t="str">
        <f>IF($M2818="PADD I","PADD 1",IF($M2818="PADD II","PADD 2",IF($M2818="PADD III","PADD 3",IF($M2818="PADD IV","PADD 4",IF($M2818="PADD V","PADD 5","")))))</f>
        <v>PADD 3</v>
      </c>
      <c r="G2818" s="6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6" t="s">
        <v>39</v>
      </c>
      <c r="I2818" s="6" t="s">
        <v>82</v>
      </c>
      <c r="J2818" s="6" t="s">
        <v>394</v>
      </c>
      <c r="K2818" s="10">
        <v>1.5</v>
      </c>
      <c r="L2818" s="10">
        <v>15</v>
      </c>
      <c r="M2818" s="6" t="s">
        <v>421</v>
      </c>
      <c r="N2818" s="6">
        <f>IF(OR($G2818="FCC",$G2818="Hydrocracker",$G2818="Reformer"),IF(COUNTIFS($D:$D,$D2818,$A:$A,$A2818,$B:$B,$B2818,$G:$G,"CDU",$J:$J,"PLANNED")&gt;0,"tied","standalone"),"")</f>
        <v/>
      </c>
    </row>
    <row r="2819" spans="1:14">
      <c r="A2819" s="6">
        <v>2024</v>
      </c>
      <c r="B2819" s="6">
        <v>1</v>
      </c>
      <c r="C2819" s="6" t="s">
        <v>60</v>
      </c>
      <c r="D2819" s="6" t="s">
        <v>41</v>
      </c>
      <c r="E2819" s="6" t="s">
        <v>786</v>
      </c>
      <c r="F2819" s="6" t="str">
        <f>IF($M2819="PADD I","PADD 1",IF($M2819="PADD II","PADD 2",IF($M2819="PADD III","PADD 3",IF($M2819="PADD IV","PADD 4",IF($M2819="PADD V","PADD 5","")))))</f>
        <v>PADD 1</v>
      </c>
      <c r="G2819" s="6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6" t="s">
        <v>428</v>
      </c>
      <c r="I2819" s="6" t="s">
        <v>1013</v>
      </c>
      <c r="J2819" s="6" t="s">
        <v>394</v>
      </c>
      <c r="K2819" s="10">
        <v>1.4598</v>
      </c>
      <c r="L2819" s="10">
        <v>24.33</v>
      </c>
      <c r="M2819" s="6" t="s">
        <v>463</v>
      </c>
      <c r="N2819" s="6">
        <f>IF(OR($G2819="FCC",$G2819="Hydrocracker",$G2819="Reformer"),IF(COUNTIFS($D:$D,$D2819,$A:$A,$A2819,$B:$B,$B2819,$G:$G,"CDU",$J:$J,"PLANNED")&gt;0,"tied","standalone"),"")</f>
        <v/>
      </c>
    </row>
    <row r="2820" spans="1:14">
      <c r="A2820" s="6">
        <v>2024</v>
      </c>
      <c r="B2820" s="6">
        <v>1</v>
      </c>
      <c r="C2820" s="6" t="s">
        <v>60</v>
      </c>
      <c r="D2820" s="6" t="s">
        <v>41</v>
      </c>
      <c r="E2820" s="6" t="s">
        <v>786</v>
      </c>
      <c r="F2820" s="6" t="str">
        <f>IF($M2820="PADD I","PADD 1",IF($M2820="PADD II","PADD 2",IF($M2820="PADD III","PADD 3",IF($M2820="PADD IV","PADD 4",IF($M2820="PADD V","PADD 5","")))))</f>
        <v>PADD 1</v>
      </c>
      <c r="G2820" s="6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6" t="s">
        <v>687</v>
      </c>
      <c r="I2820" s="6" t="s">
        <v>1069</v>
      </c>
      <c r="J2820" s="6" t="s">
        <v>394</v>
      </c>
      <c r="K2820" s="10">
        <v>1.4</v>
      </c>
      <c r="L2820" s="10">
        <v>14</v>
      </c>
      <c r="M2820" s="6" t="s">
        <v>463</v>
      </c>
      <c r="N2820" s="6">
        <f>IF(OR($G2820="FCC",$G2820="Hydrocracker",$G2820="Reformer"),IF(COUNTIFS($D:$D,$D2820,$A:$A,$A2820,$B:$B,$B2820,$G:$G,"CDU",$J:$J,"PLANNED")&gt;0,"tied","standalone"),"")</f>
        <v/>
      </c>
    </row>
    <row r="2821" spans="1:14">
      <c r="A2821" s="6">
        <v>2024</v>
      </c>
      <c r="B2821" s="6">
        <v>1</v>
      </c>
      <c r="C2821" s="6" t="s">
        <v>60</v>
      </c>
      <c r="D2821" s="6" t="s">
        <v>652</v>
      </c>
      <c r="E2821" s="6" t="s">
        <v>419</v>
      </c>
      <c r="F2821" s="6" t="str">
        <f>IF($M2821="PADD I","PADD 1",IF($M2821="PADD II","PADD 2",IF($M2821="PADD III","PADD 3",IF($M2821="PADD IV","PADD 4",IF($M2821="PADD V","PADD 5","")))))</f>
        <v>PADD 2</v>
      </c>
      <c r="G2821" s="6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6" t="s">
        <v>510</v>
      </c>
      <c r="I2821" s="6" t="s">
        <v>666</v>
      </c>
      <c r="J2821" s="6" t="s">
        <v>394</v>
      </c>
      <c r="K2821" s="10">
        <v>1.38</v>
      </c>
      <c r="L2821" s="10">
        <v>23</v>
      </c>
      <c r="M2821" s="6" t="s">
        <v>425</v>
      </c>
      <c r="N2821" s="6">
        <f>IF(OR($G2821="FCC",$G2821="Hydrocracker",$G2821="Reformer"),IF(COUNTIFS($D:$D,$D2821,$A:$A,$A2821,$B:$B,$B2821,$G:$G,"CDU",$J:$J,"PLANNED")&gt;0,"tied","standalone"),"")</f>
        <v/>
      </c>
    </row>
    <row r="2822" spans="1:14">
      <c r="A2822" s="6">
        <v>2024</v>
      </c>
      <c r="B2822" s="6">
        <v>1</v>
      </c>
      <c r="C2822" s="6" t="s">
        <v>60</v>
      </c>
      <c r="D2822" s="6" t="s">
        <v>41</v>
      </c>
      <c r="E2822" s="6" t="s">
        <v>786</v>
      </c>
      <c r="F2822" s="6" t="str">
        <f>IF($M2822="PADD I","PADD 1",IF($M2822="PADD II","PADD 2",IF($M2822="PADD III","PADD 3",IF($M2822="PADD IV","PADD 4",IF($M2822="PADD V","PADD 5","")))))</f>
        <v>PADD 1</v>
      </c>
      <c r="G2822" s="6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6" t="s">
        <v>510</v>
      </c>
      <c r="I2822" s="6" t="s">
        <v>810</v>
      </c>
      <c r="J2822" s="6" t="s">
        <v>394</v>
      </c>
      <c r="K2822" s="10">
        <v>1.2</v>
      </c>
      <c r="L2822" s="10">
        <v>12</v>
      </c>
      <c r="M2822" s="6" t="s">
        <v>463</v>
      </c>
      <c r="N2822" s="6">
        <f>IF(OR($G2822="FCC",$G2822="Hydrocracker",$G2822="Reformer"),IF(COUNTIFS($D:$D,$D2822,$A:$A,$A2822,$B:$B,$B2822,$G:$G,"CDU",$J:$J,"PLANNED")&gt;0,"tied","standalone"),"")</f>
        <v/>
      </c>
    </row>
    <row r="2823" spans="1:14">
      <c r="A2823" s="6">
        <v>2024</v>
      </c>
      <c r="B2823" s="6">
        <v>1</v>
      </c>
      <c r="C2823" s="6" t="s">
        <v>60</v>
      </c>
      <c r="D2823" s="6" t="s">
        <v>458</v>
      </c>
      <c r="E2823" s="6" t="s">
        <v>459</v>
      </c>
      <c r="F2823" s="6" t="str">
        <f>IF($M2823="PADD I","PADD 1",IF($M2823="PADD II","PADD 2",IF($M2823="PADD III","PADD 3",IF($M2823="PADD IV","PADD 4",IF($M2823="PADD V","PADD 5","")))))</f>
        <v>PADD 3</v>
      </c>
      <c r="G2823" s="6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6" t="s">
        <v>39</v>
      </c>
      <c r="I2823" s="6" t="s">
        <v>572</v>
      </c>
      <c r="J2823" s="6" t="s">
        <v>394</v>
      </c>
      <c r="K2823" s="10">
        <v>1.2</v>
      </c>
      <c r="L2823" s="10">
        <v>40</v>
      </c>
      <c r="M2823" s="6" t="s">
        <v>421</v>
      </c>
      <c r="N2823" s="6">
        <f>IF(OR($G2823="FCC",$G2823="Hydrocracker",$G2823="Reformer"),IF(COUNTIFS($D:$D,$D2823,$A:$A,$A2823,$B:$B,$B2823,$G:$G,"CDU",$J:$J,"PLANNED")&gt;0,"tied","standalone"),"")</f>
        <v/>
      </c>
    </row>
    <row r="2824" spans="1:14">
      <c r="A2824" s="6">
        <v>2024</v>
      </c>
      <c r="B2824" s="6">
        <v>1</v>
      </c>
      <c r="C2824" s="6" t="s">
        <v>60</v>
      </c>
      <c r="D2824" s="6" t="s">
        <v>1003</v>
      </c>
      <c r="E2824" s="6" t="s">
        <v>783</v>
      </c>
      <c r="F2824" s="6" t="str">
        <f>IF($M2824="PADD I","PADD 1",IF($M2824="PADD II","PADD 2",IF($M2824="PADD III","PADD 3",IF($M2824="PADD IV","PADD 4",IF($M2824="PADD V","PADD 5","")))))</f>
        <v>PADD 2</v>
      </c>
      <c r="G2824" s="6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6" t="s">
        <v>44</v>
      </c>
      <c r="I2824" s="6" t="s">
        <v>499</v>
      </c>
      <c r="J2824" s="6" t="s">
        <v>394</v>
      </c>
      <c r="K2824" s="10">
        <v>1.2</v>
      </c>
      <c r="L2824" s="10">
        <v>12</v>
      </c>
      <c r="M2824" s="6" t="s">
        <v>425</v>
      </c>
      <c r="N2824" s="6">
        <f>IF(OR($G2824="FCC",$G2824="Hydrocracker",$G2824="Reformer"),IF(COUNTIFS($D:$D,$D2824,$A:$A,$A2824,$B:$B,$B2824,$G:$G,"CDU",$J:$J,"PLANNED")&gt;0,"tied","standalone"),"")</f>
        <v/>
      </c>
    </row>
    <row r="2825" spans="1:14">
      <c r="A2825" s="6">
        <v>2024</v>
      </c>
      <c r="B2825" s="6">
        <v>1</v>
      </c>
      <c r="C2825" s="6" t="s">
        <v>60</v>
      </c>
      <c r="D2825" s="6" t="s">
        <v>652</v>
      </c>
      <c r="E2825" s="6" t="s">
        <v>419</v>
      </c>
      <c r="F2825" s="6" t="str">
        <f>IF($M2825="PADD I","PADD 1",IF($M2825="PADD II","PADD 2",IF($M2825="PADD III","PADD 3",IF($M2825="PADD IV","PADD 4",IF($M2825="PADD V","PADD 5","")))))</f>
        <v>PADD 2</v>
      </c>
      <c r="G2825" s="6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6" t="s">
        <v>510</v>
      </c>
      <c r="I2825" s="6" t="s">
        <v>666</v>
      </c>
      <c r="J2825" s="6" t="s">
        <v>394</v>
      </c>
      <c r="K2825" s="10">
        <v>1.2</v>
      </c>
      <c r="L2825" s="10">
        <v>12</v>
      </c>
      <c r="M2825" s="6" t="s">
        <v>425</v>
      </c>
      <c r="N2825" s="6">
        <f>IF(OR($G2825="FCC",$G2825="Hydrocracker",$G2825="Reformer"),IF(COUNTIFS($D:$D,$D2825,$A:$A,$A2825,$B:$B,$B2825,$G:$G,"CDU",$J:$J,"PLANNED")&gt;0,"tied","standalone"),"")</f>
        <v/>
      </c>
    </row>
    <row r="2826" spans="1:14">
      <c r="A2826" s="6">
        <v>2024</v>
      </c>
      <c r="B2826" s="6">
        <v>1</v>
      </c>
      <c r="C2826" s="6" t="s">
        <v>60</v>
      </c>
      <c r="D2826" s="6" t="s">
        <v>889</v>
      </c>
      <c r="E2826" s="6" t="s">
        <v>890</v>
      </c>
      <c r="F2826" s="6" t="str">
        <f>IF($M2826="PADD I","PADD 1",IF($M2826="PADD II","PADD 2",IF($M2826="PADD III","PADD 3",IF($M2826="PADD IV","PADD 4",IF($M2826="PADD V","PADD 5","")))))</f>
        <v>PADD 1</v>
      </c>
      <c r="G2826" s="6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6" t="s">
        <v>44</v>
      </c>
      <c r="I2826" s="6" t="s">
        <v>891</v>
      </c>
      <c r="J2826" s="6" t="s">
        <v>394</v>
      </c>
      <c r="K2826" s="10">
        <v>1.02</v>
      </c>
      <c r="L2826" s="10">
        <v>17</v>
      </c>
      <c r="M2826" s="6" t="s">
        <v>463</v>
      </c>
      <c r="N2826" s="6">
        <f>IF(OR($G2826="FCC",$G2826="Hydrocracker",$G2826="Reformer"),IF(COUNTIFS($D:$D,$D2826,$A:$A,$A2826,$B:$B,$B2826,$G:$G,"CDU",$J:$J,"PLANNED")&gt;0,"tied","standalone"),"")</f>
        <v/>
      </c>
    </row>
    <row r="2827" spans="1:14">
      <c r="A2827" s="6">
        <v>2024</v>
      </c>
      <c r="B2827" s="6">
        <v>1</v>
      </c>
      <c r="C2827" s="6" t="s">
        <v>60</v>
      </c>
      <c r="D2827" s="6" t="s">
        <v>445</v>
      </c>
      <c r="E2827" s="6" t="s">
        <v>446</v>
      </c>
      <c r="F2827" s="6" t="str">
        <f>IF($M2827="PADD I","PADD 1",IF($M2827="PADD II","PADD 2",IF($M2827="PADD III","PADD 3",IF($M2827="PADD IV","PADD 4",IF($M2827="PADD V","PADD 5","")))))</f>
        <v>PADD 3</v>
      </c>
      <c r="G2827" s="6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6" t="s">
        <v>510</v>
      </c>
      <c r="I2827" s="6" t="s">
        <v>511</v>
      </c>
      <c r="J2827" s="6" t="s">
        <v>394</v>
      </c>
      <c r="K2827" s="10">
        <v>0.9744</v>
      </c>
      <c r="L2827" s="10">
        <v>3.36</v>
      </c>
      <c r="M2827" s="6" t="s">
        <v>421</v>
      </c>
      <c r="N2827" s="6">
        <f>IF(OR($G2827="FCC",$G2827="Hydrocracker",$G2827="Reformer"),IF(COUNTIFS($D:$D,$D2827,$A:$A,$A2827,$B:$B,$B2827,$G:$G,"CDU",$J:$J,"PLANNED")&gt;0,"tied","standalone"),"")</f>
        <v/>
      </c>
    </row>
    <row r="2828" spans="1:14">
      <c r="A2828" s="6">
        <v>2024</v>
      </c>
      <c r="B2828" s="6">
        <v>1</v>
      </c>
      <c r="C2828" s="6" t="s">
        <v>60</v>
      </c>
      <c r="D2828" s="6" t="s">
        <v>484</v>
      </c>
      <c r="E2828" s="6" t="s">
        <v>438</v>
      </c>
      <c r="F2828" s="6" t="str">
        <f>IF($M2828="PADD I","PADD 1",IF($M2828="PADD II","PADD 2",IF($M2828="PADD III","PADD 3",IF($M2828="PADD IV","PADD 4",IF($M2828="PADD V","PADD 5","")))))</f>
        <v>PADD 5</v>
      </c>
      <c r="G2828" s="6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6" t="s">
        <v>494</v>
      </c>
      <c r="I2828" s="6" t="s">
        <v>14</v>
      </c>
      <c r="J2828" s="6" t="s">
        <v>394</v>
      </c>
      <c r="K2828" s="10">
        <v>0.96</v>
      </c>
      <c r="L2828" s="10">
        <v>32</v>
      </c>
      <c r="M2828" s="6" t="s">
        <v>436</v>
      </c>
      <c r="N2828" s="6" t="str">
        <f>IF(OR($G2828="FCC",$G2828="Hydrocracker",$G2828="Reformer"),IF(COUNTIFS($D:$D,$D2828,$A:$A,$A2828,$B:$B,$B2828,$G:$G,"CDU",$J:$J,"PLANNED")&gt;0,"tied","standalone"),"")</f>
        <v>standalone</v>
      </c>
    </row>
    <row r="2829" spans="1:14">
      <c r="A2829" s="6">
        <v>2024</v>
      </c>
      <c r="B2829" s="6">
        <v>1</v>
      </c>
      <c r="C2829" s="6" t="s">
        <v>60</v>
      </c>
      <c r="D2829" s="6" t="s">
        <v>1151</v>
      </c>
      <c r="E2829" s="6" t="s">
        <v>931</v>
      </c>
      <c r="F2829" s="6" t="str">
        <f>IF($M2829="PADD I","PADD 1",IF($M2829="PADD II","PADD 2",IF($M2829="PADD III","PADD 3",IF($M2829="PADD IV","PADD 4",IF($M2829="PADD V","PADD 5","")))))</f>
        <v>PADD 3</v>
      </c>
      <c r="G2829" s="6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6" t="s">
        <v>471</v>
      </c>
      <c r="I2829" s="6" t="s">
        <v>15</v>
      </c>
      <c r="J2829" s="6" t="s">
        <v>398</v>
      </c>
      <c r="K2829" s="10">
        <v>0.92</v>
      </c>
      <c r="L2829" s="10">
        <v>4</v>
      </c>
      <c r="M2829" s="6" t="s">
        <v>421</v>
      </c>
      <c r="N2829" s="6" t="str">
        <f>IF(OR($G2829="FCC",$G2829="Hydrocracker",$G2829="Reformer"),IF(COUNTIFS($D:$D,$D2829,$A:$A,$A2829,$B:$B,$B2829,$G:$G,"CDU",$J:$J,"PLANNED")&gt;0,"tied","standalone"),"")</f>
        <v>tied</v>
      </c>
    </row>
    <row r="2830" spans="1:14">
      <c r="A2830" s="6">
        <v>2024</v>
      </c>
      <c r="B2830" s="6">
        <v>1</v>
      </c>
      <c r="C2830" s="6" t="s">
        <v>60</v>
      </c>
      <c r="D2830" s="6" t="s">
        <v>518</v>
      </c>
      <c r="E2830" s="6" t="s">
        <v>419</v>
      </c>
      <c r="F2830" s="6" t="str">
        <f>IF($M2830="PADD I","PADD 1",IF($M2830="PADD II","PADD 2",IF($M2830="PADD III","PADD 3",IF($M2830="PADD IV","PADD 4",IF($M2830="PADD V","PADD 5","")))))</f>
        <v>PADD 3</v>
      </c>
      <c r="G2830" s="6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6" t="s">
        <v>471</v>
      </c>
      <c r="I2830" s="6" t="s">
        <v>685</v>
      </c>
      <c r="J2830" s="6" t="s">
        <v>394</v>
      </c>
      <c r="K2830" s="10">
        <v>0.91</v>
      </c>
      <c r="L2830" s="10">
        <v>7</v>
      </c>
      <c r="M2830" s="6" t="s">
        <v>421</v>
      </c>
      <c r="N2830" s="6" t="str">
        <f>IF(OR($G2830="FCC",$G2830="Hydrocracker",$G2830="Reformer"),IF(COUNTIFS($D:$D,$D2830,$A:$A,$A2830,$B:$B,$B2830,$G:$G,"CDU",$J:$J,"PLANNED")&gt;0,"tied","standalone"),"")</f>
        <v>standalone</v>
      </c>
    </row>
    <row r="2831" spans="1:14">
      <c r="A2831" s="6">
        <v>2024</v>
      </c>
      <c r="B2831" s="6">
        <v>1</v>
      </c>
      <c r="C2831" s="6" t="s">
        <v>60</v>
      </c>
      <c r="D2831" s="6" t="s">
        <v>445</v>
      </c>
      <c r="E2831" s="6" t="s">
        <v>446</v>
      </c>
      <c r="F2831" s="6" t="str">
        <f>IF($M2831="PADD I","PADD 1",IF($M2831="PADD II","PADD 2",IF($M2831="PADD III","PADD 3",IF($M2831="PADD IV","PADD 4",IF($M2831="PADD V","PADD 5","")))))</f>
        <v>PADD 3</v>
      </c>
      <c r="G2831" s="6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6" t="s">
        <v>471</v>
      </c>
      <c r="I2831" s="6" t="s">
        <v>590</v>
      </c>
      <c r="J2831" s="6" t="s">
        <v>398</v>
      </c>
      <c r="K2831" s="10">
        <v>0.9</v>
      </c>
      <c r="L2831" s="10">
        <v>30</v>
      </c>
      <c r="M2831" s="6" t="s">
        <v>421</v>
      </c>
      <c r="N2831" s="6" t="str">
        <f>IF(OR($G2831="FCC",$G2831="Hydrocracker",$G2831="Reformer"),IF(COUNTIFS($D:$D,$D2831,$A:$A,$A2831,$B:$B,$B2831,$G:$G,"CDU",$J:$J,"PLANNED")&gt;0,"tied","standalone"),"")</f>
        <v>standalone</v>
      </c>
    </row>
    <row r="2832" spans="1:14">
      <c r="A2832" s="6">
        <v>2024</v>
      </c>
      <c r="B2832" s="6">
        <v>1</v>
      </c>
      <c r="C2832" s="6" t="s">
        <v>60</v>
      </c>
      <c r="D2832" s="6" t="s">
        <v>41</v>
      </c>
      <c r="E2832" s="6" t="s">
        <v>786</v>
      </c>
      <c r="F2832" s="6" t="str">
        <f>IF($M2832="PADD I","PADD 1",IF($M2832="PADD II","PADD 2",IF($M2832="PADD III","PADD 3",IF($M2832="PADD IV","PADD 4",IF($M2832="PADD V","PADD 5","")))))</f>
        <v>PADD 1</v>
      </c>
      <c r="G2832" s="6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6" t="s">
        <v>428</v>
      </c>
      <c r="I2832" s="6" t="s">
        <v>1013</v>
      </c>
      <c r="J2832" s="6" t="s">
        <v>394</v>
      </c>
      <c r="K2832" s="10">
        <v>0.78</v>
      </c>
      <c r="L2832" s="10">
        <v>26</v>
      </c>
      <c r="M2832" s="6" t="s">
        <v>463</v>
      </c>
      <c r="N2832" s="6">
        <f>IF(OR($G2832="FCC",$G2832="Hydrocracker",$G2832="Reformer"),IF(COUNTIFS($D:$D,$D2832,$A:$A,$A2832,$B:$B,$B2832,$G:$G,"CDU",$J:$J,"PLANNED")&gt;0,"tied","standalone"),"")</f>
        <v/>
      </c>
    </row>
    <row r="2833" spans="1:14">
      <c r="A2833" s="6">
        <v>2024</v>
      </c>
      <c r="B2833" s="6">
        <v>1</v>
      </c>
      <c r="C2833" s="6" t="s">
        <v>60</v>
      </c>
      <c r="D2833" s="6" t="s">
        <v>772</v>
      </c>
      <c r="E2833" s="6" t="s">
        <v>502</v>
      </c>
      <c r="F2833" s="6" t="str">
        <f>IF($M2833="PADD I","PADD 1",IF($M2833="PADD II","PADD 2",IF($M2833="PADD III","PADD 3",IF($M2833="PADD IV","PADD 4",IF($M2833="PADD V","PADD 5","")))))</f>
        <v>PADD 4</v>
      </c>
      <c r="G2833" s="6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6" t="s">
        <v>510</v>
      </c>
      <c r="I2833" s="6" t="s">
        <v>1159</v>
      </c>
      <c r="J2833" s="6" t="s">
        <v>398</v>
      </c>
      <c r="K2833" s="10">
        <v>0.754</v>
      </c>
      <c r="L2833" s="10">
        <v>2.9</v>
      </c>
      <c r="M2833" s="6" t="s">
        <v>480</v>
      </c>
      <c r="N2833" s="6">
        <f>IF(OR($G2833="FCC",$G2833="Hydrocracker",$G2833="Reformer"),IF(COUNTIFS($D:$D,$D2833,$A:$A,$A2833,$B:$B,$B2833,$G:$G,"CDU",$J:$J,"PLANNED")&gt;0,"tied","standalone"),"")</f>
        <v/>
      </c>
    </row>
    <row r="2834" spans="1:14">
      <c r="A2834" s="6">
        <v>2024</v>
      </c>
      <c r="B2834" s="6">
        <v>1</v>
      </c>
      <c r="C2834" s="6" t="s">
        <v>60</v>
      </c>
      <c r="D2834" s="6" t="s">
        <v>1003</v>
      </c>
      <c r="E2834" s="6" t="s">
        <v>783</v>
      </c>
      <c r="F2834" s="6" t="str">
        <f>IF($M2834="PADD I","PADD 1",IF($M2834="PADD II","PADD 2",IF($M2834="PADD III","PADD 3",IF($M2834="PADD IV","PADD 4",IF($M2834="PADD V","PADD 5","")))))</f>
        <v>PADD 2</v>
      </c>
      <c r="G2834" s="6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6" t="s">
        <v>510</v>
      </c>
      <c r="I2834" s="6" t="s">
        <v>666</v>
      </c>
      <c r="J2834" s="6" t="s">
        <v>394</v>
      </c>
      <c r="K2834" s="10">
        <v>0.66</v>
      </c>
      <c r="L2834" s="10">
        <v>6.6</v>
      </c>
      <c r="M2834" s="6" t="s">
        <v>425</v>
      </c>
      <c r="N2834" s="6">
        <f>IF(OR($G2834="FCC",$G2834="Hydrocracker",$G2834="Reformer"),IF(COUNTIFS($D:$D,$D2834,$A:$A,$A2834,$B:$B,$B2834,$G:$G,"CDU",$J:$J,"PLANNED")&gt;0,"tied","standalone"),"")</f>
        <v/>
      </c>
    </row>
    <row r="2835" spans="1:14">
      <c r="A2835" s="6">
        <v>2024</v>
      </c>
      <c r="B2835" s="6">
        <v>1</v>
      </c>
      <c r="C2835" s="6" t="s">
        <v>60</v>
      </c>
      <c r="D2835" s="6" t="s">
        <v>487</v>
      </c>
      <c r="E2835" s="6" t="s">
        <v>488</v>
      </c>
      <c r="F2835" s="6" t="str">
        <f>IF($M2835="PADD I","PADD 1",IF($M2835="PADD II","PADD 2",IF($M2835="PADD III","PADD 3",IF($M2835="PADD IV","PADD 4",IF($M2835="PADD V","PADD 5","")))))</f>
        <v>PADD 4</v>
      </c>
      <c r="G2835" s="6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6" t="s">
        <v>428</v>
      </c>
      <c r="I2835" s="6" t="s">
        <v>606</v>
      </c>
      <c r="J2835" s="6" t="s">
        <v>394</v>
      </c>
      <c r="K2835" s="10">
        <v>0.5028</v>
      </c>
      <c r="L2835" s="10">
        <v>8.380000000000001</v>
      </c>
      <c r="M2835" s="6" t="s">
        <v>480</v>
      </c>
      <c r="N2835" s="6">
        <f>IF(OR($G2835="FCC",$G2835="Hydrocracker",$G2835="Reformer"),IF(COUNTIFS($D:$D,$D2835,$A:$A,$A2835,$B:$B,$B2835,$G:$G,"CDU",$J:$J,"PLANNED")&gt;0,"tied","standalone"),"")</f>
        <v/>
      </c>
    </row>
    <row r="2836" spans="1:14">
      <c r="A2836" s="6">
        <v>2024</v>
      </c>
      <c r="B2836" s="6">
        <v>1</v>
      </c>
      <c r="C2836" s="6" t="s">
        <v>60</v>
      </c>
      <c r="D2836" s="6" t="s">
        <v>806</v>
      </c>
      <c r="E2836" s="6" t="s">
        <v>807</v>
      </c>
      <c r="F2836" s="6" t="str">
        <f>IF($M2836="PADD I","PADD 1",IF($M2836="PADD II","PADD 2",IF($M2836="PADD III","PADD 3",IF($M2836="PADD IV","PADD 4",IF($M2836="PADD V","PADD 5","")))))</f>
        <v>PADD 3</v>
      </c>
      <c r="G2836" s="6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6" t="s">
        <v>39</v>
      </c>
      <c r="I2836" s="6" t="s">
        <v>82</v>
      </c>
      <c r="J2836" s="6" t="s">
        <v>394</v>
      </c>
      <c r="K2836" s="10">
        <v>0.45</v>
      </c>
      <c r="L2836" s="10">
        <v>15</v>
      </c>
      <c r="M2836" s="6" t="s">
        <v>421</v>
      </c>
      <c r="N2836" s="6">
        <f>IF(OR($G2836="FCC",$G2836="Hydrocracker",$G2836="Reformer"),IF(COUNTIFS($D:$D,$D2836,$A:$A,$A2836,$B:$B,$B2836,$G:$G,"CDU",$J:$J,"PLANNED")&gt;0,"tied","standalone"),"")</f>
        <v/>
      </c>
    </row>
    <row r="2837" spans="1:14">
      <c r="A2837" s="6">
        <v>2024</v>
      </c>
      <c r="B2837" s="6">
        <v>1</v>
      </c>
      <c r="C2837" s="6" t="s">
        <v>60</v>
      </c>
      <c r="D2837" s="6" t="s">
        <v>496</v>
      </c>
      <c r="E2837" s="6" t="s">
        <v>441</v>
      </c>
      <c r="F2837" s="6" t="str">
        <f>IF($M2837="PADD I","PADD 1",IF($M2837="PADD II","PADD 2",IF($M2837="PADD III","PADD 3",IF($M2837="PADD IV","PADD 4",IF($M2837="PADD V","PADD 5","")))))</f>
        <v>PADD 3</v>
      </c>
      <c r="G2837" s="6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6" t="s">
        <v>510</v>
      </c>
      <c r="I2837" s="6" t="s">
        <v>630</v>
      </c>
      <c r="J2837" s="6" t="s">
        <v>394</v>
      </c>
      <c r="K2837" s="10">
        <v>0.432</v>
      </c>
      <c r="L2837" s="10">
        <v>7.2</v>
      </c>
      <c r="M2837" s="6" t="s">
        <v>421</v>
      </c>
      <c r="N2837" s="6">
        <f>IF(OR($G2837="FCC",$G2837="Hydrocracker",$G2837="Reformer"),IF(COUNTIFS($D:$D,$D2837,$A:$A,$A2837,$B:$B,$B2837,$G:$G,"CDU",$J:$J,"PLANNED")&gt;0,"tied","standalone"),"")</f>
        <v/>
      </c>
    </row>
    <row r="2838" spans="1:14">
      <c r="A2838" s="6">
        <v>2024</v>
      </c>
      <c r="B2838" s="6">
        <v>1</v>
      </c>
      <c r="C2838" s="6" t="s">
        <v>60</v>
      </c>
      <c r="D2838" s="6" t="s">
        <v>41</v>
      </c>
      <c r="E2838" s="6" t="s">
        <v>786</v>
      </c>
      <c r="F2838" s="6" t="str">
        <f>IF($M2838="PADD I","PADD 1",IF($M2838="PADD II","PADD 2",IF($M2838="PADD III","PADD 3",IF($M2838="PADD IV","PADD 4",IF($M2838="PADD V","PADD 5","")))))</f>
        <v>PADD 1</v>
      </c>
      <c r="G2838" s="6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6" t="s">
        <v>44</v>
      </c>
      <c r="I2838" s="6" t="s">
        <v>1079</v>
      </c>
      <c r="J2838" s="6" t="s">
        <v>394</v>
      </c>
      <c r="K2838" s="10">
        <v>0.42</v>
      </c>
      <c r="L2838" s="10">
        <v>4.2</v>
      </c>
      <c r="M2838" s="6" t="s">
        <v>463</v>
      </c>
      <c r="N2838" s="6">
        <f>IF(OR($G2838="FCC",$G2838="Hydrocracker",$G2838="Reformer"),IF(COUNTIFS($D:$D,$D2838,$A:$A,$A2838,$B:$B,$B2838,$G:$G,"CDU",$J:$J,"PLANNED")&gt;0,"tied","standalone"),"")</f>
        <v/>
      </c>
    </row>
    <row r="2839" spans="1:14">
      <c r="A2839" s="6">
        <v>2024</v>
      </c>
      <c r="B2839" s="6">
        <v>1</v>
      </c>
      <c r="C2839" s="6" t="s">
        <v>60</v>
      </c>
      <c r="D2839" s="6" t="s">
        <v>764</v>
      </c>
      <c r="E2839" s="6" t="s">
        <v>455</v>
      </c>
      <c r="F2839" s="6" t="str">
        <f>IF($M2839="PADD I","PADD 1",IF($M2839="PADD II","PADD 2",IF($M2839="PADD III","PADD 3",IF($M2839="PADD IV","PADD 4",IF($M2839="PADD V","PADD 5","")))))</f>
        <v>PADD 3</v>
      </c>
      <c r="G2839" s="6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6" t="s">
        <v>510</v>
      </c>
      <c r="I2839" s="6" t="s">
        <v>511</v>
      </c>
      <c r="J2839" s="6" t="s">
        <v>394</v>
      </c>
      <c r="K2839" s="10">
        <v>0.285</v>
      </c>
      <c r="L2839" s="10">
        <v>9.5</v>
      </c>
      <c r="M2839" s="6" t="s">
        <v>421</v>
      </c>
      <c r="N2839" s="6">
        <f>IF(OR($G2839="FCC",$G2839="Hydrocracker",$G2839="Reformer"),IF(COUNTIFS($D:$D,$D2839,$A:$A,$A2839,$B:$B,$B2839,$G:$G,"CDU",$J:$J,"PLANNED")&gt;0,"tied","standalone"),"")</f>
        <v/>
      </c>
    </row>
    <row r="2840" spans="1:14">
      <c r="A2840" s="6">
        <v>2024</v>
      </c>
      <c r="B2840" s="6">
        <v>2</v>
      </c>
      <c r="C2840" s="6" t="s">
        <v>61</v>
      </c>
      <c r="D2840" s="6" t="s">
        <v>540</v>
      </c>
      <c r="E2840" s="6" t="s">
        <v>541</v>
      </c>
      <c r="F2840" s="6" t="str">
        <f>IF($M2840="PADD I","PADD 1",IF($M2840="PADD II","PADD 2",IF($M2840="PADD III","PADD 3",IF($M2840="PADD IV","PADD 4",IF($M2840="PADD V","PADD 5","")))))</f>
        <v>PADD 3</v>
      </c>
      <c r="G2840" s="6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6" t="s">
        <v>39</v>
      </c>
      <c r="I2840" s="6" t="s">
        <v>1130</v>
      </c>
      <c r="J2840" s="6" t="s">
        <v>398</v>
      </c>
      <c r="K2840" s="10">
        <v>339.5</v>
      </c>
      <c r="L2840" s="10">
        <v>350</v>
      </c>
      <c r="M2840" s="6" t="s">
        <v>421</v>
      </c>
      <c r="N2840" s="6">
        <f>IF(OR($G2840="FCC",$G2840="Hydrocracker",$G2840="Reformer"),IF(COUNTIFS($D:$D,$D2840,$A:$A,$A2840,$B:$B,$B2840,$G:$G,"CDU",$J:$J,"PLANNED")&gt;0,"tied","standalone"),"")</f>
        <v/>
      </c>
    </row>
    <row r="2841" spans="1:14">
      <c r="A2841" s="6">
        <v>2024</v>
      </c>
      <c r="B2841" s="6">
        <v>2</v>
      </c>
      <c r="C2841" s="6" t="s">
        <v>61</v>
      </c>
      <c r="D2841" s="6" t="s">
        <v>592</v>
      </c>
      <c r="E2841" s="6" t="s">
        <v>593</v>
      </c>
      <c r="F2841" s="6" t="str">
        <f>IF($M2841="PADD I","PADD 1",IF($M2841="PADD II","PADD 2",IF($M2841="PADD III","PADD 3",IF($M2841="PADD IV","PADD 4",IF($M2841="PADD V","PADD 5","")))))</f>
        <v>PADD 2</v>
      </c>
      <c r="G2841" s="6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6" t="s">
        <v>39</v>
      </c>
      <c r="I2841" s="6" t="s">
        <v>924</v>
      </c>
      <c r="J2841" s="6" t="s">
        <v>394</v>
      </c>
      <c r="K2841" s="10">
        <v>255</v>
      </c>
      <c r="L2841" s="10">
        <v>255</v>
      </c>
      <c r="M2841" s="6" t="s">
        <v>425</v>
      </c>
      <c r="N2841" s="6">
        <f>IF(OR($G2841="FCC",$G2841="Hydrocracker",$G2841="Reformer"),IF(COUNTIFS($D:$D,$D2841,$A:$A,$A2841,$B:$B,$B2841,$G:$G,"CDU",$J:$J,"PLANNED")&gt;0,"tied","standalone"),"")</f>
        <v/>
      </c>
    </row>
    <row r="2842" spans="1:14">
      <c r="A2842" s="6">
        <v>2024</v>
      </c>
      <c r="B2842" s="6">
        <v>2</v>
      </c>
      <c r="C2842" s="6" t="s">
        <v>61</v>
      </c>
      <c r="D2842" s="6" t="s">
        <v>505</v>
      </c>
      <c r="E2842" s="6" t="s">
        <v>455</v>
      </c>
      <c r="F2842" s="6" t="str">
        <f>IF($M2842="PADD I","PADD 1",IF($M2842="PADD II","PADD 2",IF($M2842="PADD III","PADD 3",IF($M2842="PADD IV","PADD 4",IF($M2842="PADD V","PADD 5","")))))</f>
        <v>PADD 3</v>
      </c>
      <c r="G2842" s="6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6" t="s">
        <v>39</v>
      </c>
      <c r="I2842" s="6" t="s">
        <v>379</v>
      </c>
      <c r="J2842" s="6" t="s">
        <v>398</v>
      </c>
      <c r="K2842" s="10">
        <v>235</v>
      </c>
      <c r="L2842" s="10">
        <v>235</v>
      </c>
      <c r="M2842" s="6" t="s">
        <v>421</v>
      </c>
      <c r="N2842" s="6">
        <f>IF(OR($G2842="FCC",$G2842="Hydrocracker",$G2842="Reformer"),IF(COUNTIFS($D:$D,$D2842,$A:$A,$A2842,$B:$B,$B2842,$G:$G,"CDU",$J:$J,"PLANNED")&gt;0,"tied","standalone"),"")</f>
        <v/>
      </c>
    </row>
    <row r="2843" spans="1:14">
      <c r="A2843" s="6">
        <v>2024</v>
      </c>
      <c r="B2843" s="6">
        <v>2</v>
      </c>
      <c r="C2843" s="6" t="s">
        <v>61</v>
      </c>
      <c r="D2843" s="6" t="s">
        <v>373</v>
      </c>
      <c r="E2843" s="6" t="s">
        <v>438</v>
      </c>
      <c r="F2843" s="6" t="str">
        <f>IF($M2843="PADD I","PADD 1",IF($M2843="PADD II","PADD 2",IF($M2843="PADD III","PADD 3",IF($M2843="PADD IV","PADD 4",IF($M2843="PADD V","PADD 5","")))))</f>
        <v>PADD 3</v>
      </c>
      <c r="G2843" s="6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6" t="s">
        <v>39</v>
      </c>
      <c r="I2843" s="6" t="s">
        <v>100</v>
      </c>
      <c r="J2843" s="6" t="s">
        <v>394</v>
      </c>
      <c r="K2843" s="10">
        <v>234.89</v>
      </c>
      <c r="L2843" s="10">
        <v>283</v>
      </c>
      <c r="M2843" s="6" t="s">
        <v>421</v>
      </c>
      <c r="N2843" s="6">
        <f>IF(OR($G2843="FCC",$G2843="Hydrocracker",$G2843="Reformer"),IF(COUNTIFS($D:$D,$D2843,$A:$A,$A2843,$B:$B,$B2843,$G:$G,"CDU",$J:$J,"PLANNED")&gt;0,"tied","standalone"),"")</f>
        <v/>
      </c>
    </row>
    <row r="2844" spans="1:14">
      <c r="A2844" s="6">
        <v>2024</v>
      </c>
      <c r="B2844" s="6">
        <v>2</v>
      </c>
      <c r="C2844" s="6" t="s">
        <v>61</v>
      </c>
      <c r="D2844" s="6" t="s">
        <v>505</v>
      </c>
      <c r="E2844" s="6" t="s">
        <v>455</v>
      </c>
      <c r="F2844" s="6" t="str">
        <f>IF($M2844="PADD I","PADD 1",IF($M2844="PADD II","PADD 2",IF($M2844="PADD III","PADD 3",IF($M2844="PADD IV","PADD 4",IF($M2844="PADD V","PADD 5","")))))</f>
        <v>PADD 3</v>
      </c>
      <c r="G2844" s="6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6" t="s">
        <v>39</v>
      </c>
      <c r="I2844" s="6" t="s">
        <v>379</v>
      </c>
      <c r="J2844" s="6" t="s">
        <v>394</v>
      </c>
      <c r="K2844" s="10">
        <v>220</v>
      </c>
      <c r="L2844" s="10">
        <v>220</v>
      </c>
      <c r="M2844" s="6" t="s">
        <v>421</v>
      </c>
      <c r="N2844" s="6">
        <f>IF(OR($G2844="FCC",$G2844="Hydrocracker",$G2844="Reformer"),IF(COUNTIFS($D:$D,$D2844,$A:$A,$A2844,$B:$B,$B2844,$G:$G,"CDU",$J:$J,"PLANNED")&gt;0,"tied","standalone"),"")</f>
        <v/>
      </c>
    </row>
    <row r="2845" spans="1:14">
      <c r="A2845" s="6">
        <v>2024</v>
      </c>
      <c r="B2845" s="6">
        <v>2</v>
      </c>
      <c r="C2845" s="6" t="s">
        <v>61</v>
      </c>
      <c r="D2845" s="6" t="s">
        <v>576</v>
      </c>
      <c r="E2845" s="6" t="s">
        <v>455</v>
      </c>
      <c r="F2845" s="6" t="str">
        <f>IF($M2845="PADD I","PADD 1",IF($M2845="PADD II","PADD 2",IF($M2845="PADD III","PADD 3",IF($M2845="PADD IV","PADD 4",IF($M2845="PADD V","PADD 5","")))))</f>
        <v>PADD 3</v>
      </c>
      <c r="G2845" s="6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6" t="s">
        <v>39</v>
      </c>
      <c r="I2845" s="6" t="s">
        <v>399</v>
      </c>
      <c r="J2845" s="6" t="s">
        <v>398</v>
      </c>
      <c r="K2845" s="10">
        <v>210</v>
      </c>
      <c r="L2845" s="10">
        <v>210</v>
      </c>
      <c r="M2845" s="6" t="s">
        <v>421</v>
      </c>
      <c r="N2845" s="6">
        <f>IF(OR($G2845="FCC",$G2845="Hydrocracker",$G2845="Reformer"),IF(COUNTIFS($D:$D,$D2845,$A:$A,$A2845,$B:$B,$B2845,$G:$G,"CDU",$J:$J,"PLANNED")&gt;0,"tied","standalone"),"")</f>
        <v/>
      </c>
    </row>
    <row r="2846" spans="1:14">
      <c r="A2846" s="6">
        <v>2024</v>
      </c>
      <c r="B2846" s="6">
        <v>2</v>
      </c>
      <c r="C2846" s="6" t="s">
        <v>61</v>
      </c>
      <c r="D2846" s="6" t="s">
        <v>505</v>
      </c>
      <c r="E2846" s="6" t="s">
        <v>455</v>
      </c>
      <c r="F2846" s="6" t="str">
        <f>IF($M2846="PADD I","PADD 1",IF($M2846="PADD II","PADD 2",IF($M2846="PADD III","PADD 3",IF($M2846="PADD IV","PADD 4",IF($M2846="PADD V","PADD 5","")))))</f>
        <v>PADD 3</v>
      </c>
      <c r="G2846" s="6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6" t="s">
        <v>428</v>
      </c>
      <c r="I2846" s="6" t="s">
        <v>1014</v>
      </c>
      <c r="J2846" s="6" t="s">
        <v>398</v>
      </c>
      <c r="K2846" s="10">
        <v>180</v>
      </c>
      <c r="L2846" s="10">
        <v>180</v>
      </c>
      <c r="M2846" s="6" t="s">
        <v>421</v>
      </c>
      <c r="N2846" s="6">
        <f>IF(OR($G2846="FCC",$G2846="Hydrocracker",$G2846="Reformer"),IF(COUNTIFS($D:$D,$D2846,$A:$A,$A2846,$B:$B,$B2846,$G:$G,"CDU",$J:$J,"PLANNED")&gt;0,"tied","standalone"),"")</f>
        <v/>
      </c>
    </row>
    <row r="2847" spans="1:14">
      <c r="A2847" s="6">
        <v>2024</v>
      </c>
      <c r="B2847" s="6">
        <v>2</v>
      </c>
      <c r="C2847" s="6" t="s">
        <v>61</v>
      </c>
      <c r="D2847" s="6" t="s">
        <v>576</v>
      </c>
      <c r="E2847" s="6" t="s">
        <v>455</v>
      </c>
      <c r="F2847" s="6" t="str">
        <f>IF($M2847="PADD I","PADD 1",IF($M2847="PADD II","PADD 2",IF($M2847="PADD III","PADD 3",IF($M2847="PADD IV","PADD 4",IF($M2847="PADD V","PADD 5","")))))</f>
        <v>PADD 3</v>
      </c>
      <c r="G2847" s="6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6" t="s">
        <v>428</v>
      </c>
      <c r="I2847" s="6" t="s">
        <v>699</v>
      </c>
      <c r="J2847" s="6" t="s">
        <v>398</v>
      </c>
      <c r="K2847" s="10">
        <v>172</v>
      </c>
      <c r="L2847" s="10">
        <v>172</v>
      </c>
      <c r="M2847" s="6" t="s">
        <v>421</v>
      </c>
      <c r="N2847" s="6">
        <f>IF(OR($G2847="FCC",$G2847="Hydrocracker",$G2847="Reformer"),IF(COUNTIFS($D:$D,$D2847,$A:$A,$A2847,$B:$B,$B2847,$G:$G,"CDU",$J:$J,"PLANNED")&gt;0,"tied","standalone"),"")</f>
        <v/>
      </c>
    </row>
    <row r="2848" spans="1:14">
      <c r="A2848" s="6">
        <v>2024</v>
      </c>
      <c r="B2848" s="6">
        <v>2</v>
      </c>
      <c r="C2848" s="6" t="s">
        <v>61</v>
      </c>
      <c r="D2848" s="6" t="s">
        <v>505</v>
      </c>
      <c r="E2848" s="6" t="s">
        <v>455</v>
      </c>
      <c r="F2848" s="6" t="str">
        <f>IF($M2848="PADD I","PADD 1",IF($M2848="PADD II","PADD 2",IF($M2848="PADD III","PADD 3",IF($M2848="PADD IV","PADD 4",IF($M2848="PADD V","PADD 5","")))))</f>
        <v>PADD 3</v>
      </c>
      <c r="G2848" s="6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6" t="s">
        <v>428</v>
      </c>
      <c r="I2848" s="6" t="s">
        <v>1014</v>
      </c>
      <c r="J2848" s="6" t="s">
        <v>394</v>
      </c>
      <c r="K2848" s="10">
        <v>160</v>
      </c>
      <c r="L2848" s="10">
        <v>160</v>
      </c>
      <c r="M2848" s="6" t="s">
        <v>421</v>
      </c>
      <c r="N2848" s="6">
        <f>IF(OR($G2848="FCC",$G2848="Hydrocracker",$G2848="Reformer"),IF(COUNTIFS($D:$D,$D2848,$A:$A,$A2848,$B:$B,$B2848,$G:$G,"CDU",$J:$J,"PLANNED")&gt;0,"tied","standalone"),"")</f>
        <v/>
      </c>
    </row>
    <row r="2849" spans="1:14">
      <c r="A2849" s="6">
        <v>2024</v>
      </c>
      <c r="B2849" s="6">
        <v>2</v>
      </c>
      <c r="C2849" s="6" t="s">
        <v>61</v>
      </c>
      <c r="D2849" s="6" t="s">
        <v>437</v>
      </c>
      <c r="E2849" s="6" t="s">
        <v>438</v>
      </c>
      <c r="F2849" s="6" t="str">
        <f>IF($M2849="PADD I","PADD 1",IF($M2849="PADD II","PADD 2",IF($M2849="PADD III","PADD 3",IF($M2849="PADD IV","PADD 4",IF($M2849="PADD V","PADD 5","")))))</f>
        <v>PADD 3</v>
      </c>
      <c r="G2849" s="6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6" t="s">
        <v>44</v>
      </c>
      <c r="I2849" s="6" t="s">
        <v>1140</v>
      </c>
      <c r="J2849" s="6" t="s">
        <v>398</v>
      </c>
      <c r="K2849" s="10">
        <v>115</v>
      </c>
      <c r="L2849" s="10">
        <v>115</v>
      </c>
      <c r="M2849" s="6" t="s">
        <v>421</v>
      </c>
      <c r="N2849" s="6">
        <f>IF(OR($G2849="FCC",$G2849="Hydrocracker",$G2849="Reformer"),IF(COUNTIFS($D:$D,$D2849,$A:$A,$A2849,$B:$B,$B2849,$G:$G,"CDU",$J:$J,"PLANNED")&gt;0,"tied","standalone"),"")</f>
        <v/>
      </c>
    </row>
    <row r="2850" spans="1:14">
      <c r="A2850" s="6">
        <v>2024</v>
      </c>
      <c r="B2850" s="6">
        <v>2</v>
      </c>
      <c r="C2850" s="6" t="s">
        <v>61</v>
      </c>
      <c r="D2850" s="6" t="s">
        <v>373</v>
      </c>
      <c r="E2850" s="6" t="s">
        <v>438</v>
      </c>
      <c r="F2850" s="6" t="str">
        <f>IF($M2850="PADD I","PADD 1",IF($M2850="PADD II","PADD 2",IF($M2850="PADD III","PADD 3",IF($M2850="PADD IV","PADD 4",IF($M2850="PADD V","PADD 5","")))))</f>
        <v>PADD 3</v>
      </c>
      <c r="G2850" s="6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6" t="s">
        <v>494</v>
      </c>
      <c r="I2850" s="6" t="s">
        <v>995</v>
      </c>
      <c r="J2850" s="6" t="s">
        <v>394</v>
      </c>
      <c r="K2850" s="10">
        <v>114</v>
      </c>
      <c r="L2850" s="10">
        <v>114</v>
      </c>
      <c r="M2850" s="6" t="s">
        <v>421</v>
      </c>
      <c r="N2850" s="6" t="str">
        <f>IF(OR($G2850="FCC",$G2850="Hydrocracker",$G2850="Reformer"),IF(COUNTIFS($D:$D,$D2850,$A:$A,$A2850,$B:$B,$B2850,$G:$G,"CDU",$J:$J,"PLANNED")&gt;0,"tied","standalone"),"")</f>
        <v>standalone</v>
      </c>
    </row>
    <row r="2851" spans="1:14">
      <c r="A2851" s="6">
        <v>2024</v>
      </c>
      <c r="B2851" s="6">
        <v>2</v>
      </c>
      <c r="C2851" s="6" t="s">
        <v>61</v>
      </c>
      <c r="D2851" s="6" t="s">
        <v>430</v>
      </c>
      <c r="E2851" s="6" t="s">
        <v>431</v>
      </c>
      <c r="F2851" s="6" t="str">
        <f>IF($M2851="PADD I","PADD 1",IF($M2851="PADD II","PADD 2",IF($M2851="PADD III","PADD 3",IF($M2851="PADD IV","PADD 4",IF($M2851="PADD V","PADD 5","")))))</f>
        <v>PADD 3</v>
      </c>
      <c r="G2851" s="6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6" t="s">
        <v>426</v>
      </c>
      <c r="I2851" s="6" t="s">
        <v>702</v>
      </c>
      <c r="J2851" s="6" t="s">
        <v>398</v>
      </c>
      <c r="K2851" s="10">
        <v>110</v>
      </c>
      <c r="L2851" s="10">
        <v>110</v>
      </c>
      <c r="M2851" s="6" t="s">
        <v>421</v>
      </c>
      <c r="N2851" s="6" t="str">
        <f>IF(OR($G2851="FCC",$G2851="Hydrocracker",$G2851="Reformer"),IF(COUNTIFS($D:$D,$D2851,$A:$A,$A2851,$B:$B,$B2851,$G:$G,"CDU",$J:$J,"PLANNED")&gt;0,"tied","standalone"),"")</f>
        <v>tied</v>
      </c>
    </row>
    <row r="2852" spans="1:14">
      <c r="A2852" s="6">
        <v>2024</v>
      </c>
      <c r="B2852" s="6">
        <v>2</v>
      </c>
      <c r="C2852" s="6" t="s">
        <v>61</v>
      </c>
      <c r="D2852" s="6" t="s">
        <v>43</v>
      </c>
      <c r="E2852" s="6" t="s">
        <v>455</v>
      </c>
      <c r="F2852" s="6" t="str">
        <f>IF($M2852="PADD I","PADD 1",IF($M2852="PADD II","PADD 2",IF($M2852="PADD III","PADD 3",IF($M2852="PADD IV","PADD 4",IF($M2852="PADD V","PADD 5","")))))</f>
        <v>PADD 3</v>
      </c>
      <c r="G2852" s="6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6" t="s">
        <v>44</v>
      </c>
      <c r="I2852" s="6" t="s">
        <v>1137</v>
      </c>
      <c r="J2852" s="6" t="s">
        <v>398</v>
      </c>
      <c r="K2852" s="10">
        <v>110</v>
      </c>
      <c r="L2852" s="10">
        <v>110</v>
      </c>
      <c r="M2852" s="6" t="s">
        <v>421</v>
      </c>
      <c r="N2852" s="6">
        <f>IF(OR($G2852="FCC",$G2852="Hydrocracker",$G2852="Reformer"),IF(COUNTIFS($D:$D,$D2852,$A:$A,$A2852,$B:$B,$B2852,$G:$G,"CDU",$J:$J,"PLANNED")&gt;0,"tied","standalone"),"")</f>
        <v/>
      </c>
    </row>
    <row r="2853" spans="1:14">
      <c r="A2853" s="6">
        <v>2024</v>
      </c>
      <c r="B2853" s="6">
        <v>2</v>
      </c>
      <c r="C2853" s="6" t="s">
        <v>61</v>
      </c>
      <c r="D2853" s="6" t="s">
        <v>592</v>
      </c>
      <c r="E2853" s="6" t="s">
        <v>593</v>
      </c>
      <c r="F2853" s="6" t="str">
        <f>IF($M2853="PADD I","PADD 1",IF($M2853="PADD II","PADD 2",IF($M2853="PADD III","PADD 3",IF($M2853="PADD IV","PADD 4",IF($M2853="PADD V","PADD 5","")))))</f>
        <v>PADD 2</v>
      </c>
      <c r="G2853" s="6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6" t="s">
        <v>426</v>
      </c>
      <c r="I2853" s="6" t="s">
        <v>1160</v>
      </c>
      <c r="J2853" s="6" t="s">
        <v>394</v>
      </c>
      <c r="K2853" s="10">
        <v>110</v>
      </c>
      <c r="L2853" s="10">
        <v>110</v>
      </c>
      <c r="M2853" s="6" t="s">
        <v>425</v>
      </c>
      <c r="N2853" s="6" t="str">
        <f>IF(OR($G2853="FCC",$G2853="Hydrocracker",$G2853="Reformer"),IF(COUNTIFS($D:$D,$D2853,$A:$A,$A2853,$B:$B,$B2853,$G:$G,"CDU",$J:$J,"PLANNED")&gt;0,"tied","standalone"),"")</f>
        <v>standalone</v>
      </c>
    </row>
    <row r="2854" spans="1:14">
      <c r="A2854" s="6">
        <v>2024</v>
      </c>
      <c r="B2854" s="6">
        <v>2</v>
      </c>
      <c r="C2854" s="6" t="s">
        <v>61</v>
      </c>
      <c r="D2854" s="6" t="s">
        <v>43</v>
      </c>
      <c r="E2854" s="6" t="s">
        <v>455</v>
      </c>
      <c r="F2854" s="6" t="str">
        <f>IF($M2854="PADD I","PADD 1",IF($M2854="PADD II","PADD 2",IF($M2854="PADD III","PADD 3",IF($M2854="PADD IV","PADD 4",IF($M2854="PADD V","PADD 5","")))))</f>
        <v>PADD 3</v>
      </c>
      <c r="G2854" s="6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6" t="s">
        <v>44</v>
      </c>
      <c r="I2854" s="6" t="s">
        <v>1138</v>
      </c>
      <c r="J2854" s="6" t="s">
        <v>394</v>
      </c>
      <c r="K2854" s="10">
        <v>110</v>
      </c>
      <c r="L2854" s="10">
        <v>110</v>
      </c>
      <c r="M2854" s="6" t="s">
        <v>421</v>
      </c>
      <c r="N2854" s="6">
        <f>IF(OR($G2854="FCC",$G2854="Hydrocracker",$G2854="Reformer"),IF(COUNTIFS($D:$D,$D2854,$A:$A,$A2854,$B:$B,$B2854,$G:$G,"CDU",$J:$J,"PLANNED")&gt;0,"tied","standalone"),"")</f>
        <v/>
      </c>
    </row>
    <row r="2855" spans="1:14">
      <c r="A2855" s="6">
        <v>2024</v>
      </c>
      <c r="B2855" s="6">
        <v>2</v>
      </c>
      <c r="C2855" s="6" t="s">
        <v>61</v>
      </c>
      <c r="D2855" s="6" t="s">
        <v>592</v>
      </c>
      <c r="E2855" s="6" t="s">
        <v>593</v>
      </c>
      <c r="F2855" s="6" t="str">
        <f>IF($M2855="PADD I","PADD 1",IF($M2855="PADD II","PADD 2",IF($M2855="PADD III","PADD 3",IF($M2855="PADD IV","PADD 4",IF($M2855="PADD V","PADD 5","")))))</f>
        <v>PADD 2</v>
      </c>
      <c r="G2855" s="6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6" t="s">
        <v>485</v>
      </c>
      <c r="I2855" s="6" t="s">
        <v>491</v>
      </c>
      <c r="J2855" s="6" t="s">
        <v>394</v>
      </c>
      <c r="K2855" s="10">
        <v>102</v>
      </c>
      <c r="L2855" s="10">
        <v>102</v>
      </c>
      <c r="M2855" s="6" t="s">
        <v>425</v>
      </c>
      <c r="N2855" s="6">
        <f>IF(OR($G2855="FCC",$G2855="Hydrocracker",$G2855="Reformer"),IF(COUNTIFS($D:$D,$D2855,$A:$A,$A2855,$B:$B,$B2855,$G:$G,"CDU",$J:$J,"PLANNED")&gt;0,"tied","standalone"),"")</f>
        <v/>
      </c>
    </row>
    <row r="2856" spans="1:14">
      <c r="A2856" s="6">
        <v>2024</v>
      </c>
      <c r="B2856" s="6">
        <v>2</v>
      </c>
      <c r="C2856" s="6" t="s">
        <v>61</v>
      </c>
      <c r="D2856" s="6" t="s">
        <v>592</v>
      </c>
      <c r="E2856" s="6" t="s">
        <v>593</v>
      </c>
      <c r="F2856" s="6" t="str">
        <f>IF($M2856="PADD I","PADD 1",IF($M2856="PADD II","PADD 2",IF($M2856="PADD III","PADD 3",IF($M2856="PADD IV","PADD 4",IF($M2856="PADD V","PADD 5","")))))</f>
        <v>PADD 2</v>
      </c>
      <c r="G2856" s="6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6" t="s">
        <v>44</v>
      </c>
      <c r="I2856" s="6" t="s">
        <v>601</v>
      </c>
      <c r="J2856" s="6" t="s">
        <v>394</v>
      </c>
      <c r="K2856" s="10">
        <v>100</v>
      </c>
      <c r="L2856" s="10">
        <v>100</v>
      </c>
      <c r="M2856" s="6" t="s">
        <v>425</v>
      </c>
      <c r="N2856" s="6">
        <f>IF(OR($G2856="FCC",$G2856="Hydrocracker",$G2856="Reformer"),IF(COUNTIFS($D:$D,$D2856,$A:$A,$A2856,$B:$B,$B2856,$G:$G,"CDU",$J:$J,"PLANNED")&gt;0,"tied","standalone"),"")</f>
        <v/>
      </c>
    </row>
    <row r="2857" spans="1:14">
      <c r="A2857" s="6">
        <v>2024</v>
      </c>
      <c r="B2857" s="6">
        <v>2</v>
      </c>
      <c r="C2857" s="6" t="s">
        <v>61</v>
      </c>
      <c r="D2857" s="6" t="s">
        <v>576</v>
      </c>
      <c r="E2857" s="6" t="s">
        <v>455</v>
      </c>
      <c r="F2857" s="6" t="str">
        <f>IF($M2857="PADD I","PADD 1",IF($M2857="PADD II","PADD 2",IF($M2857="PADD III","PADD 3",IF($M2857="PADD IV","PADD 4",IF($M2857="PADD V","PADD 5","")))))</f>
        <v>PADD 3</v>
      </c>
      <c r="G2857" s="6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6" t="s">
        <v>485</v>
      </c>
      <c r="I2857" s="6" t="s">
        <v>1004</v>
      </c>
      <c r="J2857" s="6" t="s">
        <v>394</v>
      </c>
      <c r="K2857" s="10">
        <v>100</v>
      </c>
      <c r="L2857" s="10">
        <v>100</v>
      </c>
      <c r="M2857" s="6" t="s">
        <v>421</v>
      </c>
      <c r="N2857" s="6">
        <f>IF(OR($G2857="FCC",$G2857="Hydrocracker",$G2857="Reformer"),IF(COUNTIFS($D:$D,$D2857,$A:$A,$A2857,$B:$B,$B2857,$G:$G,"CDU",$J:$J,"PLANNED")&gt;0,"tied","standalone"),"")</f>
        <v/>
      </c>
    </row>
    <row r="2858" spans="1:14">
      <c r="A2858" s="6">
        <v>2024</v>
      </c>
      <c r="B2858" s="6">
        <v>2</v>
      </c>
      <c r="C2858" s="6" t="s">
        <v>61</v>
      </c>
      <c r="D2858" s="6" t="s">
        <v>540</v>
      </c>
      <c r="E2858" s="6" t="s">
        <v>541</v>
      </c>
      <c r="F2858" s="6" t="str">
        <f>IF($M2858="PADD I","PADD 1",IF($M2858="PADD II","PADD 2",IF($M2858="PADD III","PADD 3",IF($M2858="PADD IV","PADD 4",IF($M2858="PADD V","PADD 5","")))))</f>
        <v>PADD 3</v>
      </c>
      <c r="G2858" s="6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6" t="s">
        <v>485</v>
      </c>
      <c r="I2858" s="6" t="s">
        <v>693</v>
      </c>
      <c r="J2858" s="6" t="s">
        <v>394</v>
      </c>
      <c r="K2858" s="10">
        <v>92.15000000000001</v>
      </c>
      <c r="L2858" s="10">
        <v>95</v>
      </c>
      <c r="M2858" s="6" t="s">
        <v>421</v>
      </c>
      <c r="N2858" s="6">
        <f>IF(OR($G2858="FCC",$G2858="Hydrocracker",$G2858="Reformer"),IF(COUNTIFS($D:$D,$D2858,$A:$A,$A2858,$B:$B,$B2858,$G:$G,"CDU",$J:$J,"PLANNED")&gt;0,"tied","standalone"),"")</f>
        <v/>
      </c>
    </row>
    <row r="2859" spans="1:14">
      <c r="A2859" s="6">
        <v>2024</v>
      </c>
      <c r="B2859" s="6">
        <v>2</v>
      </c>
      <c r="C2859" s="6" t="s">
        <v>61</v>
      </c>
      <c r="D2859" s="6" t="s">
        <v>43</v>
      </c>
      <c r="E2859" s="6" t="s">
        <v>455</v>
      </c>
      <c r="F2859" s="6" t="str">
        <f>IF($M2859="PADD I","PADD 1",IF($M2859="PADD II","PADD 2",IF($M2859="PADD III","PADD 3",IF($M2859="PADD IV","PADD 4",IF($M2859="PADD V","PADD 5","")))))</f>
        <v>PADD 3</v>
      </c>
      <c r="G2859" s="6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6" t="s">
        <v>426</v>
      </c>
      <c r="I2859" s="6" t="s">
        <v>106</v>
      </c>
      <c r="J2859" s="6" t="s">
        <v>398</v>
      </c>
      <c r="K2859" s="10">
        <v>88</v>
      </c>
      <c r="L2859" s="10">
        <v>88</v>
      </c>
      <c r="M2859" s="6" t="s">
        <v>421</v>
      </c>
      <c r="N2859" s="6" t="str">
        <f>IF(OR($G2859="FCC",$G2859="Hydrocracker",$G2859="Reformer"),IF(COUNTIFS($D:$D,$D2859,$A:$A,$A2859,$B:$B,$B2859,$G:$G,"CDU",$J:$J,"PLANNED")&gt;0,"tied","standalone"),"")</f>
        <v>standalone</v>
      </c>
    </row>
    <row r="2860" spans="1:14">
      <c r="A2860" s="6">
        <v>2024</v>
      </c>
      <c r="B2860" s="6">
        <v>2</v>
      </c>
      <c r="C2860" s="6" t="s">
        <v>61</v>
      </c>
      <c r="D2860" s="6" t="s">
        <v>592</v>
      </c>
      <c r="E2860" s="6" t="s">
        <v>593</v>
      </c>
      <c r="F2860" s="6" t="str">
        <f>IF($M2860="PADD I","PADD 1",IF($M2860="PADD II","PADD 2",IF($M2860="PADD III","PADD 3",IF($M2860="PADD IV","PADD 4",IF($M2860="PADD V","PADD 5","")))))</f>
        <v>PADD 2</v>
      </c>
      <c r="G2860" s="6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6" t="s">
        <v>44</v>
      </c>
      <c r="I2860" s="6" t="s">
        <v>1161</v>
      </c>
      <c r="J2860" s="6" t="s">
        <v>394</v>
      </c>
      <c r="K2860" s="10">
        <v>85</v>
      </c>
      <c r="L2860" s="10">
        <v>85</v>
      </c>
      <c r="M2860" s="6" t="s">
        <v>425</v>
      </c>
      <c r="N2860" s="6">
        <f>IF(OR($G2860="FCC",$G2860="Hydrocracker",$G2860="Reformer"),IF(COUNTIFS($D:$D,$D2860,$A:$A,$A2860,$B:$B,$B2860,$G:$G,"CDU",$J:$J,"PLANNED")&gt;0,"tied","standalone"),"")</f>
        <v/>
      </c>
    </row>
    <row r="2861" spans="1:14">
      <c r="A2861" s="6">
        <v>2024</v>
      </c>
      <c r="B2861" s="6">
        <v>2</v>
      </c>
      <c r="C2861" s="6" t="s">
        <v>61</v>
      </c>
      <c r="D2861" s="6" t="s">
        <v>507</v>
      </c>
      <c r="E2861" s="6" t="s">
        <v>438</v>
      </c>
      <c r="F2861" s="6" t="str">
        <f>IF($M2861="PADD I","PADD 1",IF($M2861="PADD II","PADD 2",IF($M2861="PADD III","PADD 3",IF($M2861="PADD IV","PADD 4",IF($M2861="PADD V","PADD 5","")))))</f>
        <v>PADD 5</v>
      </c>
      <c r="G2861" s="6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6" t="s">
        <v>39</v>
      </c>
      <c r="I2861" s="6" t="s">
        <v>132</v>
      </c>
      <c r="J2861" s="6" t="s">
        <v>398</v>
      </c>
      <c r="K2861" s="10">
        <v>83.2</v>
      </c>
      <c r="L2861" s="10">
        <v>160</v>
      </c>
      <c r="M2861" s="6" t="s">
        <v>436</v>
      </c>
      <c r="N2861" s="6">
        <f>IF(OR($G2861="FCC",$G2861="Hydrocracker",$G2861="Reformer"),IF(COUNTIFS($D:$D,$D2861,$A:$A,$A2861,$B:$B,$B2861,$G:$G,"CDU",$J:$J,"PLANNED")&gt;0,"tied","standalone"),"")</f>
        <v/>
      </c>
    </row>
    <row r="2862" spans="1:14">
      <c r="A2862" s="6">
        <v>2024</v>
      </c>
      <c r="B2862" s="6">
        <v>2</v>
      </c>
      <c r="C2862" s="6" t="s">
        <v>61</v>
      </c>
      <c r="D2862" s="6" t="s">
        <v>51</v>
      </c>
      <c r="E2862" s="6" t="s">
        <v>431</v>
      </c>
      <c r="F2862" s="6" t="str">
        <f>IF($M2862="PADD I","PADD 1",IF($M2862="PADD II","PADD 2",IF($M2862="PADD III","PADD 3",IF($M2862="PADD IV","PADD 4",IF($M2862="PADD V","PADD 5","")))))</f>
        <v>PADD 3</v>
      </c>
      <c r="G2862" s="6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6" t="s">
        <v>44</v>
      </c>
      <c r="I2862" s="6" t="s">
        <v>1133</v>
      </c>
      <c r="J2862" s="6" t="s">
        <v>398</v>
      </c>
      <c r="K2862" s="10">
        <v>80</v>
      </c>
      <c r="L2862" s="10">
        <v>80</v>
      </c>
      <c r="M2862" s="6" t="s">
        <v>421</v>
      </c>
      <c r="N2862" s="6">
        <f>IF(OR($G2862="FCC",$G2862="Hydrocracker",$G2862="Reformer"),IF(COUNTIFS($D:$D,$D2862,$A:$A,$A2862,$B:$B,$B2862,$G:$G,"CDU",$J:$J,"PLANNED")&gt;0,"tied","standalone"),"")</f>
        <v/>
      </c>
    </row>
    <row r="2863" spans="1:14">
      <c r="A2863" s="6">
        <v>2024</v>
      </c>
      <c r="B2863" s="6">
        <v>2</v>
      </c>
      <c r="C2863" s="6" t="s">
        <v>61</v>
      </c>
      <c r="D2863" s="6" t="s">
        <v>505</v>
      </c>
      <c r="E2863" s="6" t="s">
        <v>455</v>
      </c>
      <c r="F2863" s="6" t="str">
        <f>IF($M2863="PADD I","PADD 1",IF($M2863="PADD II","PADD 2",IF($M2863="PADD III","PADD 3",IF($M2863="PADD IV","PADD 4",IF($M2863="PADD V","PADD 5","")))))</f>
        <v>PADD 3</v>
      </c>
      <c r="G2863" s="6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6" t="s">
        <v>485</v>
      </c>
      <c r="I2863" s="6" t="s">
        <v>491</v>
      </c>
      <c r="J2863" s="6" t="s">
        <v>394</v>
      </c>
      <c r="K2863" s="10">
        <v>80</v>
      </c>
      <c r="L2863" s="10">
        <v>80</v>
      </c>
      <c r="M2863" s="6" t="s">
        <v>421</v>
      </c>
      <c r="N2863" s="6">
        <f>IF(OR($G2863="FCC",$G2863="Hydrocracker",$G2863="Reformer"),IF(COUNTIFS($D:$D,$D2863,$A:$A,$A2863,$B:$B,$B2863,$G:$G,"CDU",$J:$J,"PLANNED")&gt;0,"tied","standalone"),"")</f>
        <v/>
      </c>
    </row>
    <row r="2864" spans="1:14">
      <c r="A2864" s="6">
        <v>2024</v>
      </c>
      <c r="B2864" s="6">
        <v>2</v>
      </c>
      <c r="C2864" s="6" t="s">
        <v>61</v>
      </c>
      <c r="D2864" s="6" t="s">
        <v>505</v>
      </c>
      <c r="E2864" s="6" t="s">
        <v>455</v>
      </c>
      <c r="F2864" s="6" t="str">
        <f>IF($M2864="PADD I","PADD 1",IF($M2864="PADD II","PADD 2",IF($M2864="PADD III","PADD 3",IF($M2864="PADD IV","PADD 4",IF($M2864="PADD V","PADD 5","")))))</f>
        <v>PADD 3</v>
      </c>
      <c r="G2864" s="6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6" t="s">
        <v>485</v>
      </c>
      <c r="I2864" s="6" t="s">
        <v>491</v>
      </c>
      <c r="J2864" s="6" t="s">
        <v>398</v>
      </c>
      <c r="K2864" s="10">
        <v>80</v>
      </c>
      <c r="L2864" s="10">
        <v>80</v>
      </c>
      <c r="M2864" s="6" t="s">
        <v>421</v>
      </c>
      <c r="N2864" s="6">
        <f>IF(OR($G2864="FCC",$G2864="Hydrocracker",$G2864="Reformer"),IF(COUNTIFS($D:$D,$D2864,$A:$A,$A2864,$B:$B,$B2864,$G:$G,"CDU",$J:$J,"PLANNED")&gt;0,"tied","standalone"),"")</f>
        <v/>
      </c>
    </row>
    <row r="2865" spans="1:14">
      <c r="A2865" s="6">
        <v>2024</v>
      </c>
      <c r="B2865" s="6">
        <v>2</v>
      </c>
      <c r="C2865" s="6" t="s">
        <v>61</v>
      </c>
      <c r="D2865" s="6" t="s">
        <v>592</v>
      </c>
      <c r="E2865" s="6" t="s">
        <v>593</v>
      </c>
      <c r="F2865" s="6" t="str">
        <f>IF($M2865="PADD I","PADD 1",IF($M2865="PADD II","PADD 2",IF($M2865="PADD III","PADD 3",IF($M2865="PADD IV","PADD 4",IF($M2865="PADD V","PADD 5","")))))</f>
        <v>PADD 2</v>
      </c>
      <c r="G2865" s="6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6" t="s">
        <v>426</v>
      </c>
      <c r="I2865" s="6" t="s">
        <v>1160</v>
      </c>
      <c r="J2865" s="6" t="s">
        <v>394</v>
      </c>
      <c r="K2865" s="10">
        <v>79.34999999999999</v>
      </c>
      <c r="L2865" s="10">
        <v>115</v>
      </c>
      <c r="M2865" s="6" t="s">
        <v>425</v>
      </c>
      <c r="N2865" s="6" t="str">
        <f>IF(OR($G2865="FCC",$G2865="Hydrocracker",$G2865="Reformer"),IF(COUNTIFS($D:$D,$D2865,$A:$A,$A2865,$B:$B,$B2865,$G:$G,"CDU",$J:$J,"PLANNED")&gt;0,"tied","standalone"),"")</f>
        <v>standalone</v>
      </c>
    </row>
    <row r="2866" spans="1:14">
      <c r="A2866" s="6">
        <v>2024</v>
      </c>
      <c r="B2866" s="6">
        <v>2</v>
      </c>
      <c r="C2866" s="6" t="s">
        <v>61</v>
      </c>
      <c r="D2866" s="6" t="s">
        <v>540</v>
      </c>
      <c r="E2866" s="6" t="s">
        <v>541</v>
      </c>
      <c r="F2866" s="6" t="str">
        <f>IF($M2866="PADD I","PADD 1",IF($M2866="PADD II","PADD 2",IF($M2866="PADD III","PADD 3",IF($M2866="PADD IV","PADD 4",IF($M2866="PADD V","PADD 5","")))))</f>
        <v>PADD 3</v>
      </c>
      <c r="G2866" s="6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6" t="s">
        <v>428</v>
      </c>
      <c r="I2866" s="6" t="s">
        <v>1131</v>
      </c>
      <c r="J2866" s="6" t="s">
        <v>394</v>
      </c>
      <c r="K2866" s="10">
        <v>76.8</v>
      </c>
      <c r="L2866" s="10">
        <v>160</v>
      </c>
      <c r="M2866" s="6" t="s">
        <v>421</v>
      </c>
      <c r="N2866" s="6">
        <f>IF(OR($G2866="FCC",$G2866="Hydrocracker",$G2866="Reformer"),IF(COUNTIFS($D:$D,$D2866,$A:$A,$A2866,$B:$B,$B2866,$G:$G,"CDU",$J:$J,"PLANNED")&gt;0,"tied","standalone"),"")</f>
        <v/>
      </c>
    </row>
    <row r="2867" spans="1:14">
      <c r="A2867" s="6">
        <v>2024</v>
      </c>
      <c r="B2867" s="6">
        <v>2</v>
      </c>
      <c r="C2867" s="6" t="s">
        <v>61</v>
      </c>
      <c r="D2867" s="6" t="s">
        <v>592</v>
      </c>
      <c r="E2867" s="6" t="s">
        <v>593</v>
      </c>
      <c r="F2867" s="6" t="str">
        <f>IF($M2867="PADD I","PADD 1",IF($M2867="PADD II","PADD 2",IF($M2867="PADD III","PADD 3",IF($M2867="PADD IV","PADD 4",IF($M2867="PADD V","PADD 5","")))))</f>
        <v>PADD 2</v>
      </c>
      <c r="G2867" s="6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6" t="s">
        <v>44</v>
      </c>
      <c r="I2867" s="6" t="s">
        <v>809</v>
      </c>
      <c r="J2867" s="6" t="s">
        <v>394</v>
      </c>
      <c r="K2867" s="10">
        <v>70</v>
      </c>
      <c r="L2867" s="10">
        <v>70</v>
      </c>
      <c r="M2867" s="6" t="s">
        <v>425</v>
      </c>
      <c r="N2867" s="6">
        <f>IF(OR($G2867="FCC",$G2867="Hydrocracker",$G2867="Reformer"),IF(COUNTIFS($D:$D,$D2867,$A:$A,$A2867,$B:$B,$B2867,$G:$G,"CDU",$J:$J,"PLANNED")&gt;0,"tied","standalone"),"")</f>
        <v/>
      </c>
    </row>
    <row r="2868" spans="1:14">
      <c r="A2868" s="6">
        <v>2024</v>
      </c>
      <c r="B2868" s="6">
        <v>2</v>
      </c>
      <c r="C2868" s="6" t="s">
        <v>61</v>
      </c>
      <c r="D2868" s="6" t="s">
        <v>592</v>
      </c>
      <c r="E2868" s="6" t="s">
        <v>593</v>
      </c>
      <c r="F2868" s="6" t="str">
        <f>IF($M2868="PADD I","PADD 1",IF($M2868="PADD II","PADD 2",IF($M2868="PADD III","PADD 3",IF($M2868="PADD IV","PADD 4",IF($M2868="PADD V","PADD 5","")))))</f>
        <v>PADD 2</v>
      </c>
      <c r="G2868" s="6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6" t="s">
        <v>471</v>
      </c>
      <c r="I2868" s="6" t="s">
        <v>1162</v>
      </c>
      <c r="J2868" s="6" t="s">
        <v>394</v>
      </c>
      <c r="K2868" s="10">
        <v>70</v>
      </c>
      <c r="L2868" s="10">
        <v>70</v>
      </c>
      <c r="M2868" s="6" t="s">
        <v>425</v>
      </c>
      <c r="N2868" s="6" t="str">
        <f>IF(OR($G2868="FCC",$G2868="Hydrocracker",$G2868="Reformer"),IF(COUNTIFS($D:$D,$D2868,$A:$A,$A2868,$B:$B,$B2868,$G:$G,"CDU",$J:$J,"PLANNED")&gt;0,"tied","standalone"),"")</f>
        <v>standalone</v>
      </c>
    </row>
    <row r="2869" spans="1:14">
      <c r="A2869" s="6">
        <v>2024</v>
      </c>
      <c r="B2869" s="6">
        <v>2</v>
      </c>
      <c r="C2869" s="6" t="s">
        <v>61</v>
      </c>
      <c r="D2869" s="6" t="s">
        <v>592</v>
      </c>
      <c r="E2869" s="6" t="s">
        <v>593</v>
      </c>
      <c r="F2869" s="6" t="str">
        <f>IF($M2869="PADD I","PADD 1",IF($M2869="PADD II","PADD 2",IF($M2869="PADD III","PADD 3",IF($M2869="PADD IV","PADD 4",IF($M2869="PADD V","PADD 5","")))))</f>
        <v>PADD 2</v>
      </c>
      <c r="G2869" s="6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6" t="s">
        <v>44</v>
      </c>
      <c r="I2869" s="6" t="s">
        <v>601</v>
      </c>
      <c r="J2869" s="6" t="s">
        <v>394</v>
      </c>
      <c r="K2869" s="10">
        <v>69</v>
      </c>
      <c r="L2869" s="10">
        <v>100</v>
      </c>
      <c r="M2869" s="6" t="s">
        <v>425</v>
      </c>
      <c r="N2869" s="6">
        <f>IF(OR($G2869="FCC",$G2869="Hydrocracker",$G2869="Reformer"),IF(COUNTIFS($D:$D,$D2869,$A:$A,$A2869,$B:$B,$B2869,$G:$G,"CDU",$J:$J,"PLANNED")&gt;0,"tied","standalone"),"")</f>
        <v/>
      </c>
    </row>
    <row r="2870" spans="1:14">
      <c r="A2870" s="6">
        <v>2024</v>
      </c>
      <c r="B2870" s="6">
        <v>2</v>
      </c>
      <c r="C2870" s="6" t="s">
        <v>61</v>
      </c>
      <c r="D2870" s="6" t="s">
        <v>857</v>
      </c>
      <c r="E2870" s="6" t="s">
        <v>829</v>
      </c>
      <c r="F2870" s="6" t="str">
        <f>IF($M2870="PADD I","PADD 1",IF($M2870="PADD II","PADD 2",IF($M2870="PADD III","PADD 3",IF($M2870="PADD IV","PADD 4",IF($M2870="PADD V","PADD 5","")))))</f>
        <v>PADD 3</v>
      </c>
      <c r="G2870" s="6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6" t="s">
        <v>39</v>
      </c>
      <c r="I2870" s="6" t="s">
        <v>136</v>
      </c>
      <c r="J2870" s="6" t="s">
        <v>398</v>
      </c>
      <c r="K2870" s="10">
        <v>67</v>
      </c>
      <c r="L2870" s="10">
        <v>67</v>
      </c>
      <c r="M2870" s="6" t="s">
        <v>421</v>
      </c>
      <c r="N2870" s="6">
        <f>IF(OR($G2870="FCC",$G2870="Hydrocracker",$G2870="Reformer"),IF(COUNTIFS($D:$D,$D2870,$A:$A,$A2870,$B:$B,$B2870,$G:$G,"CDU",$J:$J,"PLANNED")&gt;0,"tied","standalone"),"")</f>
        <v/>
      </c>
    </row>
    <row r="2871" spans="1:14">
      <c r="A2871" s="6">
        <v>2024</v>
      </c>
      <c r="B2871" s="6">
        <v>2</v>
      </c>
      <c r="C2871" s="6" t="s">
        <v>61</v>
      </c>
      <c r="D2871" s="6" t="s">
        <v>592</v>
      </c>
      <c r="E2871" s="6" t="s">
        <v>593</v>
      </c>
      <c r="F2871" s="6" t="str">
        <f>IF($M2871="PADD I","PADD 1",IF($M2871="PADD II","PADD 2",IF($M2871="PADD III","PADD 3",IF($M2871="PADD IV","PADD 4",IF($M2871="PADD V","PADD 5","")))))</f>
        <v>PADD 2</v>
      </c>
      <c r="G2871" s="6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6" t="s">
        <v>426</v>
      </c>
      <c r="I2871" s="6" t="s">
        <v>1163</v>
      </c>
      <c r="J2871" s="6" t="s">
        <v>394</v>
      </c>
      <c r="K2871" s="10">
        <v>65</v>
      </c>
      <c r="L2871" s="10">
        <v>65</v>
      </c>
      <c r="M2871" s="6" t="s">
        <v>425</v>
      </c>
      <c r="N2871" s="6" t="str">
        <f>IF(OR($G2871="FCC",$G2871="Hydrocracker",$G2871="Reformer"),IF(COUNTIFS($D:$D,$D2871,$A:$A,$A2871,$B:$B,$B2871,$G:$G,"CDU",$J:$J,"PLANNED")&gt;0,"tied","standalone"),"")</f>
        <v>standalone</v>
      </c>
    </row>
    <row r="2872" spans="1:14">
      <c r="A2872" s="6">
        <v>2024</v>
      </c>
      <c r="B2872" s="6">
        <v>2</v>
      </c>
      <c r="C2872" s="6" t="s">
        <v>61</v>
      </c>
      <c r="D2872" s="6" t="s">
        <v>592</v>
      </c>
      <c r="E2872" s="6" t="s">
        <v>593</v>
      </c>
      <c r="F2872" s="6" t="str">
        <f>IF($M2872="PADD I","PADD 1",IF($M2872="PADD II","PADD 2",IF($M2872="PADD III","PADD 3",IF($M2872="PADD IV","PADD 4",IF($M2872="PADD V","PADD 5","")))))</f>
        <v>PADD 2</v>
      </c>
      <c r="G2872" s="6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6" t="s">
        <v>39</v>
      </c>
      <c r="I2872" s="6" t="s">
        <v>594</v>
      </c>
      <c r="J2872" s="6" t="s">
        <v>394</v>
      </c>
      <c r="K2872" s="10">
        <v>63</v>
      </c>
      <c r="L2872" s="10">
        <v>70</v>
      </c>
      <c r="M2872" s="6" t="s">
        <v>425</v>
      </c>
      <c r="N2872" s="6">
        <f>IF(OR($G2872="FCC",$G2872="Hydrocracker",$G2872="Reformer"),IF(COUNTIFS($D:$D,$D2872,$A:$A,$A2872,$B:$B,$B2872,$G:$G,"CDU",$J:$J,"PLANNED")&gt;0,"tied","standalone"),"")</f>
        <v/>
      </c>
    </row>
    <row r="2873" spans="1:14">
      <c r="A2873" s="6">
        <v>2024</v>
      </c>
      <c r="B2873" s="6">
        <v>2</v>
      </c>
      <c r="C2873" s="6" t="s">
        <v>61</v>
      </c>
      <c r="D2873" s="6" t="s">
        <v>378</v>
      </c>
      <c r="E2873" s="6" t="s">
        <v>477</v>
      </c>
      <c r="F2873" s="6" t="str">
        <f>IF($M2873="PADD I","PADD 1",IF($M2873="PADD II","PADD 2",IF($M2873="PADD III","PADD 3",IF($M2873="PADD IV","PADD 4",IF($M2873="PADD V","PADD 5","")))))</f>
        <v>PADD 3</v>
      </c>
      <c r="G2873" s="6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6" t="s">
        <v>428</v>
      </c>
      <c r="I2873" s="6" t="s">
        <v>478</v>
      </c>
      <c r="J2873" s="6" t="s">
        <v>394</v>
      </c>
      <c r="K2873" s="10">
        <v>61.6</v>
      </c>
      <c r="L2873" s="10">
        <v>112</v>
      </c>
      <c r="M2873" s="6" t="s">
        <v>421</v>
      </c>
      <c r="N2873" s="6">
        <f>IF(OR($G2873="FCC",$G2873="Hydrocracker",$G2873="Reformer"),IF(COUNTIFS($D:$D,$D2873,$A:$A,$A2873,$B:$B,$B2873,$G:$G,"CDU",$J:$J,"PLANNED")&gt;0,"tied","standalone"),"")</f>
        <v/>
      </c>
    </row>
    <row r="2874" spans="1:14">
      <c r="A2874" s="6">
        <v>2024</v>
      </c>
      <c r="B2874" s="6">
        <v>2</v>
      </c>
      <c r="C2874" s="6" t="s">
        <v>61</v>
      </c>
      <c r="D2874" s="6" t="s">
        <v>1035</v>
      </c>
      <c r="E2874" s="6" t="s">
        <v>593</v>
      </c>
      <c r="F2874" s="6" t="str">
        <f>IF($M2874="PADD I","PADD 1",IF($M2874="PADD II","PADD 2",IF($M2874="PADD III","PADD 3",IF($M2874="PADD IV","PADD 4",IF($M2874="PADD V","PADD 5","")))))</f>
        <v>PADD 2</v>
      </c>
      <c r="G2874" s="6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6" t="s">
        <v>428</v>
      </c>
      <c r="I2874" s="6" t="s">
        <v>836</v>
      </c>
      <c r="J2874" s="6" t="s">
        <v>394</v>
      </c>
      <c r="K2874" s="10">
        <v>60.33</v>
      </c>
      <c r="L2874" s="10">
        <v>60.33</v>
      </c>
      <c r="M2874" s="6" t="s">
        <v>425</v>
      </c>
      <c r="N2874" s="6">
        <f>IF(OR($G2874="FCC",$G2874="Hydrocracker",$G2874="Reformer"),IF(COUNTIFS($D:$D,$D2874,$A:$A,$A2874,$B:$B,$B2874,$G:$G,"CDU",$J:$J,"PLANNED")&gt;0,"tied","standalone"),"")</f>
        <v/>
      </c>
    </row>
    <row r="2875" spans="1:14">
      <c r="A2875" s="6">
        <v>2024</v>
      </c>
      <c r="B2875" s="6">
        <v>2</v>
      </c>
      <c r="C2875" s="6" t="s">
        <v>61</v>
      </c>
      <c r="D2875" s="6" t="s">
        <v>592</v>
      </c>
      <c r="E2875" s="6" t="s">
        <v>593</v>
      </c>
      <c r="F2875" s="6" t="str">
        <f>IF($M2875="PADD I","PADD 1",IF($M2875="PADD II","PADD 2",IF($M2875="PADD III","PADD 3",IF($M2875="PADD IV","PADD 4",IF($M2875="PADD V","PADD 5","")))))</f>
        <v>PADD 2</v>
      </c>
      <c r="G2875" s="6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6" t="s">
        <v>471</v>
      </c>
      <c r="I2875" s="6" t="s">
        <v>1164</v>
      </c>
      <c r="J2875" s="6" t="s">
        <v>394</v>
      </c>
      <c r="K2875" s="10">
        <v>60</v>
      </c>
      <c r="L2875" s="10">
        <v>60</v>
      </c>
      <c r="M2875" s="6" t="s">
        <v>425</v>
      </c>
      <c r="N2875" s="6" t="str">
        <f>IF(OR($G2875="FCC",$G2875="Hydrocracker",$G2875="Reformer"),IF(COUNTIFS($D:$D,$D2875,$A:$A,$A2875,$B:$B,$B2875,$G:$G,"CDU",$J:$J,"PLANNED")&gt;0,"tied","standalone"),"")</f>
        <v>standalone</v>
      </c>
    </row>
    <row r="2876" spans="1:14">
      <c r="A2876" s="6">
        <v>2024</v>
      </c>
      <c r="B2876" s="6">
        <v>2</v>
      </c>
      <c r="C2876" s="6" t="s">
        <v>61</v>
      </c>
      <c r="D2876" s="6" t="s">
        <v>678</v>
      </c>
      <c r="E2876" s="6" t="s">
        <v>438</v>
      </c>
      <c r="F2876" s="6" t="str">
        <f>IF($M2876="PADD I","PADD 1",IF($M2876="PADD II","PADD 2",IF($M2876="PADD III","PADD 3",IF($M2876="PADD IV","PADD 4",IF($M2876="PADD V","PADD 5","")))))</f>
        <v>PADD 3</v>
      </c>
      <c r="G2876" s="6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6" t="s">
        <v>426</v>
      </c>
      <c r="I2876" s="6" t="s">
        <v>106</v>
      </c>
      <c r="J2876" s="6" t="s">
        <v>398</v>
      </c>
      <c r="K2876" s="10">
        <v>60</v>
      </c>
      <c r="L2876" s="10">
        <v>60</v>
      </c>
      <c r="M2876" s="6" t="s">
        <v>421</v>
      </c>
      <c r="N2876" s="6" t="str">
        <f>IF(OR($G2876="FCC",$G2876="Hydrocracker",$G2876="Reformer"),IF(COUNTIFS($D:$D,$D2876,$A:$A,$A2876,$B:$B,$B2876,$G:$G,"CDU",$J:$J,"PLANNED")&gt;0,"tied","standalone"),"")</f>
        <v>tied</v>
      </c>
    </row>
    <row r="2877" spans="1:14">
      <c r="A2877" s="6">
        <v>2024</v>
      </c>
      <c r="B2877" s="6">
        <v>2</v>
      </c>
      <c r="C2877" s="6" t="s">
        <v>61</v>
      </c>
      <c r="D2877" s="6" t="s">
        <v>592</v>
      </c>
      <c r="E2877" s="6" t="s">
        <v>593</v>
      </c>
      <c r="F2877" s="6" t="str">
        <f>IF($M2877="PADD I","PADD 1",IF($M2877="PADD II","PADD 2",IF($M2877="PADD III","PADD 3",IF($M2877="PADD IV","PADD 4",IF($M2877="PADD V","PADD 5","")))))</f>
        <v>PADD 2</v>
      </c>
      <c r="G2877" s="6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6" t="s">
        <v>39</v>
      </c>
      <c r="I2877" s="6" t="s">
        <v>1165</v>
      </c>
      <c r="J2877" s="6" t="s">
        <v>394</v>
      </c>
      <c r="K2877" s="10">
        <v>59.8</v>
      </c>
      <c r="L2877" s="10">
        <v>115</v>
      </c>
      <c r="M2877" s="6" t="s">
        <v>425</v>
      </c>
      <c r="N2877" s="6">
        <f>IF(OR($G2877="FCC",$G2877="Hydrocracker",$G2877="Reformer"),IF(COUNTIFS($D:$D,$D2877,$A:$A,$A2877,$B:$B,$B2877,$G:$G,"CDU",$J:$J,"PLANNED")&gt;0,"tied","standalone"),"")</f>
        <v/>
      </c>
    </row>
    <row r="2878" spans="1:14">
      <c r="A2878" s="6">
        <v>2024</v>
      </c>
      <c r="B2878" s="6">
        <v>2</v>
      </c>
      <c r="C2878" s="6" t="s">
        <v>61</v>
      </c>
      <c r="D2878" s="6" t="s">
        <v>505</v>
      </c>
      <c r="E2878" s="6" t="s">
        <v>455</v>
      </c>
      <c r="F2878" s="6" t="str">
        <f>IF($M2878="PADD I","PADD 1",IF($M2878="PADD II","PADD 2",IF($M2878="PADD III","PADD 3",IF($M2878="PADD IV","PADD 4",IF($M2878="PADD V","PADD 5","")))))</f>
        <v>PADD 3</v>
      </c>
      <c r="G2878" s="6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6" t="s">
        <v>494</v>
      </c>
      <c r="I2878" s="6" t="s">
        <v>506</v>
      </c>
      <c r="J2878" s="6" t="s">
        <v>398</v>
      </c>
      <c r="K2878" s="10">
        <v>59.25</v>
      </c>
      <c r="L2878" s="10">
        <v>75</v>
      </c>
      <c r="M2878" s="6" t="s">
        <v>421</v>
      </c>
      <c r="N2878" s="6" t="str">
        <f>IF(OR($G2878="FCC",$G2878="Hydrocracker",$G2878="Reformer"),IF(COUNTIFS($D:$D,$D2878,$A:$A,$A2878,$B:$B,$B2878,$G:$G,"CDU",$J:$J,"PLANNED")&gt;0,"tied","standalone"),"")</f>
        <v>tied</v>
      </c>
    </row>
    <row r="2879" spans="1:14">
      <c r="A2879" s="6">
        <v>2024</v>
      </c>
      <c r="B2879" s="6">
        <v>2</v>
      </c>
      <c r="C2879" s="6" t="s">
        <v>61</v>
      </c>
      <c r="D2879" s="6" t="s">
        <v>576</v>
      </c>
      <c r="E2879" s="6" t="s">
        <v>455</v>
      </c>
      <c r="F2879" s="6" t="str">
        <f>IF($M2879="PADD I","PADD 1",IF($M2879="PADD II","PADD 2",IF($M2879="PADD III","PADD 3",IF($M2879="PADD IV","PADD 4",IF($M2879="PADD V","PADD 5","")))))</f>
        <v>PADD 3</v>
      </c>
      <c r="G2879" s="6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6" t="s">
        <v>494</v>
      </c>
      <c r="I2879" s="6" t="s">
        <v>577</v>
      </c>
      <c r="J2879" s="6" t="s">
        <v>398</v>
      </c>
      <c r="K2879" s="10">
        <v>57</v>
      </c>
      <c r="L2879" s="10">
        <v>57</v>
      </c>
      <c r="M2879" s="6" t="s">
        <v>421</v>
      </c>
      <c r="N2879" s="6" t="str">
        <f>IF(OR($G2879="FCC",$G2879="Hydrocracker",$G2879="Reformer"),IF(COUNTIFS($D:$D,$D2879,$A:$A,$A2879,$B:$B,$B2879,$G:$G,"CDU",$J:$J,"PLANNED")&gt;0,"tied","standalone"),"")</f>
        <v>tied</v>
      </c>
    </row>
    <row r="2880" spans="1:14">
      <c r="A2880" s="6">
        <v>2024</v>
      </c>
      <c r="B2880" s="6">
        <v>2</v>
      </c>
      <c r="C2880" s="6" t="s">
        <v>61</v>
      </c>
      <c r="D2880" s="6" t="s">
        <v>51</v>
      </c>
      <c r="E2880" s="6" t="s">
        <v>431</v>
      </c>
      <c r="F2880" s="6" t="str">
        <f>IF($M2880="PADD I","PADD 1",IF($M2880="PADD II","PADD 2",IF($M2880="PADD III","PADD 3",IF($M2880="PADD IV","PADD 4",IF($M2880="PADD V","PADD 5","")))))</f>
        <v>PADD 3</v>
      </c>
      <c r="G2880" s="6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6" t="s">
        <v>471</v>
      </c>
      <c r="I2880" s="6" t="s">
        <v>1136</v>
      </c>
      <c r="J2880" s="6" t="s">
        <v>398</v>
      </c>
      <c r="K2880" s="10">
        <v>57</v>
      </c>
      <c r="L2880" s="10">
        <v>57</v>
      </c>
      <c r="M2880" s="6" t="s">
        <v>421</v>
      </c>
      <c r="N2880" s="6" t="str">
        <f>IF(OR($G2880="FCC",$G2880="Hydrocracker",$G2880="Reformer"),IF(COUNTIFS($D:$D,$D2880,$A:$A,$A2880,$B:$B,$B2880,$G:$G,"CDU",$J:$J,"PLANNED")&gt;0,"tied","standalone"),"")</f>
        <v>standalone</v>
      </c>
    </row>
    <row r="2881" spans="1:14">
      <c r="A2881" s="6">
        <v>2024</v>
      </c>
      <c r="B2881" s="6">
        <v>2</v>
      </c>
      <c r="C2881" s="6" t="s">
        <v>61</v>
      </c>
      <c r="D2881" s="6" t="s">
        <v>592</v>
      </c>
      <c r="E2881" s="6" t="s">
        <v>593</v>
      </c>
      <c r="F2881" s="6" t="str">
        <f>IF($M2881="PADD I","PADD 1",IF($M2881="PADD II","PADD 2",IF($M2881="PADD III","PADD 3",IF($M2881="PADD IV","PADD 4",IF($M2881="PADD V","PADD 5","")))))</f>
        <v>PADD 2</v>
      </c>
      <c r="G2881" s="6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6" t="s">
        <v>44</v>
      </c>
      <c r="I2881" s="6" t="s">
        <v>963</v>
      </c>
      <c r="J2881" s="6" t="s">
        <v>394</v>
      </c>
      <c r="K2881" s="10">
        <v>55.5</v>
      </c>
      <c r="L2881" s="10">
        <v>55.5</v>
      </c>
      <c r="M2881" s="6" t="s">
        <v>425</v>
      </c>
      <c r="N2881" s="6">
        <f>IF(OR($G2881="FCC",$G2881="Hydrocracker",$G2881="Reformer"),IF(COUNTIFS($D:$D,$D2881,$A:$A,$A2881,$B:$B,$B2881,$G:$G,"CDU",$J:$J,"PLANNED")&gt;0,"tied","standalone"),"")</f>
        <v/>
      </c>
    </row>
    <row r="2882" spans="1:14">
      <c r="A2882" s="6">
        <v>2024</v>
      </c>
      <c r="B2882" s="6">
        <v>2</v>
      </c>
      <c r="C2882" s="6" t="s">
        <v>61</v>
      </c>
      <c r="D2882" s="6" t="s">
        <v>592</v>
      </c>
      <c r="E2882" s="6" t="s">
        <v>593</v>
      </c>
      <c r="F2882" s="6" t="str">
        <f>IF($M2882="PADD I","PADD 1",IF($M2882="PADD II","PADD 2",IF($M2882="PADD III","PADD 3",IF($M2882="PADD IV","PADD 4",IF($M2882="PADD V","PADD 5","")))))</f>
        <v>PADD 2</v>
      </c>
      <c r="G2882" s="6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6" t="s">
        <v>426</v>
      </c>
      <c r="I2882" s="6" t="s">
        <v>1163</v>
      </c>
      <c r="J2882" s="6" t="s">
        <v>394</v>
      </c>
      <c r="K2882" s="10">
        <v>55.2</v>
      </c>
      <c r="L2882" s="10">
        <v>80</v>
      </c>
      <c r="M2882" s="6" t="s">
        <v>425</v>
      </c>
      <c r="N2882" s="6" t="str">
        <f>IF(OR($G2882="FCC",$G2882="Hydrocracker",$G2882="Reformer"),IF(COUNTIFS($D:$D,$D2882,$A:$A,$A2882,$B:$B,$B2882,$G:$G,"CDU",$J:$J,"PLANNED")&gt;0,"tied","standalone"),"")</f>
        <v>standalone</v>
      </c>
    </row>
    <row r="2883" spans="1:14">
      <c r="A2883" s="6">
        <v>2024</v>
      </c>
      <c r="B2883" s="6">
        <v>2</v>
      </c>
      <c r="C2883" s="6" t="s">
        <v>61</v>
      </c>
      <c r="D2883" s="6" t="s">
        <v>581</v>
      </c>
      <c r="E2883" s="6" t="s">
        <v>582</v>
      </c>
      <c r="F2883" s="6" t="str">
        <f>IF($M2883="PADD I","PADD 1",IF($M2883="PADD II","PADD 2",IF($M2883="PADD III","PADD 3",IF($M2883="PADD IV","PADD 4",IF($M2883="PADD V","PADD 5","")))))</f>
        <v>PADD 5</v>
      </c>
      <c r="G2883" s="6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6" t="s">
        <v>426</v>
      </c>
      <c r="I2883" s="6" t="s">
        <v>106</v>
      </c>
      <c r="J2883" s="6" t="s">
        <v>394</v>
      </c>
      <c r="K2883" s="10">
        <v>55</v>
      </c>
      <c r="L2883" s="10">
        <v>100</v>
      </c>
      <c r="M2883" s="6" t="s">
        <v>436</v>
      </c>
      <c r="N2883" s="6" t="str">
        <f>IF(OR($G2883="FCC",$G2883="Hydrocracker",$G2883="Reformer"),IF(COUNTIFS($D:$D,$D2883,$A:$A,$A2883,$B:$B,$B2883,$G:$G,"CDU",$J:$J,"PLANNED")&gt;0,"tied","standalone"),"")</f>
        <v>standalone</v>
      </c>
    </row>
    <row r="2884" spans="1:14">
      <c r="A2884" s="6">
        <v>2024</v>
      </c>
      <c r="B2884" s="6">
        <v>2</v>
      </c>
      <c r="C2884" s="6" t="s">
        <v>61</v>
      </c>
      <c r="D2884" s="6" t="s">
        <v>857</v>
      </c>
      <c r="E2884" s="6" t="s">
        <v>829</v>
      </c>
      <c r="F2884" s="6" t="str">
        <f>IF($M2884="PADD I","PADD 1",IF($M2884="PADD II","PADD 2",IF($M2884="PADD III","PADD 3",IF($M2884="PADD IV","PADD 4",IF($M2884="PADD V","PADD 5","")))))</f>
        <v>PADD 3</v>
      </c>
      <c r="G2884" s="6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6" t="s">
        <v>426</v>
      </c>
      <c r="I2884" s="6" t="s">
        <v>478</v>
      </c>
      <c r="J2884" s="6" t="s">
        <v>398</v>
      </c>
      <c r="K2884" s="10">
        <v>55</v>
      </c>
      <c r="L2884" s="10">
        <v>55</v>
      </c>
      <c r="M2884" s="6" t="s">
        <v>421</v>
      </c>
      <c r="N2884" s="6" t="str">
        <f>IF(OR($G2884="FCC",$G2884="Hydrocracker",$G2884="Reformer"),IF(COUNTIFS($D:$D,$D2884,$A:$A,$A2884,$B:$B,$B2884,$G:$G,"CDU",$J:$J,"PLANNED")&gt;0,"tied","standalone"),"")</f>
        <v>tied</v>
      </c>
    </row>
    <row r="2885" spans="1:14">
      <c r="A2885" s="6">
        <v>2024</v>
      </c>
      <c r="B2885" s="6">
        <v>2</v>
      </c>
      <c r="C2885" s="6" t="s">
        <v>61</v>
      </c>
      <c r="D2885" s="6" t="s">
        <v>592</v>
      </c>
      <c r="E2885" s="6" t="s">
        <v>593</v>
      </c>
      <c r="F2885" s="6" t="str">
        <f>IF($M2885="PADD I","PADD 1",IF($M2885="PADD II","PADD 2",IF($M2885="PADD III","PADD 3",IF($M2885="PADD IV","PADD 4",IF($M2885="PADD V","PADD 5","")))))</f>
        <v>PADD 2</v>
      </c>
      <c r="G2885" s="6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6" t="s">
        <v>485</v>
      </c>
      <c r="I2885" s="6" t="s">
        <v>491</v>
      </c>
      <c r="J2885" s="6" t="s">
        <v>394</v>
      </c>
      <c r="K2885" s="10">
        <v>53.04</v>
      </c>
      <c r="L2885" s="10">
        <v>102</v>
      </c>
      <c r="M2885" s="6" t="s">
        <v>425</v>
      </c>
      <c r="N2885" s="6">
        <f>IF(OR($G2885="FCC",$G2885="Hydrocracker",$G2885="Reformer"),IF(COUNTIFS($D:$D,$D2885,$A:$A,$A2885,$B:$B,$B2885,$G:$G,"CDU",$J:$J,"PLANNED")&gt;0,"tied","standalone"),"")</f>
        <v/>
      </c>
    </row>
    <row r="2886" spans="1:14">
      <c r="A2886" s="6">
        <v>2024</v>
      </c>
      <c r="B2886" s="6">
        <v>2</v>
      </c>
      <c r="C2886" s="6" t="s">
        <v>61</v>
      </c>
      <c r="D2886" s="6" t="s">
        <v>576</v>
      </c>
      <c r="E2886" s="6" t="s">
        <v>455</v>
      </c>
      <c r="F2886" s="6" t="str">
        <f>IF($M2886="PADD I","PADD 1",IF($M2886="PADD II","PADD 2",IF($M2886="PADD III","PADD 3",IF($M2886="PADD IV","PADD 4",IF($M2886="PADD V","PADD 5","")))))</f>
        <v>PADD 3</v>
      </c>
      <c r="G2886" s="6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6" t="s">
        <v>471</v>
      </c>
      <c r="I2886" s="6" t="s">
        <v>647</v>
      </c>
      <c r="J2886" s="6" t="s">
        <v>394</v>
      </c>
      <c r="K2886" s="10">
        <v>53</v>
      </c>
      <c r="L2886" s="10">
        <v>53</v>
      </c>
      <c r="M2886" s="6" t="s">
        <v>421</v>
      </c>
      <c r="N2886" s="6" t="str">
        <f>IF(OR($G2886="FCC",$G2886="Hydrocracker",$G2886="Reformer"),IF(COUNTIFS($D:$D,$D2886,$A:$A,$A2886,$B:$B,$B2886,$G:$G,"CDU",$J:$J,"PLANNED")&gt;0,"tied","standalone"),"")</f>
        <v>tied</v>
      </c>
    </row>
    <row r="2887" spans="1:14">
      <c r="A2887" s="6">
        <v>2024</v>
      </c>
      <c r="B2887" s="6">
        <v>2</v>
      </c>
      <c r="C2887" s="6" t="s">
        <v>61</v>
      </c>
      <c r="D2887" s="6" t="s">
        <v>465</v>
      </c>
      <c r="E2887" s="6" t="s">
        <v>466</v>
      </c>
      <c r="F2887" s="6" t="str">
        <f>IF($M2887="PADD I","PADD 1",IF($M2887="PADD II","PADD 2",IF($M2887="PADD III","PADD 3",IF($M2887="PADD IV","PADD 4",IF($M2887="PADD V","PADD 5","")))))</f>
        <v>PADD 3</v>
      </c>
      <c r="G2887" s="6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6" t="s">
        <v>39</v>
      </c>
      <c r="I2887" s="6" t="s">
        <v>134</v>
      </c>
      <c r="J2887" s="6" t="s">
        <v>398</v>
      </c>
      <c r="K2887" s="10">
        <v>51.84</v>
      </c>
      <c r="L2887" s="10">
        <v>108</v>
      </c>
      <c r="M2887" s="6" t="s">
        <v>421</v>
      </c>
      <c r="N2887" s="6">
        <f>IF(OR($G2887="FCC",$G2887="Hydrocracker",$G2887="Reformer"),IF(COUNTIFS($D:$D,$D2887,$A:$A,$A2887,$B:$B,$B2887,$G:$G,"CDU",$J:$J,"PLANNED")&gt;0,"tied","standalone"),"")</f>
        <v/>
      </c>
    </row>
    <row r="2888" spans="1:14">
      <c r="A2888" s="6">
        <v>2024</v>
      </c>
      <c r="B2888" s="6">
        <v>2</v>
      </c>
      <c r="C2888" s="6" t="s">
        <v>61</v>
      </c>
      <c r="D2888" s="6" t="s">
        <v>448</v>
      </c>
      <c r="E2888" s="6" t="s">
        <v>449</v>
      </c>
      <c r="F2888" s="6" t="str">
        <f>IF($M2888="PADD I","PADD 1",IF($M2888="PADD II","PADD 2",IF($M2888="PADD III","PADD 3",IF($M2888="PADD IV","PADD 4",IF($M2888="PADD V","PADD 5","")))))</f>
        <v>PADD 3</v>
      </c>
      <c r="G2888" s="6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6" t="s">
        <v>485</v>
      </c>
      <c r="I2888" s="6" t="s">
        <v>578</v>
      </c>
      <c r="J2888" s="6" t="s">
        <v>394</v>
      </c>
      <c r="K2888" s="10">
        <v>51.3</v>
      </c>
      <c r="L2888" s="10">
        <v>57</v>
      </c>
      <c r="M2888" s="6" t="s">
        <v>421</v>
      </c>
      <c r="N2888" s="6">
        <f>IF(OR($G2888="FCC",$G2888="Hydrocracker",$G2888="Reformer"),IF(COUNTIFS($D:$D,$D2888,$A:$A,$A2888,$B:$B,$B2888,$G:$G,"CDU",$J:$J,"PLANNED")&gt;0,"tied","standalone"),"")</f>
        <v/>
      </c>
    </row>
    <row r="2889" spans="1:14">
      <c r="A2889" s="6">
        <v>2024</v>
      </c>
      <c r="B2889" s="6">
        <v>2</v>
      </c>
      <c r="C2889" s="6" t="s">
        <v>61</v>
      </c>
      <c r="D2889" s="6" t="s">
        <v>576</v>
      </c>
      <c r="E2889" s="6" t="s">
        <v>455</v>
      </c>
      <c r="F2889" s="6" t="str">
        <f>IF($M2889="PADD I","PADD 1",IF($M2889="PADD II","PADD 2",IF($M2889="PADD III","PADD 3",IF($M2889="PADD IV","PADD 4",IF($M2889="PADD V","PADD 5","")))))</f>
        <v>PADD 3</v>
      </c>
      <c r="G2889" s="6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6" t="s">
        <v>471</v>
      </c>
      <c r="I2889" s="6" t="s">
        <v>978</v>
      </c>
      <c r="J2889" s="6" t="s">
        <v>398</v>
      </c>
      <c r="K2889" s="10">
        <v>50</v>
      </c>
      <c r="L2889" s="10">
        <v>50</v>
      </c>
      <c r="M2889" s="6" t="s">
        <v>421</v>
      </c>
      <c r="N2889" s="6" t="str">
        <f>IF(OR($G2889="FCC",$G2889="Hydrocracker",$G2889="Reformer"),IF(COUNTIFS($D:$D,$D2889,$A:$A,$A2889,$B:$B,$B2889,$G:$G,"CDU",$J:$J,"PLANNED")&gt;0,"tied","standalone"),"")</f>
        <v>tied</v>
      </c>
    </row>
    <row r="2890" spans="1:14">
      <c r="A2890" s="6">
        <v>2024</v>
      </c>
      <c r="B2890" s="6">
        <v>2</v>
      </c>
      <c r="C2890" s="6" t="s">
        <v>61</v>
      </c>
      <c r="D2890" s="6" t="s">
        <v>857</v>
      </c>
      <c r="E2890" s="6" t="s">
        <v>829</v>
      </c>
      <c r="F2890" s="6" t="str">
        <f>IF($M2890="PADD I","PADD 1",IF($M2890="PADD II","PADD 2",IF($M2890="PADD III","PADD 3",IF($M2890="PADD IV","PADD 4",IF($M2890="PADD V","PADD 5","")))))</f>
        <v>PADD 3</v>
      </c>
      <c r="G2890" s="6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6" t="s">
        <v>44</v>
      </c>
      <c r="I2890" s="6" t="s">
        <v>843</v>
      </c>
      <c r="J2890" s="6" t="s">
        <v>398</v>
      </c>
      <c r="K2890" s="10">
        <v>50</v>
      </c>
      <c r="L2890" s="10">
        <v>50</v>
      </c>
      <c r="M2890" s="6" t="s">
        <v>421</v>
      </c>
      <c r="N2890" s="6">
        <f>IF(OR($G2890="FCC",$G2890="Hydrocracker",$G2890="Reformer"),IF(COUNTIFS($D:$D,$D2890,$A:$A,$A2890,$B:$B,$B2890,$G:$G,"CDU",$J:$J,"PLANNED")&gt;0,"tied","standalone"),"")</f>
        <v/>
      </c>
    </row>
    <row r="2891" spans="1:14">
      <c r="A2891" s="6">
        <v>2024</v>
      </c>
      <c r="B2891" s="6">
        <v>2</v>
      </c>
      <c r="C2891" s="6" t="s">
        <v>61</v>
      </c>
      <c r="D2891" s="6" t="s">
        <v>678</v>
      </c>
      <c r="E2891" s="6" t="s">
        <v>438</v>
      </c>
      <c r="F2891" s="6" t="str">
        <f>IF($M2891="PADD I","PADD 1",IF($M2891="PADD II","PADD 2",IF($M2891="PADD III","PADD 3",IF($M2891="PADD IV","PADD 4",IF($M2891="PADD V","PADD 5","")))))</f>
        <v>PADD 3</v>
      </c>
      <c r="G2891" s="6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6" t="s">
        <v>39</v>
      </c>
      <c r="I2891" s="6" t="s">
        <v>1098</v>
      </c>
      <c r="J2891" s="6" t="s">
        <v>398</v>
      </c>
      <c r="K2891" s="10">
        <v>50</v>
      </c>
      <c r="L2891" s="10">
        <v>50</v>
      </c>
      <c r="M2891" s="6" t="s">
        <v>421</v>
      </c>
      <c r="N2891" s="6">
        <f>IF(OR($G2891="FCC",$G2891="Hydrocracker",$G2891="Reformer"),IF(COUNTIFS($D:$D,$D2891,$A:$A,$A2891,$B:$B,$B2891,$G:$G,"CDU",$J:$J,"PLANNED")&gt;0,"tied","standalone"),"")</f>
        <v/>
      </c>
    </row>
    <row r="2892" spans="1:14">
      <c r="A2892" s="6">
        <v>2024</v>
      </c>
      <c r="B2892" s="6">
        <v>2</v>
      </c>
      <c r="C2892" s="6" t="s">
        <v>61</v>
      </c>
      <c r="D2892" s="6" t="s">
        <v>507</v>
      </c>
      <c r="E2892" s="6" t="s">
        <v>438</v>
      </c>
      <c r="F2892" s="6" t="str">
        <f>IF($M2892="PADD I","PADD 1",IF($M2892="PADD II","PADD 2",IF($M2892="PADD III","PADD 3",IF($M2892="PADD IV","PADD 4",IF($M2892="PADD V","PADD 5","")))))</f>
        <v>PADD 5</v>
      </c>
      <c r="G2892" s="6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6" t="s">
        <v>494</v>
      </c>
      <c r="I2892" s="6" t="s">
        <v>14</v>
      </c>
      <c r="J2892" s="6" t="s">
        <v>394</v>
      </c>
      <c r="K2892" s="10">
        <v>49.5</v>
      </c>
      <c r="L2892" s="10">
        <v>55</v>
      </c>
      <c r="M2892" s="6" t="s">
        <v>436</v>
      </c>
      <c r="N2892" s="6" t="str">
        <f>IF(OR($G2892="FCC",$G2892="Hydrocracker",$G2892="Reformer"),IF(COUNTIFS($D:$D,$D2892,$A:$A,$A2892,$B:$B,$B2892,$G:$G,"CDU",$J:$J,"PLANNED")&gt;0,"tied","standalone"),"")</f>
        <v>tied</v>
      </c>
    </row>
    <row r="2893" spans="1:14">
      <c r="A2893" s="6">
        <v>2024</v>
      </c>
      <c r="B2893" s="6">
        <v>2</v>
      </c>
      <c r="C2893" s="6" t="s">
        <v>61</v>
      </c>
      <c r="D2893" s="6" t="s">
        <v>448</v>
      </c>
      <c r="E2893" s="6" t="s">
        <v>449</v>
      </c>
      <c r="F2893" s="6" t="str">
        <f>IF($M2893="PADD I","PADD 1",IF($M2893="PADD II","PADD 2",IF($M2893="PADD III","PADD 3",IF($M2893="PADD IV","PADD 4",IF($M2893="PADD V","PADD 5","")))))</f>
        <v>PADD 3</v>
      </c>
      <c r="G2893" s="6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6" t="s">
        <v>485</v>
      </c>
      <c r="I2893" s="6" t="s">
        <v>578</v>
      </c>
      <c r="J2893" s="6" t="s">
        <v>398</v>
      </c>
      <c r="K2893" s="10">
        <v>49.02</v>
      </c>
      <c r="L2893" s="10">
        <v>57</v>
      </c>
      <c r="M2893" s="6" t="s">
        <v>421</v>
      </c>
      <c r="N2893" s="6">
        <f>IF(OR($G2893="FCC",$G2893="Hydrocracker",$G2893="Reformer"),IF(COUNTIFS($D:$D,$D2893,$A:$A,$A2893,$B:$B,$B2893,$G:$G,"CDU",$J:$J,"PLANNED")&gt;0,"tied","standalone"),"")</f>
        <v/>
      </c>
    </row>
    <row r="2894" spans="1:14">
      <c r="A2894" s="6">
        <v>2024</v>
      </c>
      <c r="B2894" s="6">
        <v>2</v>
      </c>
      <c r="C2894" s="6" t="s">
        <v>61</v>
      </c>
      <c r="D2894" s="6" t="s">
        <v>384</v>
      </c>
      <c r="E2894" s="6" t="s">
        <v>419</v>
      </c>
      <c r="F2894" s="6" t="str">
        <f>IF($M2894="PADD I","PADD 1",IF($M2894="PADD II","PADD 2",IF($M2894="PADD III","PADD 3",IF($M2894="PADD IV","PADD 4",IF($M2894="PADD V","PADD 5","")))))</f>
        <v>PADD 3</v>
      </c>
      <c r="G2894" s="6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6" t="s">
        <v>426</v>
      </c>
      <c r="I2894" s="6" t="s">
        <v>142</v>
      </c>
      <c r="J2894" s="6" t="s">
        <v>394</v>
      </c>
      <c r="K2894" s="10">
        <v>48.36</v>
      </c>
      <c r="L2894" s="10">
        <v>78</v>
      </c>
      <c r="M2894" s="6" t="s">
        <v>421</v>
      </c>
      <c r="N2894" s="6" t="str">
        <f>IF(OR($G2894="FCC",$G2894="Hydrocracker",$G2894="Reformer"),IF(COUNTIFS($D:$D,$D2894,$A:$A,$A2894,$B:$B,$B2894,$G:$G,"CDU",$J:$J,"PLANNED")&gt;0,"tied","standalone"),"")</f>
        <v>standalone</v>
      </c>
    </row>
    <row r="2895" spans="1:14">
      <c r="A2895" s="6">
        <v>2024</v>
      </c>
      <c r="B2895" s="6">
        <v>2</v>
      </c>
      <c r="C2895" s="6" t="s">
        <v>61</v>
      </c>
      <c r="D2895" s="6" t="s">
        <v>576</v>
      </c>
      <c r="E2895" s="6" t="s">
        <v>455</v>
      </c>
      <c r="F2895" s="6" t="str">
        <f>IF($M2895="PADD I","PADD 1",IF($M2895="PADD II","PADD 2",IF($M2895="PADD III","PADD 3",IF($M2895="PADD IV","PADD 4",IF($M2895="PADD V","PADD 5","")))))</f>
        <v>PADD 3</v>
      </c>
      <c r="G2895" s="6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6" t="s">
        <v>44</v>
      </c>
      <c r="I2895" s="6" t="s">
        <v>1126</v>
      </c>
      <c r="J2895" s="6" t="s">
        <v>398</v>
      </c>
      <c r="K2895" s="10">
        <v>47</v>
      </c>
      <c r="L2895" s="10">
        <v>47</v>
      </c>
      <c r="M2895" s="6" t="s">
        <v>421</v>
      </c>
      <c r="N2895" s="6">
        <f>IF(OR($G2895="FCC",$G2895="Hydrocracker",$G2895="Reformer"),IF(COUNTIFS($D:$D,$D2895,$A:$A,$A2895,$B:$B,$B2895,$G:$G,"CDU",$J:$J,"PLANNED")&gt;0,"tied","standalone"),"")</f>
        <v/>
      </c>
    </row>
    <row r="2896" spans="1:14">
      <c r="A2896" s="6">
        <v>2024</v>
      </c>
      <c r="B2896" s="6">
        <v>2</v>
      </c>
      <c r="C2896" s="6" t="s">
        <v>61</v>
      </c>
      <c r="D2896" s="6" t="s">
        <v>373</v>
      </c>
      <c r="E2896" s="6" t="s">
        <v>438</v>
      </c>
      <c r="F2896" s="6" t="str">
        <f>IF($M2896="PADD I","PADD 1",IF($M2896="PADD II","PADD 2",IF($M2896="PADD III","PADD 3",IF($M2896="PADD IV","PADD 4",IF($M2896="PADD V","PADD 5","")))))</f>
        <v>PADD 3</v>
      </c>
      <c r="G2896" s="6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6" t="s">
        <v>471</v>
      </c>
      <c r="I2896" s="6" t="s">
        <v>692</v>
      </c>
      <c r="J2896" s="6" t="s">
        <v>398</v>
      </c>
      <c r="K2896" s="10">
        <v>46.8</v>
      </c>
      <c r="L2896" s="10">
        <v>65</v>
      </c>
      <c r="M2896" s="6" t="s">
        <v>421</v>
      </c>
      <c r="N2896" s="6" t="str">
        <f>IF(OR($G2896="FCC",$G2896="Hydrocracker",$G2896="Reformer"),IF(COUNTIFS($D:$D,$D2896,$A:$A,$A2896,$B:$B,$B2896,$G:$G,"CDU",$J:$J,"PLANNED")&gt;0,"tied","standalone"),"")</f>
        <v>standalone</v>
      </c>
    </row>
    <row r="2897" spans="1:14">
      <c r="A2897" s="6">
        <v>2024</v>
      </c>
      <c r="B2897" s="6">
        <v>2</v>
      </c>
      <c r="C2897" s="6" t="s">
        <v>61</v>
      </c>
      <c r="D2897" s="6" t="s">
        <v>592</v>
      </c>
      <c r="E2897" s="6" t="s">
        <v>593</v>
      </c>
      <c r="F2897" s="6" t="str">
        <f>IF($M2897="PADD I","PADD 1",IF($M2897="PADD II","PADD 2",IF($M2897="PADD III","PADD 3",IF($M2897="PADD IV","PADD 4",IF($M2897="PADD V","PADD 5","")))))</f>
        <v>PADD 2</v>
      </c>
      <c r="G2897" s="6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6" t="s">
        <v>44</v>
      </c>
      <c r="I2897" s="6" t="s">
        <v>1161</v>
      </c>
      <c r="J2897" s="6" t="s">
        <v>394</v>
      </c>
      <c r="K2897" s="10">
        <v>46.75</v>
      </c>
      <c r="L2897" s="10">
        <v>85</v>
      </c>
      <c r="M2897" s="6" t="s">
        <v>425</v>
      </c>
      <c r="N2897" s="6">
        <f>IF(OR($G2897="FCC",$G2897="Hydrocracker",$G2897="Reformer"),IF(COUNTIFS($D:$D,$D2897,$A:$A,$A2897,$B:$B,$B2897,$G:$G,"CDU",$J:$J,"PLANNED")&gt;0,"tied","standalone"),"")</f>
        <v/>
      </c>
    </row>
    <row r="2898" spans="1:14">
      <c r="A2898" s="6">
        <v>2024</v>
      </c>
      <c r="B2898" s="6">
        <v>2</v>
      </c>
      <c r="C2898" s="6" t="s">
        <v>61</v>
      </c>
      <c r="D2898" s="6" t="s">
        <v>984</v>
      </c>
      <c r="E2898" s="6" t="s">
        <v>438</v>
      </c>
      <c r="F2898" s="6" t="str">
        <f>IF($M2898="PADD I","PADD 1",IF($M2898="PADD II","PADD 2",IF($M2898="PADD III","PADD 3",IF($M2898="PADD IV","PADD 4",IF($M2898="PADD V","PADD 5","")))))</f>
        <v>PADD 3</v>
      </c>
      <c r="G2898" s="6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6" t="s">
        <v>39</v>
      </c>
      <c r="I2898" s="6" t="s">
        <v>136</v>
      </c>
      <c r="J2898" s="6" t="s">
        <v>398</v>
      </c>
      <c r="K2898" s="10">
        <v>46.5</v>
      </c>
      <c r="L2898" s="10">
        <v>75</v>
      </c>
      <c r="M2898" s="6" t="s">
        <v>421</v>
      </c>
      <c r="N2898" s="6">
        <f>IF(OR($G2898="FCC",$G2898="Hydrocracker",$G2898="Reformer"),IF(COUNTIFS($D:$D,$D2898,$A:$A,$A2898,$B:$B,$B2898,$G:$G,"CDU",$J:$J,"PLANNED")&gt;0,"tied","standalone"),"")</f>
        <v/>
      </c>
    </row>
    <row r="2899" spans="1:14">
      <c r="A2899" s="6">
        <v>2024</v>
      </c>
      <c r="B2899" s="6">
        <v>2</v>
      </c>
      <c r="C2899" s="6" t="s">
        <v>61</v>
      </c>
      <c r="D2899" s="6" t="s">
        <v>465</v>
      </c>
      <c r="E2899" s="6" t="s">
        <v>466</v>
      </c>
      <c r="F2899" s="6" t="str">
        <f>IF($M2899="PADD I","PADD 1",IF($M2899="PADD II","PADD 2",IF($M2899="PADD III","PADD 3",IF($M2899="PADD IV","PADD 4",IF($M2899="PADD V","PADD 5","")))))</f>
        <v>PADD 3</v>
      </c>
      <c r="G2899" s="6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6" t="s">
        <v>39</v>
      </c>
      <c r="I2899" s="6" t="s">
        <v>1135</v>
      </c>
      <c r="J2899" s="6" t="s">
        <v>398</v>
      </c>
      <c r="K2899" s="10">
        <v>46.5</v>
      </c>
      <c r="L2899" s="10">
        <v>75</v>
      </c>
      <c r="M2899" s="6" t="s">
        <v>421</v>
      </c>
      <c r="N2899" s="6">
        <f>IF(OR($G2899="FCC",$G2899="Hydrocracker",$G2899="Reformer"),IF(COUNTIFS($D:$D,$D2899,$A:$A,$A2899,$B:$B,$B2899,$G:$G,"CDU",$J:$J,"PLANNED")&gt;0,"tied","standalone"),"")</f>
        <v/>
      </c>
    </row>
    <row r="2900" spans="1:14">
      <c r="A2900" s="6">
        <v>2024</v>
      </c>
      <c r="B2900" s="6">
        <v>2</v>
      </c>
      <c r="C2900" s="6" t="s">
        <v>61</v>
      </c>
      <c r="D2900" s="6" t="s">
        <v>515</v>
      </c>
      <c r="E2900" s="6" t="s">
        <v>419</v>
      </c>
      <c r="F2900" s="6" t="str">
        <f>IF($M2900="PADD I","PADD 1",IF($M2900="PADD II","PADD 2",IF($M2900="PADD III","PADD 3",IF($M2900="PADD IV","PADD 4",IF($M2900="PADD V","PADD 5","")))))</f>
        <v>PADD 5</v>
      </c>
      <c r="G2900" s="6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6" t="s">
        <v>44</v>
      </c>
      <c r="I2900" s="6" t="s">
        <v>516</v>
      </c>
      <c r="J2900" s="6" t="s">
        <v>398</v>
      </c>
      <c r="K2900" s="10">
        <v>45.8298</v>
      </c>
      <c r="L2900" s="10">
        <v>66.42</v>
      </c>
      <c r="M2900" s="6" t="s">
        <v>436</v>
      </c>
      <c r="N2900" s="6">
        <f>IF(OR($G2900="FCC",$G2900="Hydrocracker",$G2900="Reformer"),IF(COUNTIFS($D:$D,$D2900,$A:$A,$A2900,$B:$B,$B2900,$G:$G,"CDU",$J:$J,"PLANNED")&gt;0,"tied","standalone"),"")</f>
        <v/>
      </c>
    </row>
    <row r="2901" spans="1:14">
      <c r="A2901" s="6">
        <v>2024</v>
      </c>
      <c r="B2901" s="6">
        <v>2</v>
      </c>
      <c r="C2901" s="6" t="s">
        <v>61</v>
      </c>
      <c r="D2901" s="6" t="s">
        <v>540</v>
      </c>
      <c r="E2901" s="6" t="s">
        <v>541</v>
      </c>
      <c r="F2901" s="6" t="str">
        <f>IF($M2901="PADD I","PADD 1",IF($M2901="PADD II","PADD 2",IF($M2901="PADD III","PADD 3",IF($M2901="PADD IV","PADD 4",IF($M2901="PADD V","PADD 5","")))))</f>
        <v>PADD 3</v>
      </c>
      <c r="G2901" s="6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6" t="s">
        <v>428</v>
      </c>
      <c r="I2901" s="6" t="s">
        <v>1131</v>
      </c>
      <c r="J2901" s="6" t="s">
        <v>394</v>
      </c>
      <c r="K2901" s="10">
        <v>44.8</v>
      </c>
      <c r="L2901" s="10">
        <v>160</v>
      </c>
      <c r="M2901" s="6" t="s">
        <v>421</v>
      </c>
      <c r="N2901" s="6">
        <f>IF(OR($G2901="FCC",$G2901="Hydrocracker",$G2901="Reformer"),IF(COUNTIFS($D:$D,$D2901,$A:$A,$A2901,$B:$B,$B2901,$G:$G,"CDU",$J:$J,"PLANNED")&gt;0,"tied","standalone"),"")</f>
        <v/>
      </c>
    </row>
    <row r="2902" spans="1:14">
      <c r="A2902" s="6">
        <v>2024</v>
      </c>
      <c r="B2902" s="6">
        <v>2</v>
      </c>
      <c r="C2902" s="6" t="s">
        <v>61</v>
      </c>
      <c r="D2902" s="6" t="s">
        <v>373</v>
      </c>
      <c r="E2902" s="6" t="s">
        <v>438</v>
      </c>
      <c r="F2902" s="6" t="str">
        <f>IF($M2902="PADD I","PADD 1",IF($M2902="PADD II","PADD 2",IF($M2902="PADD III","PADD 3",IF($M2902="PADD IV","PADD 4",IF($M2902="PADD V","PADD 5","")))))</f>
        <v>PADD 3</v>
      </c>
      <c r="G2902" s="6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6" t="s">
        <v>485</v>
      </c>
      <c r="I2902" s="6" t="s">
        <v>1006</v>
      </c>
      <c r="J2902" s="6" t="s">
        <v>398</v>
      </c>
      <c r="K2902" s="10">
        <v>44</v>
      </c>
      <c r="L2902" s="10">
        <v>44</v>
      </c>
      <c r="M2902" s="6" t="s">
        <v>421</v>
      </c>
      <c r="N2902" s="6">
        <f>IF(OR($G2902="FCC",$G2902="Hydrocracker",$G2902="Reformer"),IF(COUNTIFS($D:$D,$D2902,$A:$A,$A2902,$B:$B,$B2902,$G:$G,"CDU",$J:$J,"PLANNED")&gt;0,"tied","standalone"),"")</f>
        <v/>
      </c>
    </row>
    <row r="2903" spans="1:14">
      <c r="A2903" s="6">
        <v>2024</v>
      </c>
      <c r="B2903" s="6">
        <v>2</v>
      </c>
      <c r="C2903" s="6" t="s">
        <v>61</v>
      </c>
      <c r="D2903" s="6" t="s">
        <v>824</v>
      </c>
      <c r="E2903" s="6" t="s">
        <v>825</v>
      </c>
      <c r="F2903" s="6" t="str">
        <f>IF($M2903="PADD I","PADD 1",IF($M2903="PADD II","PADD 2",IF($M2903="PADD III","PADD 3",IF($M2903="PADD IV","PADD 4",IF($M2903="PADD V","PADD 5","")))))</f>
        <v>PADD 1</v>
      </c>
      <c r="G2903" s="6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6" t="s">
        <v>426</v>
      </c>
      <c r="I2903" s="6" t="s">
        <v>106</v>
      </c>
      <c r="J2903" s="6" t="s">
        <v>394</v>
      </c>
      <c r="K2903" s="10">
        <v>44</v>
      </c>
      <c r="L2903" s="10">
        <v>80</v>
      </c>
      <c r="M2903" s="6" t="s">
        <v>463</v>
      </c>
      <c r="N2903" s="6" t="str">
        <f>IF(OR($G2903="FCC",$G2903="Hydrocracker",$G2903="Reformer"),IF(COUNTIFS($D:$D,$D2903,$A:$A,$A2903,$B:$B,$B2903,$G:$G,"CDU",$J:$J,"PLANNED")&gt;0,"tied","standalone"),"")</f>
        <v>standalone</v>
      </c>
    </row>
    <row r="2904" spans="1:14">
      <c r="A2904" s="6">
        <v>2024</v>
      </c>
      <c r="B2904" s="6">
        <v>2</v>
      </c>
      <c r="C2904" s="6" t="s">
        <v>61</v>
      </c>
      <c r="D2904" s="6" t="s">
        <v>383</v>
      </c>
      <c r="E2904" s="6" t="s">
        <v>602</v>
      </c>
      <c r="F2904" s="6" t="str">
        <f>IF($M2904="PADD I","PADD 1",IF($M2904="PADD II","PADD 2",IF($M2904="PADD III","PADD 3",IF($M2904="PADD IV","PADD 4",IF($M2904="PADD V","PADD 5","")))))</f>
        <v>PADD 3</v>
      </c>
      <c r="G2904" s="6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6" t="s">
        <v>39</v>
      </c>
      <c r="I2904" s="6" t="s">
        <v>138</v>
      </c>
      <c r="J2904" s="6" t="s">
        <v>394</v>
      </c>
      <c r="K2904" s="10">
        <v>44</v>
      </c>
      <c r="L2904" s="10">
        <v>80</v>
      </c>
      <c r="M2904" s="6" t="s">
        <v>421</v>
      </c>
      <c r="N2904" s="6">
        <f>IF(OR($G2904="FCC",$G2904="Hydrocracker",$G2904="Reformer"),IF(COUNTIFS($D:$D,$D2904,$A:$A,$A2904,$B:$B,$B2904,$G:$G,"CDU",$J:$J,"PLANNED")&gt;0,"tied","standalone"),"")</f>
        <v/>
      </c>
    </row>
    <row r="2905" spans="1:14">
      <c r="A2905" s="6">
        <v>2024</v>
      </c>
      <c r="B2905" s="6">
        <v>2</v>
      </c>
      <c r="C2905" s="6" t="s">
        <v>61</v>
      </c>
      <c r="D2905" s="6" t="s">
        <v>576</v>
      </c>
      <c r="E2905" s="6" t="s">
        <v>455</v>
      </c>
      <c r="F2905" s="6" t="str">
        <f>IF($M2905="PADD I","PADD 1",IF($M2905="PADD II","PADD 2",IF($M2905="PADD III","PADD 3",IF($M2905="PADD IV","PADD 4",IF($M2905="PADD V","PADD 5","")))))</f>
        <v>PADD 3</v>
      </c>
      <c r="G2905" s="6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6" t="s">
        <v>44</v>
      </c>
      <c r="I2905" s="6" t="s">
        <v>1139</v>
      </c>
      <c r="J2905" s="6" t="s">
        <v>398</v>
      </c>
      <c r="K2905" s="10">
        <v>43</v>
      </c>
      <c r="L2905" s="10">
        <v>43</v>
      </c>
      <c r="M2905" s="6" t="s">
        <v>421</v>
      </c>
      <c r="N2905" s="6">
        <f>IF(OR($G2905="FCC",$G2905="Hydrocracker",$G2905="Reformer"),IF(COUNTIFS($D:$D,$D2905,$A:$A,$A2905,$B:$B,$B2905,$G:$G,"CDU",$J:$J,"PLANNED")&gt;0,"tied","standalone"),"")</f>
        <v/>
      </c>
    </row>
    <row r="2906" spans="1:14">
      <c r="A2906" s="6">
        <v>2024</v>
      </c>
      <c r="B2906" s="6">
        <v>2</v>
      </c>
      <c r="C2906" s="6" t="s">
        <v>61</v>
      </c>
      <c r="D2906" s="6" t="s">
        <v>581</v>
      </c>
      <c r="E2906" s="6" t="s">
        <v>582</v>
      </c>
      <c r="F2906" s="6" t="str">
        <f>IF($M2906="PADD I","PADD 1",IF($M2906="PADD II","PADD 2",IF($M2906="PADD III","PADD 3",IF($M2906="PADD IV","PADD 4",IF($M2906="PADD V","PADD 5","")))))</f>
        <v>PADD 5</v>
      </c>
      <c r="G2906" s="6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6" t="s">
        <v>39</v>
      </c>
      <c r="I2906" s="6" t="s">
        <v>82</v>
      </c>
      <c r="J2906" s="6" t="s">
        <v>394</v>
      </c>
      <c r="K2906" s="10">
        <v>42.625</v>
      </c>
      <c r="L2906" s="10">
        <v>77.5</v>
      </c>
      <c r="M2906" s="6" t="s">
        <v>436</v>
      </c>
      <c r="N2906" s="6">
        <f>IF(OR($G2906="FCC",$G2906="Hydrocracker",$G2906="Reformer"),IF(COUNTIFS($D:$D,$D2906,$A:$A,$A2906,$B:$B,$B2906,$G:$G,"CDU",$J:$J,"PLANNED")&gt;0,"tied","standalone"),"")</f>
        <v/>
      </c>
    </row>
    <row r="2907" spans="1:14">
      <c r="A2907" s="6">
        <v>2024</v>
      </c>
      <c r="B2907" s="6">
        <v>2</v>
      </c>
      <c r="C2907" s="6" t="s">
        <v>61</v>
      </c>
      <c r="D2907" s="6" t="s">
        <v>382</v>
      </c>
      <c r="E2907" s="6" t="s">
        <v>431</v>
      </c>
      <c r="F2907" s="6" t="str">
        <f>IF($M2907="PADD I","PADD 1",IF($M2907="PADD II","PADD 2",IF($M2907="PADD III","PADD 3",IF($M2907="PADD IV","PADD 4",IF($M2907="PADD V","PADD 5","")))))</f>
        <v>PADD 3</v>
      </c>
      <c r="G2907" s="6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6" t="s">
        <v>471</v>
      </c>
      <c r="I2907" s="6" t="s">
        <v>1092</v>
      </c>
      <c r="J2907" s="6" t="s">
        <v>398</v>
      </c>
      <c r="K2907" s="10">
        <v>41.25</v>
      </c>
      <c r="L2907" s="10">
        <v>75</v>
      </c>
      <c r="M2907" s="6" t="s">
        <v>421</v>
      </c>
      <c r="N2907" s="6" t="str">
        <f>IF(OR($G2907="FCC",$G2907="Hydrocracker",$G2907="Reformer"),IF(COUNTIFS($D:$D,$D2907,$A:$A,$A2907,$B:$B,$B2907,$G:$G,"CDU",$J:$J,"PLANNED")&gt;0,"tied","standalone"),"")</f>
        <v>standalone</v>
      </c>
    </row>
    <row r="2908" spans="1:14">
      <c r="A2908" s="6">
        <v>2024</v>
      </c>
      <c r="B2908" s="6">
        <v>2</v>
      </c>
      <c r="C2908" s="6" t="s">
        <v>61</v>
      </c>
      <c r="D2908" s="6" t="s">
        <v>592</v>
      </c>
      <c r="E2908" s="6" t="s">
        <v>593</v>
      </c>
      <c r="F2908" s="6" t="str">
        <f>IF($M2908="PADD I","PADD 1",IF($M2908="PADD II","PADD 2",IF($M2908="PADD III","PADD 3",IF($M2908="PADD IV","PADD 4",IF($M2908="PADD V","PADD 5","")))))</f>
        <v>PADD 2</v>
      </c>
      <c r="G2908" s="6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6" t="s">
        <v>44</v>
      </c>
      <c r="I2908" s="6" t="s">
        <v>965</v>
      </c>
      <c r="J2908" s="6" t="s">
        <v>394</v>
      </c>
      <c r="K2908" s="10">
        <v>40</v>
      </c>
      <c r="L2908" s="10">
        <v>40</v>
      </c>
      <c r="M2908" s="6" t="s">
        <v>425</v>
      </c>
      <c r="N2908" s="6">
        <f>IF(OR($G2908="FCC",$G2908="Hydrocracker",$G2908="Reformer"),IF(COUNTIFS($D:$D,$D2908,$A:$A,$A2908,$B:$B,$B2908,$G:$G,"CDU",$J:$J,"PLANNED")&gt;0,"tied","standalone"),"")</f>
        <v/>
      </c>
    </row>
    <row r="2909" spans="1:14">
      <c r="A2909" s="6">
        <v>2024</v>
      </c>
      <c r="B2909" s="6">
        <v>2</v>
      </c>
      <c r="C2909" s="6" t="s">
        <v>61</v>
      </c>
      <c r="D2909" s="6" t="s">
        <v>458</v>
      </c>
      <c r="E2909" s="6" t="s">
        <v>459</v>
      </c>
      <c r="F2909" s="6" t="str">
        <f>IF($M2909="PADD I","PADD 1",IF($M2909="PADD II","PADD 2",IF($M2909="PADD III","PADD 3",IF($M2909="PADD IV","PADD 4",IF($M2909="PADD V","PADD 5","")))))</f>
        <v>PADD 3</v>
      </c>
      <c r="G2909" s="6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6" t="s">
        <v>39</v>
      </c>
      <c r="I2909" s="6" t="s">
        <v>460</v>
      </c>
      <c r="J2909" s="6" t="s">
        <v>394</v>
      </c>
      <c r="K2909" s="10">
        <v>38.4</v>
      </c>
      <c r="L2909" s="10">
        <v>80</v>
      </c>
      <c r="M2909" s="6" t="s">
        <v>421</v>
      </c>
      <c r="N2909" s="6">
        <f>IF(OR($G2909="FCC",$G2909="Hydrocracker",$G2909="Reformer"),IF(COUNTIFS($D:$D,$D2909,$A:$A,$A2909,$B:$B,$B2909,$G:$G,"CDU",$J:$J,"PLANNED")&gt;0,"tied","standalone"),"")</f>
        <v/>
      </c>
    </row>
    <row r="2910" spans="1:14">
      <c r="A2910" s="6">
        <v>2024</v>
      </c>
      <c r="B2910" s="6">
        <v>2</v>
      </c>
      <c r="C2910" s="6" t="s">
        <v>61</v>
      </c>
      <c r="D2910" s="6" t="s">
        <v>465</v>
      </c>
      <c r="E2910" s="6" t="s">
        <v>466</v>
      </c>
      <c r="F2910" s="6" t="str">
        <f>IF($M2910="PADD I","PADD 1",IF($M2910="PADD II","PADD 2",IF($M2910="PADD III","PADD 3",IF($M2910="PADD IV","PADD 4",IF($M2910="PADD V","PADD 5","")))))</f>
        <v>PADD 3</v>
      </c>
      <c r="G2910" s="6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6" t="s">
        <v>44</v>
      </c>
      <c r="I2910" s="6" t="s">
        <v>1145</v>
      </c>
      <c r="J2910" s="6" t="s">
        <v>398</v>
      </c>
      <c r="K2910" s="10">
        <v>38</v>
      </c>
      <c r="L2910" s="10">
        <v>38</v>
      </c>
      <c r="M2910" s="6" t="s">
        <v>421</v>
      </c>
      <c r="N2910" s="6">
        <f>IF(OR($G2910="FCC",$G2910="Hydrocracker",$G2910="Reformer"),IF(COUNTIFS($D:$D,$D2910,$A:$A,$A2910,$B:$B,$B2910,$G:$G,"CDU",$J:$J,"PLANNED")&gt;0,"tied","standalone"),"")</f>
        <v/>
      </c>
    </row>
    <row r="2911" spans="1:14">
      <c r="A2911" s="6">
        <v>2024</v>
      </c>
      <c r="B2911" s="6">
        <v>2</v>
      </c>
      <c r="C2911" s="6" t="s">
        <v>61</v>
      </c>
      <c r="D2911" s="6" t="s">
        <v>576</v>
      </c>
      <c r="E2911" s="6" t="s">
        <v>455</v>
      </c>
      <c r="F2911" s="6" t="str">
        <f>IF($M2911="PADD I","PADD 1",IF($M2911="PADD II","PADD 2",IF($M2911="PADD III","PADD 3",IF($M2911="PADD IV","PADD 4",IF($M2911="PADD V","PADD 5","")))))</f>
        <v>PADD 3</v>
      </c>
      <c r="G2911" s="6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6" t="s">
        <v>494</v>
      </c>
      <c r="I2911" s="6" t="s">
        <v>400</v>
      </c>
      <c r="J2911" s="6" t="s">
        <v>394</v>
      </c>
      <c r="K2911" s="10">
        <v>37.62</v>
      </c>
      <c r="L2911" s="10">
        <v>57</v>
      </c>
      <c r="M2911" s="6" t="s">
        <v>421</v>
      </c>
      <c r="N2911" s="6" t="str">
        <f>IF(OR($G2911="FCC",$G2911="Hydrocracker",$G2911="Reformer"),IF(COUNTIFS($D:$D,$D2911,$A:$A,$A2911,$B:$B,$B2911,$G:$G,"CDU",$J:$J,"PLANNED")&gt;0,"tied","standalone"),"")</f>
        <v>tied</v>
      </c>
    </row>
    <row r="2912" spans="1:14">
      <c r="A2912" s="6">
        <v>2024</v>
      </c>
      <c r="B2912" s="6">
        <v>2</v>
      </c>
      <c r="C2912" s="6" t="s">
        <v>61</v>
      </c>
      <c r="D2912" s="6" t="s">
        <v>857</v>
      </c>
      <c r="E2912" s="6" t="s">
        <v>829</v>
      </c>
      <c r="F2912" s="6" t="str">
        <f>IF($M2912="PADD I","PADD 1",IF($M2912="PADD II","PADD 2",IF($M2912="PADD III","PADD 3",IF($M2912="PADD IV","PADD 4",IF($M2912="PADD V","PADD 5","")))))</f>
        <v>PADD 3</v>
      </c>
      <c r="G2912" s="6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6" t="s">
        <v>428</v>
      </c>
      <c r="I2912" s="6" t="s">
        <v>481</v>
      </c>
      <c r="J2912" s="6" t="s">
        <v>398</v>
      </c>
      <c r="K2912" s="10">
        <v>36</v>
      </c>
      <c r="L2912" s="10">
        <v>36</v>
      </c>
      <c r="M2912" s="6" t="s">
        <v>421</v>
      </c>
      <c r="N2912" s="6">
        <f>IF(OR($G2912="FCC",$G2912="Hydrocracker",$G2912="Reformer"),IF(COUNTIFS($D:$D,$D2912,$A:$A,$A2912,$B:$B,$B2912,$G:$G,"CDU",$J:$J,"PLANNED")&gt;0,"tied","standalone"),"")</f>
        <v/>
      </c>
    </row>
    <row r="2913" spans="1:14">
      <c r="A2913" s="6">
        <v>2024</v>
      </c>
      <c r="B2913" s="6">
        <v>2</v>
      </c>
      <c r="C2913" s="6" t="s">
        <v>61</v>
      </c>
      <c r="D2913" s="6" t="s">
        <v>592</v>
      </c>
      <c r="E2913" s="6" t="s">
        <v>593</v>
      </c>
      <c r="F2913" s="6" t="str">
        <f>IF($M2913="PADD I","PADD 1",IF($M2913="PADD II","PADD 2",IF($M2913="PADD III","PADD 3",IF($M2913="PADD IV","PADD 4",IF($M2913="PADD V","PADD 5","")))))</f>
        <v>PADD 2</v>
      </c>
      <c r="G2913" s="6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6" t="s">
        <v>44</v>
      </c>
      <c r="I2913" s="6" t="s">
        <v>1056</v>
      </c>
      <c r="J2913" s="6" t="s">
        <v>394</v>
      </c>
      <c r="K2913" s="10">
        <v>36</v>
      </c>
      <c r="L2913" s="10">
        <v>36</v>
      </c>
      <c r="M2913" s="6" t="s">
        <v>425</v>
      </c>
      <c r="N2913" s="6">
        <f>IF(OR($G2913="FCC",$G2913="Hydrocracker",$G2913="Reformer"),IF(COUNTIFS($D:$D,$D2913,$A:$A,$A2913,$B:$B,$B2913,$G:$G,"CDU",$J:$J,"PLANNED")&gt;0,"tied","standalone"),"")</f>
        <v/>
      </c>
    </row>
    <row r="2914" spans="1:14">
      <c r="A2914" s="6">
        <v>2024</v>
      </c>
      <c r="B2914" s="6">
        <v>2</v>
      </c>
      <c r="C2914" s="6" t="s">
        <v>61</v>
      </c>
      <c r="D2914" s="6" t="s">
        <v>515</v>
      </c>
      <c r="E2914" s="6" t="s">
        <v>419</v>
      </c>
      <c r="F2914" s="6" t="str">
        <f>IF($M2914="PADD I","PADD 1",IF($M2914="PADD II","PADD 2",IF($M2914="PADD III","PADD 3",IF($M2914="PADD IV","PADD 4",IF($M2914="PADD V","PADD 5","")))))</f>
        <v>PADD 5</v>
      </c>
      <c r="G2914" s="6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6" t="s">
        <v>44</v>
      </c>
      <c r="I2914" s="6" t="s">
        <v>1166</v>
      </c>
      <c r="J2914" s="6" t="s">
        <v>398</v>
      </c>
      <c r="K2914" s="10">
        <v>35.88</v>
      </c>
      <c r="L2914" s="10">
        <v>52</v>
      </c>
      <c r="M2914" s="6" t="s">
        <v>436</v>
      </c>
      <c r="N2914" s="6">
        <f>IF(OR($G2914="FCC",$G2914="Hydrocracker",$G2914="Reformer"),IF(COUNTIFS($D:$D,$D2914,$A:$A,$A2914,$B:$B,$B2914,$G:$G,"CDU",$J:$J,"PLANNED")&gt;0,"tied","standalone"),"")</f>
        <v/>
      </c>
    </row>
    <row r="2915" spans="1:14">
      <c r="A2915" s="6">
        <v>2024</v>
      </c>
      <c r="B2915" s="6">
        <v>2</v>
      </c>
      <c r="C2915" s="6" t="s">
        <v>61</v>
      </c>
      <c r="D2915" s="6" t="s">
        <v>479</v>
      </c>
      <c r="E2915" s="6" t="s">
        <v>438</v>
      </c>
      <c r="F2915" s="6" t="str">
        <f>IF($M2915="PADD I","PADD 1",IF($M2915="PADD II","PADD 2",IF($M2915="PADD III","PADD 3",IF($M2915="PADD IV","PADD 4",IF($M2915="PADD V","PADD 5","")))))</f>
        <v>PADD 4</v>
      </c>
      <c r="G2915" s="6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6" t="s">
        <v>39</v>
      </c>
      <c r="I2915" s="6" t="s">
        <v>82</v>
      </c>
      <c r="J2915" s="6" t="s">
        <v>398</v>
      </c>
      <c r="K2915" s="10">
        <v>35.2</v>
      </c>
      <c r="L2915" s="10">
        <v>64</v>
      </c>
      <c r="M2915" s="6" t="s">
        <v>480</v>
      </c>
      <c r="N2915" s="6">
        <f>IF(OR($G2915="FCC",$G2915="Hydrocracker",$G2915="Reformer"),IF(COUNTIFS($D:$D,$D2915,$A:$A,$A2915,$B:$B,$B2915,$G:$G,"CDU",$J:$J,"PLANNED")&gt;0,"tied","standalone"),"")</f>
        <v/>
      </c>
    </row>
    <row r="2916" spans="1:14">
      <c r="A2916" s="6">
        <v>2024</v>
      </c>
      <c r="B2916" s="6">
        <v>2</v>
      </c>
      <c r="C2916" s="6" t="s">
        <v>61</v>
      </c>
      <c r="D2916" s="6" t="s">
        <v>384</v>
      </c>
      <c r="E2916" s="6" t="s">
        <v>419</v>
      </c>
      <c r="F2916" s="6" t="str">
        <f>IF($M2916="PADD I","PADD 1",IF($M2916="PADD II","PADD 2",IF($M2916="PADD III","PADD 3",IF($M2916="PADD IV","PADD 4",IF($M2916="PADD V","PADD 5","")))))</f>
        <v>PADD 3</v>
      </c>
      <c r="G2916" s="6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6" t="s">
        <v>471</v>
      </c>
      <c r="I2916" s="6" t="s">
        <v>1149</v>
      </c>
      <c r="J2916" s="6" t="s">
        <v>398</v>
      </c>
      <c r="K2916" s="10">
        <v>35</v>
      </c>
      <c r="L2916" s="10">
        <v>35</v>
      </c>
      <c r="M2916" s="6" t="s">
        <v>421</v>
      </c>
      <c r="N2916" s="6" t="str">
        <f>IF(OR($G2916="FCC",$G2916="Hydrocracker",$G2916="Reformer"),IF(COUNTIFS($D:$D,$D2916,$A:$A,$A2916,$B:$B,$B2916,$G:$G,"CDU",$J:$J,"PLANNED")&gt;0,"tied","standalone"),"")</f>
        <v>standalone</v>
      </c>
    </row>
    <row r="2917" spans="1:14">
      <c r="A2917" s="6">
        <v>2024</v>
      </c>
      <c r="B2917" s="6">
        <v>2</v>
      </c>
      <c r="C2917" s="6" t="s">
        <v>61</v>
      </c>
      <c r="D2917" s="6" t="s">
        <v>496</v>
      </c>
      <c r="E2917" s="6" t="s">
        <v>441</v>
      </c>
      <c r="F2917" s="6" t="str">
        <f>IF($M2917="PADD I","PADD 1",IF($M2917="PADD II","PADD 2",IF($M2917="PADD III","PADD 3",IF($M2917="PADD IV","PADD 4",IF($M2917="PADD V","PADD 5","")))))</f>
        <v>PADD 3</v>
      </c>
      <c r="G2917" s="6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6" t="s">
        <v>44</v>
      </c>
      <c r="I2917" s="6" t="s">
        <v>497</v>
      </c>
      <c r="J2917" s="6" t="s">
        <v>398</v>
      </c>
      <c r="K2917" s="10">
        <v>35</v>
      </c>
      <c r="L2917" s="10">
        <v>35</v>
      </c>
      <c r="M2917" s="6" t="s">
        <v>421</v>
      </c>
      <c r="N2917" s="6">
        <f>IF(OR($G2917="FCC",$G2917="Hydrocracker",$G2917="Reformer"),IF(COUNTIFS($D:$D,$D2917,$A:$A,$A2917,$B:$B,$B2917,$G:$G,"CDU",$J:$J,"PLANNED")&gt;0,"tied","standalone"),"")</f>
        <v/>
      </c>
    </row>
    <row r="2918" spans="1:14">
      <c r="A2918" s="6">
        <v>2024</v>
      </c>
      <c r="B2918" s="6">
        <v>2</v>
      </c>
      <c r="C2918" s="6" t="s">
        <v>61</v>
      </c>
      <c r="D2918" s="6" t="s">
        <v>678</v>
      </c>
      <c r="E2918" s="6" t="s">
        <v>438</v>
      </c>
      <c r="F2918" s="6" t="str">
        <f>IF($M2918="PADD I","PADD 1",IF($M2918="PADD II","PADD 2",IF($M2918="PADD III","PADD 3",IF($M2918="PADD IV","PADD 4",IF($M2918="PADD V","PADD 5","")))))</f>
        <v>PADD 3</v>
      </c>
      <c r="G2918" s="6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6" t="s">
        <v>39</v>
      </c>
      <c r="I2918" s="6" t="s">
        <v>1103</v>
      </c>
      <c r="J2918" s="6" t="s">
        <v>398</v>
      </c>
      <c r="K2918" s="10">
        <v>35</v>
      </c>
      <c r="L2918" s="10">
        <v>35</v>
      </c>
      <c r="M2918" s="6" t="s">
        <v>421</v>
      </c>
      <c r="N2918" s="6">
        <f>IF(OR($G2918="FCC",$G2918="Hydrocracker",$G2918="Reformer"),IF(COUNTIFS($D:$D,$D2918,$A:$A,$A2918,$B:$B,$B2918,$G:$G,"CDU",$J:$J,"PLANNED")&gt;0,"tied","standalone"),"")</f>
        <v/>
      </c>
    </row>
    <row r="2919" spans="1:14">
      <c r="A2919" s="6">
        <v>2024</v>
      </c>
      <c r="B2919" s="6">
        <v>2</v>
      </c>
      <c r="C2919" s="6" t="s">
        <v>61</v>
      </c>
      <c r="D2919" s="6" t="s">
        <v>498</v>
      </c>
      <c r="E2919" s="6" t="s">
        <v>441</v>
      </c>
      <c r="F2919" s="6" t="str">
        <f>IF($M2919="PADD I","PADD 1",IF($M2919="PADD II","PADD 2",IF($M2919="PADD III","PADD 3",IF($M2919="PADD IV","PADD 4",IF($M2919="PADD V","PADD 5","")))))</f>
        <v>PADD 3</v>
      </c>
      <c r="G2919" s="6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6" t="s">
        <v>44</v>
      </c>
      <c r="I2919" s="6" t="s">
        <v>499</v>
      </c>
      <c r="J2919" s="6" t="s">
        <v>394</v>
      </c>
      <c r="K2919" s="10">
        <v>35</v>
      </c>
      <c r="L2919" s="10">
        <v>35</v>
      </c>
      <c r="M2919" s="6" t="s">
        <v>421</v>
      </c>
      <c r="N2919" s="6">
        <f>IF(OR($G2919="FCC",$G2919="Hydrocracker",$G2919="Reformer"),IF(COUNTIFS($D:$D,$D2919,$A:$A,$A2919,$B:$B,$B2919,$G:$G,"CDU",$J:$J,"PLANNED")&gt;0,"tied","standalone"),"")</f>
        <v/>
      </c>
    </row>
    <row r="2920" spans="1:14">
      <c r="A2920" s="6">
        <v>2024</v>
      </c>
      <c r="B2920" s="6">
        <v>2</v>
      </c>
      <c r="C2920" s="6" t="s">
        <v>61</v>
      </c>
      <c r="D2920" s="6" t="s">
        <v>534</v>
      </c>
      <c r="E2920" s="6" t="s">
        <v>459</v>
      </c>
      <c r="F2920" s="6" t="str">
        <f>IF($M2920="PADD I","PADD 1",IF($M2920="PADD II","PADD 2",IF($M2920="PADD III","PADD 3",IF($M2920="PADD IV","PADD 4",IF($M2920="PADD V","PADD 5","")))))</f>
        <v>PADD 3</v>
      </c>
      <c r="G2920" s="6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6" t="s">
        <v>44</v>
      </c>
      <c r="I2920" s="6" t="s">
        <v>535</v>
      </c>
      <c r="J2920" s="6" t="s">
        <v>394</v>
      </c>
      <c r="K2920" s="10">
        <v>34.32</v>
      </c>
      <c r="L2920" s="10">
        <v>66</v>
      </c>
      <c r="M2920" s="6" t="s">
        <v>421</v>
      </c>
      <c r="N2920" s="6">
        <f>IF(OR($G2920="FCC",$G2920="Hydrocracker",$G2920="Reformer"),IF(COUNTIFS($D:$D,$D2920,$A:$A,$A2920,$B:$B,$B2920,$G:$G,"CDU",$J:$J,"PLANNED")&gt;0,"tied","standalone"),"")</f>
        <v/>
      </c>
    </row>
    <row r="2921" spans="1:14">
      <c r="A2921" s="6">
        <v>2024</v>
      </c>
      <c r="B2921" s="6">
        <v>2</v>
      </c>
      <c r="C2921" s="6" t="s">
        <v>61</v>
      </c>
      <c r="D2921" s="6" t="s">
        <v>458</v>
      </c>
      <c r="E2921" s="6" t="s">
        <v>459</v>
      </c>
      <c r="F2921" s="6" t="str">
        <f>IF($M2921="PADD I","PADD 1",IF($M2921="PADD II","PADD 2",IF($M2921="PADD III","PADD 3",IF($M2921="PADD IV","PADD 4",IF($M2921="PADD V","PADD 5","")))))</f>
        <v>PADD 3</v>
      </c>
      <c r="G2921" s="6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6" t="s">
        <v>426</v>
      </c>
      <c r="I2921" s="6" t="s">
        <v>476</v>
      </c>
      <c r="J2921" s="6" t="s">
        <v>394</v>
      </c>
      <c r="K2921" s="10">
        <v>34.2</v>
      </c>
      <c r="L2921" s="10">
        <v>76</v>
      </c>
      <c r="M2921" s="6" t="s">
        <v>421</v>
      </c>
      <c r="N2921" s="6" t="str">
        <f>IF(OR($G2921="FCC",$G2921="Hydrocracker",$G2921="Reformer"),IF(COUNTIFS($D:$D,$D2921,$A:$A,$A2921,$B:$B,$B2921,$G:$G,"CDU",$J:$J,"PLANNED")&gt;0,"tied","standalone"),"")</f>
        <v>standalone</v>
      </c>
    </row>
    <row r="2922" spans="1:14">
      <c r="A2922" s="6">
        <v>2024</v>
      </c>
      <c r="B2922" s="6">
        <v>2</v>
      </c>
      <c r="C2922" s="6" t="s">
        <v>61</v>
      </c>
      <c r="D2922" s="6" t="s">
        <v>465</v>
      </c>
      <c r="E2922" s="6" t="s">
        <v>466</v>
      </c>
      <c r="F2922" s="6" t="str">
        <f>IF($M2922="PADD I","PADD 1",IF($M2922="PADD II","PADD 2",IF($M2922="PADD III","PADD 3",IF($M2922="PADD IV","PADD 4",IF($M2922="PADD V","PADD 5","")))))</f>
        <v>PADD 3</v>
      </c>
      <c r="G2922" s="6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6" t="s">
        <v>485</v>
      </c>
      <c r="I2922" s="6" t="s">
        <v>503</v>
      </c>
      <c r="J2922" s="6" t="s">
        <v>394</v>
      </c>
      <c r="K2922" s="10">
        <v>34</v>
      </c>
      <c r="L2922" s="10">
        <v>34</v>
      </c>
      <c r="M2922" s="6" t="s">
        <v>421</v>
      </c>
      <c r="N2922" s="6">
        <f>IF(OR($G2922="FCC",$G2922="Hydrocracker",$G2922="Reformer"),IF(COUNTIFS($D:$D,$D2922,$A:$A,$A2922,$B:$B,$B2922,$G:$G,"CDU",$J:$J,"PLANNED")&gt;0,"tied","standalone"),"")</f>
        <v/>
      </c>
    </row>
    <row r="2923" spans="1:14">
      <c r="A2923" s="6">
        <v>2024</v>
      </c>
      <c r="B2923" s="6">
        <v>2</v>
      </c>
      <c r="C2923" s="6" t="s">
        <v>61</v>
      </c>
      <c r="D2923" s="6" t="s">
        <v>465</v>
      </c>
      <c r="E2923" s="6" t="s">
        <v>466</v>
      </c>
      <c r="F2923" s="6" t="str">
        <f>IF($M2923="PADD I","PADD 1",IF($M2923="PADD II","PADD 2",IF($M2923="PADD III","PADD 3",IF($M2923="PADD IV","PADD 4",IF($M2923="PADD V","PADD 5","")))))</f>
        <v>PADD 3</v>
      </c>
      <c r="G2923" s="6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6" t="s">
        <v>485</v>
      </c>
      <c r="I2923" s="6" t="s">
        <v>503</v>
      </c>
      <c r="J2923" s="6" t="s">
        <v>394</v>
      </c>
      <c r="K2923" s="10">
        <v>34</v>
      </c>
      <c r="L2923" s="10">
        <v>34</v>
      </c>
      <c r="M2923" s="6" t="s">
        <v>421</v>
      </c>
      <c r="N2923" s="6">
        <f>IF(OR($G2923="FCC",$G2923="Hydrocracker",$G2923="Reformer"),IF(COUNTIFS($D:$D,$D2923,$A:$A,$A2923,$B:$B,$B2923,$G:$G,"CDU",$J:$J,"PLANNED")&gt;0,"tied","standalone"),"")</f>
        <v/>
      </c>
    </row>
    <row r="2924" spans="1:14">
      <c r="A2924" s="6">
        <v>2024</v>
      </c>
      <c r="B2924" s="6">
        <v>2</v>
      </c>
      <c r="C2924" s="6" t="s">
        <v>61</v>
      </c>
      <c r="D2924" s="6" t="s">
        <v>440</v>
      </c>
      <c r="E2924" s="6" t="s">
        <v>441</v>
      </c>
      <c r="F2924" s="6" t="str">
        <f>IF($M2924="PADD I","PADD 1",IF($M2924="PADD II","PADD 2",IF($M2924="PADD III","PADD 3",IF($M2924="PADD IV","PADD 4",IF($M2924="PADD V","PADD 5","")))))</f>
        <v>PADD 3</v>
      </c>
      <c r="G2924" s="6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6" t="s">
        <v>471</v>
      </c>
      <c r="I2924" s="6" t="s">
        <v>1167</v>
      </c>
      <c r="J2924" s="6" t="s">
        <v>394</v>
      </c>
      <c r="K2924" s="10">
        <v>32.45</v>
      </c>
      <c r="L2924" s="10">
        <v>55</v>
      </c>
      <c r="M2924" s="6" t="s">
        <v>421</v>
      </c>
      <c r="N2924" s="6" t="str">
        <f>IF(OR($G2924="FCC",$G2924="Hydrocracker",$G2924="Reformer"),IF(COUNTIFS($D:$D,$D2924,$A:$A,$A2924,$B:$B,$B2924,$G:$G,"CDU",$J:$J,"PLANNED")&gt;0,"tied","standalone"),"")</f>
        <v>standalone</v>
      </c>
    </row>
    <row r="2925" spans="1:14">
      <c r="A2925" s="6">
        <v>2024</v>
      </c>
      <c r="B2925" s="6">
        <v>2</v>
      </c>
      <c r="C2925" s="6" t="s">
        <v>61</v>
      </c>
      <c r="D2925" s="6" t="s">
        <v>507</v>
      </c>
      <c r="E2925" s="6" t="s">
        <v>438</v>
      </c>
      <c r="F2925" s="6" t="str">
        <f>IF($M2925="PADD I","PADD 1",IF($M2925="PADD II","PADD 2",IF($M2925="PADD III","PADD 3",IF($M2925="PADD IV","PADD 4",IF($M2925="PADD V","PADD 5","")))))</f>
        <v>PADD 5</v>
      </c>
      <c r="G2925" s="6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6" t="s">
        <v>428</v>
      </c>
      <c r="I2925" s="6" t="s">
        <v>635</v>
      </c>
      <c r="J2925" s="6" t="s">
        <v>398</v>
      </c>
      <c r="K2925" s="10">
        <v>32.24</v>
      </c>
      <c r="L2925" s="10">
        <v>62</v>
      </c>
      <c r="M2925" s="6" t="s">
        <v>436</v>
      </c>
      <c r="N2925" s="6">
        <f>IF(OR($G2925="FCC",$G2925="Hydrocracker",$G2925="Reformer"),IF(COUNTIFS($D:$D,$D2925,$A:$A,$A2925,$B:$B,$B2925,$G:$G,"CDU",$J:$J,"PLANNED")&gt;0,"tied","standalone"),"")</f>
        <v/>
      </c>
    </row>
    <row r="2926" spans="1:14">
      <c r="A2926" s="6">
        <v>2024</v>
      </c>
      <c r="B2926" s="6">
        <v>2</v>
      </c>
      <c r="C2926" s="6" t="s">
        <v>61</v>
      </c>
      <c r="D2926" s="6" t="s">
        <v>1035</v>
      </c>
      <c r="E2926" s="6" t="s">
        <v>593</v>
      </c>
      <c r="F2926" s="6" t="str">
        <f>IF($M2926="PADD I","PADD 1",IF($M2926="PADD II","PADD 2",IF($M2926="PADD III","PADD 3",IF($M2926="PADD IV","PADD 4",IF($M2926="PADD V","PADD 5","")))))</f>
        <v>PADD 2</v>
      </c>
      <c r="G2926" s="6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6" t="s">
        <v>428</v>
      </c>
      <c r="I2926" s="6" t="s">
        <v>836</v>
      </c>
      <c r="J2926" s="6" t="s">
        <v>394</v>
      </c>
      <c r="K2926" s="10">
        <v>31.3716</v>
      </c>
      <c r="L2926" s="10">
        <v>60.33</v>
      </c>
      <c r="M2926" s="6" t="s">
        <v>425</v>
      </c>
      <c r="N2926" s="6">
        <f>IF(OR($G2926="FCC",$G2926="Hydrocracker",$G2926="Reformer"),IF(COUNTIFS($D:$D,$D2926,$A:$A,$A2926,$B:$B,$B2926,$G:$G,"CDU",$J:$J,"PLANNED")&gt;0,"tied","standalone"),"")</f>
        <v/>
      </c>
    </row>
    <row r="2927" spans="1:14">
      <c r="A2927" s="6">
        <v>2024</v>
      </c>
      <c r="B2927" s="6">
        <v>2</v>
      </c>
      <c r="C2927" s="6" t="s">
        <v>61</v>
      </c>
      <c r="D2927" s="6" t="s">
        <v>458</v>
      </c>
      <c r="E2927" s="6" t="s">
        <v>459</v>
      </c>
      <c r="F2927" s="6" t="str">
        <f>IF($M2927="PADD I","PADD 1",IF($M2927="PADD II","PADD 2",IF($M2927="PADD III","PADD 3",IF($M2927="PADD IV","PADD 4",IF($M2927="PADD V","PADD 5","")))))</f>
        <v>PADD 3</v>
      </c>
      <c r="G2927" s="6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6" t="s">
        <v>485</v>
      </c>
      <c r="I2927" s="6" t="s">
        <v>509</v>
      </c>
      <c r="J2927" s="6" t="s">
        <v>394</v>
      </c>
      <c r="K2927" s="10">
        <v>31.2</v>
      </c>
      <c r="L2927" s="10">
        <v>60</v>
      </c>
      <c r="M2927" s="6" t="s">
        <v>421</v>
      </c>
      <c r="N2927" s="6">
        <f>IF(OR($G2927="FCC",$G2927="Hydrocracker",$G2927="Reformer"),IF(COUNTIFS($D:$D,$D2927,$A:$A,$A2927,$B:$B,$B2927,$G:$G,"CDU",$J:$J,"PLANNED")&gt;0,"tied","standalone"),"")</f>
        <v/>
      </c>
    </row>
    <row r="2928" spans="1:14">
      <c r="A2928" s="6">
        <v>2024</v>
      </c>
      <c r="B2928" s="6">
        <v>2</v>
      </c>
      <c r="C2928" s="6" t="s">
        <v>61</v>
      </c>
      <c r="D2928" s="6" t="s">
        <v>382</v>
      </c>
      <c r="E2928" s="6" t="s">
        <v>431</v>
      </c>
      <c r="F2928" s="6" t="str">
        <f>IF($M2928="PADD I","PADD 1",IF($M2928="PADD II","PADD 2",IF($M2928="PADD III","PADD 3",IF($M2928="PADD IV","PADD 4",IF($M2928="PADD V","PADD 5","")))))</f>
        <v>PADD 3</v>
      </c>
      <c r="G2928" s="6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6" t="s">
        <v>471</v>
      </c>
      <c r="I2928" s="6" t="s">
        <v>1168</v>
      </c>
      <c r="J2928" s="6" t="s">
        <v>394</v>
      </c>
      <c r="K2928" s="10">
        <v>30.75</v>
      </c>
      <c r="L2928" s="10">
        <v>75</v>
      </c>
      <c r="M2928" s="6" t="s">
        <v>421</v>
      </c>
      <c r="N2928" s="6" t="str">
        <f>IF(OR($G2928="FCC",$G2928="Hydrocracker",$G2928="Reformer"),IF(COUNTIFS($D:$D,$D2928,$A:$A,$A2928,$B:$B,$B2928,$G:$G,"CDU",$J:$J,"PLANNED")&gt;0,"tied","standalone"),"")</f>
        <v>standalone</v>
      </c>
    </row>
    <row r="2929" spans="1:14">
      <c r="A2929" s="6">
        <v>2024</v>
      </c>
      <c r="B2929" s="6">
        <v>2</v>
      </c>
      <c r="C2929" s="6" t="s">
        <v>61</v>
      </c>
      <c r="D2929" s="6" t="s">
        <v>678</v>
      </c>
      <c r="E2929" s="6" t="s">
        <v>438</v>
      </c>
      <c r="F2929" s="6" t="str">
        <f>IF($M2929="PADD I","PADD 1",IF($M2929="PADD II","PADD 2",IF($M2929="PADD III","PADD 3",IF($M2929="PADD IV","PADD 4",IF($M2929="PADD V","PADD 5","")))))</f>
        <v>PADD 3</v>
      </c>
      <c r="G2929" s="6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6" t="s">
        <v>44</v>
      </c>
      <c r="I2929" s="6" t="s">
        <v>514</v>
      </c>
      <c r="J2929" s="6" t="s">
        <v>398</v>
      </c>
      <c r="K2929" s="10">
        <v>30</v>
      </c>
      <c r="L2929" s="10">
        <v>30</v>
      </c>
      <c r="M2929" s="6" t="s">
        <v>421</v>
      </c>
      <c r="N2929" s="6">
        <f>IF(OR($G2929="FCC",$G2929="Hydrocracker",$G2929="Reformer"),IF(COUNTIFS($D:$D,$D2929,$A:$A,$A2929,$B:$B,$B2929,$G:$G,"CDU",$J:$J,"PLANNED")&gt;0,"tied","standalone"),"")</f>
        <v/>
      </c>
    </row>
    <row r="2930" spans="1:14">
      <c r="A2930" s="6">
        <v>2024</v>
      </c>
      <c r="B2930" s="6">
        <v>2</v>
      </c>
      <c r="C2930" s="6" t="s">
        <v>61</v>
      </c>
      <c r="D2930" s="6" t="s">
        <v>465</v>
      </c>
      <c r="E2930" s="6" t="s">
        <v>466</v>
      </c>
      <c r="F2930" s="6" t="str">
        <f>IF($M2930="PADD I","PADD 1",IF($M2930="PADD II","PADD 2",IF($M2930="PADD III","PADD 3",IF($M2930="PADD IV","PADD 4",IF($M2930="PADD V","PADD 5","")))))</f>
        <v>PADD 3</v>
      </c>
      <c r="G2930" s="6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6" t="s">
        <v>471</v>
      </c>
      <c r="I2930" s="6" t="s">
        <v>504</v>
      </c>
      <c r="J2930" s="6" t="s">
        <v>394</v>
      </c>
      <c r="K2930" s="10">
        <v>29.26</v>
      </c>
      <c r="L2930" s="10">
        <v>53.2</v>
      </c>
      <c r="M2930" s="6" t="s">
        <v>421</v>
      </c>
      <c r="N2930" s="6" t="str">
        <f>IF(OR($G2930="FCC",$G2930="Hydrocracker",$G2930="Reformer"),IF(COUNTIFS($D:$D,$D2930,$A:$A,$A2930,$B:$B,$B2930,$G:$G,"CDU",$J:$J,"PLANNED")&gt;0,"tied","standalone"),"")</f>
        <v>tied</v>
      </c>
    </row>
    <row r="2931" spans="1:14">
      <c r="A2931" s="6">
        <v>2024</v>
      </c>
      <c r="B2931" s="6">
        <v>2</v>
      </c>
      <c r="C2931" s="6" t="s">
        <v>61</v>
      </c>
      <c r="D2931" s="6" t="s">
        <v>490</v>
      </c>
      <c r="E2931" s="6" t="s">
        <v>419</v>
      </c>
      <c r="F2931" s="6" t="str">
        <f>IF($M2931="PADD I","PADD 1",IF($M2931="PADD II","PADD 2",IF($M2931="PADD III","PADD 3",IF($M2931="PADD IV","PADD 4",IF($M2931="PADD V","PADD 5","")))))</f>
        <v>PADD 5</v>
      </c>
      <c r="G2931" s="6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6" t="s">
        <v>485</v>
      </c>
      <c r="I2931" s="6" t="s">
        <v>491</v>
      </c>
      <c r="J2931" s="6" t="s">
        <v>394</v>
      </c>
      <c r="K2931" s="10">
        <v>29.15</v>
      </c>
      <c r="L2931" s="10">
        <v>53</v>
      </c>
      <c r="M2931" s="6" t="s">
        <v>436</v>
      </c>
      <c r="N2931" s="6">
        <f>IF(OR($G2931="FCC",$G2931="Hydrocracker",$G2931="Reformer"),IF(COUNTIFS($D:$D,$D2931,$A:$A,$A2931,$B:$B,$B2931,$G:$G,"CDU",$J:$J,"PLANNED")&gt;0,"tied","standalone"),"")</f>
        <v/>
      </c>
    </row>
    <row r="2932" spans="1:14">
      <c r="A2932" s="6">
        <v>2024</v>
      </c>
      <c r="B2932" s="6">
        <v>2</v>
      </c>
      <c r="C2932" s="6" t="s">
        <v>61</v>
      </c>
      <c r="D2932" s="6" t="s">
        <v>592</v>
      </c>
      <c r="E2932" s="6" t="s">
        <v>593</v>
      </c>
      <c r="F2932" s="6" t="str">
        <f>IF($M2932="PADD I","PADD 1",IF($M2932="PADD II","PADD 2",IF($M2932="PADD III","PADD 3",IF($M2932="PADD IV","PADD 4",IF($M2932="PADD V","PADD 5","")))))</f>
        <v>PADD 2</v>
      </c>
      <c r="G2932" s="6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6" t="s">
        <v>510</v>
      </c>
      <c r="I2932" s="6" t="s">
        <v>511</v>
      </c>
      <c r="J2932" s="6" t="s">
        <v>394</v>
      </c>
      <c r="K2932" s="10">
        <v>29</v>
      </c>
      <c r="L2932" s="10">
        <v>29</v>
      </c>
      <c r="M2932" s="6" t="s">
        <v>425</v>
      </c>
      <c r="N2932" s="6">
        <f>IF(OR($G2932="FCC",$G2932="Hydrocracker",$G2932="Reformer"),IF(COUNTIFS($D:$D,$D2932,$A:$A,$A2932,$B:$B,$B2932,$G:$G,"CDU",$J:$J,"PLANNED")&gt;0,"tied","standalone"),"")</f>
        <v/>
      </c>
    </row>
    <row r="2933" spans="1:14">
      <c r="A2933" s="6">
        <v>2024</v>
      </c>
      <c r="B2933" s="6">
        <v>2</v>
      </c>
      <c r="C2933" s="6" t="s">
        <v>61</v>
      </c>
      <c r="D2933" s="6" t="s">
        <v>581</v>
      </c>
      <c r="E2933" s="6" t="s">
        <v>582</v>
      </c>
      <c r="F2933" s="6" t="str">
        <f>IF($M2933="PADD I","PADD 1",IF($M2933="PADD II","PADD 2",IF($M2933="PADD III","PADD 3",IF($M2933="PADD IV","PADD 4",IF($M2933="PADD V","PADD 5","")))))</f>
        <v>PADD 5</v>
      </c>
      <c r="G2933" s="6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6" t="s">
        <v>44</v>
      </c>
      <c r="I2933" s="6" t="s">
        <v>617</v>
      </c>
      <c r="J2933" s="6" t="s">
        <v>394</v>
      </c>
      <c r="K2933" s="10">
        <v>28.875</v>
      </c>
      <c r="L2933" s="10">
        <v>52.5</v>
      </c>
      <c r="M2933" s="6" t="s">
        <v>436</v>
      </c>
      <c r="N2933" s="6">
        <f>IF(OR($G2933="FCC",$G2933="Hydrocracker",$G2933="Reformer"),IF(COUNTIFS($D:$D,$D2933,$A:$A,$A2933,$B:$B,$B2933,$G:$G,"CDU",$J:$J,"PLANNED")&gt;0,"tied","standalone"),"")</f>
        <v/>
      </c>
    </row>
    <row r="2934" spans="1:14">
      <c r="A2934" s="6">
        <v>2024</v>
      </c>
      <c r="B2934" s="6">
        <v>2</v>
      </c>
      <c r="C2934" s="6" t="s">
        <v>61</v>
      </c>
      <c r="D2934" s="6" t="s">
        <v>613</v>
      </c>
      <c r="E2934" s="6" t="s">
        <v>446</v>
      </c>
      <c r="F2934" s="6" t="str">
        <f>IF($M2934="PADD I","PADD 1",IF($M2934="PADD II","PADD 2",IF($M2934="PADD III","PADD 3",IF($M2934="PADD IV","PADD 4",IF($M2934="PADD V","PADD 5","")))))</f>
        <v>PADD 3</v>
      </c>
      <c r="G2934" s="6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6" t="s">
        <v>44</v>
      </c>
      <c r="I2934" s="6" t="s">
        <v>614</v>
      </c>
      <c r="J2934" s="6" t="s">
        <v>394</v>
      </c>
      <c r="K2934" s="10">
        <v>28.221</v>
      </c>
      <c r="L2934" s="10">
        <v>40.9</v>
      </c>
      <c r="M2934" s="6" t="s">
        <v>421</v>
      </c>
      <c r="N2934" s="6">
        <f>IF(OR($G2934="FCC",$G2934="Hydrocracker",$G2934="Reformer"),IF(COUNTIFS($D:$D,$D2934,$A:$A,$A2934,$B:$B,$B2934,$G:$G,"CDU",$J:$J,"PLANNED")&gt;0,"tied","standalone"),"")</f>
        <v/>
      </c>
    </row>
    <row r="2935" spans="1:14">
      <c r="A2935" s="6">
        <v>2024</v>
      </c>
      <c r="B2935" s="6">
        <v>2</v>
      </c>
      <c r="C2935" s="6" t="s">
        <v>61</v>
      </c>
      <c r="D2935" s="6" t="s">
        <v>597</v>
      </c>
      <c r="E2935" s="6" t="s">
        <v>441</v>
      </c>
      <c r="F2935" s="6" t="str">
        <f>IF($M2935="PADD I","PADD 1",IF($M2935="PADD II","PADD 2",IF($M2935="PADD III","PADD 3",IF($M2935="PADD IV","PADD 4",IF($M2935="PADD V","PADD 5","")))))</f>
        <v>PADD 5</v>
      </c>
      <c r="G2935" s="6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6" t="s">
        <v>471</v>
      </c>
      <c r="I2935" s="6" t="s">
        <v>598</v>
      </c>
      <c r="J2935" s="6" t="s">
        <v>394</v>
      </c>
      <c r="K2935" s="10">
        <v>28</v>
      </c>
      <c r="L2935" s="10">
        <v>28</v>
      </c>
      <c r="M2935" s="6" t="s">
        <v>436</v>
      </c>
      <c r="N2935" s="6" t="str">
        <f>IF(OR($G2935="FCC",$G2935="Hydrocracker",$G2935="Reformer"),IF(COUNTIFS($D:$D,$D2935,$A:$A,$A2935,$B:$B,$B2935,$G:$G,"CDU",$J:$J,"PLANNED")&gt;0,"tied","standalone"),"")</f>
        <v>standalone</v>
      </c>
    </row>
    <row r="2936" spans="1:14">
      <c r="A2936" s="6">
        <v>2024</v>
      </c>
      <c r="B2936" s="6">
        <v>2</v>
      </c>
      <c r="C2936" s="6" t="s">
        <v>61</v>
      </c>
      <c r="D2936" s="6" t="s">
        <v>592</v>
      </c>
      <c r="E2936" s="6" t="s">
        <v>593</v>
      </c>
      <c r="F2936" s="6" t="str">
        <f>IF($M2936="PADD I","PADD 1",IF($M2936="PADD II","PADD 2",IF($M2936="PADD III","PADD 3",IF($M2936="PADD IV","PADD 4",IF($M2936="PADD V","PADD 5","")))))</f>
        <v>PADD 2</v>
      </c>
      <c r="G2936" s="6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6" t="s">
        <v>44</v>
      </c>
      <c r="I2936" s="6" t="s">
        <v>601</v>
      </c>
      <c r="J2936" s="6" t="s">
        <v>394</v>
      </c>
      <c r="K2936" s="10">
        <v>28</v>
      </c>
      <c r="L2936" s="10">
        <v>100</v>
      </c>
      <c r="M2936" s="6" t="s">
        <v>425</v>
      </c>
      <c r="N2936" s="6">
        <f>IF(OR($G2936="FCC",$G2936="Hydrocracker",$G2936="Reformer"),IF(COUNTIFS($D:$D,$D2936,$A:$A,$A2936,$B:$B,$B2936,$G:$G,"CDU",$J:$J,"PLANNED")&gt;0,"tied","standalone"),"")</f>
        <v/>
      </c>
    </row>
    <row r="2937" spans="1:14">
      <c r="A2937" s="6">
        <v>2024</v>
      </c>
      <c r="B2937" s="6">
        <v>2</v>
      </c>
      <c r="C2937" s="6" t="s">
        <v>61</v>
      </c>
      <c r="D2937" s="6" t="s">
        <v>592</v>
      </c>
      <c r="E2937" s="6" t="s">
        <v>593</v>
      </c>
      <c r="F2937" s="6" t="str">
        <f>IF($M2937="PADD I","PADD 1",IF($M2937="PADD II","PADD 2",IF($M2937="PADD III","PADD 3",IF($M2937="PADD IV","PADD 4",IF($M2937="PADD V","PADD 5","")))))</f>
        <v>PADD 2</v>
      </c>
      <c r="G2937" s="6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6" t="s">
        <v>618</v>
      </c>
      <c r="I2937" s="6" t="s">
        <v>654</v>
      </c>
      <c r="J2937" s="6" t="s">
        <v>394</v>
      </c>
      <c r="K2937" s="10">
        <v>27.9</v>
      </c>
      <c r="L2937" s="10">
        <v>27.9</v>
      </c>
      <c r="M2937" s="6" t="s">
        <v>425</v>
      </c>
      <c r="N2937" s="6">
        <f>IF(OR($G2937="FCC",$G2937="Hydrocracker",$G2937="Reformer"),IF(COUNTIFS($D:$D,$D2937,$A:$A,$A2937,$B:$B,$B2937,$G:$G,"CDU",$J:$J,"PLANNED")&gt;0,"tied","standalone"),"")</f>
        <v/>
      </c>
    </row>
    <row r="2938" spans="1:14">
      <c r="A2938" s="6">
        <v>2024</v>
      </c>
      <c r="B2938" s="6">
        <v>2</v>
      </c>
      <c r="C2938" s="6" t="s">
        <v>61</v>
      </c>
      <c r="D2938" s="6" t="s">
        <v>568</v>
      </c>
      <c r="E2938" s="6" t="s">
        <v>419</v>
      </c>
      <c r="F2938" s="6" t="str">
        <f>IF($M2938="PADD I","PADD 1",IF($M2938="PADD II","PADD 2",IF($M2938="PADD III","PADD 3",IF($M2938="PADD IV","PADD 4",IF($M2938="PADD V","PADD 5","")))))</f>
        <v>PADD 5</v>
      </c>
      <c r="G2938" s="6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6" t="s">
        <v>39</v>
      </c>
      <c r="I2938" s="6" t="s">
        <v>569</v>
      </c>
      <c r="J2938" s="6" t="s">
        <v>394</v>
      </c>
      <c r="K2938" s="10">
        <v>27.5</v>
      </c>
      <c r="L2938" s="10">
        <v>50</v>
      </c>
      <c r="M2938" s="6" t="s">
        <v>436</v>
      </c>
      <c r="N2938" s="6">
        <f>IF(OR($G2938="FCC",$G2938="Hydrocracker",$G2938="Reformer"),IF(COUNTIFS($D:$D,$D2938,$A:$A,$A2938,$B:$B,$B2938,$G:$G,"CDU",$J:$J,"PLANNED")&gt;0,"tied","standalone"),"")</f>
        <v/>
      </c>
    </row>
    <row r="2939" spans="1:14">
      <c r="A2939" s="6">
        <v>2024</v>
      </c>
      <c r="B2939" s="6">
        <v>2</v>
      </c>
      <c r="C2939" s="6" t="s">
        <v>61</v>
      </c>
      <c r="D2939" s="6" t="s">
        <v>507</v>
      </c>
      <c r="E2939" s="6" t="s">
        <v>438</v>
      </c>
      <c r="F2939" s="6" t="str">
        <f>IF($M2939="PADD I","PADD 1",IF($M2939="PADD II","PADD 2",IF($M2939="PADD III","PADD 3",IF($M2939="PADD IV","PADD 4",IF($M2939="PADD V","PADD 5","")))))</f>
        <v>PADD 5</v>
      </c>
      <c r="G2939" s="6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6" t="s">
        <v>44</v>
      </c>
      <c r="I2939" s="6" t="s">
        <v>1123</v>
      </c>
      <c r="J2939" s="6" t="s">
        <v>398</v>
      </c>
      <c r="K2939" s="10">
        <v>27.3</v>
      </c>
      <c r="L2939" s="10">
        <v>52.5</v>
      </c>
      <c r="M2939" s="6" t="s">
        <v>436</v>
      </c>
      <c r="N2939" s="6">
        <f>IF(OR($G2939="FCC",$G2939="Hydrocracker",$G2939="Reformer"),IF(COUNTIFS($D:$D,$D2939,$A:$A,$A2939,$B:$B,$B2939,$G:$G,"CDU",$J:$J,"PLANNED")&gt;0,"tied","standalone"),"")</f>
        <v/>
      </c>
    </row>
    <row r="2940" spans="1:14">
      <c r="A2940" s="6">
        <v>2024</v>
      </c>
      <c r="B2940" s="6">
        <v>2</v>
      </c>
      <c r="C2940" s="6" t="s">
        <v>61</v>
      </c>
      <c r="D2940" s="6" t="s">
        <v>507</v>
      </c>
      <c r="E2940" s="6" t="s">
        <v>438</v>
      </c>
      <c r="F2940" s="6" t="str">
        <f>IF($M2940="PADD I","PADD 1",IF($M2940="PADD II","PADD 2",IF($M2940="PADD III","PADD 3",IF($M2940="PADD IV","PADD 4",IF($M2940="PADD V","PADD 5","")))))</f>
        <v>PADD 5</v>
      </c>
      <c r="G2940" s="6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6" t="s">
        <v>426</v>
      </c>
      <c r="I2940" s="6" t="s">
        <v>106</v>
      </c>
      <c r="J2940" s="6" t="s">
        <v>398</v>
      </c>
      <c r="K2940" s="10">
        <v>27.04</v>
      </c>
      <c r="L2940" s="10">
        <v>52</v>
      </c>
      <c r="M2940" s="6" t="s">
        <v>436</v>
      </c>
      <c r="N2940" s="6" t="str">
        <f>IF(OR($G2940="FCC",$G2940="Hydrocracker",$G2940="Reformer"),IF(COUNTIFS($D:$D,$D2940,$A:$A,$A2940,$B:$B,$B2940,$G:$G,"CDU",$J:$J,"PLANNED")&gt;0,"tied","standalone"),"")</f>
        <v>tied</v>
      </c>
    </row>
    <row r="2941" spans="1:14">
      <c r="A2941" s="6">
        <v>2024</v>
      </c>
      <c r="B2941" s="6">
        <v>2</v>
      </c>
      <c r="C2941" s="6" t="s">
        <v>61</v>
      </c>
      <c r="D2941" s="6" t="s">
        <v>581</v>
      </c>
      <c r="E2941" s="6" t="s">
        <v>582</v>
      </c>
      <c r="F2941" s="6" t="str">
        <f>IF($M2941="PADD I","PADD 1",IF($M2941="PADD II","PADD 2",IF($M2941="PADD III","PADD 3",IF($M2941="PADD IV","PADD 4",IF($M2941="PADD V","PADD 5","")))))</f>
        <v>PADD 5</v>
      </c>
      <c r="G2941" s="6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6" t="s">
        <v>428</v>
      </c>
      <c r="I2941" s="6" t="s">
        <v>429</v>
      </c>
      <c r="J2941" s="6" t="s">
        <v>394</v>
      </c>
      <c r="K2941" s="10">
        <v>26.95</v>
      </c>
      <c r="L2941" s="10">
        <v>49</v>
      </c>
      <c r="M2941" s="6" t="s">
        <v>436</v>
      </c>
      <c r="N2941" s="6">
        <f>IF(OR($G2941="FCC",$G2941="Hydrocracker",$G2941="Reformer"),IF(COUNTIFS($D:$D,$D2941,$A:$A,$A2941,$B:$B,$B2941,$G:$G,"CDU",$J:$J,"PLANNED")&gt;0,"tied","standalone"),"")</f>
        <v/>
      </c>
    </row>
    <row r="2942" spans="1:14">
      <c r="A2942" s="6">
        <v>2024</v>
      </c>
      <c r="B2942" s="6">
        <v>2</v>
      </c>
      <c r="C2942" s="6" t="s">
        <v>61</v>
      </c>
      <c r="D2942" s="6" t="s">
        <v>373</v>
      </c>
      <c r="E2942" s="6" t="s">
        <v>438</v>
      </c>
      <c r="F2942" s="6" t="str">
        <f>IF($M2942="PADD I","PADD 1",IF($M2942="PADD II","PADD 2",IF($M2942="PADD III","PADD 3",IF($M2942="PADD IV","PADD 4",IF($M2942="PADD V","PADD 5","")))))</f>
        <v>PADD 3</v>
      </c>
      <c r="G2942" s="6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6" t="s">
        <v>428</v>
      </c>
      <c r="I2942" s="6" t="s">
        <v>1142</v>
      </c>
      <c r="J2942" s="6" t="s">
        <v>398</v>
      </c>
      <c r="K2942" s="10">
        <v>26.07</v>
      </c>
      <c r="L2942" s="10">
        <v>33</v>
      </c>
      <c r="M2942" s="6" t="s">
        <v>421</v>
      </c>
      <c r="N2942" s="6">
        <f>IF(OR($G2942="FCC",$G2942="Hydrocracker",$G2942="Reformer"),IF(COUNTIFS($D:$D,$D2942,$A:$A,$A2942,$B:$B,$B2942,$G:$G,"CDU",$J:$J,"PLANNED")&gt;0,"tied","standalone"),"")</f>
        <v/>
      </c>
    </row>
    <row r="2943" spans="1:14">
      <c r="A2943" s="6">
        <v>2024</v>
      </c>
      <c r="B2943" s="6">
        <v>2</v>
      </c>
      <c r="C2943" s="6" t="s">
        <v>61</v>
      </c>
      <c r="D2943" s="6" t="s">
        <v>1169</v>
      </c>
      <c r="E2943" s="6" t="s">
        <v>1170</v>
      </c>
      <c r="F2943" s="6" t="str">
        <f>IF($M2943="PADD I","PADD 1",IF($M2943="PADD II","PADD 2",IF($M2943="PADD III","PADD 3",IF($M2943="PADD IV","PADD 4",IF($M2943="PADD V","PADD 5","")))))</f>
        <v>PADD 3</v>
      </c>
      <c r="G2943" s="6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6" t="s">
        <v>39</v>
      </c>
      <c r="I2943" s="6" t="s">
        <v>1171</v>
      </c>
      <c r="J2943" s="6" t="s">
        <v>398</v>
      </c>
      <c r="K2943" s="10">
        <v>26</v>
      </c>
      <c r="L2943" s="10">
        <v>50</v>
      </c>
      <c r="M2943" s="6" t="s">
        <v>421</v>
      </c>
      <c r="N2943" s="6">
        <f>IF(OR($G2943="FCC",$G2943="Hydrocracker",$G2943="Reformer"),IF(COUNTIFS($D:$D,$D2943,$A:$A,$A2943,$B:$B,$B2943,$G:$G,"CDU",$J:$J,"PLANNED")&gt;0,"tied","standalone"),"")</f>
        <v/>
      </c>
    </row>
    <row r="2944" spans="1:14">
      <c r="A2944" s="6">
        <v>2024</v>
      </c>
      <c r="B2944" s="6">
        <v>2</v>
      </c>
      <c r="C2944" s="6" t="s">
        <v>61</v>
      </c>
      <c r="D2944" s="6" t="s">
        <v>458</v>
      </c>
      <c r="E2944" s="6" t="s">
        <v>459</v>
      </c>
      <c r="F2944" s="6" t="str">
        <f>IF($M2944="PADD I","PADD 1",IF($M2944="PADD II","PADD 2",IF($M2944="PADD III","PADD 3",IF($M2944="PADD IV","PADD 4",IF($M2944="PADD V","PADD 5","")))))</f>
        <v>PADD 3</v>
      </c>
      <c r="G2944" s="6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6" t="s">
        <v>428</v>
      </c>
      <c r="I2944" s="6" t="s">
        <v>556</v>
      </c>
      <c r="J2944" s="6" t="s">
        <v>394</v>
      </c>
      <c r="K2944" s="10">
        <v>24.96</v>
      </c>
      <c r="L2944" s="10">
        <v>52</v>
      </c>
      <c r="M2944" s="6" t="s">
        <v>421</v>
      </c>
      <c r="N2944" s="6">
        <f>IF(OR($G2944="FCC",$G2944="Hydrocracker",$G2944="Reformer"),IF(COUNTIFS($D:$D,$D2944,$A:$A,$A2944,$B:$B,$B2944,$G:$G,"CDU",$J:$J,"PLANNED")&gt;0,"tied","standalone"),"")</f>
        <v/>
      </c>
    </row>
    <row r="2945" spans="1:14">
      <c r="A2945" s="6">
        <v>2024</v>
      </c>
      <c r="B2945" s="6">
        <v>2</v>
      </c>
      <c r="C2945" s="6" t="s">
        <v>61</v>
      </c>
      <c r="D2945" s="6" t="s">
        <v>378</v>
      </c>
      <c r="E2945" s="6" t="s">
        <v>477</v>
      </c>
      <c r="F2945" s="6" t="str">
        <f>IF($M2945="PADD I","PADD 1",IF($M2945="PADD II","PADD 2",IF($M2945="PADD III","PADD 3",IF($M2945="PADD IV","PADD 4",IF($M2945="PADD V","PADD 5","")))))</f>
        <v>PADD 3</v>
      </c>
      <c r="G2945" s="6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6" t="s">
        <v>428</v>
      </c>
      <c r="I2945" s="6" t="s">
        <v>1014</v>
      </c>
      <c r="J2945" s="6" t="s">
        <v>394</v>
      </c>
      <c r="K2945" s="10">
        <v>24.8</v>
      </c>
      <c r="L2945" s="10">
        <v>40</v>
      </c>
      <c r="M2945" s="6" t="s">
        <v>421</v>
      </c>
      <c r="N2945" s="6">
        <f>IF(OR($G2945="FCC",$G2945="Hydrocracker",$G2945="Reformer"),IF(COUNTIFS($D:$D,$D2945,$A:$A,$A2945,$B:$B,$B2945,$G:$G,"CDU",$J:$J,"PLANNED")&gt;0,"tied","standalone"),"")</f>
        <v/>
      </c>
    </row>
    <row r="2946" spans="1:14">
      <c r="A2946" s="6">
        <v>2024</v>
      </c>
      <c r="B2946" s="6">
        <v>2</v>
      </c>
      <c r="C2946" s="6" t="s">
        <v>61</v>
      </c>
      <c r="D2946" s="6" t="s">
        <v>382</v>
      </c>
      <c r="E2946" s="6" t="s">
        <v>431</v>
      </c>
      <c r="F2946" s="6" t="str">
        <f>IF($M2946="PADD I","PADD 1",IF($M2946="PADD II","PADD 2",IF($M2946="PADD III","PADD 3",IF($M2946="PADD IV","PADD 4",IF($M2946="PADD V","PADD 5","")))))</f>
        <v>PADD 3</v>
      </c>
      <c r="G2946" s="6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6" t="s">
        <v>44</v>
      </c>
      <c r="I2946" s="6" t="s">
        <v>834</v>
      </c>
      <c r="J2946" s="6" t="s">
        <v>398</v>
      </c>
      <c r="K2946" s="10">
        <v>24.75</v>
      </c>
      <c r="L2946" s="10">
        <v>45</v>
      </c>
      <c r="M2946" s="6" t="s">
        <v>421</v>
      </c>
      <c r="N2946" s="6">
        <f>IF(OR($G2946="FCC",$G2946="Hydrocracker",$G2946="Reformer"),IF(COUNTIFS($D:$D,$D2946,$A:$A,$A2946,$B:$B,$B2946,$G:$G,"CDU",$J:$J,"PLANNED")&gt;0,"tied","standalone"),"")</f>
        <v/>
      </c>
    </row>
    <row r="2947" spans="1:14">
      <c r="A2947" s="6">
        <v>2024</v>
      </c>
      <c r="B2947" s="6">
        <v>2</v>
      </c>
      <c r="C2947" s="6" t="s">
        <v>61</v>
      </c>
      <c r="D2947" s="6" t="s">
        <v>382</v>
      </c>
      <c r="E2947" s="6" t="s">
        <v>431</v>
      </c>
      <c r="F2947" s="6" t="str">
        <f>IF($M2947="PADD I","PADD 1",IF($M2947="PADD II","PADD 2",IF($M2947="PADD III","PADD 3",IF($M2947="PADD IV","PADD 4",IF($M2947="PADD V","PADD 5","")))))</f>
        <v>PADD 3</v>
      </c>
      <c r="G2947" s="6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6" t="s">
        <v>494</v>
      </c>
      <c r="I2947" s="6" t="s">
        <v>14</v>
      </c>
      <c r="J2947" s="6" t="s">
        <v>394</v>
      </c>
      <c r="K2947" s="10">
        <v>24.7</v>
      </c>
      <c r="L2947" s="10">
        <v>65</v>
      </c>
      <c r="M2947" s="6" t="s">
        <v>421</v>
      </c>
      <c r="N2947" s="6" t="str">
        <f>IF(OR($G2947="FCC",$G2947="Hydrocracker",$G2947="Reformer"),IF(COUNTIFS($D:$D,$D2947,$A:$A,$A2947,$B:$B,$B2947,$G:$G,"CDU",$J:$J,"PLANNED")&gt;0,"tied","standalone"),"")</f>
        <v>standalone</v>
      </c>
    </row>
    <row r="2948" spans="1:14">
      <c r="A2948" s="6">
        <v>2024</v>
      </c>
      <c r="B2948" s="6">
        <v>2</v>
      </c>
      <c r="C2948" s="6" t="s">
        <v>61</v>
      </c>
      <c r="D2948" s="6" t="s">
        <v>465</v>
      </c>
      <c r="E2948" s="6" t="s">
        <v>466</v>
      </c>
      <c r="F2948" s="6" t="str">
        <f>IF($M2948="PADD I","PADD 1",IF($M2948="PADD II","PADD 2",IF($M2948="PADD III","PADD 3",IF($M2948="PADD IV","PADD 4",IF($M2948="PADD V","PADD 5","")))))</f>
        <v>PADD 3</v>
      </c>
      <c r="G2948" s="6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6" t="s">
        <v>426</v>
      </c>
      <c r="I2948" s="6" t="s">
        <v>1172</v>
      </c>
      <c r="J2948" s="6" t="s">
        <v>398</v>
      </c>
      <c r="K2948" s="10">
        <v>24</v>
      </c>
      <c r="L2948" s="10">
        <v>50</v>
      </c>
      <c r="M2948" s="6" t="s">
        <v>421</v>
      </c>
      <c r="N2948" s="6" t="str">
        <f>IF(OR($G2948="FCC",$G2948="Hydrocracker",$G2948="Reformer"),IF(COUNTIFS($D:$D,$D2948,$A:$A,$A2948,$B:$B,$B2948,$G:$G,"CDU",$J:$J,"PLANNED")&gt;0,"tied","standalone"),"")</f>
        <v>tied</v>
      </c>
    </row>
    <row r="2949" spans="1:14">
      <c r="A2949" s="6">
        <v>2024</v>
      </c>
      <c r="B2949" s="6">
        <v>2</v>
      </c>
      <c r="C2949" s="6" t="s">
        <v>61</v>
      </c>
      <c r="D2949" s="6" t="s">
        <v>518</v>
      </c>
      <c r="E2949" s="6" t="s">
        <v>419</v>
      </c>
      <c r="F2949" s="6" t="str">
        <f>IF($M2949="PADD I","PADD 1",IF($M2949="PADD II","PADD 2",IF($M2949="PADD III","PADD 3",IF($M2949="PADD IV","PADD 4",IF($M2949="PADD V","PADD 5","")))))</f>
        <v>PADD 3</v>
      </c>
      <c r="G2949" s="6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6" t="s">
        <v>426</v>
      </c>
      <c r="I2949" s="6" t="s">
        <v>523</v>
      </c>
      <c r="J2949" s="6" t="s">
        <v>398</v>
      </c>
      <c r="K2949" s="10">
        <v>23.7</v>
      </c>
      <c r="L2949" s="10">
        <v>30</v>
      </c>
      <c r="M2949" s="6" t="s">
        <v>421</v>
      </c>
      <c r="N2949" s="6" t="str">
        <f>IF(OR($G2949="FCC",$G2949="Hydrocracker",$G2949="Reformer"),IF(COUNTIFS($D:$D,$D2949,$A:$A,$A2949,$B:$B,$B2949,$G:$G,"CDU",$J:$J,"PLANNED")&gt;0,"tied","standalone"),"")</f>
        <v>standalone</v>
      </c>
    </row>
    <row r="2950" spans="1:14">
      <c r="A2950" s="6">
        <v>2024</v>
      </c>
      <c r="B2950" s="6">
        <v>2</v>
      </c>
      <c r="C2950" s="6" t="s">
        <v>61</v>
      </c>
      <c r="D2950" s="6" t="s">
        <v>458</v>
      </c>
      <c r="E2950" s="6" t="s">
        <v>459</v>
      </c>
      <c r="F2950" s="6" t="str">
        <f>IF($M2950="PADD I","PADD 1",IF($M2950="PADD II","PADD 2",IF($M2950="PADD III","PADD 3",IF($M2950="PADD IV","PADD 4",IF($M2950="PADD V","PADD 5","")))))</f>
        <v>PADD 3</v>
      </c>
      <c r="G2950" s="6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6" t="s">
        <v>426</v>
      </c>
      <c r="I2950" s="6" t="s">
        <v>476</v>
      </c>
      <c r="J2950" s="6" t="s">
        <v>394</v>
      </c>
      <c r="K2950" s="10">
        <v>23.56</v>
      </c>
      <c r="L2950" s="10">
        <v>76</v>
      </c>
      <c r="M2950" s="6" t="s">
        <v>421</v>
      </c>
      <c r="N2950" s="6" t="str">
        <f>IF(OR($G2950="FCC",$G2950="Hydrocracker",$G2950="Reformer"),IF(COUNTIFS($D:$D,$D2950,$A:$A,$A2950,$B:$B,$B2950,$G:$G,"CDU",$J:$J,"PLANNED")&gt;0,"tied","standalone"),"")</f>
        <v>standalone</v>
      </c>
    </row>
    <row r="2951" spans="1:14">
      <c r="A2951" s="6">
        <v>2024</v>
      </c>
      <c r="B2951" s="6">
        <v>2</v>
      </c>
      <c r="C2951" s="6" t="s">
        <v>61</v>
      </c>
      <c r="D2951" s="6" t="s">
        <v>915</v>
      </c>
      <c r="E2951" s="6" t="s">
        <v>419</v>
      </c>
      <c r="F2951" s="6" t="str">
        <f>IF($M2951="PADD I","PADD 1",IF($M2951="PADD II","PADD 2",IF($M2951="PADD III","PADD 3",IF($M2951="PADD IV","PADD 4",IF($M2951="PADD V","PADD 5","")))))</f>
        <v>PADD 4</v>
      </c>
      <c r="G2951" s="6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6" t="s">
        <v>39</v>
      </c>
      <c r="I2951" s="6" t="s">
        <v>916</v>
      </c>
      <c r="J2951" s="6" t="s">
        <v>394</v>
      </c>
      <c r="K2951" s="10">
        <v>23.1</v>
      </c>
      <c r="L2951" s="10">
        <v>35</v>
      </c>
      <c r="M2951" s="6" t="s">
        <v>480</v>
      </c>
      <c r="N2951" s="6">
        <f>IF(OR($G2951="FCC",$G2951="Hydrocracker",$G2951="Reformer"),IF(COUNTIFS($D:$D,$D2951,$A:$A,$A2951,$B:$B,$B2951,$G:$G,"CDU",$J:$J,"PLANNED")&gt;0,"tied","standalone"),"")</f>
        <v/>
      </c>
    </row>
    <row r="2952" spans="1:14">
      <c r="A2952" s="6">
        <v>2024</v>
      </c>
      <c r="B2952" s="6">
        <v>2</v>
      </c>
      <c r="C2952" s="6" t="s">
        <v>61</v>
      </c>
      <c r="D2952" s="6" t="s">
        <v>568</v>
      </c>
      <c r="E2952" s="6" t="s">
        <v>419</v>
      </c>
      <c r="F2952" s="6" t="str">
        <f>IF($M2952="PADD I","PADD 1",IF($M2952="PADD II","PADD 2",IF($M2952="PADD III","PADD 3",IF($M2952="PADD IV","PADD 4",IF($M2952="PADD V","PADD 5","")))))</f>
        <v>PADD 5</v>
      </c>
      <c r="G2952" s="6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6" t="s">
        <v>494</v>
      </c>
      <c r="I2952" s="6" t="s">
        <v>584</v>
      </c>
      <c r="J2952" s="6" t="s">
        <v>394</v>
      </c>
      <c r="K2952" s="10">
        <v>23.1</v>
      </c>
      <c r="L2952" s="10">
        <v>42</v>
      </c>
      <c r="M2952" s="6" t="s">
        <v>436</v>
      </c>
      <c r="N2952" s="6" t="str">
        <f>IF(OR($G2952="FCC",$G2952="Hydrocracker",$G2952="Reformer"),IF(COUNTIFS($D:$D,$D2952,$A:$A,$A2952,$B:$B,$B2952,$G:$G,"CDU",$J:$J,"PLANNED")&gt;0,"tied","standalone"),"")</f>
        <v>tied</v>
      </c>
    </row>
    <row r="2953" spans="1:14">
      <c r="A2953" s="6">
        <v>2024</v>
      </c>
      <c r="B2953" s="6">
        <v>2</v>
      </c>
      <c r="C2953" s="6" t="s">
        <v>61</v>
      </c>
      <c r="D2953" s="6" t="s">
        <v>458</v>
      </c>
      <c r="E2953" s="6" t="s">
        <v>459</v>
      </c>
      <c r="F2953" s="6" t="str">
        <f>IF($M2953="PADD I","PADD 1",IF($M2953="PADD II","PADD 2",IF($M2953="PADD III","PADD 3",IF($M2953="PADD IV","PADD 4",IF($M2953="PADD V","PADD 5","")))))</f>
        <v>PADD 3</v>
      </c>
      <c r="G2953" s="6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6" t="s">
        <v>39</v>
      </c>
      <c r="I2953" s="6" t="s">
        <v>460</v>
      </c>
      <c r="J2953" s="6" t="s">
        <v>394</v>
      </c>
      <c r="K2953" s="10">
        <v>23.1</v>
      </c>
      <c r="L2953" s="10">
        <v>165</v>
      </c>
      <c r="M2953" s="6" t="s">
        <v>421</v>
      </c>
      <c r="N2953" s="6">
        <f>IF(OR($G2953="FCC",$G2953="Hydrocracker",$G2953="Reformer"),IF(COUNTIFS($D:$D,$D2953,$A:$A,$A2953,$B:$B,$B2953,$G:$G,"CDU",$J:$J,"PLANNED")&gt;0,"tied","standalone"),"")</f>
        <v/>
      </c>
    </row>
    <row r="2954" spans="1:14">
      <c r="A2954" s="6">
        <v>2024</v>
      </c>
      <c r="B2954" s="6">
        <v>2</v>
      </c>
      <c r="C2954" s="6" t="s">
        <v>61</v>
      </c>
      <c r="D2954" s="6" t="s">
        <v>682</v>
      </c>
      <c r="E2954" s="6" t="s">
        <v>683</v>
      </c>
      <c r="F2954" s="6" t="str">
        <f>IF($M2954="PADD I","PADD 1",IF($M2954="PADD II","PADD 2",IF($M2954="PADD III","PADD 3",IF($M2954="PADD IV","PADD 4",IF($M2954="PADD V","PADD 5","")))))</f>
        <v>PADD 4</v>
      </c>
      <c r="G2954" s="6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6" t="s">
        <v>39</v>
      </c>
      <c r="I2954" s="6" t="s">
        <v>82</v>
      </c>
      <c r="J2954" s="6" t="s">
        <v>398</v>
      </c>
      <c r="K2954" s="10">
        <v>21.39</v>
      </c>
      <c r="L2954" s="10">
        <v>31</v>
      </c>
      <c r="M2954" s="6" t="s">
        <v>480</v>
      </c>
      <c r="N2954" s="6">
        <f>IF(OR($G2954="FCC",$G2954="Hydrocracker",$G2954="Reformer"),IF(COUNTIFS($D:$D,$D2954,$A:$A,$A2954,$B:$B,$B2954,$G:$G,"CDU",$J:$J,"PLANNED")&gt;0,"tied","standalone"),"")</f>
        <v/>
      </c>
    </row>
    <row r="2955" spans="1:14">
      <c r="A2955" s="6">
        <v>2024</v>
      </c>
      <c r="B2955" s="6">
        <v>2</v>
      </c>
      <c r="C2955" s="6" t="s">
        <v>61</v>
      </c>
      <c r="D2955" s="6" t="s">
        <v>507</v>
      </c>
      <c r="E2955" s="6" t="s">
        <v>438</v>
      </c>
      <c r="F2955" s="6" t="str">
        <f>IF($M2955="PADD I","PADD 1",IF($M2955="PADD II","PADD 2",IF($M2955="PADD III","PADD 3",IF($M2955="PADD IV","PADD 4",IF($M2955="PADD V","PADD 5","")))))</f>
        <v>PADD 5</v>
      </c>
      <c r="G2955" s="6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6" t="s">
        <v>39</v>
      </c>
      <c r="I2955" s="6" t="s">
        <v>138</v>
      </c>
      <c r="J2955" s="6" t="s">
        <v>398</v>
      </c>
      <c r="K2955" s="10">
        <v>20.8</v>
      </c>
      <c r="L2955" s="10">
        <v>40</v>
      </c>
      <c r="M2955" s="6" t="s">
        <v>436</v>
      </c>
      <c r="N2955" s="6">
        <f>IF(OR($G2955="FCC",$G2955="Hydrocracker",$G2955="Reformer"),IF(COUNTIFS($D:$D,$D2955,$A:$A,$A2955,$B:$B,$B2955,$G:$G,"CDU",$J:$J,"PLANNED")&gt;0,"tied","standalone"),"")</f>
        <v/>
      </c>
    </row>
    <row r="2956" spans="1:14">
      <c r="A2956" s="6">
        <v>2024</v>
      </c>
      <c r="B2956" s="6">
        <v>2</v>
      </c>
      <c r="C2956" s="6" t="s">
        <v>61</v>
      </c>
      <c r="D2956" s="6" t="s">
        <v>534</v>
      </c>
      <c r="E2956" s="6" t="s">
        <v>459</v>
      </c>
      <c r="F2956" s="6" t="str">
        <f>IF($M2956="PADD I","PADD 1",IF($M2956="PADD II","PADD 2",IF($M2956="PADD III","PADD 3",IF($M2956="PADD IV","PADD 4",IF($M2956="PADD V","PADD 5","")))))</f>
        <v>PADD 3</v>
      </c>
      <c r="G2956" s="6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6" t="s">
        <v>44</v>
      </c>
      <c r="I2956" s="6" t="s">
        <v>551</v>
      </c>
      <c r="J2956" s="6" t="s">
        <v>394</v>
      </c>
      <c r="K2956" s="10">
        <v>20.475</v>
      </c>
      <c r="L2956" s="10">
        <v>45.5</v>
      </c>
      <c r="M2956" s="6" t="s">
        <v>421</v>
      </c>
      <c r="N2956" s="6">
        <f>IF(OR($G2956="FCC",$G2956="Hydrocracker",$G2956="Reformer"),IF(COUNTIFS($D:$D,$D2956,$A:$A,$A2956,$B:$B,$B2956,$G:$G,"CDU",$J:$J,"PLANNED")&gt;0,"tied","standalone"),"")</f>
        <v/>
      </c>
    </row>
    <row r="2957" spans="1:14">
      <c r="A2957" s="6">
        <v>2024</v>
      </c>
      <c r="B2957" s="6">
        <v>2</v>
      </c>
      <c r="C2957" s="6" t="s">
        <v>61</v>
      </c>
      <c r="D2957" s="6" t="s">
        <v>507</v>
      </c>
      <c r="E2957" s="6" t="s">
        <v>438</v>
      </c>
      <c r="F2957" s="6" t="str">
        <f>IF($M2957="PADD I","PADD 1",IF($M2957="PADD II","PADD 2",IF($M2957="PADD III","PADD 3",IF($M2957="PADD IV","PADD 4",IF($M2957="PADD V","PADD 5","")))))</f>
        <v>PADD 5</v>
      </c>
      <c r="G2957" s="6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6" t="s">
        <v>485</v>
      </c>
      <c r="I2957" s="6" t="s">
        <v>503</v>
      </c>
      <c r="J2957" s="6" t="s">
        <v>398</v>
      </c>
      <c r="K2957" s="10">
        <v>20.28</v>
      </c>
      <c r="L2957" s="10">
        <v>39</v>
      </c>
      <c r="M2957" s="6" t="s">
        <v>436</v>
      </c>
      <c r="N2957" s="6">
        <f>IF(OR($G2957="FCC",$G2957="Hydrocracker",$G2957="Reformer"),IF(COUNTIFS($D:$D,$D2957,$A:$A,$A2957,$B:$B,$B2957,$G:$G,"CDU",$J:$J,"PLANNED")&gt;0,"tied","standalone"),"")</f>
        <v/>
      </c>
    </row>
    <row r="2958" spans="1:14">
      <c r="A2958" s="6">
        <v>2024</v>
      </c>
      <c r="B2958" s="6">
        <v>2</v>
      </c>
      <c r="C2958" s="6" t="s">
        <v>61</v>
      </c>
      <c r="D2958" s="6" t="s">
        <v>652</v>
      </c>
      <c r="E2958" s="6" t="s">
        <v>419</v>
      </c>
      <c r="F2958" s="6" t="str">
        <f>IF($M2958="PADD I","PADD 1",IF($M2958="PADD II","PADD 2",IF($M2958="PADD III","PADD 3",IF($M2958="PADD IV","PADD 4",IF($M2958="PADD V","PADD 5","")))))</f>
        <v>PADD 2</v>
      </c>
      <c r="G2958" s="6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6" t="s">
        <v>44</v>
      </c>
      <c r="I2958" s="6" t="s">
        <v>1052</v>
      </c>
      <c r="J2958" s="6" t="s">
        <v>398</v>
      </c>
      <c r="K2958" s="10">
        <v>19.92</v>
      </c>
      <c r="L2958" s="10">
        <v>24</v>
      </c>
      <c r="M2958" s="6" t="s">
        <v>425</v>
      </c>
      <c r="N2958" s="6">
        <f>IF(OR($G2958="FCC",$G2958="Hydrocracker",$G2958="Reformer"),IF(COUNTIFS($D:$D,$D2958,$A:$A,$A2958,$B:$B,$B2958,$G:$G,"CDU",$J:$J,"PLANNED")&gt;0,"tied","standalone"),"")</f>
        <v/>
      </c>
    </row>
    <row r="2959" spans="1:14">
      <c r="A2959" s="6">
        <v>2024</v>
      </c>
      <c r="B2959" s="6">
        <v>2</v>
      </c>
      <c r="C2959" s="6" t="s">
        <v>61</v>
      </c>
      <c r="D2959" s="6" t="s">
        <v>501</v>
      </c>
      <c r="E2959" s="6" t="s">
        <v>502</v>
      </c>
      <c r="F2959" s="6" t="str">
        <f>IF($M2959="PADD I","PADD 1",IF($M2959="PADD II","PADD 2",IF($M2959="PADD III","PADD 3",IF($M2959="PADD IV","PADD 4",IF($M2959="PADD V","PADD 5","")))))</f>
        <v>PADD 2</v>
      </c>
      <c r="G2959" s="6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6" t="s">
        <v>39</v>
      </c>
      <c r="I2959" s="6" t="s">
        <v>531</v>
      </c>
      <c r="J2959" s="6" t="s">
        <v>398</v>
      </c>
      <c r="K2959" s="10">
        <v>19.2</v>
      </c>
      <c r="L2959" s="10">
        <v>40</v>
      </c>
      <c r="M2959" s="6" t="s">
        <v>425</v>
      </c>
      <c r="N2959" s="6">
        <f>IF(OR($G2959="FCC",$G2959="Hydrocracker",$G2959="Reformer"),IF(COUNTIFS($D:$D,$D2959,$A:$A,$A2959,$B:$B,$B2959,$G:$G,"CDU",$J:$J,"PLANNED")&gt;0,"tied","standalone"),"")</f>
        <v/>
      </c>
    </row>
    <row r="2960" spans="1:14">
      <c r="A2960" s="6">
        <v>2024</v>
      </c>
      <c r="B2960" s="6">
        <v>2</v>
      </c>
      <c r="C2960" s="6" t="s">
        <v>61</v>
      </c>
      <c r="D2960" s="6" t="s">
        <v>378</v>
      </c>
      <c r="E2960" s="6" t="s">
        <v>477</v>
      </c>
      <c r="F2960" s="6" t="str">
        <f>IF($M2960="PADD I","PADD 1",IF($M2960="PADD II","PADD 2",IF($M2960="PADD III","PADD 3",IF($M2960="PADD IV","PADD 4",IF($M2960="PADD V","PADD 5","")))))</f>
        <v>PADD 3</v>
      </c>
      <c r="G2960" s="6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6" t="s">
        <v>428</v>
      </c>
      <c r="I2960" s="6" t="s">
        <v>478</v>
      </c>
      <c r="J2960" s="6" t="s">
        <v>394</v>
      </c>
      <c r="K2960" s="10">
        <v>19.04</v>
      </c>
      <c r="L2960" s="10">
        <v>112</v>
      </c>
      <c r="M2960" s="6" t="s">
        <v>421</v>
      </c>
      <c r="N2960" s="6">
        <f>IF(OR($G2960="FCC",$G2960="Hydrocracker",$G2960="Reformer"),IF(COUNTIFS($D:$D,$D2960,$A:$A,$A2960,$B:$B,$B2960,$G:$G,"CDU",$J:$J,"PLANNED")&gt;0,"tied","standalone"),"")</f>
        <v/>
      </c>
    </row>
    <row r="2961" spans="1:14">
      <c r="A2961" s="6">
        <v>2024</v>
      </c>
      <c r="B2961" s="6">
        <v>2</v>
      </c>
      <c r="C2961" s="6" t="s">
        <v>61</v>
      </c>
      <c r="D2961" s="6" t="s">
        <v>465</v>
      </c>
      <c r="E2961" s="6" t="s">
        <v>466</v>
      </c>
      <c r="F2961" s="6" t="str">
        <f>IF($M2961="PADD I","PADD 1",IF($M2961="PADD II","PADD 2",IF($M2961="PADD III","PADD 3",IF($M2961="PADD IV","PADD 4",IF($M2961="PADD V","PADD 5","")))))</f>
        <v>PADD 3</v>
      </c>
      <c r="G2961" s="6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6" t="s">
        <v>428</v>
      </c>
      <c r="I2961" s="6" t="s">
        <v>467</v>
      </c>
      <c r="J2961" s="6" t="s">
        <v>394</v>
      </c>
      <c r="K2961" s="10">
        <v>19</v>
      </c>
      <c r="L2961" s="10">
        <v>50</v>
      </c>
      <c r="M2961" s="6" t="s">
        <v>421</v>
      </c>
      <c r="N2961" s="6">
        <f>IF(OR($G2961="FCC",$G2961="Hydrocracker",$G2961="Reformer"),IF(COUNTIFS($D:$D,$D2961,$A:$A,$A2961,$B:$B,$B2961,$G:$G,"CDU",$J:$J,"PLANNED")&gt;0,"tied","standalone"),"")</f>
        <v/>
      </c>
    </row>
    <row r="2962" spans="1:14">
      <c r="A2962" s="6">
        <v>2024</v>
      </c>
      <c r="B2962" s="6">
        <v>2</v>
      </c>
      <c r="C2962" s="6" t="s">
        <v>61</v>
      </c>
      <c r="D2962" s="6" t="s">
        <v>515</v>
      </c>
      <c r="E2962" s="6" t="s">
        <v>419</v>
      </c>
      <c r="F2962" s="6" t="str">
        <f>IF($M2962="PADD I","PADD 1",IF($M2962="PADD II","PADD 2",IF($M2962="PADD III","PADD 3",IF($M2962="PADD IV","PADD 4",IF($M2962="PADD V","PADD 5","")))))</f>
        <v>PADD 5</v>
      </c>
      <c r="G2962" s="6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6" t="s">
        <v>494</v>
      </c>
      <c r="I2962" s="6" t="s">
        <v>718</v>
      </c>
      <c r="J2962" s="6" t="s">
        <v>398</v>
      </c>
      <c r="K2962" s="10">
        <v>18.975</v>
      </c>
      <c r="L2962" s="10">
        <v>27.5</v>
      </c>
      <c r="M2962" s="6" t="s">
        <v>436</v>
      </c>
      <c r="N2962" s="6" t="str">
        <f>IF(OR($G2962="FCC",$G2962="Hydrocracker",$G2962="Reformer"),IF(COUNTIFS($D:$D,$D2962,$A:$A,$A2962,$B:$B,$B2962,$G:$G,"CDU",$J:$J,"PLANNED")&gt;0,"tied","standalone"),"")</f>
        <v>standalone</v>
      </c>
    </row>
    <row r="2963" spans="1:14">
      <c r="A2963" s="6">
        <v>2024</v>
      </c>
      <c r="B2963" s="6">
        <v>2</v>
      </c>
      <c r="C2963" s="6" t="s">
        <v>61</v>
      </c>
      <c r="D2963" s="6" t="s">
        <v>458</v>
      </c>
      <c r="E2963" s="6" t="s">
        <v>459</v>
      </c>
      <c r="F2963" s="6" t="str">
        <f>IF($M2963="PADD I","PADD 1",IF($M2963="PADD II","PADD 2",IF($M2963="PADD III","PADD 3",IF($M2963="PADD IV","PADD 4",IF($M2963="PADD V","PADD 5","")))))</f>
        <v>PADD 3</v>
      </c>
      <c r="G2963" s="6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6" t="s">
        <v>428</v>
      </c>
      <c r="I2963" s="6" t="s">
        <v>539</v>
      </c>
      <c r="J2963" s="6" t="s">
        <v>394</v>
      </c>
      <c r="K2963" s="10">
        <v>18.6</v>
      </c>
      <c r="L2963" s="10">
        <v>60</v>
      </c>
      <c r="M2963" s="6" t="s">
        <v>421</v>
      </c>
      <c r="N2963" s="6">
        <f>IF(OR($G2963="FCC",$G2963="Hydrocracker",$G2963="Reformer"),IF(COUNTIFS($D:$D,$D2963,$A:$A,$A2963,$B:$B,$B2963,$G:$G,"CDU",$J:$J,"PLANNED")&gt;0,"tied","standalone"),"")</f>
        <v/>
      </c>
    </row>
    <row r="2964" spans="1:14">
      <c r="A2964" s="6">
        <v>2024</v>
      </c>
      <c r="B2964" s="6">
        <v>2</v>
      </c>
      <c r="C2964" s="6" t="s">
        <v>61</v>
      </c>
      <c r="D2964" s="6" t="s">
        <v>984</v>
      </c>
      <c r="E2964" s="6" t="s">
        <v>438</v>
      </c>
      <c r="F2964" s="6" t="str">
        <f>IF($M2964="PADD I","PADD 1",IF($M2964="PADD II","PADD 2",IF($M2964="PADD III","PADD 3",IF($M2964="PADD IV","PADD 4",IF($M2964="PADD V","PADD 5","")))))</f>
        <v>PADD 3</v>
      </c>
      <c r="G2964" s="6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6" t="s">
        <v>426</v>
      </c>
      <c r="I2964" s="6" t="s">
        <v>106</v>
      </c>
      <c r="J2964" s="6" t="s">
        <v>398</v>
      </c>
      <c r="K2964" s="10">
        <v>18.29</v>
      </c>
      <c r="L2964" s="10">
        <v>29.5</v>
      </c>
      <c r="M2964" s="6" t="s">
        <v>421</v>
      </c>
      <c r="N2964" s="6" t="str">
        <f>IF(OR($G2964="FCC",$G2964="Hydrocracker",$G2964="Reformer"),IF(COUNTIFS($D:$D,$D2964,$A:$A,$A2964,$B:$B,$B2964,$G:$G,"CDU",$J:$J,"PLANNED")&gt;0,"tied","standalone"),"")</f>
        <v>tied</v>
      </c>
    </row>
    <row r="2965" spans="1:14">
      <c r="A2965" s="6">
        <v>2024</v>
      </c>
      <c r="B2965" s="6">
        <v>2</v>
      </c>
      <c r="C2965" s="6" t="s">
        <v>61</v>
      </c>
      <c r="D2965" s="6" t="s">
        <v>792</v>
      </c>
      <c r="E2965" s="6" t="s">
        <v>438</v>
      </c>
      <c r="F2965" s="6" t="str">
        <f>IF($M2965="PADD I","PADD 1",IF($M2965="PADD II","PADD 2",IF($M2965="PADD III","PADD 3",IF($M2965="PADD IV","PADD 4",IF($M2965="PADD V","PADD 5","")))))</f>
        <v>PADD 5</v>
      </c>
      <c r="G2965" s="6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6" t="s">
        <v>426</v>
      </c>
      <c r="I2965" s="6" t="s">
        <v>106</v>
      </c>
      <c r="J2965" s="6" t="s">
        <v>394</v>
      </c>
      <c r="K2965" s="10">
        <v>17.22</v>
      </c>
      <c r="L2965" s="10">
        <v>42</v>
      </c>
      <c r="M2965" s="6" t="s">
        <v>436</v>
      </c>
      <c r="N2965" s="6" t="str">
        <f>IF(OR($G2965="FCC",$G2965="Hydrocracker",$G2965="Reformer"),IF(COUNTIFS($D:$D,$D2965,$A:$A,$A2965,$B:$B,$B2965,$G:$G,"CDU",$J:$J,"PLANNED")&gt;0,"tied","standalone"),"")</f>
        <v>standalone</v>
      </c>
    </row>
    <row r="2966" spans="1:14">
      <c r="A2966" s="6">
        <v>2024</v>
      </c>
      <c r="B2966" s="6">
        <v>2</v>
      </c>
      <c r="C2966" s="6" t="s">
        <v>61</v>
      </c>
      <c r="D2966" s="6" t="s">
        <v>430</v>
      </c>
      <c r="E2966" s="6" t="s">
        <v>431</v>
      </c>
      <c r="F2966" s="6" t="str">
        <f>IF($M2966="PADD I","PADD 1",IF($M2966="PADD II","PADD 2",IF($M2966="PADD III","PADD 3",IF($M2966="PADD IV","PADD 4",IF($M2966="PADD V","PADD 5","")))))</f>
        <v>PADD 3</v>
      </c>
      <c r="G2966" s="6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6" t="s">
        <v>39</v>
      </c>
      <c r="I2966" s="6" t="s">
        <v>432</v>
      </c>
      <c r="J2966" s="6" t="s">
        <v>398</v>
      </c>
      <c r="K2966" s="10">
        <v>17</v>
      </c>
      <c r="L2966" s="10">
        <v>50</v>
      </c>
      <c r="M2966" s="6" t="s">
        <v>421</v>
      </c>
      <c r="N2966" s="6">
        <f>IF(OR($G2966="FCC",$G2966="Hydrocracker",$G2966="Reformer"),IF(COUNTIFS($D:$D,$D2966,$A:$A,$A2966,$B:$B,$B2966,$G:$G,"CDU",$J:$J,"PLANNED")&gt;0,"tied","standalone"),"")</f>
        <v/>
      </c>
    </row>
    <row r="2967" spans="1:14">
      <c r="A2967" s="6">
        <v>2024</v>
      </c>
      <c r="B2967" s="6">
        <v>2</v>
      </c>
      <c r="C2967" s="6" t="s">
        <v>61</v>
      </c>
      <c r="D2967" s="6" t="s">
        <v>52</v>
      </c>
      <c r="E2967" s="6" t="s">
        <v>441</v>
      </c>
      <c r="F2967" s="6" t="str">
        <f>IF($M2967="PADD I","PADD 1",IF($M2967="PADD II","PADD 2",IF($M2967="PADD III","PADD 3",IF($M2967="PADD IV","PADD 4",IF($M2967="PADD V","PADD 5","")))))</f>
        <v>PADD 5</v>
      </c>
      <c r="G2967" s="6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6" t="s">
        <v>44</v>
      </c>
      <c r="I2967" s="6" t="s">
        <v>909</v>
      </c>
      <c r="J2967" s="6" t="s">
        <v>394</v>
      </c>
      <c r="K2967" s="10">
        <v>16.8</v>
      </c>
      <c r="L2967" s="10">
        <v>70</v>
      </c>
      <c r="M2967" s="6" t="s">
        <v>436</v>
      </c>
      <c r="N2967" s="6">
        <f>IF(OR($G2967="FCC",$G2967="Hydrocracker",$G2967="Reformer"),IF(COUNTIFS($D:$D,$D2967,$A:$A,$A2967,$B:$B,$B2967,$G:$G,"CDU",$J:$J,"PLANNED")&gt;0,"tied","standalone"),"")</f>
        <v/>
      </c>
    </row>
    <row r="2968" spans="1:14">
      <c r="A2968" s="6">
        <v>2024</v>
      </c>
      <c r="B2968" s="6">
        <v>2</v>
      </c>
      <c r="C2968" s="6" t="s">
        <v>61</v>
      </c>
      <c r="D2968" s="6" t="s">
        <v>652</v>
      </c>
      <c r="E2968" s="6" t="s">
        <v>419</v>
      </c>
      <c r="F2968" s="6" t="str">
        <f>IF($M2968="PADD I","PADD 1",IF($M2968="PADD II","PADD 2",IF($M2968="PADD III","PADD 3",IF($M2968="PADD IV","PADD 4",IF($M2968="PADD V","PADD 5","")))))</f>
        <v>PADD 2</v>
      </c>
      <c r="G2968" s="6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6" t="s">
        <v>471</v>
      </c>
      <c r="I2968" s="6" t="s">
        <v>1173</v>
      </c>
      <c r="J2968" s="6" t="s">
        <v>398</v>
      </c>
      <c r="K2968" s="10">
        <v>16.6</v>
      </c>
      <c r="L2968" s="10">
        <v>20</v>
      </c>
      <c r="M2968" s="6" t="s">
        <v>425</v>
      </c>
      <c r="N2968" s="6" t="str">
        <f>IF(OR($G2968="FCC",$G2968="Hydrocracker",$G2968="Reformer"),IF(COUNTIFS($D:$D,$D2968,$A:$A,$A2968,$B:$B,$B2968,$G:$G,"CDU",$J:$J,"PLANNED")&gt;0,"tied","standalone"),"")</f>
        <v>standalone</v>
      </c>
    </row>
    <row r="2969" spans="1:14">
      <c r="A2969" s="6">
        <v>2024</v>
      </c>
      <c r="B2969" s="6">
        <v>2</v>
      </c>
      <c r="C2969" s="6" t="s">
        <v>61</v>
      </c>
      <c r="D2969" s="6" t="s">
        <v>507</v>
      </c>
      <c r="E2969" s="6" t="s">
        <v>438</v>
      </c>
      <c r="F2969" s="6" t="str">
        <f>IF($M2969="PADD I","PADD 1",IF($M2969="PADD II","PADD 2",IF($M2969="PADD III","PADD 3",IF($M2969="PADD IV","PADD 4",IF($M2969="PADD V","PADD 5","")))))</f>
        <v>PADD 5</v>
      </c>
      <c r="G2969" s="6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6" t="s">
        <v>471</v>
      </c>
      <c r="I2969" s="6" t="s">
        <v>607</v>
      </c>
      <c r="J2969" s="6" t="s">
        <v>394</v>
      </c>
      <c r="K2969" s="10">
        <v>16.6</v>
      </c>
      <c r="L2969" s="10">
        <v>20</v>
      </c>
      <c r="M2969" s="6" t="s">
        <v>436</v>
      </c>
      <c r="N2969" s="6" t="str">
        <f>IF(OR($G2969="FCC",$G2969="Hydrocracker",$G2969="Reformer"),IF(COUNTIFS($D:$D,$D2969,$A:$A,$A2969,$B:$B,$B2969,$G:$G,"CDU",$J:$J,"PLANNED")&gt;0,"tied","standalone"),"")</f>
        <v>tied</v>
      </c>
    </row>
    <row r="2970" spans="1:14">
      <c r="A2970" s="6">
        <v>2024</v>
      </c>
      <c r="B2970" s="6">
        <v>2</v>
      </c>
      <c r="C2970" s="6" t="s">
        <v>61</v>
      </c>
      <c r="D2970" s="6" t="s">
        <v>568</v>
      </c>
      <c r="E2970" s="6" t="s">
        <v>419</v>
      </c>
      <c r="F2970" s="6" t="str">
        <f>IF($M2970="PADD I","PADD 1",IF($M2970="PADD II","PADD 2",IF($M2970="PADD III","PADD 3",IF($M2970="PADD IV","PADD 4",IF($M2970="PADD V","PADD 5","")))))</f>
        <v>PADD 5</v>
      </c>
      <c r="G2970" s="6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6" t="s">
        <v>428</v>
      </c>
      <c r="I2970" s="6" t="s">
        <v>481</v>
      </c>
      <c r="J2970" s="6" t="s">
        <v>394</v>
      </c>
      <c r="K2970" s="10">
        <v>16.5</v>
      </c>
      <c r="L2970" s="10">
        <v>30</v>
      </c>
      <c r="M2970" s="6" t="s">
        <v>436</v>
      </c>
      <c r="N2970" s="6">
        <f>IF(OR($G2970="FCC",$G2970="Hydrocracker",$G2970="Reformer"),IF(COUNTIFS($D:$D,$D2970,$A:$A,$A2970,$B:$B,$B2970,$G:$G,"CDU",$J:$J,"PLANNED")&gt;0,"tied","standalone"),"")</f>
        <v/>
      </c>
    </row>
    <row r="2971" spans="1:14">
      <c r="A2971" s="6">
        <v>2024</v>
      </c>
      <c r="B2971" s="6">
        <v>2</v>
      </c>
      <c r="C2971" s="6" t="s">
        <v>61</v>
      </c>
      <c r="D2971" s="6" t="s">
        <v>487</v>
      </c>
      <c r="E2971" s="6" t="s">
        <v>488</v>
      </c>
      <c r="F2971" s="6" t="str">
        <f>IF($M2971="PADD I","PADD 1",IF($M2971="PADD II","PADD 2",IF($M2971="PADD III","PADD 3",IF($M2971="PADD IV","PADD 4",IF($M2971="PADD V","PADD 5","")))))</f>
        <v>PADD 4</v>
      </c>
      <c r="G2971" s="6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6" t="s">
        <v>39</v>
      </c>
      <c r="I2971" s="6" t="s">
        <v>489</v>
      </c>
      <c r="J2971" s="6" t="s">
        <v>394</v>
      </c>
      <c r="K2971" s="10">
        <v>16.176</v>
      </c>
      <c r="L2971" s="10">
        <v>33.7</v>
      </c>
      <c r="M2971" s="6" t="s">
        <v>480</v>
      </c>
      <c r="N2971" s="6">
        <f>IF(OR($G2971="FCC",$G2971="Hydrocracker",$G2971="Reformer"),IF(COUNTIFS($D:$D,$D2971,$A:$A,$A2971,$B:$B,$B2971,$G:$G,"CDU",$J:$J,"PLANNED")&gt;0,"tied","standalone"),"")</f>
        <v/>
      </c>
    </row>
    <row r="2972" spans="1:14">
      <c r="A2972" s="6">
        <v>2024</v>
      </c>
      <c r="B2972" s="6">
        <v>2</v>
      </c>
      <c r="C2972" s="6" t="s">
        <v>61</v>
      </c>
      <c r="D2972" s="6" t="s">
        <v>507</v>
      </c>
      <c r="E2972" s="6" t="s">
        <v>438</v>
      </c>
      <c r="F2972" s="6" t="str">
        <f>IF($M2972="PADD I","PADD 1",IF($M2972="PADD II","PADD 2",IF($M2972="PADD III","PADD 3",IF($M2972="PADD IV","PADD 4",IF($M2972="PADD V","PADD 5","")))))</f>
        <v>PADD 5</v>
      </c>
      <c r="G2972" s="6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6" t="s">
        <v>428</v>
      </c>
      <c r="I2972" s="6" t="s">
        <v>651</v>
      </c>
      <c r="J2972" s="6" t="s">
        <v>398</v>
      </c>
      <c r="K2972" s="10">
        <v>16.12</v>
      </c>
      <c r="L2972" s="10">
        <v>31</v>
      </c>
      <c r="M2972" s="6" t="s">
        <v>436</v>
      </c>
      <c r="N2972" s="6">
        <f>IF(OR($G2972="FCC",$G2972="Hydrocracker",$G2972="Reformer"),IF(COUNTIFS($D:$D,$D2972,$A:$A,$A2972,$B:$B,$B2972,$G:$G,"CDU",$J:$J,"PLANNED")&gt;0,"tied","standalone"),"")</f>
        <v/>
      </c>
    </row>
    <row r="2973" spans="1:14">
      <c r="A2973" s="6">
        <v>2024</v>
      </c>
      <c r="B2973" s="6">
        <v>2</v>
      </c>
      <c r="C2973" s="6" t="s">
        <v>61</v>
      </c>
      <c r="D2973" s="6" t="s">
        <v>458</v>
      </c>
      <c r="E2973" s="6" t="s">
        <v>459</v>
      </c>
      <c r="F2973" s="6" t="str">
        <f>IF($M2973="PADD I","PADD 1",IF($M2973="PADD II","PADD 2",IF($M2973="PADD III","PADD 3",IF($M2973="PADD IV","PADD 4",IF($M2973="PADD V","PADD 5","")))))</f>
        <v>PADD 3</v>
      </c>
      <c r="G2973" s="6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6" t="s">
        <v>428</v>
      </c>
      <c r="I2973" s="6" t="s">
        <v>556</v>
      </c>
      <c r="J2973" s="6" t="s">
        <v>394</v>
      </c>
      <c r="K2973" s="10">
        <v>15.81</v>
      </c>
      <c r="L2973" s="10">
        <v>51</v>
      </c>
      <c r="M2973" s="6" t="s">
        <v>421</v>
      </c>
      <c r="N2973" s="6">
        <f>IF(OR($G2973="FCC",$G2973="Hydrocracker",$G2973="Reformer"),IF(COUNTIFS($D:$D,$D2973,$A:$A,$A2973,$B:$B,$B2973,$G:$G,"CDU",$J:$J,"PLANNED")&gt;0,"tied","standalone"),"")</f>
        <v/>
      </c>
    </row>
    <row r="2974" spans="1:14">
      <c r="A2974" s="6">
        <v>2024</v>
      </c>
      <c r="B2974" s="6">
        <v>2</v>
      </c>
      <c r="C2974" s="6" t="s">
        <v>61</v>
      </c>
      <c r="D2974" s="6" t="s">
        <v>458</v>
      </c>
      <c r="E2974" s="6" t="s">
        <v>459</v>
      </c>
      <c r="F2974" s="6" t="str">
        <f>IF($M2974="PADD I","PADD 1",IF($M2974="PADD II","PADD 2",IF($M2974="PADD III","PADD 3",IF($M2974="PADD IV","PADD 4",IF($M2974="PADD V","PADD 5","")))))</f>
        <v>PADD 3</v>
      </c>
      <c r="G2974" s="6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6" t="s">
        <v>471</v>
      </c>
      <c r="I2974" s="6" t="s">
        <v>583</v>
      </c>
      <c r="J2974" s="6" t="s">
        <v>394</v>
      </c>
      <c r="K2974" s="10">
        <v>15.75</v>
      </c>
      <c r="L2974" s="10">
        <v>35</v>
      </c>
      <c r="M2974" s="6" t="s">
        <v>421</v>
      </c>
      <c r="N2974" s="6" t="str">
        <f>IF(OR($G2974="FCC",$G2974="Hydrocracker",$G2974="Reformer"),IF(COUNTIFS($D:$D,$D2974,$A:$A,$A2974,$B:$B,$B2974,$G:$G,"CDU",$J:$J,"PLANNED")&gt;0,"tied","standalone"),"")</f>
        <v>standalone</v>
      </c>
    </row>
    <row r="2975" spans="1:14">
      <c r="A2975" s="6">
        <v>2024</v>
      </c>
      <c r="B2975" s="6">
        <v>2</v>
      </c>
      <c r="C2975" s="6" t="s">
        <v>61</v>
      </c>
      <c r="D2975" s="6" t="s">
        <v>507</v>
      </c>
      <c r="E2975" s="6" t="s">
        <v>438</v>
      </c>
      <c r="F2975" s="6" t="str">
        <f>IF($M2975="PADD I","PADD 1",IF($M2975="PADD II","PADD 2",IF($M2975="PADD III","PADD 3",IF($M2975="PADD IV","PADD 4",IF($M2975="PADD V","PADD 5","")))))</f>
        <v>PADD 5</v>
      </c>
      <c r="G2975" s="6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6" t="s">
        <v>39</v>
      </c>
      <c r="I2975" s="6" t="s">
        <v>136</v>
      </c>
      <c r="J2975" s="6" t="s">
        <v>398</v>
      </c>
      <c r="K2975" s="10">
        <v>15.6</v>
      </c>
      <c r="L2975" s="10">
        <v>30</v>
      </c>
      <c r="M2975" s="6" t="s">
        <v>436</v>
      </c>
      <c r="N2975" s="6">
        <f>IF(OR($G2975="FCC",$G2975="Hydrocracker",$G2975="Reformer"),IF(COUNTIFS($D:$D,$D2975,$A:$A,$A2975,$B:$B,$B2975,$G:$G,"CDU",$J:$J,"PLANNED")&gt;0,"tied","standalone"),"")</f>
        <v/>
      </c>
    </row>
    <row r="2976" spans="1:14">
      <c r="A2976" s="6">
        <v>2024</v>
      </c>
      <c r="B2976" s="6">
        <v>2</v>
      </c>
      <c r="C2976" s="6" t="s">
        <v>61</v>
      </c>
      <c r="D2976" s="6" t="s">
        <v>458</v>
      </c>
      <c r="E2976" s="6" t="s">
        <v>459</v>
      </c>
      <c r="F2976" s="6" t="str">
        <f>IF($M2976="PADD I","PADD 1",IF($M2976="PADD II","PADD 2",IF($M2976="PADD III","PADD 3",IF($M2976="PADD IV","PADD 4",IF($M2976="PADD V","PADD 5","")))))</f>
        <v>PADD 3</v>
      </c>
      <c r="G2976" s="6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6" t="s">
        <v>44</v>
      </c>
      <c r="I2976" s="6" t="s">
        <v>514</v>
      </c>
      <c r="J2976" s="6" t="s">
        <v>394</v>
      </c>
      <c r="K2976" s="10">
        <v>15.5</v>
      </c>
      <c r="L2976" s="10">
        <v>50</v>
      </c>
      <c r="M2976" s="6" t="s">
        <v>421</v>
      </c>
      <c r="N2976" s="6">
        <f>IF(OR($G2976="FCC",$G2976="Hydrocracker",$G2976="Reformer"),IF(COUNTIFS($D:$D,$D2976,$A:$A,$A2976,$B:$B,$B2976,$G:$G,"CDU",$J:$J,"PLANNED")&gt;0,"tied","standalone"),"")</f>
        <v/>
      </c>
    </row>
    <row r="2977" spans="1:14">
      <c r="A2977" s="6">
        <v>2024</v>
      </c>
      <c r="B2977" s="6">
        <v>2</v>
      </c>
      <c r="C2977" s="6" t="s">
        <v>61</v>
      </c>
      <c r="D2977" s="6" t="s">
        <v>984</v>
      </c>
      <c r="E2977" s="6" t="s">
        <v>438</v>
      </c>
      <c r="F2977" s="6" t="str">
        <f>IF($M2977="PADD I","PADD 1",IF($M2977="PADD II","PADD 2",IF($M2977="PADD III","PADD 3",IF($M2977="PADD IV","PADD 4",IF($M2977="PADD V","PADD 5","")))))</f>
        <v>PADD 3</v>
      </c>
      <c r="G2977" s="6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6" t="s">
        <v>44</v>
      </c>
      <c r="I2977" s="6" t="s">
        <v>508</v>
      </c>
      <c r="J2977" s="6" t="s">
        <v>398</v>
      </c>
      <c r="K2977" s="10">
        <v>15.5</v>
      </c>
      <c r="L2977" s="10">
        <v>25</v>
      </c>
      <c r="M2977" s="6" t="s">
        <v>421</v>
      </c>
      <c r="N2977" s="6">
        <f>IF(OR($G2977="FCC",$G2977="Hydrocracker",$G2977="Reformer"),IF(COUNTIFS($D:$D,$D2977,$A:$A,$A2977,$B:$B,$B2977,$G:$G,"CDU",$J:$J,"PLANNED")&gt;0,"tied","standalone"),"")</f>
        <v/>
      </c>
    </row>
    <row r="2978" spans="1:14">
      <c r="A2978" s="6">
        <v>2024</v>
      </c>
      <c r="B2978" s="6">
        <v>2</v>
      </c>
      <c r="C2978" s="6" t="s">
        <v>61</v>
      </c>
      <c r="D2978" s="6" t="s">
        <v>665</v>
      </c>
      <c r="E2978" s="6" t="s">
        <v>455</v>
      </c>
      <c r="F2978" s="6" t="str">
        <f>IF($M2978="PADD I","PADD 1",IF($M2978="PADD II","PADD 2",IF($M2978="PADD III","PADD 3",IF($M2978="PADD IV","PADD 4",IF($M2978="PADD V","PADD 5","")))))</f>
        <v>PADD 5</v>
      </c>
      <c r="G2978" s="6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6" t="s">
        <v>471</v>
      </c>
      <c r="I2978" s="6" t="s">
        <v>716</v>
      </c>
      <c r="J2978" s="6" t="s">
        <v>394</v>
      </c>
      <c r="K2978" s="10">
        <v>15.2</v>
      </c>
      <c r="L2978" s="10">
        <v>40</v>
      </c>
      <c r="M2978" s="6" t="s">
        <v>436</v>
      </c>
      <c r="N2978" s="6" t="str">
        <f>IF(OR($G2978="FCC",$G2978="Hydrocracker",$G2978="Reformer"),IF(COUNTIFS($D:$D,$D2978,$A:$A,$A2978,$B:$B,$B2978,$G:$G,"CDU",$J:$J,"PLANNED")&gt;0,"tied","standalone"),"")</f>
        <v>standalone</v>
      </c>
    </row>
    <row r="2979" spans="1:14">
      <c r="A2979" s="6">
        <v>2024</v>
      </c>
      <c r="B2979" s="6">
        <v>2</v>
      </c>
      <c r="C2979" s="6" t="s">
        <v>61</v>
      </c>
      <c r="D2979" s="6" t="s">
        <v>512</v>
      </c>
      <c r="E2979" s="6" t="s">
        <v>488</v>
      </c>
      <c r="F2979" s="6" t="str">
        <f>IF($M2979="PADD I","PADD 1",IF($M2979="PADD II","PADD 2",IF($M2979="PADD III","PADD 3",IF($M2979="PADD IV","PADD 4",IF($M2979="PADD V","PADD 5","")))))</f>
        <v>PADD 4</v>
      </c>
      <c r="G2979" s="6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6" t="s">
        <v>39</v>
      </c>
      <c r="I2979" s="6" t="s">
        <v>124</v>
      </c>
      <c r="J2979" s="6" t="s">
        <v>394</v>
      </c>
      <c r="K2979" s="10">
        <v>14.4</v>
      </c>
      <c r="L2979" s="10">
        <v>32</v>
      </c>
      <c r="M2979" s="6" t="s">
        <v>480</v>
      </c>
      <c r="N2979" s="6">
        <f>IF(OR($G2979="FCC",$G2979="Hydrocracker",$G2979="Reformer"),IF(COUNTIFS($D:$D,$D2979,$A:$A,$A2979,$B:$B,$B2979,$G:$G,"CDU",$J:$J,"PLANNED")&gt;0,"tied","standalone"),"")</f>
        <v/>
      </c>
    </row>
    <row r="2980" spans="1:14">
      <c r="A2980" s="6">
        <v>2024</v>
      </c>
      <c r="B2980" s="6">
        <v>2</v>
      </c>
      <c r="C2980" s="6" t="s">
        <v>61</v>
      </c>
      <c r="D2980" s="6" t="s">
        <v>465</v>
      </c>
      <c r="E2980" s="6" t="s">
        <v>466</v>
      </c>
      <c r="F2980" s="6" t="str">
        <f>IF($M2980="PADD I","PADD 1",IF($M2980="PADD II","PADD 2",IF($M2980="PADD III","PADD 3",IF($M2980="PADD IV","PADD 4",IF($M2980="PADD V","PADD 5","")))))</f>
        <v>PADD 3</v>
      </c>
      <c r="G2980" s="6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6" t="s">
        <v>471</v>
      </c>
      <c r="I2980" s="6" t="s">
        <v>698</v>
      </c>
      <c r="J2980" s="6" t="s">
        <v>398</v>
      </c>
      <c r="K2980" s="10">
        <v>14.4</v>
      </c>
      <c r="L2980" s="10">
        <v>30</v>
      </c>
      <c r="M2980" s="6" t="s">
        <v>421</v>
      </c>
      <c r="N2980" s="6" t="str">
        <f>IF(OR($G2980="FCC",$G2980="Hydrocracker",$G2980="Reformer"),IF(COUNTIFS($D:$D,$D2980,$A:$A,$A2980,$B:$B,$B2980,$G:$G,"CDU",$J:$J,"PLANNED")&gt;0,"tied","standalone"),"")</f>
        <v>tied</v>
      </c>
    </row>
    <row r="2981" spans="1:14">
      <c r="A2981" s="6">
        <v>2024</v>
      </c>
      <c r="B2981" s="6">
        <v>2</v>
      </c>
      <c r="C2981" s="6" t="s">
        <v>61</v>
      </c>
      <c r="D2981" s="6" t="s">
        <v>568</v>
      </c>
      <c r="E2981" s="6" t="s">
        <v>419</v>
      </c>
      <c r="F2981" s="6" t="str">
        <f>IF($M2981="PADD I","PADD 1",IF($M2981="PADD II","PADD 2",IF($M2981="PADD III","PADD 3",IF($M2981="PADD IV","PADD 4",IF($M2981="PADD V","PADD 5","")))))</f>
        <v>PADD 5</v>
      </c>
      <c r="G2981" s="6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6" t="s">
        <v>39</v>
      </c>
      <c r="I2981" s="6" t="s">
        <v>603</v>
      </c>
      <c r="J2981" s="6" t="s">
        <v>394</v>
      </c>
      <c r="K2981" s="10">
        <v>14.4</v>
      </c>
      <c r="L2981" s="10">
        <v>32</v>
      </c>
      <c r="M2981" s="6" t="s">
        <v>436</v>
      </c>
      <c r="N2981" s="6">
        <f>IF(OR($G2981="FCC",$G2981="Hydrocracker",$G2981="Reformer"),IF(COUNTIFS($D:$D,$D2981,$A:$A,$A2981,$B:$B,$B2981,$G:$G,"CDU",$J:$J,"PLANNED")&gt;0,"tied","standalone"),"")</f>
        <v/>
      </c>
    </row>
    <row r="2982" spans="1:14">
      <c r="A2982" s="6">
        <v>2024</v>
      </c>
      <c r="B2982" s="6">
        <v>2</v>
      </c>
      <c r="C2982" s="6" t="s">
        <v>61</v>
      </c>
      <c r="D2982" s="6" t="s">
        <v>515</v>
      </c>
      <c r="E2982" s="6" t="s">
        <v>419</v>
      </c>
      <c r="F2982" s="6" t="str">
        <f>IF($M2982="PADD I","PADD 1",IF($M2982="PADD II","PADD 2",IF($M2982="PADD III","PADD 3",IF($M2982="PADD IV","PADD 4",IF($M2982="PADD V","PADD 5","")))))</f>
        <v>PADD 5</v>
      </c>
      <c r="G2982" s="6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6" t="s">
        <v>471</v>
      </c>
      <c r="I2982" s="6" t="s">
        <v>723</v>
      </c>
      <c r="J2982" s="6" t="s">
        <v>398</v>
      </c>
      <c r="K2982" s="10">
        <v>13.8</v>
      </c>
      <c r="L2982" s="10">
        <v>20</v>
      </c>
      <c r="M2982" s="6" t="s">
        <v>436</v>
      </c>
      <c r="N2982" s="6" t="str">
        <f>IF(OR($G2982="FCC",$G2982="Hydrocracker",$G2982="Reformer"),IF(COUNTIFS($D:$D,$D2982,$A:$A,$A2982,$B:$B,$B2982,$G:$G,"CDU",$J:$J,"PLANNED")&gt;0,"tied","standalone"),"")</f>
        <v>standalone</v>
      </c>
    </row>
    <row r="2983" spans="1:14">
      <c r="A2983" s="6">
        <v>2024</v>
      </c>
      <c r="B2983" s="6">
        <v>2</v>
      </c>
      <c r="C2983" s="6" t="s">
        <v>61</v>
      </c>
      <c r="D2983" s="6" t="s">
        <v>678</v>
      </c>
      <c r="E2983" s="6" t="s">
        <v>438</v>
      </c>
      <c r="F2983" s="6" t="str">
        <f>IF($M2983="PADD I","PADD 1",IF($M2983="PADD II","PADD 2",IF($M2983="PADD III","PADD 3",IF($M2983="PADD IV","PADD 4",IF($M2983="PADD V","PADD 5","")))))</f>
        <v>PADD 3</v>
      </c>
      <c r="G2983" s="6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6" t="s">
        <v>510</v>
      </c>
      <c r="I2983" s="6" t="s">
        <v>666</v>
      </c>
      <c r="J2983" s="6" t="s">
        <v>394</v>
      </c>
      <c r="K2983" s="10">
        <v>13.8</v>
      </c>
      <c r="L2983" s="10">
        <v>13.8</v>
      </c>
      <c r="M2983" s="6" t="s">
        <v>421</v>
      </c>
      <c r="N2983" s="6">
        <f>IF(OR($G2983="FCC",$G2983="Hydrocracker",$G2983="Reformer"),IF(COUNTIFS($D:$D,$D2983,$A:$A,$A2983,$B:$B,$B2983,$G:$G,"CDU",$J:$J,"PLANNED")&gt;0,"tied","standalone"),"")</f>
        <v/>
      </c>
    </row>
    <row r="2984" spans="1:14">
      <c r="A2984" s="6">
        <v>2024</v>
      </c>
      <c r="B2984" s="6">
        <v>2</v>
      </c>
      <c r="C2984" s="6" t="s">
        <v>61</v>
      </c>
      <c r="D2984" s="6" t="s">
        <v>652</v>
      </c>
      <c r="E2984" s="6" t="s">
        <v>419</v>
      </c>
      <c r="F2984" s="6" t="str">
        <f>IF($M2984="PADD I","PADD 1",IF($M2984="PADD II","PADD 2",IF($M2984="PADD III","PADD 3",IF($M2984="PADD IV","PADD 4",IF($M2984="PADD V","PADD 5","")))))</f>
        <v>PADD 2</v>
      </c>
      <c r="G2984" s="6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6" t="s">
        <v>426</v>
      </c>
      <c r="I2984" s="6" t="s">
        <v>1174</v>
      </c>
      <c r="J2984" s="6" t="s">
        <v>394</v>
      </c>
      <c r="K2984" s="10">
        <v>13.64</v>
      </c>
      <c r="L2984" s="10">
        <v>44</v>
      </c>
      <c r="M2984" s="6" t="s">
        <v>425</v>
      </c>
      <c r="N2984" s="6" t="str">
        <f>IF(OR($G2984="FCC",$G2984="Hydrocracker",$G2984="Reformer"),IF(COUNTIFS($D:$D,$D2984,$A:$A,$A2984,$B:$B,$B2984,$G:$G,"CDU",$J:$J,"PLANNED")&gt;0,"tied","standalone"),"")</f>
        <v>standalone</v>
      </c>
    </row>
    <row r="2985" spans="1:14">
      <c r="A2985" s="6">
        <v>2024</v>
      </c>
      <c r="B2985" s="6">
        <v>2</v>
      </c>
      <c r="C2985" s="6" t="s">
        <v>61</v>
      </c>
      <c r="D2985" s="6" t="s">
        <v>375</v>
      </c>
      <c r="E2985" s="6" t="s">
        <v>435</v>
      </c>
      <c r="F2985" s="6" t="str">
        <f>IF($M2985="PADD I","PADD 1",IF($M2985="PADD II","PADD 2",IF($M2985="PADD III","PADD 3",IF($M2985="PADD IV","PADD 4",IF($M2985="PADD V","PADD 5","")))))</f>
        <v>PADD 5</v>
      </c>
      <c r="G2985" s="6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6" t="s">
        <v>485</v>
      </c>
      <c r="I2985" s="6" t="s">
        <v>491</v>
      </c>
      <c r="J2985" s="6" t="s">
        <v>394</v>
      </c>
      <c r="K2985" s="10">
        <v>13.64</v>
      </c>
      <c r="L2985" s="10">
        <v>22</v>
      </c>
      <c r="M2985" s="6" t="s">
        <v>436</v>
      </c>
      <c r="N2985" s="6">
        <f>IF(OR($G2985="FCC",$G2985="Hydrocracker",$G2985="Reformer"),IF(COUNTIFS($D:$D,$D2985,$A:$A,$A2985,$B:$B,$B2985,$G:$G,"CDU",$J:$J,"PLANNED")&gt;0,"tied","standalone"),"")</f>
        <v/>
      </c>
    </row>
    <row r="2986" spans="1:14">
      <c r="A2986" s="6">
        <v>2024</v>
      </c>
      <c r="B2986" s="6">
        <v>2</v>
      </c>
      <c r="C2986" s="6" t="s">
        <v>61</v>
      </c>
      <c r="D2986" s="6" t="s">
        <v>597</v>
      </c>
      <c r="E2986" s="6" t="s">
        <v>441</v>
      </c>
      <c r="F2986" s="6" t="str">
        <f>IF($M2986="PADD I","PADD 1",IF($M2986="PADD II","PADD 2",IF($M2986="PADD III","PADD 3",IF($M2986="PADD IV","PADD 4",IF($M2986="PADD V","PADD 5","")))))</f>
        <v>PADD 5</v>
      </c>
      <c r="G2986" s="6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6" t="s">
        <v>426</v>
      </c>
      <c r="I2986" s="6" t="s">
        <v>106</v>
      </c>
      <c r="J2986" s="6" t="s">
        <v>394</v>
      </c>
      <c r="K2986" s="10">
        <v>13.6</v>
      </c>
      <c r="L2986" s="10">
        <v>80</v>
      </c>
      <c r="M2986" s="6" t="s">
        <v>436</v>
      </c>
      <c r="N2986" s="6" t="str">
        <f>IF(OR($G2986="FCC",$G2986="Hydrocracker",$G2986="Reformer"),IF(COUNTIFS($D:$D,$D2986,$A:$A,$A2986,$B:$B,$B2986,$G:$G,"CDU",$J:$J,"PLANNED")&gt;0,"tied","standalone"),"")</f>
        <v>standalone</v>
      </c>
    </row>
    <row r="2987" spans="1:14">
      <c r="A2987" s="6">
        <v>2024</v>
      </c>
      <c r="B2987" s="6">
        <v>2</v>
      </c>
      <c r="C2987" s="6" t="s">
        <v>61</v>
      </c>
      <c r="D2987" s="6" t="s">
        <v>665</v>
      </c>
      <c r="E2987" s="6" t="s">
        <v>455</v>
      </c>
      <c r="F2987" s="6" t="str">
        <f>IF($M2987="PADD I","PADD 1",IF($M2987="PADD II","PADD 2",IF($M2987="PADD III","PADD 3",IF($M2987="PADD IV","PADD 4",IF($M2987="PADD V","PADD 5","")))))</f>
        <v>PADD 5</v>
      </c>
      <c r="G2987" s="6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6" t="s">
        <v>471</v>
      </c>
      <c r="I2987" s="6" t="s">
        <v>716</v>
      </c>
      <c r="J2987" s="6" t="s">
        <v>398</v>
      </c>
      <c r="K2987" s="10">
        <v>13.6</v>
      </c>
      <c r="L2987" s="10">
        <v>40</v>
      </c>
      <c r="M2987" s="6" t="s">
        <v>436</v>
      </c>
      <c r="N2987" s="6" t="str">
        <f>IF(OR($G2987="FCC",$G2987="Hydrocracker",$G2987="Reformer"),IF(COUNTIFS($D:$D,$D2987,$A:$A,$A2987,$B:$B,$B2987,$G:$G,"CDU",$J:$J,"PLANNED")&gt;0,"tied","standalone"),"")</f>
        <v>standalone</v>
      </c>
    </row>
    <row r="2988" spans="1:14">
      <c r="A2988" s="6">
        <v>2024</v>
      </c>
      <c r="B2988" s="6">
        <v>2</v>
      </c>
      <c r="C2988" s="6" t="s">
        <v>61</v>
      </c>
      <c r="D2988" s="6" t="s">
        <v>445</v>
      </c>
      <c r="E2988" s="6" t="s">
        <v>446</v>
      </c>
      <c r="F2988" s="6" t="str">
        <f>IF($M2988="PADD I","PADD 1",IF($M2988="PADD II","PADD 2",IF($M2988="PADD III","PADD 3",IF($M2988="PADD IV","PADD 4",IF($M2988="PADD V","PADD 5","")))))</f>
        <v>PADD 3</v>
      </c>
      <c r="G2988" s="6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6" t="s">
        <v>471</v>
      </c>
      <c r="I2988" s="6" t="s">
        <v>590</v>
      </c>
      <c r="J2988" s="6" t="s">
        <v>398</v>
      </c>
      <c r="K2988" s="10">
        <v>13.5</v>
      </c>
      <c r="L2988" s="10">
        <v>30</v>
      </c>
      <c r="M2988" s="6" t="s">
        <v>421</v>
      </c>
      <c r="N2988" s="6" t="str">
        <f>IF(OR($G2988="FCC",$G2988="Hydrocracker",$G2988="Reformer"),IF(COUNTIFS($D:$D,$D2988,$A:$A,$A2988,$B:$B,$B2988,$G:$G,"CDU",$J:$J,"PLANNED")&gt;0,"tied","standalone"),"")</f>
        <v>standalone</v>
      </c>
    </row>
    <row r="2989" spans="1:14">
      <c r="A2989" s="6">
        <v>2024</v>
      </c>
      <c r="B2989" s="6">
        <v>2</v>
      </c>
      <c r="C2989" s="6" t="s">
        <v>61</v>
      </c>
      <c r="D2989" s="6" t="s">
        <v>430</v>
      </c>
      <c r="E2989" s="6" t="s">
        <v>431</v>
      </c>
      <c r="F2989" s="6" t="str">
        <f>IF($M2989="PADD I","PADD 1",IF($M2989="PADD II","PADD 2",IF($M2989="PADD III","PADD 3",IF($M2989="PADD IV","PADD 4",IF($M2989="PADD V","PADD 5","")))))</f>
        <v>PADD 3</v>
      </c>
      <c r="G2989" s="6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6" t="s">
        <v>471</v>
      </c>
      <c r="I2989" s="6" t="s">
        <v>1175</v>
      </c>
      <c r="J2989" s="6" t="s">
        <v>394</v>
      </c>
      <c r="K2989" s="10">
        <v>13.26</v>
      </c>
      <c r="L2989" s="10">
        <v>39</v>
      </c>
      <c r="M2989" s="6" t="s">
        <v>421</v>
      </c>
      <c r="N2989" s="6" t="str">
        <f>IF(OR($G2989="FCC",$G2989="Hydrocracker",$G2989="Reformer"),IF(COUNTIFS($D:$D,$D2989,$A:$A,$A2989,$B:$B,$B2989,$G:$G,"CDU",$J:$J,"PLANNED")&gt;0,"tied","standalone"),"")</f>
        <v>tied</v>
      </c>
    </row>
    <row r="2990" spans="1:14">
      <c r="A2990" s="6">
        <v>2024</v>
      </c>
      <c r="B2990" s="6">
        <v>2</v>
      </c>
      <c r="C2990" s="6" t="s">
        <v>61</v>
      </c>
      <c r="D2990" s="6" t="s">
        <v>430</v>
      </c>
      <c r="E2990" s="6" t="s">
        <v>431</v>
      </c>
      <c r="F2990" s="6" t="str">
        <f>IF($M2990="PADD I","PADD 1",IF($M2990="PADD II","PADD 2",IF($M2990="PADD III","PADD 3",IF($M2990="PADD IV","PADD 4",IF($M2990="PADD V","PADD 5","")))))</f>
        <v>PADD 3</v>
      </c>
      <c r="G2990" s="6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6" t="s">
        <v>471</v>
      </c>
      <c r="I2990" s="6" t="s">
        <v>1176</v>
      </c>
      <c r="J2990" s="6" t="s">
        <v>394</v>
      </c>
      <c r="K2990" s="10">
        <v>13.26</v>
      </c>
      <c r="L2990" s="10">
        <v>39</v>
      </c>
      <c r="M2990" s="6" t="s">
        <v>421</v>
      </c>
      <c r="N2990" s="6" t="str">
        <f>IF(OR($G2990="FCC",$G2990="Hydrocracker",$G2990="Reformer"),IF(COUNTIFS($D:$D,$D2990,$A:$A,$A2990,$B:$B,$B2990,$G:$G,"CDU",$J:$J,"PLANNED")&gt;0,"tied","standalone"),"")</f>
        <v>tied</v>
      </c>
    </row>
    <row r="2991" spans="1:14">
      <c r="A2991" s="6">
        <v>2024</v>
      </c>
      <c r="B2991" s="6">
        <v>2</v>
      </c>
      <c r="C2991" s="6" t="s">
        <v>61</v>
      </c>
      <c r="D2991" s="6" t="s">
        <v>915</v>
      </c>
      <c r="E2991" s="6" t="s">
        <v>419</v>
      </c>
      <c r="F2991" s="6" t="str">
        <f>IF($M2991="PADD I","PADD 1",IF($M2991="PADD II","PADD 2",IF($M2991="PADD III","PADD 3",IF($M2991="PADD IV","PADD 4",IF($M2991="PADD V","PADD 5","")))))</f>
        <v>PADD 4</v>
      </c>
      <c r="G2991" s="6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6" t="s">
        <v>39</v>
      </c>
      <c r="I2991" s="6" t="s">
        <v>1177</v>
      </c>
      <c r="J2991" s="6" t="s">
        <v>394</v>
      </c>
      <c r="K2991" s="10">
        <v>13.2</v>
      </c>
      <c r="L2991" s="10">
        <v>20</v>
      </c>
      <c r="M2991" s="6" t="s">
        <v>480</v>
      </c>
      <c r="N2991" s="6">
        <f>IF(OR($G2991="FCC",$G2991="Hydrocracker",$G2991="Reformer"),IF(COUNTIFS($D:$D,$D2991,$A:$A,$A2991,$B:$B,$B2991,$G:$G,"CDU",$J:$J,"PLANNED")&gt;0,"tied","standalone"),"")</f>
        <v/>
      </c>
    </row>
    <row r="2992" spans="1:14">
      <c r="A2992" s="6">
        <v>2024</v>
      </c>
      <c r="B2992" s="6">
        <v>2</v>
      </c>
      <c r="C2992" s="6" t="s">
        <v>61</v>
      </c>
      <c r="D2992" s="6" t="s">
        <v>792</v>
      </c>
      <c r="E2992" s="6" t="s">
        <v>438</v>
      </c>
      <c r="F2992" s="6" t="str">
        <f>IF($M2992="PADD I","PADD 1",IF($M2992="PADD II","PADD 2",IF($M2992="PADD III","PADD 3",IF($M2992="PADD IV","PADD 4",IF($M2992="PADD V","PADD 5","")))))</f>
        <v>PADD 5</v>
      </c>
      <c r="G2992" s="6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6" t="s">
        <v>44</v>
      </c>
      <c r="I2992" s="6" t="s">
        <v>962</v>
      </c>
      <c r="J2992" s="6" t="s">
        <v>394</v>
      </c>
      <c r="K2992" s="10">
        <v>13.12</v>
      </c>
      <c r="L2992" s="10">
        <v>32</v>
      </c>
      <c r="M2992" s="6" t="s">
        <v>436</v>
      </c>
      <c r="N2992" s="6">
        <f>IF(OR($G2992="FCC",$G2992="Hydrocracker",$G2992="Reformer"),IF(COUNTIFS($D:$D,$D2992,$A:$A,$A2992,$B:$B,$B2992,$G:$G,"CDU",$J:$J,"PLANNED")&gt;0,"tied","standalone"),"")</f>
        <v/>
      </c>
    </row>
    <row r="2993" spans="1:14">
      <c r="A2993" s="6">
        <v>2024</v>
      </c>
      <c r="B2993" s="6">
        <v>2</v>
      </c>
      <c r="C2993" s="6" t="s">
        <v>61</v>
      </c>
      <c r="D2993" s="6" t="s">
        <v>764</v>
      </c>
      <c r="E2993" s="6" t="s">
        <v>455</v>
      </c>
      <c r="F2993" s="6" t="str">
        <f>IF($M2993="PADD I","PADD 1",IF($M2993="PADD II","PADD 2",IF($M2993="PADD III","PADD 3",IF($M2993="PADD IV","PADD 4",IF($M2993="PADD V","PADD 5","")))))</f>
        <v>PADD 3</v>
      </c>
      <c r="G2993" s="6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6" t="s">
        <v>426</v>
      </c>
      <c r="I2993" s="6" t="s">
        <v>106</v>
      </c>
      <c r="J2993" s="6" t="s">
        <v>394</v>
      </c>
      <c r="K2993" s="10">
        <v>13.0728</v>
      </c>
      <c r="L2993" s="10">
        <v>54.47</v>
      </c>
      <c r="M2993" s="6" t="s">
        <v>421</v>
      </c>
      <c r="N2993" s="6" t="str">
        <f>IF(OR($G2993="FCC",$G2993="Hydrocracker",$G2993="Reformer"),IF(COUNTIFS($D:$D,$D2993,$A:$A,$A2993,$B:$B,$B2993,$G:$G,"CDU",$J:$J,"PLANNED")&gt;0,"tied","standalone"),"")</f>
        <v>standalone</v>
      </c>
    </row>
    <row r="2994" spans="1:14">
      <c r="A2994" s="6">
        <v>2024</v>
      </c>
      <c r="B2994" s="6">
        <v>2</v>
      </c>
      <c r="C2994" s="6" t="s">
        <v>61</v>
      </c>
      <c r="D2994" s="6" t="s">
        <v>458</v>
      </c>
      <c r="E2994" s="6" t="s">
        <v>459</v>
      </c>
      <c r="F2994" s="6" t="str">
        <f>IF($M2994="PADD I","PADD 1",IF($M2994="PADD II","PADD 2",IF($M2994="PADD III","PADD 3",IF($M2994="PADD IV","PADD 4",IF($M2994="PADD V","PADD 5","")))))</f>
        <v>PADD 3</v>
      </c>
      <c r="G2994" s="6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6" t="s">
        <v>44</v>
      </c>
      <c r="I2994" s="6" t="s">
        <v>528</v>
      </c>
      <c r="J2994" s="6" t="s">
        <v>394</v>
      </c>
      <c r="K2994" s="10">
        <v>13.02</v>
      </c>
      <c r="L2994" s="10">
        <v>42</v>
      </c>
      <c r="M2994" s="6" t="s">
        <v>421</v>
      </c>
      <c r="N2994" s="6">
        <f>IF(OR($G2994="FCC",$G2994="Hydrocracker",$G2994="Reformer"),IF(COUNTIFS($D:$D,$D2994,$A:$A,$A2994,$B:$B,$B2994,$G:$G,"CDU",$J:$J,"PLANNED")&gt;0,"tied","standalone"),"")</f>
        <v/>
      </c>
    </row>
    <row r="2995" spans="1:14">
      <c r="A2995" s="6">
        <v>2024</v>
      </c>
      <c r="B2995" s="6">
        <v>2</v>
      </c>
      <c r="C2995" s="6" t="s">
        <v>61</v>
      </c>
      <c r="D2995" s="6" t="s">
        <v>507</v>
      </c>
      <c r="E2995" s="6" t="s">
        <v>438</v>
      </c>
      <c r="F2995" s="6" t="str">
        <f>IF($M2995="PADD I","PADD 1",IF($M2995="PADD II","PADD 2",IF($M2995="PADD III","PADD 3",IF($M2995="PADD IV","PADD 4",IF($M2995="PADD V","PADD 5","")))))</f>
        <v>PADD 5</v>
      </c>
      <c r="G2995" s="6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6" t="s">
        <v>44</v>
      </c>
      <c r="I2995" s="6" t="s">
        <v>1143</v>
      </c>
      <c r="J2995" s="6" t="s">
        <v>398</v>
      </c>
      <c r="K2995" s="10">
        <v>13</v>
      </c>
      <c r="L2995" s="10">
        <v>25</v>
      </c>
      <c r="M2995" s="6" t="s">
        <v>436</v>
      </c>
      <c r="N2995" s="6">
        <f>IF(OR($G2995="FCC",$G2995="Hydrocracker",$G2995="Reformer"),IF(COUNTIFS($D:$D,$D2995,$A:$A,$A2995,$B:$B,$B2995,$G:$G,"CDU",$J:$J,"PLANNED")&gt;0,"tied","standalone"),"")</f>
        <v/>
      </c>
    </row>
    <row r="2996" spans="1:14">
      <c r="A2996" s="6">
        <v>2024</v>
      </c>
      <c r="B2996" s="6">
        <v>2</v>
      </c>
      <c r="C2996" s="6" t="s">
        <v>61</v>
      </c>
      <c r="D2996" s="6" t="s">
        <v>507</v>
      </c>
      <c r="E2996" s="6" t="s">
        <v>438</v>
      </c>
      <c r="F2996" s="6" t="str">
        <f>IF($M2996="PADD I","PADD 1",IF($M2996="PADD II","PADD 2",IF($M2996="PADD III","PADD 3",IF($M2996="PADD IV","PADD 4",IF($M2996="PADD V","PADD 5","")))))</f>
        <v>PADD 5</v>
      </c>
      <c r="G2996" s="6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6" t="s">
        <v>44</v>
      </c>
      <c r="I2996" s="6" t="s">
        <v>1144</v>
      </c>
      <c r="J2996" s="6" t="s">
        <v>398</v>
      </c>
      <c r="K2996" s="10">
        <v>13</v>
      </c>
      <c r="L2996" s="10">
        <v>25</v>
      </c>
      <c r="M2996" s="6" t="s">
        <v>436</v>
      </c>
      <c r="N2996" s="6">
        <f>IF(OR($G2996="FCC",$G2996="Hydrocracker",$G2996="Reformer"),IF(COUNTIFS($D:$D,$D2996,$A:$A,$A2996,$B:$B,$B2996,$G:$G,"CDU",$J:$J,"PLANNED")&gt;0,"tied","standalone"),"")</f>
        <v/>
      </c>
    </row>
    <row r="2997" spans="1:14">
      <c r="A2997" s="6">
        <v>2024</v>
      </c>
      <c r="B2997" s="6">
        <v>2</v>
      </c>
      <c r="C2997" s="6" t="s">
        <v>61</v>
      </c>
      <c r="D2997" s="6" t="s">
        <v>375</v>
      </c>
      <c r="E2997" s="6" t="s">
        <v>435</v>
      </c>
      <c r="F2997" s="6" t="str">
        <f>IF($M2997="PADD I","PADD 1",IF($M2997="PADD II","PADD 2",IF($M2997="PADD III","PADD 3",IF($M2997="PADD IV","PADD 4",IF($M2997="PADD V","PADD 5","")))))</f>
        <v>PADD 5</v>
      </c>
      <c r="G2997" s="6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6" t="s">
        <v>485</v>
      </c>
      <c r="I2997" s="6" t="s">
        <v>863</v>
      </c>
      <c r="J2997" s="6" t="s">
        <v>394</v>
      </c>
      <c r="K2997" s="10">
        <v>12.958</v>
      </c>
      <c r="L2997" s="10">
        <v>20.9</v>
      </c>
      <c r="M2997" s="6" t="s">
        <v>436</v>
      </c>
      <c r="N2997" s="6">
        <f>IF(OR($G2997="FCC",$G2997="Hydrocracker",$G2997="Reformer"),IF(COUNTIFS($D:$D,$D2997,$A:$A,$A2997,$B:$B,$B2997,$G:$G,"CDU",$J:$J,"PLANNED")&gt;0,"tied","standalone"),"")</f>
        <v/>
      </c>
    </row>
    <row r="2998" spans="1:14">
      <c r="A2998" s="6">
        <v>2024</v>
      </c>
      <c r="B2998" s="6">
        <v>2</v>
      </c>
      <c r="C2998" s="6" t="s">
        <v>61</v>
      </c>
      <c r="D2998" s="6" t="s">
        <v>430</v>
      </c>
      <c r="E2998" s="6" t="s">
        <v>431</v>
      </c>
      <c r="F2998" s="6" t="str">
        <f>IF($M2998="PADD I","PADD 1",IF($M2998="PADD II","PADD 2",IF($M2998="PADD III","PADD 3",IF($M2998="PADD IV","PADD 4",IF($M2998="PADD V","PADD 5","")))))</f>
        <v>PADD 3</v>
      </c>
      <c r="G2998" s="6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6" t="s">
        <v>471</v>
      </c>
      <c r="I2998" s="6" t="s">
        <v>1178</v>
      </c>
      <c r="J2998" s="6" t="s">
        <v>394</v>
      </c>
      <c r="K2998" s="10">
        <v>12.835</v>
      </c>
      <c r="L2998" s="10">
        <v>75.5</v>
      </c>
      <c r="M2998" s="6" t="s">
        <v>421</v>
      </c>
      <c r="N2998" s="6" t="str">
        <f>IF(OR($G2998="FCC",$G2998="Hydrocracker",$G2998="Reformer"),IF(COUNTIFS($D:$D,$D2998,$A:$A,$A2998,$B:$B,$B2998,$G:$G,"CDU",$J:$J,"PLANNED")&gt;0,"tied","standalone"),"")</f>
        <v>tied</v>
      </c>
    </row>
    <row r="2999" spans="1:14">
      <c r="A2999" s="6">
        <v>2024</v>
      </c>
      <c r="B2999" s="6">
        <v>2</v>
      </c>
      <c r="C2999" s="6" t="s">
        <v>61</v>
      </c>
      <c r="D2999" s="6" t="s">
        <v>490</v>
      </c>
      <c r="E2999" s="6" t="s">
        <v>419</v>
      </c>
      <c r="F2999" s="6" t="str">
        <f>IF($M2999="PADD I","PADD 1",IF($M2999="PADD II","PADD 2",IF($M2999="PADD III","PADD 3",IF($M2999="PADD IV","PADD 4",IF($M2999="PADD V","PADD 5","")))))</f>
        <v>PADD 5</v>
      </c>
      <c r="G2999" s="6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6" t="s">
        <v>485</v>
      </c>
      <c r="I2999" s="6" t="s">
        <v>491</v>
      </c>
      <c r="J2999" s="6" t="s">
        <v>394</v>
      </c>
      <c r="K2999" s="10">
        <v>12.72</v>
      </c>
      <c r="L2999" s="10">
        <v>53</v>
      </c>
      <c r="M2999" s="6" t="s">
        <v>436</v>
      </c>
      <c r="N2999" s="6">
        <f>IF(OR($G2999="FCC",$G2999="Hydrocracker",$G2999="Reformer"),IF(COUNTIFS($D:$D,$D2999,$A:$A,$A2999,$B:$B,$B2999,$G:$G,"CDU",$J:$J,"PLANNED")&gt;0,"tied","standalone"),"")</f>
        <v/>
      </c>
    </row>
    <row r="3000" spans="1:14">
      <c r="A3000" s="6">
        <v>2024</v>
      </c>
      <c r="B3000" s="6">
        <v>2</v>
      </c>
      <c r="C3000" s="6" t="s">
        <v>61</v>
      </c>
      <c r="D3000" s="6" t="s">
        <v>828</v>
      </c>
      <c r="E3000" s="6" t="s">
        <v>829</v>
      </c>
      <c r="F3000" s="6" t="str">
        <f>IF($M3000="PADD I","PADD 1",IF($M3000="PADD II","PADD 2",IF($M3000="PADD III","PADD 3",IF($M3000="PADD IV","PADD 4",IF($M3000="PADD V","PADD 5","")))))</f>
        <v>PADD 3</v>
      </c>
      <c r="G3000" s="6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6" t="s">
        <v>428</v>
      </c>
      <c r="I3000" s="6" t="s">
        <v>848</v>
      </c>
      <c r="J3000" s="6" t="s">
        <v>394</v>
      </c>
      <c r="K3000" s="10">
        <v>12.65</v>
      </c>
      <c r="L3000" s="10">
        <v>23</v>
      </c>
      <c r="M3000" s="6" t="s">
        <v>421</v>
      </c>
      <c r="N3000" s="6">
        <f>IF(OR($G3000="FCC",$G3000="Hydrocracker",$G3000="Reformer"),IF(COUNTIFS($D:$D,$D3000,$A:$A,$A3000,$B:$B,$B3000,$G:$G,"CDU",$J:$J,"PLANNED")&gt;0,"tied","standalone"),"")</f>
        <v/>
      </c>
    </row>
    <row r="3001" spans="1:14">
      <c r="A3001" s="6">
        <v>2024</v>
      </c>
      <c r="B3001" s="6">
        <v>2</v>
      </c>
      <c r="C3001" s="6" t="s">
        <v>61</v>
      </c>
      <c r="D3001" s="6" t="s">
        <v>568</v>
      </c>
      <c r="E3001" s="6" t="s">
        <v>419</v>
      </c>
      <c r="F3001" s="6" t="str">
        <f>IF($M3001="PADD I","PADD 1",IF($M3001="PADD II","PADD 2",IF($M3001="PADD III","PADD 3",IF($M3001="PADD IV","PADD 4",IF($M3001="PADD V","PADD 5","")))))</f>
        <v>PADD 5</v>
      </c>
      <c r="G3001" s="6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6" t="s">
        <v>485</v>
      </c>
      <c r="I3001" s="6" t="s">
        <v>628</v>
      </c>
      <c r="J3001" s="6" t="s">
        <v>394</v>
      </c>
      <c r="K3001" s="10">
        <v>12.65</v>
      </c>
      <c r="L3001" s="10">
        <v>23</v>
      </c>
      <c r="M3001" s="6" t="s">
        <v>436</v>
      </c>
      <c r="N3001" s="6">
        <f>IF(OR($G3001="FCC",$G3001="Hydrocracker",$G3001="Reformer"),IF(COUNTIFS($D:$D,$D3001,$A:$A,$A3001,$B:$B,$B3001,$G:$G,"CDU",$J:$J,"PLANNED")&gt;0,"tied","standalone"),"")</f>
        <v/>
      </c>
    </row>
    <row r="3002" spans="1:14">
      <c r="A3002" s="6">
        <v>2024</v>
      </c>
      <c r="B3002" s="6">
        <v>2</v>
      </c>
      <c r="C3002" s="6" t="s">
        <v>61</v>
      </c>
      <c r="D3002" s="6" t="s">
        <v>652</v>
      </c>
      <c r="E3002" s="6" t="s">
        <v>419</v>
      </c>
      <c r="F3002" s="6" t="str">
        <f>IF($M3002="PADD I","PADD 1",IF($M3002="PADD II","PADD 2",IF($M3002="PADD III","PADD 3",IF($M3002="PADD IV","PADD 4",IF($M3002="PADD V","PADD 5","")))))</f>
        <v>PADD 2</v>
      </c>
      <c r="G3002" s="6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6" t="s">
        <v>39</v>
      </c>
      <c r="I3002" s="6" t="s">
        <v>130</v>
      </c>
      <c r="J3002" s="6" t="s">
        <v>394</v>
      </c>
      <c r="K3002" s="10">
        <v>12.4138</v>
      </c>
      <c r="L3002" s="10">
        <v>88.67</v>
      </c>
      <c r="M3002" s="6" t="s">
        <v>425</v>
      </c>
      <c r="N3002" s="6">
        <f>IF(OR($G3002="FCC",$G3002="Hydrocracker",$G3002="Reformer"),IF(COUNTIFS($D:$D,$D3002,$A:$A,$A3002,$B:$B,$B3002,$G:$G,"CDU",$J:$J,"PLANNED")&gt;0,"tied","standalone"),"")</f>
        <v/>
      </c>
    </row>
    <row r="3003" spans="1:14">
      <c r="A3003" s="6">
        <v>2024</v>
      </c>
      <c r="B3003" s="6">
        <v>2</v>
      </c>
      <c r="C3003" s="6" t="s">
        <v>61</v>
      </c>
      <c r="D3003" s="6" t="s">
        <v>915</v>
      </c>
      <c r="E3003" s="6" t="s">
        <v>419</v>
      </c>
      <c r="F3003" s="6" t="str">
        <f>IF($M3003="PADD I","PADD 1",IF($M3003="PADD II","PADD 2",IF($M3003="PADD III","PADD 3",IF($M3003="PADD IV","PADD 4",IF($M3003="PADD V","PADD 5","")))))</f>
        <v>PADD 4</v>
      </c>
      <c r="G3003" s="6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6" t="s">
        <v>485</v>
      </c>
      <c r="I3003" s="6" t="s">
        <v>920</v>
      </c>
      <c r="J3003" s="6" t="s">
        <v>394</v>
      </c>
      <c r="K3003" s="10">
        <v>12.4</v>
      </c>
      <c r="L3003" s="10">
        <v>20</v>
      </c>
      <c r="M3003" s="6" t="s">
        <v>480</v>
      </c>
      <c r="N3003" s="6">
        <f>IF(OR($G3003="FCC",$G3003="Hydrocracker",$G3003="Reformer"),IF(COUNTIFS($D:$D,$D3003,$A:$A,$A3003,$B:$B,$B3003,$G:$G,"CDU",$J:$J,"PLANNED")&gt;0,"tied","standalone"),"")</f>
        <v/>
      </c>
    </row>
    <row r="3004" spans="1:14">
      <c r="A3004" s="6">
        <v>2024</v>
      </c>
      <c r="B3004" s="6">
        <v>2</v>
      </c>
      <c r="C3004" s="6" t="s">
        <v>61</v>
      </c>
      <c r="D3004" s="6" t="s">
        <v>581</v>
      </c>
      <c r="E3004" s="6" t="s">
        <v>582</v>
      </c>
      <c r="F3004" s="6" t="str">
        <f>IF($M3004="PADD I","PADD 1",IF($M3004="PADD II","PADD 2",IF($M3004="PADD III","PADD 3",IF($M3004="PADD IV","PADD 4",IF($M3004="PADD V","PADD 5","")))))</f>
        <v>PADD 5</v>
      </c>
      <c r="G3004" s="6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6" t="s">
        <v>471</v>
      </c>
      <c r="I3004" s="6" t="s">
        <v>607</v>
      </c>
      <c r="J3004" s="6" t="s">
        <v>394</v>
      </c>
      <c r="K3004" s="10">
        <v>12.375</v>
      </c>
      <c r="L3004" s="10">
        <v>22.5</v>
      </c>
      <c r="M3004" s="6" t="s">
        <v>436</v>
      </c>
      <c r="N3004" s="6" t="str">
        <f>IF(OR($G3004="FCC",$G3004="Hydrocracker",$G3004="Reformer"),IF(COUNTIFS($D:$D,$D3004,$A:$A,$A3004,$B:$B,$B3004,$G:$G,"CDU",$J:$J,"PLANNED")&gt;0,"tied","standalone"),"")</f>
        <v>standalone</v>
      </c>
    </row>
    <row r="3005" spans="1:14">
      <c r="A3005" s="6">
        <v>2024</v>
      </c>
      <c r="B3005" s="6">
        <v>2</v>
      </c>
      <c r="C3005" s="6" t="s">
        <v>61</v>
      </c>
      <c r="D3005" s="6" t="s">
        <v>43</v>
      </c>
      <c r="E3005" s="6" t="s">
        <v>455</v>
      </c>
      <c r="F3005" s="6" t="str">
        <f>IF($M3005="PADD I","PADD 1",IF($M3005="PADD II","PADD 2",IF($M3005="PADD III","PADD 3",IF($M3005="PADD IV","PADD 4",IF($M3005="PADD V","PADD 5","")))))</f>
        <v>PADD 3</v>
      </c>
      <c r="G3005" s="6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6" t="s">
        <v>510</v>
      </c>
      <c r="I3005" s="6" t="s">
        <v>666</v>
      </c>
      <c r="J3005" s="6" t="s">
        <v>398</v>
      </c>
      <c r="K3005" s="10">
        <v>12</v>
      </c>
      <c r="L3005" s="10">
        <v>12</v>
      </c>
      <c r="M3005" s="6" t="s">
        <v>421</v>
      </c>
      <c r="N3005" s="6">
        <f>IF(OR($G3005="FCC",$G3005="Hydrocracker",$G3005="Reformer"),IF(COUNTIFS($D:$D,$D3005,$A:$A,$A3005,$B:$B,$B3005,$G:$G,"CDU",$J:$J,"PLANNED")&gt;0,"tied","standalone"),"")</f>
        <v/>
      </c>
    </row>
    <row r="3006" spans="1:14">
      <c r="A3006" s="6">
        <v>2024</v>
      </c>
      <c r="B3006" s="6">
        <v>2</v>
      </c>
      <c r="C3006" s="6" t="s">
        <v>61</v>
      </c>
      <c r="D3006" s="6" t="s">
        <v>501</v>
      </c>
      <c r="E3006" s="6" t="s">
        <v>502</v>
      </c>
      <c r="F3006" s="6" t="str">
        <f>IF($M3006="PADD I","PADD 1",IF($M3006="PADD II","PADD 2",IF($M3006="PADD III","PADD 3",IF($M3006="PADD IV","PADD 4",IF($M3006="PADD V","PADD 5","")))))</f>
        <v>PADD 2</v>
      </c>
      <c r="G3006" s="6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6" t="s">
        <v>426</v>
      </c>
      <c r="I3006" s="6" t="s">
        <v>106</v>
      </c>
      <c r="J3006" s="6" t="s">
        <v>394</v>
      </c>
      <c r="K3006" s="10">
        <v>11.89</v>
      </c>
      <c r="L3006" s="10">
        <v>29</v>
      </c>
      <c r="M3006" s="6" t="s">
        <v>425</v>
      </c>
      <c r="N3006" s="6" t="str">
        <f>IF(OR($G3006="FCC",$G3006="Hydrocracker",$G3006="Reformer"),IF(COUNTIFS($D:$D,$D3006,$A:$A,$A3006,$B:$B,$B3006,$G:$G,"CDU",$J:$J,"PLANNED")&gt;0,"tied","standalone"),"")</f>
        <v>tied</v>
      </c>
    </row>
    <row r="3007" spans="1:14">
      <c r="A3007" s="6">
        <v>2024</v>
      </c>
      <c r="B3007" s="6">
        <v>2</v>
      </c>
      <c r="C3007" s="6" t="s">
        <v>61</v>
      </c>
      <c r="D3007" s="6" t="s">
        <v>458</v>
      </c>
      <c r="E3007" s="6" t="s">
        <v>459</v>
      </c>
      <c r="F3007" s="6" t="str">
        <f>IF($M3007="PADD I","PADD 1",IF($M3007="PADD II","PADD 2",IF($M3007="PADD III","PADD 3",IF($M3007="PADD IV","PADD 4",IF($M3007="PADD V","PADD 5","")))))</f>
        <v>PADD 3</v>
      </c>
      <c r="G3007" s="6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6" t="s">
        <v>471</v>
      </c>
      <c r="I3007" s="6" t="s">
        <v>583</v>
      </c>
      <c r="J3007" s="6" t="s">
        <v>394</v>
      </c>
      <c r="K3007" s="10">
        <v>10.85</v>
      </c>
      <c r="L3007" s="10">
        <v>35</v>
      </c>
      <c r="M3007" s="6" t="s">
        <v>421</v>
      </c>
      <c r="N3007" s="6" t="str">
        <f>IF(OR($G3007="FCC",$G3007="Hydrocracker",$G3007="Reformer"),IF(COUNTIFS($D:$D,$D3007,$A:$A,$A3007,$B:$B,$B3007,$G:$G,"CDU",$J:$J,"PLANNED")&gt;0,"tied","standalone"),"")</f>
        <v>standalone</v>
      </c>
    </row>
    <row r="3008" spans="1:14">
      <c r="A3008" s="6">
        <v>2024</v>
      </c>
      <c r="B3008" s="6">
        <v>2</v>
      </c>
      <c r="C3008" s="6" t="s">
        <v>61</v>
      </c>
      <c r="D3008" s="6" t="s">
        <v>812</v>
      </c>
      <c r="E3008" s="6" t="s">
        <v>813</v>
      </c>
      <c r="F3008" s="6" t="str">
        <f>IF($M3008="PADD I","PADD 1",IF($M3008="PADD II","PADD 2",IF($M3008="PADD III","PADD 3",IF($M3008="PADD IV","PADD 4",IF($M3008="PADD V","PADD 5","")))))</f>
        <v>PADD 2</v>
      </c>
      <c r="G3008" s="6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6" t="s">
        <v>39</v>
      </c>
      <c r="I3008" s="6" t="s">
        <v>379</v>
      </c>
      <c r="J3008" s="6" t="s">
        <v>398</v>
      </c>
      <c r="K3008" s="10">
        <v>10.85</v>
      </c>
      <c r="L3008" s="10">
        <v>35</v>
      </c>
      <c r="M3008" s="6" t="s">
        <v>425</v>
      </c>
      <c r="N3008" s="6">
        <f>IF(OR($G3008="FCC",$G3008="Hydrocracker",$G3008="Reformer"),IF(COUNTIFS($D:$D,$D3008,$A:$A,$A3008,$B:$B,$B3008,$G:$G,"CDU",$J:$J,"PLANNED")&gt;0,"tied","standalone"),"")</f>
        <v/>
      </c>
    </row>
    <row r="3009" spans="1:14">
      <c r="A3009" s="6">
        <v>2024</v>
      </c>
      <c r="B3009" s="6">
        <v>2</v>
      </c>
      <c r="C3009" s="6" t="s">
        <v>61</v>
      </c>
      <c r="D3009" s="6" t="s">
        <v>479</v>
      </c>
      <c r="E3009" s="6" t="s">
        <v>438</v>
      </c>
      <c r="F3009" s="6" t="str">
        <f>IF($M3009="PADD I","PADD 1",IF($M3009="PADD II","PADD 2",IF($M3009="PADD III","PADD 3",IF($M3009="PADD IV","PADD 4",IF($M3009="PADD V","PADD 5","")))))</f>
        <v>PADD 4</v>
      </c>
      <c r="G3009" s="6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6" t="s">
        <v>426</v>
      </c>
      <c r="I3009" s="6" t="s">
        <v>106</v>
      </c>
      <c r="J3009" s="6" t="s">
        <v>398</v>
      </c>
      <c r="K3009" s="10">
        <v>10.824</v>
      </c>
      <c r="L3009" s="10">
        <v>26.4</v>
      </c>
      <c r="M3009" s="6" t="s">
        <v>480</v>
      </c>
      <c r="N3009" s="6" t="str">
        <f>IF(OR($G3009="FCC",$G3009="Hydrocracker",$G3009="Reformer"),IF(COUNTIFS($D:$D,$D3009,$A:$A,$A3009,$B:$B,$B3009,$G:$G,"CDU",$J:$J,"PLANNED")&gt;0,"tied","standalone"),"")</f>
        <v>tied</v>
      </c>
    </row>
    <row r="3010" spans="1:14">
      <c r="A3010" s="6">
        <v>2024</v>
      </c>
      <c r="B3010" s="6">
        <v>2</v>
      </c>
      <c r="C3010" s="6" t="s">
        <v>61</v>
      </c>
      <c r="D3010" s="6" t="s">
        <v>665</v>
      </c>
      <c r="E3010" s="6" t="s">
        <v>455</v>
      </c>
      <c r="F3010" s="6" t="str">
        <f>IF($M3010="PADD I","PADD 1",IF($M3010="PADD II","PADD 2",IF($M3010="PADD III","PADD 3",IF($M3010="PADD IV","PADD 4",IF($M3010="PADD V","PADD 5","")))))</f>
        <v>PADD 5</v>
      </c>
      <c r="G3010" s="6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6" t="s">
        <v>426</v>
      </c>
      <c r="I3010" s="6" t="s">
        <v>106</v>
      </c>
      <c r="J3010" s="6" t="s">
        <v>394</v>
      </c>
      <c r="K3010" s="10">
        <v>10.78</v>
      </c>
      <c r="L3010" s="10">
        <v>77</v>
      </c>
      <c r="M3010" s="6" t="s">
        <v>436</v>
      </c>
      <c r="N3010" s="6" t="str">
        <f>IF(OR($G3010="FCC",$G3010="Hydrocracker",$G3010="Reformer"),IF(COUNTIFS($D:$D,$D3010,$A:$A,$A3010,$B:$B,$B3010,$G:$G,"CDU",$J:$J,"PLANNED")&gt;0,"tied","standalone"),"")</f>
        <v>standalone</v>
      </c>
    </row>
    <row r="3011" spans="1:14">
      <c r="A3011" s="6">
        <v>2024</v>
      </c>
      <c r="B3011" s="6">
        <v>2</v>
      </c>
      <c r="C3011" s="6" t="s">
        <v>61</v>
      </c>
      <c r="D3011" s="6" t="s">
        <v>479</v>
      </c>
      <c r="E3011" s="6" t="s">
        <v>438</v>
      </c>
      <c r="F3011" s="6" t="str">
        <f>IF($M3011="PADD I","PADD 1",IF($M3011="PADD II","PADD 2",IF($M3011="PADD III","PADD 3",IF($M3011="PADD IV","PADD 4",IF($M3011="PADD V","PADD 5","")))))</f>
        <v>PADD 4</v>
      </c>
      <c r="G3011" s="6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6" t="s">
        <v>44</v>
      </c>
      <c r="I3011" s="6" t="s">
        <v>564</v>
      </c>
      <c r="J3011" s="6" t="s">
        <v>394</v>
      </c>
      <c r="K3011" s="10">
        <v>10.602</v>
      </c>
      <c r="L3011" s="10">
        <v>17.1</v>
      </c>
      <c r="M3011" s="6" t="s">
        <v>480</v>
      </c>
      <c r="N3011" s="6">
        <f>IF(OR($G3011="FCC",$G3011="Hydrocracker",$G3011="Reformer"),IF(COUNTIFS($D:$D,$D3011,$A:$A,$A3011,$B:$B,$B3011,$G:$G,"CDU",$J:$J,"PLANNED")&gt;0,"tied","standalone"),"")</f>
        <v/>
      </c>
    </row>
    <row r="3012" spans="1:14">
      <c r="A3012" s="6">
        <v>2024</v>
      </c>
      <c r="B3012" s="6">
        <v>2</v>
      </c>
      <c r="C3012" s="6" t="s">
        <v>61</v>
      </c>
      <c r="D3012" s="6" t="s">
        <v>984</v>
      </c>
      <c r="E3012" s="6" t="s">
        <v>438</v>
      </c>
      <c r="F3012" s="6" t="str">
        <f>IF($M3012="PADD I","PADD 1",IF($M3012="PADD II","PADD 2",IF($M3012="PADD III","PADD 3",IF($M3012="PADD IV","PADD 4",IF($M3012="PADD V","PADD 5","")))))</f>
        <v>PADD 3</v>
      </c>
      <c r="G3012" s="6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6" t="s">
        <v>428</v>
      </c>
      <c r="I3012" s="6" t="s">
        <v>1014</v>
      </c>
      <c r="J3012" s="6" t="s">
        <v>398</v>
      </c>
      <c r="K3012" s="10">
        <v>10.54</v>
      </c>
      <c r="L3012" s="10">
        <v>17</v>
      </c>
      <c r="M3012" s="6" t="s">
        <v>421</v>
      </c>
      <c r="N3012" s="6">
        <f>IF(OR($G3012="FCC",$G3012="Hydrocracker",$G3012="Reformer"),IF(COUNTIFS($D:$D,$D3012,$A:$A,$A3012,$B:$B,$B3012,$G:$G,"CDU",$J:$J,"PLANNED")&gt;0,"tied","standalone"),"")</f>
        <v/>
      </c>
    </row>
    <row r="3013" spans="1:14">
      <c r="A3013" s="6">
        <v>2024</v>
      </c>
      <c r="B3013" s="6">
        <v>2</v>
      </c>
      <c r="C3013" s="6" t="s">
        <v>61</v>
      </c>
      <c r="D3013" s="6" t="s">
        <v>507</v>
      </c>
      <c r="E3013" s="6" t="s">
        <v>438</v>
      </c>
      <c r="F3013" s="6" t="str">
        <f>IF($M3013="PADD I","PADD 1",IF($M3013="PADD II","PADD 2",IF($M3013="PADD III","PADD 3",IF($M3013="PADD IV","PADD 4",IF($M3013="PADD V","PADD 5","")))))</f>
        <v>PADD 5</v>
      </c>
      <c r="G3013" s="6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6" t="s">
        <v>471</v>
      </c>
      <c r="I3013" s="6" t="s">
        <v>609</v>
      </c>
      <c r="J3013" s="6" t="s">
        <v>398</v>
      </c>
      <c r="K3013" s="10">
        <v>10.4</v>
      </c>
      <c r="L3013" s="10">
        <v>20</v>
      </c>
      <c r="M3013" s="6" t="s">
        <v>436</v>
      </c>
      <c r="N3013" s="6" t="str">
        <f>IF(OR($G3013="FCC",$G3013="Hydrocracker",$G3013="Reformer"),IF(COUNTIFS($D:$D,$D3013,$A:$A,$A3013,$B:$B,$B3013,$G:$G,"CDU",$J:$J,"PLANNED")&gt;0,"tied","standalone"),"")</f>
        <v>tied</v>
      </c>
    </row>
    <row r="3014" spans="1:14">
      <c r="A3014" s="6">
        <v>2024</v>
      </c>
      <c r="B3014" s="6">
        <v>2</v>
      </c>
      <c r="C3014" s="6" t="s">
        <v>61</v>
      </c>
      <c r="D3014" s="6" t="s">
        <v>383</v>
      </c>
      <c r="E3014" s="6" t="s">
        <v>602</v>
      </c>
      <c r="F3014" s="6" t="str">
        <f>IF($M3014="PADD I","PADD 1",IF($M3014="PADD II","PADD 2",IF($M3014="PADD III","PADD 3",IF($M3014="PADD IV","PADD 4",IF($M3014="PADD V","PADD 5","")))))</f>
        <v>PADD 3</v>
      </c>
      <c r="G3014" s="6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6" t="s">
        <v>428</v>
      </c>
      <c r="I3014" s="6" t="s">
        <v>605</v>
      </c>
      <c r="J3014" s="6" t="s">
        <v>394</v>
      </c>
      <c r="K3014" s="10">
        <v>10.1915</v>
      </c>
      <c r="L3014" s="10">
        <v>18.53</v>
      </c>
      <c r="M3014" s="6" t="s">
        <v>421</v>
      </c>
      <c r="N3014" s="6">
        <f>IF(OR($G3014="FCC",$G3014="Hydrocracker",$G3014="Reformer"),IF(COUNTIFS($D:$D,$D3014,$A:$A,$A3014,$B:$B,$B3014,$G:$G,"CDU",$J:$J,"PLANNED")&gt;0,"tied","standalone"),"")</f>
        <v/>
      </c>
    </row>
    <row r="3015" spans="1:14">
      <c r="A3015" s="6">
        <v>2024</v>
      </c>
      <c r="B3015" s="6">
        <v>2</v>
      </c>
      <c r="C3015" s="6" t="s">
        <v>61</v>
      </c>
      <c r="D3015" s="6" t="s">
        <v>678</v>
      </c>
      <c r="E3015" s="6" t="s">
        <v>438</v>
      </c>
      <c r="F3015" s="6" t="str">
        <f>IF($M3015="PADD I","PADD 1",IF($M3015="PADD II","PADD 2",IF($M3015="PADD III","PADD 3",IF($M3015="PADD IV","PADD 4",IF($M3015="PADD V","PADD 5","")))))</f>
        <v>PADD 3</v>
      </c>
      <c r="G3015" s="6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6" t="s">
        <v>471</v>
      </c>
      <c r="I3015" s="6" t="s">
        <v>621</v>
      </c>
      <c r="J3015" s="6" t="s">
        <v>398</v>
      </c>
      <c r="K3015" s="10">
        <v>10</v>
      </c>
      <c r="L3015" s="10">
        <v>10</v>
      </c>
      <c r="M3015" s="6" t="s">
        <v>421</v>
      </c>
      <c r="N3015" s="6" t="str">
        <f>IF(OR($G3015="FCC",$G3015="Hydrocracker",$G3015="Reformer"),IF(COUNTIFS($D:$D,$D3015,$A:$A,$A3015,$B:$B,$B3015,$G:$G,"CDU",$J:$J,"PLANNED")&gt;0,"tied","standalone"),"")</f>
        <v>tied</v>
      </c>
    </row>
    <row r="3016" spans="1:14">
      <c r="A3016" s="6">
        <v>2024</v>
      </c>
      <c r="B3016" s="6">
        <v>2</v>
      </c>
      <c r="C3016" s="6" t="s">
        <v>61</v>
      </c>
      <c r="D3016" s="6" t="s">
        <v>458</v>
      </c>
      <c r="E3016" s="6" t="s">
        <v>459</v>
      </c>
      <c r="F3016" s="6" t="str">
        <f>IF($M3016="PADD I","PADD 1",IF($M3016="PADD II","PADD 2",IF($M3016="PADD III","PADD 3",IF($M3016="PADD IV","PADD 4",IF($M3016="PADD V","PADD 5","")))))</f>
        <v>PADD 3</v>
      </c>
      <c r="G3016" s="6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6" t="s">
        <v>44</v>
      </c>
      <c r="I3016" s="6" t="s">
        <v>547</v>
      </c>
      <c r="J3016" s="6" t="s">
        <v>394</v>
      </c>
      <c r="K3016" s="10">
        <v>9.609999999999999</v>
      </c>
      <c r="L3016" s="10">
        <v>31</v>
      </c>
      <c r="M3016" s="6" t="s">
        <v>421</v>
      </c>
      <c r="N3016" s="6">
        <f>IF(OR($G3016="FCC",$G3016="Hydrocracker",$G3016="Reformer"),IF(COUNTIFS($D:$D,$D3016,$A:$A,$A3016,$B:$B,$B3016,$G:$G,"CDU",$J:$J,"PLANNED")&gt;0,"tied","standalone"),"")</f>
        <v/>
      </c>
    </row>
    <row r="3017" spans="1:14">
      <c r="A3017" s="6">
        <v>2024</v>
      </c>
      <c r="B3017" s="6">
        <v>2</v>
      </c>
      <c r="C3017" s="6" t="s">
        <v>61</v>
      </c>
      <c r="D3017" s="6" t="s">
        <v>458</v>
      </c>
      <c r="E3017" s="6" t="s">
        <v>459</v>
      </c>
      <c r="F3017" s="6" t="str">
        <f>IF($M3017="PADD I","PADD 1",IF($M3017="PADD II","PADD 2",IF($M3017="PADD III","PADD 3",IF($M3017="PADD IV","PADD 4",IF($M3017="PADD V","PADD 5","")))))</f>
        <v>PADD 3</v>
      </c>
      <c r="G3017" s="6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6" t="s">
        <v>44</v>
      </c>
      <c r="I3017" s="6" t="s">
        <v>552</v>
      </c>
      <c r="J3017" s="6" t="s">
        <v>394</v>
      </c>
      <c r="K3017" s="10">
        <v>9.300000000000001</v>
      </c>
      <c r="L3017" s="10">
        <v>30</v>
      </c>
      <c r="M3017" s="6" t="s">
        <v>421</v>
      </c>
      <c r="N3017" s="6">
        <f>IF(OR($G3017="FCC",$G3017="Hydrocracker",$G3017="Reformer"),IF(COUNTIFS($D:$D,$D3017,$A:$A,$A3017,$B:$B,$B3017,$G:$G,"CDU",$J:$J,"PLANNED")&gt;0,"tied","standalone"),"")</f>
        <v/>
      </c>
    </row>
    <row r="3018" spans="1:14">
      <c r="A3018" s="6">
        <v>2024</v>
      </c>
      <c r="B3018" s="6">
        <v>2</v>
      </c>
      <c r="C3018" s="6" t="s">
        <v>61</v>
      </c>
      <c r="D3018" s="6" t="s">
        <v>458</v>
      </c>
      <c r="E3018" s="6" t="s">
        <v>459</v>
      </c>
      <c r="F3018" s="6" t="str">
        <f>IF($M3018="PADD I","PADD 1",IF($M3018="PADD II","PADD 2",IF($M3018="PADD III","PADD 3",IF($M3018="PADD IV","PADD 4",IF($M3018="PADD V","PADD 5","")))))</f>
        <v>PADD 3</v>
      </c>
      <c r="G3018" s="6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6" t="s">
        <v>44</v>
      </c>
      <c r="I3018" s="6" t="s">
        <v>553</v>
      </c>
      <c r="J3018" s="6" t="s">
        <v>394</v>
      </c>
      <c r="K3018" s="10">
        <v>9.300000000000001</v>
      </c>
      <c r="L3018" s="10">
        <v>30</v>
      </c>
      <c r="M3018" s="6" t="s">
        <v>421</v>
      </c>
      <c r="N3018" s="6">
        <f>IF(OR($G3018="FCC",$G3018="Hydrocracker",$G3018="Reformer"),IF(COUNTIFS($D:$D,$D3018,$A:$A,$A3018,$B:$B,$B3018,$G:$G,"CDU",$J:$J,"PLANNED")&gt;0,"tied","standalone"),"")</f>
        <v/>
      </c>
    </row>
    <row r="3019" spans="1:14">
      <c r="A3019" s="6">
        <v>2024</v>
      </c>
      <c r="B3019" s="6">
        <v>2</v>
      </c>
      <c r="C3019" s="6" t="s">
        <v>61</v>
      </c>
      <c r="D3019" s="6" t="s">
        <v>928</v>
      </c>
      <c r="E3019" s="6" t="s">
        <v>502</v>
      </c>
      <c r="F3019" s="6" t="str">
        <f>IF($M3019="PADD I","PADD 1",IF($M3019="PADD II","PADD 2",IF($M3019="PADD III","PADD 3",IF($M3019="PADD IV","PADD 4",IF($M3019="PADD V","PADD 5","")))))</f>
        <v>PADD 2</v>
      </c>
      <c r="G3019" s="6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6" t="s">
        <v>39</v>
      </c>
      <c r="I3019" s="6" t="s">
        <v>929</v>
      </c>
      <c r="J3019" s="6" t="s">
        <v>394</v>
      </c>
      <c r="K3019" s="10">
        <v>9.102</v>
      </c>
      <c r="L3019" s="10">
        <v>91.02</v>
      </c>
      <c r="M3019" s="6" t="s">
        <v>425</v>
      </c>
      <c r="N3019" s="6">
        <f>IF(OR($G3019="FCC",$G3019="Hydrocracker",$G3019="Reformer"),IF(COUNTIFS($D:$D,$D3019,$A:$A,$A3019,$B:$B,$B3019,$G:$G,"CDU",$J:$J,"PLANNED")&gt;0,"tied","standalone"),"")</f>
        <v/>
      </c>
    </row>
    <row r="3020" spans="1:14">
      <c r="A3020" s="6">
        <v>2024</v>
      </c>
      <c r="B3020" s="6">
        <v>2</v>
      </c>
      <c r="C3020" s="6" t="s">
        <v>61</v>
      </c>
      <c r="D3020" s="6" t="s">
        <v>726</v>
      </c>
      <c r="E3020" s="6" t="s">
        <v>727</v>
      </c>
      <c r="F3020" s="6" t="str">
        <f>IF($M3020="PADD I","PADD 1",IF($M3020="PADD II","PADD 2",IF($M3020="PADD III","PADD 3",IF($M3020="PADD IV","PADD 4",IF($M3020="PADD V","PADD 5","")))))</f>
        <v>PADD 1</v>
      </c>
      <c r="G3020" s="6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6" t="s">
        <v>471</v>
      </c>
      <c r="I3020" s="6" t="s">
        <v>949</v>
      </c>
      <c r="J3020" s="6" t="s">
        <v>394</v>
      </c>
      <c r="K3020" s="10">
        <v>8.960000000000001</v>
      </c>
      <c r="L3020" s="10">
        <v>32</v>
      </c>
      <c r="M3020" s="6" t="s">
        <v>463</v>
      </c>
      <c r="N3020" s="6" t="str">
        <f>IF(OR($G3020="FCC",$G3020="Hydrocracker",$G3020="Reformer"),IF(COUNTIFS($D:$D,$D3020,$A:$A,$A3020,$B:$B,$B3020,$G:$G,"CDU",$J:$J,"PLANNED")&gt;0,"tied","standalone"),"")</f>
        <v>standalone</v>
      </c>
    </row>
    <row r="3021" spans="1:14">
      <c r="A3021" s="6">
        <v>2024</v>
      </c>
      <c r="B3021" s="6">
        <v>2</v>
      </c>
      <c r="C3021" s="6" t="s">
        <v>61</v>
      </c>
      <c r="D3021" s="6" t="s">
        <v>682</v>
      </c>
      <c r="E3021" s="6" t="s">
        <v>683</v>
      </c>
      <c r="F3021" s="6" t="str">
        <f>IF($M3021="PADD I","PADD 1",IF($M3021="PADD II","PADD 2",IF($M3021="PADD III","PADD 3",IF($M3021="PADD IV","PADD 4",IF($M3021="PADD V","PADD 5","")))))</f>
        <v>PADD 4</v>
      </c>
      <c r="G3021" s="6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6" t="s">
        <v>426</v>
      </c>
      <c r="I3021" s="6" t="s">
        <v>684</v>
      </c>
      <c r="J3021" s="6" t="s">
        <v>398</v>
      </c>
      <c r="K3021" s="10">
        <v>8.74</v>
      </c>
      <c r="L3021" s="10">
        <v>11.5</v>
      </c>
      <c r="M3021" s="6" t="s">
        <v>480</v>
      </c>
      <c r="N3021" s="6" t="str">
        <f>IF(OR($G3021="FCC",$G3021="Hydrocracker",$G3021="Reformer"),IF(COUNTIFS($D:$D,$D3021,$A:$A,$A3021,$B:$B,$B3021,$G:$G,"CDU",$J:$J,"PLANNED")&gt;0,"tied","standalone"),"")</f>
        <v>tied</v>
      </c>
    </row>
    <row r="3022" spans="1:14">
      <c r="A3022" s="6">
        <v>2024</v>
      </c>
      <c r="B3022" s="6">
        <v>2</v>
      </c>
      <c r="C3022" s="6" t="s">
        <v>61</v>
      </c>
      <c r="D3022" s="6" t="s">
        <v>458</v>
      </c>
      <c r="E3022" s="6" t="s">
        <v>459</v>
      </c>
      <c r="F3022" s="6" t="str">
        <f>IF($M3022="PADD I","PADD 1",IF($M3022="PADD II","PADD 2",IF($M3022="PADD III","PADD 3",IF($M3022="PADD IV","PADD 4",IF($M3022="PADD V","PADD 5","")))))</f>
        <v>PADD 3</v>
      </c>
      <c r="G3022" s="6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6" t="s">
        <v>44</v>
      </c>
      <c r="I3022" s="6" t="s">
        <v>514</v>
      </c>
      <c r="J3022" s="6" t="s">
        <v>394</v>
      </c>
      <c r="K3022" s="10">
        <v>8.5</v>
      </c>
      <c r="L3022" s="10">
        <v>50</v>
      </c>
      <c r="M3022" s="6" t="s">
        <v>421</v>
      </c>
      <c r="N3022" s="6">
        <f>IF(OR($G3022="FCC",$G3022="Hydrocracker",$G3022="Reformer"),IF(COUNTIFS($D:$D,$D3022,$A:$A,$A3022,$B:$B,$B3022,$G:$G,"CDU",$J:$J,"PLANNED")&gt;0,"tied","standalone"),"")</f>
        <v/>
      </c>
    </row>
    <row r="3023" spans="1:14">
      <c r="A3023" s="6">
        <v>2024</v>
      </c>
      <c r="B3023" s="6">
        <v>2</v>
      </c>
      <c r="C3023" s="6" t="s">
        <v>61</v>
      </c>
      <c r="D3023" s="6" t="s">
        <v>928</v>
      </c>
      <c r="E3023" s="6" t="s">
        <v>502</v>
      </c>
      <c r="F3023" s="6" t="str">
        <f>IF($M3023="PADD I","PADD 1",IF($M3023="PADD II","PADD 2",IF($M3023="PADD III","PADD 3",IF($M3023="PADD IV","PADD 4",IF($M3023="PADD V","PADD 5","")))))</f>
        <v>PADD 2</v>
      </c>
      <c r="G3023" s="6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6" t="s">
        <v>39</v>
      </c>
      <c r="I3023" s="6" t="s">
        <v>929</v>
      </c>
      <c r="J3023" s="6" t="s">
        <v>394</v>
      </c>
      <c r="K3023" s="10">
        <v>8.5</v>
      </c>
      <c r="L3023" s="10">
        <v>85</v>
      </c>
      <c r="M3023" s="6" t="s">
        <v>425</v>
      </c>
      <c r="N3023" s="6">
        <f>IF(OR($G3023="FCC",$G3023="Hydrocracker",$G3023="Reformer"),IF(COUNTIFS($D:$D,$D3023,$A:$A,$A3023,$B:$B,$B3023,$G:$G,"CDU",$J:$J,"PLANNED")&gt;0,"tied","standalone"),"")</f>
        <v/>
      </c>
    </row>
    <row r="3024" spans="1:14">
      <c r="A3024" s="6">
        <v>2024</v>
      </c>
      <c r="B3024" s="6">
        <v>2</v>
      </c>
      <c r="C3024" s="6" t="s">
        <v>61</v>
      </c>
      <c r="D3024" s="6" t="s">
        <v>378</v>
      </c>
      <c r="E3024" s="6" t="s">
        <v>477</v>
      </c>
      <c r="F3024" s="6" t="str">
        <f>IF($M3024="PADD I","PADD 1",IF($M3024="PADD II","PADD 2",IF($M3024="PADD III","PADD 3",IF($M3024="PADD IV","PADD 4",IF($M3024="PADD V","PADD 5","")))))</f>
        <v>PADD 3</v>
      </c>
      <c r="G3024" s="6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6" t="s">
        <v>428</v>
      </c>
      <c r="I3024" s="6" t="s">
        <v>1014</v>
      </c>
      <c r="J3024" s="6" t="s">
        <v>394</v>
      </c>
      <c r="K3024" s="10">
        <v>8.4</v>
      </c>
      <c r="L3024" s="10">
        <v>40</v>
      </c>
      <c r="M3024" s="6" t="s">
        <v>421</v>
      </c>
      <c r="N3024" s="6">
        <f>IF(OR($G3024="FCC",$G3024="Hydrocracker",$G3024="Reformer"),IF(COUNTIFS($D:$D,$D3024,$A:$A,$A3024,$B:$B,$B3024,$G:$G,"CDU",$J:$J,"PLANNED")&gt;0,"tied","standalone"),"")</f>
        <v/>
      </c>
    </row>
    <row r="3025" spans="1:14">
      <c r="A3025" s="6">
        <v>2024</v>
      </c>
      <c r="B3025" s="6">
        <v>2</v>
      </c>
      <c r="C3025" s="6" t="s">
        <v>61</v>
      </c>
      <c r="D3025" s="6" t="s">
        <v>568</v>
      </c>
      <c r="E3025" s="6" t="s">
        <v>419</v>
      </c>
      <c r="F3025" s="6" t="str">
        <f>IF($M3025="PADD I","PADD 1",IF($M3025="PADD II","PADD 2",IF($M3025="PADD III","PADD 3",IF($M3025="PADD IV","PADD 4",IF($M3025="PADD V","PADD 5","")))))</f>
        <v>PADD 5</v>
      </c>
      <c r="G3025" s="6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6" t="s">
        <v>471</v>
      </c>
      <c r="I3025" s="6" t="s">
        <v>636</v>
      </c>
      <c r="J3025" s="6" t="s">
        <v>394</v>
      </c>
      <c r="K3025" s="10">
        <v>8.324999999999999</v>
      </c>
      <c r="L3025" s="10">
        <v>18.5</v>
      </c>
      <c r="M3025" s="6" t="s">
        <v>436</v>
      </c>
      <c r="N3025" s="6" t="str">
        <f>IF(OR($G3025="FCC",$G3025="Hydrocracker",$G3025="Reformer"),IF(COUNTIFS($D:$D,$D3025,$A:$A,$A3025,$B:$B,$B3025,$G:$G,"CDU",$J:$J,"PLANNED")&gt;0,"tied","standalone"),"")</f>
        <v>tied</v>
      </c>
    </row>
    <row r="3026" spans="1:14">
      <c r="A3026" s="6">
        <v>2024</v>
      </c>
      <c r="B3026" s="6">
        <v>2</v>
      </c>
      <c r="C3026" s="6" t="s">
        <v>61</v>
      </c>
      <c r="D3026" s="6" t="s">
        <v>682</v>
      </c>
      <c r="E3026" s="6" t="s">
        <v>683</v>
      </c>
      <c r="F3026" s="6" t="str">
        <f>IF($M3026="PADD I","PADD 1",IF($M3026="PADD II","PADD 2",IF($M3026="PADD III","PADD 3",IF($M3026="PADD IV","PADD 4",IF($M3026="PADD V","PADD 5","")))))</f>
        <v>PADD 4</v>
      </c>
      <c r="G3026" s="6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6" t="s">
        <v>44</v>
      </c>
      <c r="I3026" s="6" t="s">
        <v>724</v>
      </c>
      <c r="J3026" s="6" t="s">
        <v>394</v>
      </c>
      <c r="K3026" s="10">
        <v>8.279999999999999</v>
      </c>
      <c r="L3026" s="10">
        <v>11.5</v>
      </c>
      <c r="M3026" s="6" t="s">
        <v>480</v>
      </c>
      <c r="N3026" s="6">
        <f>IF(OR($G3026="FCC",$G3026="Hydrocracker",$G3026="Reformer"),IF(COUNTIFS($D:$D,$D3026,$A:$A,$A3026,$B:$B,$B3026,$G:$G,"CDU",$J:$J,"PLANNED")&gt;0,"tied","standalone"),"")</f>
        <v/>
      </c>
    </row>
    <row r="3027" spans="1:14">
      <c r="A3027" s="6">
        <v>2024</v>
      </c>
      <c r="B3027" s="6">
        <v>2</v>
      </c>
      <c r="C3027" s="6" t="s">
        <v>61</v>
      </c>
      <c r="D3027" s="6" t="s">
        <v>581</v>
      </c>
      <c r="E3027" s="6" t="s">
        <v>582</v>
      </c>
      <c r="F3027" s="6" t="str">
        <f>IF($M3027="PADD I","PADD 1",IF($M3027="PADD II","PADD 2",IF($M3027="PADD III","PADD 3",IF($M3027="PADD IV","PADD 4",IF($M3027="PADD V","PADD 5","")))))</f>
        <v>PADD 5</v>
      </c>
      <c r="G3027" s="6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6" t="s">
        <v>44</v>
      </c>
      <c r="I3027" s="6" t="s">
        <v>1179</v>
      </c>
      <c r="J3027" s="6" t="s">
        <v>394</v>
      </c>
      <c r="K3027" s="10">
        <v>8.25</v>
      </c>
      <c r="L3027" s="10">
        <v>15</v>
      </c>
      <c r="M3027" s="6" t="s">
        <v>436</v>
      </c>
      <c r="N3027" s="6">
        <f>IF(OR($G3027="FCC",$G3027="Hydrocracker",$G3027="Reformer"),IF(COUNTIFS($D:$D,$D3027,$A:$A,$A3027,$B:$B,$B3027,$G:$G,"CDU",$J:$J,"PLANNED")&gt;0,"tied","standalone"),"")</f>
        <v/>
      </c>
    </row>
    <row r="3028" spans="1:14">
      <c r="A3028" s="6">
        <v>2024</v>
      </c>
      <c r="B3028" s="6">
        <v>2</v>
      </c>
      <c r="C3028" s="6" t="s">
        <v>61</v>
      </c>
      <c r="D3028" s="6" t="s">
        <v>996</v>
      </c>
      <c r="E3028" s="6" t="s">
        <v>455</v>
      </c>
      <c r="F3028" s="6" t="str">
        <f>IF($M3028="PADD I","PADD 1",IF($M3028="PADD II","PADD 2",IF($M3028="PADD III","PADD 3",IF($M3028="PADD IV","PADD 4",IF($M3028="PADD V","PADD 5","")))))</f>
        <v>PADD 5</v>
      </c>
      <c r="G3028" s="6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6" t="s">
        <v>485</v>
      </c>
      <c r="I3028" s="6" t="s">
        <v>1025</v>
      </c>
      <c r="J3028" s="6" t="s">
        <v>394</v>
      </c>
      <c r="K3028" s="10">
        <v>8.25</v>
      </c>
      <c r="L3028" s="10">
        <v>15</v>
      </c>
      <c r="M3028" s="6" t="s">
        <v>436</v>
      </c>
      <c r="N3028" s="6">
        <f>IF(OR($G3028="FCC",$G3028="Hydrocracker",$G3028="Reformer"),IF(COUNTIFS($D:$D,$D3028,$A:$A,$A3028,$B:$B,$B3028,$G:$G,"CDU",$J:$J,"PLANNED")&gt;0,"tied","standalone"),"")</f>
        <v/>
      </c>
    </row>
    <row r="3029" spans="1:14">
      <c r="A3029" s="6">
        <v>2024</v>
      </c>
      <c r="B3029" s="6">
        <v>2</v>
      </c>
      <c r="C3029" s="6" t="s">
        <v>61</v>
      </c>
      <c r="D3029" s="6" t="s">
        <v>1180</v>
      </c>
      <c r="E3029" s="6" t="s">
        <v>502</v>
      </c>
      <c r="F3029" s="6" t="str">
        <f>IF($M3029="PADD I","PADD 1",IF($M3029="PADD II","PADD 2",IF($M3029="PADD III","PADD 3",IF($M3029="PADD IV","PADD 4",IF($M3029="PADD V","PADD 5","")))))</f>
        <v>PADD 2</v>
      </c>
      <c r="G3029" s="6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6" t="s">
        <v>44</v>
      </c>
      <c r="I3029" s="6" t="s">
        <v>543</v>
      </c>
      <c r="J3029" s="6" t="s">
        <v>394</v>
      </c>
      <c r="K3029" s="10">
        <v>8.06</v>
      </c>
      <c r="L3029" s="10">
        <v>15.5</v>
      </c>
      <c r="M3029" s="6" t="s">
        <v>425</v>
      </c>
      <c r="N3029" s="6">
        <f>IF(OR($G3029="FCC",$G3029="Hydrocracker",$G3029="Reformer"),IF(COUNTIFS($D:$D,$D3029,$A:$A,$A3029,$B:$B,$B3029,$G:$G,"CDU",$J:$J,"PLANNED")&gt;0,"tied","standalone"),"")</f>
        <v/>
      </c>
    </row>
    <row r="3030" spans="1:14">
      <c r="A3030" s="6">
        <v>2024</v>
      </c>
      <c r="B3030" s="6">
        <v>2</v>
      </c>
      <c r="C3030" s="6" t="s">
        <v>61</v>
      </c>
      <c r="D3030" s="6" t="s">
        <v>437</v>
      </c>
      <c r="E3030" s="6" t="s">
        <v>438</v>
      </c>
      <c r="F3030" s="6" t="str">
        <f>IF($M3030="PADD I","PADD 1",IF($M3030="PADD II","PADD 2",IF($M3030="PADD III","PADD 3",IF($M3030="PADD IV","PADD 4",IF($M3030="PADD V","PADD 5","")))))</f>
        <v>PADD 3</v>
      </c>
      <c r="G3030" s="6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6" t="s">
        <v>471</v>
      </c>
      <c r="I3030" s="6" t="s">
        <v>493</v>
      </c>
      <c r="J3030" s="6" t="s">
        <v>394</v>
      </c>
      <c r="K3030" s="10">
        <v>7.75</v>
      </c>
      <c r="L3030" s="10">
        <v>77.5</v>
      </c>
      <c r="M3030" s="6" t="s">
        <v>421</v>
      </c>
      <c r="N3030" s="6" t="str">
        <f>IF(OR($G3030="FCC",$G3030="Hydrocracker",$G3030="Reformer"),IF(COUNTIFS($D:$D,$D3030,$A:$A,$A3030,$B:$B,$B3030,$G:$G,"CDU",$J:$J,"PLANNED")&gt;0,"tied","standalone"),"")</f>
        <v>standalone</v>
      </c>
    </row>
    <row r="3031" spans="1:14">
      <c r="A3031" s="6">
        <v>2024</v>
      </c>
      <c r="B3031" s="6">
        <v>2</v>
      </c>
      <c r="C3031" s="6" t="s">
        <v>61</v>
      </c>
      <c r="D3031" s="6" t="s">
        <v>458</v>
      </c>
      <c r="E3031" s="6" t="s">
        <v>459</v>
      </c>
      <c r="F3031" s="6" t="str">
        <f>IF($M3031="PADD I","PADD 1",IF($M3031="PADD II","PADD 2",IF($M3031="PADD III","PADD 3",IF($M3031="PADD IV","PADD 4",IF($M3031="PADD V","PADD 5","")))))</f>
        <v>PADD 3</v>
      </c>
      <c r="G3031" s="6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6" t="s">
        <v>428</v>
      </c>
      <c r="I3031" s="6" t="s">
        <v>539</v>
      </c>
      <c r="J3031" s="6" t="s">
        <v>394</v>
      </c>
      <c r="K3031" s="10">
        <v>7.7</v>
      </c>
      <c r="L3031" s="10">
        <v>55</v>
      </c>
      <c r="M3031" s="6" t="s">
        <v>421</v>
      </c>
      <c r="N3031" s="6">
        <f>IF(OR($G3031="FCC",$G3031="Hydrocracker",$G3031="Reformer"),IF(COUNTIFS($D:$D,$D3031,$A:$A,$A3031,$B:$B,$B3031,$G:$G,"CDU",$J:$J,"PLANNED")&gt;0,"tied","standalone"),"")</f>
        <v/>
      </c>
    </row>
    <row r="3032" spans="1:14">
      <c r="A3032" s="6">
        <v>2024</v>
      </c>
      <c r="B3032" s="6">
        <v>2</v>
      </c>
      <c r="C3032" s="6" t="s">
        <v>61</v>
      </c>
      <c r="D3032" s="6" t="s">
        <v>568</v>
      </c>
      <c r="E3032" s="6" t="s">
        <v>419</v>
      </c>
      <c r="F3032" s="6" t="str">
        <f>IF($M3032="PADD I","PADD 1",IF($M3032="PADD II","PADD 2",IF($M3032="PADD III","PADD 3",IF($M3032="PADD IV","PADD 4",IF($M3032="PADD V","PADD 5","")))))</f>
        <v>PADD 5</v>
      </c>
      <c r="G3032" s="6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6" t="s">
        <v>44</v>
      </c>
      <c r="I3032" s="6" t="s">
        <v>629</v>
      </c>
      <c r="J3032" s="6" t="s">
        <v>394</v>
      </c>
      <c r="K3032" s="10">
        <v>7.533</v>
      </c>
      <c r="L3032" s="10">
        <v>16.74</v>
      </c>
      <c r="M3032" s="6" t="s">
        <v>436</v>
      </c>
      <c r="N3032" s="6">
        <f>IF(OR($G3032="FCC",$G3032="Hydrocracker",$G3032="Reformer"),IF(COUNTIFS($D:$D,$D3032,$A:$A,$A3032,$B:$B,$B3032,$G:$G,"CDU",$J:$J,"PLANNED")&gt;0,"tied","standalone"),"")</f>
        <v/>
      </c>
    </row>
    <row r="3033" spans="1:14">
      <c r="A3033" s="6">
        <v>2024</v>
      </c>
      <c r="B3033" s="6">
        <v>2</v>
      </c>
      <c r="C3033" s="6" t="s">
        <v>61</v>
      </c>
      <c r="D3033" s="6" t="s">
        <v>458</v>
      </c>
      <c r="E3033" s="6" t="s">
        <v>459</v>
      </c>
      <c r="F3033" s="6" t="str">
        <f>IF($M3033="PADD I","PADD 1",IF($M3033="PADD II","PADD 2",IF($M3033="PADD III","PADD 3",IF($M3033="PADD IV","PADD 4",IF($M3033="PADD V","PADD 5","")))))</f>
        <v>PADD 3</v>
      </c>
      <c r="G3033" s="6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6" t="s">
        <v>44</v>
      </c>
      <c r="I3033" s="6" t="s">
        <v>567</v>
      </c>
      <c r="J3033" s="6" t="s">
        <v>394</v>
      </c>
      <c r="K3033" s="10">
        <v>7.44</v>
      </c>
      <c r="L3033" s="10">
        <v>24</v>
      </c>
      <c r="M3033" s="6" t="s">
        <v>421</v>
      </c>
      <c r="N3033" s="6">
        <f>IF(OR($G3033="FCC",$G3033="Hydrocracker",$G3033="Reformer"),IF(COUNTIFS($D:$D,$D3033,$A:$A,$A3033,$B:$B,$B3033,$G:$G,"CDU",$J:$J,"PLANNED")&gt;0,"tied","standalone"),"")</f>
        <v/>
      </c>
    </row>
    <row r="3034" spans="1:14">
      <c r="A3034" s="6">
        <v>2024</v>
      </c>
      <c r="B3034" s="6">
        <v>2</v>
      </c>
      <c r="C3034" s="6" t="s">
        <v>61</v>
      </c>
      <c r="D3034" s="6" t="s">
        <v>479</v>
      </c>
      <c r="E3034" s="6" t="s">
        <v>438</v>
      </c>
      <c r="F3034" s="6" t="str">
        <f>IF($M3034="PADD I","PADD 1",IF($M3034="PADD II","PADD 2",IF($M3034="PADD III","PADD 3",IF($M3034="PADD IV","PADD 4",IF($M3034="PADD V","PADD 5","")))))</f>
        <v>PADD 4</v>
      </c>
      <c r="G3034" s="6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6" t="s">
        <v>471</v>
      </c>
      <c r="I3034" s="6" t="s">
        <v>1181</v>
      </c>
      <c r="J3034" s="6" t="s">
        <v>398</v>
      </c>
      <c r="K3034" s="10">
        <v>7.44</v>
      </c>
      <c r="L3034" s="10">
        <v>12</v>
      </c>
      <c r="M3034" s="6" t="s">
        <v>480</v>
      </c>
      <c r="N3034" s="6" t="str">
        <f>IF(OR($G3034="FCC",$G3034="Hydrocracker",$G3034="Reformer"),IF(COUNTIFS($D:$D,$D3034,$A:$A,$A3034,$B:$B,$B3034,$G:$G,"CDU",$J:$J,"PLANNED")&gt;0,"tied","standalone"),"")</f>
        <v>tied</v>
      </c>
    </row>
    <row r="3035" spans="1:14">
      <c r="A3035" s="6">
        <v>2024</v>
      </c>
      <c r="B3035" s="6">
        <v>2</v>
      </c>
      <c r="C3035" s="6" t="s">
        <v>61</v>
      </c>
      <c r="D3035" s="6" t="s">
        <v>479</v>
      </c>
      <c r="E3035" s="6" t="s">
        <v>438</v>
      </c>
      <c r="F3035" s="6" t="str">
        <f>IF($M3035="PADD I","PADD 1",IF($M3035="PADD II","PADD 2",IF($M3035="PADD III","PADD 3",IF($M3035="PADD IV","PADD 4",IF($M3035="PADD V","PADD 5","")))))</f>
        <v>PADD 4</v>
      </c>
      <c r="G3035" s="6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6" t="s">
        <v>44</v>
      </c>
      <c r="I3035" s="6" t="s">
        <v>1107</v>
      </c>
      <c r="J3035" s="6" t="s">
        <v>398</v>
      </c>
      <c r="K3035" s="10">
        <v>7.44</v>
      </c>
      <c r="L3035" s="10">
        <v>12</v>
      </c>
      <c r="M3035" s="6" t="s">
        <v>480</v>
      </c>
      <c r="N3035" s="6">
        <f>IF(OR($G3035="FCC",$G3035="Hydrocracker",$G3035="Reformer"),IF(COUNTIFS($D:$D,$D3035,$A:$A,$A3035,$B:$B,$B3035,$G:$G,"CDU",$J:$J,"PLANNED")&gt;0,"tied","standalone"),"")</f>
        <v/>
      </c>
    </row>
    <row r="3036" spans="1:14">
      <c r="A3036" s="6">
        <v>2024</v>
      </c>
      <c r="B3036" s="6">
        <v>2</v>
      </c>
      <c r="C3036" s="6" t="s">
        <v>61</v>
      </c>
      <c r="D3036" s="6" t="s">
        <v>581</v>
      </c>
      <c r="E3036" s="6" t="s">
        <v>582</v>
      </c>
      <c r="F3036" s="6" t="str">
        <f>IF($M3036="PADD I","PADD 1",IF($M3036="PADD II","PADD 2",IF($M3036="PADD III","PADD 3",IF($M3036="PADD IV","PADD 4",IF($M3036="PADD V","PADD 5","")))))</f>
        <v>PADD 5</v>
      </c>
      <c r="G3036" s="6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6" t="s">
        <v>485</v>
      </c>
      <c r="I3036" s="6" t="s">
        <v>664</v>
      </c>
      <c r="J3036" s="6" t="s">
        <v>394</v>
      </c>
      <c r="K3036" s="10">
        <v>7.425</v>
      </c>
      <c r="L3036" s="10">
        <v>13.5</v>
      </c>
      <c r="M3036" s="6" t="s">
        <v>436</v>
      </c>
      <c r="N3036" s="6">
        <f>IF(OR($G3036="FCC",$G3036="Hydrocracker",$G3036="Reformer"),IF(COUNTIFS($D:$D,$D3036,$A:$A,$A3036,$B:$B,$B3036,$G:$G,"CDU",$J:$J,"PLANNED")&gt;0,"tied","standalone"),"")</f>
        <v/>
      </c>
    </row>
    <row r="3037" spans="1:14">
      <c r="A3037" s="6">
        <v>2024</v>
      </c>
      <c r="B3037" s="6">
        <v>2</v>
      </c>
      <c r="C3037" s="6" t="s">
        <v>61</v>
      </c>
      <c r="D3037" s="6" t="s">
        <v>550</v>
      </c>
      <c r="E3037" s="6" t="s">
        <v>438</v>
      </c>
      <c r="F3037" s="6" t="str">
        <f>IF($M3037="PADD I","PADD 1",IF($M3037="PADD II","PADD 2",IF($M3037="PADD III","PADD 3",IF($M3037="PADD IV","PADD 4",IF($M3037="PADD V","PADD 5","")))))</f>
        <v>PADD 2</v>
      </c>
      <c r="G3037" s="6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6" t="s">
        <v>44</v>
      </c>
      <c r="I3037" s="6" t="s">
        <v>551</v>
      </c>
      <c r="J3037" s="6" t="s">
        <v>394</v>
      </c>
      <c r="K3037" s="10">
        <v>7.32</v>
      </c>
      <c r="L3037" s="10">
        <v>30.5</v>
      </c>
      <c r="M3037" s="6" t="s">
        <v>425</v>
      </c>
      <c r="N3037" s="6">
        <f>IF(OR($G3037="FCC",$G3037="Hydrocracker",$G3037="Reformer"),IF(COUNTIFS($D:$D,$D3037,$A:$A,$A3037,$B:$B,$B3037,$G:$G,"CDU",$J:$J,"PLANNED")&gt;0,"tied","standalone"),"")</f>
        <v/>
      </c>
    </row>
    <row r="3038" spans="1:14">
      <c r="A3038" s="6">
        <v>2024</v>
      </c>
      <c r="B3038" s="6">
        <v>2</v>
      </c>
      <c r="C3038" s="6" t="s">
        <v>61</v>
      </c>
      <c r="D3038" s="6" t="s">
        <v>496</v>
      </c>
      <c r="E3038" s="6" t="s">
        <v>441</v>
      </c>
      <c r="F3038" s="6" t="str">
        <f>IF($M3038="PADD I","PADD 1",IF($M3038="PADD II","PADD 2",IF($M3038="PADD III","PADD 3",IF($M3038="PADD IV","PADD 4",IF($M3038="PADD V","PADD 5","")))))</f>
        <v>PADD 3</v>
      </c>
      <c r="G3038" s="6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6" t="s">
        <v>510</v>
      </c>
      <c r="I3038" s="6" t="s">
        <v>1125</v>
      </c>
      <c r="J3038" s="6" t="s">
        <v>394</v>
      </c>
      <c r="K3038" s="10">
        <v>7.2</v>
      </c>
      <c r="L3038" s="10">
        <v>7.2</v>
      </c>
      <c r="M3038" s="6" t="s">
        <v>421</v>
      </c>
      <c r="N3038" s="6">
        <f>IF(OR($G3038="FCC",$G3038="Hydrocracker",$G3038="Reformer"),IF(COUNTIFS($D:$D,$D3038,$A:$A,$A3038,$B:$B,$B3038,$G:$G,"CDU",$J:$J,"PLANNED")&gt;0,"tied","standalone"),"")</f>
        <v/>
      </c>
    </row>
    <row r="3039" spans="1:14">
      <c r="A3039" s="6">
        <v>2024</v>
      </c>
      <c r="B3039" s="6">
        <v>2</v>
      </c>
      <c r="C3039" s="6" t="s">
        <v>61</v>
      </c>
      <c r="D3039" s="6" t="s">
        <v>465</v>
      </c>
      <c r="E3039" s="6" t="s">
        <v>466</v>
      </c>
      <c r="F3039" s="6" t="str">
        <f>IF($M3039="PADD I","PADD 1",IF($M3039="PADD II","PADD 2",IF($M3039="PADD III","PADD 3",IF($M3039="PADD IV","PADD 4",IF($M3039="PADD V","PADD 5","")))))</f>
        <v>PADD 3</v>
      </c>
      <c r="G3039" s="6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6" t="s">
        <v>494</v>
      </c>
      <c r="I3039" s="6" t="s">
        <v>990</v>
      </c>
      <c r="J3039" s="6" t="s">
        <v>394</v>
      </c>
      <c r="K3039" s="10">
        <v>7.168</v>
      </c>
      <c r="L3039" s="10">
        <v>51.2</v>
      </c>
      <c r="M3039" s="6" t="s">
        <v>421</v>
      </c>
      <c r="N3039" s="6" t="str">
        <f>IF(OR($G3039="FCC",$G3039="Hydrocracker",$G3039="Reformer"),IF(COUNTIFS($D:$D,$D3039,$A:$A,$A3039,$B:$B,$B3039,$G:$G,"CDU",$J:$J,"PLANNED")&gt;0,"tied","standalone"),"")</f>
        <v>tied</v>
      </c>
    </row>
    <row r="3040" spans="1:14">
      <c r="A3040" s="6">
        <v>2024</v>
      </c>
      <c r="B3040" s="6">
        <v>2</v>
      </c>
      <c r="C3040" s="6" t="s">
        <v>61</v>
      </c>
      <c r="D3040" s="6" t="s">
        <v>458</v>
      </c>
      <c r="E3040" s="6" t="s">
        <v>459</v>
      </c>
      <c r="F3040" s="6" t="str">
        <f>IF($M3040="PADD I","PADD 1",IF($M3040="PADD II","PADD 2",IF($M3040="PADD III","PADD 3",IF($M3040="PADD IV","PADD 4",IF($M3040="PADD V","PADD 5","")))))</f>
        <v>PADD 3</v>
      </c>
      <c r="G3040" s="6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6" t="s">
        <v>44</v>
      </c>
      <c r="I3040" s="6" t="s">
        <v>528</v>
      </c>
      <c r="J3040" s="6" t="s">
        <v>394</v>
      </c>
      <c r="K3040" s="10">
        <v>7.14</v>
      </c>
      <c r="L3040" s="10">
        <v>42</v>
      </c>
      <c r="M3040" s="6" t="s">
        <v>421</v>
      </c>
      <c r="N3040" s="6">
        <f>IF(OR($G3040="FCC",$G3040="Hydrocracker",$G3040="Reformer"),IF(COUNTIFS($D:$D,$D3040,$A:$A,$A3040,$B:$B,$B3040,$G:$G,"CDU",$J:$J,"PLANNED")&gt;0,"tied","standalone"),"")</f>
        <v/>
      </c>
    </row>
    <row r="3041" spans="1:14">
      <c r="A3041" s="6">
        <v>2024</v>
      </c>
      <c r="B3041" s="6">
        <v>2</v>
      </c>
      <c r="C3041" s="6" t="s">
        <v>61</v>
      </c>
      <c r="D3041" s="6" t="s">
        <v>568</v>
      </c>
      <c r="E3041" s="6" t="s">
        <v>419</v>
      </c>
      <c r="F3041" s="6" t="str">
        <f>IF($M3041="PADD I","PADD 1",IF($M3041="PADD II","PADD 2",IF($M3041="PADD III","PADD 3",IF($M3041="PADD IV","PADD 4",IF($M3041="PADD V","PADD 5","")))))</f>
        <v>PADD 5</v>
      </c>
      <c r="G3041" s="6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6" t="s">
        <v>494</v>
      </c>
      <c r="I3041" s="6" t="s">
        <v>632</v>
      </c>
      <c r="J3041" s="6" t="s">
        <v>394</v>
      </c>
      <c r="K3041" s="10">
        <v>7.13</v>
      </c>
      <c r="L3041" s="10">
        <v>23</v>
      </c>
      <c r="M3041" s="6" t="s">
        <v>436</v>
      </c>
      <c r="N3041" s="6" t="str">
        <f>IF(OR($G3041="FCC",$G3041="Hydrocracker",$G3041="Reformer"),IF(COUNTIFS($D:$D,$D3041,$A:$A,$A3041,$B:$B,$B3041,$G:$G,"CDU",$J:$J,"PLANNED")&gt;0,"tied","standalone"),"")</f>
        <v>tied</v>
      </c>
    </row>
    <row r="3042" spans="1:14">
      <c r="A3042" s="6">
        <v>2024</v>
      </c>
      <c r="B3042" s="6">
        <v>2</v>
      </c>
      <c r="C3042" s="6" t="s">
        <v>61</v>
      </c>
      <c r="D3042" s="6" t="s">
        <v>764</v>
      </c>
      <c r="E3042" s="6" t="s">
        <v>455</v>
      </c>
      <c r="F3042" s="6" t="str">
        <f>IF($M3042="PADD I","PADD 1",IF($M3042="PADD II","PADD 2",IF($M3042="PADD III","PADD 3",IF($M3042="PADD IV","PADD 4",IF($M3042="PADD V","PADD 5","")))))</f>
        <v>PADD 3</v>
      </c>
      <c r="G3042" s="6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6" t="s">
        <v>494</v>
      </c>
      <c r="I3042" s="6" t="s">
        <v>14</v>
      </c>
      <c r="J3042" s="6" t="s">
        <v>394</v>
      </c>
      <c r="K3042" s="10">
        <v>7.08</v>
      </c>
      <c r="L3042" s="10">
        <v>29.5</v>
      </c>
      <c r="M3042" s="6" t="s">
        <v>421</v>
      </c>
      <c r="N3042" s="6" t="str">
        <f>IF(OR($G3042="FCC",$G3042="Hydrocracker",$G3042="Reformer"),IF(COUNTIFS($D:$D,$D3042,$A:$A,$A3042,$B:$B,$B3042,$G:$G,"CDU",$J:$J,"PLANNED")&gt;0,"tied","standalone"),"")</f>
        <v>standalone</v>
      </c>
    </row>
    <row r="3043" spans="1:14">
      <c r="A3043" s="6">
        <v>2024</v>
      </c>
      <c r="B3043" s="6">
        <v>2</v>
      </c>
      <c r="C3043" s="6" t="s">
        <v>61</v>
      </c>
      <c r="D3043" s="6" t="s">
        <v>581</v>
      </c>
      <c r="E3043" s="6" t="s">
        <v>582</v>
      </c>
      <c r="F3043" s="6" t="str">
        <f>IF($M3043="PADD I","PADD 1",IF($M3043="PADD II","PADD 2",IF($M3043="PADD III","PADD 3",IF($M3043="PADD IV","PADD 4",IF($M3043="PADD V","PADD 5","")))))</f>
        <v>PADD 5</v>
      </c>
      <c r="G3043" s="6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6" t="s">
        <v>510</v>
      </c>
      <c r="I3043" s="6" t="s">
        <v>666</v>
      </c>
      <c r="J3043" s="6" t="s">
        <v>394</v>
      </c>
      <c r="K3043" s="10">
        <v>7.0125</v>
      </c>
      <c r="L3043" s="10">
        <v>12.75</v>
      </c>
      <c r="M3043" s="6" t="s">
        <v>436</v>
      </c>
      <c r="N3043" s="6">
        <f>IF(OR($G3043="FCC",$G3043="Hydrocracker",$G3043="Reformer"),IF(COUNTIFS($D:$D,$D3043,$A:$A,$A3043,$B:$B,$B3043,$G:$G,"CDU",$J:$J,"PLANNED")&gt;0,"tied","standalone"),"")</f>
        <v/>
      </c>
    </row>
    <row r="3044" spans="1:14">
      <c r="A3044" s="6">
        <v>2024</v>
      </c>
      <c r="B3044" s="6">
        <v>2</v>
      </c>
      <c r="C3044" s="6" t="s">
        <v>61</v>
      </c>
      <c r="D3044" s="6" t="s">
        <v>518</v>
      </c>
      <c r="E3044" s="6" t="s">
        <v>419</v>
      </c>
      <c r="F3044" s="6" t="str">
        <f>IF($M3044="PADD I","PADD 1",IF($M3044="PADD II","PADD 2",IF($M3044="PADD III","PADD 3",IF($M3044="PADD IV","PADD 4",IF($M3044="PADD V","PADD 5","")))))</f>
        <v>PADD 3</v>
      </c>
      <c r="G3044" s="6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6" t="s">
        <v>471</v>
      </c>
      <c r="I3044" s="6" t="s">
        <v>685</v>
      </c>
      <c r="J3044" s="6" t="s">
        <v>398</v>
      </c>
      <c r="K3044" s="10">
        <v>7</v>
      </c>
      <c r="L3044" s="10">
        <v>7</v>
      </c>
      <c r="M3044" s="6" t="s">
        <v>421</v>
      </c>
      <c r="N3044" s="6" t="str">
        <f>IF(OR($G3044="FCC",$G3044="Hydrocracker",$G3044="Reformer"),IF(COUNTIFS($D:$D,$D3044,$A:$A,$A3044,$B:$B,$B3044,$G:$G,"CDU",$J:$J,"PLANNED")&gt;0,"tied","standalone"),"")</f>
        <v>standalone</v>
      </c>
    </row>
    <row r="3045" spans="1:14">
      <c r="A3045" s="6">
        <v>2024</v>
      </c>
      <c r="B3045" s="6">
        <v>2</v>
      </c>
      <c r="C3045" s="6" t="s">
        <v>61</v>
      </c>
      <c r="D3045" s="6" t="s">
        <v>682</v>
      </c>
      <c r="E3045" s="6" t="s">
        <v>683</v>
      </c>
      <c r="F3045" s="6" t="str">
        <f>IF($M3045="PADD I","PADD 1",IF($M3045="PADD II","PADD 2",IF($M3045="PADD III","PADD 3",IF($M3045="PADD IV","PADD 4",IF($M3045="PADD V","PADD 5","")))))</f>
        <v>PADD 4</v>
      </c>
      <c r="G3045" s="6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6" t="s">
        <v>471</v>
      </c>
      <c r="I3045" s="6" t="s">
        <v>1120</v>
      </c>
      <c r="J3045" s="6" t="s">
        <v>398</v>
      </c>
      <c r="K3045" s="10">
        <v>6.9</v>
      </c>
      <c r="L3045" s="10">
        <v>10</v>
      </c>
      <c r="M3045" s="6" t="s">
        <v>480</v>
      </c>
      <c r="N3045" s="6" t="str">
        <f>IF(OR($G3045="FCC",$G3045="Hydrocracker",$G3045="Reformer"),IF(COUNTIFS($D:$D,$D3045,$A:$A,$A3045,$B:$B,$B3045,$G:$G,"CDU",$J:$J,"PLANNED")&gt;0,"tied","standalone"),"")</f>
        <v>tied</v>
      </c>
    </row>
    <row r="3046" spans="1:14">
      <c r="A3046" s="6">
        <v>2024</v>
      </c>
      <c r="B3046" s="6">
        <v>2</v>
      </c>
      <c r="C3046" s="6" t="s">
        <v>61</v>
      </c>
      <c r="D3046" s="6" t="s">
        <v>581</v>
      </c>
      <c r="E3046" s="6" t="s">
        <v>582</v>
      </c>
      <c r="F3046" s="6" t="str">
        <f>IF($M3046="PADD I","PADD 1",IF($M3046="PADD II","PADD 2",IF($M3046="PADD III","PADD 3",IF($M3046="PADD IV","PADD 4",IF($M3046="PADD V","PADD 5","")))))</f>
        <v>PADD 5</v>
      </c>
      <c r="G3046" s="6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6" t="s">
        <v>485</v>
      </c>
      <c r="I3046" s="6" t="s">
        <v>649</v>
      </c>
      <c r="J3046" s="6" t="s">
        <v>394</v>
      </c>
      <c r="K3046" s="10">
        <v>6.875</v>
      </c>
      <c r="L3046" s="10">
        <v>12.5</v>
      </c>
      <c r="M3046" s="6" t="s">
        <v>436</v>
      </c>
      <c r="N3046" s="6">
        <f>IF(OR($G3046="FCC",$G3046="Hydrocracker",$G3046="Reformer"),IF(COUNTIFS($D:$D,$D3046,$A:$A,$A3046,$B:$B,$B3046,$G:$G,"CDU",$J:$J,"PLANNED")&gt;0,"tied","standalone"),"")</f>
        <v/>
      </c>
    </row>
    <row r="3047" spans="1:14">
      <c r="A3047" s="6">
        <v>2024</v>
      </c>
      <c r="B3047" s="6">
        <v>2</v>
      </c>
      <c r="C3047" s="6" t="s">
        <v>61</v>
      </c>
      <c r="D3047" s="6" t="s">
        <v>581</v>
      </c>
      <c r="E3047" s="6" t="s">
        <v>582</v>
      </c>
      <c r="F3047" s="6" t="str">
        <f>IF($M3047="PADD I","PADD 1",IF($M3047="PADD II","PADD 2",IF($M3047="PADD III","PADD 3",IF($M3047="PADD IV","PADD 4",IF($M3047="PADD V","PADD 5","")))))</f>
        <v>PADD 5</v>
      </c>
      <c r="G3047" s="6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6" t="s">
        <v>494</v>
      </c>
      <c r="I3047" s="6" t="s">
        <v>14</v>
      </c>
      <c r="J3047" s="6" t="s">
        <v>394</v>
      </c>
      <c r="K3047" s="10">
        <v>6.6</v>
      </c>
      <c r="L3047" s="10">
        <v>12</v>
      </c>
      <c r="M3047" s="6" t="s">
        <v>436</v>
      </c>
      <c r="N3047" s="6" t="str">
        <f>IF(OR($G3047="FCC",$G3047="Hydrocracker",$G3047="Reformer"),IF(COUNTIFS($D:$D,$D3047,$A:$A,$A3047,$B:$B,$B3047,$G:$G,"CDU",$J:$J,"PLANNED")&gt;0,"tied","standalone"),"")</f>
        <v>standalone</v>
      </c>
    </row>
    <row r="3048" spans="1:14">
      <c r="A3048" s="6">
        <v>2024</v>
      </c>
      <c r="B3048" s="6">
        <v>2</v>
      </c>
      <c r="C3048" s="6" t="s">
        <v>61</v>
      </c>
      <c r="D3048" s="6" t="s">
        <v>437</v>
      </c>
      <c r="E3048" s="6" t="s">
        <v>438</v>
      </c>
      <c r="F3048" s="6" t="str">
        <f>IF($M3048="PADD I","PADD 1",IF($M3048="PADD II","PADD 2",IF($M3048="PADD III","PADD 3",IF($M3048="PADD IV","PADD 4",IF($M3048="PADD V","PADD 5","")))))</f>
        <v>PADD 3</v>
      </c>
      <c r="G3048" s="6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6" t="s">
        <v>471</v>
      </c>
      <c r="I3048" s="6" t="s">
        <v>633</v>
      </c>
      <c r="J3048" s="6" t="s">
        <v>394</v>
      </c>
      <c r="K3048" s="10">
        <v>6.55</v>
      </c>
      <c r="L3048" s="10">
        <v>65.5</v>
      </c>
      <c r="M3048" s="6" t="s">
        <v>421</v>
      </c>
      <c r="N3048" s="6" t="str">
        <f>IF(OR($G3048="FCC",$G3048="Hydrocracker",$G3048="Reformer"),IF(COUNTIFS($D:$D,$D3048,$A:$A,$A3048,$B:$B,$B3048,$G:$G,"CDU",$J:$J,"PLANNED")&gt;0,"tied","standalone"),"")</f>
        <v>standalone</v>
      </c>
    </row>
    <row r="3049" spans="1:14">
      <c r="A3049" s="6">
        <v>2024</v>
      </c>
      <c r="B3049" s="6">
        <v>2</v>
      </c>
      <c r="C3049" s="6" t="s">
        <v>61</v>
      </c>
      <c r="D3049" s="6" t="s">
        <v>812</v>
      </c>
      <c r="E3049" s="6" t="s">
        <v>813</v>
      </c>
      <c r="F3049" s="6" t="str">
        <f>IF($M3049="PADD I","PADD 1",IF($M3049="PADD II","PADD 2",IF($M3049="PADD III","PADD 3",IF($M3049="PADD IV","PADD 4",IF($M3049="PADD V","PADD 5","")))))</f>
        <v>PADD 2</v>
      </c>
      <c r="G3049" s="6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6" t="s">
        <v>426</v>
      </c>
      <c r="I3049" s="6" t="s">
        <v>106</v>
      </c>
      <c r="J3049" s="6" t="s">
        <v>398</v>
      </c>
      <c r="K3049" s="10">
        <v>6.51</v>
      </c>
      <c r="L3049" s="10">
        <v>21</v>
      </c>
      <c r="M3049" s="6" t="s">
        <v>425</v>
      </c>
      <c r="N3049" s="6" t="str">
        <f>IF(OR($G3049="FCC",$G3049="Hydrocracker",$G3049="Reformer"),IF(COUNTIFS($D:$D,$D3049,$A:$A,$A3049,$B:$B,$B3049,$G:$G,"CDU",$J:$J,"PLANNED")&gt;0,"tied","standalone"),"")</f>
        <v>tied</v>
      </c>
    </row>
    <row r="3050" spans="1:14">
      <c r="A3050" s="6">
        <v>2024</v>
      </c>
      <c r="B3050" s="6">
        <v>2</v>
      </c>
      <c r="C3050" s="6" t="s">
        <v>61</v>
      </c>
      <c r="D3050" s="6" t="s">
        <v>597</v>
      </c>
      <c r="E3050" s="6" t="s">
        <v>441</v>
      </c>
      <c r="F3050" s="6" t="str">
        <f>IF($M3050="PADD I","PADD 1",IF($M3050="PADD II","PADD 2",IF($M3050="PADD III","PADD 3",IF($M3050="PADD IV","PADD 4",IF($M3050="PADD V","PADD 5","")))))</f>
        <v>PADD 5</v>
      </c>
      <c r="G3050" s="6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6" t="s">
        <v>44</v>
      </c>
      <c r="I3050" s="6" t="s">
        <v>981</v>
      </c>
      <c r="J3050" s="6" t="s">
        <v>394</v>
      </c>
      <c r="K3050" s="10">
        <v>6.48</v>
      </c>
      <c r="L3050" s="10">
        <v>64.8</v>
      </c>
      <c r="M3050" s="6" t="s">
        <v>436</v>
      </c>
      <c r="N3050" s="6">
        <f>IF(OR($G3050="FCC",$G3050="Hydrocracker",$G3050="Reformer"),IF(COUNTIFS($D:$D,$D3050,$A:$A,$A3050,$B:$B,$B3050,$G:$G,"CDU",$J:$J,"PLANNED")&gt;0,"tied","standalone"),"")</f>
        <v/>
      </c>
    </row>
    <row r="3051" spans="1:14">
      <c r="A3051" s="6">
        <v>2024</v>
      </c>
      <c r="B3051" s="6">
        <v>2</v>
      </c>
      <c r="C3051" s="6" t="s">
        <v>61</v>
      </c>
      <c r="D3051" s="6" t="s">
        <v>465</v>
      </c>
      <c r="E3051" s="6" t="s">
        <v>466</v>
      </c>
      <c r="F3051" s="6" t="str">
        <f>IF($M3051="PADD I","PADD 1",IF($M3051="PADD II","PADD 2",IF($M3051="PADD III","PADD 3",IF($M3051="PADD IV","PADD 4",IF($M3051="PADD V","PADD 5","")))))</f>
        <v>PADD 3</v>
      </c>
      <c r="G3051" s="6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6" t="s">
        <v>494</v>
      </c>
      <c r="I3051" s="6" t="s">
        <v>990</v>
      </c>
      <c r="J3051" s="6" t="s">
        <v>394</v>
      </c>
      <c r="K3051" s="10">
        <v>6.46</v>
      </c>
      <c r="L3051" s="10">
        <v>38</v>
      </c>
      <c r="M3051" s="6" t="s">
        <v>421</v>
      </c>
      <c r="N3051" s="6" t="str">
        <f>IF(OR($G3051="FCC",$G3051="Hydrocracker",$G3051="Reformer"),IF(COUNTIFS($D:$D,$D3051,$A:$A,$A3051,$B:$B,$B3051,$G:$G,"CDU",$J:$J,"PLANNED")&gt;0,"tied","standalone"),"")</f>
        <v>tied</v>
      </c>
    </row>
    <row r="3052" spans="1:14">
      <c r="A3052" s="6">
        <v>2024</v>
      </c>
      <c r="B3052" s="6">
        <v>2</v>
      </c>
      <c r="C3052" s="6" t="s">
        <v>61</v>
      </c>
      <c r="D3052" s="6" t="s">
        <v>849</v>
      </c>
      <c r="E3052" s="6" t="s">
        <v>441</v>
      </c>
      <c r="F3052" s="6" t="str">
        <f>IF($M3052="PADD I","PADD 1",IF($M3052="PADD II","PADD 2",IF($M3052="PADD III","PADD 3",IF($M3052="PADD IV","PADD 4",IF($M3052="PADD V","PADD 5","")))))</f>
        <v>PADD 4</v>
      </c>
      <c r="G3052" s="6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6" t="s">
        <v>44</v>
      </c>
      <c r="I3052" s="6" t="s">
        <v>1117</v>
      </c>
      <c r="J3052" s="6" t="s">
        <v>394</v>
      </c>
      <c r="K3052" s="10">
        <v>6.325</v>
      </c>
      <c r="L3052" s="10">
        <v>11.5</v>
      </c>
      <c r="M3052" s="6" t="s">
        <v>480</v>
      </c>
      <c r="N3052" s="6">
        <f>IF(OR($G3052="FCC",$G3052="Hydrocracker",$G3052="Reformer"),IF(COUNTIFS($D:$D,$D3052,$A:$A,$A3052,$B:$B,$B3052,$G:$G,"CDU",$J:$J,"PLANNED")&gt;0,"tied","standalone"),"")</f>
        <v/>
      </c>
    </row>
    <row r="3053" spans="1:14">
      <c r="A3053" s="6">
        <v>2024</v>
      </c>
      <c r="B3053" s="6">
        <v>2</v>
      </c>
      <c r="C3053" s="6" t="s">
        <v>61</v>
      </c>
      <c r="D3053" s="6" t="s">
        <v>984</v>
      </c>
      <c r="E3053" s="6" t="s">
        <v>438</v>
      </c>
      <c r="F3053" s="6" t="str">
        <f>IF($M3053="PADD I","PADD 1",IF($M3053="PADD II","PADD 2",IF($M3053="PADD III","PADD 3",IF($M3053="PADD IV","PADD 4",IF($M3053="PADD V","PADD 5","")))))</f>
        <v>PADD 3</v>
      </c>
      <c r="G3053" s="6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6" t="s">
        <v>510</v>
      </c>
      <c r="I3053" s="6" t="s">
        <v>511</v>
      </c>
      <c r="J3053" s="6" t="s">
        <v>398</v>
      </c>
      <c r="K3053" s="10">
        <v>6.2</v>
      </c>
      <c r="L3053" s="10">
        <v>10</v>
      </c>
      <c r="M3053" s="6" t="s">
        <v>421</v>
      </c>
      <c r="N3053" s="6">
        <f>IF(OR($G3053="FCC",$G3053="Hydrocracker",$G3053="Reformer"),IF(COUNTIFS($D:$D,$D3053,$A:$A,$A3053,$B:$B,$B3053,$G:$G,"CDU",$J:$J,"PLANNED")&gt;0,"tied","standalone"),"")</f>
        <v/>
      </c>
    </row>
    <row r="3054" spans="1:14">
      <c r="A3054" s="6">
        <v>2024</v>
      </c>
      <c r="B3054" s="6">
        <v>2</v>
      </c>
      <c r="C3054" s="6" t="s">
        <v>61</v>
      </c>
      <c r="D3054" s="6" t="s">
        <v>652</v>
      </c>
      <c r="E3054" s="6" t="s">
        <v>419</v>
      </c>
      <c r="F3054" s="6" t="str">
        <f>IF($M3054="PADD I","PADD 1",IF($M3054="PADD II","PADD 2",IF($M3054="PADD III","PADD 3",IF($M3054="PADD IV","PADD 4",IF($M3054="PADD V","PADD 5","")))))</f>
        <v>PADD 2</v>
      </c>
      <c r="G3054" s="6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6" t="s">
        <v>426</v>
      </c>
      <c r="I3054" s="6" t="s">
        <v>1174</v>
      </c>
      <c r="J3054" s="6" t="s">
        <v>394</v>
      </c>
      <c r="K3054" s="10">
        <v>6.16</v>
      </c>
      <c r="L3054" s="10">
        <v>44</v>
      </c>
      <c r="M3054" s="6" t="s">
        <v>425</v>
      </c>
      <c r="N3054" s="6" t="str">
        <f>IF(OR($G3054="FCC",$G3054="Hydrocracker",$G3054="Reformer"),IF(COUNTIFS($D:$D,$D3054,$A:$A,$A3054,$B:$B,$B3054,$G:$G,"CDU",$J:$J,"PLANNED")&gt;0,"tied","standalone"),"")</f>
        <v>standalone</v>
      </c>
    </row>
    <row r="3055" spans="1:14">
      <c r="A3055" s="6">
        <v>2024</v>
      </c>
      <c r="B3055" s="6">
        <v>2</v>
      </c>
      <c r="C3055" s="6" t="s">
        <v>61</v>
      </c>
      <c r="D3055" s="6" t="s">
        <v>484</v>
      </c>
      <c r="E3055" s="6" t="s">
        <v>438</v>
      </c>
      <c r="F3055" s="6" t="str">
        <f>IF($M3055="PADD I","PADD 1",IF($M3055="PADD II","PADD 2",IF($M3055="PADD III","PADD 3",IF($M3055="PADD IV","PADD 4",IF($M3055="PADD V","PADD 5","")))))</f>
        <v>PADD 5</v>
      </c>
      <c r="G3055" s="6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6" t="s">
        <v>471</v>
      </c>
      <c r="I3055" s="6" t="s">
        <v>721</v>
      </c>
      <c r="J3055" s="6" t="s">
        <v>394</v>
      </c>
      <c r="K3055" s="10">
        <v>6.15</v>
      </c>
      <c r="L3055" s="10">
        <v>15</v>
      </c>
      <c r="M3055" s="6" t="s">
        <v>436</v>
      </c>
      <c r="N3055" s="6" t="str">
        <f>IF(OR($G3055="FCC",$G3055="Hydrocracker",$G3055="Reformer"),IF(COUNTIFS($D:$D,$D3055,$A:$A,$A3055,$B:$B,$B3055,$G:$G,"CDU",$J:$J,"PLANNED")&gt;0,"tied","standalone"),"")</f>
        <v>standalone</v>
      </c>
    </row>
    <row r="3056" spans="1:14">
      <c r="A3056" s="6">
        <v>2024</v>
      </c>
      <c r="B3056" s="6">
        <v>2</v>
      </c>
      <c r="C3056" s="6" t="s">
        <v>61</v>
      </c>
      <c r="D3056" s="6" t="s">
        <v>395</v>
      </c>
      <c r="E3056" s="6" t="s">
        <v>433</v>
      </c>
      <c r="F3056" s="6" t="str">
        <f>IF($M3056="PADD I","PADD 1",IF($M3056="PADD II","PADD 2",IF($M3056="PADD III","PADD 3",IF($M3056="PADD IV","PADD 4",IF($M3056="PADD V","PADD 5","")))))</f>
        <v>PADD 2</v>
      </c>
      <c r="G3056" s="6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6" t="s">
        <v>39</v>
      </c>
      <c r="I3056" s="6" t="s">
        <v>1108</v>
      </c>
      <c r="J3056" s="6" t="s">
        <v>398</v>
      </c>
      <c r="K3056" s="10">
        <v>6.09</v>
      </c>
      <c r="L3056" s="10">
        <v>87</v>
      </c>
      <c r="M3056" s="6" t="s">
        <v>425</v>
      </c>
      <c r="N3056" s="6">
        <f>IF(OR($G3056="FCC",$G3056="Hydrocracker",$G3056="Reformer"),IF(COUNTIFS($D:$D,$D3056,$A:$A,$A3056,$B:$B,$B3056,$G:$G,"CDU",$J:$J,"PLANNED")&gt;0,"tied","standalone"),"")</f>
        <v/>
      </c>
    </row>
    <row r="3057" spans="1:14">
      <c r="A3057" s="6">
        <v>2024</v>
      </c>
      <c r="B3057" s="6">
        <v>2</v>
      </c>
      <c r="C3057" s="6" t="s">
        <v>61</v>
      </c>
      <c r="D3057" s="6" t="s">
        <v>546</v>
      </c>
      <c r="E3057" s="6" t="s">
        <v>438</v>
      </c>
      <c r="F3057" s="6" t="str">
        <f>IF($M3057="PADD I","PADD 1",IF($M3057="PADD II","PADD 2",IF($M3057="PADD III","PADD 3",IF($M3057="PADD IV","PADD 4",IF($M3057="PADD V","PADD 5","")))))</f>
        <v>PADD 2</v>
      </c>
      <c r="G3057" s="6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6" t="s">
        <v>44</v>
      </c>
      <c r="I3057" s="6" t="s">
        <v>1005</v>
      </c>
      <c r="J3057" s="6" t="s">
        <v>398</v>
      </c>
      <c r="K3057" s="10">
        <v>6</v>
      </c>
      <c r="L3057" s="10">
        <v>6</v>
      </c>
      <c r="M3057" s="6" t="s">
        <v>425</v>
      </c>
      <c r="N3057" s="6">
        <f>IF(OR($G3057="FCC",$G3057="Hydrocracker",$G3057="Reformer"),IF(COUNTIFS($D:$D,$D3057,$A:$A,$A3057,$B:$B,$B3057,$G:$G,"CDU",$J:$J,"PLANNED")&gt;0,"tied","standalone"),"")</f>
        <v/>
      </c>
    </row>
    <row r="3058" spans="1:14">
      <c r="A3058" s="6">
        <v>2024</v>
      </c>
      <c r="B3058" s="6">
        <v>2</v>
      </c>
      <c r="C3058" s="6" t="s">
        <v>61</v>
      </c>
      <c r="D3058" s="6" t="s">
        <v>696</v>
      </c>
      <c r="E3058" s="6" t="s">
        <v>455</v>
      </c>
      <c r="F3058" s="6" t="str">
        <f>IF($M3058="PADD I","PADD 1",IF($M3058="PADD II","PADD 2",IF($M3058="PADD III","PADD 3",IF($M3058="PADD IV","PADD 4",IF($M3058="PADD V","PADD 5","")))))</f>
        <v>PADD 3</v>
      </c>
      <c r="G3058" s="6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6" t="s">
        <v>471</v>
      </c>
      <c r="I3058" s="6" t="s">
        <v>1182</v>
      </c>
      <c r="J3058" s="6" t="s">
        <v>394</v>
      </c>
      <c r="K3058" s="10">
        <v>5.9</v>
      </c>
      <c r="L3058" s="10">
        <v>10</v>
      </c>
      <c r="M3058" s="6" t="s">
        <v>421</v>
      </c>
      <c r="N3058" s="6" t="str">
        <f>IF(OR($G3058="FCC",$G3058="Hydrocracker",$G3058="Reformer"),IF(COUNTIFS($D:$D,$D3058,$A:$A,$A3058,$B:$B,$B3058,$G:$G,"CDU",$J:$J,"PLANNED")&gt;0,"tied","standalone"),"")</f>
        <v>standalone</v>
      </c>
    </row>
    <row r="3059" spans="1:14">
      <c r="A3059" s="6">
        <v>2024</v>
      </c>
      <c r="B3059" s="6">
        <v>2</v>
      </c>
      <c r="C3059" s="6" t="s">
        <v>61</v>
      </c>
      <c r="D3059" s="6" t="s">
        <v>824</v>
      </c>
      <c r="E3059" s="6" t="s">
        <v>825</v>
      </c>
      <c r="F3059" s="6" t="str">
        <f>IF($M3059="PADD I","PADD 1",IF($M3059="PADD II","PADD 2",IF($M3059="PADD III","PADD 3",IF($M3059="PADD IV","PADD 4",IF($M3059="PADD V","PADD 5","")))))</f>
        <v>PADD 1</v>
      </c>
      <c r="G3059" s="6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6" t="s">
        <v>510</v>
      </c>
      <c r="I3059" s="6" t="s">
        <v>511</v>
      </c>
      <c r="J3059" s="6" t="s">
        <v>394</v>
      </c>
      <c r="K3059" s="10">
        <v>5.775</v>
      </c>
      <c r="L3059" s="10">
        <v>10.5</v>
      </c>
      <c r="M3059" s="6" t="s">
        <v>463</v>
      </c>
      <c r="N3059" s="6">
        <f>IF(OR($G3059="FCC",$G3059="Hydrocracker",$G3059="Reformer"),IF(COUNTIFS($D:$D,$D3059,$A:$A,$A3059,$B:$B,$B3059,$G:$G,"CDU",$J:$J,"PLANNED")&gt;0,"tied","standalone"),"")</f>
        <v/>
      </c>
    </row>
    <row r="3060" spans="1:14">
      <c r="A3060" s="6">
        <v>2024</v>
      </c>
      <c r="B3060" s="6">
        <v>2</v>
      </c>
      <c r="C3060" s="6" t="s">
        <v>61</v>
      </c>
      <c r="D3060" s="6" t="s">
        <v>568</v>
      </c>
      <c r="E3060" s="6" t="s">
        <v>419</v>
      </c>
      <c r="F3060" s="6" t="str">
        <f>IF($M3060="PADD I","PADD 1",IF($M3060="PADD II","PADD 2",IF($M3060="PADD III","PADD 3",IF($M3060="PADD IV","PADD 4",IF($M3060="PADD V","PADD 5","")))))</f>
        <v>PADD 5</v>
      </c>
      <c r="G3060" s="6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6" t="s">
        <v>471</v>
      </c>
      <c r="I3060" s="6" t="s">
        <v>895</v>
      </c>
      <c r="J3060" s="6" t="s">
        <v>394</v>
      </c>
      <c r="K3060" s="10">
        <v>5.735</v>
      </c>
      <c r="L3060" s="10">
        <v>18.5</v>
      </c>
      <c r="M3060" s="6" t="s">
        <v>436</v>
      </c>
      <c r="N3060" s="6" t="str">
        <f>IF(OR($G3060="FCC",$G3060="Hydrocracker",$G3060="Reformer"),IF(COUNTIFS($D:$D,$D3060,$A:$A,$A3060,$B:$B,$B3060,$G:$G,"CDU",$J:$J,"PLANNED")&gt;0,"tied","standalone"),"")</f>
        <v>tied</v>
      </c>
    </row>
    <row r="3061" spans="1:14">
      <c r="A3061" s="6">
        <v>2024</v>
      </c>
      <c r="B3061" s="6">
        <v>2</v>
      </c>
      <c r="C3061" s="6" t="s">
        <v>61</v>
      </c>
      <c r="D3061" s="6" t="s">
        <v>581</v>
      </c>
      <c r="E3061" s="6" t="s">
        <v>582</v>
      </c>
      <c r="F3061" s="6" t="str">
        <f>IF($M3061="PADD I","PADD 1",IF($M3061="PADD II","PADD 2",IF($M3061="PADD III","PADD 3",IF($M3061="PADD IV","PADD 4",IF($M3061="PADD V","PADD 5","")))))</f>
        <v>PADD 5</v>
      </c>
      <c r="G3061" s="6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6" t="s">
        <v>44</v>
      </c>
      <c r="I3061" s="6" t="s">
        <v>668</v>
      </c>
      <c r="J3061" s="6" t="s">
        <v>394</v>
      </c>
      <c r="K3061" s="10">
        <v>5.5</v>
      </c>
      <c r="L3061" s="10">
        <v>10</v>
      </c>
      <c r="M3061" s="6" t="s">
        <v>436</v>
      </c>
      <c r="N3061" s="6">
        <f>IF(OR($G3061="FCC",$G3061="Hydrocracker",$G3061="Reformer"),IF(COUNTIFS($D:$D,$D3061,$A:$A,$A3061,$B:$B,$B3061,$G:$G,"CDU",$J:$J,"PLANNED")&gt;0,"tied","standalone"),"")</f>
        <v/>
      </c>
    </row>
    <row r="3062" spans="1:14">
      <c r="A3062" s="6">
        <v>2024</v>
      </c>
      <c r="B3062" s="6">
        <v>2</v>
      </c>
      <c r="C3062" s="6" t="s">
        <v>61</v>
      </c>
      <c r="D3062" s="6" t="s">
        <v>665</v>
      </c>
      <c r="E3062" s="6" t="s">
        <v>455</v>
      </c>
      <c r="F3062" s="6" t="str">
        <f>IF($M3062="PADD I","PADD 1",IF($M3062="PADD II","PADD 2",IF($M3062="PADD III","PADD 3",IF($M3062="PADD IV","PADD 4",IF($M3062="PADD V","PADD 5","")))))</f>
        <v>PADD 5</v>
      </c>
      <c r="G3062" s="6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6" t="s">
        <v>426</v>
      </c>
      <c r="I3062" s="6" t="s">
        <v>106</v>
      </c>
      <c r="J3062" s="6" t="s">
        <v>398</v>
      </c>
      <c r="K3062" s="10">
        <v>5.39</v>
      </c>
      <c r="L3062" s="10">
        <v>77</v>
      </c>
      <c r="M3062" s="6" t="s">
        <v>436</v>
      </c>
      <c r="N3062" s="6" t="str">
        <f>IF(OR($G3062="FCC",$G3062="Hydrocracker",$G3062="Reformer"),IF(COUNTIFS($D:$D,$D3062,$A:$A,$A3062,$B:$B,$B3062,$G:$G,"CDU",$J:$J,"PLANNED")&gt;0,"tied","standalone"),"")</f>
        <v>standalone</v>
      </c>
    </row>
    <row r="3063" spans="1:14">
      <c r="A3063" s="6">
        <v>2024</v>
      </c>
      <c r="B3063" s="6">
        <v>2</v>
      </c>
      <c r="C3063" s="6" t="s">
        <v>61</v>
      </c>
      <c r="D3063" s="6" t="s">
        <v>496</v>
      </c>
      <c r="E3063" s="6" t="s">
        <v>441</v>
      </c>
      <c r="F3063" s="6" t="str">
        <f>IF($M3063="PADD I","PADD 1",IF($M3063="PADD II","PADD 2",IF($M3063="PADD III","PADD 3",IF($M3063="PADD IV","PADD 4",IF($M3063="PADD V","PADD 5","")))))</f>
        <v>PADD 3</v>
      </c>
      <c r="G3063" s="6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6" t="s">
        <v>428</v>
      </c>
      <c r="I3063" s="6" t="s">
        <v>1091</v>
      </c>
      <c r="J3063" s="6" t="s">
        <v>394</v>
      </c>
      <c r="K3063" s="10">
        <v>5.32</v>
      </c>
      <c r="L3063" s="10">
        <v>38</v>
      </c>
      <c r="M3063" s="6" t="s">
        <v>421</v>
      </c>
      <c r="N3063" s="6">
        <f>IF(OR($G3063="FCC",$G3063="Hydrocracker",$G3063="Reformer"),IF(COUNTIFS($D:$D,$D3063,$A:$A,$A3063,$B:$B,$B3063,$G:$G,"CDU",$J:$J,"PLANNED")&gt;0,"tied","standalone"),"")</f>
        <v/>
      </c>
    </row>
    <row r="3064" spans="1:14">
      <c r="A3064" s="6">
        <v>2024</v>
      </c>
      <c r="B3064" s="6">
        <v>2</v>
      </c>
      <c r="C3064" s="6" t="s">
        <v>61</v>
      </c>
      <c r="D3064" s="6" t="s">
        <v>652</v>
      </c>
      <c r="E3064" s="6" t="s">
        <v>419</v>
      </c>
      <c r="F3064" s="6" t="str">
        <f>IF($M3064="PADD I","PADD 1",IF($M3064="PADD II","PADD 2",IF($M3064="PADD III","PADD 3",IF($M3064="PADD IV","PADD 4",IF($M3064="PADD V","PADD 5","")))))</f>
        <v>PADD 2</v>
      </c>
      <c r="G3064" s="6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6" t="s">
        <v>39</v>
      </c>
      <c r="I3064" s="6" t="s">
        <v>711</v>
      </c>
      <c r="J3064" s="6" t="s">
        <v>394</v>
      </c>
      <c r="K3064" s="10">
        <v>5.32</v>
      </c>
      <c r="L3064" s="10">
        <v>38</v>
      </c>
      <c r="M3064" s="6" t="s">
        <v>425</v>
      </c>
      <c r="N3064" s="6">
        <f>IF(OR($G3064="FCC",$G3064="Hydrocracker",$G3064="Reformer"),IF(COUNTIFS($D:$D,$D3064,$A:$A,$A3064,$B:$B,$B3064,$G:$G,"CDU",$J:$J,"PLANNED")&gt;0,"tied","standalone"),"")</f>
        <v/>
      </c>
    </row>
    <row r="3065" spans="1:14">
      <c r="A3065" s="6">
        <v>2024</v>
      </c>
      <c r="B3065" s="6">
        <v>2</v>
      </c>
      <c r="C3065" s="6" t="s">
        <v>61</v>
      </c>
      <c r="D3065" s="6" t="s">
        <v>458</v>
      </c>
      <c r="E3065" s="6" t="s">
        <v>459</v>
      </c>
      <c r="F3065" s="6" t="str">
        <f>IF($M3065="PADD I","PADD 1",IF($M3065="PADD II","PADD 2",IF($M3065="PADD III","PADD 3",IF($M3065="PADD IV","PADD 4",IF($M3065="PADD V","PADD 5","")))))</f>
        <v>PADD 3</v>
      </c>
      <c r="G3065" s="6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6" t="s">
        <v>44</v>
      </c>
      <c r="I3065" s="6" t="s">
        <v>547</v>
      </c>
      <c r="J3065" s="6" t="s">
        <v>394</v>
      </c>
      <c r="K3065" s="10">
        <v>5.27</v>
      </c>
      <c r="L3065" s="10">
        <v>31</v>
      </c>
      <c r="M3065" s="6" t="s">
        <v>421</v>
      </c>
      <c r="N3065" s="6">
        <f>IF(OR($G3065="FCC",$G3065="Hydrocracker",$G3065="Reformer"),IF(COUNTIFS($D:$D,$D3065,$A:$A,$A3065,$B:$B,$B3065,$G:$G,"CDU",$J:$J,"PLANNED")&gt;0,"tied","standalone"),"")</f>
        <v/>
      </c>
    </row>
    <row r="3066" spans="1:14">
      <c r="A3066" s="6">
        <v>2024</v>
      </c>
      <c r="B3066" s="6">
        <v>2</v>
      </c>
      <c r="C3066" s="6" t="s">
        <v>61</v>
      </c>
      <c r="D3066" s="6" t="s">
        <v>371</v>
      </c>
      <c r="E3066" s="6" t="s">
        <v>419</v>
      </c>
      <c r="F3066" s="6" t="str">
        <f>IF($M3066="PADD I","PADD 1",IF($M3066="PADD II","PADD 2",IF($M3066="PADD III","PADD 3",IF($M3066="PADD IV","PADD 4",IF($M3066="PADD V","PADD 5","")))))</f>
        <v>PADD 2</v>
      </c>
      <c r="G3066" s="6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6" t="s">
        <v>39</v>
      </c>
      <c r="I3066" s="6" t="s">
        <v>961</v>
      </c>
      <c r="J3066" s="6" t="s">
        <v>398</v>
      </c>
      <c r="K3066" s="10">
        <v>5.25</v>
      </c>
      <c r="L3066" s="10">
        <v>75</v>
      </c>
      <c r="M3066" s="6" t="s">
        <v>425</v>
      </c>
      <c r="N3066" s="6">
        <f>IF(OR($G3066="FCC",$G3066="Hydrocracker",$G3066="Reformer"),IF(COUNTIFS($D:$D,$D3066,$A:$A,$A3066,$B:$B,$B3066,$G:$G,"CDU",$J:$J,"PLANNED")&gt;0,"tied","standalone"),"")</f>
        <v/>
      </c>
    </row>
    <row r="3067" spans="1:14">
      <c r="A3067" s="6">
        <v>2024</v>
      </c>
      <c r="B3067" s="6">
        <v>2</v>
      </c>
      <c r="C3067" s="6" t="s">
        <v>61</v>
      </c>
      <c r="D3067" s="6" t="s">
        <v>484</v>
      </c>
      <c r="E3067" s="6" t="s">
        <v>438</v>
      </c>
      <c r="F3067" s="6" t="str">
        <f>IF($M3067="PADD I","PADD 1",IF($M3067="PADD II","PADD 2",IF($M3067="PADD III","PADD 3",IF($M3067="PADD IV","PADD 4",IF($M3067="PADD V","PADD 5","")))))</f>
        <v>PADD 5</v>
      </c>
      <c r="G3067" s="6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6" t="s">
        <v>44</v>
      </c>
      <c r="I3067" s="6" t="s">
        <v>955</v>
      </c>
      <c r="J3067" s="6" t="s">
        <v>394</v>
      </c>
      <c r="K3067" s="10">
        <v>5.25</v>
      </c>
      <c r="L3067" s="10">
        <v>25</v>
      </c>
      <c r="M3067" s="6" t="s">
        <v>436</v>
      </c>
      <c r="N3067" s="6">
        <f>IF(OR($G3067="FCC",$G3067="Hydrocracker",$G3067="Reformer"),IF(COUNTIFS($D:$D,$D3067,$A:$A,$A3067,$B:$B,$B3067,$G:$G,"CDU",$J:$J,"PLANNED")&gt;0,"tied","standalone"),"")</f>
        <v/>
      </c>
    </row>
    <row r="3068" spans="1:14">
      <c r="A3068" s="6">
        <v>2024</v>
      </c>
      <c r="B3068" s="6">
        <v>2</v>
      </c>
      <c r="C3068" s="6" t="s">
        <v>61</v>
      </c>
      <c r="D3068" s="6" t="s">
        <v>507</v>
      </c>
      <c r="E3068" s="6" t="s">
        <v>438</v>
      </c>
      <c r="F3068" s="6" t="str">
        <f>IF($M3068="PADD I","PADD 1",IF($M3068="PADD II","PADD 2",IF($M3068="PADD III","PADD 3",IF($M3068="PADD IV","PADD 4",IF($M3068="PADD V","PADD 5","")))))</f>
        <v>PADD 5</v>
      </c>
      <c r="G3068" s="6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6" t="s">
        <v>44</v>
      </c>
      <c r="I3068" s="6" t="s">
        <v>1150</v>
      </c>
      <c r="J3068" s="6" t="s">
        <v>398</v>
      </c>
      <c r="K3068" s="10">
        <v>5.2</v>
      </c>
      <c r="L3068" s="10">
        <v>10</v>
      </c>
      <c r="M3068" s="6" t="s">
        <v>436</v>
      </c>
      <c r="N3068" s="6">
        <f>IF(OR($G3068="FCC",$G3068="Hydrocracker",$G3068="Reformer"),IF(COUNTIFS($D:$D,$D3068,$A:$A,$A3068,$B:$B,$B3068,$G:$G,"CDU",$J:$J,"PLANNED")&gt;0,"tied","standalone"),"")</f>
        <v/>
      </c>
    </row>
    <row r="3069" spans="1:14">
      <c r="A3069" s="6">
        <v>2024</v>
      </c>
      <c r="B3069" s="6">
        <v>2</v>
      </c>
      <c r="C3069" s="6" t="s">
        <v>61</v>
      </c>
      <c r="D3069" s="6" t="s">
        <v>534</v>
      </c>
      <c r="E3069" s="6" t="s">
        <v>459</v>
      </c>
      <c r="F3069" s="6" t="str">
        <f>IF($M3069="PADD I","PADD 1",IF($M3069="PADD II","PADD 2",IF($M3069="PADD III","PADD 3",IF($M3069="PADD IV","PADD 4",IF($M3069="PADD V","PADD 5","")))))</f>
        <v>PADD 3</v>
      </c>
      <c r="G3069" s="6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6" t="s">
        <v>44</v>
      </c>
      <c r="I3069" s="6" t="s">
        <v>543</v>
      </c>
      <c r="J3069" s="6" t="s">
        <v>394</v>
      </c>
      <c r="K3069" s="10">
        <v>5.2</v>
      </c>
      <c r="L3069" s="10">
        <v>10</v>
      </c>
      <c r="M3069" s="6" t="s">
        <v>421</v>
      </c>
      <c r="N3069" s="6">
        <f>IF(OR($G3069="FCC",$G3069="Hydrocracker",$G3069="Reformer"),IF(COUNTIFS($D:$D,$D3069,$A:$A,$A3069,$B:$B,$B3069,$G:$G,"CDU",$J:$J,"PLANNED")&gt;0,"tied","standalone"),"")</f>
        <v/>
      </c>
    </row>
    <row r="3070" spans="1:14">
      <c r="A3070" s="6">
        <v>2024</v>
      </c>
      <c r="B3070" s="6">
        <v>2</v>
      </c>
      <c r="C3070" s="6" t="s">
        <v>61</v>
      </c>
      <c r="D3070" s="6" t="s">
        <v>458</v>
      </c>
      <c r="E3070" s="6" t="s">
        <v>459</v>
      </c>
      <c r="F3070" s="6" t="str">
        <f>IF($M3070="PADD I","PADD 1",IF($M3070="PADD II","PADD 2",IF($M3070="PADD III","PADD 3",IF($M3070="PADD IV","PADD 4",IF($M3070="PADD V","PADD 5","")))))</f>
        <v>PADD 3</v>
      </c>
      <c r="G3070" s="6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6" t="s">
        <v>44</v>
      </c>
      <c r="I3070" s="6" t="s">
        <v>552</v>
      </c>
      <c r="J3070" s="6" t="s">
        <v>394</v>
      </c>
      <c r="K3070" s="10">
        <v>5.1</v>
      </c>
      <c r="L3070" s="10">
        <v>30</v>
      </c>
      <c r="M3070" s="6" t="s">
        <v>421</v>
      </c>
      <c r="N3070" s="6">
        <f>IF(OR($G3070="FCC",$G3070="Hydrocracker",$G3070="Reformer"),IF(COUNTIFS($D:$D,$D3070,$A:$A,$A3070,$B:$B,$B3070,$G:$G,"CDU",$J:$J,"PLANNED")&gt;0,"tied","standalone"),"")</f>
        <v/>
      </c>
    </row>
    <row r="3071" spans="1:14">
      <c r="A3071" s="6">
        <v>2024</v>
      </c>
      <c r="B3071" s="6">
        <v>2</v>
      </c>
      <c r="C3071" s="6" t="s">
        <v>61</v>
      </c>
      <c r="D3071" s="6" t="s">
        <v>458</v>
      </c>
      <c r="E3071" s="6" t="s">
        <v>459</v>
      </c>
      <c r="F3071" s="6" t="str">
        <f>IF($M3071="PADD I","PADD 1",IF($M3071="PADD II","PADD 2",IF($M3071="PADD III","PADD 3",IF($M3071="PADD IV","PADD 4",IF($M3071="PADD V","PADD 5","")))))</f>
        <v>PADD 3</v>
      </c>
      <c r="G3071" s="6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6" t="s">
        <v>44</v>
      </c>
      <c r="I3071" s="6" t="s">
        <v>553</v>
      </c>
      <c r="J3071" s="6" t="s">
        <v>394</v>
      </c>
      <c r="K3071" s="10">
        <v>5.1</v>
      </c>
      <c r="L3071" s="10">
        <v>30</v>
      </c>
      <c r="M3071" s="6" t="s">
        <v>421</v>
      </c>
      <c r="N3071" s="6">
        <f>IF(OR($G3071="FCC",$G3071="Hydrocracker",$G3071="Reformer"),IF(COUNTIFS($D:$D,$D3071,$A:$A,$A3071,$B:$B,$B3071,$G:$G,"CDU",$J:$J,"PLANNED")&gt;0,"tied","standalone"),"")</f>
        <v/>
      </c>
    </row>
    <row r="3072" spans="1:14">
      <c r="A3072" s="6">
        <v>2024</v>
      </c>
      <c r="B3072" s="6">
        <v>2</v>
      </c>
      <c r="C3072" s="6" t="s">
        <v>61</v>
      </c>
      <c r="D3072" s="6" t="s">
        <v>518</v>
      </c>
      <c r="E3072" s="6" t="s">
        <v>419</v>
      </c>
      <c r="F3072" s="6" t="str">
        <f>IF($M3072="PADD I","PADD 1",IF($M3072="PADD II","PADD 2",IF($M3072="PADD III","PADD 3",IF($M3072="PADD IV","PADD 4",IF($M3072="PADD V","PADD 5","")))))</f>
        <v>PADD 3</v>
      </c>
      <c r="G3072" s="6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6" t="s">
        <v>426</v>
      </c>
      <c r="I3072" s="6" t="s">
        <v>523</v>
      </c>
      <c r="J3072" s="6" t="s">
        <v>394</v>
      </c>
      <c r="K3072" s="10">
        <v>5.1</v>
      </c>
      <c r="L3072" s="10">
        <v>30</v>
      </c>
      <c r="M3072" s="6" t="s">
        <v>421</v>
      </c>
      <c r="N3072" s="6" t="str">
        <f>IF(OR($G3072="FCC",$G3072="Hydrocracker",$G3072="Reformer"),IF(COUNTIFS($D:$D,$D3072,$A:$A,$A3072,$B:$B,$B3072,$G:$G,"CDU",$J:$J,"PLANNED")&gt;0,"tied","standalone"),"")</f>
        <v>standalone</v>
      </c>
    </row>
    <row r="3073" spans="1:14">
      <c r="A3073" s="6">
        <v>2024</v>
      </c>
      <c r="B3073" s="6">
        <v>2</v>
      </c>
      <c r="C3073" s="6" t="s">
        <v>61</v>
      </c>
      <c r="D3073" s="6" t="s">
        <v>812</v>
      </c>
      <c r="E3073" s="6" t="s">
        <v>813</v>
      </c>
      <c r="F3073" s="6" t="str">
        <f>IF($M3073="PADD I","PADD 1",IF($M3073="PADD II","PADD 2",IF($M3073="PADD III","PADD 3",IF($M3073="PADD IV","PADD 4",IF($M3073="PADD V","PADD 5","")))))</f>
        <v>PADD 2</v>
      </c>
      <c r="G3073" s="6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6" t="s">
        <v>471</v>
      </c>
      <c r="I3073" s="6" t="s">
        <v>832</v>
      </c>
      <c r="J3073" s="6" t="s">
        <v>398</v>
      </c>
      <c r="K3073" s="10">
        <v>5.1</v>
      </c>
      <c r="L3073" s="10">
        <v>15</v>
      </c>
      <c r="M3073" s="6" t="s">
        <v>425</v>
      </c>
      <c r="N3073" s="6" t="str">
        <f>IF(OR($G3073="FCC",$G3073="Hydrocracker",$G3073="Reformer"),IF(COUNTIFS($D:$D,$D3073,$A:$A,$A3073,$B:$B,$B3073,$G:$G,"CDU",$J:$J,"PLANNED")&gt;0,"tied","standalone"),"")</f>
        <v>tied</v>
      </c>
    </row>
    <row r="3074" spans="1:14">
      <c r="A3074" s="6">
        <v>2024</v>
      </c>
      <c r="B3074" s="6">
        <v>2</v>
      </c>
      <c r="C3074" s="6" t="s">
        <v>61</v>
      </c>
      <c r="D3074" s="6" t="s">
        <v>479</v>
      </c>
      <c r="E3074" s="6" t="s">
        <v>438</v>
      </c>
      <c r="F3074" s="6" t="str">
        <f>IF($M3074="PADD I","PADD 1",IF($M3074="PADD II","PADD 2",IF($M3074="PADD III","PADD 3",IF($M3074="PADD IV","PADD 4",IF($M3074="PADD V","PADD 5","")))))</f>
        <v>PADD 4</v>
      </c>
      <c r="G3074" s="6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6" t="s">
        <v>44</v>
      </c>
      <c r="I3074" s="6" t="s">
        <v>1183</v>
      </c>
      <c r="J3074" s="6" t="s">
        <v>398</v>
      </c>
      <c r="K3074" s="10">
        <v>4.96</v>
      </c>
      <c r="L3074" s="10">
        <v>8</v>
      </c>
      <c r="M3074" s="6" t="s">
        <v>480</v>
      </c>
      <c r="N3074" s="6">
        <f>IF(OR($G3074="FCC",$G3074="Hydrocracker",$G3074="Reformer"),IF(COUNTIFS($D:$D,$D3074,$A:$A,$A3074,$B:$B,$B3074,$G:$G,"CDU",$J:$J,"PLANNED")&gt;0,"tied","standalone"),"")</f>
        <v/>
      </c>
    </row>
    <row r="3075" spans="1:14">
      <c r="A3075" s="6">
        <v>2024</v>
      </c>
      <c r="B3075" s="6">
        <v>2</v>
      </c>
      <c r="C3075" s="6" t="s">
        <v>61</v>
      </c>
      <c r="D3075" s="6" t="s">
        <v>849</v>
      </c>
      <c r="E3075" s="6" t="s">
        <v>441</v>
      </c>
      <c r="F3075" s="6" t="str">
        <f>IF($M3075="PADD I","PADD 1",IF($M3075="PADD II","PADD 2",IF($M3075="PADD III","PADD 3",IF($M3075="PADD IV","PADD 4",IF($M3075="PADD V","PADD 5","")))))</f>
        <v>PADD 4</v>
      </c>
      <c r="G3075" s="6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6" t="s">
        <v>44</v>
      </c>
      <c r="I3075" s="6" t="s">
        <v>1184</v>
      </c>
      <c r="J3075" s="6" t="s">
        <v>394</v>
      </c>
      <c r="K3075" s="10">
        <v>4.675</v>
      </c>
      <c r="L3075" s="10">
        <v>8.5</v>
      </c>
      <c r="M3075" s="6" t="s">
        <v>480</v>
      </c>
      <c r="N3075" s="6">
        <f>IF(OR($G3075="FCC",$G3075="Hydrocracker",$G3075="Reformer"),IF(COUNTIFS($D:$D,$D3075,$A:$A,$A3075,$B:$B,$B3075,$G:$G,"CDU",$J:$J,"PLANNED")&gt;0,"tied","standalone"),"")</f>
        <v/>
      </c>
    </row>
    <row r="3076" spans="1:14">
      <c r="A3076" s="6">
        <v>2024</v>
      </c>
      <c r="B3076" s="6">
        <v>2</v>
      </c>
      <c r="C3076" s="6" t="s">
        <v>61</v>
      </c>
      <c r="D3076" s="6" t="s">
        <v>652</v>
      </c>
      <c r="E3076" s="6" t="s">
        <v>419</v>
      </c>
      <c r="F3076" s="6" t="str">
        <f>IF($M3076="PADD I","PADD 1",IF($M3076="PADD II","PADD 2",IF($M3076="PADD III","PADD 3",IF($M3076="PADD IV","PADD 4",IF($M3076="PADD V","PADD 5","")))))</f>
        <v>PADD 2</v>
      </c>
      <c r="G3076" s="6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6" t="s">
        <v>471</v>
      </c>
      <c r="I3076" s="6" t="s">
        <v>747</v>
      </c>
      <c r="J3076" s="6" t="s">
        <v>394</v>
      </c>
      <c r="K3076" s="10">
        <v>4.59</v>
      </c>
      <c r="L3076" s="10">
        <v>27</v>
      </c>
      <c r="M3076" s="6" t="s">
        <v>425</v>
      </c>
      <c r="N3076" s="6" t="str">
        <f>IF(OR($G3076="FCC",$G3076="Hydrocracker",$G3076="Reformer"),IF(COUNTIFS($D:$D,$D3076,$A:$A,$A3076,$B:$B,$B3076,$G:$G,"CDU",$J:$J,"PLANNED")&gt;0,"tied","standalone"),"")</f>
        <v>standalone</v>
      </c>
    </row>
    <row r="3077" spans="1:14">
      <c r="A3077" s="6">
        <v>2024</v>
      </c>
      <c r="B3077" s="6">
        <v>2</v>
      </c>
      <c r="C3077" s="6" t="s">
        <v>61</v>
      </c>
      <c r="D3077" s="6" t="s">
        <v>395</v>
      </c>
      <c r="E3077" s="6" t="s">
        <v>433</v>
      </c>
      <c r="F3077" s="6" t="str">
        <f>IF($M3077="PADD I","PADD 1",IF($M3077="PADD II","PADD 2",IF($M3077="PADD III","PADD 3",IF($M3077="PADD IV","PADD 4",IF($M3077="PADD V","PADD 5","")))))</f>
        <v>PADD 2</v>
      </c>
      <c r="G3077" s="6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6" t="s">
        <v>44</v>
      </c>
      <c r="I3077" s="6" t="s">
        <v>444</v>
      </c>
      <c r="J3077" s="6" t="s">
        <v>398</v>
      </c>
      <c r="K3077" s="10">
        <v>4.55</v>
      </c>
      <c r="L3077" s="10">
        <v>65</v>
      </c>
      <c r="M3077" s="6" t="s">
        <v>425</v>
      </c>
      <c r="N3077" s="6">
        <f>IF(OR($G3077="FCC",$G3077="Hydrocracker",$G3077="Reformer"),IF(COUNTIFS($D:$D,$D3077,$A:$A,$A3077,$B:$B,$B3077,$G:$G,"CDU",$J:$J,"PLANNED")&gt;0,"tied","standalone"),"")</f>
        <v/>
      </c>
    </row>
    <row r="3078" spans="1:14">
      <c r="A3078" s="6">
        <v>2024</v>
      </c>
      <c r="B3078" s="6">
        <v>2</v>
      </c>
      <c r="C3078" s="6" t="s">
        <v>61</v>
      </c>
      <c r="D3078" s="6" t="s">
        <v>789</v>
      </c>
      <c r="E3078" s="6" t="s">
        <v>455</v>
      </c>
      <c r="F3078" s="6" t="str">
        <f>IF($M3078="PADD I","PADD 1",IF($M3078="PADD II","PADD 2",IF($M3078="PADD III","PADD 3",IF($M3078="PADD IV","PADD 4",IF($M3078="PADD V","PADD 5","")))))</f>
        <v>PADD 2</v>
      </c>
      <c r="G3078" s="6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6" t="s">
        <v>44</v>
      </c>
      <c r="I3078" s="6" t="s">
        <v>790</v>
      </c>
      <c r="J3078" s="6" t="s">
        <v>394</v>
      </c>
      <c r="K3078" s="10">
        <v>4.48</v>
      </c>
      <c r="L3078" s="10">
        <v>32</v>
      </c>
      <c r="M3078" s="6" t="s">
        <v>425</v>
      </c>
      <c r="N3078" s="6">
        <f>IF(OR($G3078="FCC",$G3078="Hydrocracker",$G3078="Reformer"),IF(COUNTIFS($D:$D,$D3078,$A:$A,$A3078,$B:$B,$B3078,$G:$G,"CDU",$J:$J,"PLANNED")&gt;0,"tied","standalone"),"")</f>
        <v/>
      </c>
    </row>
    <row r="3079" spans="1:14">
      <c r="A3079" s="6">
        <v>2024</v>
      </c>
      <c r="B3079" s="6">
        <v>2</v>
      </c>
      <c r="C3079" s="6" t="s">
        <v>61</v>
      </c>
      <c r="D3079" s="6" t="s">
        <v>789</v>
      </c>
      <c r="E3079" s="6" t="s">
        <v>455</v>
      </c>
      <c r="F3079" s="6" t="str">
        <f>IF($M3079="PADD I","PADD 1",IF($M3079="PADD II","PADD 2",IF($M3079="PADD III","PADD 3",IF($M3079="PADD IV","PADD 4",IF($M3079="PADD V","PADD 5","")))))</f>
        <v>PADD 2</v>
      </c>
      <c r="G3079" s="6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6" t="s">
        <v>44</v>
      </c>
      <c r="I3079" s="6" t="s">
        <v>790</v>
      </c>
      <c r="J3079" s="6" t="s">
        <v>394</v>
      </c>
      <c r="K3079" s="10">
        <v>4.48</v>
      </c>
      <c r="L3079" s="10">
        <v>32</v>
      </c>
      <c r="M3079" s="6" t="s">
        <v>425</v>
      </c>
      <c r="N3079" s="6">
        <f>IF(OR($G3079="FCC",$G3079="Hydrocracker",$G3079="Reformer"),IF(COUNTIFS($D:$D,$D3079,$A:$A,$A3079,$B:$B,$B3079,$G:$G,"CDU",$J:$J,"PLANNED")&gt;0,"tied","standalone"),"")</f>
        <v/>
      </c>
    </row>
    <row r="3080" spans="1:14">
      <c r="A3080" s="6">
        <v>2024</v>
      </c>
      <c r="B3080" s="6">
        <v>2</v>
      </c>
      <c r="C3080" s="6" t="s">
        <v>61</v>
      </c>
      <c r="D3080" s="6" t="s">
        <v>928</v>
      </c>
      <c r="E3080" s="6" t="s">
        <v>502</v>
      </c>
      <c r="F3080" s="6" t="str">
        <f>IF($M3080="PADD I","PADD 1",IF($M3080="PADD II","PADD 2",IF($M3080="PADD III","PADD 3",IF($M3080="PADD IV","PADD 4",IF($M3080="PADD V","PADD 5","")))))</f>
        <v>PADD 2</v>
      </c>
      <c r="G3080" s="6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6" t="s">
        <v>485</v>
      </c>
      <c r="I3080" s="6" t="s">
        <v>491</v>
      </c>
      <c r="J3080" s="6" t="s">
        <v>394</v>
      </c>
      <c r="K3080" s="10">
        <v>4.42</v>
      </c>
      <c r="L3080" s="10">
        <v>8.5</v>
      </c>
      <c r="M3080" s="6" t="s">
        <v>425</v>
      </c>
      <c r="N3080" s="6">
        <f>IF(OR($G3080="FCC",$G3080="Hydrocracker",$G3080="Reformer"),IF(COUNTIFS($D:$D,$D3080,$A:$A,$A3080,$B:$B,$B3080,$G:$G,"CDU",$J:$J,"PLANNED")&gt;0,"tied","standalone"),"")</f>
        <v/>
      </c>
    </row>
    <row r="3081" spans="1:14">
      <c r="A3081" s="6">
        <v>2024</v>
      </c>
      <c r="B3081" s="6">
        <v>2</v>
      </c>
      <c r="C3081" s="6" t="s">
        <v>61</v>
      </c>
      <c r="D3081" s="6" t="s">
        <v>597</v>
      </c>
      <c r="E3081" s="6" t="s">
        <v>441</v>
      </c>
      <c r="F3081" s="6" t="str">
        <f>IF($M3081="PADD I","PADD 1",IF($M3081="PADD II","PADD 2",IF($M3081="PADD III","PADD 3",IF($M3081="PADD IV","PADD 4",IF($M3081="PADD V","PADD 5","")))))</f>
        <v>PADD 5</v>
      </c>
      <c r="G3081" s="6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6" t="s">
        <v>510</v>
      </c>
      <c r="I3081" s="6" t="s">
        <v>511</v>
      </c>
      <c r="J3081" s="6" t="s">
        <v>394</v>
      </c>
      <c r="K3081" s="10">
        <v>4.2</v>
      </c>
      <c r="L3081" s="10">
        <v>20</v>
      </c>
      <c r="M3081" s="6" t="s">
        <v>436</v>
      </c>
      <c r="N3081" s="6">
        <f>IF(OR($G3081="FCC",$G3081="Hydrocracker",$G3081="Reformer"),IF(COUNTIFS($D:$D,$D3081,$A:$A,$A3081,$B:$B,$B3081,$G:$G,"CDU",$J:$J,"PLANNED")&gt;0,"tied","standalone"),"")</f>
        <v/>
      </c>
    </row>
    <row r="3082" spans="1:14">
      <c r="A3082" s="6">
        <v>2024</v>
      </c>
      <c r="B3082" s="6">
        <v>2</v>
      </c>
      <c r="C3082" s="6" t="s">
        <v>61</v>
      </c>
      <c r="D3082" s="6" t="s">
        <v>395</v>
      </c>
      <c r="E3082" s="6" t="s">
        <v>433</v>
      </c>
      <c r="F3082" s="6" t="str">
        <f>IF($M3082="PADD I","PADD 1",IF($M3082="PADD II","PADD 2",IF($M3082="PADD III","PADD 3",IF($M3082="PADD IV","PADD 4",IF($M3082="PADD V","PADD 5","")))))</f>
        <v>PADD 2</v>
      </c>
      <c r="G3082" s="6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6" t="s">
        <v>471</v>
      </c>
      <c r="I3082" s="6" t="s">
        <v>521</v>
      </c>
      <c r="J3082" s="6" t="s">
        <v>394</v>
      </c>
      <c r="K3082" s="10">
        <v>4.2</v>
      </c>
      <c r="L3082" s="10">
        <v>30</v>
      </c>
      <c r="M3082" s="6" t="s">
        <v>425</v>
      </c>
      <c r="N3082" s="6" t="str">
        <f>IF(OR($G3082="FCC",$G3082="Hydrocracker",$G3082="Reformer"),IF(COUNTIFS($D:$D,$D3082,$A:$A,$A3082,$B:$B,$B3082,$G:$G,"CDU",$J:$J,"PLANNED")&gt;0,"tied","standalone"),"")</f>
        <v>tied</v>
      </c>
    </row>
    <row r="3083" spans="1:14">
      <c r="A3083" s="6">
        <v>2024</v>
      </c>
      <c r="B3083" s="6">
        <v>2</v>
      </c>
      <c r="C3083" s="6" t="s">
        <v>61</v>
      </c>
      <c r="D3083" s="6" t="s">
        <v>458</v>
      </c>
      <c r="E3083" s="6" t="s">
        <v>459</v>
      </c>
      <c r="F3083" s="6" t="str">
        <f>IF($M3083="PADD I","PADD 1",IF($M3083="PADD II","PADD 2",IF($M3083="PADD III","PADD 3",IF($M3083="PADD IV","PADD 4",IF($M3083="PADD V","PADD 5","")))))</f>
        <v>PADD 3</v>
      </c>
      <c r="G3083" s="6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6" t="s">
        <v>618</v>
      </c>
      <c r="I3083" s="6" t="s">
        <v>619</v>
      </c>
      <c r="J3083" s="6" t="s">
        <v>394</v>
      </c>
      <c r="K3083" s="10">
        <v>4.185</v>
      </c>
      <c r="L3083" s="10">
        <v>13.5</v>
      </c>
      <c r="M3083" s="6" t="s">
        <v>421</v>
      </c>
      <c r="N3083" s="6">
        <f>IF(OR($G3083="FCC",$G3083="Hydrocracker",$G3083="Reformer"),IF(COUNTIFS($D:$D,$D3083,$A:$A,$A3083,$B:$B,$B3083,$G:$G,"CDU",$J:$J,"PLANNED")&gt;0,"tied","standalone"),"")</f>
        <v/>
      </c>
    </row>
    <row r="3084" spans="1:14">
      <c r="A3084" s="6">
        <v>2024</v>
      </c>
      <c r="B3084" s="6">
        <v>2</v>
      </c>
      <c r="C3084" s="6" t="s">
        <v>61</v>
      </c>
      <c r="D3084" s="6" t="s">
        <v>496</v>
      </c>
      <c r="E3084" s="6" t="s">
        <v>441</v>
      </c>
      <c r="F3084" s="6" t="str">
        <f>IF($M3084="PADD I","PADD 1",IF($M3084="PADD II","PADD 2",IF($M3084="PADD III","PADD 3",IF($M3084="PADD IV","PADD 4",IF($M3084="PADD V","PADD 5","")))))</f>
        <v>PADD 3</v>
      </c>
      <c r="G3084" s="6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6" t="s">
        <v>428</v>
      </c>
      <c r="I3084" s="6" t="s">
        <v>1091</v>
      </c>
      <c r="J3084" s="6" t="s">
        <v>394</v>
      </c>
      <c r="K3084" s="10">
        <v>4.1</v>
      </c>
      <c r="L3084" s="10">
        <v>41</v>
      </c>
      <c r="M3084" s="6" t="s">
        <v>421</v>
      </c>
      <c r="N3084" s="6">
        <f>IF(OR($G3084="FCC",$G3084="Hydrocracker",$G3084="Reformer"),IF(COUNTIFS($D:$D,$D3084,$A:$A,$A3084,$B:$B,$B3084,$G:$G,"CDU",$J:$J,"PLANNED")&gt;0,"tied","standalone"),"")</f>
        <v/>
      </c>
    </row>
    <row r="3085" spans="1:14">
      <c r="A3085" s="6">
        <v>2024</v>
      </c>
      <c r="B3085" s="6">
        <v>2</v>
      </c>
      <c r="C3085" s="6" t="s">
        <v>61</v>
      </c>
      <c r="D3085" s="6" t="s">
        <v>458</v>
      </c>
      <c r="E3085" s="6" t="s">
        <v>459</v>
      </c>
      <c r="F3085" s="6" t="str">
        <f>IF($M3085="PADD I","PADD 1",IF($M3085="PADD II","PADD 2",IF($M3085="PADD III","PADD 3",IF($M3085="PADD IV","PADD 4",IF($M3085="PADD V","PADD 5","")))))</f>
        <v>PADD 3</v>
      </c>
      <c r="G3085" s="6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6" t="s">
        <v>44</v>
      </c>
      <c r="I3085" s="6" t="s">
        <v>567</v>
      </c>
      <c r="J3085" s="6" t="s">
        <v>394</v>
      </c>
      <c r="K3085" s="10">
        <v>4.08</v>
      </c>
      <c r="L3085" s="10">
        <v>24</v>
      </c>
      <c r="M3085" s="6" t="s">
        <v>421</v>
      </c>
      <c r="N3085" s="6">
        <f>IF(OR($G3085="FCC",$G3085="Hydrocracker",$G3085="Reformer"),IF(COUNTIFS($D:$D,$D3085,$A:$A,$A3085,$B:$B,$B3085,$G:$G,"CDU",$J:$J,"PLANNED")&gt;0,"tied","standalone"),"")</f>
        <v/>
      </c>
    </row>
    <row r="3086" spans="1:14">
      <c r="A3086" s="6">
        <v>2024</v>
      </c>
      <c r="B3086" s="6">
        <v>2</v>
      </c>
      <c r="C3086" s="6" t="s">
        <v>61</v>
      </c>
      <c r="D3086" s="6" t="s">
        <v>828</v>
      </c>
      <c r="E3086" s="6" t="s">
        <v>829</v>
      </c>
      <c r="F3086" s="6" t="str">
        <f>IF($M3086="PADD I","PADD 1",IF($M3086="PADD II","PADD 2",IF($M3086="PADD III","PADD 3",IF($M3086="PADD IV","PADD 4",IF($M3086="PADD V","PADD 5","")))))</f>
        <v>PADD 3</v>
      </c>
      <c r="G3086" s="6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6" t="s">
        <v>39</v>
      </c>
      <c r="I3086" s="6" t="s">
        <v>855</v>
      </c>
      <c r="J3086" s="6" t="s">
        <v>394</v>
      </c>
      <c r="K3086" s="10">
        <v>4.06</v>
      </c>
      <c r="L3086" s="10">
        <v>58</v>
      </c>
      <c r="M3086" s="6" t="s">
        <v>421</v>
      </c>
      <c r="N3086" s="6">
        <f>IF(OR($G3086="FCC",$G3086="Hydrocracker",$G3086="Reformer"),IF(COUNTIFS($D:$D,$D3086,$A:$A,$A3086,$B:$B,$B3086,$G:$G,"CDU",$J:$J,"PLANNED")&gt;0,"tied","standalone"),"")</f>
        <v/>
      </c>
    </row>
    <row r="3087" spans="1:14">
      <c r="A3087" s="6">
        <v>2024</v>
      </c>
      <c r="B3087" s="6">
        <v>2</v>
      </c>
      <c r="C3087" s="6" t="s">
        <v>61</v>
      </c>
      <c r="D3087" s="6" t="s">
        <v>812</v>
      </c>
      <c r="E3087" s="6" t="s">
        <v>813</v>
      </c>
      <c r="F3087" s="6" t="str">
        <f>IF($M3087="PADD I","PADD 1",IF($M3087="PADD II","PADD 2",IF($M3087="PADD III","PADD 3",IF($M3087="PADD IV","PADD 4",IF($M3087="PADD V","PADD 5","")))))</f>
        <v>PADD 2</v>
      </c>
      <c r="G3087" s="6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6" t="s">
        <v>44</v>
      </c>
      <c r="I3087" s="6" t="s">
        <v>1105</v>
      </c>
      <c r="J3087" s="6" t="s">
        <v>398</v>
      </c>
      <c r="K3087" s="10">
        <v>4.03</v>
      </c>
      <c r="L3087" s="10">
        <v>13</v>
      </c>
      <c r="M3087" s="6" t="s">
        <v>425</v>
      </c>
      <c r="N3087" s="6">
        <f>IF(OR($G3087="FCC",$G3087="Hydrocracker",$G3087="Reformer"),IF(COUNTIFS($D:$D,$D3087,$A:$A,$A3087,$B:$B,$B3087,$G:$G,"CDU",$J:$J,"PLANNED")&gt;0,"tied","standalone"),"")</f>
        <v/>
      </c>
    </row>
    <row r="3088" spans="1:14">
      <c r="A3088" s="6">
        <v>2024</v>
      </c>
      <c r="B3088" s="6">
        <v>2</v>
      </c>
      <c r="C3088" s="6" t="s">
        <v>61</v>
      </c>
      <c r="D3088" s="6" t="s">
        <v>780</v>
      </c>
      <c r="E3088" s="6" t="s">
        <v>781</v>
      </c>
      <c r="F3088" s="6" t="str">
        <f>IF($M3088="PADD I","PADD 1",IF($M3088="PADD II","PADD 2",IF($M3088="PADD III","PADD 3",IF($M3088="PADD IV","PADD 4",IF($M3088="PADD V","PADD 5","")))))</f>
        <v>PADD 3</v>
      </c>
      <c r="G3088" s="6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6" t="s">
        <v>426</v>
      </c>
      <c r="I3088" s="6" t="s">
        <v>106</v>
      </c>
      <c r="J3088" s="6" t="s">
        <v>394</v>
      </c>
      <c r="K3088" s="10">
        <v>3.995</v>
      </c>
      <c r="L3088" s="10">
        <v>23.5</v>
      </c>
      <c r="M3088" s="6" t="s">
        <v>421</v>
      </c>
      <c r="N3088" s="6" t="str">
        <f>IF(OR($G3088="FCC",$G3088="Hydrocracker",$G3088="Reformer"),IF(COUNTIFS($D:$D,$D3088,$A:$A,$A3088,$B:$B,$B3088,$G:$G,"CDU",$J:$J,"PLANNED")&gt;0,"tied","standalone"),"")</f>
        <v>standalone</v>
      </c>
    </row>
    <row r="3089" spans="1:14">
      <c r="A3089" s="6">
        <v>2024</v>
      </c>
      <c r="B3089" s="6">
        <v>2</v>
      </c>
      <c r="C3089" s="6" t="s">
        <v>61</v>
      </c>
      <c r="D3089" s="6" t="s">
        <v>487</v>
      </c>
      <c r="E3089" s="6" t="s">
        <v>488</v>
      </c>
      <c r="F3089" s="6" t="str">
        <f>IF($M3089="PADD I","PADD 1",IF($M3089="PADD II","PADD 2",IF($M3089="PADD III","PADD 3",IF($M3089="PADD IV","PADD 4",IF($M3089="PADD V","PADD 5","")))))</f>
        <v>PADD 4</v>
      </c>
      <c r="G3089" s="6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6" t="s">
        <v>428</v>
      </c>
      <c r="I3089" s="6" t="s">
        <v>606</v>
      </c>
      <c r="J3089" s="6" t="s">
        <v>394</v>
      </c>
      <c r="K3089" s="10">
        <v>3.984</v>
      </c>
      <c r="L3089" s="10">
        <v>8.300000000000001</v>
      </c>
      <c r="M3089" s="6" t="s">
        <v>480</v>
      </c>
      <c r="N3089" s="6">
        <f>IF(OR($G3089="FCC",$G3089="Hydrocracker",$G3089="Reformer"),IF(COUNTIFS($D:$D,$D3089,$A:$A,$A3089,$B:$B,$B3089,$G:$G,"CDU",$J:$J,"PLANNED")&gt;0,"tied","standalone"),"")</f>
        <v/>
      </c>
    </row>
    <row r="3090" spans="1:14">
      <c r="A3090" s="6">
        <v>2024</v>
      </c>
      <c r="B3090" s="6">
        <v>2</v>
      </c>
      <c r="C3090" s="6" t="s">
        <v>61</v>
      </c>
      <c r="D3090" s="6" t="s">
        <v>512</v>
      </c>
      <c r="E3090" s="6" t="s">
        <v>488</v>
      </c>
      <c r="F3090" s="6" t="str">
        <f>IF($M3090="PADD I","PADD 1",IF($M3090="PADD II","PADD 2",IF($M3090="PADD III","PADD 3",IF($M3090="PADD IV","PADD 4",IF($M3090="PADD V","PADD 5","")))))</f>
        <v>PADD 4</v>
      </c>
      <c r="G3090" s="6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6" t="s">
        <v>428</v>
      </c>
      <c r="I3090" s="6" t="s">
        <v>605</v>
      </c>
      <c r="J3090" s="6" t="s">
        <v>394</v>
      </c>
      <c r="K3090" s="10">
        <v>3.771</v>
      </c>
      <c r="L3090" s="10">
        <v>8.380000000000001</v>
      </c>
      <c r="M3090" s="6" t="s">
        <v>480</v>
      </c>
      <c r="N3090" s="6">
        <f>IF(OR($G3090="FCC",$G3090="Hydrocracker",$G3090="Reformer"),IF(COUNTIFS($D:$D,$D3090,$A:$A,$A3090,$B:$B,$B3090,$G:$G,"CDU",$J:$J,"PLANNED")&gt;0,"tied","standalone"),"")</f>
        <v/>
      </c>
    </row>
    <row r="3091" spans="1:14">
      <c r="A3091" s="6">
        <v>2024</v>
      </c>
      <c r="B3091" s="6">
        <v>2</v>
      </c>
      <c r="C3091" s="6" t="s">
        <v>61</v>
      </c>
      <c r="D3091" s="6" t="s">
        <v>479</v>
      </c>
      <c r="E3091" s="6" t="s">
        <v>438</v>
      </c>
      <c r="F3091" s="6" t="str">
        <f>IF($M3091="PADD I","PADD 1",IF($M3091="PADD II","PADD 2",IF($M3091="PADD III","PADD 3",IF($M3091="PADD IV","PADD 4",IF($M3091="PADD V","PADD 5","")))))</f>
        <v>PADD 4</v>
      </c>
      <c r="G3091" s="6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6" t="s">
        <v>510</v>
      </c>
      <c r="I3091" s="6" t="s">
        <v>511</v>
      </c>
      <c r="J3091" s="6" t="s">
        <v>398</v>
      </c>
      <c r="K3091" s="10">
        <v>3.72</v>
      </c>
      <c r="L3091" s="10">
        <v>6</v>
      </c>
      <c r="M3091" s="6" t="s">
        <v>480</v>
      </c>
      <c r="N3091" s="6">
        <f>IF(OR($G3091="FCC",$G3091="Hydrocracker",$G3091="Reformer"),IF(COUNTIFS($D:$D,$D3091,$A:$A,$A3091,$B:$B,$B3091,$G:$G,"CDU",$J:$J,"PLANNED")&gt;0,"tied","standalone"),"")</f>
        <v/>
      </c>
    </row>
    <row r="3092" spans="1:14">
      <c r="A3092" s="6">
        <v>2024</v>
      </c>
      <c r="B3092" s="6">
        <v>2</v>
      </c>
      <c r="C3092" s="6" t="s">
        <v>61</v>
      </c>
      <c r="D3092" s="6" t="s">
        <v>41</v>
      </c>
      <c r="E3092" s="6" t="s">
        <v>786</v>
      </c>
      <c r="F3092" s="6" t="str">
        <f>IF($M3092="PADD I","PADD 1",IF($M3092="PADD II","PADD 2",IF($M3092="PADD III","PADD 3",IF($M3092="PADD IV","PADD 4",IF($M3092="PADD V","PADD 5","")))))</f>
        <v>PADD 1</v>
      </c>
      <c r="G3092" s="6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6" t="s">
        <v>426</v>
      </c>
      <c r="I3092" s="6" t="s">
        <v>787</v>
      </c>
      <c r="J3092" s="6" t="s">
        <v>394</v>
      </c>
      <c r="K3092" s="10">
        <v>3.71</v>
      </c>
      <c r="L3092" s="10">
        <v>53</v>
      </c>
      <c r="M3092" s="6" t="s">
        <v>463</v>
      </c>
      <c r="N3092" s="6" t="str">
        <f>IF(OR($G3092="FCC",$G3092="Hydrocracker",$G3092="Reformer"),IF(COUNTIFS($D:$D,$D3092,$A:$A,$A3092,$B:$B,$B3092,$G:$G,"CDU",$J:$J,"PLANNED")&gt;0,"tied","standalone"),"")</f>
        <v>standalone</v>
      </c>
    </row>
    <row r="3093" spans="1:14">
      <c r="A3093" s="6">
        <v>2024</v>
      </c>
      <c r="B3093" s="6">
        <v>2</v>
      </c>
      <c r="C3093" s="6" t="s">
        <v>61</v>
      </c>
      <c r="D3093" s="6" t="s">
        <v>652</v>
      </c>
      <c r="E3093" s="6" t="s">
        <v>419</v>
      </c>
      <c r="F3093" s="6" t="str">
        <f>IF($M3093="PADD I","PADD 1",IF($M3093="PADD II","PADD 2",IF($M3093="PADD III","PADD 3",IF($M3093="PADD IV","PADD 4",IF($M3093="PADD V","PADD 5","")))))</f>
        <v>PADD 2</v>
      </c>
      <c r="G3093" s="6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6" t="s">
        <v>426</v>
      </c>
      <c r="I3093" s="6" t="s">
        <v>704</v>
      </c>
      <c r="J3093" s="6" t="s">
        <v>394</v>
      </c>
      <c r="K3093" s="10">
        <v>3.64</v>
      </c>
      <c r="L3093" s="10">
        <v>26</v>
      </c>
      <c r="M3093" s="6" t="s">
        <v>425</v>
      </c>
      <c r="N3093" s="6" t="str">
        <f>IF(OR($G3093="FCC",$G3093="Hydrocracker",$G3093="Reformer"),IF(COUNTIFS($D:$D,$D3093,$A:$A,$A3093,$B:$B,$B3093,$G:$G,"CDU",$J:$J,"PLANNED")&gt;0,"tied","standalone"),"")</f>
        <v>standalone</v>
      </c>
    </row>
    <row r="3094" spans="1:14">
      <c r="A3094" s="6">
        <v>2024</v>
      </c>
      <c r="B3094" s="6">
        <v>2</v>
      </c>
      <c r="C3094" s="6" t="s">
        <v>61</v>
      </c>
      <c r="D3094" s="6" t="s">
        <v>484</v>
      </c>
      <c r="E3094" s="6" t="s">
        <v>438</v>
      </c>
      <c r="F3094" s="6" t="str">
        <f>IF($M3094="PADD I","PADD 1",IF($M3094="PADD II","PADD 2",IF($M3094="PADD III","PADD 3",IF($M3094="PADD IV","PADD 4",IF($M3094="PADD V","PADD 5","")))))</f>
        <v>PADD 5</v>
      </c>
      <c r="G3094" s="6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6" t="s">
        <v>471</v>
      </c>
      <c r="I3094" s="6" t="s">
        <v>721</v>
      </c>
      <c r="J3094" s="6" t="s">
        <v>394</v>
      </c>
      <c r="K3094" s="10">
        <v>3.6</v>
      </c>
      <c r="L3094" s="10">
        <v>15</v>
      </c>
      <c r="M3094" s="6" t="s">
        <v>436</v>
      </c>
      <c r="N3094" s="6" t="str">
        <f>IF(OR($G3094="FCC",$G3094="Hydrocracker",$G3094="Reformer"),IF(COUNTIFS($D:$D,$D3094,$A:$A,$A3094,$B:$B,$B3094,$G:$G,"CDU",$J:$J,"PLANNED")&gt;0,"tied","standalone"),"")</f>
        <v>standalone</v>
      </c>
    </row>
    <row r="3095" spans="1:14">
      <c r="A3095" s="6">
        <v>2024</v>
      </c>
      <c r="B3095" s="6">
        <v>2</v>
      </c>
      <c r="C3095" s="6" t="s">
        <v>61</v>
      </c>
      <c r="D3095" s="6" t="s">
        <v>780</v>
      </c>
      <c r="E3095" s="6" t="s">
        <v>781</v>
      </c>
      <c r="F3095" s="6" t="str">
        <f>IF($M3095="PADD I","PADD 1",IF($M3095="PADD II","PADD 2",IF($M3095="PADD III","PADD 3",IF($M3095="PADD IV","PADD 4",IF($M3095="PADD V","PADD 5","")))))</f>
        <v>PADD 3</v>
      </c>
      <c r="G3095" s="6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6" t="s">
        <v>44</v>
      </c>
      <c r="I3095" s="6" t="s">
        <v>508</v>
      </c>
      <c r="J3095" s="6" t="s">
        <v>394</v>
      </c>
      <c r="K3095" s="10">
        <v>3.4</v>
      </c>
      <c r="L3095" s="10">
        <v>20</v>
      </c>
      <c r="M3095" s="6" t="s">
        <v>421</v>
      </c>
      <c r="N3095" s="6">
        <f>IF(OR($G3095="FCC",$G3095="Hydrocracker",$G3095="Reformer"),IF(COUNTIFS($D:$D,$D3095,$A:$A,$A3095,$B:$B,$B3095,$G:$G,"CDU",$J:$J,"PLANNED")&gt;0,"tied","standalone"),"")</f>
        <v/>
      </c>
    </row>
    <row r="3096" spans="1:14">
      <c r="A3096" s="6">
        <v>2024</v>
      </c>
      <c r="B3096" s="6">
        <v>2</v>
      </c>
      <c r="C3096" s="6" t="s">
        <v>61</v>
      </c>
      <c r="D3096" s="6" t="s">
        <v>507</v>
      </c>
      <c r="E3096" s="6" t="s">
        <v>438</v>
      </c>
      <c r="F3096" s="6" t="str">
        <f>IF($M3096="PADD I","PADD 1",IF($M3096="PADD II","PADD 2",IF($M3096="PADD III","PADD 3",IF($M3096="PADD IV","PADD 4",IF($M3096="PADD V","PADD 5","")))))</f>
        <v>PADD 5</v>
      </c>
      <c r="G3096" s="6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6" t="s">
        <v>510</v>
      </c>
      <c r="I3096" s="6" t="s">
        <v>511</v>
      </c>
      <c r="J3096" s="6" t="s">
        <v>398</v>
      </c>
      <c r="K3096" s="10">
        <v>3.38</v>
      </c>
      <c r="L3096" s="10">
        <v>6.5</v>
      </c>
      <c r="M3096" s="6" t="s">
        <v>436</v>
      </c>
      <c r="N3096" s="6">
        <f>IF(OR($G3096="FCC",$G3096="Hydrocracker",$G3096="Reformer"),IF(COUNTIFS($D:$D,$D3096,$A:$A,$A3096,$B:$B,$B3096,$G:$G,"CDU",$J:$J,"PLANNED")&gt;0,"tied","standalone"),"")</f>
        <v/>
      </c>
    </row>
    <row r="3097" spans="1:14">
      <c r="A3097" s="6">
        <v>2024</v>
      </c>
      <c r="B3097" s="6">
        <v>2</v>
      </c>
      <c r="C3097" s="6" t="s">
        <v>61</v>
      </c>
      <c r="D3097" s="6" t="s">
        <v>812</v>
      </c>
      <c r="E3097" s="6" t="s">
        <v>813</v>
      </c>
      <c r="F3097" s="6" t="str">
        <f>IF($M3097="PADD I","PADD 1",IF($M3097="PADD II","PADD 2",IF($M3097="PADD III","PADD 3",IF($M3097="PADD IV","PADD 4",IF($M3097="PADD V","PADD 5","")))))</f>
        <v>PADD 2</v>
      </c>
      <c r="G3097" s="6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6" t="s">
        <v>428</v>
      </c>
      <c r="I3097" s="6" t="s">
        <v>1014</v>
      </c>
      <c r="J3097" s="6" t="s">
        <v>398</v>
      </c>
      <c r="K3097" s="10">
        <v>3.36</v>
      </c>
      <c r="L3097" s="10">
        <v>12</v>
      </c>
      <c r="M3097" s="6" t="s">
        <v>425</v>
      </c>
      <c r="N3097" s="6">
        <f>IF(OR($G3097="FCC",$G3097="Hydrocracker",$G3097="Reformer"),IF(COUNTIFS($D:$D,$D3097,$A:$A,$A3097,$B:$B,$B3097,$G:$G,"CDU",$J:$J,"PLANNED")&gt;0,"tied","standalone"),"")</f>
        <v/>
      </c>
    </row>
    <row r="3098" spans="1:14">
      <c r="A3098" s="6">
        <v>2024</v>
      </c>
      <c r="B3098" s="6">
        <v>2</v>
      </c>
      <c r="C3098" s="6" t="s">
        <v>61</v>
      </c>
      <c r="D3098" s="6" t="s">
        <v>812</v>
      </c>
      <c r="E3098" s="6" t="s">
        <v>813</v>
      </c>
      <c r="F3098" s="6" t="str">
        <f>IF($M3098="PADD I","PADD 1",IF($M3098="PADD II","PADD 2",IF($M3098="PADD III","PADD 3",IF($M3098="PADD IV","PADD 4",IF($M3098="PADD V","PADD 5","")))))</f>
        <v>PADD 2</v>
      </c>
      <c r="G3098" s="6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6" t="s">
        <v>428</v>
      </c>
      <c r="I3098" s="6" t="s">
        <v>862</v>
      </c>
      <c r="J3098" s="6" t="s">
        <v>394</v>
      </c>
      <c r="K3098" s="10">
        <v>3.36</v>
      </c>
      <c r="L3098" s="10">
        <v>12</v>
      </c>
      <c r="M3098" s="6" t="s">
        <v>425</v>
      </c>
      <c r="N3098" s="6">
        <f>IF(OR($G3098="FCC",$G3098="Hydrocracker",$G3098="Reformer"),IF(COUNTIFS($D:$D,$D3098,$A:$A,$A3098,$B:$B,$B3098,$G:$G,"CDU",$J:$J,"PLANNED")&gt;0,"tied","standalone"),"")</f>
        <v/>
      </c>
    </row>
    <row r="3099" spans="1:14">
      <c r="A3099" s="6">
        <v>2024</v>
      </c>
      <c r="B3099" s="6">
        <v>2</v>
      </c>
      <c r="C3099" s="6" t="s">
        <v>61</v>
      </c>
      <c r="D3099" s="6" t="s">
        <v>789</v>
      </c>
      <c r="E3099" s="6" t="s">
        <v>455</v>
      </c>
      <c r="F3099" s="6" t="str">
        <f>IF($M3099="PADD I","PADD 1",IF($M3099="PADD II","PADD 2",IF($M3099="PADD III","PADD 3",IF($M3099="PADD IV","PADD 4",IF($M3099="PADD V","PADD 5","")))))</f>
        <v>PADD 2</v>
      </c>
      <c r="G3099" s="6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6" t="s">
        <v>44</v>
      </c>
      <c r="I3099" s="6" t="s">
        <v>739</v>
      </c>
      <c r="J3099" s="6" t="s">
        <v>394</v>
      </c>
      <c r="K3099" s="10">
        <v>3.2</v>
      </c>
      <c r="L3099" s="10">
        <v>32</v>
      </c>
      <c r="M3099" s="6" t="s">
        <v>425</v>
      </c>
      <c r="N3099" s="6">
        <f>IF(OR($G3099="FCC",$G3099="Hydrocracker",$G3099="Reformer"),IF(COUNTIFS($D:$D,$D3099,$A:$A,$A3099,$B:$B,$B3099,$G:$G,"CDU",$J:$J,"PLANNED")&gt;0,"tied","standalone"),"")</f>
        <v/>
      </c>
    </row>
    <row r="3100" spans="1:14">
      <c r="A3100" s="6">
        <v>2024</v>
      </c>
      <c r="B3100" s="6">
        <v>2</v>
      </c>
      <c r="C3100" s="6" t="s">
        <v>61</v>
      </c>
      <c r="D3100" s="6" t="s">
        <v>928</v>
      </c>
      <c r="E3100" s="6" t="s">
        <v>502</v>
      </c>
      <c r="F3100" s="6" t="str">
        <f>IF($M3100="PADD I","PADD 1",IF($M3100="PADD II","PADD 2",IF($M3100="PADD III","PADD 3",IF($M3100="PADD IV","PADD 4",IF($M3100="PADD V","PADD 5","")))))</f>
        <v>PADD 2</v>
      </c>
      <c r="G3100" s="6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6" t="s">
        <v>428</v>
      </c>
      <c r="I3100" s="6" t="s">
        <v>586</v>
      </c>
      <c r="J3100" s="6" t="s">
        <v>394</v>
      </c>
      <c r="K3100" s="10">
        <v>3.2</v>
      </c>
      <c r="L3100" s="10">
        <v>32</v>
      </c>
      <c r="M3100" s="6" t="s">
        <v>425</v>
      </c>
      <c r="N3100" s="6">
        <f>IF(OR($G3100="FCC",$G3100="Hydrocracker",$G3100="Reformer"),IF(COUNTIFS($D:$D,$D3100,$A:$A,$A3100,$B:$B,$B3100,$G:$G,"CDU",$J:$J,"PLANNED")&gt;0,"tied","standalone"),"")</f>
        <v/>
      </c>
    </row>
    <row r="3101" spans="1:14">
      <c r="A3101" s="6">
        <v>2024</v>
      </c>
      <c r="B3101" s="6">
        <v>2</v>
      </c>
      <c r="C3101" s="6" t="s">
        <v>61</v>
      </c>
      <c r="D3101" s="6" t="s">
        <v>1151</v>
      </c>
      <c r="E3101" s="6" t="s">
        <v>931</v>
      </c>
      <c r="F3101" s="6" t="str">
        <f>IF($M3101="PADD I","PADD 1",IF($M3101="PADD II","PADD 2",IF($M3101="PADD III","PADD 3",IF($M3101="PADD IV","PADD 4",IF($M3101="PADD V","PADD 5","")))))</f>
        <v>PADD 3</v>
      </c>
      <c r="G3101" s="6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6" t="s">
        <v>39</v>
      </c>
      <c r="I3101" s="6" t="s">
        <v>82</v>
      </c>
      <c r="J3101" s="6" t="s">
        <v>398</v>
      </c>
      <c r="K3101" s="10">
        <v>3.1</v>
      </c>
      <c r="L3101" s="10">
        <v>10</v>
      </c>
      <c r="M3101" s="6" t="s">
        <v>421</v>
      </c>
      <c r="N3101" s="6">
        <f>IF(OR($G3101="FCC",$G3101="Hydrocracker",$G3101="Reformer"),IF(COUNTIFS($D:$D,$D3101,$A:$A,$A3101,$B:$B,$B3101,$G:$G,"CDU",$J:$J,"PLANNED")&gt;0,"tied","standalone"),"")</f>
        <v/>
      </c>
    </row>
    <row r="3102" spans="1:14">
      <c r="A3102" s="6">
        <v>2024</v>
      </c>
      <c r="B3102" s="6">
        <v>2</v>
      </c>
      <c r="C3102" s="6" t="s">
        <v>61</v>
      </c>
      <c r="D3102" s="6" t="s">
        <v>857</v>
      </c>
      <c r="E3102" s="6" t="s">
        <v>829</v>
      </c>
      <c r="F3102" s="6" t="str">
        <f>IF($M3102="PADD I","PADD 1",IF($M3102="PADD II","PADD 2",IF($M3102="PADD III","PADD 3",IF($M3102="PADD IV","PADD 4",IF($M3102="PADD V","PADD 5","")))))</f>
        <v>PADD 3</v>
      </c>
      <c r="G3102" s="6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6" t="s">
        <v>1158</v>
      </c>
      <c r="I3102" s="6" t="s">
        <v>1158</v>
      </c>
      <c r="J3102" s="6" t="s">
        <v>398</v>
      </c>
      <c r="K3102" s="10">
        <v>3</v>
      </c>
      <c r="L3102" s="10">
        <v>3</v>
      </c>
      <c r="M3102" s="6" t="s">
        <v>421</v>
      </c>
      <c r="N3102" s="6">
        <f>IF(OR($G3102="FCC",$G3102="Hydrocracker",$G3102="Reformer"),IF(COUNTIFS($D:$D,$D3102,$A:$A,$A3102,$B:$B,$B3102,$G:$G,"CDU",$J:$J,"PLANNED")&gt;0,"tied","standalone"),"")</f>
        <v/>
      </c>
    </row>
    <row r="3103" spans="1:14">
      <c r="A3103" s="6">
        <v>2024</v>
      </c>
      <c r="B3103" s="6">
        <v>2</v>
      </c>
      <c r="C3103" s="6" t="s">
        <v>61</v>
      </c>
      <c r="D3103" s="6" t="s">
        <v>928</v>
      </c>
      <c r="E3103" s="6" t="s">
        <v>502</v>
      </c>
      <c r="F3103" s="6" t="str">
        <f>IF($M3103="PADD I","PADD 1",IF($M3103="PADD II","PADD 2",IF($M3103="PADD III","PADD 3",IF($M3103="PADD IV","PADD 4",IF($M3103="PADD V","PADD 5","")))))</f>
        <v>PADD 2</v>
      </c>
      <c r="G3103" s="6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6" t="s">
        <v>428</v>
      </c>
      <c r="I3103" s="6" t="s">
        <v>586</v>
      </c>
      <c r="J3103" s="6" t="s">
        <v>394</v>
      </c>
      <c r="K3103" s="10">
        <v>3</v>
      </c>
      <c r="L3103" s="10">
        <v>30</v>
      </c>
      <c r="M3103" s="6" t="s">
        <v>425</v>
      </c>
      <c r="N3103" s="6">
        <f>IF(OR($G3103="FCC",$G3103="Hydrocracker",$G3103="Reformer"),IF(COUNTIFS($D:$D,$D3103,$A:$A,$A3103,$B:$B,$B3103,$G:$G,"CDU",$J:$J,"PLANNED")&gt;0,"tied","standalone"),"")</f>
        <v/>
      </c>
    </row>
    <row r="3104" spans="1:14">
      <c r="A3104" s="6">
        <v>2024</v>
      </c>
      <c r="B3104" s="6">
        <v>2</v>
      </c>
      <c r="C3104" s="6" t="s">
        <v>61</v>
      </c>
      <c r="D3104" s="6" t="s">
        <v>395</v>
      </c>
      <c r="E3104" s="6" t="s">
        <v>433</v>
      </c>
      <c r="F3104" s="6" t="str">
        <f>IF($M3104="PADD I","PADD 1",IF($M3104="PADD II","PADD 2",IF($M3104="PADD III","PADD 3",IF($M3104="PADD IV","PADD 4",IF($M3104="PADD V","PADD 5","")))))</f>
        <v>PADD 2</v>
      </c>
      <c r="G3104" s="6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6" t="s">
        <v>44</v>
      </c>
      <c r="I3104" s="6" t="s">
        <v>474</v>
      </c>
      <c r="J3104" s="6" t="s">
        <v>398</v>
      </c>
      <c r="K3104" s="10">
        <v>2.94</v>
      </c>
      <c r="L3104" s="10">
        <v>42</v>
      </c>
      <c r="M3104" s="6" t="s">
        <v>425</v>
      </c>
      <c r="N3104" s="6">
        <f>IF(OR($G3104="FCC",$G3104="Hydrocracker",$G3104="Reformer"),IF(COUNTIFS($D:$D,$D3104,$A:$A,$A3104,$B:$B,$B3104,$G:$G,"CDU",$J:$J,"PLANNED")&gt;0,"tied","standalone"),"")</f>
        <v/>
      </c>
    </row>
    <row r="3105" spans="1:14">
      <c r="A3105" s="6">
        <v>2024</v>
      </c>
      <c r="B3105" s="6">
        <v>2</v>
      </c>
      <c r="C3105" s="6" t="s">
        <v>61</v>
      </c>
      <c r="D3105" s="6" t="s">
        <v>568</v>
      </c>
      <c r="E3105" s="6" t="s">
        <v>419</v>
      </c>
      <c r="F3105" s="6" t="str">
        <f>IF($M3105="PADD I","PADD 1",IF($M3105="PADD II","PADD 2",IF($M3105="PADD III","PADD 3",IF($M3105="PADD IV","PADD 4",IF($M3105="PADD V","PADD 5","")))))</f>
        <v>PADD 5</v>
      </c>
      <c r="G3105" s="6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6" t="s">
        <v>494</v>
      </c>
      <c r="I3105" s="6" t="s">
        <v>584</v>
      </c>
      <c r="J3105" s="6" t="s">
        <v>398</v>
      </c>
      <c r="K3105" s="10">
        <v>2.94</v>
      </c>
      <c r="L3105" s="10">
        <v>42</v>
      </c>
      <c r="M3105" s="6" t="s">
        <v>436</v>
      </c>
      <c r="N3105" s="6" t="str">
        <f>IF(OR($G3105="FCC",$G3105="Hydrocracker",$G3105="Reformer"),IF(COUNTIFS($D:$D,$D3105,$A:$A,$A3105,$B:$B,$B3105,$G:$G,"CDU",$J:$J,"PLANNED")&gt;0,"tied","standalone"),"")</f>
        <v>tied</v>
      </c>
    </row>
    <row r="3106" spans="1:14">
      <c r="A3106" s="6">
        <v>2024</v>
      </c>
      <c r="B3106" s="6">
        <v>2</v>
      </c>
      <c r="C3106" s="6" t="s">
        <v>61</v>
      </c>
      <c r="D3106" s="6" t="s">
        <v>665</v>
      </c>
      <c r="E3106" s="6" t="s">
        <v>455</v>
      </c>
      <c r="F3106" s="6" t="str">
        <f>IF($M3106="PADD I","PADD 1",IF($M3106="PADD II","PADD 2",IF($M3106="PADD III","PADD 3",IF($M3106="PADD IV","PADD 4",IF($M3106="PADD V","PADD 5","")))))</f>
        <v>PADD 5</v>
      </c>
      <c r="G3106" s="6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6" t="s">
        <v>485</v>
      </c>
      <c r="I3106" s="6" t="s">
        <v>1185</v>
      </c>
      <c r="J3106" s="6" t="s">
        <v>394</v>
      </c>
      <c r="K3106" s="10">
        <v>2.8</v>
      </c>
      <c r="L3106" s="10">
        <v>28</v>
      </c>
      <c r="M3106" s="6" t="s">
        <v>436</v>
      </c>
      <c r="N3106" s="6">
        <f>IF(OR($G3106="FCC",$G3106="Hydrocracker",$G3106="Reformer"),IF(COUNTIFS($D:$D,$D3106,$A:$A,$A3106,$B:$B,$B3106,$G:$G,"CDU",$J:$J,"PLANNED")&gt;0,"tied","standalone"),"")</f>
        <v/>
      </c>
    </row>
    <row r="3107" spans="1:14">
      <c r="A3107" s="6">
        <v>2024</v>
      </c>
      <c r="B3107" s="6">
        <v>2</v>
      </c>
      <c r="C3107" s="6" t="s">
        <v>61</v>
      </c>
      <c r="D3107" s="6" t="s">
        <v>484</v>
      </c>
      <c r="E3107" s="6" t="s">
        <v>438</v>
      </c>
      <c r="F3107" s="6" t="str">
        <f>IF($M3107="PADD I","PADD 1",IF($M3107="PADD II","PADD 2",IF($M3107="PADD III","PADD 3",IF($M3107="PADD IV","PADD 4",IF($M3107="PADD V","PADD 5","")))))</f>
        <v>PADD 5</v>
      </c>
      <c r="G3107" s="6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6" t="s">
        <v>471</v>
      </c>
      <c r="I3107" s="6" t="s">
        <v>721</v>
      </c>
      <c r="J3107" s="6" t="s">
        <v>394</v>
      </c>
      <c r="K3107" s="10">
        <v>2.73</v>
      </c>
      <c r="L3107" s="10">
        <v>13</v>
      </c>
      <c r="M3107" s="6" t="s">
        <v>436</v>
      </c>
      <c r="N3107" s="6" t="str">
        <f>IF(OR($G3107="FCC",$G3107="Hydrocracker",$G3107="Reformer"),IF(COUNTIFS($D:$D,$D3107,$A:$A,$A3107,$B:$B,$B3107,$G:$G,"CDU",$J:$J,"PLANNED")&gt;0,"tied","standalone"),"")</f>
        <v>standalone</v>
      </c>
    </row>
    <row r="3108" spans="1:14">
      <c r="A3108" s="6">
        <v>2024</v>
      </c>
      <c r="B3108" s="6">
        <v>2</v>
      </c>
      <c r="C3108" s="6" t="s">
        <v>61</v>
      </c>
      <c r="D3108" s="6" t="s">
        <v>515</v>
      </c>
      <c r="E3108" s="6" t="s">
        <v>419</v>
      </c>
      <c r="F3108" s="6" t="str">
        <f>IF($M3108="PADD I","PADD 1",IF($M3108="PADD II","PADD 2",IF($M3108="PADD III","PADD 3",IF($M3108="PADD IV","PADD 4",IF($M3108="PADD V","PADD 5","")))))</f>
        <v>PADD 5</v>
      </c>
      <c r="G3108" s="6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6" t="s">
        <v>44</v>
      </c>
      <c r="I3108" s="6" t="s">
        <v>719</v>
      </c>
      <c r="J3108" s="6" t="s">
        <v>398</v>
      </c>
      <c r="K3108" s="10">
        <v>2.66</v>
      </c>
      <c r="L3108" s="10">
        <v>19</v>
      </c>
      <c r="M3108" s="6" t="s">
        <v>436</v>
      </c>
      <c r="N3108" s="6">
        <f>IF(OR($G3108="FCC",$G3108="Hydrocracker",$G3108="Reformer"),IF(COUNTIFS($D:$D,$D3108,$A:$A,$A3108,$B:$B,$B3108,$G:$G,"CDU",$J:$J,"PLANNED")&gt;0,"tied","standalone"),"")</f>
        <v/>
      </c>
    </row>
    <row r="3109" spans="1:14">
      <c r="A3109" s="6">
        <v>2024</v>
      </c>
      <c r="B3109" s="6">
        <v>2</v>
      </c>
      <c r="C3109" s="6" t="s">
        <v>61</v>
      </c>
      <c r="D3109" s="6" t="s">
        <v>507</v>
      </c>
      <c r="E3109" s="6" t="s">
        <v>438</v>
      </c>
      <c r="F3109" s="6" t="str">
        <f>IF($M3109="PADD I","PADD 1",IF($M3109="PADD II","PADD 2",IF($M3109="PADD III","PADD 3",IF($M3109="PADD IV","PADD 4",IF($M3109="PADD V","PADD 5","")))))</f>
        <v>PADD 5</v>
      </c>
      <c r="G3109" s="6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6" t="s">
        <v>471</v>
      </c>
      <c r="I3109" s="6" t="s">
        <v>1153</v>
      </c>
      <c r="J3109" s="6" t="s">
        <v>398</v>
      </c>
      <c r="K3109" s="10">
        <v>2.6</v>
      </c>
      <c r="L3109" s="10">
        <v>5</v>
      </c>
      <c r="M3109" s="6" t="s">
        <v>436</v>
      </c>
      <c r="N3109" s="6" t="str">
        <f>IF(OR($G3109="FCC",$G3109="Hydrocracker",$G3109="Reformer"),IF(COUNTIFS($D:$D,$D3109,$A:$A,$A3109,$B:$B,$B3109,$G:$G,"CDU",$J:$J,"PLANNED")&gt;0,"tied","standalone"),"")</f>
        <v>tied</v>
      </c>
    </row>
    <row r="3110" spans="1:14">
      <c r="A3110" s="6">
        <v>2024</v>
      </c>
      <c r="B3110" s="6">
        <v>2</v>
      </c>
      <c r="C3110" s="6" t="s">
        <v>61</v>
      </c>
      <c r="D3110" s="6" t="s">
        <v>383</v>
      </c>
      <c r="E3110" s="6" t="s">
        <v>602</v>
      </c>
      <c r="F3110" s="6" t="str">
        <f>IF($M3110="PADD I","PADD 1",IF($M3110="PADD II","PADD 2",IF($M3110="PADD III","PADD 3",IF($M3110="PADD IV","PADD 4",IF($M3110="PADD V","PADD 5","")))))</f>
        <v>PADD 3</v>
      </c>
      <c r="G3110" s="6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6" t="s">
        <v>39</v>
      </c>
      <c r="I3110" s="6" t="s">
        <v>138</v>
      </c>
      <c r="J3110" s="6" t="s">
        <v>394</v>
      </c>
      <c r="K3110" s="10">
        <v>2.55</v>
      </c>
      <c r="L3110" s="10">
        <v>85</v>
      </c>
      <c r="M3110" s="6" t="s">
        <v>421</v>
      </c>
      <c r="N3110" s="6">
        <f>IF(OR($G3110="FCC",$G3110="Hydrocracker",$G3110="Reformer"),IF(COUNTIFS($D:$D,$D3110,$A:$A,$A3110,$B:$B,$B3110,$G:$G,"CDU",$J:$J,"PLANNED")&gt;0,"tied","standalone"),"")</f>
        <v/>
      </c>
    </row>
    <row r="3111" spans="1:14">
      <c r="A3111" s="6">
        <v>2024</v>
      </c>
      <c r="B3111" s="6">
        <v>2</v>
      </c>
      <c r="C3111" s="6" t="s">
        <v>61</v>
      </c>
      <c r="D3111" s="6" t="s">
        <v>996</v>
      </c>
      <c r="E3111" s="6" t="s">
        <v>455</v>
      </c>
      <c r="F3111" s="6" t="str">
        <f>IF($M3111="PADD I","PADD 1",IF($M3111="PADD II","PADD 2",IF($M3111="PADD III","PADD 3",IF($M3111="PADD IV","PADD 4",IF($M3111="PADD V","PADD 5","")))))</f>
        <v>PADD 5</v>
      </c>
      <c r="G3111" s="6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6" t="s">
        <v>485</v>
      </c>
      <c r="I3111" s="6" t="s">
        <v>1025</v>
      </c>
      <c r="J3111" s="6" t="s">
        <v>394</v>
      </c>
      <c r="K3111" s="10">
        <v>2.55</v>
      </c>
      <c r="L3111" s="10">
        <v>15</v>
      </c>
      <c r="M3111" s="6" t="s">
        <v>436</v>
      </c>
      <c r="N3111" s="6">
        <f>IF(OR($G3111="FCC",$G3111="Hydrocracker",$G3111="Reformer"),IF(COUNTIFS($D:$D,$D3111,$A:$A,$A3111,$B:$B,$B3111,$G:$G,"CDU",$J:$J,"PLANNED")&gt;0,"tied","standalone"),"")</f>
        <v/>
      </c>
    </row>
    <row r="3112" spans="1:14">
      <c r="A3112" s="6">
        <v>2024</v>
      </c>
      <c r="B3112" s="6">
        <v>2</v>
      </c>
      <c r="C3112" s="6" t="s">
        <v>61</v>
      </c>
      <c r="D3112" s="6" t="s">
        <v>465</v>
      </c>
      <c r="E3112" s="6" t="s">
        <v>466</v>
      </c>
      <c r="F3112" s="6" t="str">
        <f>IF($M3112="PADD I","PADD 1",IF($M3112="PADD II","PADD 2",IF($M3112="PADD III","PADD 3",IF($M3112="PADD IV","PADD 4",IF($M3112="PADD V","PADD 5","")))))</f>
        <v>PADD 3</v>
      </c>
      <c r="G3112" s="6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6" t="s">
        <v>471</v>
      </c>
      <c r="I3112" s="6" t="s">
        <v>1148</v>
      </c>
      <c r="J3112" s="6" t="s">
        <v>398</v>
      </c>
      <c r="K3112" s="10">
        <v>2.52</v>
      </c>
      <c r="L3112" s="10">
        <v>18</v>
      </c>
      <c r="M3112" s="6" t="s">
        <v>421</v>
      </c>
      <c r="N3112" s="6" t="str">
        <f>IF(OR($G3112="FCC",$G3112="Hydrocracker",$G3112="Reformer"),IF(COUNTIFS($D:$D,$D3112,$A:$A,$A3112,$B:$B,$B3112,$G:$G,"CDU",$J:$J,"PLANNED")&gt;0,"tied","standalone"),"")</f>
        <v>tied</v>
      </c>
    </row>
    <row r="3113" spans="1:14">
      <c r="A3113" s="6">
        <v>2024</v>
      </c>
      <c r="B3113" s="6">
        <v>2</v>
      </c>
      <c r="C3113" s="6" t="s">
        <v>61</v>
      </c>
      <c r="D3113" s="6" t="s">
        <v>792</v>
      </c>
      <c r="E3113" s="6" t="s">
        <v>438</v>
      </c>
      <c r="F3113" s="6" t="str">
        <f>IF($M3113="PADD I","PADD 1",IF($M3113="PADD II","PADD 2",IF($M3113="PADD III","PADD 3",IF($M3113="PADD IV","PADD 4",IF($M3113="PADD V","PADD 5","")))))</f>
        <v>PADD 5</v>
      </c>
      <c r="G3113" s="6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6" t="s">
        <v>510</v>
      </c>
      <c r="I3113" s="6" t="s">
        <v>511</v>
      </c>
      <c r="J3113" s="6" t="s">
        <v>394</v>
      </c>
      <c r="K3113" s="10">
        <v>2.46</v>
      </c>
      <c r="L3113" s="10">
        <v>6</v>
      </c>
      <c r="M3113" s="6" t="s">
        <v>436</v>
      </c>
      <c r="N3113" s="6">
        <f>IF(OR($G3113="FCC",$G3113="Hydrocracker",$G3113="Reformer"),IF(COUNTIFS($D:$D,$D3113,$A:$A,$A3113,$B:$B,$B3113,$G:$G,"CDU",$J:$J,"PLANNED")&gt;0,"tied","standalone"),"")</f>
        <v/>
      </c>
    </row>
    <row r="3114" spans="1:14">
      <c r="A3114" s="6">
        <v>2024</v>
      </c>
      <c r="B3114" s="6">
        <v>2</v>
      </c>
      <c r="C3114" s="6" t="s">
        <v>61</v>
      </c>
      <c r="D3114" s="6" t="s">
        <v>458</v>
      </c>
      <c r="E3114" s="6" t="s">
        <v>459</v>
      </c>
      <c r="F3114" s="6" t="str">
        <f>IF($M3114="PADD I","PADD 1",IF($M3114="PADD II","PADD 2",IF($M3114="PADD III","PADD 3",IF($M3114="PADD IV","PADD 4",IF($M3114="PADD V","PADD 5","")))))</f>
        <v>PADD 3</v>
      </c>
      <c r="G3114" s="6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6" t="s">
        <v>618</v>
      </c>
      <c r="I3114" s="6" t="s">
        <v>619</v>
      </c>
      <c r="J3114" s="6" t="s">
        <v>394</v>
      </c>
      <c r="K3114" s="10">
        <v>2.295</v>
      </c>
      <c r="L3114" s="10">
        <v>13.5</v>
      </c>
      <c r="M3114" s="6" t="s">
        <v>421</v>
      </c>
      <c r="N3114" s="6">
        <f>IF(OR($G3114="FCC",$G3114="Hydrocracker",$G3114="Reformer"),IF(COUNTIFS($D:$D,$D3114,$A:$A,$A3114,$B:$B,$B3114,$G:$G,"CDU",$J:$J,"PLANNED")&gt;0,"tied","standalone"),"")</f>
        <v/>
      </c>
    </row>
    <row r="3115" spans="1:14">
      <c r="A3115" s="6">
        <v>2024</v>
      </c>
      <c r="B3115" s="6">
        <v>2</v>
      </c>
      <c r="C3115" s="6" t="s">
        <v>61</v>
      </c>
      <c r="D3115" s="6" t="s">
        <v>828</v>
      </c>
      <c r="E3115" s="6" t="s">
        <v>829</v>
      </c>
      <c r="F3115" s="6" t="str">
        <f>IF($M3115="PADD I","PADD 1",IF($M3115="PADD II","PADD 2",IF($M3115="PADD III","PADD 3",IF($M3115="PADD IV","PADD 4",IF($M3115="PADD V","PADD 5","")))))</f>
        <v>PADD 3</v>
      </c>
      <c r="G3115" s="6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6" t="s">
        <v>39</v>
      </c>
      <c r="I3115" s="6" t="s">
        <v>855</v>
      </c>
      <c r="J3115" s="6" t="s">
        <v>394</v>
      </c>
      <c r="K3115" s="10">
        <v>2.25</v>
      </c>
      <c r="L3115" s="10">
        <v>75</v>
      </c>
      <c r="M3115" s="6" t="s">
        <v>421</v>
      </c>
      <c r="N3115" s="6">
        <f>IF(OR($G3115="FCC",$G3115="Hydrocracker",$G3115="Reformer"),IF(COUNTIFS($D:$D,$D3115,$A:$A,$A3115,$B:$B,$B3115,$G:$G,"CDU",$J:$J,"PLANNED")&gt;0,"tied","standalone"),"")</f>
        <v/>
      </c>
    </row>
    <row r="3116" spans="1:14">
      <c r="A3116" s="6">
        <v>2024</v>
      </c>
      <c r="B3116" s="6">
        <v>2</v>
      </c>
      <c r="C3116" s="6" t="s">
        <v>61</v>
      </c>
      <c r="D3116" s="6" t="s">
        <v>395</v>
      </c>
      <c r="E3116" s="6" t="s">
        <v>433</v>
      </c>
      <c r="F3116" s="6" t="str">
        <f>IF($M3116="PADD I","PADD 1",IF($M3116="PADD II","PADD 2",IF($M3116="PADD III","PADD 3",IF($M3116="PADD IV","PADD 4",IF($M3116="PADD V","PADD 5","")))))</f>
        <v>PADD 2</v>
      </c>
      <c r="G3116" s="6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6" t="s">
        <v>494</v>
      </c>
      <c r="I3116" s="6" t="s">
        <v>513</v>
      </c>
      <c r="J3116" s="6" t="s">
        <v>398</v>
      </c>
      <c r="K3116" s="10">
        <v>2.24</v>
      </c>
      <c r="L3116" s="10">
        <v>32</v>
      </c>
      <c r="M3116" s="6" t="s">
        <v>425</v>
      </c>
      <c r="N3116" s="6" t="str">
        <f>IF(OR($G3116="FCC",$G3116="Hydrocracker",$G3116="Reformer"),IF(COUNTIFS($D:$D,$D3116,$A:$A,$A3116,$B:$B,$B3116,$G:$G,"CDU",$J:$J,"PLANNED")&gt;0,"tied","standalone"),"")</f>
        <v>tied</v>
      </c>
    </row>
    <row r="3117" spans="1:14">
      <c r="A3117" s="6">
        <v>2024</v>
      </c>
      <c r="B3117" s="6">
        <v>2</v>
      </c>
      <c r="C3117" s="6" t="s">
        <v>61</v>
      </c>
      <c r="D3117" s="6" t="s">
        <v>484</v>
      </c>
      <c r="E3117" s="6" t="s">
        <v>438</v>
      </c>
      <c r="F3117" s="6" t="str">
        <f>IF($M3117="PADD I","PADD 1",IF($M3117="PADD II","PADD 2",IF($M3117="PADD III","PADD 3",IF($M3117="PADD IV","PADD 4",IF($M3117="PADD V","PADD 5","")))))</f>
        <v>PADD 5</v>
      </c>
      <c r="G3117" s="6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6" t="s">
        <v>494</v>
      </c>
      <c r="I3117" s="6" t="s">
        <v>14</v>
      </c>
      <c r="J3117" s="6" t="s">
        <v>394</v>
      </c>
      <c r="K3117" s="10">
        <v>2.24</v>
      </c>
      <c r="L3117" s="10">
        <v>32</v>
      </c>
      <c r="M3117" s="6" t="s">
        <v>436</v>
      </c>
      <c r="N3117" s="6" t="str">
        <f>IF(OR($G3117="FCC",$G3117="Hydrocracker",$G3117="Reformer"),IF(COUNTIFS($D:$D,$D3117,$A:$A,$A3117,$B:$B,$B3117,$G:$G,"CDU",$J:$J,"PLANNED")&gt;0,"tied","standalone"),"")</f>
        <v>standalone</v>
      </c>
    </row>
    <row r="3118" spans="1:14">
      <c r="A3118" s="6">
        <v>2024</v>
      </c>
      <c r="B3118" s="6">
        <v>2</v>
      </c>
      <c r="C3118" s="6" t="s">
        <v>61</v>
      </c>
      <c r="D3118" s="6" t="s">
        <v>515</v>
      </c>
      <c r="E3118" s="6" t="s">
        <v>419</v>
      </c>
      <c r="F3118" s="6" t="str">
        <f>IF($M3118="PADD I","PADD 1",IF($M3118="PADD II","PADD 2",IF($M3118="PADD III","PADD 3",IF($M3118="PADD IV","PADD 4",IF($M3118="PADD V","PADD 5","")))))</f>
        <v>PADD 5</v>
      </c>
      <c r="G3118" s="6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6" t="s">
        <v>471</v>
      </c>
      <c r="I3118" s="6" t="s">
        <v>723</v>
      </c>
      <c r="J3118" s="6" t="s">
        <v>398</v>
      </c>
      <c r="K3118" s="10">
        <v>2.24</v>
      </c>
      <c r="L3118" s="10">
        <v>16</v>
      </c>
      <c r="M3118" s="6" t="s">
        <v>436</v>
      </c>
      <c r="N3118" s="6" t="str">
        <f>IF(OR($G3118="FCC",$G3118="Hydrocracker",$G3118="Reformer"),IF(COUNTIFS($D:$D,$D3118,$A:$A,$A3118,$B:$B,$B3118,$G:$G,"CDU",$J:$J,"PLANNED")&gt;0,"tied","standalone"),"")</f>
        <v>standalone</v>
      </c>
    </row>
    <row r="3119" spans="1:14">
      <c r="A3119" s="6">
        <v>2024</v>
      </c>
      <c r="B3119" s="6">
        <v>2</v>
      </c>
      <c r="C3119" s="6" t="s">
        <v>61</v>
      </c>
      <c r="D3119" s="6" t="s">
        <v>652</v>
      </c>
      <c r="E3119" s="6" t="s">
        <v>419</v>
      </c>
      <c r="F3119" s="6" t="str">
        <f>IF($M3119="PADD I","PADD 1",IF($M3119="PADD II","PADD 2",IF($M3119="PADD III","PADD 3",IF($M3119="PADD IV","PADD 4",IF($M3119="PADD V","PADD 5","")))))</f>
        <v>PADD 2</v>
      </c>
      <c r="G3119" s="6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6" t="s">
        <v>428</v>
      </c>
      <c r="I3119" s="6" t="s">
        <v>586</v>
      </c>
      <c r="J3119" s="6" t="s">
        <v>394</v>
      </c>
      <c r="K3119" s="10">
        <v>2.1</v>
      </c>
      <c r="L3119" s="10">
        <v>15</v>
      </c>
      <c r="M3119" s="6" t="s">
        <v>425</v>
      </c>
      <c r="N3119" s="6">
        <f>IF(OR($G3119="FCC",$G3119="Hydrocracker",$G3119="Reformer"),IF(COUNTIFS($D:$D,$D3119,$A:$A,$A3119,$B:$B,$B3119,$G:$G,"CDU",$J:$J,"PLANNED")&gt;0,"tied","standalone"),"")</f>
        <v/>
      </c>
    </row>
    <row r="3120" spans="1:14">
      <c r="A3120" s="6">
        <v>2024</v>
      </c>
      <c r="B3120" s="6">
        <v>2</v>
      </c>
      <c r="C3120" s="6" t="s">
        <v>61</v>
      </c>
      <c r="D3120" s="6" t="s">
        <v>507</v>
      </c>
      <c r="E3120" s="6" t="s">
        <v>438</v>
      </c>
      <c r="F3120" s="6" t="str">
        <f>IF($M3120="PADD I","PADD 1",IF($M3120="PADD II","PADD 2",IF($M3120="PADD III","PADD 3",IF($M3120="PADD IV","PADD 4",IF($M3120="PADD V","PADD 5","")))))</f>
        <v>PADD 5</v>
      </c>
      <c r="G3120" s="6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6" t="s">
        <v>471</v>
      </c>
      <c r="I3120" s="6" t="s">
        <v>609</v>
      </c>
      <c r="J3120" s="6" t="s">
        <v>394</v>
      </c>
      <c r="K3120" s="10">
        <v>2</v>
      </c>
      <c r="L3120" s="10">
        <v>20</v>
      </c>
      <c r="M3120" s="6" t="s">
        <v>436</v>
      </c>
      <c r="N3120" s="6" t="str">
        <f>IF(OR($G3120="FCC",$G3120="Hydrocracker",$G3120="Reformer"),IF(COUNTIFS($D:$D,$D3120,$A:$A,$A3120,$B:$B,$B3120,$G:$G,"CDU",$J:$J,"PLANNED")&gt;0,"tied","standalone"),"")</f>
        <v>tied</v>
      </c>
    </row>
    <row r="3121" spans="1:14">
      <c r="A3121" s="6">
        <v>2024</v>
      </c>
      <c r="B3121" s="6">
        <v>2</v>
      </c>
      <c r="C3121" s="6" t="s">
        <v>61</v>
      </c>
      <c r="D3121" s="6" t="s">
        <v>789</v>
      </c>
      <c r="E3121" s="6" t="s">
        <v>455</v>
      </c>
      <c r="F3121" s="6" t="str">
        <f>IF($M3121="PADD I","PADD 1",IF($M3121="PADD II","PADD 2",IF($M3121="PADD III","PADD 3",IF($M3121="PADD IV","PADD 4",IF($M3121="PADD V","PADD 5","")))))</f>
        <v>PADD 2</v>
      </c>
      <c r="G3121" s="6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6" t="s">
        <v>494</v>
      </c>
      <c r="I3121" s="6" t="s">
        <v>845</v>
      </c>
      <c r="J3121" s="6" t="s">
        <v>394</v>
      </c>
      <c r="K3121" s="10">
        <v>1.96</v>
      </c>
      <c r="L3121" s="10">
        <v>14</v>
      </c>
      <c r="M3121" s="6" t="s">
        <v>425</v>
      </c>
      <c r="N3121" s="6" t="str">
        <f>IF(OR($G3121="FCC",$G3121="Hydrocracker",$G3121="Reformer"),IF(COUNTIFS($D:$D,$D3121,$A:$A,$A3121,$B:$B,$B3121,$G:$G,"CDU",$J:$J,"PLANNED")&gt;0,"tied","standalone"),"")</f>
        <v>standalone</v>
      </c>
    </row>
    <row r="3122" spans="1:14">
      <c r="A3122" s="6">
        <v>2024</v>
      </c>
      <c r="B3122" s="6">
        <v>2</v>
      </c>
      <c r="C3122" s="6" t="s">
        <v>61</v>
      </c>
      <c r="D3122" s="6" t="s">
        <v>849</v>
      </c>
      <c r="E3122" s="6" t="s">
        <v>441</v>
      </c>
      <c r="F3122" s="6" t="str">
        <f>IF($M3122="PADD I","PADD 1",IF($M3122="PADD II","PADD 2",IF($M3122="PADD III","PADD 3",IF($M3122="PADD IV","PADD 4",IF($M3122="PADD V","PADD 5","")))))</f>
        <v>PADD 4</v>
      </c>
      <c r="G3122" s="6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6" t="s">
        <v>39</v>
      </c>
      <c r="I3122" s="6" t="s">
        <v>1154</v>
      </c>
      <c r="J3122" s="6" t="s">
        <v>394</v>
      </c>
      <c r="K3122" s="10">
        <v>1.728</v>
      </c>
      <c r="L3122" s="10">
        <v>57.6</v>
      </c>
      <c r="M3122" s="6" t="s">
        <v>480</v>
      </c>
      <c r="N3122" s="6">
        <f>IF(OR($G3122="FCC",$G3122="Hydrocracker",$G3122="Reformer"),IF(COUNTIFS($D:$D,$D3122,$A:$A,$A3122,$B:$B,$B3122,$G:$G,"CDU",$J:$J,"PLANNED")&gt;0,"tied","standalone"),"")</f>
        <v/>
      </c>
    </row>
    <row r="3123" spans="1:14">
      <c r="A3123" s="6">
        <v>2024</v>
      </c>
      <c r="B3123" s="6">
        <v>2</v>
      </c>
      <c r="C3123" s="6" t="s">
        <v>61</v>
      </c>
      <c r="D3123" s="6" t="s">
        <v>440</v>
      </c>
      <c r="E3123" s="6" t="s">
        <v>441</v>
      </c>
      <c r="F3123" s="6" t="str">
        <f>IF($M3123="PADD I","PADD 1",IF($M3123="PADD II","PADD 2",IF($M3123="PADD III","PADD 3",IF($M3123="PADD IV","PADD 4",IF($M3123="PADD V","PADD 5","")))))</f>
        <v>PADD 3</v>
      </c>
      <c r="G3123" s="6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6" t="s">
        <v>471</v>
      </c>
      <c r="I3123" s="6" t="s">
        <v>1167</v>
      </c>
      <c r="J3123" s="6" t="s">
        <v>394</v>
      </c>
      <c r="K3123" s="10">
        <v>1.65</v>
      </c>
      <c r="L3123" s="10">
        <v>55</v>
      </c>
      <c r="M3123" s="6" t="s">
        <v>421</v>
      </c>
      <c r="N3123" s="6" t="str">
        <f>IF(OR($G3123="FCC",$G3123="Hydrocracker",$G3123="Reformer"),IF(COUNTIFS($D:$D,$D3123,$A:$A,$A3123,$B:$B,$B3123,$G:$G,"CDU",$J:$J,"PLANNED")&gt;0,"tied","standalone"),"")</f>
        <v>standalone</v>
      </c>
    </row>
    <row r="3124" spans="1:14">
      <c r="A3124" s="6">
        <v>2024</v>
      </c>
      <c r="B3124" s="6">
        <v>2</v>
      </c>
      <c r="C3124" s="6" t="s">
        <v>61</v>
      </c>
      <c r="D3124" s="6" t="s">
        <v>507</v>
      </c>
      <c r="E3124" s="6" t="s">
        <v>438</v>
      </c>
      <c r="F3124" s="6" t="str">
        <f>IF($M3124="PADD I","PADD 1",IF($M3124="PADD II","PADD 2",IF($M3124="PADD III","PADD 3",IF($M3124="PADD IV","PADD 4",IF($M3124="PADD V","PADD 5","")))))</f>
        <v>PADD 5</v>
      </c>
      <c r="G3124" s="6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6" t="s">
        <v>494</v>
      </c>
      <c r="I3124" s="6" t="s">
        <v>14</v>
      </c>
      <c r="J3124" s="6" t="s">
        <v>394</v>
      </c>
      <c r="K3124" s="10">
        <v>1.65</v>
      </c>
      <c r="L3124" s="10">
        <v>55</v>
      </c>
      <c r="M3124" s="6" t="s">
        <v>436</v>
      </c>
      <c r="N3124" s="6" t="str">
        <f>IF(OR($G3124="FCC",$G3124="Hydrocracker",$G3124="Reformer"),IF(COUNTIFS($D:$D,$D3124,$A:$A,$A3124,$B:$B,$B3124,$G:$G,"CDU",$J:$J,"PLANNED")&gt;0,"tied","standalone"),"")</f>
        <v>tied</v>
      </c>
    </row>
    <row r="3125" spans="1:14">
      <c r="A3125" s="6">
        <v>2024</v>
      </c>
      <c r="B3125" s="6">
        <v>2</v>
      </c>
      <c r="C3125" s="6" t="s">
        <v>61</v>
      </c>
      <c r="D3125" s="6" t="s">
        <v>458</v>
      </c>
      <c r="E3125" s="6" t="s">
        <v>459</v>
      </c>
      <c r="F3125" s="6" t="str">
        <f>IF($M3125="PADD I","PADD 1",IF($M3125="PADD II","PADD 2",IF($M3125="PADD III","PADD 3",IF($M3125="PADD IV","PADD 4",IF($M3125="PADD V","PADD 5","")))))</f>
        <v>PADD 3</v>
      </c>
      <c r="G3125" s="6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6" t="s">
        <v>510</v>
      </c>
      <c r="I3125" s="6" t="s">
        <v>656</v>
      </c>
      <c r="J3125" s="6" t="s">
        <v>394</v>
      </c>
      <c r="K3125" s="10">
        <v>1.55</v>
      </c>
      <c r="L3125" s="10">
        <v>5</v>
      </c>
      <c r="M3125" s="6" t="s">
        <v>421</v>
      </c>
      <c r="N3125" s="6">
        <f>IF(OR($G3125="FCC",$G3125="Hydrocracker",$G3125="Reformer"),IF(COUNTIFS($D:$D,$D3125,$A:$A,$A3125,$B:$B,$B3125,$G:$G,"CDU",$J:$J,"PLANNED")&gt;0,"tied","standalone"),"")</f>
        <v/>
      </c>
    </row>
    <row r="3126" spans="1:14">
      <c r="A3126" s="6">
        <v>2024</v>
      </c>
      <c r="B3126" s="6">
        <v>2</v>
      </c>
      <c r="C3126" s="6" t="s">
        <v>61</v>
      </c>
      <c r="D3126" s="6" t="s">
        <v>984</v>
      </c>
      <c r="E3126" s="6" t="s">
        <v>438</v>
      </c>
      <c r="F3126" s="6" t="str">
        <f>IF($M3126="PADD I","PADD 1",IF($M3126="PADD II","PADD 2",IF($M3126="PADD III","PADD 3",IF($M3126="PADD IV","PADD 4",IF($M3126="PADD V","PADD 5","")))))</f>
        <v>PADD 3</v>
      </c>
      <c r="G3126" s="6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6" t="s">
        <v>618</v>
      </c>
      <c r="I3126" s="6" t="s">
        <v>1026</v>
      </c>
      <c r="J3126" s="6" t="s">
        <v>398</v>
      </c>
      <c r="K3126" s="10">
        <v>1.55</v>
      </c>
      <c r="L3126" s="10">
        <v>2.5</v>
      </c>
      <c r="M3126" s="6" t="s">
        <v>421</v>
      </c>
      <c r="N3126" s="6">
        <f>IF(OR($G3126="FCC",$G3126="Hydrocracker",$G3126="Reformer"),IF(COUNTIFS($D:$D,$D3126,$A:$A,$A3126,$B:$B,$B3126,$G:$G,"CDU",$J:$J,"PLANNED")&gt;0,"tied","standalone"),"")</f>
        <v/>
      </c>
    </row>
    <row r="3127" spans="1:14">
      <c r="A3127" s="6">
        <v>2024</v>
      </c>
      <c r="B3127" s="6">
        <v>2</v>
      </c>
      <c r="C3127" s="6" t="s">
        <v>61</v>
      </c>
      <c r="D3127" s="6" t="s">
        <v>812</v>
      </c>
      <c r="E3127" s="6" t="s">
        <v>813</v>
      </c>
      <c r="F3127" s="6" t="str">
        <f>IF($M3127="PADD I","PADD 1",IF($M3127="PADD II","PADD 2",IF($M3127="PADD III","PADD 3",IF($M3127="PADD IV","PADD 4",IF($M3127="PADD V","PADD 5","")))))</f>
        <v>PADD 2</v>
      </c>
      <c r="G3127" s="6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6" t="s">
        <v>510</v>
      </c>
      <c r="I3127" s="6" t="s">
        <v>666</v>
      </c>
      <c r="J3127" s="6" t="s">
        <v>398</v>
      </c>
      <c r="K3127" s="10">
        <v>1.55</v>
      </c>
      <c r="L3127" s="10">
        <v>5</v>
      </c>
      <c r="M3127" s="6" t="s">
        <v>425</v>
      </c>
      <c r="N3127" s="6">
        <f>IF(OR($G3127="FCC",$G3127="Hydrocracker",$G3127="Reformer"),IF(COUNTIFS($D:$D,$D3127,$A:$A,$A3127,$B:$B,$B3127,$G:$G,"CDU",$J:$J,"PLANNED")&gt;0,"tied","standalone"),"")</f>
        <v/>
      </c>
    </row>
    <row r="3128" spans="1:14">
      <c r="A3128" s="6">
        <v>2024</v>
      </c>
      <c r="B3128" s="6">
        <v>2</v>
      </c>
      <c r="C3128" s="6" t="s">
        <v>61</v>
      </c>
      <c r="D3128" s="6" t="s">
        <v>568</v>
      </c>
      <c r="E3128" s="6" t="s">
        <v>419</v>
      </c>
      <c r="F3128" s="6" t="str">
        <f>IF($M3128="PADD I","PADD 1",IF($M3128="PADD II","PADD 2",IF($M3128="PADD III","PADD 3",IF($M3128="PADD IV","PADD 4",IF($M3128="PADD V","PADD 5","")))))</f>
        <v>PADD 5</v>
      </c>
      <c r="G3128" s="6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6" t="s">
        <v>39</v>
      </c>
      <c r="I3128" s="6" t="s">
        <v>569</v>
      </c>
      <c r="J3128" s="6" t="s">
        <v>398</v>
      </c>
      <c r="K3128" s="10">
        <v>1.5</v>
      </c>
      <c r="L3128" s="10">
        <v>50</v>
      </c>
      <c r="M3128" s="6" t="s">
        <v>436</v>
      </c>
      <c r="N3128" s="6">
        <f>IF(OR($G3128="FCC",$G3128="Hydrocracker",$G3128="Reformer"),IF(COUNTIFS($D:$D,$D3128,$A:$A,$A3128,$B:$B,$B3128,$G:$G,"CDU",$J:$J,"PLANNED")&gt;0,"tied","standalone"),"")</f>
        <v/>
      </c>
    </row>
    <row r="3129" spans="1:14">
      <c r="A3129" s="6">
        <v>2024</v>
      </c>
      <c r="B3129" s="6">
        <v>2</v>
      </c>
      <c r="C3129" s="6" t="s">
        <v>61</v>
      </c>
      <c r="D3129" s="6" t="s">
        <v>484</v>
      </c>
      <c r="E3129" s="6" t="s">
        <v>438</v>
      </c>
      <c r="F3129" s="6" t="str">
        <f>IF($M3129="PADD I","PADD 1",IF($M3129="PADD II","PADD 2",IF($M3129="PADD III","PADD 3",IF($M3129="PADD IV","PADD 4",IF($M3129="PADD V","PADD 5","")))))</f>
        <v>PADD 5</v>
      </c>
      <c r="G3129" s="6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6" t="s">
        <v>471</v>
      </c>
      <c r="I3129" s="6" t="s">
        <v>721</v>
      </c>
      <c r="J3129" s="6" t="s">
        <v>394</v>
      </c>
      <c r="K3129" s="10">
        <v>1.5</v>
      </c>
      <c r="L3129" s="10">
        <v>15</v>
      </c>
      <c r="M3129" s="6" t="s">
        <v>436</v>
      </c>
      <c r="N3129" s="6" t="str">
        <f>IF(OR($G3129="FCC",$G3129="Hydrocracker",$G3129="Reformer"),IF(COUNTIFS($D:$D,$D3129,$A:$A,$A3129,$B:$B,$B3129,$G:$G,"CDU",$J:$J,"PLANNED")&gt;0,"tied","standalone"),"")</f>
        <v>standalone</v>
      </c>
    </row>
    <row r="3130" spans="1:14">
      <c r="A3130" s="6">
        <v>2024</v>
      </c>
      <c r="B3130" s="6">
        <v>2</v>
      </c>
      <c r="C3130" s="6" t="s">
        <v>61</v>
      </c>
      <c r="D3130" s="6" t="s">
        <v>665</v>
      </c>
      <c r="E3130" s="6" t="s">
        <v>455</v>
      </c>
      <c r="F3130" s="6" t="str">
        <f>IF($M3130="PADD I","PADD 1",IF($M3130="PADD II","PADD 2",IF($M3130="PADD III","PADD 3",IF($M3130="PADD IV","PADD 4",IF($M3130="PADD V","PADD 5","")))))</f>
        <v>PADD 5</v>
      </c>
      <c r="G3130" s="6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6" t="s">
        <v>471</v>
      </c>
      <c r="I3130" s="6" t="s">
        <v>716</v>
      </c>
      <c r="J3130" s="6" t="s">
        <v>394</v>
      </c>
      <c r="K3130" s="10">
        <v>1.2</v>
      </c>
      <c r="L3130" s="10">
        <v>40</v>
      </c>
      <c r="M3130" s="6" t="s">
        <v>436</v>
      </c>
      <c r="N3130" s="6" t="str">
        <f>IF(OR($G3130="FCC",$G3130="Hydrocracker",$G3130="Reformer"),IF(COUNTIFS($D:$D,$D3130,$A:$A,$A3130,$B:$B,$B3130,$G:$G,"CDU",$J:$J,"PLANNED")&gt;0,"tied","standalone"),"")</f>
        <v>standalone</v>
      </c>
    </row>
    <row r="3131" spans="1:14">
      <c r="A3131" s="6">
        <v>2024</v>
      </c>
      <c r="B3131" s="6">
        <v>2</v>
      </c>
      <c r="C3131" s="6" t="s">
        <v>61</v>
      </c>
      <c r="D3131" s="6" t="s">
        <v>665</v>
      </c>
      <c r="E3131" s="6" t="s">
        <v>455</v>
      </c>
      <c r="F3131" s="6" t="str">
        <f>IF($M3131="PADD I","PADD 1",IF($M3131="PADD II","PADD 2",IF($M3131="PADD III","PADD 3",IF($M3131="PADD IV","PADD 4",IF($M3131="PADD V","PADD 5","")))))</f>
        <v>PADD 5</v>
      </c>
      <c r="G3131" s="6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6" t="s">
        <v>471</v>
      </c>
      <c r="I3131" s="6" t="s">
        <v>716</v>
      </c>
      <c r="J3131" s="6" t="s">
        <v>398</v>
      </c>
      <c r="K3131" s="10">
        <v>1.2</v>
      </c>
      <c r="L3131" s="10">
        <v>40</v>
      </c>
      <c r="M3131" s="6" t="s">
        <v>436</v>
      </c>
      <c r="N3131" s="6" t="str">
        <f>IF(OR($G3131="FCC",$G3131="Hydrocracker",$G3131="Reformer"),IF(COUNTIFS($D:$D,$D3131,$A:$A,$A3131,$B:$B,$B3131,$G:$G,"CDU",$J:$J,"PLANNED")&gt;0,"tied","standalone"),"")</f>
        <v>standalone</v>
      </c>
    </row>
    <row r="3132" spans="1:14">
      <c r="A3132" s="6">
        <v>2024</v>
      </c>
      <c r="B3132" s="6">
        <v>2</v>
      </c>
      <c r="C3132" s="6" t="s">
        <v>61</v>
      </c>
      <c r="D3132" s="6" t="s">
        <v>501</v>
      </c>
      <c r="E3132" s="6" t="s">
        <v>502</v>
      </c>
      <c r="F3132" s="6" t="str">
        <f>IF($M3132="PADD I","PADD 1",IF($M3132="PADD II","PADD 2",IF($M3132="PADD III","PADD 3",IF($M3132="PADD IV","PADD 4",IF($M3132="PADD V","PADD 5","")))))</f>
        <v>PADD 2</v>
      </c>
      <c r="G3132" s="6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6" t="s">
        <v>510</v>
      </c>
      <c r="I3132" s="6" t="s">
        <v>511</v>
      </c>
      <c r="J3132" s="6" t="s">
        <v>394</v>
      </c>
      <c r="K3132" s="10">
        <v>1.107</v>
      </c>
      <c r="L3132" s="10">
        <v>2.7</v>
      </c>
      <c r="M3132" s="6" t="s">
        <v>425</v>
      </c>
      <c r="N3132" s="6">
        <f>IF(OR($G3132="FCC",$G3132="Hydrocracker",$G3132="Reformer"),IF(COUNTIFS($D:$D,$D3132,$A:$A,$A3132,$B:$B,$B3132,$G:$G,"CDU",$J:$J,"PLANNED")&gt;0,"tied","standalone"),"")</f>
        <v/>
      </c>
    </row>
    <row r="3133" spans="1:14">
      <c r="A3133" s="6">
        <v>2024</v>
      </c>
      <c r="B3133" s="6">
        <v>2</v>
      </c>
      <c r="C3133" s="6" t="s">
        <v>61</v>
      </c>
      <c r="D3133" s="6" t="s">
        <v>52</v>
      </c>
      <c r="E3133" s="6" t="s">
        <v>441</v>
      </c>
      <c r="F3133" s="6" t="str">
        <f>IF($M3133="PADD I","PADD 1",IF($M3133="PADD II","PADD 2",IF($M3133="PADD III","PADD 3",IF($M3133="PADD IV","PADD 4",IF($M3133="PADD V","PADD 5","")))))</f>
        <v>PADD 5</v>
      </c>
      <c r="G3133" s="6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6" t="s">
        <v>510</v>
      </c>
      <c r="I3133" s="6" t="s">
        <v>511</v>
      </c>
      <c r="J3133" s="6" t="s">
        <v>394</v>
      </c>
      <c r="K3133" s="10">
        <v>0.99</v>
      </c>
      <c r="L3133" s="10">
        <v>33</v>
      </c>
      <c r="M3133" s="6" t="s">
        <v>436</v>
      </c>
      <c r="N3133" s="6">
        <f>IF(OR($G3133="FCC",$G3133="Hydrocracker",$G3133="Reformer"),IF(COUNTIFS($D:$D,$D3133,$A:$A,$A3133,$B:$B,$B3133,$G:$G,"CDU",$J:$J,"PLANNED")&gt;0,"tied","standalone"),"")</f>
        <v/>
      </c>
    </row>
    <row r="3134" spans="1:14">
      <c r="A3134" s="6">
        <v>2024</v>
      </c>
      <c r="B3134" s="6">
        <v>2</v>
      </c>
      <c r="C3134" s="6" t="s">
        <v>61</v>
      </c>
      <c r="D3134" s="6" t="s">
        <v>568</v>
      </c>
      <c r="E3134" s="6" t="s">
        <v>419</v>
      </c>
      <c r="F3134" s="6" t="str">
        <f>IF($M3134="PADD I","PADD 1",IF($M3134="PADD II","PADD 2",IF($M3134="PADD III","PADD 3",IF($M3134="PADD IV","PADD 4",IF($M3134="PADD V","PADD 5","")))))</f>
        <v>PADD 5</v>
      </c>
      <c r="G3134" s="6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6" t="s">
        <v>428</v>
      </c>
      <c r="I3134" s="6" t="s">
        <v>481</v>
      </c>
      <c r="J3134" s="6" t="s">
        <v>398</v>
      </c>
      <c r="K3134" s="10">
        <v>0.9</v>
      </c>
      <c r="L3134" s="10">
        <v>30</v>
      </c>
      <c r="M3134" s="6" t="s">
        <v>436</v>
      </c>
      <c r="N3134" s="6">
        <f>IF(OR($G3134="FCC",$G3134="Hydrocracker",$G3134="Reformer"),IF(COUNTIFS($D:$D,$D3134,$A:$A,$A3134,$B:$B,$B3134,$G:$G,"CDU",$J:$J,"PLANNED")&gt;0,"tied","standalone"),"")</f>
        <v/>
      </c>
    </row>
    <row r="3135" spans="1:14">
      <c r="A3135" s="6">
        <v>2024</v>
      </c>
      <c r="B3135" s="6">
        <v>2</v>
      </c>
      <c r="C3135" s="6" t="s">
        <v>61</v>
      </c>
      <c r="D3135" s="6" t="s">
        <v>395</v>
      </c>
      <c r="E3135" s="6" t="s">
        <v>433</v>
      </c>
      <c r="F3135" s="6" t="str">
        <f>IF($M3135="PADD I","PADD 1",IF($M3135="PADD II","PADD 2",IF($M3135="PADD III","PADD 3",IF($M3135="PADD IV","PADD 4",IF($M3135="PADD V","PADD 5","")))))</f>
        <v>PADD 2</v>
      </c>
      <c r="G3135" s="6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6" t="s">
        <v>471</v>
      </c>
      <c r="I3135" s="6" t="s">
        <v>521</v>
      </c>
      <c r="J3135" s="6" t="s">
        <v>398</v>
      </c>
      <c r="K3135" s="10">
        <v>0.9</v>
      </c>
      <c r="L3135" s="10">
        <v>30</v>
      </c>
      <c r="M3135" s="6" t="s">
        <v>425</v>
      </c>
      <c r="N3135" s="6" t="str">
        <f>IF(OR($G3135="FCC",$G3135="Hydrocracker",$G3135="Reformer"),IF(COUNTIFS($D:$D,$D3135,$A:$A,$A3135,$B:$B,$B3135,$G:$G,"CDU",$J:$J,"PLANNED")&gt;0,"tied","standalone"),"")</f>
        <v>tied</v>
      </c>
    </row>
    <row r="3136" spans="1:14">
      <c r="A3136" s="6">
        <v>2024</v>
      </c>
      <c r="B3136" s="6">
        <v>2</v>
      </c>
      <c r="C3136" s="6" t="s">
        <v>61</v>
      </c>
      <c r="D3136" s="6" t="s">
        <v>458</v>
      </c>
      <c r="E3136" s="6" t="s">
        <v>459</v>
      </c>
      <c r="F3136" s="6" t="str">
        <f>IF($M3136="PADD I","PADD 1",IF($M3136="PADD II","PADD 2",IF($M3136="PADD III","PADD 3",IF($M3136="PADD IV","PADD 4",IF($M3136="PADD V","PADD 5","")))))</f>
        <v>PADD 3</v>
      </c>
      <c r="G3136" s="6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6" t="s">
        <v>510</v>
      </c>
      <c r="I3136" s="6" t="s">
        <v>656</v>
      </c>
      <c r="J3136" s="6" t="s">
        <v>394</v>
      </c>
      <c r="K3136" s="10">
        <v>0.85</v>
      </c>
      <c r="L3136" s="10">
        <v>5</v>
      </c>
      <c r="M3136" s="6" t="s">
        <v>421</v>
      </c>
      <c r="N3136" s="6">
        <f>IF(OR($G3136="FCC",$G3136="Hydrocracker",$G3136="Reformer"),IF(COUNTIFS($D:$D,$D3136,$A:$A,$A3136,$B:$B,$B3136,$G:$G,"CDU",$J:$J,"PLANNED")&gt;0,"tied","standalone"),"")</f>
        <v/>
      </c>
    </row>
    <row r="3137" spans="1:14">
      <c r="A3137" s="6">
        <v>2024</v>
      </c>
      <c r="B3137" s="6">
        <v>2</v>
      </c>
      <c r="C3137" s="6" t="s">
        <v>61</v>
      </c>
      <c r="D3137" s="6" t="s">
        <v>849</v>
      </c>
      <c r="E3137" s="6" t="s">
        <v>441</v>
      </c>
      <c r="F3137" s="6" t="str">
        <f>IF($M3137="PADD I","PADD 1",IF($M3137="PADD II","PADD 2",IF($M3137="PADD III","PADD 3",IF($M3137="PADD IV","PADD 4",IF($M3137="PADD V","PADD 5","")))))</f>
        <v>PADD 4</v>
      </c>
      <c r="G3137" s="6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6" t="s">
        <v>428</v>
      </c>
      <c r="I3137" s="6" t="s">
        <v>429</v>
      </c>
      <c r="J3137" s="6" t="s">
        <v>394</v>
      </c>
      <c r="K3137" s="10">
        <v>0.825</v>
      </c>
      <c r="L3137" s="10">
        <v>27.5</v>
      </c>
      <c r="M3137" s="6" t="s">
        <v>480</v>
      </c>
      <c r="N3137" s="6">
        <f>IF(OR($G3137="FCC",$G3137="Hydrocracker",$G3137="Reformer"),IF(COUNTIFS($D:$D,$D3137,$A:$A,$A3137,$B:$B,$B3137,$G:$G,"CDU",$J:$J,"PLANNED")&gt;0,"tied","standalone"),"")</f>
        <v/>
      </c>
    </row>
    <row r="3138" spans="1:14">
      <c r="A3138" s="6">
        <v>2024</v>
      </c>
      <c r="B3138" s="6">
        <v>2</v>
      </c>
      <c r="C3138" s="6" t="s">
        <v>61</v>
      </c>
      <c r="D3138" s="6" t="s">
        <v>828</v>
      </c>
      <c r="E3138" s="6" t="s">
        <v>829</v>
      </c>
      <c r="F3138" s="6" t="str">
        <f>IF($M3138="PADD I","PADD 1",IF($M3138="PADD II","PADD 2",IF($M3138="PADD III","PADD 3",IF($M3138="PADD IV","PADD 4",IF($M3138="PADD V","PADD 5","")))))</f>
        <v>PADD 3</v>
      </c>
      <c r="G3138" s="6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6" t="s">
        <v>428</v>
      </c>
      <c r="I3138" s="6" t="s">
        <v>847</v>
      </c>
      <c r="J3138" s="6" t="s">
        <v>394</v>
      </c>
      <c r="K3138" s="10">
        <v>0.6899999999999999</v>
      </c>
      <c r="L3138" s="10">
        <v>23</v>
      </c>
      <c r="M3138" s="6" t="s">
        <v>421</v>
      </c>
      <c r="N3138" s="6">
        <f>IF(OR($G3138="FCC",$G3138="Hydrocracker",$G3138="Reformer"),IF(COUNTIFS($D:$D,$D3138,$A:$A,$A3138,$B:$B,$B3138,$G:$G,"CDU",$J:$J,"PLANNED")&gt;0,"tied","standalone"),"")</f>
        <v/>
      </c>
    </row>
    <row r="3139" spans="1:14">
      <c r="A3139" s="6">
        <v>2024</v>
      </c>
      <c r="B3139" s="6">
        <v>2</v>
      </c>
      <c r="C3139" s="6" t="s">
        <v>61</v>
      </c>
      <c r="D3139" s="6" t="s">
        <v>568</v>
      </c>
      <c r="E3139" s="6" t="s">
        <v>419</v>
      </c>
      <c r="F3139" s="6" t="str">
        <f>IF($M3139="PADD I","PADD 1",IF($M3139="PADD II","PADD 2",IF($M3139="PADD III","PADD 3",IF($M3139="PADD IV","PADD 4",IF($M3139="PADD V","PADD 5","")))))</f>
        <v>PADD 5</v>
      </c>
      <c r="G3139" s="6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6" t="s">
        <v>485</v>
      </c>
      <c r="I3139" s="6" t="s">
        <v>628</v>
      </c>
      <c r="J3139" s="6" t="s">
        <v>398</v>
      </c>
      <c r="K3139" s="10">
        <v>0.6899999999999999</v>
      </c>
      <c r="L3139" s="10">
        <v>23</v>
      </c>
      <c r="M3139" s="6" t="s">
        <v>436</v>
      </c>
      <c r="N3139" s="6">
        <f>IF(OR($G3139="FCC",$G3139="Hydrocracker",$G3139="Reformer"),IF(COUNTIFS($D:$D,$D3139,$A:$A,$A3139,$B:$B,$B3139,$G:$G,"CDU",$J:$J,"PLANNED")&gt;0,"tied","standalone"),"")</f>
        <v/>
      </c>
    </row>
    <row r="3140" spans="1:14">
      <c r="A3140" s="6">
        <v>2024</v>
      </c>
      <c r="B3140" s="6">
        <v>2</v>
      </c>
      <c r="C3140" s="6" t="s">
        <v>61</v>
      </c>
      <c r="D3140" s="6" t="s">
        <v>395</v>
      </c>
      <c r="E3140" s="6" t="s">
        <v>433</v>
      </c>
      <c r="F3140" s="6" t="str">
        <f>IF($M3140="PADD I","PADD 1",IF($M3140="PADD II","PADD 2",IF($M3140="PADD III","PADD 3",IF($M3140="PADD IV","PADD 4",IF($M3140="PADD V","PADD 5","")))))</f>
        <v>PADD 2</v>
      </c>
      <c r="G3140" s="6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6" t="s">
        <v>510</v>
      </c>
      <c r="I3140" s="6" t="s">
        <v>511</v>
      </c>
      <c r="J3140" s="6" t="s">
        <v>398</v>
      </c>
      <c r="K3140" s="10">
        <v>0.63</v>
      </c>
      <c r="L3140" s="10">
        <v>9</v>
      </c>
      <c r="M3140" s="6" t="s">
        <v>425</v>
      </c>
      <c r="N3140" s="6">
        <f>IF(OR($G3140="FCC",$G3140="Hydrocracker",$G3140="Reformer"),IF(COUNTIFS($D:$D,$D3140,$A:$A,$A3140,$B:$B,$B3140,$G:$G,"CDU",$J:$J,"PLANNED")&gt;0,"tied","standalone"),"")</f>
        <v/>
      </c>
    </row>
    <row r="3141" spans="1:14">
      <c r="A3141" s="6">
        <v>2024</v>
      </c>
      <c r="B3141" s="6">
        <v>2</v>
      </c>
      <c r="C3141" s="6" t="s">
        <v>61</v>
      </c>
      <c r="D3141" s="6" t="s">
        <v>383</v>
      </c>
      <c r="E3141" s="6" t="s">
        <v>602</v>
      </c>
      <c r="F3141" s="6" t="str">
        <f>IF($M3141="PADD I","PADD 1",IF($M3141="PADD II","PADD 2",IF($M3141="PADD III","PADD 3",IF($M3141="PADD IV","PADD 4",IF($M3141="PADD V","PADD 5","")))))</f>
        <v>PADD 3</v>
      </c>
      <c r="G3141" s="6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6" t="s">
        <v>428</v>
      </c>
      <c r="I3141" s="6" t="s">
        <v>605</v>
      </c>
      <c r="J3141" s="6" t="s">
        <v>394</v>
      </c>
      <c r="K3141" s="10">
        <v>0.57</v>
      </c>
      <c r="L3141" s="10">
        <v>19</v>
      </c>
      <c r="M3141" s="6" t="s">
        <v>421</v>
      </c>
      <c r="N3141" s="6">
        <f>IF(OR($G3141="FCC",$G3141="Hydrocracker",$G3141="Reformer"),IF(COUNTIFS($D:$D,$D3141,$A:$A,$A3141,$B:$B,$B3141,$G:$G,"CDU",$J:$J,"PLANNED")&gt;0,"tied","standalone"),"")</f>
        <v/>
      </c>
    </row>
    <row r="3142" spans="1:14">
      <c r="A3142" s="6">
        <v>2024</v>
      </c>
      <c r="B3142" s="6">
        <v>2</v>
      </c>
      <c r="C3142" s="6" t="s">
        <v>61</v>
      </c>
      <c r="D3142" s="6" t="s">
        <v>626</v>
      </c>
      <c r="E3142" s="6" t="s">
        <v>419</v>
      </c>
      <c r="F3142" s="6" t="str">
        <f>IF($M3142="PADD I","PADD 1",IF($M3142="PADD II","PADD 2",IF($M3142="PADD III","PADD 3",IF($M3142="PADD IV","PADD 4",IF($M3142="PADD V","PADD 5","")))))</f>
        <v>PADD 3</v>
      </c>
      <c r="G3142" s="6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6" t="s">
        <v>471</v>
      </c>
      <c r="I3142" s="6" t="s">
        <v>533</v>
      </c>
      <c r="J3142" s="6" t="s">
        <v>394</v>
      </c>
      <c r="K3142" s="10">
        <v>0.36</v>
      </c>
      <c r="L3142" s="10">
        <v>12</v>
      </c>
      <c r="M3142" s="6" t="s">
        <v>421</v>
      </c>
      <c r="N3142" s="6" t="str">
        <f>IF(OR($G3142="FCC",$G3142="Hydrocracker",$G3142="Reformer"),IF(COUNTIFS($D:$D,$D3142,$A:$A,$A3142,$B:$B,$B3142,$G:$G,"CDU",$J:$J,"PLANNED")&gt;0,"tied","standalone"),"")</f>
        <v>standalone</v>
      </c>
    </row>
    <row r="3143" spans="1:14">
      <c r="A3143" s="6">
        <v>2024</v>
      </c>
      <c r="B3143" s="6">
        <v>2</v>
      </c>
      <c r="C3143" s="6" t="s">
        <v>61</v>
      </c>
      <c r="D3143" s="6" t="s">
        <v>780</v>
      </c>
      <c r="E3143" s="6" t="s">
        <v>781</v>
      </c>
      <c r="F3143" s="6" t="str">
        <f>IF($M3143="PADD I","PADD 1",IF($M3143="PADD II","PADD 2",IF($M3143="PADD III","PADD 3",IF($M3143="PADD IV","PADD 4",IF($M3143="PADD V","PADD 5","")))))</f>
        <v>PADD 3</v>
      </c>
      <c r="G3143" s="6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6" t="s">
        <v>44</v>
      </c>
      <c r="I3143" s="6" t="s">
        <v>1104</v>
      </c>
      <c r="J3143" s="6" t="s">
        <v>394</v>
      </c>
      <c r="K3143" s="10">
        <v>0.3</v>
      </c>
      <c r="L3143" s="10">
        <v>10</v>
      </c>
      <c r="M3143" s="6" t="s">
        <v>421</v>
      </c>
      <c r="N3143" s="6">
        <f>IF(OR($G3143="FCC",$G3143="Hydrocracker",$G3143="Reformer"),IF(COUNTIFS($D:$D,$D3143,$A:$A,$A3143,$B:$B,$B3143,$G:$G,"CDU",$J:$J,"PLANNED")&gt;0,"tied","standalone"),"")</f>
        <v/>
      </c>
    </row>
    <row r="3144" spans="1:14">
      <c r="A3144" s="6">
        <v>2024</v>
      </c>
      <c r="B3144" s="6">
        <v>2</v>
      </c>
      <c r="C3144" s="6" t="s">
        <v>61</v>
      </c>
      <c r="D3144" s="6" t="s">
        <v>780</v>
      </c>
      <c r="E3144" s="6" t="s">
        <v>781</v>
      </c>
      <c r="F3144" s="6" t="str">
        <f>IF($M3144="PADD I","PADD 1",IF($M3144="PADD II","PADD 2",IF($M3144="PADD III","PADD 3",IF($M3144="PADD IV","PADD 4",IF($M3144="PADD V","PADD 5","")))))</f>
        <v>PADD 3</v>
      </c>
      <c r="G3144" s="6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6" t="s">
        <v>510</v>
      </c>
      <c r="I3144" s="6" t="s">
        <v>666</v>
      </c>
      <c r="J3144" s="6" t="s">
        <v>394</v>
      </c>
      <c r="K3144" s="10">
        <v>0.12</v>
      </c>
      <c r="L3144" s="10">
        <v>4</v>
      </c>
      <c r="M3144" s="6" t="s">
        <v>421</v>
      </c>
      <c r="N3144" s="6">
        <f>IF(OR($G3144="FCC",$G3144="Hydrocracker",$G3144="Reformer"),IF(COUNTIFS($D:$D,$D3144,$A:$A,$A3144,$B:$B,$B3144,$G:$G,"CDU",$J:$J,"PLANNED")&gt;0,"tied","standalone"),"")</f>
        <v/>
      </c>
    </row>
    <row r="3145" spans="1:14">
      <c r="A3145" s="6">
        <v>2024</v>
      </c>
      <c r="B3145" s="6">
        <v>2</v>
      </c>
      <c r="C3145" s="6" t="s">
        <v>61</v>
      </c>
      <c r="D3145" s="6" t="s">
        <v>696</v>
      </c>
      <c r="E3145" s="6" t="s">
        <v>455</v>
      </c>
      <c r="F3145" s="6" t="str">
        <f>IF($M3145="PADD I","PADD 1",IF($M3145="PADD II","PADD 2",IF($M3145="PADD III","PADD 3",IF($M3145="PADD IV","PADD 4",IF($M3145="PADD V","PADD 5","")))))</f>
        <v>PADD 3</v>
      </c>
      <c r="G3145" s="6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6" t="s">
        <v>510</v>
      </c>
      <c r="I3145" s="6" t="s">
        <v>1186</v>
      </c>
      <c r="J3145" s="6" t="s">
        <v>394</v>
      </c>
      <c r="K3145" s="10">
        <v>0</v>
      </c>
      <c r="L3145" s="10">
        <v>0</v>
      </c>
      <c r="M3145" s="6" t="s">
        <v>421</v>
      </c>
      <c r="N3145" s="6">
        <f>IF(OR($G3145="FCC",$G3145="Hydrocracker",$G3145="Reformer"),IF(COUNTIFS($D:$D,$D3145,$A:$A,$A3145,$B:$B,$B3145,$G:$G,"CDU",$J:$J,"PLANNED")&gt;0,"tied","standalone"),"")</f>
        <v/>
      </c>
    </row>
    <row r="3146" spans="1:14">
      <c r="A3146" s="6">
        <v>2024</v>
      </c>
      <c r="B3146" s="6">
        <v>3</v>
      </c>
      <c r="C3146" s="6" t="s">
        <v>62</v>
      </c>
      <c r="D3146" s="6" t="s">
        <v>440</v>
      </c>
      <c r="E3146" s="6" t="s">
        <v>441</v>
      </c>
      <c r="F3146" s="6" t="str">
        <f>IF($M3146="PADD I","PADD 1",IF($M3146="PADD II","PADD 2",IF($M3146="PADD III","PADD 3",IF($M3146="PADD IV","PADD 4",IF($M3146="PADD V","PADD 5","")))))</f>
        <v>PADD 3</v>
      </c>
      <c r="G3146" s="6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6" t="s">
        <v>39</v>
      </c>
      <c r="I3146" s="6" t="s">
        <v>442</v>
      </c>
      <c r="J3146" s="6" t="s">
        <v>398</v>
      </c>
      <c r="K3146" s="10">
        <v>164.5</v>
      </c>
      <c r="L3146" s="10">
        <v>175</v>
      </c>
      <c r="M3146" s="6" t="s">
        <v>421</v>
      </c>
      <c r="N3146" s="6">
        <f>IF(OR($G3146="FCC",$G3146="Hydrocracker",$G3146="Reformer"),IF(COUNTIFS($D:$D,$D3146,$A:$A,$A3146,$B:$B,$B3146,$G:$G,"CDU",$J:$J,"PLANNED")&gt;0,"tied","standalone"),"")</f>
        <v/>
      </c>
    </row>
    <row r="3147" spans="1:14">
      <c r="A3147" s="6">
        <v>2024</v>
      </c>
      <c r="B3147" s="6">
        <v>3</v>
      </c>
      <c r="C3147" s="6" t="s">
        <v>62</v>
      </c>
      <c r="D3147" s="6" t="s">
        <v>49</v>
      </c>
      <c r="E3147" s="6" t="s">
        <v>438</v>
      </c>
      <c r="F3147" s="6" t="str">
        <f>IF($M3147="PADD I","PADD 1",IF($M3147="PADD II","PADD 2",IF($M3147="PADD III","PADD 3",IF($M3147="PADD IV","PADD 4",IF($M3147="PADD V","PADD 5","")))))</f>
        <v>PADD 2</v>
      </c>
      <c r="G3147" s="6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6" t="s">
        <v>39</v>
      </c>
      <c r="I3147" s="6" t="s">
        <v>770</v>
      </c>
      <c r="J3147" s="6" t="s">
        <v>398</v>
      </c>
      <c r="K3147" s="10">
        <v>140.25</v>
      </c>
      <c r="L3147" s="10">
        <v>255</v>
      </c>
      <c r="M3147" s="6" t="s">
        <v>425</v>
      </c>
      <c r="N3147" s="6">
        <f>IF(OR($G3147="FCC",$G3147="Hydrocracker",$G3147="Reformer"),IF(COUNTIFS($D:$D,$D3147,$A:$A,$A3147,$B:$B,$B3147,$G:$G,"CDU",$J:$J,"PLANNED")&gt;0,"tied","standalone"),"")</f>
        <v/>
      </c>
    </row>
    <row r="3148" spans="1:14">
      <c r="A3148" s="6">
        <v>2024</v>
      </c>
      <c r="B3148" s="6">
        <v>3</v>
      </c>
      <c r="C3148" s="6" t="s">
        <v>62</v>
      </c>
      <c r="D3148" s="6" t="s">
        <v>440</v>
      </c>
      <c r="E3148" s="6" t="s">
        <v>441</v>
      </c>
      <c r="F3148" s="6" t="str">
        <f>IF($M3148="PADD I","PADD 1",IF($M3148="PADD II","PADD 2",IF($M3148="PADD III","PADD 3",IF($M3148="PADD IV","PADD 4",IF($M3148="PADD V","PADD 5","")))))</f>
        <v>PADD 3</v>
      </c>
      <c r="G3148" s="6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6" t="s">
        <v>485</v>
      </c>
      <c r="I3148" s="6" t="s">
        <v>1187</v>
      </c>
      <c r="J3148" s="6" t="s">
        <v>398</v>
      </c>
      <c r="K3148" s="10">
        <v>103.79</v>
      </c>
      <c r="L3148" s="10">
        <v>107</v>
      </c>
      <c r="M3148" s="6" t="s">
        <v>421</v>
      </c>
      <c r="N3148" s="6">
        <f>IF(OR($G3148="FCC",$G3148="Hydrocracker",$G3148="Reformer"),IF(COUNTIFS($D:$D,$D3148,$A:$A,$A3148,$B:$B,$B3148,$G:$G,"CDU",$J:$J,"PLANNED")&gt;0,"tied","standalone"),"")</f>
        <v/>
      </c>
    </row>
    <row r="3149" spans="1:14">
      <c r="A3149" s="6">
        <v>2024</v>
      </c>
      <c r="B3149" s="6">
        <v>3</v>
      </c>
      <c r="C3149" s="6" t="s">
        <v>62</v>
      </c>
      <c r="D3149" s="6" t="s">
        <v>592</v>
      </c>
      <c r="E3149" s="6" t="s">
        <v>593</v>
      </c>
      <c r="F3149" s="6" t="str">
        <f>IF($M3149="PADD I","PADD 1",IF($M3149="PADD II","PADD 2",IF($M3149="PADD III","PADD 3",IF($M3149="PADD IV","PADD 4",IF($M3149="PADD V","PADD 5","")))))</f>
        <v>PADD 2</v>
      </c>
      <c r="G3149" s="6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6" t="s">
        <v>39</v>
      </c>
      <c r="I3149" s="6" t="s">
        <v>924</v>
      </c>
      <c r="J3149" s="6" t="s">
        <v>394</v>
      </c>
      <c r="K3149" s="10">
        <v>89.25</v>
      </c>
      <c r="L3149" s="10">
        <v>255</v>
      </c>
      <c r="M3149" s="6" t="s">
        <v>425</v>
      </c>
      <c r="N3149" s="6">
        <f>IF(OR($G3149="FCC",$G3149="Hydrocracker",$G3149="Reformer"),IF(COUNTIFS($D:$D,$D3149,$A:$A,$A3149,$B:$B,$B3149,$G:$G,"CDU",$J:$J,"PLANNED")&gt;0,"tied","standalone"),"")</f>
        <v/>
      </c>
    </row>
    <row r="3150" spans="1:14">
      <c r="A3150" s="6">
        <v>2024</v>
      </c>
      <c r="B3150" s="6">
        <v>3</v>
      </c>
      <c r="C3150" s="6" t="s">
        <v>62</v>
      </c>
      <c r="D3150" s="6" t="s">
        <v>395</v>
      </c>
      <c r="E3150" s="6" t="s">
        <v>433</v>
      </c>
      <c r="F3150" s="6" t="str">
        <f>IF($M3150="PADD I","PADD 1",IF($M3150="PADD II","PADD 2",IF($M3150="PADD III","PADD 3",IF($M3150="PADD IV","PADD 4",IF($M3150="PADD V","PADD 5","")))))</f>
        <v>PADD 2</v>
      </c>
      <c r="G3150" s="6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6" t="s">
        <v>39</v>
      </c>
      <c r="I3150" s="6" t="s">
        <v>1108</v>
      </c>
      <c r="J3150" s="6" t="s">
        <v>398</v>
      </c>
      <c r="K3150" s="10">
        <v>87</v>
      </c>
      <c r="L3150" s="10">
        <v>87</v>
      </c>
      <c r="M3150" s="6" t="s">
        <v>425</v>
      </c>
      <c r="N3150" s="6">
        <f>IF(OR($G3150="FCC",$G3150="Hydrocracker",$G3150="Reformer"),IF(COUNTIFS($D:$D,$D3150,$A:$A,$A3150,$B:$B,$B3150,$G:$G,"CDU",$J:$J,"PLANNED")&gt;0,"tied","standalone"),"")</f>
        <v/>
      </c>
    </row>
    <row r="3151" spans="1:14">
      <c r="A3151" s="6">
        <v>2024</v>
      </c>
      <c r="B3151" s="6">
        <v>3</v>
      </c>
      <c r="C3151" s="6" t="s">
        <v>62</v>
      </c>
      <c r="D3151" s="6" t="s">
        <v>824</v>
      </c>
      <c r="E3151" s="6" t="s">
        <v>825</v>
      </c>
      <c r="F3151" s="6" t="str">
        <f>IF($M3151="PADD I","PADD 1",IF($M3151="PADD II","PADD 2",IF($M3151="PADD III","PADD 3",IF($M3151="PADD IV","PADD 4",IF($M3151="PADD V","PADD 5","")))))</f>
        <v>PADD 1</v>
      </c>
      <c r="G3151" s="6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6" t="s">
        <v>426</v>
      </c>
      <c r="I3151" s="6" t="s">
        <v>106</v>
      </c>
      <c r="J3151" s="6" t="s">
        <v>398</v>
      </c>
      <c r="K3151" s="10">
        <v>80</v>
      </c>
      <c r="L3151" s="10">
        <v>80</v>
      </c>
      <c r="M3151" s="6" t="s">
        <v>463</v>
      </c>
      <c r="N3151" s="6" t="str">
        <f>IF(OR($G3151="FCC",$G3151="Hydrocracker",$G3151="Reformer"),IF(COUNTIFS($D:$D,$D3151,$A:$A,$A3151,$B:$B,$B3151,$G:$G,"CDU",$J:$J,"PLANNED")&gt;0,"tied","standalone"),"")</f>
        <v>tied</v>
      </c>
    </row>
    <row r="3152" spans="1:14">
      <c r="A3152" s="6">
        <v>2024</v>
      </c>
      <c r="B3152" s="6">
        <v>3</v>
      </c>
      <c r="C3152" s="6" t="s">
        <v>62</v>
      </c>
      <c r="D3152" s="6" t="s">
        <v>505</v>
      </c>
      <c r="E3152" s="6" t="s">
        <v>455</v>
      </c>
      <c r="F3152" s="6" t="str">
        <f>IF($M3152="PADD I","PADD 1",IF($M3152="PADD II","PADD 2",IF($M3152="PADD III","PADD 3",IF($M3152="PADD IV","PADD 4",IF($M3152="PADD V","PADD 5","")))))</f>
        <v>PADD 3</v>
      </c>
      <c r="G3152" s="6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6" t="s">
        <v>39</v>
      </c>
      <c r="I3152" s="6" t="s">
        <v>379</v>
      </c>
      <c r="J3152" s="6" t="s">
        <v>394</v>
      </c>
      <c r="K3152" s="10">
        <v>77</v>
      </c>
      <c r="L3152" s="10">
        <v>220</v>
      </c>
      <c r="M3152" s="6" t="s">
        <v>421</v>
      </c>
      <c r="N3152" s="6">
        <f>IF(OR($G3152="FCC",$G3152="Hydrocracker",$G3152="Reformer"),IF(COUNTIFS($D:$D,$D3152,$A:$A,$A3152,$B:$B,$B3152,$G:$G,"CDU",$J:$J,"PLANNED")&gt;0,"tied","standalone"),"")</f>
        <v/>
      </c>
    </row>
    <row r="3153" spans="1:14">
      <c r="A3153" s="6">
        <v>2024</v>
      </c>
      <c r="B3153" s="6">
        <v>3</v>
      </c>
      <c r="C3153" s="6" t="s">
        <v>62</v>
      </c>
      <c r="D3153" s="6" t="s">
        <v>505</v>
      </c>
      <c r="E3153" s="6" t="s">
        <v>455</v>
      </c>
      <c r="F3153" s="6" t="str">
        <f>IF($M3153="PADD I","PADD 1",IF($M3153="PADD II","PADD 2",IF($M3153="PADD III","PADD 3",IF($M3153="PADD IV","PADD 4",IF($M3153="PADD V","PADD 5","")))))</f>
        <v>PADD 3</v>
      </c>
      <c r="G3153" s="6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6" t="s">
        <v>39</v>
      </c>
      <c r="I3153" s="6" t="s">
        <v>379</v>
      </c>
      <c r="J3153" s="6" t="s">
        <v>398</v>
      </c>
      <c r="K3153" s="10">
        <v>75.2</v>
      </c>
      <c r="L3153" s="10">
        <v>235</v>
      </c>
      <c r="M3153" s="6" t="s">
        <v>421</v>
      </c>
      <c r="N3153" s="6">
        <f>IF(OR($G3153="FCC",$G3153="Hydrocracker",$G3153="Reformer"),IF(COUNTIFS($D:$D,$D3153,$A:$A,$A3153,$B:$B,$B3153,$G:$G,"CDU",$J:$J,"PLANNED")&gt;0,"tied","standalone"),"")</f>
        <v/>
      </c>
    </row>
    <row r="3154" spans="1:14">
      <c r="A3154" s="6">
        <v>2024</v>
      </c>
      <c r="B3154" s="6">
        <v>3</v>
      </c>
      <c r="C3154" s="6" t="s">
        <v>62</v>
      </c>
      <c r="D3154" s="6" t="s">
        <v>515</v>
      </c>
      <c r="E3154" s="6" t="s">
        <v>419</v>
      </c>
      <c r="F3154" s="6" t="str">
        <f>IF($M3154="PADD I","PADD 1",IF($M3154="PADD II","PADD 2",IF($M3154="PADD III","PADD 3",IF($M3154="PADD IV","PADD 4",IF($M3154="PADD V","PADD 5","")))))</f>
        <v>PADD 5</v>
      </c>
      <c r="G3154" s="6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6" t="s">
        <v>44</v>
      </c>
      <c r="I3154" s="6" t="s">
        <v>516</v>
      </c>
      <c r="J3154" s="6" t="s">
        <v>398</v>
      </c>
      <c r="K3154" s="10">
        <v>66.42</v>
      </c>
      <c r="L3154" s="10">
        <v>66.42</v>
      </c>
      <c r="M3154" s="6" t="s">
        <v>436</v>
      </c>
      <c r="N3154" s="6">
        <f>IF(OR($G3154="FCC",$G3154="Hydrocracker",$G3154="Reformer"),IF(COUNTIFS($D:$D,$D3154,$A:$A,$A3154,$B:$B,$B3154,$G:$G,"CDU",$J:$J,"PLANNED")&gt;0,"tied","standalone"),"")</f>
        <v/>
      </c>
    </row>
    <row r="3155" spans="1:14">
      <c r="A3155" s="6">
        <v>2024</v>
      </c>
      <c r="B3155" s="6">
        <v>3</v>
      </c>
      <c r="C3155" s="6" t="s">
        <v>62</v>
      </c>
      <c r="D3155" s="6" t="s">
        <v>395</v>
      </c>
      <c r="E3155" s="6" t="s">
        <v>433</v>
      </c>
      <c r="F3155" s="6" t="str">
        <f>IF($M3155="PADD I","PADD 1",IF($M3155="PADD II","PADD 2",IF($M3155="PADD III","PADD 3",IF($M3155="PADD IV","PADD 4",IF($M3155="PADD V","PADD 5","")))))</f>
        <v>PADD 2</v>
      </c>
      <c r="G3155" s="6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6" t="s">
        <v>44</v>
      </c>
      <c r="I3155" s="6" t="s">
        <v>444</v>
      </c>
      <c r="J3155" s="6" t="s">
        <v>398</v>
      </c>
      <c r="K3155" s="10">
        <v>65</v>
      </c>
      <c r="L3155" s="10">
        <v>65</v>
      </c>
      <c r="M3155" s="6" t="s">
        <v>425</v>
      </c>
      <c r="N3155" s="6">
        <f>IF(OR($G3155="FCC",$G3155="Hydrocracker",$G3155="Reformer"),IF(COUNTIFS($D:$D,$D3155,$A:$A,$A3155,$B:$B,$B3155,$G:$G,"CDU",$J:$J,"PLANNED")&gt;0,"tied","standalone"),"")</f>
        <v/>
      </c>
    </row>
    <row r="3156" spans="1:14">
      <c r="A3156" s="6">
        <v>2024</v>
      </c>
      <c r="B3156" s="6">
        <v>3</v>
      </c>
      <c r="C3156" s="6" t="s">
        <v>62</v>
      </c>
      <c r="D3156" s="6" t="s">
        <v>597</v>
      </c>
      <c r="E3156" s="6" t="s">
        <v>441</v>
      </c>
      <c r="F3156" s="6" t="str">
        <f>IF($M3156="PADD I","PADD 1",IF($M3156="PADD II","PADD 2",IF($M3156="PADD III","PADD 3",IF($M3156="PADD IV","PADD 4",IF($M3156="PADD V","PADD 5","")))))</f>
        <v>PADD 5</v>
      </c>
      <c r="G3156" s="6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6" t="s">
        <v>44</v>
      </c>
      <c r="I3156" s="6" t="s">
        <v>979</v>
      </c>
      <c r="J3156" s="6" t="s">
        <v>394</v>
      </c>
      <c r="K3156" s="10">
        <v>62.856</v>
      </c>
      <c r="L3156" s="10">
        <v>64.8</v>
      </c>
      <c r="M3156" s="6" t="s">
        <v>436</v>
      </c>
      <c r="N3156" s="6">
        <f>IF(OR($G3156="FCC",$G3156="Hydrocracker",$G3156="Reformer"),IF(COUNTIFS($D:$D,$D3156,$A:$A,$A3156,$B:$B,$B3156,$G:$G,"CDU",$J:$J,"PLANNED")&gt;0,"tied","standalone"),"")</f>
        <v/>
      </c>
    </row>
    <row r="3157" spans="1:14">
      <c r="A3157" s="6">
        <v>2024</v>
      </c>
      <c r="B3157" s="6">
        <v>3</v>
      </c>
      <c r="C3157" s="6" t="s">
        <v>62</v>
      </c>
      <c r="D3157" s="6" t="s">
        <v>665</v>
      </c>
      <c r="E3157" s="6" t="s">
        <v>455</v>
      </c>
      <c r="F3157" s="6" t="str">
        <f>IF($M3157="PADD I","PADD 1",IF($M3157="PADD II","PADD 2",IF($M3157="PADD III","PADD 3",IF($M3157="PADD IV","PADD 4",IF($M3157="PADD V","PADD 5","")))))</f>
        <v>PADD 5</v>
      </c>
      <c r="G3157" s="6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6" t="s">
        <v>426</v>
      </c>
      <c r="I3157" s="6" t="s">
        <v>106</v>
      </c>
      <c r="J3157" s="6" t="s">
        <v>398</v>
      </c>
      <c r="K3157" s="10">
        <v>62.37</v>
      </c>
      <c r="L3157" s="10">
        <v>77</v>
      </c>
      <c r="M3157" s="6" t="s">
        <v>436</v>
      </c>
      <c r="N3157" s="6" t="str">
        <f>IF(OR($G3157="FCC",$G3157="Hydrocracker",$G3157="Reformer"),IF(COUNTIFS($D:$D,$D3157,$A:$A,$A3157,$B:$B,$B3157,$G:$G,"CDU",$J:$J,"PLANNED")&gt;0,"tied","standalone"),"")</f>
        <v>standalone</v>
      </c>
    </row>
    <row r="3158" spans="1:14">
      <c r="A3158" s="6">
        <v>2024</v>
      </c>
      <c r="B3158" s="6">
        <v>3</v>
      </c>
      <c r="C3158" s="6" t="s">
        <v>62</v>
      </c>
      <c r="D3158" s="6" t="s">
        <v>505</v>
      </c>
      <c r="E3158" s="6" t="s">
        <v>455</v>
      </c>
      <c r="F3158" s="6" t="str">
        <f>IF($M3158="PADD I","PADD 1",IF($M3158="PADD II","PADD 2",IF($M3158="PADD III","PADD 3",IF($M3158="PADD IV","PADD 4",IF($M3158="PADD V","PADD 5","")))))</f>
        <v>PADD 3</v>
      </c>
      <c r="G3158" s="6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6" t="s">
        <v>428</v>
      </c>
      <c r="I3158" s="6" t="s">
        <v>1014</v>
      </c>
      <c r="J3158" s="6" t="s">
        <v>398</v>
      </c>
      <c r="K3158" s="10">
        <v>57.6</v>
      </c>
      <c r="L3158" s="10">
        <v>180</v>
      </c>
      <c r="M3158" s="6" t="s">
        <v>421</v>
      </c>
      <c r="N3158" s="6">
        <f>IF(OR($G3158="FCC",$G3158="Hydrocracker",$G3158="Reformer"),IF(COUNTIFS($D:$D,$D3158,$A:$A,$A3158,$B:$B,$B3158,$G:$G,"CDU",$J:$J,"PLANNED")&gt;0,"tied","standalone"),"")</f>
        <v/>
      </c>
    </row>
    <row r="3159" spans="1:14">
      <c r="A3159" s="6">
        <v>2024</v>
      </c>
      <c r="B3159" s="6">
        <v>3</v>
      </c>
      <c r="C3159" s="6" t="s">
        <v>62</v>
      </c>
      <c r="D3159" s="6" t="s">
        <v>505</v>
      </c>
      <c r="E3159" s="6" t="s">
        <v>455</v>
      </c>
      <c r="F3159" s="6" t="str">
        <f>IF($M3159="PADD I","PADD 1",IF($M3159="PADD II","PADD 2",IF($M3159="PADD III","PADD 3",IF($M3159="PADD IV","PADD 4",IF($M3159="PADD V","PADD 5","")))))</f>
        <v>PADD 3</v>
      </c>
      <c r="G3159" s="6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6" t="s">
        <v>428</v>
      </c>
      <c r="I3159" s="6" t="s">
        <v>1014</v>
      </c>
      <c r="J3159" s="6" t="s">
        <v>394</v>
      </c>
      <c r="K3159" s="10">
        <v>56</v>
      </c>
      <c r="L3159" s="10">
        <v>160</v>
      </c>
      <c r="M3159" s="6" t="s">
        <v>421</v>
      </c>
      <c r="N3159" s="6">
        <f>IF(OR($G3159="FCC",$G3159="Hydrocracker",$G3159="Reformer"),IF(COUNTIFS($D:$D,$D3159,$A:$A,$A3159,$B:$B,$B3159,$G:$G,"CDU",$J:$J,"PLANNED")&gt;0,"tied","standalone"),"")</f>
        <v/>
      </c>
    </row>
    <row r="3160" spans="1:14">
      <c r="A3160" s="6">
        <v>2024</v>
      </c>
      <c r="B3160" s="6">
        <v>3</v>
      </c>
      <c r="C3160" s="6" t="s">
        <v>62</v>
      </c>
      <c r="D3160" s="6" t="s">
        <v>479</v>
      </c>
      <c r="E3160" s="6" t="s">
        <v>438</v>
      </c>
      <c r="F3160" s="6" t="str">
        <f>IF($M3160="PADD I","PADD 1",IF($M3160="PADD II","PADD 2",IF($M3160="PADD III","PADD 3",IF($M3160="PADD IV","PADD 4",IF($M3160="PADD V","PADD 5","")))))</f>
        <v>PADD 4</v>
      </c>
      <c r="G3160" s="6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6" t="s">
        <v>39</v>
      </c>
      <c r="I3160" s="6" t="s">
        <v>82</v>
      </c>
      <c r="J3160" s="6" t="s">
        <v>398</v>
      </c>
      <c r="K3160" s="10">
        <v>55.68</v>
      </c>
      <c r="L3160" s="10">
        <v>64</v>
      </c>
      <c r="M3160" s="6" t="s">
        <v>480</v>
      </c>
      <c r="N3160" s="6">
        <f>IF(OR($G3160="FCC",$G3160="Hydrocracker",$G3160="Reformer"),IF(COUNTIFS($D:$D,$D3160,$A:$A,$A3160,$B:$B,$B3160,$G:$G,"CDU",$J:$J,"PLANNED")&gt;0,"tied","standalone"),"")</f>
        <v/>
      </c>
    </row>
    <row r="3161" spans="1:14">
      <c r="A3161" s="6">
        <v>2024</v>
      </c>
      <c r="B3161" s="6">
        <v>3</v>
      </c>
      <c r="C3161" s="6" t="s">
        <v>62</v>
      </c>
      <c r="D3161" s="6" t="s">
        <v>43</v>
      </c>
      <c r="E3161" s="6" t="s">
        <v>455</v>
      </c>
      <c r="F3161" s="6" t="str">
        <f>IF($M3161="PADD I","PADD 1",IF($M3161="PADD II","PADD 2",IF($M3161="PADD III","PADD 3",IF($M3161="PADD IV","PADD 4",IF($M3161="PADD V","PADD 5","")))))</f>
        <v>PADD 3</v>
      </c>
      <c r="G3161" s="6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6" t="s">
        <v>426</v>
      </c>
      <c r="I3161" s="6" t="s">
        <v>106</v>
      </c>
      <c r="J3161" s="6" t="s">
        <v>398</v>
      </c>
      <c r="K3161" s="10">
        <v>53.68</v>
      </c>
      <c r="L3161" s="10">
        <v>88</v>
      </c>
      <c r="M3161" s="6" t="s">
        <v>421</v>
      </c>
      <c r="N3161" s="6" t="str">
        <f>IF(OR($G3161="FCC",$G3161="Hydrocracker",$G3161="Reformer"),IF(COUNTIFS($D:$D,$D3161,$A:$A,$A3161,$B:$B,$B3161,$G:$G,"CDU",$J:$J,"PLANNED")&gt;0,"tied","standalone"),"")</f>
        <v>standalone</v>
      </c>
    </row>
    <row r="3162" spans="1:14">
      <c r="A3162" s="6">
        <v>2024</v>
      </c>
      <c r="B3162" s="6">
        <v>3</v>
      </c>
      <c r="C3162" s="6" t="s">
        <v>62</v>
      </c>
      <c r="D3162" s="6" t="s">
        <v>515</v>
      </c>
      <c r="E3162" s="6" t="s">
        <v>419</v>
      </c>
      <c r="F3162" s="6" t="str">
        <f>IF($M3162="PADD I","PADD 1",IF($M3162="PADD II","PADD 2",IF($M3162="PADD III","PADD 3",IF($M3162="PADD IV","PADD 4",IF($M3162="PADD V","PADD 5","")))))</f>
        <v>PADD 5</v>
      </c>
      <c r="G3162" s="6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6" t="s">
        <v>44</v>
      </c>
      <c r="I3162" s="6" t="s">
        <v>1166</v>
      </c>
      <c r="J3162" s="6" t="s">
        <v>398</v>
      </c>
      <c r="K3162" s="10">
        <v>52</v>
      </c>
      <c r="L3162" s="10">
        <v>52</v>
      </c>
      <c r="M3162" s="6" t="s">
        <v>436</v>
      </c>
      <c r="N3162" s="6">
        <f>IF(OR($G3162="FCC",$G3162="Hydrocracker",$G3162="Reformer"),IF(COUNTIFS($D:$D,$D3162,$A:$A,$A3162,$B:$B,$B3162,$G:$G,"CDU",$J:$J,"PLANNED")&gt;0,"tied","standalone"),"")</f>
        <v/>
      </c>
    </row>
    <row r="3163" spans="1:14">
      <c r="A3163" s="6">
        <v>2024</v>
      </c>
      <c r="B3163" s="6">
        <v>3</v>
      </c>
      <c r="C3163" s="6" t="s">
        <v>62</v>
      </c>
      <c r="D3163" s="6" t="s">
        <v>824</v>
      </c>
      <c r="E3163" s="6" t="s">
        <v>825</v>
      </c>
      <c r="F3163" s="6" t="str">
        <f>IF($M3163="PADD I","PADD 1",IF($M3163="PADD II","PADD 2",IF($M3163="PADD III","PADD 3",IF($M3163="PADD IV","PADD 4",IF($M3163="PADD V","PADD 5","")))))</f>
        <v>PADD 1</v>
      </c>
      <c r="G3163" s="6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6" t="s">
        <v>39</v>
      </c>
      <c r="I3163" s="6" t="s">
        <v>82</v>
      </c>
      <c r="J3163" s="6" t="s">
        <v>398</v>
      </c>
      <c r="K3163" s="10">
        <v>49.35</v>
      </c>
      <c r="L3163" s="10">
        <v>52.5</v>
      </c>
      <c r="M3163" s="6" t="s">
        <v>463</v>
      </c>
      <c r="N3163" s="6">
        <f>IF(OR($G3163="FCC",$G3163="Hydrocracker",$G3163="Reformer"),IF(COUNTIFS($D:$D,$D3163,$A:$A,$A3163,$B:$B,$B3163,$G:$G,"CDU",$J:$J,"PLANNED")&gt;0,"tied","standalone"),"")</f>
        <v/>
      </c>
    </row>
    <row r="3164" spans="1:14">
      <c r="A3164" s="6">
        <v>2024</v>
      </c>
      <c r="B3164" s="6">
        <v>3</v>
      </c>
      <c r="C3164" s="6" t="s">
        <v>62</v>
      </c>
      <c r="D3164" s="6" t="s">
        <v>382</v>
      </c>
      <c r="E3164" s="6" t="s">
        <v>431</v>
      </c>
      <c r="F3164" s="6" t="str">
        <f>IF($M3164="PADD I","PADD 1",IF($M3164="PADD II","PADD 2",IF($M3164="PADD III","PADD 3",IF($M3164="PADD IV","PADD 4",IF($M3164="PADD V","PADD 5","")))))</f>
        <v>PADD 3</v>
      </c>
      <c r="G3164" s="6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6" t="s">
        <v>471</v>
      </c>
      <c r="I3164" s="6" t="s">
        <v>1092</v>
      </c>
      <c r="J3164" s="6" t="s">
        <v>398</v>
      </c>
      <c r="K3164" s="10">
        <v>48.75</v>
      </c>
      <c r="L3164" s="10">
        <v>75</v>
      </c>
      <c r="M3164" s="6" t="s">
        <v>421</v>
      </c>
      <c r="N3164" s="6" t="str">
        <f>IF(OR($G3164="FCC",$G3164="Hydrocracker",$G3164="Reformer"),IF(COUNTIFS($D:$D,$D3164,$A:$A,$A3164,$B:$B,$B3164,$G:$G,"CDU",$J:$J,"PLANNED")&gt;0,"tied","standalone"),"")</f>
        <v>standalone</v>
      </c>
    </row>
    <row r="3165" spans="1:14">
      <c r="A3165" s="6">
        <v>2024</v>
      </c>
      <c r="B3165" s="6">
        <v>3</v>
      </c>
      <c r="C3165" s="6" t="s">
        <v>62</v>
      </c>
      <c r="D3165" s="6" t="s">
        <v>689</v>
      </c>
      <c r="E3165" s="6" t="s">
        <v>502</v>
      </c>
      <c r="F3165" s="6" t="str">
        <f>IF($M3165="PADD I","PADD 1",IF($M3165="PADD II","PADD 2",IF($M3165="PADD III","PADD 3",IF($M3165="PADD IV","PADD 4",IF($M3165="PADD V","PADD 5","")))))</f>
        <v>PADD 5</v>
      </c>
      <c r="G3165" s="6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6" t="s">
        <v>426</v>
      </c>
      <c r="I3165" s="6" t="s">
        <v>106</v>
      </c>
      <c r="J3165" s="6" t="s">
        <v>398</v>
      </c>
      <c r="K3165" s="10">
        <v>47</v>
      </c>
      <c r="L3165" s="10">
        <v>50</v>
      </c>
      <c r="M3165" s="6" t="s">
        <v>436</v>
      </c>
      <c r="N3165" s="6" t="str">
        <f>IF(OR($G3165="FCC",$G3165="Hydrocracker",$G3165="Reformer"),IF(COUNTIFS($D:$D,$D3165,$A:$A,$A3165,$B:$B,$B3165,$G:$G,"CDU",$J:$J,"PLANNED")&gt;0,"tied","standalone"),"")</f>
        <v>standalone</v>
      </c>
    </row>
    <row r="3166" spans="1:14">
      <c r="A3166" s="6">
        <v>2024</v>
      </c>
      <c r="B3166" s="6">
        <v>3</v>
      </c>
      <c r="C3166" s="6" t="s">
        <v>62</v>
      </c>
      <c r="D3166" s="6" t="s">
        <v>540</v>
      </c>
      <c r="E3166" s="6" t="s">
        <v>541</v>
      </c>
      <c r="F3166" s="6" t="str">
        <f>IF($M3166="PADD I","PADD 1",IF($M3166="PADD II","PADD 2",IF($M3166="PADD III","PADD 3",IF($M3166="PADD IV","PADD 4",IF($M3166="PADD V","PADD 5","")))))</f>
        <v>PADD 3</v>
      </c>
      <c r="G3166" s="6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6" t="s">
        <v>39</v>
      </c>
      <c r="I3166" s="6" t="s">
        <v>542</v>
      </c>
      <c r="J3166" s="6" t="s">
        <v>398</v>
      </c>
      <c r="K3166" s="10">
        <v>46</v>
      </c>
      <c r="L3166" s="10">
        <v>200</v>
      </c>
      <c r="M3166" s="6" t="s">
        <v>421</v>
      </c>
      <c r="N3166" s="6">
        <f>IF(OR($G3166="FCC",$G3166="Hydrocracker",$G3166="Reformer"),IF(COUNTIFS($D:$D,$D3166,$A:$A,$A3166,$B:$B,$B3166,$G:$G,"CDU",$J:$J,"PLANNED")&gt;0,"tied","standalone"),"")</f>
        <v/>
      </c>
    </row>
    <row r="3167" spans="1:14">
      <c r="A3167" s="6">
        <v>2024</v>
      </c>
      <c r="B3167" s="6">
        <v>3</v>
      </c>
      <c r="C3167" s="6" t="s">
        <v>62</v>
      </c>
      <c r="D3167" s="6" t="s">
        <v>371</v>
      </c>
      <c r="E3167" s="6" t="s">
        <v>419</v>
      </c>
      <c r="F3167" s="6" t="str">
        <f>IF($M3167="PADD I","PADD 1",IF($M3167="PADD II","PADD 2",IF($M3167="PADD III","PADD 3",IF($M3167="PADD IV","PADD 4",IF($M3167="PADD V","PADD 5","")))))</f>
        <v>PADD 2</v>
      </c>
      <c r="G3167" s="6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6" t="s">
        <v>494</v>
      </c>
      <c r="I3167" s="6" t="s">
        <v>1188</v>
      </c>
      <c r="J3167" s="6" t="s">
        <v>394</v>
      </c>
      <c r="K3167" s="10">
        <v>45.414</v>
      </c>
      <c r="L3167" s="10">
        <v>52.2</v>
      </c>
      <c r="M3167" s="6" t="s">
        <v>425</v>
      </c>
      <c r="N3167" s="6" t="str">
        <f>IF(OR($G3167="FCC",$G3167="Hydrocracker",$G3167="Reformer"),IF(COUNTIFS($D:$D,$D3167,$A:$A,$A3167,$B:$B,$B3167,$G:$G,"CDU",$J:$J,"PLANNED")&gt;0,"tied","standalone"),"")</f>
        <v>tied</v>
      </c>
    </row>
    <row r="3168" spans="1:14">
      <c r="A3168" s="6">
        <v>2024</v>
      </c>
      <c r="B3168" s="6">
        <v>3</v>
      </c>
      <c r="C3168" s="6" t="s">
        <v>62</v>
      </c>
      <c r="D3168" s="6" t="s">
        <v>678</v>
      </c>
      <c r="E3168" s="6" t="s">
        <v>438</v>
      </c>
      <c r="F3168" s="6" t="str">
        <f>IF($M3168="PADD I","PADD 1",IF($M3168="PADD II","PADD 2",IF($M3168="PADD III","PADD 3",IF($M3168="PADD IV","PADD 4",IF($M3168="PADD V","PADD 5","")))))</f>
        <v>PADD 3</v>
      </c>
      <c r="G3168" s="6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6" t="s">
        <v>426</v>
      </c>
      <c r="I3168" s="6" t="s">
        <v>106</v>
      </c>
      <c r="J3168" s="6" t="s">
        <v>398</v>
      </c>
      <c r="K3168" s="10">
        <v>44.4</v>
      </c>
      <c r="L3168" s="10">
        <v>60</v>
      </c>
      <c r="M3168" s="6" t="s">
        <v>421</v>
      </c>
      <c r="N3168" s="6" t="str">
        <f>IF(OR($G3168="FCC",$G3168="Hydrocracker",$G3168="Reformer"),IF(COUNTIFS($D:$D,$D3168,$A:$A,$A3168,$B:$B,$B3168,$G:$G,"CDU",$J:$J,"PLANNED")&gt;0,"tied","standalone"),"")</f>
        <v>tied</v>
      </c>
    </row>
    <row r="3169" spans="1:14">
      <c r="A3169" s="6">
        <v>2024</v>
      </c>
      <c r="B3169" s="6">
        <v>3</v>
      </c>
      <c r="C3169" s="6" t="s">
        <v>62</v>
      </c>
      <c r="D3169" s="6" t="s">
        <v>592</v>
      </c>
      <c r="E3169" s="6" t="s">
        <v>593</v>
      </c>
      <c r="F3169" s="6" t="str">
        <f>IF($M3169="PADD I","PADD 1",IF($M3169="PADD II","PADD 2",IF($M3169="PADD III","PADD 3",IF($M3169="PADD IV","PADD 4",IF($M3169="PADD V","PADD 5","")))))</f>
        <v>PADD 2</v>
      </c>
      <c r="G3169" s="6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6" t="s">
        <v>426</v>
      </c>
      <c r="I3169" s="6" t="s">
        <v>1160</v>
      </c>
      <c r="J3169" s="6" t="s">
        <v>394</v>
      </c>
      <c r="K3169" s="10">
        <v>42.9</v>
      </c>
      <c r="L3169" s="10">
        <v>110</v>
      </c>
      <c r="M3169" s="6" t="s">
        <v>425</v>
      </c>
      <c r="N3169" s="6" t="str">
        <f>IF(OR($G3169="FCC",$G3169="Hydrocracker",$G3169="Reformer"),IF(COUNTIFS($D:$D,$D3169,$A:$A,$A3169,$B:$B,$B3169,$G:$G,"CDU",$J:$J,"PLANNED")&gt;0,"tied","standalone"),"")</f>
        <v>standalone</v>
      </c>
    </row>
    <row r="3170" spans="1:14">
      <c r="A3170" s="6">
        <v>2024</v>
      </c>
      <c r="B3170" s="6">
        <v>3</v>
      </c>
      <c r="C3170" s="6" t="s">
        <v>62</v>
      </c>
      <c r="D3170" s="6" t="s">
        <v>395</v>
      </c>
      <c r="E3170" s="6" t="s">
        <v>433</v>
      </c>
      <c r="F3170" s="6" t="str">
        <f>IF($M3170="PADD I","PADD 1",IF($M3170="PADD II","PADD 2",IF($M3170="PADD III","PADD 3",IF($M3170="PADD IV","PADD 4",IF($M3170="PADD V","PADD 5","")))))</f>
        <v>PADD 2</v>
      </c>
      <c r="G3170" s="6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6" t="s">
        <v>44</v>
      </c>
      <c r="I3170" s="6" t="s">
        <v>474</v>
      </c>
      <c r="J3170" s="6" t="s">
        <v>398</v>
      </c>
      <c r="K3170" s="10">
        <v>42</v>
      </c>
      <c r="L3170" s="10">
        <v>42</v>
      </c>
      <c r="M3170" s="6" t="s">
        <v>425</v>
      </c>
      <c r="N3170" s="6">
        <f>IF(OR($G3170="FCC",$G3170="Hydrocracker",$G3170="Reformer"),IF(COUNTIFS($D:$D,$D3170,$A:$A,$A3170,$B:$B,$B3170,$G:$G,"CDU",$J:$J,"PLANNED")&gt;0,"tied","standalone"),"")</f>
        <v/>
      </c>
    </row>
    <row r="3171" spans="1:14">
      <c r="A3171" s="6">
        <v>2024</v>
      </c>
      <c r="B3171" s="6">
        <v>3</v>
      </c>
      <c r="C3171" s="6" t="s">
        <v>62</v>
      </c>
      <c r="D3171" s="6" t="s">
        <v>496</v>
      </c>
      <c r="E3171" s="6" t="s">
        <v>441</v>
      </c>
      <c r="F3171" s="6" t="str">
        <f>IF($M3171="PADD I","PADD 1",IF($M3171="PADD II","PADD 2",IF($M3171="PADD III","PADD 3",IF($M3171="PADD IV","PADD 4",IF($M3171="PADD V","PADD 5","")))))</f>
        <v>PADD 3</v>
      </c>
      <c r="G3171" s="6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6" t="s">
        <v>39</v>
      </c>
      <c r="I3171" s="6" t="s">
        <v>82</v>
      </c>
      <c r="J3171" s="6" t="s">
        <v>394</v>
      </c>
      <c r="K3171" s="10">
        <v>42</v>
      </c>
      <c r="L3171" s="10">
        <v>100</v>
      </c>
      <c r="M3171" s="6" t="s">
        <v>421</v>
      </c>
      <c r="N3171" s="6">
        <f>IF(OR($G3171="FCC",$G3171="Hydrocracker",$G3171="Reformer"),IF(COUNTIFS($D:$D,$D3171,$A:$A,$A3171,$B:$B,$B3171,$G:$G,"CDU",$J:$J,"PLANNED")&gt;0,"tied","standalone"),"")</f>
        <v/>
      </c>
    </row>
    <row r="3172" spans="1:14">
      <c r="A3172" s="6">
        <v>2024</v>
      </c>
      <c r="B3172" s="6">
        <v>3</v>
      </c>
      <c r="C3172" s="6" t="s">
        <v>62</v>
      </c>
      <c r="D3172" s="6" t="s">
        <v>465</v>
      </c>
      <c r="E3172" s="6" t="s">
        <v>466</v>
      </c>
      <c r="F3172" s="6" t="str">
        <f>IF($M3172="PADD I","PADD 1",IF($M3172="PADD II","PADD 2",IF($M3172="PADD III","PADD 3",IF($M3172="PADD IV","PADD 4",IF($M3172="PADD V","PADD 5","")))))</f>
        <v>PADD 3</v>
      </c>
      <c r="G3172" s="6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6" t="s">
        <v>426</v>
      </c>
      <c r="I3172" s="6" t="s">
        <v>1045</v>
      </c>
      <c r="J3172" s="6" t="s">
        <v>398</v>
      </c>
      <c r="K3172" s="10">
        <v>42</v>
      </c>
      <c r="L3172" s="10">
        <v>50</v>
      </c>
      <c r="M3172" s="6" t="s">
        <v>421</v>
      </c>
      <c r="N3172" s="6" t="str">
        <f>IF(OR($G3172="FCC",$G3172="Hydrocracker",$G3172="Reformer"),IF(COUNTIFS($D:$D,$D3172,$A:$A,$A3172,$B:$B,$B3172,$G:$G,"CDU",$J:$J,"PLANNED")&gt;0,"tied","standalone"),"")</f>
        <v>tied</v>
      </c>
    </row>
    <row r="3173" spans="1:14">
      <c r="A3173" s="6">
        <v>2024</v>
      </c>
      <c r="B3173" s="6">
        <v>3</v>
      </c>
      <c r="C3173" s="6" t="s">
        <v>62</v>
      </c>
      <c r="D3173" s="6" t="s">
        <v>592</v>
      </c>
      <c r="E3173" s="6" t="s">
        <v>593</v>
      </c>
      <c r="F3173" s="6" t="str">
        <f>IF($M3173="PADD I","PADD 1",IF($M3173="PADD II","PADD 2",IF($M3173="PADD III","PADD 3",IF($M3173="PADD IV","PADD 4",IF($M3173="PADD V","PADD 5","")))))</f>
        <v>PADD 2</v>
      </c>
      <c r="G3173" s="6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6" t="s">
        <v>44</v>
      </c>
      <c r="I3173" s="6" t="s">
        <v>601</v>
      </c>
      <c r="J3173" s="6" t="s">
        <v>394</v>
      </c>
      <c r="K3173" s="10">
        <v>42</v>
      </c>
      <c r="L3173" s="10">
        <v>100</v>
      </c>
      <c r="M3173" s="6" t="s">
        <v>425</v>
      </c>
      <c r="N3173" s="6">
        <f>IF(OR($G3173="FCC",$G3173="Hydrocracker",$G3173="Reformer"),IF(COUNTIFS($D:$D,$D3173,$A:$A,$A3173,$B:$B,$B3173,$G:$G,"CDU",$J:$J,"PLANNED")&gt;0,"tied","standalone"),"")</f>
        <v/>
      </c>
    </row>
    <row r="3174" spans="1:14">
      <c r="A3174" s="6">
        <v>2024</v>
      </c>
      <c r="B3174" s="6">
        <v>3</v>
      </c>
      <c r="C3174" s="6" t="s">
        <v>62</v>
      </c>
      <c r="D3174" s="6" t="s">
        <v>465</v>
      </c>
      <c r="E3174" s="6" t="s">
        <v>466</v>
      </c>
      <c r="F3174" s="6" t="str">
        <f>IF($M3174="PADD I","PADD 1",IF($M3174="PADD II","PADD 2",IF($M3174="PADD III","PADD 3",IF($M3174="PADD IV","PADD 4",IF($M3174="PADD V","PADD 5","")))))</f>
        <v>PADD 3</v>
      </c>
      <c r="G3174" s="6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6" t="s">
        <v>426</v>
      </c>
      <c r="I3174" s="6" t="s">
        <v>1172</v>
      </c>
      <c r="J3174" s="6" t="s">
        <v>394</v>
      </c>
      <c r="K3174" s="10">
        <v>42</v>
      </c>
      <c r="L3174" s="10">
        <v>42</v>
      </c>
      <c r="M3174" s="6" t="s">
        <v>421</v>
      </c>
      <c r="N3174" s="6" t="str">
        <f>IF(OR($G3174="FCC",$G3174="Hydrocracker",$G3174="Reformer"),IF(COUNTIFS($D:$D,$D3174,$A:$A,$A3174,$B:$B,$B3174,$G:$G,"CDU",$J:$J,"PLANNED")&gt;0,"tied","standalone"),"")</f>
        <v>tied</v>
      </c>
    </row>
    <row r="3175" spans="1:14">
      <c r="A3175" s="6">
        <v>2024</v>
      </c>
      <c r="B3175" s="6">
        <v>3</v>
      </c>
      <c r="C3175" s="6" t="s">
        <v>62</v>
      </c>
      <c r="D3175" s="6" t="s">
        <v>576</v>
      </c>
      <c r="E3175" s="6" t="s">
        <v>455</v>
      </c>
      <c r="F3175" s="6" t="str">
        <f>IF($M3175="PADD I","PADD 1",IF($M3175="PADD II","PADD 2",IF($M3175="PADD III","PADD 3",IF($M3175="PADD IV","PADD 4",IF($M3175="PADD V","PADD 5","")))))</f>
        <v>PADD 3</v>
      </c>
      <c r="G3175" s="6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6" t="s">
        <v>39</v>
      </c>
      <c r="I3175" s="6" t="s">
        <v>399</v>
      </c>
      <c r="J3175" s="6" t="s">
        <v>398</v>
      </c>
      <c r="K3175" s="10">
        <v>39.9</v>
      </c>
      <c r="L3175" s="10">
        <v>210</v>
      </c>
      <c r="M3175" s="6" t="s">
        <v>421</v>
      </c>
      <c r="N3175" s="6">
        <f>IF(OR($G3175="FCC",$G3175="Hydrocracker",$G3175="Reformer"),IF(COUNTIFS($D:$D,$D3175,$A:$A,$A3175,$B:$B,$B3175,$G:$G,"CDU",$J:$J,"PLANNED")&gt;0,"tied","standalone"),"")</f>
        <v/>
      </c>
    </row>
    <row r="3176" spans="1:14">
      <c r="A3176" s="6">
        <v>2024</v>
      </c>
      <c r="B3176" s="6">
        <v>3</v>
      </c>
      <c r="C3176" s="6" t="s">
        <v>62</v>
      </c>
      <c r="D3176" s="6" t="s">
        <v>592</v>
      </c>
      <c r="E3176" s="6" t="s">
        <v>593</v>
      </c>
      <c r="F3176" s="6" t="str">
        <f>IF($M3176="PADD I","PADD 1",IF($M3176="PADD II","PADD 2",IF($M3176="PADD III","PADD 3",IF($M3176="PADD IV","PADD 4",IF($M3176="PADD V","PADD 5","")))))</f>
        <v>PADD 2</v>
      </c>
      <c r="G3176" s="6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6" t="s">
        <v>485</v>
      </c>
      <c r="I3176" s="6" t="s">
        <v>491</v>
      </c>
      <c r="J3176" s="6" t="s">
        <v>394</v>
      </c>
      <c r="K3176" s="10">
        <v>39.78</v>
      </c>
      <c r="L3176" s="10">
        <v>102</v>
      </c>
      <c r="M3176" s="6" t="s">
        <v>425</v>
      </c>
      <c r="N3176" s="6">
        <f>IF(OR($G3176="FCC",$G3176="Hydrocracker",$G3176="Reformer"),IF(COUNTIFS($D:$D,$D3176,$A:$A,$A3176,$B:$B,$B3176,$G:$G,"CDU",$J:$J,"PLANNED")&gt;0,"tied","standalone"),"")</f>
        <v/>
      </c>
    </row>
    <row r="3177" spans="1:14">
      <c r="A3177" s="6">
        <v>2024</v>
      </c>
      <c r="B3177" s="6">
        <v>3</v>
      </c>
      <c r="C3177" s="6" t="s">
        <v>62</v>
      </c>
      <c r="D3177" s="6" t="s">
        <v>382</v>
      </c>
      <c r="E3177" s="6" t="s">
        <v>431</v>
      </c>
      <c r="F3177" s="6" t="str">
        <f>IF($M3177="PADD I","PADD 1",IF($M3177="PADD II","PADD 2",IF($M3177="PADD III","PADD 3",IF($M3177="PADD IV","PADD 4",IF($M3177="PADD V","PADD 5","")))))</f>
        <v>PADD 3</v>
      </c>
      <c r="G3177" s="6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6" t="s">
        <v>494</v>
      </c>
      <c r="I3177" s="6" t="s">
        <v>14</v>
      </c>
      <c r="J3177" s="6" t="s">
        <v>394</v>
      </c>
      <c r="K3177" s="10">
        <v>39.65</v>
      </c>
      <c r="L3177" s="10">
        <v>65</v>
      </c>
      <c r="M3177" s="6" t="s">
        <v>421</v>
      </c>
      <c r="N3177" s="6" t="str">
        <f>IF(OR($G3177="FCC",$G3177="Hydrocracker",$G3177="Reformer"),IF(COUNTIFS($D:$D,$D3177,$A:$A,$A3177,$B:$B,$B3177,$G:$G,"CDU",$J:$J,"PLANNED")&gt;0,"tied","standalone"),"")</f>
        <v>standalone</v>
      </c>
    </row>
    <row r="3178" spans="1:14">
      <c r="A3178" s="6">
        <v>2024</v>
      </c>
      <c r="B3178" s="6">
        <v>3</v>
      </c>
      <c r="C3178" s="6" t="s">
        <v>62</v>
      </c>
      <c r="D3178" s="6" t="s">
        <v>592</v>
      </c>
      <c r="E3178" s="6" t="s">
        <v>593</v>
      </c>
      <c r="F3178" s="6" t="str">
        <f>IF($M3178="PADD I","PADD 1",IF($M3178="PADD II","PADD 2",IF($M3178="PADD III","PADD 3",IF($M3178="PADD IV","PADD 4",IF($M3178="PADD V","PADD 5","")))))</f>
        <v>PADD 2</v>
      </c>
      <c r="G3178" s="6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6" t="s">
        <v>44</v>
      </c>
      <c r="I3178" s="6" t="s">
        <v>601</v>
      </c>
      <c r="J3178" s="6" t="s">
        <v>394</v>
      </c>
      <c r="K3178" s="10">
        <v>39</v>
      </c>
      <c r="L3178" s="10">
        <v>100</v>
      </c>
      <c r="M3178" s="6" t="s">
        <v>425</v>
      </c>
      <c r="N3178" s="6">
        <f>IF(OR($G3178="FCC",$G3178="Hydrocracker",$G3178="Reformer"),IF(COUNTIFS($D:$D,$D3178,$A:$A,$A3178,$B:$B,$B3178,$G:$G,"CDU",$J:$J,"PLANNED")&gt;0,"tied","standalone"),"")</f>
        <v/>
      </c>
    </row>
    <row r="3179" spans="1:14">
      <c r="A3179" s="6">
        <v>2024</v>
      </c>
      <c r="B3179" s="6">
        <v>3</v>
      </c>
      <c r="C3179" s="6" t="s">
        <v>62</v>
      </c>
      <c r="D3179" s="6" t="s">
        <v>901</v>
      </c>
      <c r="E3179" s="6" t="s">
        <v>902</v>
      </c>
      <c r="F3179" s="6" t="str">
        <f>IF($M3179="PADD I","PADD 1",IF($M3179="PADD II","PADD 2",IF($M3179="PADD III","PADD 3",IF($M3179="PADD IV","PADD 4",IF($M3179="PADD V","PADD 5","")))))</f>
        <v>PADD 3</v>
      </c>
      <c r="G3179" s="6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6" t="s">
        <v>39</v>
      </c>
      <c r="I3179" s="6" t="s">
        <v>904</v>
      </c>
      <c r="J3179" s="6" t="s">
        <v>394</v>
      </c>
      <c r="K3179" s="10">
        <v>37.96</v>
      </c>
      <c r="L3179" s="10">
        <v>73</v>
      </c>
      <c r="M3179" s="6" t="s">
        <v>421</v>
      </c>
      <c r="N3179" s="6">
        <f>IF(OR($G3179="FCC",$G3179="Hydrocracker",$G3179="Reformer"),IF(COUNTIFS($D:$D,$D3179,$A:$A,$A3179,$B:$B,$B3179,$G:$G,"CDU",$J:$J,"PLANNED")&gt;0,"tied","standalone"),"")</f>
        <v/>
      </c>
    </row>
    <row r="3180" spans="1:14">
      <c r="A3180" s="6">
        <v>2024</v>
      </c>
      <c r="B3180" s="6">
        <v>3</v>
      </c>
      <c r="C3180" s="6" t="s">
        <v>62</v>
      </c>
      <c r="D3180" s="6" t="s">
        <v>678</v>
      </c>
      <c r="E3180" s="6" t="s">
        <v>438</v>
      </c>
      <c r="F3180" s="6" t="str">
        <f>IF($M3180="PADD I","PADD 1",IF($M3180="PADD II","PADD 2",IF($M3180="PADD III","PADD 3",IF($M3180="PADD IV","PADD 4",IF($M3180="PADD V","PADD 5","")))))</f>
        <v>PADD 3</v>
      </c>
      <c r="G3180" s="6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6" t="s">
        <v>39</v>
      </c>
      <c r="I3180" s="6" t="s">
        <v>1098</v>
      </c>
      <c r="J3180" s="6" t="s">
        <v>398</v>
      </c>
      <c r="K3180" s="10">
        <v>37</v>
      </c>
      <c r="L3180" s="10">
        <v>50</v>
      </c>
      <c r="M3180" s="6" t="s">
        <v>421</v>
      </c>
      <c r="N3180" s="6">
        <f>IF(OR($G3180="FCC",$G3180="Hydrocracker",$G3180="Reformer"),IF(COUNTIFS($D:$D,$D3180,$A:$A,$A3180,$B:$B,$B3180,$G:$G,"CDU",$J:$J,"PLANNED")&gt;0,"tied","standalone"),"")</f>
        <v/>
      </c>
    </row>
    <row r="3181" spans="1:14">
      <c r="A3181" s="6">
        <v>2024</v>
      </c>
      <c r="B3181" s="6">
        <v>3</v>
      </c>
      <c r="C3181" s="6" t="s">
        <v>62</v>
      </c>
      <c r="D3181" s="6" t="s">
        <v>382</v>
      </c>
      <c r="E3181" s="6" t="s">
        <v>431</v>
      </c>
      <c r="F3181" s="6" t="str">
        <f>IF($M3181="PADD I","PADD 1",IF($M3181="PADD II","PADD 2",IF($M3181="PADD III","PADD 3",IF($M3181="PADD IV","PADD 4",IF($M3181="PADD V","PADD 5","")))))</f>
        <v>PADD 3</v>
      </c>
      <c r="G3181" s="6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6" t="s">
        <v>471</v>
      </c>
      <c r="I3181" s="6" t="s">
        <v>1168</v>
      </c>
      <c r="J3181" s="6" t="s">
        <v>394</v>
      </c>
      <c r="K3181" s="10">
        <v>36</v>
      </c>
      <c r="L3181" s="10">
        <v>75</v>
      </c>
      <c r="M3181" s="6" t="s">
        <v>421</v>
      </c>
      <c r="N3181" s="6" t="str">
        <f>IF(OR($G3181="FCC",$G3181="Hydrocracker",$G3181="Reformer"),IF(COUNTIFS($D:$D,$D3181,$A:$A,$A3181,$B:$B,$B3181,$G:$G,"CDU",$J:$J,"PLANNED")&gt;0,"tied","standalone"),"")</f>
        <v>standalone</v>
      </c>
    </row>
    <row r="3182" spans="1:14">
      <c r="A3182" s="6">
        <v>2024</v>
      </c>
      <c r="B3182" s="6">
        <v>3</v>
      </c>
      <c r="C3182" s="6" t="s">
        <v>62</v>
      </c>
      <c r="D3182" s="6" t="s">
        <v>49</v>
      </c>
      <c r="E3182" s="6" t="s">
        <v>438</v>
      </c>
      <c r="F3182" s="6" t="str">
        <f>IF($M3182="PADD I","PADD 1",IF($M3182="PADD II","PADD 2",IF($M3182="PADD III","PADD 3",IF($M3182="PADD IV","PADD 4",IF($M3182="PADD V","PADD 5","")))))</f>
        <v>PADD 2</v>
      </c>
      <c r="G3182" s="6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6" t="s">
        <v>428</v>
      </c>
      <c r="I3182" s="6" t="s">
        <v>481</v>
      </c>
      <c r="J3182" s="6" t="s">
        <v>398</v>
      </c>
      <c r="K3182" s="10">
        <v>35.75</v>
      </c>
      <c r="L3182" s="10">
        <v>65</v>
      </c>
      <c r="M3182" s="6" t="s">
        <v>425</v>
      </c>
      <c r="N3182" s="6">
        <f>IF(OR($G3182="FCC",$G3182="Hydrocracker",$G3182="Reformer"),IF(COUNTIFS($D:$D,$D3182,$A:$A,$A3182,$B:$B,$B3182,$G:$G,"CDU",$J:$J,"PLANNED")&gt;0,"tied","standalone"),"")</f>
        <v/>
      </c>
    </row>
    <row r="3183" spans="1:14">
      <c r="A3183" s="6">
        <v>2024</v>
      </c>
      <c r="B3183" s="6">
        <v>3</v>
      </c>
      <c r="C3183" s="6" t="s">
        <v>62</v>
      </c>
      <c r="D3183" s="6" t="s">
        <v>507</v>
      </c>
      <c r="E3183" s="6" t="s">
        <v>438</v>
      </c>
      <c r="F3183" s="6" t="str">
        <f>IF($M3183="PADD I","PADD 1",IF($M3183="PADD II","PADD 2",IF($M3183="PADD III","PADD 3",IF($M3183="PADD IV","PADD 4",IF($M3183="PADD V","PADD 5","")))))</f>
        <v>PADD 5</v>
      </c>
      <c r="G3183" s="6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6" t="s">
        <v>426</v>
      </c>
      <c r="I3183" s="6" t="s">
        <v>106</v>
      </c>
      <c r="J3183" s="6" t="s">
        <v>394</v>
      </c>
      <c r="K3183" s="10">
        <v>35.75</v>
      </c>
      <c r="L3183" s="10">
        <v>55</v>
      </c>
      <c r="M3183" s="6" t="s">
        <v>436</v>
      </c>
      <c r="N3183" s="6" t="str">
        <f>IF(OR($G3183="FCC",$G3183="Hydrocracker",$G3183="Reformer"),IF(COUNTIFS($D:$D,$D3183,$A:$A,$A3183,$B:$B,$B3183,$G:$G,"CDU",$J:$J,"PLANNED")&gt;0,"tied","standalone"),"")</f>
        <v>standalone</v>
      </c>
    </row>
    <row r="3184" spans="1:14">
      <c r="A3184" s="6">
        <v>2024</v>
      </c>
      <c r="B3184" s="6">
        <v>3</v>
      </c>
      <c r="C3184" s="6" t="s">
        <v>62</v>
      </c>
      <c r="D3184" s="6" t="s">
        <v>496</v>
      </c>
      <c r="E3184" s="6" t="s">
        <v>441</v>
      </c>
      <c r="F3184" s="6" t="str">
        <f>IF($M3184="PADD I","PADD 1",IF($M3184="PADD II","PADD 2",IF($M3184="PADD III","PADD 3",IF($M3184="PADD IV","PADD 4",IF($M3184="PADD V","PADD 5","")))))</f>
        <v>PADD 3</v>
      </c>
      <c r="G3184" s="6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6" t="s">
        <v>44</v>
      </c>
      <c r="I3184" s="6" t="s">
        <v>497</v>
      </c>
      <c r="J3184" s="6" t="s">
        <v>398</v>
      </c>
      <c r="K3184" s="10">
        <v>35</v>
      </c>
      <c r="L3184" s="10">
        <v>35</v>
      </c>
      <c r="M3184" s="6" t="s">
        <v>421</v>
      </c>
      <c r="N3184" s="6">
        <f>IF(OR($G3184="FCC",$G3184="Hydrocracker",$G3184="Reformer"),IF(COUNTIFS($D:$D,$D3184,$A:$A,$A3184,$B:$B,$B3184,$G:$G,"CDU",$J:$J,"PLANNED")&gt;0,"tied","standalone"),"")</f>
        <v/>
      </c>
    </row>
    <row r="3185" spans="1:14">
      <c r="A3185" s="6">
        <v>2024</v>
      </c>
      <c r="B3185" s="6">
        <v>3</v>
      </c>
      <c r="C3185" s="6" t="s">
        <v>62</v>
      </c>
      <c r="D3185" s="6" t="s">
        <v>498</v>
      </c>
      <c r="E3185" s="6" t="s">
        <v>441</v>
      </c>
      <c r="F3185" s="6" t="str">
        <f>IF($M3185="PADD I","PADD 1",IF($M3185="PADD II","PADD 2",IF($M3185="PADD III","PADD 3",IF($M3185="PADD IV","PADD 4",IF($M3185="PADD V","PADD 5","")))))</f>
        <v>PADD 3</v>
      </c>
      <c r="G3185" s="6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6" t="s">
        <v>44</v>
      </c>
      <c r="I3185" s="6" t="s">
        <v>499</v>
      </c>
      <c r="J3185" s="6" t="s">
        <v>394</v>
      </c>
      <c r="K3185" s="10">
        <v>35</v>
      </c>
      <c r="L3185" s="10">
        <v>35</v>
      </c>
      <c r="M3185" s="6" t="s">
        <v>421</v>
      </c>
      <c r="N3185" s="6">
        <f>IF(OR($G3185="FCC",$G3185="Hydrocracker",$G3185="Reformer"),IF(COUNTIFS($D:$D,$D3185,$A:$A,$A3185,$B:$B,$B3185,$G:$G,"CDU",$J:$J,"PLANNED")&gt;0,"tied","standalone"),"")</f>
        <v/>
      </c>
    </row>
    <row r="3186" spans="1:14">
      <c r="A3186" s="6">
        <v>2024</v>
      </c>
      <c r="B3186" s="6">
        <v>3</v>
      </c>
      <c r="C3186" s="6" t="s">
        <v>62</v>
      </c>
      <c r="D3186" s="6" t="s">
        <v>1189</v>
      </c>
      <c r="E3186" s="6" t="s">
        <v>502</v>
      </c>
      <c r="F3186" s="6" t="str">
        <f>IF($M3186="PADD I","PADD 1",IF($M3186="PADD II","PADD 2",IF($M3186="PADD III","PADD 3",IF($M3186="PADD IV","PADD 4",IF($M3186="PADD V","PADD 5","")))))</f>
        <v>PADD 5</v>
      </c>
      <c r="G3186" s="6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6" t="s">
        <v>44</v>
      </c>
      <c r="I3186" s="6" t="s">
        <v>514</v>
      </c>
      <c r="J3186" s="6" t="s">
        <v>394</v>
      </c>
      <c r="K3186" s="10">
        <v>34.92</v>
      </c>
      <c r="L3186" s="10">
        <v>36</v>
      </c>
      <c r="M3186" s="6" t="s">
        <v>436</v>
      </c>
      <c r="N3186" s="6">
        <f>IF(OR($G3186="FCC",$G3186="Hydrocracker",$G3186="Reformer"),IF(COUNTIFS($D:$D,$D3186,$A:$A,$A3186,$B:$B,$B3186,$G:$G,"CDU",$J:$J,"PLANNED")&gt;0,"tied","standalone"),"")</f>
        <v/>
      </c>
    </row>
    <row r="3187" spans="1:14">
      <c r="A3187" s="6">
        <v>2024</v>
      </c>
      <c r="B3187" s="6">
        <v>3</v>
      </c>
      <c r="C3187" s="6" t="s">
        <v>62</v>
      </c>
      <c r="D3187" s="6" t="s">
        <v>487</v>
      </c>
      <c r="E3187" s="6" t="s">
        <v>488</v>
      </c>
      <c r="F3187" s="6" t="str">
        <f>IF($M3187="PADD I","PADD 1",IF($M3187="PADD II","PADD 2",IF($M3187="PADD III","PADD 3",IF($M3187="PADD IV","PADD 4",IF($M3187="PADD V","PADD 5","")))))</f>
        <v>PADD 4</v>
      </c>
      <c r="G3187" s="6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6" t="s">
        <v>39</v>
      </c>
      <c r="I3187" s="6" t="s">
        <v>489</v>
      </c>
      <c r="J3187" s="6" t="s">
        <v>398</v>
      </c>
      <c r="K3187" s="10">
        <v>34.2</v>
      </c>
      <c r="L3187" s="10">
        <v>38</v>
      </c>
      <c r="M3187" s="6" t="s">
        <v>480</v>
      </c>
      <c r="N3187" s="6">
        <f>IF(OR($G3187="FCC",$G3187="Hydrocracker",$G3187="Reformer"),IF(COUNTIFS($D:$D,$D3187,$A:$A,$A3187,$B:$B,$B3187,$G:$G,"CDU",$J:$J,"PLANNED")&gt;0,"tied","standalone"),"")</f>
        <v/>
      </c>
    </row>
    <row r="3188" spans="1:14">
      <c r="A3188" s="6">
        <v>2024</v>
      </c>
      <c r="B3188" s="6">
        <v>3</v>
      </c>
      <c r="C3188" s="6" t="s">
        <v>62</v>
      </c>
      <c r="D3188" s="6" t="s">
        <v>371</v>
      </c>
      <c r="E3188" s="6" t="s">
        <v>419</v>
      </c>
      <c r="F3188" s="6" t="str">
        <f>IF($M3188="PADD I","PADD 1",IF($M3188="PADD II","PADD 2",IF($M3188="PADD III","PADD 3",IF($M3188="PADD IV","PADD 4",IF($M3188="PADD V","PADD 5","")))))</f>
        <v>PADD 2</v>
      </c>
      <c r="G3188" s="6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6" t="s">
        <v>494</v>
      </c>
      <c r="I3188" s="6" t="s">
        <v>1188</v>
      </c>
      <c r="J3188" s="6" t="s">
        <v>394</v>
      </c>
      <c r="K3188" s="10">
        <v>34.2</v>
      </c>
      <c r="L3188" s="10">
        <v>38</v>
      </c>
      <c r="M3188" s="6" t="s">
        <v>425</v>
      </c>
      <c r="N3188" s="6" t="str">
        <f>IF(OR($G3188="FCC",$G3188="Hydrocracker",$G3188="Reformer"),IF(COUNTIFS($D:$D,$D3188,$A:$A,$A3188,$B:$B,$B3188,$G:$G,"CDU",$J:$J,"PLANNED")&gt;0,"tied","standalone"),"")</f>
        <v>tied</v>
      </c>
    </row>
    <row r="3189" spans="1:14">
      <c r="A3189" s="6">
        <v>2024</v>
      </c>
      <c r="B3189" s="6">
        <v>3</v>
      </c>
      <c r="C3189" s="6" t="s">
        <v>62</v>
      </c>
      <c r="D3189" s="6" t="s">
        <v>465</v>
      </c>
      <c r="E3189" s="6" t="s">
        <v>466</v>
      </c>
      <c r="F3189" s="6" t="str">
        <f>IF($M3189="PADD I","PADD 1",IF($M3189="PADD II","PADD 2",IF($M3189="PADD III","PADD 3",IF($M3189="PADD IV","PADD 4",IF($M3189="PADD V","PADD 5","")))))</f>
        <v>PADD 3</v>
      </c>
      <c r="G3189" s="6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6" t="s">
        <v>485</v>
      </c>
      <c r="I3189" s="6" t="s">
        <v>503</v>
      </c>
      <c r="J3189" s="6" t="s">
        <v>394</v>
      </c>
      <c r="K3189" s="10">
        <v>34</v>
      </c>
      <c r="L3189" s="10">
        <v>34</v>
      </c>
      <c r="M3189" s="6" t="s">
        <v>421</v>
      </c>
      <c r="N3189" s="6">
        <f>IF(OR($G3189="FCC",$G3189="Hydrocracker",$G3189="Reformer"),IF(COUNTIFS($D:$D,$D3189,$A:$A,$A3189,$B:$B,$B3189,$G:$G,"CDU",$J:$J,"PLANNED")&gt;0,"tied","standalone"),"")</f>
        <v/>
      </c>
    </row>
    <row r="3190" spans="1:14">
      <c r="A3190" s="6">
        <v>2024</v>
      </c>
      <c r="B3190" s="6">
        <v>3</v>
      </c>
      <c r="C3190" s="6" t="s">
        <v>62</v>
      </c>
      <c r="D3190" s="6" t="s">
        <v>465</v>
      </c>
      <c r="E3190" s="6" t="s">
        <v>466</v>
      </c>
      <c r="F3190" s="6" t="str">
        <f>IF($M3190="PADD I","PADD 1",IF($M3190="PADD II","PADD 2",IF($M3190="PADD III","PADD 3",IF($M3190="PADD IV","PADD 4",IF($M3190="PADD V","PADD 5","")))))</f>
        <v>PADD 3</v>
      </c>
      <c r="G3190" s="6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6" t="s">
        <v>485</v>
      </c>
      <c r="I3190" s="6" t="s">
        <v>503</v>
      </c>
      <c r="J3190" s="6" t="s">
        <v>394</v>
      </c>
      <c r="K3190" s="10">
        <v>34</v>
      </c>
      <c r="L3190" s="10">
        <v>34</v>
      </c>
      <c r="M3190" s="6" t="s">
        <v>421</v>
      </c>
      <c r="N3190" s="6">
        <f>IF(OR($G3190="FCC",$G3190="Hydrocracker",$G3190="Reformer"),IF(COUNTIFS($D:$D,$D3190,$A:$A,$A3190,$B:$B,$B3190,$G:$G,"CDU",$J:$J,"PLANNED")&gt;0,"tied","standalone"),"")</f>
        <v/>
      </c>
    </row>
    <row r="3191" spans="1:14">
      <c r="A3191" s="6">
        <v>2024</v>
      </c>
      <c r="B3191" s="6">
        <v>3</v>
      </c>
      <c r="C3191" s="6" t="s">
        <v>62</v>
      </c>
      <c r="D3191" s="6" t="s">
        <v>592</v>
      </c>
      <c r="E3191" s="6" t="s">
        <v>593</v>
      </c>
      <c r="F3191" s="6" t="str">
        <f>IF($M3191="PADD I","PADD 1",IF($M3191="PADD II","PADD 2",IF($M3191="PADD III","PADD 3",IF($M3191="PADD IV","PADD 4",IF($M3191="PADD V","PADD 5","")))))</f>
        <v>PADD 2</v>
      </c>
      <c r="G3191" s="6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6" t="s">
        <v>44</v>
      </c>
      <c r="I3191" s="6" t="s">
        <v>1161</v>
      </c>
      <c r="J3191" s="6" t="s">
        <v>394</v>
      </c>
      <c r="K3191" s="10">
        <v>33.15</v>
      </c>
      <c r="L3191" s="10">
        <v>85</v>
      </c>
      <c r="M3191" s="6" t="s">
        <v>425</v>
      </c>
      <c r="N3191" s="6">
        <f>IF(OR($G3191="FCC",$G3191="Hydrocracker",$G3191="Reformer"),IF(COUNTIFS($D:$D,$D3191,$A:$A,$A3191,$B:$B,$B3191,$G:$G,"CDU",$J:$J,"PLANNED")&gt;0,"tied","standalone"),"")</f>
        <v/>
      </c>
    </row>
    <row r="3192" spans="1:14">
      <c r="A3192" s="6">
        <v>2024</v>
      </c>
      <c r="B3192" s="6">
        <v>3</v>
      </c>
      <c r="C3192" s="6" t="s">
        <v>62</v>
      </c>
      <c r="D3192" s="6" t="s">
        <v>576</v>
      </c>
      <c r="E3192" s="6" t="s">
        <v>455</v>
      </c>
      <c r="F3192" s="6" t="str">
        <f>IF($M3192="PADD I","PADD 1",IF($M3192="PADD II","PADD 2",IF($M3192="PADD III","PADD 3",IF($M3192="PADD IV","PADD 4",IF($M3192="PADD V","PADD 5","")))))</f>
        <v>PADD 3</v>
      </c>
      <c r="G3192" s="6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6" t="s">
        <v>428</v>
      </c>
      <c r="I3192" s="6" t="s">
        <v>699</v>
      </c>
      <c r="J3192" s="6" t="s">
        <v>398</v>
      </c>
      <c r="K3192" s="10">
        <v>32.68</v>
      </c>
      <c r="L3192" s="10">
        <v>172</v>
      </c>
      <c r="M3192" s="6" t="s">
        <v>421</v>
      </c>
      <c r="N3192" s="6">
        <f>IF(OR($G3192="FCC",$G3192="Hydrocracker",$G3192="Reformer"),IF(COUNTIFS($D:$D,$D3192,$A:$A,$A3192,$B:$B,$B3192,$G:$G,"CDU",$J:$J,"PLANNED")&gt;0,"tied","standalone"),"")</f>
        <v/>
      </c>
    </row>
    <row r="3193" spans="1:14">
      <c r="A3193" s="6">
        <v>2024</v>
      </c>
      <c r="B3193" s="6">
        <v>3</v>
      </c>
      <c r="C3193" s="6" t="s">
        <v>62</v>
      </c>
      <c r="D3193" s="6" t="s">
        <v>1169</v>
      </c>
      <c r="E3193" s="6" t="s">
        <v>1170</v>
      </c>
      <c r="F3193" s="6" t="str">
        <f>IF($M3193="PADD I","PADD 1",IF($M3193="PADD II","PADD 2",IF($M3193="PADD III","PADD 3",IF($M3193="PADD IV","PADD 4",IF($M3193="PADD V","PADD 5","")))))</f>
        <v>PADD 3</v>
      </c>
      <c r="G3193" s="6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6" t="s">
        <v>39</v>
      </c>
      <c r="I3193" s="6" t="s">
        <v>1171</v>
      </c>
      <c r="J3193" s="6" t="s">
        <v>398</v>
      </c>
      <c r="K3193" s="10">
        <v>32.5</v>
      </c>
      <c r="L3193" s="10">
        <v>50</v>
      </c>
      <c r="M3193" s="6" t="s">
        <v>421</v>
      </c>
      <c r="N3193" s="6">
        <f>IF(OR($G3193="FCC",$G3193="Hydrocracker",$G3193="Reformer"),IF(COUNTIFS($D:$D,$D3193,$A:$A,$A3193,$B:$B,$B3193,$G:$G,"CDU",$J:$J,"PLANNED")&gt;0,"tied","standalone"),"")</f>
        <v/>
      </c>
    </row>
    <row r="3194" spans="1:14">
      <c r="A3194" s="6">
        <v>2024</v>
      </c>
      <c r="B3194" s="6">
        <v>3</v>
      </c>
      <c r="C3194" s="6" t="s">
        <v>62</v>
      </c>
      <c r="D3194" s="6" t="s">
        <v>395</v>
      </c>
      <c r="E3194" s="6" t="s">
        <v>433</v>
      </c>
      <c r="F3194" s="6" t="str">
        <f>IF($M3194="PADD I","PADD 1",IF($M3194="PADD II","PADD 2",IF($M3194="PADD III","PADD 3",IF($M3194="PADD IV","PADD 4",IF($M3194="PADD V","PADD 5","")))))</f>
        <v>PADD 2</v>
      </c>
      <c r="G3194" s="6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6" t="s">
        <v>494</v>
      </c>
      <c r="I3194" s="6" t="s">
        <v>513</v>
      </c>
      <c r="J3194" s="6" t="s">
        <v>398</v>
      </c>
      <c r="K3194" s="10">
        <v>32</v>
      </c>
      <c r="L3194" s="10">
        <v>32</v>
      </c>
      <c r="M3194" s="6" t="s">
        <v>425</v>
      </c>
      <c r="N3194" s="6" t="str">
        <f>IF(OR($G3194="FCC",$G3194="Hydrocracker",$G3194="Reformer"),IF(COUNTIFS($D:$D,$D3194,$A:$A,$A3194,$B:$B,$B3194,$G:$G,"CDU",$J:$J,"PLANNED")&gt;0,"tied","standalone"),"")</f>
        <v>tied</v>
      </c>
    </row>
    <row r="3195" spans="1:14">
      <c r="A3195" s="6">
        <v>2024</v>
      </c>
      <c r="B3195" s="6">
        <v>3</v>
      </c>
      <c r="C3195" s="6" t="s">
        <v>62</v>
      </c>
      <c r="D3195" s="6" t="s">
        <v>505</v>
      </c>
      <c r="E3195" s="6" t="s">
        <v>455</v>
      </c>
      <c r="F3195" s="6" t="str">
        <f>IF($M3195="PADD I","PADD 1",IF($M3195="PADD II","PADD 2",IF($M3195="PADD III","PADD 3",IF($M3195="PADD IV","PADD 4",IF($M3195="PADD V","PADD 5","")))))</f>
        <v>PADD 3</v>
      </c>
      <c r="G3195" s="6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6" t="s">
        <v>485</v>
      </c>
      <c r="I3195" s="6" t="s">
        <v>491</v>
      </c>
      <c r="J3195" s="6" t="s">
        <v>394</v>
      </c>
      <c r="K3195" s="10">
        <v>31.2</v>
      </c>
      <c r="L3195" s="10">
        <v>80</v>
      </c>
      <c r="M3195" s="6" t="s">
        <v>421</v>
      </c>
      <c r="N3195" s="6">
        <f>IF(OR($G3195="FCC",$G3195="Hydrocracker",$G3195="Reformer"),IF(COUNTIFS($D:$D,$D3195,$A:$A,$A3195,$B:$B,$B3195,$G:$G,"CDU",$J:$J,"PLANNED")&gt;0,"tied","standalone"),"")</f>
        <v/>
      </c>
    </row>
    <row r="3196" spans="1:14">
      <c r="A3196" s="6">
        <v>2024</v>
      </c>
      <c r="B3196" s="6">
        <v>3</v>
      </c>
      <c r="C3196" s="6" t="s">
        <v>62</v>
      </c>
      <c r="D3196" s="6" t="s">
        <v>395</v>
      </c>
      <c r="E3196" s="6" t="s">
        <v>433</v>
      </c>
      <c r="F3196" s="6" t="str">
        <f>IF($M3196="PADD I","PADD 1",IF($M3196="PADD II","PADD 2",IF($M3196="PADD III","PADD 3",IF($M3196="PADD IV","PADD 4",IF($M3196="PADD V","PADD 5","")))))</f>
        <v>PADD 2</v>
      </c>
      <c r="G3196" s="6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6" t="s">
        <v>471</v>
      </c>
      <c r="I3196" s="6" t="s">
        <v>521</v>
      </c>
      <c r="J3196" s="6" t="s">
        <v>398</v>
      </c>
      <c r="K3196" s="10">
        <v>30</v>
      </c>
      <c r="L3196" s="10">
        <v>30</v>
      </c>
      <c r="M3196" s="6" t="s">
        <v>425</v>
      </c>
      <c r="N3196" s="6" t="str">
        <f>IF(OR($G3196="FCC",$G3196="Hydrocracker",$G3196="Reformer"),IF(COUNTIFS($D:$D,$D3196,$A:$A,$A3196,$B:$B,$B3196,$G:$G,"CDU",$J:$J,"PLANNED")&gt;0,"tied","standalone"),"")</f>
        <v>tied</v>
      </c>
    </row>
    <row r="3197" spans="1:14">
      <c r="A3197" s="6">
        <v>2024</v>
      </c>
      <c r="B3197" s="6">
        <v>3</v>
      </c>
      <c r="C3197" s="6" t="s">
        <v>62</v>
      </c>
      <c r="D3197" s="6" t="s">
        <v>812</v>
      </c>
      <c r="E3197" s="6" t="s">
        <v>813</v>
      </c>
      <c r="F3197" s="6" t="str">
        <f>IF($M3197="PADD I","PADD 1",IF($M3197="PADD II","PADD 2",IF($M3197="PADD III","PADD 3",IF($M3197="PADD IV","PADD 4",IF($M3197="PADD V","PADD 5","")))))</f>
        <v>PADD 2</v>
      </c>
      <c r="G3197" s="6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6" t="s">
        <v>39</v>
      </c>
      <c r="I3197" s="6" t="s">
        <v>379</v>
      </c>
      <c r="J3197" s="6" t="s">
        <v>398</v>
      </c>
      <c r="K3197" s="10">
        <v>29.4</v>
      </c>
      <c r="L3197" s="10">
        <v>35</v>
      </c>
      <c r="M3197" s="6" t="s">
        <v>425</v>
      </c>
      <c r="N3197" s="6">
        <f>IF(OR($G3197="FCC",$G3197="Hydrocracker",$G3197="Reformer"),IF(COUNTIFS($D:$D,$D3197,$A:$A,$A3197,$B:$B,$B3197,$G:$G,"CDU",$J:$J,"PLANNED")&gt;0,"tied","standalone"),"")</f>
        <v/>
      </c>
    </row>
    <row r="3198" spans="1:14">
      <c r="A3198" s="6">
        <v>2024</v>
      </c>
      <c r="B3198" s="6">
        <v>3</v>
      </c>
      <c r="C3198" s="6" t="s">
        <v>62</v>
      </c>
      <c r="D3198" s="6" t="s">
        <v>382</v>
      </c>
      <c r="E3198" s="6" t="s">
        <v>431</v>
      </c>
      <c r="F3198" s="6" t="str">
        <f>IF($M3198="PADD I","PADD 1",IF($M3198="PADD II","PADD 2",IF($M3198="PADD III","PADD 3",IF($M3198="PADD IV","PADD 4",IF($M3198="PADD V","PADD 5","")))))</f>
        <v>PADD 3</v>
      </c>
      <c r="G3198" s="6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6" t="s">
        <v>44</v>
      </c>
      <c r="I3198" s="6" t="s">
        <v>834</v>
      </c>
      <c r="J3198" s="6" t="s">
        <v>398</v>
      </c>
      <c r="K3198" s="10">
        <v>29.25</v>
      </c>
      <c r="L3198" s="10">
        <v>45</v>
      </c>
      <c r="M3198" s="6" t="s">
        <v>421</v>
      </c>
      <c r="N3198" s="6">
        <f>IF(OR($G3198="FCC",$G3198="Hydrocracker",$G3198="Reformer"),IF(COUNTIFS($D:$D,$D3198,$A:$A,$A3198,$B:$B,$B3198,$G:$G,"CDU",$J:$J,"PLANNED")&gt;0,"tied","standalone"),"")</f>
        <v/>
      </c>
    </row>
    <row r="3199" spans="1:14">
      <c r="A3199" s="6">
        <v>2024</v>
      </c>
      <c r="B3199" s="6">
        <v>3</v>
      </c>
      <c r="C3199" s="6" t="s">
        <v>62</v>
      </c>
      <c r="D3199" s="6" t="s">
        <v>371</v>
      </c>
      <c r="E3199" s="6" t="s">
        <v>419</v>
      </c>
      <c r="F3199" s="6" t="str">
        <f>IF($M3199="PADD I","PADD 1",IF($M3199="PADD II","PADD 2",IF($M3199="PADD III","PADD 3",IF($M3199="PADD IV","PADD 4",IF($M3199="PADD V","PADD 5","")))))</f>
        <v>PADD 2</v>
      </c>
      <c r="G3199" s="6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6" t="s">
        <v>39</v>
      </c>
      <c r="I3199" s="6" t="s">
        <v>961</v>
      </c>
      <c r="J3199" s="6" t="s">
        <v>398</v>
      </c>
      <c r="K3199" s="10">
        <v>29.25</v>
      </c>
      <c r="L3199" s="10">
        <v>75</v>
      </c>
      <c r="M3199" s="6" t="s">
        <v>425</v>
      </c>
      <c r="N3199" s="6">
        <f>IF(OR($G3199="FCC",$G3199="Hydrocracker",$G3199="Reformer"),IF(COUNTIFS($D:$D,$D3199,$A:$A,$A3199,$B:$B,$B3199,$G:$G,"CDU",$J:$J,"PLANNED")&gt;0,"tied","standalone"),"")</f>
        <v/>
      </c>
    </row>
    <row r="3200" spans="1:14">
      <c r="A3200" s="6">
        <v>2024</v>
      </c>
      <c r="B3200" s="6">
        <v>3</v>
      </c>
      <c r="C3200" s="6" t="s">
        <v>62</v>
      </c>
      <c r="D3200" s="6" t="s">
        <v>43</v>
      </c>
      <c r="E3200" s="6" t="s">
        <v>455</v>
      </c>
      <c r="F3200" s="6" t="str">
        <f>IF($M3200="PADD I","PADD 1",IF($M3200="PADD II","PADD 2",IF($M3200="PADD III","PADD 3",IF($M3200="PADD IV","PADD 4",IF($M3200="PADD V","PADD 5","")))))</f>
        <v>PADD 3</v>
      </c>
      <c r="G3200" s="6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6" t="s">
        <v>44</v>
      </c>
      <c r="I3200" s="6" t="s">
        <v>1138</v>
      </c>
      <c r="J3200" s="6" t="s">
        <v>394</v>
      </c>
      <c r="K3200" s="10">
        <v>28.6</v>
      </c>
      <c r="L3200" s="10">
        <v>110</v>
      </c>
      <c r="M3200" s="6" t="s">
        <v>421</v>
      </c>
      <c r="N3200" s="6">
        <f>IF(OR($G3200="FCC",$G3200="Hydrocracker",$G3200="Reformer"),IF(COUNTIFS($D:$D,$D3200,$A:$A,$A3200,$B:$B,$B3200,$G:$G,"CDU",$J:$J,"PLANNED")&gt;0,"tied","standalone"),"")</f>
        <v/>
      </c>
    </row>
    <row r="3201" spans="1:14">
      <c r="A3201" s="6">
        <v>2024</v>
      </c>
      <c r="B3201" s="6">
        <v>3</v>
      </c>
      <c r="C3201" s="6" t="s">
        <v>62</v>
      </c>
      <c r="D3201" s="6" t="s">
        <v>515</v>
      </c>
      <c r="E3201" s="6" t="s">
        <v>419</v>
      </c>
      <c r="F3201" s="6" t="str">
        <f>IF($M3201="PADD I","PADD 1",IF($M3201="PADD II","PADD 2",IF($M3201="PADD III","PADD 3",IF($M3201="PADD IV","PADD 4",IF($M3201="PADD V","PADD 5","")))))</f>
        <v>PADD 5</v>
      </c>
      <c r="G3201" s="6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6" t="s">
        <v>494</v>
      </c>
      <c r="I3201" s="6" t="s">
        <v>718</v>
      </c>
      <c r="J3201" s="6" t="s">
        <v>398</v>
      </c>
      <c r="K3201" s="10">
        <v>27.5</v>
      </c>
      <c r="L3201" s="10">
        <v>27.5</v>
      </c>
      <c r="M3201" s="6" t="s">
        <v>436</v>
      </c>
      <c r="N3201" s="6" t="str">
        <f>IF(OR($G3201="FCC",$G3201="Hydrocracker",$G3201="Reformer"),IF(COUNTIFS($D:$D,$D3201,$A:$A,$A3201,$B:$B,$B3201,$G:$G,"CDU",$J:$J,"PLANNED")&gt;0,"tied","standalone"),"")</f>
        <v>standalone</v>
      </c>
    </row>
    <row r="3202" spans="1:14">
      <c r="A3202" s="6">
        <v>2024</v>
      </c>
      <c r="B3202" s="6">
        <v>3</v>
      </c>
      <c r="C3202" s="6" t="s">
        <v>62</v>
      </c>
      <c r="D3202" s="6" t="s">
        <v>51</v>
      </c>
      <c r="E3202" s="6" t="s">
        <v>431</v>
      </c>
      <c r="F3202" s="6" t="str">
        <f>IF($M3202="PADD I","PADD 1",IF($M3202="PADD II","PADD 2",IF($M3202="PADD III","PADD 3",IF($M3202="PADD IV","PADD 4",IF($M3202="PADD V","PADD 5","")))))</f>
        <v>PADD 3</v>
      </c>
      <c r="G3202" s="6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6" t="s">
        <v>471</v>
      </c>
      <c r="I3202" s="6" t="s">
        <v>1136</v>
      </c>
      <c r="J3202" s="6" t="s">
        <v>394</v>
      </c>
      <c r="K3202" s="10">
        <v>27.36</v>
      </c>
      <c r="L3202" s="10">
        <v>57</v>
      </c>
      <c r="M3202" s="6" t="s">
        <v>421</v>
      </c>
      <c r="N3202" s="6" t="str">
        <f>IF(OR($G3202="FCC",$G3202="Hydrocracker",$G3202="Reformer"),IF(COUNTIFS($D:$D,$D3202,$A:$A,$A3202,$B:$B,$B3202,$G:$G,"CDU",$J:$J,"PLANNED")&gt;0,"tied","standalone"),"")</f>
        <v>standalone</v>
      </c>
    </row>
    <row r="3203" spans="1:14">
      <c r="A3203" s="6">
        <v>2024</v>
      </c>
      <c r="B3203" s="6">
        <v>3</v>
      </c>
      <c r="C3203" s="6" t="s">
        <v>62</v>
      </c>
      <c r="D3203" s="6" t="s">
        <v>51</v>
      </c>
      <c r="E3203" s="6" t="s">
        <v>431</v>
      </c>
      <c r="F3203" s="6" t="str">
        <f>IF($M3203="PADD I","PADD 1",IF($M3203="PADD II","PADD 2",IF($M3203="PADD III","PADD 3",IF($M3203="PADD IV","PADD 4",IF($M3203="PADD V","PADD 5","")))))</f>
        <v>PADD 3</v>
      </c>
      <c r="G3203" s="6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6" t="s">
        <v>471</v>
      </c>
      <c r="I3203" s="6" t="s">
        <v>1136</v>
      </c>
      <c r="J3203" s="6" t="s">
        <v>398</v>
      </c>
      <c r="K3203" s="10">
        <v>27.36</v>
      </c>
      <c r="L3203" s="10">
        <v>57</v>
      </c>
      <c r="M3203" s="6" t="s">
        <v>421</v>
      </c>
      <c r="N3203" s="6" t="str">
        <f>IF(OR($G3203="FCC",$G3203="Hydrocracker",$G3203="Reformer"),IF(COUNTIFS($D:$D,$D3203,$A:$A,$A3203,$B:$B,$B3203,$G:$G,"CDU",$J:$J,"PLANNED")&gt;0,"tied","standalone"),"")</f>
        <v>standalone</v>
      </c>
    </row>
    <row r="3204" spans="1:14">
      <c r="A3204" s="6">
        <v>2024</v>
      </c>
      <c r="B3204" s="6">
        <v>3</v>
      </c>
      <c r="C3204" s="6" t="s">
        <v>62</v>
      </c>
      <c r="D3204" s="6" t="s">
        <v>592</v>
      </c>
      <c r="E3204" s="6" t="s">
        <v>593</v>
      </c>
      <c r="F3204" s="6" t="str">
        <f>IF($M3204="PADD I","PADD 1",IF($M3204="PADD II","PADD 2",IF($M3204="PADD III","PADD 3",IF($M3204="PADD IV","PADD 4",IF($M3204="PADD V","PADD 5","")))))</f>
        <v>PADD 2</v>
      </c>
      <c r="G3204" s="6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6" t="s">
        <v>44</v>
      </c>
      <c r="I3204" s="6" t="s">
        <v>809</v>
      </c>
      <c r="J3204" s="6" t="s">
        <v>394</v>
      </c>
      <c r="K3204" s="10">
        <v>27.3</v>
      </c>
      <c r="L3204" s="10">
        <v>70</v>
      </c>
      <c r="M3204" s="6" t="s">
        <v>425</v>
      </c>
      <c r="N3204" s="6">
        <f>IF(OR($G3204="FCC",$G3204="Hydrocracker",$G3204="Reformer"),IF(COUNTIFS($D:$D,$D3204,$A:$A,$A3204,$B:$B,$B3204,$G:$G,"CDU",$J:$J,"PLANNED")&gt;0,"tied","standalone"),"")</f>
        <v/>
      </c>
    </row>
    <row r="3205" spans="1:14">
      <c r="A3205" s="6">
        <v>2024</v>
      </c>
      <c r="B3205" s="6">
        <v>3</v>
      </c>
      <c r="C3205" s="6" t="s">
        <v>62</v>
      </c>
      <c r="D3205" s="6" t="s">
        <v>689</v>
      </c>
      <c r="E3205" s="6" t="s">
        <v>502</v>
      </c>
      <c r="F3205" s="6" t="str">
        <f>IF($M3205="PADD I","PADD 1",IF($M3205="PADD II","PADD 2",IF($M3205="PADD III","PADD 3",IF($M3205="PADD IV","PADD 4",IF($M3205="PADD V","PADD 5","")))))</f>
        <v>PADD 5</v>
      </c>
      <c r="G3205" s="6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6" t="s">
        <v>44</v>
      </c>
      <c r="I3205" s="6" t="s">
        <v>1190</v>
      </c>
      <c r="J3205" s="6" t="s">
        <v>398</v>
      </c>
      <c r="K3205" s="10">
        <v>27.16</v>
      </c>
      <c r="L3205" s="10">
        <v>28</v>
      </c>
      <c r="M3205" s="6" t="s">
        <v>436</v>
      </c>
      <c r="N3205" s="6">
        <f>IF(OR($G3205="FCC",$G3205="Hydrocracker",$G3205="Reformer"),IF(COUNTIFS($D:$D,$D3205,$A:$A,$A3205,$B:$B,$B3205,$G:$G,"CDU",$J:$J,"PLANNED")&gt;0,"tied","standalone"),"")</f>
        <v/>
      </c>
    </row>
    <row r="3206" spans="1:14">
      <c r="A3206" s="6">
        <v>2024</v>
      </c>
      <c r="B3206" s="6">
        <v>3</v>
      </c>
      <c r="C3206" s="6" t="s">
        <v>62</v>
      </c>
      <c r="D3206" s="6" t="s">
        <v>458</v>
      </c>
      <c r="E3206" s="6" t="s">
        <v>459</v>
      </c>
      <c r="F3206" s="6" t="str">
        <f>IF($M3206="PADD I","PADD 1",IF($M3206="PADD II","PADD 2",IF($M3206="PADD III","PADD 3",IF($M3206="PADD IV","PADD 4",IF($M3206="PADD V","PADD 5","")))))</f>
        <v>PADD 3</v>
      </c>
      <c r="G3206" s="6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6" t="s">
        <v>485</v>
      </c>
      <c r="I3206" s="6" t="s">
        <v>509</v>
      </c>
      <c r="J3206" s="6" t="s">
        <v>394</v>
      </c>
      <c r="K3206" s="10">
        <v>27</v>
      </c>
      <c r="L3206" s="10">
        <v>60</v>
      </c>
      <c r="M3206" s="6" t="s">
        <v>421</v>
      </c>
      <c r="N3206" s="6">
        <f>IF(OR($G3206="FCC",$G3206="Hydrocracker",$G3206="Reformer"),IF(COUNTIFS($D:$D,$D3206,$A:$A,$A3206,$B:$B,$B3206,$G:$G,"CDU",$J:$J,"PLANNED")&gt;0,"tied","standalone"),"")</f>
        <v/>
      </c>
    </row>
    <row r="3207" spans="1:14">
      <c r="A3207" s="6">
        <v>2024</v>
      </c>
      <c r="B3207" s="6">
        <v>3</v>
      </c>
      <c r="C3207" s="6" t="s">
        <v>62</v>
      </c>
      <c r="D3207" s="6" t="s">
        <v>901</v>
      </c>
      <c r="E3207" s="6" t="s">
        <v>902</v>
      </c>
      <c r="F3207" s="6" t="str">
        <f>IF($M3207="PADD I","PADD 1",IF($M3207="PADD II","PADD 2",IF($M3207="PADD III","PADD 3",IF($M3207="PADD IV","PADD 4",IF($M3207="PADD V","PADD 5","")))))</f>
        <v>PADD 3</v>
      </c>
      <c r="G3207" s="6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6" t="s">
        <v>39</v>
      </c>
      <c r="I3207" s="6" t="s">
        <v>903</v>
      </c>
      <c r="J3207" s="6" t="s">
        <v>394</v>
      </c>
      <c r="K3207" s="10">
        <v>26.88</v>
      </c>
      <c r="L3207" s="10">
        <v>64</v>
      </c>
      <c r="M3207" s="6" t="s">
        <v>421</v>
      </c>
      <c r="N3207" s="6">
        <f>IF(OR($G3207="FCC",$G3207="Hydrocracker",$G3207="Reformer"),IF(COUNTIFS($D:$D,$D3207,$A:$A,$A3207,$B:$B,$B3207,$G:$G,"CDU",$J:$J,"PLANNED")&gt;0,"tied","standalone"),"")</f>
        <v/>
      </c>
    </row>
    <row r="3208" spans="1:14">
      <c r="A3208" s="6">
        <v>2024</v>
      </c>
      <c r="B3208" s="6">
        <v>3</v>
      </c>
      <c r="C3208" s="6" t="s">
        <v>62</v>
      </c>
      <c r="D3208" s="6" t="s">
        <v>373</v>
      </c>
      <c r="E3208" s="6" t="s">
        <v>438</v>
      </c>
      <c r="F3208" s="6" t="str">
        <f>IF($M3208="PADD I","PADD 1",IF($M3208="PADD II","PADD 2",IF($M3208="PADD III","PADD 3",IF($M3208="PADD IV","PADD 4",IF($M3208="PADD V","PADD 5","")))))</f>
        <v>PADD 3</v>
      </c>
      <c r="G3208" s="6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6" t="s">
        <v>494</v>
      </c>
      <c r="I3208" s="6" t="s">
        <v>995</v>
      </c>
      <c r="J3208" s="6" t="s">
        <v>394</v>
      </c>
      <c r="K3208" s="10">
        <v>26.22</v>
      </c>
      <c r="L3208" s="10">
        <v>114</v>
      </c>
      <c r="M3208" s="6" t="s">
        <v>421</v>
      </c>
      <c r="N3208" s="6" t="str">
        <f>IF(OR($G3208="FCC",$G3208="Hydrocracker",$G3208="Reformer"),IF(COUNTIFS($D:$D,$D3208,$A:$A,$A3208,$B:$B,$B3208,$G:$G,"CDU",$J:$J,"PLANNED")&gt;0,"tied","standalone"),"")</f>
        <v>standalone</v>
      </c>
    </row>
    <row r="3209" spans="1:14">
      <c r="A3209" s="6">
        <v>2024</v>
      </c>
      <c r="B3209" s="6">
        <v>3</v>
      </c>
      <c r="C3209" s="6" t="s">
        <v>62</v>
      </c>
      <c r="D3209" s="6" t="s">
        <v>576</v>
      </c>
      <c r="E3209" s="6" t="s">
        <v>455</v>
      </c>
      <c r="F3209" s="6" t="str">
        <f>IF($M3209="PADD I","PADD 1",IF($M3209="PADD II","PADD 2",IF($M3209="PADD III","PADD 3",IF($M3209="PADD IV","PADD 4",IF($M3209="PADD V","PADD 5","")))))</f>
        <v>PADD 3</v>
      </c>
      <c r="G3209" s="6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6" t="s">
        <v>485</v>
      </c>
      <c r="I3209" s="6" t="s">
        <v>1004</v>
      </c>
      <c r="J3209" s="6" t="s">
        <v>394</v>
      </c>
      <c r="K3209" s="10">
        <v>26</v>
      </c>
      <c r="L3209" s="10">
        <v>100</v>
      </c>
      <c r="M3209" s="6" t="s">
        <v>421</v>
      </c>
      <c r="N3209" s="6">
        <f>IF(OR($G3209="FCC",$G3209="Hydrocracker",$G3209="Reformer"),IF(COUNTIFS($D:$D,$D3209,$A:$A,$A3209,$B:$B,$B3209,$G:$G,"CDU",$J:$J,"PLANNED")&gt;0,"tied","standalone"),"")</f>
        <v/>
      </c>
    </row>
    <row r="3210" spans="1:14">
      <c r="A3210" s="6">
        <v>2024</v>
      </c>
      <c r="B3210" s="6">
        <v>3</v>
      </c>
      <c r="C3210" s="6" t="s">
        <v>62</v>
      </c>
      <c r="D3210" s="6" t="s">
        <v>678</v>
      </c>
      <c r="E3210" s="6" t="s">
        <v>438</v>
      </c>
      <c r="F3210" s="6" t="str">
        <f>IF($M3210="PADD I","PADD 1",IF($M3210="PADD II","PADD 2",IF($M3210="PADD III","PADD 3",IF($M3210="PADD IV","PADD 4",IF($M3210="PADD V","PADD 5","")))))</f>
        <v>PADD 3</v>
      </c>
      <c r="G3210" s="6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6" t="s">
        <v>39</v>
      </c>
      <c r="I3210" s="6" t="s">
        <v>1103</v>
      </c>
      <c r="J3210" s="6" t="s">
        <v>398</v>
      </c>
      <c r="K3210" s="10">
        <v>25.9</v>
      </c>
      <c r="L3210" s="10">
        <v>35</v>
      </c>
      <c r="M3210" s="6" t="s">
        <v>421</v>
      </c>
      <c r="N3210" s="6">
        <f>IF(OR($G3210="FCC",$G3210="Hydrocracker",$G3210="Reformer"),IF(COUNTIFS($D:$D,$D3210,$A:$A,$A3210,$B:$B,$B3210,$G:$G,"CDU",$J:$J,"PLANNED")&gt;0,"tied","standalone"),"")</f>
        <v/>
      </c>
    </row>
    <row r="3211" spans="1:14">
      <c r="A3211" s="6">
        <v>2024</v>
      </c>
      <c r="B3211" s="6">
        <v>3</v>
      </c>
      <c r="C3211" s="6" t="s">
        <v>62</v>
      </c>
      <c r="D3211" s="6" t="s">
        <v>458</v>
      </c>
      <c r="E3211" s="6" t="s">
        <v>459</v>
      </c>
      <c r="F3211" s="6" t="str">
        <f>IF($M3211="PADD I","PADD 1",IF($M3211="PADD II","PADD 2",IF($M3211="PADD III","PADD 3",IF($M3211="PADD IV","PADD 4",IF($M3211="PADD V","PADD 5","")))))</f>
        <v>PADD 3</v>
      </c>
      <c r="G3211" s="6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6" t="s">
        <v>39</v>
      </c>
      <c r="I3211" s="6" t="s">
        <v>460</v>
      </c>
      <c r="J3211" s="6" t="s">
        <v>394</v>
      </c>
      <c r="K3211" s="10">
        <v>25.6</v>
      </c>
      <c r="L3211" s="10">
        <v>80</v>
      </c>
      <c r="M3211" s="6" t="s">
        <v>421</v>
      </c>
      <c r="N3211" s="6">
        <f>IF(OR($G3211="FCC",$G3211="Hydrocracker",$G3211="Reformer"),IF(COUNTIFS($D:$D,$D3211,$A:$A,$A3211,$B:$B,$B3211,$G:$G,"CDU",$J:$J,"PLANNED")&gt;0,"tied","standalone"),"")</f>
        <v/>
      </c>
    </row>
    <row r="3212" spans="1:14">
      <c r="A3212" s="6">
        <v>2024</v>
      </c>
      <c r="B3212" s="6">
        <v>3</v>
      </c>
      <c r="C3212" s="6" t="s">
        <v>62</v>
      </c>
      <c r="D3212" s="6" t="s">
        <v>505</v>
      </c>
      <c r="E3212" s="6" t="s">
        <v>455</v>
      </c>
      <c r="F3212" s="6" t="str">
        <f>IF($M3212="PADD I","PADD 1",IF($M3212="PADD II","PADD 2",IF($M3212="PADD III","PADD 3",IF($M3212="PADD IV","PADD 4",IF($M3212="PADD V","PADD 5","")))))</f>
        <v>PADD 3</v>
      </c>
      <c r="G3212" s="6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6" t="s">
        <v>485</v>
      </c>
      <c r="I3212" s="6" t="s">
        <v>491</v>
      </c>
      <c r="J3212" s="6" t="s">
        <v>398</v>
      </c>
      <c r="K3212" s="10">
        <v>25.6</v>
      </c>
      <c r="L3212" s="10">
        <v>80</v>
      </c>
      <c r="M3212" s="6" t="s">
        <v>421</v>
      </c>
      <c r="N3212" s="6">
        <f>IF(OR($G3212="FCC",$G3212="Hydrocracker",$G3212="Reformer"),IF(COUNTIFS($D:$D,$D3212,$A:$A,$A3212,$B:$B,$B3212,$G:$G,"CDU",$J:$J,"PLANNED")&gt;0,"tied","standalone"),"")</f>
        <v/>
      </c>
    </row>
    <row r="3213" spans="1:14">
      <c r="A3213" s="6">
        <v>2024</v>
      </c>
      <c r="B3213" s="6">
        <v>3</v>
      </c>
      <c r="C3213" s="6" t="s">
        <v>62</v>
      </c>
      <c r="D3213" s="6" t="s">
        <v>592</v>
      </c>
      <c r="E3213" s="6" t="s">
        <v>593</v>
      </c>
      <c r="F3213" s="6" t="str">
        <f>IF($M3213="PADD I","PADD 1",IF($M3213="PADD II","PADD 2",IF($M3213="PADD III","PADD 3",IF($M3213="PADD IV","PADD 4",IF($M3213="PADD V","PADD 5","")))))</f>
        <v>PADD 2</v>
      </c>
      <c r="G3213" s="6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6" t="s">
        <v>426</v>
      </c>
      <c r="I3213" s="6" t="s">
        <v>1163</v>
      </c>
      <c r="J3213" s="6" t="s">
        <v>394</v>
      </c>
      <c r="K3213" s="10">
        <v>25.35</v>
      </c>
      <c r="L3213" s="10">
        <v>65</v>
      </c>
      <c r="M3213" s="6" t="s">
        <v>425</v>
      </c>
      <c r="N3213" s="6" t="str">
        <f>IF(OR($G3213="FCC",$G3213="Hydrocracker",$G3213="Reformer"),IF(COUNTIFS($D:$D,$D3213,$A:$A,$A3213,$B:$B,$B3213,$G:$G,"CDU",$J:$J,"PLANNED")&gt;0,"tied","standalone"),"")</f>
        <v>standalone</v>
      </c>
    </row>
    <row r="3214" spans="1:14">
      <c r="A3214" s="6">
        <v>2024</v>
      </c>
      <c r="B3214" s="6">
        <v>3</v>
      </c>
      <c r="C3214" s="6" t="s">
        <v>62</v>
      </c>
      <c r="D3214" s="6" t="s">
        <v>1191</v>
      </c>
      <c r="E3214" s="6" t="s">
        <v>1129</v>
      </c>
      <c r="F3214" s="6" t="str">
        <f>IF($M3214="PADD I","PADD 1",IF($M3214="PADD II","PADD 2",IF($M3214="PADD III","PADD 3",IF($M3214="PADD IV","PADD 4",IF($M3214="PADD V","PADD 5","")))))</f>
        <v>PADD 3</v>
      </c>
      <c r="G3214" s="6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6" t="s">
        <v>44</v>
      </c>
      <c r="I3214" s="6" t="s">
        <v>977</v>
      </c>
      <c r="J3214" s="6" t="s">
        <v>398</v>
      </c>
      <c r="K3214" s="10">
        <v>25</v>
      </c>
      <c r="L3214" s="10">
        <v>25</v>
      </c>
      <c r="M3214" s="6" t="s">
        <v>421</v>
      </c>
      <c r="N3214" s="6">
        <f>IF(OR($G3214="FCC",$G3214="Hydrocracker",$G3214="Reformer"),IF(COUNTIFS($D:$D,$D3214,$A:$A,$A3214,$B:$B,$B3214,$G:$G,"CDU",$J:$J,"PLANNED")&gt;0,"tied","standalone"),"")</f>
        <v/>
      </c>
    </row>
    <row r="3215" spans="1:14">
      <c r="A3215" s="6">
        <v>2024</v>
      </c>
      <c r="B3215" s="6">
        <v>3</v>
      </c>
      <c r="C3215" s="6" t="s">
        <v>62</v>
      </c>
      <c r="D3215" s="6" t="s">
        <v>507</v>
      </c>
      <c r="E3215" s="6" t="s">
        <v>438</v>
      </c>
      <c r="F3215" s="6" t="str">
        <f>IF($M3215="PADD I","PADD 1",IF($M3215="PADD II","PADD 2",IF($M3215="PADD III","PADD 3",IF($M3215="PADD IV","PADD 4",IF($M3215="PADD V","PADD 5","")))))</f>
        <v>PADD 5</v>
      </c>
      <c r="G3215" s="6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6" t="s">
        <v>494</v>
      </c>
      <c r="I3215" s="6" t="s">
        <v>14</v>
      </c>
      <c r="J3215" s="6" t="s">
        <v>394</v>
      </c>
      <c r="K3215" s="10">
        <v>24.75</v>
      </c>
      <c r="L3215" s="10">
        <v>55</v>
      </c>
      <c r="M3215" s="6" t="s">
        <v>436</v>
      </c>
      <c r="N3215" s="6" t="str">
        <f>IF(OR($G3215="FCC",$G3215="Hydrocracker",$G3215="Reformer"),IF(COUNTIFS($D:$D,$D3215,$A:$A,$A3215,$B:$B,$B3215,$G:$G,"CDU",$J:$J,"PLANNED")&gt;0,"tied","standalone"),"")</f>
        <v>standalone</v>
      </c>
    </row>
    <row r="3216" spans="1:14">
      <c r="A3216" s="6">
        <v>2024</v>
      </c>
      <c r="B3216" s="6">
        <v>3</v>
      </c>
      <c r="C3216" s="6" t="s">
        <v>62</v>
      </c>
      <c r="D3216" s="6" t="s">
        <v>592</v>
      </c>
      <c r="E3216" s="6" t="s">
        <v>593</v>
      </c>
      <c r="F3216" s="6" t="str">
        <f>IF($M3216="PADD I","PADD 1",IF($M3216="PADD II","PADD 2",IF($M3216="PADD III","PADD 3",IF($M3216="PADD IV","PADD 4",IF($M3216="PADD V","PADD 5","")))))</f>
        <v>PADD 2</v>
      </c>
      <c r="G3216" s="6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6" t="s">
        <v>471</v>
      </c>
      <c r="I3216" s="6" t="s">
        <v>1164</v>
      </c>
      <c r="J3216" s="6" t="s">
        <v>394</v>
      </c>
      <c r="K3216" s="10">
        <v>23.4</v>
      </c>
      <c r="L3216" s="10">
        <v>60</v>
      </c>
      <c r="M3216" s="6" t="s">
        <v>425</v>
      </c>
      <c r="N3216" s="6" t="str">
        <f>IF(OR($G3216="FCC",$G3216="Hydrocracker",$G3216="Reformer"),IF(COUNTIFS($D:$D,$D3216,$A:$A,$A3216,$B:$B,$B3216,$G:$G,"CDU",$J:$J,"PLANNED")&gt;0,"tied","standalone"),"")</f>
        <v>standalone</v>
      </c>
    </row>
    <row r="3217" spans="1:14">
      <c r="A3217" s="6">
        <v>2024</v>
      </c>
      <c r="B3217" s="6">
        <v>3</v>
      </c>
      <c r="C3217" s="6" t="s">
        <v>62</v>
      </c>
      <c r="D3217" s="6" t="s">
        <v>51</v>
      </c>
      <c r="E3217" s="6" t="s">
        <v>431</v>
      </c>
      <c r="F3217" s="6" t="str">
        <f>IF($M3217="PADD I","PADD 1",IF($M3217="PADD II","PADD 2",IF($M3217="PADD III","PADD 3",IF($M3217="PADD IV","PADD 4",IF($M3217="PADD V","PADD 5","")))))</f>
        <v>PADD 3</v>
      </c>
      <c r="G3217" s="6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6" t="s">
        <v>44</v>
      </c>
      <c r="I3217" s="6" t="s">
        <v>1133</v>
      </c>
      <c r="J3217" s="6" t="s">
        <v>398</v>
      </c>
      <c r="K3217" s="10">
        <v>23.2</v>
      </c>
      <c r="L3217" s="10">
        <v>80</v>
      </c>
      <c r="M3217" s="6" t="s">
        <v>421</v>
      </c>
      <c r="N3217" s="6">
        <f>IF(OR($G3217="FCC",$G3217="Hydrocracker",$G3217="Reformer"),IF(COUNTIFS($D:$D,$D3217,$A:$A,$A3217,$B:$B,$B3217,$G:$G,"CDU",$J:$J,"PLANNED")&gt;0,"tied","standalone"),"")</f>
        <v/>
      </c>
    </row>
    <row r="3218" spans="1:14">
      <c r="A3218" s="6">
        <v>2024</v>
      </c>
      <c r="B3218" s="6">
        <v>3</v>
      </c>
      <c r="C3218" s="6" t="s">
        <v>62</v>
      </c>
      <c r="D3218" s="6" t="s">
        <v>479</v>
      </c>
      <c r="E3218" s="6" t="s">
        <v>438</v>
      </c>
      <c r="F3218" s="6" t="str">
        <f>IF($M3218="PADD I","PADD 1",IF($M3218="PADD II","PADD 2",IF($M3218="PADD III","PADD 3",IF($M3218="PADD IV","PADD 4",IF($M3218="PADD V","PADD 5","")))))</f>
        <v>PADD 4</v>
      </c>
      <c r="G3218" s="6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6" t="s">
        <v>426</v>
      </c>
      <c r="I3218" s="6" t="s">
        <v>106</v>
      </c>
      <c r="J3218" s="6" t="s">
        <v>398</v>
      </c>
      <c r="K3218" s="10">
        <v>22.968</v>
      </c>
      <c r="L3218" s="10">
        <v>26.4</v>
      </c>
      <c r="M3218" s="6" t="s">
        <v>480</v>
      </c>
      <c r="N3218" s="6" t="str">
        <f>IF(OR($G3218="FCC",$G3218="Hydrocracker",$G3218="Reformer"),IF(COUNTIFS($D:$D,$D3218,$A:$A,$A3218,$B:$B,$B3218,$G:$G,"CDU",$J:$J,"PLANNED")&gt;0,"tied","standalone"),"")</f>
        <v>tied</v>
      </c>
    </row>
    <row r="3219" spans="1:14">
      <c r="A3219" s="6">
        <v>2024</v>
      </c>
      <c r="B3219" s="6">
        <v>3</v>
      </c>
      <c r="C3219" s="6" t="s">
        <v>62</v>
      </c>
      <c r="D3219" s="6" t="s">
        <v>422</v>
      </c>
      <c r="E3219" s="6" t="s">
        <v>423</v>
      </c>
      <c r="F3219" s="6" t="str">
        <f>IF($M3219="PADD I","PADD 1",IF($M3219="PADD II","PADD 2",IF($M3219="PADD III","PADD 3",IF($M3219="PADD IV","PADD 4",IF($M3219="PADD V","PADD 5","")))))</f>
        <v>PADD 2</v>
      </c>
      <c r="G3219" s="6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6" t="s">
        <v>44</v>
      </c>
      <c r="I3219" s="6" t="s">
        <v>530</v>
      </c>
      <c r="J3219" s="6" t="s">
        <v>398</v>
      </c>
      <c r="K3219" s="10">
        <v>22.5</v>
      </c>
      <c r="L3219" s="10">
        <v>22.5</v>
      </c>
      <c r="M3219" s="6" t="s">
        <v>425</v>
      </c>
      <c r="N3219" s="6">
        <f>IF(OR($G3219="FCC",$G3219="Hydrocracker",$G3219="Reformer"),IF(COUNTIFS($D:$D,$D3219,$A:$A,$A3219,$B:$B,$B3219,$G:$G,"CDU",$J:$J,"PLANNED")&gt;0,"tied","standalone"),"")</f>
        <v/>
      </c>
    </row>
    <row r="3220" spans="1:14">
      <c r="A3220" s="6">
        <v>2024</v>
      </c>
      <c r="B3220" s="6">
        <v>3</v>
      </c>
      <c r="C3220" s="6" t="s">
        <v>62</v>
      </c>
      <c r="D3220" s="6" t="s">
        <v>678</v>
      </c>
      <c r="E3220" s="6" t="s">
        <v>438</v>
      </c>
      <c r="F3220" s="6" t="str">
        <f>IF($M3220="PADD I","PADD 1",IF($M3220="PADD II","PADD 2",IF($M3220="PADD III","PADD 3",IF($M3220="PADD IV","PADD 4",IF($M3220="PADD V","PADD 5","")))))</f>
        <v>PADD 3</v>
      </c>
      <c r="G3220" s="6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6" t="s">
        <v>44</v>
      </c>
      <c r="I3220" s="6" t="s">
        <v>514</v>
      </c>
      <c r="J3220" s="6" t="s">
        <v>398</v>
      </c>
      <c r="K3220" s="10">
        <v>22.2</v>
      </c>
      <c r="L3220" s="10">
        <v>30</v>
      </c>
      <c r="M3220" s="6" t="s">
        <v>421</v>
      </c>
      <c r="N3220" s="6">
        <f>IF(OR($G3220="FCC",$G3220="Hydrocracker",$G3220="Reformer"),IF(COUNTIFS($D:$D,$D3220,$A:$A,$A3220,$B:$B,$B3220,$G:$G,"CDU",$J:$J,"PLANNED")&gt;0,"tied","standalone"),"")</f>
        <v/>
      </c>
    </row>
    <row r="3221" spans="1:14">
      <c r="A3221" s="6">
        <v>2024</v>
      </c>
      <c r="B3221" s="6">
        <v>3</v>
      </c>
      <c r="C3221" s="6" t="s">
        <v>62</v>
      </c>
      <c r="D3221" s="6" t="s">
        <v>496</v>
      </c>
      <c r="E3221" s="6" t="s">
        <v>441</v>
      </c>
      <c r="F3221" s="6" t="str">
        <f>IF($M3221="PADD I","PADD 1",IF($M3221="PADD II","PADD 2",IF($M3221="PADD III","PADD 3",IF($M3221="PADD IV","PADD 4",IF($M3221="PADD V","PADD 5","")))))</f>
        <v>PADD 3</v>
      </c>
      <c r="G3221" s="6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6" t="s">
        <v>471</v>
      </c>
      <c r="I3221" s="6" t="s">
        <v>533</v>
      </c>
      <c r="J3221" s="6" t="s">
        <v>398</v>
      </c>
      <c r="K3221" s="10">
        <v>21.6</v>
      </c>
      <c r="L3221" s="10">
        <v>24</v>
      </c>
      <c r="M3221" s="6" t="s">
        <v>421</v>
      </c>
      <c r="N3221" s="6" t="str">
        <f>IF(OR($G3221="FCC",$G3221="Hydrocracker",$G3221="Reformer"),IF(COUNTIFS($D:$D,$D3221,$A:$A,$A3221,$B:$B,$B3221,$G:$G,"CDU",$J:$J,"PLANNED")&gt;0,"tied","standalone"),"")</f>
        <v>standalone</v>
      </c>
    </row>
    <row r="3222" spans="1:14">
      <c r="A3222" s="6">
        <v>2024</v>
      </c>
      <c r="B3222" s="6">
        <v>3</v>
      </c>
      <c r="C3222" s="6" t="s">
        <v>62</v>
      </c>
      <c r="D3222" s="6" t="s">
        <v>725</v>
      </c>
      <c r="E3222" s="6" t="s">
        <v>502</v>
      </c>
      <c r="F3222" s="6" t="str">
        <f>IF($M3222="PADD I","PADD 1",IF($M3222="PADD II","PADD 2",IF($M3222="PADD III","PADD 3",IF($M3222="PADD IV","PADD 4",IF($M3222="PADD V","PADD 5","")))))</f>
        <v>PADD 2</v>
      </c>
      <c r="G3222" s="6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6" t="s">
        <v>44</v>
      </c>
      <c r="I3222" s="6" t="s">
        <v>1192</v>
      </c>
      <c r="J3222" s="6" t="s">
        <v>394</v>
      </c>
      <c r="K3222" s="10">
        <v>21.6</v>
      </c>
      <c r="L3222" s="10">
        <v>45</v>
      </c>
      <c r="M3222" s="6" t="s">
        <v>425</v>
      </c>
      <c r="N3222" s="6">
        <f>IF(OR($G3222="FCC",$G3222="Hydrocracker",$G3222="Reformer"),IF(COUNTIFS($D:$D,$D3222,$A:$A,$A3222,$B:$B,$B3222,$G:$G,"CDU",$J:$J,"PLANNED")&gt;0,"tied","standalone"),"")</f>
        <v/>
      </c>
    </row>
    <row r="3223" spans="1:14">
      <c r="A3223" s="6">
        <v>2024</v>
      </c>
      <c r="B3223" s="6">
        <v>3</v>
      </c>
      <c r="C3223" s="6" t="s">
        <v>62</v>
      </c>
      <c r="D3223" s="6" t="s">
        <v>49</v>
      </c>
      <c r="E3223" s="6" t="s">
        <v>438</v>
      </c>
      <c r="F3223" s="6" t="str">
        <f>IF($M3223="PADD I","PADD 1",IF($M3223="PADD II","PADD 2",IF($M3223="PADD III","PADD 3",IF($M3223="PADD IV","PADD 4",IF($M3223="PADD V","PADD 5","")))))</f>
        <v>PADD 2</v>
      </c>
      <c r="G3223" s="6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6" t="s">
        <v>471</v>
      </c>
      <c r="I3223" s="6" t="s">
        <v>771</v>
      </c>
      <c r="J3223" s="6" t="s">
        <v>394</v>
      </c>
      <c r="K3223" s="10">
        <v>21.45</v>
      </c>
      <c r="L3223" s="10">
        <v>39</v>
      </c>
      <c r="M3223" s="6" t="s">
        <v>425</v>
      </c>
      <c r="N3223" s="6" t="str">
        <f>IF(OR($G3223="FCC",$G3223="Hydrocracker",$G3223="Reformer"),IF(COUNTIFS($D:$D,$D3223,$A:$A,$A3223,$B:$B,$B3223,$G:$G,"CDU",$J:$J,"PLANNED")&gt;0,"tied","standalone"),"")</f>
        <v>tied</v>
      </c>
    </row>
    <row r="3224" spans="1:14">
      <c r="A3224" s="6">
        <v>2024</v>
      </c>
      <c r="B3224" s="6">
        <v>3</v>
      </c>
      <c r="C3224" s="6" t="s">
        <v>62</v>
      </c>
      <c r="D3224" s="6" t="s">
        <v>1035</v>
      </c>
      <c r="E3224" s="6" t="s">
        <v>593</v>
      </c>
      <c r="F3224" s="6" t="str">
        <f>IF($M3224="PADD I","PADD 1",IF($M3224="PADD II","PADD 2",IF($M3224="PADD III","PADD 3",IF($M3224="PADD IV","PADD 4",IF($M3224="PADD V","PADD 5","")))))</f>
        <v>PADD 2</v>
      </c>
      <c r="G3224" s="6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6" t="s">
        <v>428</v>
      </c>
      <c r="I3224" s="6" t="s">
        <v>836</v>
      </c>
      <c r="J3224" s="6" t="s">
        <v>394</v>
      </c>
      <c r="K3224" s="10">
        <v>21.1155</v>
      </c>
      <c r="L3224" s="10">
        <v>60.33</v>
      </c>
      <c r="M3224" s="6" t="s">
        <v>425</v>
      </c>
      <c r="N3224" s="6">
        <f>IF(OR($G3224="FCC",$G3224="Hydrocracker",$G3224="Reformer"),IF(COUNTIFS($D:$D,$D3224,$A:$A,$A3224,$B:$B,$B3224,$G:$G,"CDU",$J:$J,"PLANNED")&gt;0,"tied","standalone"),"")</f>
        <v/>
      </c>
    </row>
    <row r="3225" spans="1:14">
      <c r="A3225" s="6">
        <v>2024</v>
      </c>
      <c r="B3225" s="6">
        <v>3</v>
      </c>
      <c r="C3225" s="6" t="s">
        <v>62</v>
      </c>
      <c r="D3225" s="6" t="s">
        <v>458</v>
      </c>
      <c r="E3225" s="6" t="s">
        <v>459</v>
      </c>
      <c r="F3225" s="6" t="str">
        <f>IF($M3225="PADD I","PADD 1",IF($M3225="PADD II","PADD 2",IF($M3225="PADD III","PADD 3",IF($M3225="PADD IV","PADD 4",IF($M3225="PADD V","PADD 5","")))))</f>
        <v>PADD 3</v>
      </c>
      <c r="G3225" s="6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6" t="s">
        <v>39</v>
      </c>
      <c r="I3225" s="6" t="s">
        <v>460</v>
      </c>
      <c r="J3225" s="6" t="s">
        <v>394</v>
      </c>
      <c r="K3225" s="10">
        <v>20.8</v>
      </c>
      <c r="L3225" s="10">
        <v>80</v>
      </c>
      <c r="M3225" s="6" t="s">
        <v>421</v>
      </c>
      <c r="N3225" s="6">
        <f>IF(OR($G3225="FCC",$G3225="Hydrocracker",$G3225="Reformer"),IF(COUNTIFS($D:$D,$D3225,$A:$A,$A3225,$B:$B,$B3225,$G:$G,"CDU",$J:$J,"PLANNED")&gt;0,"tied","standalone"),"")</f>
        <v/>
      </c>
    </row>
    <row r="3226" spans="1:14">
      <c r="A3226" s="6">
        <v>2024</v>
      </c>
      <c r="B3226" s="6">
        <v>3</v>
      </c>
      <c r="C3226" s="6" t="s">
        <v>62</v>
      </c>
      <c r="D3226" s="6" t="s">
        <v>626</v>
      </c>
      <c r="E3226" s="6" t="s">
        <v>419</v>
      </c>
      <c r="F3226" s="6" t="str">
        <f>IF($M3226="PADD I","PADD 1",IF($M3226="PADD II","PADD 2",IF($M3226="PADD III","PADD 3",IF($M3226="PADD IV","PADD 4",IF($M3226="PADD V","PADD 5","")))))</f>
        <v>PADD 3</v>
      </c>
      <c r="G3226" s="6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6" t="s">
        <v>39</v>
      </c>
      <c r="I3226" s="6" t="s">
        <v>381</v>
      </c>
      <c r="J3226" s="6" t="s">
        <v>398</v>
      </c>
      <c r="K3226" s="10">
        <v>20.3</v>
      </c>
      <c r="L3226" s="10">
        <v>70</v>
      </c>
      <c r="M3226" s="6" t="s">
        <v>421</v>
      </c>
      <c r="N3226" s="6">
        <f>IF(OR($G3226="FCC",$G3226="Hydrocracker",$G3226="Reformer"),IF(COUNTIFS($D:$D,$D3226,$A:$A,$A3226,$B:$B,$B3226,$G:$G,"CDU",$J:$J,"PLANNED")&gt;0,"tied","standalone"),"")</f>
        <v/>
      </c>
    </row>
    <row r="3227" spans="1:14">
      <c r="A3227" s="6">
        <v>2024</v>
      </c>
      <c r="B3227" s="6">
        <v>3</v>
      </c>
      <c r="C3227" s="6" t="s">
        <v>62</v>
      </c>
      <c r="D3227" s="6" t="s">
        <v>380</v>
      </c>
      <c r="E3227" s="6" t="s">
        <v>423</v>
      </c>
      <c r="F3227" s="6" t="str">
        <f>IF($M3227="PADD I","PADD 1",IF($M3227="PADD II","PADD 2",IF($M3227="PADD III","PADD 3",IF($M3227="PADD IV","PADD 4",IF($M3227="PADD V","PADD 5","")))))</f>
        <v>PADD 2</v>
      </c>
      <c r="G3227" s="6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6" t="s">
        <v>485</v>
      </c>
      <c r="I3227" s="6" t="s">
        <v>491</v>
      </c>
      <c r="J3227" s="6" t="s">
        <v>394</v>
      </c>
      <c r="K3227" s="10">
        <v>20.01</v>
      </c>
      <c r="L3227" s="10">
        <v>23</v>
      </c>
      <c r="M3227" s="6" t="s">
        <v>425</v>
      </c>
      <c r="N3227" s="6">
        <f>IF(OR($G3227="FCC",$G3227="Hydrocracker",$G3227="Reformer"),IF(COUNTIFS($D:$D,$D3227,$A:$A,$A3227,$B:$B,$B3227,$G:$G,"CDU",$J:$J,"PLANNED")&gt;0,"tied","standalone"),"")</f>
        <v/>
      </c>
    </row>
    <row r="3228" spans="1:14">
      <c r="A3228" s="6">
        <v>2024</v>
      </c>
      <c r="B3228" s="6">
        <v>3</v>
      </c>
      <c r="C3228" s="6" t="s">
        <v>62</v>
      </c>
      <c r="D3228" s="6" t="s">
        <v>515</v>
      </c>
      <c r="E3228" s="6" t="s">
        <v>419</v>
      </c>
      <c r="F3228" s="6" t="str">
        <f>IF($M3228="PADD I","PADD 1",IF($M3228="PADD II","PADD 2",IF($M3228="PADD III","PADD 3",IF($M3228="PADD IV","PADD 4",IF($M3228="PADD V","PADD 5","")))))</f>
        <v>PADD 5</v>
      </c>
      <c r="G3228" s="6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6" t="s">
        <v>471</v>
      </c>
      <c r="I3228" s="6" t="s">
        <v>723</v>
      </c>
      <c r="J3228" s="6" t="s">
        <v>398</v>
      </c>
      <c r="K3228" s="10">
        <v>20</v>
      </c>
      <c r="L3228" s="10">
        <v>20</v>
      </c>
      <c r="M3228" s="6" t="s">
        <v>436</v>
      </c>
      <c r="N3228" s="6" t="str">
        <f>IF(OR($G3228="FCC",$G3228="Hydrocracker",$G3228="Reformer"),IF(COUNTIFS($D:$D,$D3228,$A:$A,$A3228,$B:$B,$B3228,$G:$G,"CDU",$J:$J,"PLANNED")&gt;0,"tied","standalone"),"")</f>
        <v>standalone</v>
      </c>
    </row>
    <row r="3229" spans="1:14">
      <c r="A3229" s="6">
        <v>2024</v>
      </c>
      <c r="B3229" s="6">
        <v>3</v>
      </c>
      <c r="C3229" s="6" t="s">
        <v>62</v>
      </c>
      <c r="D3229" s="6" t="s">
        <v>458</v>
      </c>
      <c r="E3229" s="6" t="s">
        <v>459</v>
      </c>
      <c r="F3229" s="6" t="str">
        <f>IF($M3229="PADD I","PADD 1",IF($M3229="PADD II","PADD 2",IF($M3229="PADD III","PADD 3",IF($M3229="PADD IV","PADD 4",IF($M3229="PADD V","PADD 5","")))))</f>
        <v>PADD 3</v>
      </c>
      <c r="G3229" s="6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6" t="s">
        <v>428</v>
      </c>
      <c r="I3229" s="6" t="s">
        <v>539</v>
      </c>
      <c r="J3229" s="6" t="s">
        <v>394</v>
      </c>
      <c r="K3229" s="10">
        <v>19.2</v>
      </c>
      <c r="L3229" s="10">
        <v>60</v>
      </c>
      <c r="M3229" s="6" t="s">
        <v>421</v>
      </c>
      <c r="N3229" s="6">
        <f>IF(OR($G3229="FCC",$G3229="Hydrocracker",$G3229="Reformer"),IF(COUNTIFS($D:$D,$D3229,$A:$A,$A3229,$B:$B,$B3229,$G:$G,"CDU",$J:$J,"PLANNED")&gt;0,"tied","standalone"),"")</f>
        <v/>
      </c>
    </row>
    <row r="3230" spans="1:14">
      <c r="A3230" s="6">
        <v>2024</v>
      </c>
      <c r="B3230" s="6">
        <v>3</v>
      </c>
      <c r="C3230" s="6" t="s">
        <v>62</v>
      </c>
      <c r="D3230" s="6" t="s">
        <v>49</v>
      </c>
      <c r="E3230" s="6" t="s">
        <v>438</v>
      </c>
      <c r="F3230" s="6" t="str">
        <f>IF($M3230="PADD I","PADD 1",IF($M3230="PADD II","PADD 2",IF($M3230="PADD III","PADD 3",IF($M3230="PADD IV","PADD 4",IF($M3230="PADD V","PADD 5","")))))</f>
        <v>PADD 2</v>
      </c>
      <c r="G3230" s="6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6" t="s">
        <v>494</v>
      </c>
      <c r="I3230" s="6" t="s">
        <v>808</v>
      </c>
      <c r="J3230" s="6" t="s">
        <v>394</v>
      </c>
      <c r="K3230" s="10">
        <v>18.48</v>
      </c>
      <c r="L3230" s="10">
        <v>44</v>
      </c>
      <c r="M3230" s="6" t="s">
        <v>425</v>
      </c>
      <c r="N3230" s="6" t="str">
        <f>IF(OR($G3230="FCC",$G3230="Hydrocracker",$G3230="Reformer"),IF(COUNTIFS($D:$D,$D3230,$A:$A,$A3230,$B:$B,$B3230,$G:$G,"CDU",$J:$J,"PLANNED")&gt;0,"tied","standalone"),"")</f>
        <v>tied</v>
      </c>
    </row>
    <row r="3231" spans="1:14">
      <c r="A3231" s="6">
        <v>2024</v>
      </c>
      <c r="B3231" s="6">
        <v>3</v>
      </c>
      <c r="C3231" s="6" t="s">
        <v>62</v>
      </c>
      <c r="D3231" s="6" t="s">
        <v>812</v>
      </c>
      <c r="E3231" s="6" t="s">
        <v>813</v>
      </c>
      <c r="F3231" s="6" t="str">
        <f>IF($M3231="PADD I","PADD 1",IF($M3231="PADD II","PADD 2",IF($M3231="PADD III","PADD 3",IF($M3231="PADD IV","PADD 4",IF($M3231="PADD V","PADD 5","")))))</f>
        <v>PADD 2</v>
      </c>
      <c r="G3231" s="6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6" t="s">
        <v>426</v>
      </c>
      <c r="I3231" s="6" t="s">
        <v>106</v>
      </c>
      <c r="J3231" s="6" t="s">
        <v>398</v>
      </c>
      <c r="K3231" s="10">
        <v>17.64</v>
      </c>
      <c r="L3231" s="10">
        <v>21</v>
      </c>
      <c r="M3231" s="6" t="s">
        <v>425</v>
      </c>
      <c r="N3231" s="6" t="str">
        <f>IF(OR($G3231="FCC",$G3231="Hydrocracker",$G3231="Reformer"),IF(COUNTIFS($D:$D,$D3231,$A:$A,$A3231,$B:$B,$B3231,$G:$G,"CDU",$J:$J,"PLANNED")&gt;0,"tied","standalone"),"")</f>
        <v>tied</v>
      </c>
    </row>
    <row r="3232" spans="1:14">
      <c r="A3232" s="6">
        <v>2024</v>
      </c>
      <c r="B3232" s="6">
        <v>3</v>
      </c>
      <c r="C3232" s="6" t="s">
        <v>62</v>
      </c>
      <c r="D3232" s="6" t="s">
        <v>496</v>
      </c>
      <c r="E3232" s="6" t="s">
        <v>441</v>
      </c>
      <c r="F3232" s="6" t="str">
        <f>IF($M3232="PADD I","PADD 1",IF($M3232="PADD II","PADD 2",IF($M3232="PADD III","PADD 3",IF($M3232="PADD IV","PADD 4",IF($M3232="PADD V","PADD 5","")))))</f>
        <v>PADD 3</v>
      </c>
      <c r="G3232" s="6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6" t="s">
        <v>44</v>
      </c>
      <c r="I3232" s="6" t="s">
        <v>1193</v>
      </c>
      <c r="J3232" s="6" t="s">
        <v>398</v>
      </c>
      <c r="K3232" s="10">
        <v>17.6</v>
      </c>
      <c r="L3232" s="10">
        <v>32</v>
      </c>
      <c r="M3232" s="6" t="s">
        <v>421</v>
      </c>
      <c r="N3232" s="6">
        <f>IF(OR($G3232="FCC",$G3232="Hydrocracker",$G3232="Reformer"),IF(COUNTIFS($D:$D,$D3232,$A:$A,$A3232,$B:$B,$B3232,$G:$G,"CDU",$J:$J,"PLANNED")&gt;0,"tied","standalone"),"")</f>
        <v/>
      </c>
    </row>
    <row r="3233" spans="1:14">
      <c r="A3233" s="6">
        <v>2024</v>
      </c>
      <c r="B3233" s="6">
        <v>3</v>
      </c>
      <c r="C3233" s="6" t="s">
        <v>62</v>
      </c>
      <c r="D3233" s="6" t="s">
        <v>465</v>
      </c>
      <c r="E3233" s="6" t="s">
        <v>466</v>
      </c>
      <c r="F3233" s="6" t="str">
        <f>IF($M3233="PADD I","PADD 1",IF($M3233="PADD II","PADD 2",IF($M3233="PADD III","PADD 3",IF($M3233="PADD IV","PADD 4",IF($M3233="PADD V","PADD 5","")))))</f>
        <v>PADD 3</v>
      </c>
      <c r="G3233" s="6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6" t="s">
        <v>39</v>
      </c>
      <c r="I3233" s="6" t="s">
        <v>134</v>
      </c>
      <c r="J3233" s="6" t="s">
        <v>398</v>
      </c>
      <c r="K3233" s="10">
        <v>17.28</v>
      </c>
      <c r="L3233" s="10">
        <v>108</v>
      </c>
      <c r="M3233" s="6" t="s">
        <v>421</v>
      </c>
      <c r="N3233" s="6">
        <f>IF(OR($G3233="FCC",$G3233="Hydrocracker",$G3233="Reformer"),IF(COUNTIFS($D:$D,$D3233,$A:$A,$A3233,$B:$B,$B3233,$G:$G,"CDU",$J:$J,"PLANNED")&gt;0,"tied","standalone"),"")</f>
        <v/>
      </c>
    </row>
    <row r="3234" spans="1:14">
      <c r="A3234" s="6">
        <v>2024</v>
      </c>
      <c r="B3234" s="6">
        <v>3</v>
      </c>
      <c r="C3234" s="6" t="s">
        <v>62</v>
      </c>
      <c r="D3234" s="6" t="s">
        <v>689</v>
      </c>
      <c r="E3234" s="6" t="s">
        <v>502</v>
      </c>
      <c r="F3234" s="6" t="str">
        <f>IF($M3234="PADD I","PADD 1",IF($M3234="PADD II","PADD 2",IF($M3234="PADD III","PADD 3",IF($M3234="PADD IV","PADD 4",IF($M3234="PADD V","PADD 5","")))))</f>
        <v>PADD 5</v>
      </c>
      <c r="G3234" s="6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6" t="s">
        <v>485</v>
      </c>
      <c r="I3234" s="6" t="s">
        <v>1146</v>
      </c>
      <c r="J3234" s="6" t="s">
        <v>394</v>
      </c>
      <c r="K3234" s="10">
        <v>17.04</v>
      </c>
      <c r="L3234" s="10">
        <v>24</v>
      </c>
      <c r="M3234" s="6" t="s">
        <v>436</v>
      </c>
      <c r="N3234" s="6">
        <f>IF(OR($G3234="FCC",$G3234="Hydrocracker",$G3234="Reformer"),IF(COUNTIFS($D:$D,$D3234,$A:$A,$A3234,$B:$B,$B3234,$G:$G,"CDU",$J:$J,"PLANNED")&gt;0,"tied","standalone"),"")</f>
        <v/>
      </c>
    </row>
    <row r="3235" spans="1:14">
      <c r="A3235" s="6">
        <v>2024</v>
      </c>
      <c r="B3235" s="6">
        <v>3</v>
      </c>
      <c r="C3235" s="6" t="s">
        <v>62</v>
      </c>
      <c r="D3235" s="6" t="s">
        <v>515</v>
      </c>
      <c r="E3235" s="6" t="s">
        <v>419</v>
      </c>
      <c r="F3235" s="6" t="str">
        <f>IF($M3235="PADD I","PADD 1",IF($M3235="PADD II","PADD 2",IF($M3235="PADD III","PADD 3",IF($M3235="PADD IV","PADD 4",IF($M3235="PADD V","PADD 5","")))))</f>
        <v>PADD 5</v>
      </c>
      <c r="G3235" s="6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6" t="s">
        <v>494</v>
      </c>
      <c r="I3235" s="6" t="s">
        <v>718</v>
      </c>
      <c r="J3235" s="6" t="s">
        <v>398</v>
      </c>
      <c r="K3235" s="10">
        <v>16.775</v>
      </c>
      <c r="L3235" s="10">
        <v>27.5</v>
      </c>
      <c r="M3235" s="6" t="s">
        <v>436</v>
      </c>
      <c r="N3235" s="6" t="str">
        <f>IF(OR($G3235="FCC",$G3235="Hydrocracker",$G3235="Reformer"),IF(COUNTIFS($D:$D,$D3235,$A:$A,$A3235,$B:$B,$B3235,$G:$G,"CDU",$J:$J,"PLANNED")&gt;0,"tied","standalone"),"")</f>
        <v>standalone</v>
      </c>
    </row>
    <row r="3236" spans="1:14">
      <c r="A3236" s="6">
        <v>2024</v>
      </c>
      <c r="B3236" s="6">
        <v>3</v>
      </c>
      <c r="C3236" s="6" t="s">
        <v>62</v>
      </c>
      <c r="D3236" s="6" t="s">
        <v>458</v>
      </c>
      <c r="E3236" s="6" t="s">
        <v>459</v>
      </c>
      <c r="F3236" s="6" t="str">
        <f>IF($M3236="PADD I","PADD 1",IF($M3236="PADD II","PADD 2",IF($M3236="PADD III","PADD 3",IF($M3236="PADD IV","PADD 4",IF($M3236="PADD V","PADD 5","")))))</f>
        <v>PADD 3</v>
      </c>
      <c r="G3236" s="6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6" t="s">
        <v>428</v>
      </c>
      <c r="I3236" s="6" t="s">
        <v>556</v>
      </c>
      <c r="J3236" s="6" t="s">
        <v>394</v>
      </c>
      <c r="K3236" s="10">
        <v>16.64</v>
      </c>
      <c r="L3236" s="10">
        <v>52</v>
      </c>
      <c r="M3236" s="6" t="s">
        <v>421</v>
      </c>
      <c r="N3236" s="6">
        <f>IF(OR($G3236="FCC",$G3236="Hydrocracker",$G3236="Reformer"),IF(COUNTIFS($D:$D,$D3236,$A:$A,$A3236,$B:$B,$B3236,$G:$G,"CDU",$J:$J,"PLANNED")&gt;0,"tied","standalone"),"")</f>
        <v/>
      </c>
    </row>
    <row r="3237" spans="1:14">
      <c r="A3237" s="6">
        <v>2024</v>
      </c>
      <c r="B3237" s="6">
        <v>3</v>
      </c>
      <c r="C3237" s="6" t="s">
        <v>62</v>
      </c>
      <c r="D3237" s="6" t="s">
        <v>479</v>
      </c>
      <c r="E3237" s="6" t="s">
        <v>438</v>
      </c>
      <c r="F3237" s="6" t="str">
        <f>IF($M3237="PADD I","PADD 1",IF($M3237="PADD II","PADD 2",IF($M3237="PADD III","PADD 3",IF($M3237="PADD IV","PADD 4",IF($M3237="PADD V","PADD 5","")))))</f>
        <v>PADD 4</v>
      </c>
      <c r="G3237" s="6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6" t="s">
        <v>44</v>
      </c>
      <c r="I3237" s="6" t="s">
        <v>564</v>
      </c>
      <c r="J3237" s="6" t="s">
        <v>394</v>
      </c>
      <c r="K3237" s="10">
        <v>16.587</v>
      </c>
      <c r="L3237" s="10">
        <v>17.1</v>
      </c>
      <c r="M3237" s="6" t="s">
        <v>480</v>
      </c>
      <c r="N3237" s="6">
        <f>IF(OR($G3237="FCC",$G3237="Hydrocracker",$G3237="Reformer"),IF(COUNTIFS($D:$D,$D3237,$A:$A,$A3237,$B:$B,$B3237,$G:$G,"CDU",$J:$J,"PLANNED")&gt;0,"tied","standalone"),"")</f>
        <v/>
      </c>
    </row>
    <row r="3238" spans="1:14">
      <c r="A3238" s="6">
        <v>2024</v>
      </c>
      <c r="B3238" s="6">
        <v>3</v>
      </c>
      <c r="C3238" s="6" t="s">
        <v>62</v>
      </c>
      <c r="D3238" s="6" t="s">
        <v>496</v>
      </c>
      <c r="E3238" s="6" t="s">
        <v>441</v>
      </c>
      <c r="F3238" s="6" t="str">
        <f>IF($M3238="PADD I","PADD 1",IF($M3238="PADD II","PADD 2",IF($M3238="PADD III","PADD 3",IF($M3238="PADD IV","PADD 4",IF($M3238="PADD V","PADD 5","")))))</f>
        <v>PADD 3</v>
      </c>
      <c r="G3238" s="6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6" t="s">
        <v>428</v>
      </c>
      <c r="I3238" s="6" t="s">
        <v>1091</v>
      </c>
      <c r="J3238" s="6" t="s">
        <v>394</v>
      </c>
      <c r="K3238" s="10">
        <v>15.96</v>
      </c>
      <c r="L3238" s="10">
        <v>38</v>
      </c>
      <c r="M3238" s="6" t="s">
        <v>421</v>
      </c>
      <c r="N3238" s="6">
        <f>IF(OR($G3238="FCC",$G3238="Hydrocracker",$G3238="Reformer"),IF(COUNTIFS($D:$D,$D3238,$A:$A,$A3238,$B:$B,$B3238,$G:$G,"CDU",$J:$J,"PLANNED")&gt;0,"tied","standalone"),"")</f>
        <v/>
      </c>
    </row>
    <row r="3239" spans="1:14">
      <c r="A3239" s="6">
        <v>2024</v>
      </c>
      <c r="B3239" s="6">
        <v>3</v>
      </c>
      <c r="C3239" s="6" t="s">
        <v>62</v>
      </c>
      <c r="D3239" s="6" t="s">
        <v>592</v>
      </c>
      <c r="E3239" s="6" t="s">
        <v>593</v>
      </c>
      <c r="F3239" s="6" t="str">
        <f>IF($M3239="PADD I","PADD 1",IF($M3239="PADD II","PADD 2",IF($M3239="PADD III","PADD 3",IF($M3239="PADD IV","PADD 4",IF($M3239="PADD V","PADD 5","")))))</f>
        <v>PADD 2</v>
      </c>
      <c r="G3239" s="6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6" t="s">
        <v>44</v>
      </c>
      <c r="I3239" s="6" t="s">
        <v>965</v>
      </c>
      <c r="J3239" s="6" t="s">
        <v>394</v>
      </c>
      <c r="K3239" s="10">
        <v>15.6</v>
      </c>
      <c r="L3239" s="10">
        <v>40</v>
      </c>
      <c r="M3239" s="6" t="s">
        <v>425</v>
      </c>
      <c r="N3239" s="6">
        <f>IF(OR($G3239="FCC",$G3239="Hydrocracker",$G3239="Reformer"),IF(COUNTIFS($D:$D,$D3239,$A:$A,$A3239,$B:$B,$B3239,$G:$G,"CDU",$J:$J,"PLANNED")&gt;0,"tied","standalone"),"")</f>
        <v/>
      </c>
    </row>
    <row r="3240" spans="1:14">
      <c r="A3240" s="6">
        <v>2024</v>
      </c>
      <c r="B3240" s="6">
        <v>3</v>
      </c>
      <c r="C3240" s="6" t="s">
        <v>62</v>
      </c>
      <c r="D3240" s="6" t="s">
        <v>901</v>
      </c>
      <c r="E3240" s="6" t="s">
        <v>902</v>
      </c>
      <c r="F3240" s="6" t="str">
        <f>IF($M3240="PADD I","PADD 1",IF($M3240="PADD II","PADD 2",IF($M3240="PADD III","PADD 3",IF($M3240="PADD IV","PADD 4",IF($M3240="PADD V","PADD 5","")))))</f>
        <v>PADD 3</v>
      </c>
      <c r="G3240" s="6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6" t="s">
        <v>428</v>
      </c>
      <c r="I3240" s="6" t="s">
        <v>910</v>
      </c>
      <c r="J3240" s="6" t="s">
        <v>394</v>
      </c>
      <c r="K3240" s="10">
        <v>15.12</v>
      </c>
      <c r="L3240" s="10">
        <v>36</v>
      </c>
      <c r="M3240" s="6" t="s">
        <v>421</v>
      </c>
      <c r="N3240" s="6">
        <f>IF(OR($G3240="FCC",$G3240="Hydrocracker",$G3240="Reformer"),IF(COUNTIFS($D:$D,$D3240,$A:$A,$A3240,$B:$B,$B3240,$G:$G,"CDU",$J:$J,"PLANNED")&gt;0,"tied","standalone"),"")</f>
        <v/>
      </c>
    </row>
    <row r="3241" spans="1:14">
      <c r="A3241" s="6">
        <v>2024</v>
      </c>
      <c r="B3241" s="6">
        <v>3</v>
      </c>
      <c r="C3241" s="6" t="s">
        <v>62</v>
      </c>
      <c r="D3241" s="6" t="s">
        <v>437</v>
      </c>
      <c r="E3241" s="6" t="s">
        <v>438</v>
      </c>
      <c r="F3241" s="6" t="str">
        <f>IF($M3241="PADD I","PADD 1",IF($M3241="PADD II","PADD 2",IF($M3241="PADD III","PADD 3",IF($M3241="PADD IV","PADD 4",IF($M3241="PADD V","PADD 5","")))))</f>
        <v>PADD 3</v>
      </c>
      <c r="G3241" s="6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6" t="s">
        <v>471</v>
      </c>
      <c r="I3241" s="6" t="s">
        <v>493</v>
      </c>
      <c r="J3241" s="6" t="s">
        <v>394</v>
      </c>
      <c r="K3241" s="10">
        <v>14.725</v>
      </c>
      <c r="L3241" s="10">
        <v>77.5</v>
      </c>
      <c r="M3241" s="6" t="s">
        <v>421</v>
      </c>
      <c r="N3241" s="6" t="str">
        <f>IF(OR($G3241="FCC",$G3241="Hydrocracker",$G3241="Reformer"),IF(COUNTIFS($D:$D,$D3241,$A:$A,$A3241,$B:$B,$B3241,$G:$G,"CDU",$J:$J,"PLANNED")&gt;0,"tied","standalone"),"")</f>
        <v>standalone</v>
      </c>
    </row>
    <row r="3242" spans="1:14">
      <c r="A3242" s="6">
        <v>2024</v>
      </c>
      <c r="B3242" s="6">
        <v>3</v>
      </c>
      <c r="C3242" s="6" t="s">
        <v>62</v>
      </c>
      <c r="D3242" s="6" t="s">
        <v>597</v>
      </c>
      <c r="E3242" s="6" t="s">
        <v>441</v>
      </c>
      <c r="F3242" s="6" t="str">
        <f>IF($M3242="PADD I","PADD 1",IF($M3242="PADD II","PADD 2",IF($M3242="PADD III","PADD 3",IF($M3242="PADD IV","PADD 4",IF($M3242="PADD V","PADD 5","")))))</f>
        <v>PADD 5</v>
      </c>
      <c r="G3242" s="6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6" t="s">
        <v>471</v>
      </c>
      <c r="I3242" s="6" t="s">
        <v>598</v>
      </c>
      <c r="J3242" s="6" t="s">
        <v>394</v>
      </c>
      <c r="K3242" s="10">
        <v>14.56</v>
      </c>
      <c r="L3242" s="10">
        <v>28</v>
      </c>
      <c r="M3242" s="6" t="s">
        <v>436</v>
      </c>
      <c r="N3242" s="6" t="str">
        <f>IF(OR($G3242="FCC",$G3242="Hydrocracker",$G3242="Reformer"),IF(COUNTIFS($D:$D,$D3242,$A:$A,$A3242,$B:$B,$B3242,$G:$G,"CDU",$J:$J,"PLANNED")&gt;0,"tied","standalone"),"")</f>
        <v>standalone</v>
      </c>
    </row>
    <row r="3243" spans="1:14">
      <c r="A3243" s="6">
        <v>2024</v>
      </c>
      <c r="B3243" s="6">
        <v>3</v>
      </c>
      <c r="C3243" s="6" t="s">
        <v>62</v>
      </c>
      <c r="D3243" s="6" t="s">
        <v>534</v>
      </c>
      <c r="E3243" s="6" t="s">
        <v>459</v>
      </c>
      <c r="F3243" s="6" t="str">
        <f>IF($M3243="PADD I","PADD 1",IF($M3243="PADD II","PADD 2",IF($M3243="PADD III","PADD 3",IF($M3243="PADD IV","PADD 4",IF($M3243="PADD V","PADD 5","")))))</f>
        <v>PADD 3</v>
      </c>
      <c r="G3243" s="6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6" t="s">
        <v>44</v>
      </c>
      <c r="I3243" s="6" t="s">
        <v>551</v>
      </c>
      <c r="J3243" s="6" t="s">
        <v>394</v>
      </c>
      <c r="K3243" s="10">
        <v>14.56</v>
      </c>
      <c r="L3243" s="10">
        <v>45.5</v>
      </c>
      <c r="M3243" s="6" t="s">
        <v>421</v>
      </c>
      <c r="N3243" s="6">
        <f>IF(OR($G3243="FCC",$G3243="Hydrocracker",$G3243="Reformer"),IF(COUNTIFS($D:$D,$D3243,$A:$A,$A3243,$B:$B,$B3243,$G:$G,"CDU",$J:$J,"PLANNED")&gt;0,"tied","standalone"),"")</f>
        <v/>
      </c>
    </row>
    <row r="3244" spans="1:14">
      <c r="A3244" s="6">
        <v>2024</v>
      </c>
      <c r="B3244" s="6">
        <v>3</v>
      </c>
      <c r="C3244" s="6" t="s">
        <v>62</v>
      </c>
      <c r="D3244" s="6" t="s">
        <v>458</v>
      </c>
      <c r="E3244" s="6" t="s">
        <v>459</v>
      </c>
      <c r="F3244" s="6" t="str">
        <f>IF($M3244="PADD I","PADD 1",IF($M3244="PADD II","PADD 2",IF($M3244="PADD III","PADD 3",IF($M3244="PADD IV","PADD 4",IF($M3244="PADD V","PADD 5","")))))</f>
        <v>PADD 3</v>
      </c>
      <c r="G3244" s="6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6" t="s">
        <v>426</v>
      </c>
      <c r="I3244" s="6" t="s">
        <v>476</v>
      </c>
      <c r="J3244" s="6" t="s">
        <v>394</v>
      </c>
      <c r="K3244" s="10">
        <v>14.44</v>
      </c>
      <c r="L3244" s="10">
        <v>76</v>
      </c>
      <c r="M3244" s="6" t="s">
        <v>421</v>
      </c>
      <c r="N3244" s="6" t="str">
        <f>IF(OR($G3244="FCC",$G3244="Hydrocracker",$G3244="Reformer"),IF(COUNTIFS($D:$D,$D3244,$A:$A,$A3244,$B:$B,$B3244,$G:$G,"CDU",$J:$J,"PLANNED")&gt;0,"tied","standalone"),"")</f>
        <v>standalone</v>
      </c>
    </row>
    <row r="3245" spans="1:14">
      <c r="A3245" s="6">
        <v>2024</v>
      </c>
      <c r="B3245" s="6">
        <v>3</v>
      </c>
      <c r="C3245" s="6" t="s">
        <v>62</v>
      </c>
      <c r="D3245" s="6" t="s">
        <v>43</v>
      </c>
      <c r="E3245" s="6" t="s">
        <v>455</v>
      </c>
      <c r="F3245" s="6" t="str">
        <f>IF($M3245="PADD I","PADD 1",IF($M3245="PADD II","PADD 2",IF($M3245="PADD III","PADD 3",IF($M3245="PADD IV","PADD 4",IF($M3245="PADD V","PADD 5","")))))</f>
        <v>PADD 3</v>
      </c>
      <c r="G3245" s="6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6" t="s">
        <v>44</v>
      </c>
      <c r="I3245" s="6" t="s">
        <v>1137</v>
      </c>
      <c r="J3245" s="6" t="s">
        <v>398</v>
      </c>
      <c r="K3245" s="10">
        <v>14.3</v>
      </c>
      <c r="L3245" s="10">
        <v>110</v>
      </c>
      <c r="M3245" s="6" t="s">
        <v>421</v>
      </c>
      <c r="N3245" s="6">
        <f>IF(OR($G3245="FCC",$G3245="Hydrocracker",$G3245="Reformer"),IF(COUNTIFS($D:$D,$D3245,$A:$A,$A3245,$B:$B,$B3245,$G:$G,"CDU",$J:$J,"PLANNED")&gt;0,"tied","standalone"),"")</f>
        <v/>
      </c>
    </row>
    <row r="3246" spans="1:14">
      <c r="A3246" s="6">
        <v>2024</v>
      </c>
      <c r="B3246" s="6">
        <v>3</v>
      </c>
      <c r="C3246" s="6" t="s">
        <v>62</v>
      </c>
      <c r="D3246" s="6" t="s">
        <v>505</v>
      </c>
      <c r="E3246" s="6" t="s">
        <v>455</v>
      </c>
      <c r="F3246" s="6" t="str">
        <f>IF($M3246="PADD I","PADD 1",IF($M3246="PADD II","PADD 2",IF($M3246="PADD III","PADD 3",IF($M3246="PADD IV","PADD 4",IF($M3246="PADD V","PADD 5","")))))</f>
        <v>PADD 3</v>
      </c>
      <c r="G3246" s="6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6" t="s">
        <v>494</v>
      </c>
      <c r="I3246" s="6" t="s">
        <v>506</v>
      </c>
      <c r="J3246" s="6" t="s">
        <v>398</v>
      </c>
      <c r="K3246" s="10">
        <v>14.25</v>
      </c>
      <c r="L3246" s="10">
        <v>75</v>
      </c>
      <c r="M3246" s="6" t="s">
        <v>421</v>
      </c>
      <c r="N3246" s="6" t="str">
        <f>IF(OR($G3246="FCC",$G3246="Hydrocracker",$G3246="Reformer"),IF(COUNTIFS($D:$D,$D3246,$A:$A,$A3246,$B:$B,$B3246,$G:$G,"CDU",$J:$J,"PLANNED")&gt;0,"tied","standalone"),"")</f>
        <v>tied</v>
      </c>
    </row>
    <row r="3247" spans="1:14">
      <c r="A3247" s="6">
        <v>2024</v>
      </c>
      <c r="B3247" s="6">
        <v>3</v>
      </c>
      <c r="C3247" s="6" t="s">
        <v>62</v>
      </c>
      <c r="D3247" s="6" t="s">
        <v>915</v>
      </c>
      <c r="E3247" s="6" t="s">
        <v>419</v>
      </c>
      <c r="F3247" s="6" t="str">
        <f>IF($M3247="PADD I","PADD 1",IF($M3247="PADD II","PADD 2",IF($M3247="PADD III","PADD 3",IF($M3247="PADD IV","PADD 4",IF($M3247="PADD V","PADD 5","")))))</f>
        <v>PADD 4</v>
      </c>
      <c r="G3247" s="6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6" t="s">
        <v>485</v>
      </c>
      <c r="I3247" s="6" t="s">
        <v>920</v>
      </c>
      <c r="J3247" s="6" t="s">
        <v>394</v>
      </c>
      <c r="K3247" s="10">
        <v>14.2</v>
      </c>
      <c r="L3247" s="10">
        <v>20</v>
      </c>
      <c r="M3247" s="6" t="s">
        <v>480</v>
      </c>
      <c r="N3247" s="6">
        <f>IF(OR($G3247="FCC",$G3247="Hydrocracker",$G3247="Reformer"),IF(COUNTIFS($D:$D,$D3247,$A:$A,$A3247,$B:$B,$B3247,$G:$G,"CDU",$J:$J,"PLANNED")&gt;0,"tied","standalone"),"")</f>
        <v/>
      </c>
    </row>
    <row r="3248" spans="1:14">
      <c r="A3248" s="6">
        <v>2024</v>
      </c>
      <c r="B3248" s="6">
        <v>3</v>
      </c>
      <c r="C3248" s="6" t="s">
        <v>62</v>
      </c>
      <c r="D3248" s="6" t="s">
        <v>849</v>
      </c>
      <c r="E3248" s="6" t="s">
        <v>441</v>
      </c>
      <c r="F3248" s="6" t="str">
        <f>IF($M3248="PADD I","PADD 1",IF($M3248="PADD II","PADD 2",IF($M3248="PADD III","PADD 3",IF($M3248="PADD IV","PADD 4",IF($M3248="PADD V","PADD 5","")))))</f>
        <v>PADD 4</v>
      </c>
      <c r="G3248" s="6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6" t="s">
        <v>39</v>
      </c>
      <c r="I3248" s="6" t="s">
        <v>1154</v>
      </c>
      <c r="J3248" s="6" t="s">
        <v>398</v>
      </c>
      <c r="K3248" s="10">
        <v>14.17</v>
      </c>
      <c r="L3248" s="10">
        <v>54.5</v>
      </c>
      <c r="M3248" s="6" t="s">
        <v>480</v>
      </c>
      <c r="N3248" s="6">
        <f>IF(OR($G3248="FCC",$G3248="Hydrocracker",$G3248="Reformer"),IF(COUNTIFS($D:$D,$D3248,$A:$A,$A3248,$B:$B,$B3248,$G:$G,"CDU",$J:$J,"PLANNED")&gt;0,"tied","standalone"),"")</f>
        <v/>
      </c>
    </row>
    <row r="3249" spans="1:14">
      <c r="A3249" s="6">
        <v>2024</v>
      </c>
      <c r="B3249" s="6">
        <v>3</v>
      </c>
      <c r="C3249" s="6" t="s">
        <v>62</v>
      </c>
      <c r="D3249" s="6" t="s">
        <v>592</v>
      </c>
      <c r="E3249" s="6" t="s">
        <v>593</v>
      </c>
      <c r="F3249" s="6" t="str">
        <f>IF($M3249="PADD I","PADD 1",IF($M3249="PADD II","PADD 2",IF($M3249="PADD III","PADD 3",IF($M3249="PADD IV","PADD 4",IF($M3249="PADD V","PADD 5","")))))</f>
        <v>PADD 2</v>
      </c>
      <c r="G3249" s="6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6" t="s">
        <v>44</v>
      </c>
      <c r="I3249" s="6" t="s">
        <v>1056</v>
      </c>
      <c r="J3249" s="6" t="s">
        <v>394</v>
      </c>
      <c r="K3249" s="10">
        <v>14.04</v>
      </c>
      <c r="L3249" s="10">
        <v>36</v>
      </c>
      <c r="M3249" s="6" t="s">
        <v>425</v>
      </c>
      <c r="N3249" s="6">
        <f>IF(OR($G3249="FCC",$G3249="Hydrocracker",$G3249="Reformer"),IF(COUNTIFS($D:$D,$D3249,$A:$A,$A3249,$B:$B,$B3249,$G:$G,"CDU",$J:$J,"PLANNED")&gt;0,"tied","standalone"),"")</f>
        <v/>
      </c>
    </row>
    <row r="3250" spans="1:14">
      <c r="A3250" s="6">
        <v>2024</v>
      </c>
      <c r="B3250" s="6">
        <v>3</v>
      </c>
      <c r="C3250" s="6" t="s">
        <v>62</v>
      </c>
      <c r="D3250" s="6" t="s">
        <v>824</v>
      </c>
      <c r="E3250" s="6" t="s">
        <v>825</v>
      </c>
      <c r="F3250" s="6" t="str">
        <f>IF($M3250="PADD I","PADD 1",IF($M3250="PADD II","PADD 2",IF($M3250="PADD III","PADD 3",IF($M3250="PADD IV","PADD 4",IF($M3250="PADD V","PADD 5","")))))</f>
        <v>PADD 1</v>
      </c>
      <c r="G3250" s="6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6" t="s">
        <v>485</v>
      </c>
      <c r="I3250" s="6" t="s">
        <v>826</v>
      </c>
      <c r="J3250" s="6" t="s">
        <v>398</v>
      </c>
      <c r="K3250" s="10">
        <v>13.818</v>
      </c>
      <c r="L3250" s="10">
        <v>14.7</v>
      </c>
      <c r="M3250" s="6" t="s">
        <v>463</v>
      </c>
      <c r="N3250" s="6">
        <f>IF(OR($G3250="FCC",$G3250="Hydrocracker",$G3250="Reformer"),IF(COUNTIFS($D:$D,$D3250,$A:$A,$A3250,$B:$B,$B3250,$G:$G,"CDU",$J:$J,"PLANNED")&gt;0,"tied","standalone"),"")</f>
        <v/>
      </c>
    </row>
    <row r="3251" spans="1:14">
      <c r="A3251" s="6">
        <v>2024</v>
      </c>
      <c r="B3251" s="6">
        <v>3</v>
      </c>
      <c r="C3251" s="6" t="s">
        <v>62</v>
      </c>
      <c r="D3251" s="6" t="s">
        <v>626</v>
      </c>
      <c r="E3251" s="6" t="s">
        <v>419</v>
      </c>
      <c r="F3251" s="6" t="str">
        <f>IF($M3251="PADD I","PADD 1",IF($M3251="PADD II","PADD 2",IF($M3251="PADD III","PADD 3",IF($M3251="PADD IV","PADD 4",IF($M3251="PADD V","PADD 5","")))))</f>
        <v>PADD 3</v>
      </c>
      <c r="G3251" s="6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6" t="s">
        <v>428</v>
      </c>
      <c r="I3251" s="6" t="s">
        <v>1014</v>
      </c>
      <c r="J3251" s="6" t="s">
        <v>394</v>
      </c>
      <c r="K3251" s="10">
        <v>13.806</v>
      </c>
      <c r="L3251" s="10">
        <v>53.1</v>
      </c>
      <c r="M3251" s="6" t="s">
        <v>421</v>
      </c>
      <c r="N3251" s="6">
        <f>IF(OR($G3251="FCC",$G3251="Hydrocracker",$G3251="Reformer"),IF(COUNTIFS($D:$D,$D3251,$A:$A,$A3251,$B:$B,$B3251,$G:$G,"CDU",$J:$J,"PLANNED")&gt;0,"tied","standalone"),"")</f>
        <v/>
      </c>
    </row>
    <row r="3252" spans="1:14">
      <c r="A3252" s="6">
        <v>2024</v>
      </c>
      <c r="B3252" s="6">
        <v>3</v>
      </c>
      <c r="C3252" s="6" t="s">
        <v>62</v>
      </c>
      <c r="D3252" s="6" t="s">
        <v>678</v>
      </c>
      <c r="E3252" s="6" t="s">
        <v>438</v>
      </c>
      <c r="F3252" s="6" t="str">
        <f>IF($M3252="PADD I","PADD 1",IF($M3252="PADD II","PADD 2",IF($M3252="PADD III","PADD 3",IF($M3252="PADD IV","PADD 4",IF($M3252="PADD V","PADD 5","")))))</f>
        <v>PADD 3</v>
      </c>
      <c r="G3252" s="6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6" t="s">
        <v>510</v>
      </c>
      <c r="I3252" s="6" t="s">
        <v>666</v>
      </c>
      <c r="J3252" s="6" t="s">
        <v>394</v>
      </c>
      <c r="K3252" s="10">
        <v>13.8</v>
      </c>
      <c r="L3252" s="10">
        <v>13.8</v>
      </c>
      <c r="M3252" s="6" t="s">
        <v>421</v>
      </c>
      <c r="N3252" s="6">
        <f>IF(OR($G3252="FCC",$G3252="Hydrocracker",$G3252="Reformer"),IF(COUNTIFS($D:$D,$D3252,$A:$A,$A3252,$B:$B,$B3252,$G:$G,"CDU",$J:$J,"PLANNED")&gt;0,"tied","standalone"),"")</f>
        <v/>
      </c>
    </row>
    <row r="3253" spans="1:14">
      <c r="A3253" s="6">
        <v>2024</v>
      </c>
      <c r="B3253" s="6">
        <v>3</v>
      </c>
      <c r="C3253" s="6" t="s">
        <v>62</v>
      </c>
      <c r="D3253" s="6" t="s">
        <v>824</v>
      </c>
      <c r="E3253" s="6" t="s">
        <v>825</v>
      </c>
      <c r="F3253" s="6" t="str">
        <f>IF($M3253="PADD I","PADD 1",IF($M3253="PADD II","PADD 2",IF($M3253="PADD III","PADD 3",IF($M3253="PADD IV","PADD 4",IF($M3253="PADD V","PADD 5","")))))</f>
        <v>PADD 1</v>
      </c>
      <c r="G3253" s="6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6" t="s">
        <v>44</v>
      </c>
      <c r="I3253" s="6" t="s">
        <v>1194</v>
      </c>
      <c r="J3253" s="6" t="s">
        <v>398</v>
      </c>
      <c r="K3253" s="10">
        <v>13.536</v>
      </c>
      <c r="L3253" s="10">
        <v>14.4</v>
      </c>
      <c r="M3253" s="6" t="s">
        <v>463</v>
      </c>
      <c r="N3253" s="6">
        <f>IF(OR($G3253="FCC",$G3253="Hydrocracker",$G3253="Reformer"),IF(COUNTIFS($D:$D,$D3253,$A:$A,$A3253,$B:$B,$B3253,$G:$G,"CDU",$J:$J,"PLANNED")&gt;0,"tied","standalone"),"")</f>
        <v/>
      </c>
    </row>
    <row r="3254" spans="1:14">
      <c r="A3254" s="6">
        <v>2024</v>
      </c>
      <c r="B3254" s="6">
        <v>3</v>
      </c>
      <c r="C3254" s="6" t="s">
        <v>62</v>
      </c>
      <c r="D3254" s="6" t="s">
        <v>458</v>
      </c>
      <c r="E3254" s="6" t="s">
        <v>459</v>
      </c>
      <c r="F3254" s="6" t="str">
        <f>IF($M3254="PADD I","PADD 1",IF($M3254="PADD II","PADD 2",IF($M3254="PADD III","PADD 3",IF($M3254="PADD IV","PADD 4",IF($M3254="PADD V","PADD 5","")))))</f>
        <v>PADD 3</v>
      </c>
      <c r="G3254" s="6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6" t="s">
        <v>428</v>
      </c>
      <c r="I3254" s="6" t="s">
        <v>556</v>
      </c>
      <c r="J3254" s="6" t="s">
        <v>394</v>
      </c>
      <c r="K3254" s="10">
        <v>13.52</v>
      </c>
      <c r="L3254" s="10">
        <v>52</v>
      </c>
      <c r="M3254" s="6" t="s">
        <v>421</v>
      </c>
      <c r="N3254" s="6">
        <f>IF(OR($G3254="FCC",$G3254="Hydrocracker",$G3254="Reformer"),IF(COUNTIFS($D:$D,$D3254,$A:$A,$A3254,$B:$B,$B3254,$G:$G,"CDU",$J:$J,"PLANNED")&gt;0,"tied","standalone"),"")</f>
        <v/>
      </c>
    </row>
    <row r="3255" spans="1:14">
      <c r="A3255" s="6">
        <v>2024</v>
      </c>
      <c r="B3255" s="6">
        <v>3</v>
      </c>
      <c r="C3255" s="6" t="s">
        <v>62</v>
      </c>
      <c r="D3255" s="6" t="s">
        <v>1191</v>
      </c>
      <c r="E3255" s="6" t="s">
        <v>1129</v>
      </c>
      <c r="F3255" s="6" t="str">
        <f>IF($M3255="PADD I","PADD 1",IF($M3255="PADD II","PADD 2",IF($M3255="PADD III","PADD 3",IF($M3255="PADD IV","PADD 4",IF($M3255="PADD V","PADD 5","")))))</f>
        <v>PADD 3</v>
      </c>
      <c r="G3255" s="6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6" t="s">
        <v>471</v>
      </c>
      <c r="I3255" s="6" t="s">
        <v>609</v>
      </c>
      <c r="J3255" s="6" t="s">
        <v>398</v>
      </c>
      <c r="K3255" s="10">
        <v>13.5</v>
      </c>
      <c r="L3255" s="10">
        <v>13.5</v>
      </c>
      <c r="M3255" s="6" t="s">
        <v>421</v>
      </c>
      <c r="N3255" s="6" t="str">
        <f>IF(OR($G3255="FCC",$G3255="Hydrocracker",$G3255="Reformer"),IF(COUNTIFS($D:$D,$D3255,$A:$A,$A3255,$B:$B,$B3255,$G:$G,"CDU",$J:$J,"PLANNED")&gt;0,"tied","standalone"),"")</f>
        <v>tied</v>
      </c>
    </row>
    <row r="3256" spans="1:14">
      <c r="A3256" s="6">
        <v>2024</v>
      </c>
      <c r="B3256" s="6">
        <v>3</v>
      </c>
      <c r="C3256" s="6" t="s">
        <v>62</v>
      </c>
      <c r="D3256" s="6" t="s">
        <v>458</v>
      </c>
      <c r="E3256" s="6" t="s">
        <v>459</v>
      </c>
      <c r="F3256" s="6" t="str">
        <f>IF($M3256="PADD I","PADD 1",IF($M3256="PADD II","PADD 2",IF($M3256="PADD III","PADD 3",IF($M3256="PADD IV","PADD 4",IF($M3256="PADD V","PADD 5","")))))</f>
        <v>PADD 3</v>
      </c>
      <c r="G3256" s="6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6" t="s">
        <v>44</v>
      </c>
      <c r="I3256" s="6" t="s">
        <v>528</v>
      </c>
      <c r="J3256" s="6" t="s">
        <v>394</v>
      </c>
      <c r="K3256" s="10">
        <v>13.44</v>
      </c>
      <c r="L3256" s="10">
        <v>42</v>
      </c>
      <c r="M3256" s="6" t="s">
        <v>421</v>
      </c>
      <c r="N3256" s="6">
        <f>IF(OR($G3256="FCC",$G3256="Hydrocracker",$G3256="Reformer"),IF(COUNTIFS($D:$D,$D3256,$A:$A,$A3256,$B:$B,$B3256,$G:$G,"CDU",$J:$J,"PLANNED")&gt;0,"tied","standalone"),"")</f>
        <v/>
      </c>
    </row>
    <row r="3257" spans="1:14">
      <c r="A3257" s="6">
        <v>2024</v>
      </c>
      <c r="B3257" s="6">
        <v>3</v>
      </c>
      <c r="C3257" s="6" t="s">
        <v>62</v>
      </c>
      <c r="D3257" s="6" t="s">
        <v>689</v>
      </c>
      <c r="E3257" s="6" t="s">
        <v>502</v>
      </c>
      <c r="F3257" s="6" t="str">
        <f>IF($M3257="PADD I","PADD 1",IF($M3257="PADD II","PADD 2",IF($M3257="PADD III","PADD 3",IF($M3257="PADD IV","PADD 4",IF($M3257="PADD V","PADD 5","")))))</f>
        <v>PADD 5</v>
      </c>
      <c r="G3257" s="6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6" t="s">
        <v>485</v>
      </c>
      <c r="I3257" s="6" t="s">
        <v>1146</v>
      </c>
      <c r="J3257" s="6" t="s">
        <v>398</v>
      </c>
      <c r="K3257" s="10">
        <v>13.2</v>
      </c>
      <c r="L3257" s="10">
        <v>24</v>
      </c>
      <c r="M3257" s="6" t="s">
        <v>436</v>
      </c>
      <c r="N3257" s="6">
        <f>IF(OR($G3257="FCC",$G3257="Hydrocracker",$G3257="Reformer"),IF(COUNTIFS($D:$D,$D3257,$A:$A,$A3257,$B:$B,$B3257,$G:$G,"CDU",$J:$J,"PLANNED")&gt;0,"tied","standalone"),"")</f>
        <v/>
      </c>
    </row>
    <row r="3258" spans="1:14">
      <c r="A3258" s="6">
        <v>2024</v>
      </c>
      <c r="B3258" s="6">
        <v>3</v>
      </c>
      <c r="C3258" s="6" t="s">
        <v>62</v>
      </c>
      <c r="D3258" s="6" t="s">
        <v>49</v>
      </c>
      <c r="E3258" s="6" t="s">
        <v>438</v>
      </c>
      <c r="F3258" s="6" t="str">
        <f>IF($M3258="PADD I","PADD 1",IF($M3258="PADD II","PADD 2",IF($M3258="PADD III","PADD 3",IF($M3258="PADD IV","PADD 4",IF($M3258="PADD V","PADD 5","")))))</f>
        <v>PADD 2</v>
      </c>
      <c r="G3258" s="6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6" t="s">
        <v>44</v>
      </c>
      <c r="I3258" s="6" t="s">
        <v>811</v>
      </c>
      <c r="J3258" s="6" t="s">
        <v>394</v>
      </c>
      <c r="K3258" s="10">
        <v>13.2</v>
      </c>
      <c r="L3258" s="10">
        <v>24</v>
      </c>
      <c r="M3258" s="6" t="s">
        <v>425</v>
      </c>
      <c r="N3258" s="6">
        <f>IF(OR($G3258="FCC",$G3258="Hydrocracker",$G3258="Reformer"),IF(COUNTIFS($D:$D,$D3258,$A:$A,$A3258,$B:$B,$B3258,$G:$G,"CDU",$J:$J,"PLANNED")&gt;0,"tied","standalone"),"")</f>
        <v/>
      </c>
    </row>
    <row r="3259" spans="1:14">
      <c r="A3259" s="6">
        <v>2024</v>
      </c>
      <c r="B3259" s="6">
        <v>3</v>
      </c>
      <c r="C3259" s="6" t="s">
        <v>62</v>
      </c>
      <c r="D3259" s="6" t="s">
        <v>824</v>
      </c>
      <c r="E3259" s="6" t="s">
        <v>825</v>
      </c>
      <c r="F3259" s="6" t="str">
        <f>IF($M3259="PADD I","PADD 1",IF($M3259="PADD II","PADD 2",IF($M3259="PADD III","PADD 3",IF($M3259="PADD IV","PADD 4",IF($M3259="PADD V","PADD 5","")))))</f>
        <v>PADD 1</v>
      </c>
      <c r="G3259" s="6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6" t="s">
        <v>44</v>
      </c>
      <c r="I3259" s="6" t="s">
        <v>1195</v>
      </c>
      <c r="J3259" s="6" t="s">
        <v>398</v>
      </c>
      <c r="K3259" s="10">
        <v>13.16</v>
      </c>
      <c r="L3259" s="10">
        <v>14</v>
      </c>
      <c r="M3259" s="6" t="s">
        <v>463</v>
      </c>
      <c r="N3259" s="6">
        <f>IF(OR($G3259="FCC",$G3259="Hydrocracker",$G3259="Reformer"),IF(COUNTIFS($D:$D,$D3259,$A:$A,$A3259,$B:$B,$B3259,$G:$G,"CDU",$J:$J,"PLANNED")&gt;0,"tied","standalone"),"")</f>
        <v/>
      </c>
    </row>
    <row r="3260" spans="1:14">
      <c r="A3260" s="6">
        <v>2024</v>
      </c>
      <c r="B3260" s="6">
        <v>3</v>
      </c>
      <c r="C3260" s="6" t="s">
        <v>62</v>
      </c>
      <c r="D3260" s="6" t="s">
        <v>689</v>
      </c>
      <c r="E3260" s="6" t="s">
        <v>502</v>
      </c>
      <c r="F3260" s="6" t="str">
        <f>IF($M3260="PADD I","PADD 1",IF($M3260="PADD II","PADD 2",IF($M3260="PADD III","PADD 3",IF($M3260="PADD IV","PADD 4",IF($M3260="PADD V","PADD 5","")))))</f>
        <v>PADD 5</v>
      </c>
      <c r="G3260" s="6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6" t="s">
        <v>485</v>
      </c>
      <c r="I3260" s="6" t="s">
        <v>1146</v>
      </c>
      <c r="J3260" s="6" t="s">
        <v>398</v>
      </c>
      <c r="K3260" s="10">
        <v>13.156</v>
      </c>
      <c r="L3260" s="10">
        <v>25.3</v>
      </c>
      <c r="M3260" s="6" t="s">
        <v>436</v>
      </c>
      <c r="N3260" s="6">
        <f>IF(OR($G3260="FCC",$G3260="Hydrocracker",$G3260="Reformer"),IF(COUNTIFS($D:$D,$D3260,$A:$A,$A3260,$B:$B,$B3260,$G:$G,"CDU",$J:$J,"PLANNED")&gt;0,"tied","standalone"),"")</f>
        <v/>
      </c>
    </row>
    <row r="3261" spans="1:14">
      <c r="A3261" s="6">
        <v>2024</v>
      </c>
      <c r="B3261" s="6">
        <v>3</v>
      </c>
      <c r="C3261" s="6" t="s">
        <v>62</v>
      </c>
      <c r="D3261" s="6" t="s">
        <v>458</v>
      </c>
      <c r="E3261" s="6" t="s">
        <v>459</v>
      </c>
      <c r="F3261" s="6" t="str">
        <f>IF($M3261="PADD I","PADD 1",IF($M3261="PADD II","PADD 2",IF($M3261="PADD III","PADD 3",IF($M3261="PADD IV","PADD 4",IF($M3261="PADD V","PADD 5","")))))</f>
        <v>PADD 3</v>
      </c>
      <c r="G3261" s="6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6" t="s">
        <v>428</v>
      </c>
      <c r="I3261" s="6" t="s">
        <v>539</v>
      </c>
      <c r="J3261" s="6" t="s">
        <v>394</v>
      </c>
      <c r="K3261" s="10">
        <v>12.65</v>
      </c>
      <c r="L3261" s="10">
        <v>55</v>
      </c>
      <c r="M3261" s="6" t="s">
        <v>421</v>
      </c>
      <c r="N3261" s="6">
        <f>IF(OR($G3261="FCC",$G3261="Hydrocracker",$G3261="Reformer"),IF(COUNTIFS($D:$D,$D3261,$A:$A,$A3261,$B:$B,$B3261,$G:$G,"CDU",$J:$J,"PLANNED")&gt;0,"tied","standalone"),"")</f>
        <v/>
      </c>
    </row>
    <row r="3262" spans="1:14">
      <c r="A3262" s="6">
        <v>2024</v>
      </c>
      <c r="B3262" s="6">
        <v>3</v>
      </c>
      <c r="C3262" s="6" t="s">
        <v>62</v>
      </c>
      <c r="D3262" s="6" t="s">
        <v>812</v>
      </c>
      <c r="E3262" s="6" t="s">
        <v>813</v>
      </c>
      <c r="F3262" s="6" t="str">
        <f>IF($M3262="PADD I","PADD 1",IF($M3262="PADD II","PADD 2",IF($M3262="PADD III","PADD 3",IF($M3262="PADD IV","PADD 4",IF($M3262="PADD V","PADD 5","")))))</f>
        <v>PADD 2</v>
      </c>
      <c r="G3262" s="6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6" t="s">
        <v>471</v>
      </c>
      <c r="I3262" s="6" t="s">
        <v>832</v>
      </c>
      <c r="J3262" s="6" t="s">
        <v>398</v>
      </c>
      <c r="K3262" s="10">
        <v>12.6</v>
      </c>
      <c r="L3262" s="10">
        <v>15</v>
      </c>
      <c r="M3262" s="6" t="s">
        <v>425</v>
      </c>
      <c r="N3262" s="6" t="str">
        <f>IF(OR($G3262="FCC",$G3262="Hydrocracker",$G3262="Reformer"),IF(COUNTIFS($D:$D,$D3262,$A:$A,$A3262,$B:$B,$B3262,$G:$G,"CDU",$J:$J,"PLANNED")&gt;0,"tied","standalone"),"")</f>
        <v>tied</v>
      </c>
    </row>
    <row r="3263" spans="1:14">
      <c r="A3263" s="6">
        <v>2024</v>
      </c>
      <c r="B3263" s="6">
        <v>3</v>
      </c>
      <c r="C3263" s="6" t="s">
        <v>62</v>
      </c>
      <c r="D3263" s="6" t="s">
        <v>812</v>
      </c>
      <c r="E3263" s="6" t="s">
        <v>813</v>
      </c>
      <c r="F3263" s="6" t="str">
        <f>IF($M3263="PADD I","PADD 1",IF($M3263="PADD II","PADD 2",IF($M3263="PADD III","PADD 3",IF($M3263="PADD IV","PADD 4",IF($M3263="PADD V","PADD 5","")))))</f>
        <v>PADD 2</v>
      </c>
      <c r="G3263" s="6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6" t="s">
        <v>428</v>
      </c>
      <c r="I3263" s="6" t="s">
        <v>1014</v>
      </c>
      <c r="J3263" s="6" t="s">
        <v>398</v>
      </c>
      <c r="K3263" s="10">
        <v>12</v>
      </c>
      <c r="L3263" s="10">
        <v>12</v>
      </c>
      <c r="M3263" s="6" t="s">
        <v>425</v>
      </c>
      <c r="N3263" s="6">
        <f>IF(OR($G3263="FCC",$G3263="Hydrocracker",$G3263="Reformer"),IF(COUNTIFS($D:$D,$D3263,$A:$A,$A3263,$B:$B,$B3263,$G:$G,"CDU",$J:$J,"PLANNED")&gt;0,"tied","standalone"),"")</f>
        <v/>
      </c>
    </row>
    <row r="3264" spans="1:14">
      <c r="A3264" s="6">
        <v>2024</v>
      </c>
      <c r="B3264" s="6">
        <v>3</v>
      </c>
      <c r="C3264" s="6" t="s">
        <v>62</v>
      </c>
      <c r="D3264" s="6" t="s">
        <v>665</v>
      </c>
      <c r="E3264" s="6" t="s">
        <v>455</v>
      </c>
      <c r="F3264" s="6" t="str">
        <f>IF($M3264="PADD I","PADD 1",IF($M3264="PADD II","PADD 2",IF($M3264="PADD III","PADD 3",IF($M3264="PADD IV","PADD 4",IF($M3264="PADD V","PADD 5","")))))</f>
        <v>PADD 5</v>
      </c>
      <c r="G3264" s="6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6" t="s">
        <v>485</v>
      </c>
      <c r="I3264" s="6" t="s">
        <v>1185</v>
      </c>
      <c r="J3264" s="6" t="s">
        <v>394</v>
      </c>
      <c r="K3264" s="10">
        <v>11.76</v>
      </c>
      <c r="L3264" s="10">
        <v>28</v>
      </c>
      <c r="M3264" s="6" t="s">
        <v>436</v>
      </c>
      <c r="N3264" s="6">
        <f>IF(OR($G3264="FCC",$G3264="Hydrocracker",$G3264="Reformer"),IF(COUNTIFS($D:$D,$D3264,$A:$A,$A3264,$B:$B,$B3264,$G:$G,"CDU",$J:$J,"PLANNED")&gt;0,"tied","standalone"),"")</f>
        <v/>
      </c>
    </row>
    <row r="3265" spans="1:14">
      <c r="A3265" s="6">
        <v>2024</v>
      </c>
      <c r="B3265" s="6">
        <v>3</v>
      </c>
      <c r="C3265" s="6" t="s">
        <v>62</v>
      </c>
      <c r="D3265" s="6" t="s">
        <v>812</v>
      </c>
      <c r="E3265" s="6" t="s">
        <v>813</v>
      </c>
      <c r="F3265" s="6" t="str">
        <f>IF($M3265="PADD I","PADD 1",IF($M3265="PADD II","PADD 2",IF($M3265="PADD III","PADD 3",IF($M3265="PADD IV","PADD 4",IF($M3265="PADD V","PADD 5","")))))</f>
        <v>PADD 2</v>
      </c>
      <c r="G3265" s="6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6" t="s">
        <v>44</v>
      </c>
      <c r="I3265" s="6" t="s">
        <v>508</v>
      </c>
      <c r="J3265" s="6" t="s">
        <v>394</v>
      </c>
      <c r="K3265" s="10">
        <v>11.7</v>
      </c>
      <c r="L3265" s="10">
        <v>13</v>
      </c>
      <c r="M3265" s="6" t="s">
        <v>425</v>
      </c>
      <c r="N3265" s="6">
        <f>IF(OR($G3265="FCC",$G3265="Hydrocracker",$G3265="Reformer"),IF(COUNTIFS($D:$D,$D3265,$A:$A,$A3265,$B:$B,$B3265,$G:$G,"CDU",$J:$J,"PLANNED")&gt;0,"tied","standalone"),"")</f>
        <v/>
      </c>
    </row>
    <row r="3266" spans="1:14">
      <c r="A3266" s="6">
        <v>2024</v>
      </c>
      <c r="B3266" s="6">
        <v>3</v>
      </c>
      <c r="C3266" s="6" t="s">
        <v>62</v>
      </c>
      <c r="D3266" s="6" t="s">
        <v>1191</v>
      </c>
      <c r="E3266" s="6" t="s">
        <v>1129</v>
      </c>
      <c r="F3266" s="6" t="str">
        <f>IF($M3266="PADD I","PADD 1",IF($M3266="PADD II","PADD 2",IF($M3266="PADD III","PADD 3",IF($M3266="PADD IV","PADD 4",IF($M3266="PADD V","PADD 5","")))))</f>
        <v>PADD 3</v>
      </c>
      <c r="G3266" s="6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6" t="s">
        <v>39</v>
      </c>
      <c r="I3266" s="6" t="s">
        <v>132</v>
      </c>
      <c r="J3266" s="6" t="s">
        <v>398</v>
      </c>
      <c r="K3266" s="10">
        <v>11.6</v>
      </c>
      <c r="L3266" s="10">
        <v>40</v>
      </c>
      <c r="M3266" s="6" t="s">
        <v>421</v>
      </c>
      <c r="N3266" s="6">
        <f>IF(OR($G3266="FCC",$G3266="Hydrocracker",$G3266="Reformer"),IF(COUNTIFS($D:$D,$D3266,$A:$A,$A3266,$B:$B,$B3266,$G:$G,"CDU",$J:$J,"PLANNED")&gt;0,"tied","standalone"),"")</f>
        <v/>
      </c>
    </row>
    <row r="3267" spans="1:14">
      <c r="A3267" s="6">
        <v>2024</v>
      </c>
      <c r="B3267" s="6">
        <v>3</v>
      </c>
      <c r="C3267" s="6" t="s">
        <v>62</v>
      </c>
      <c r="D3267" s="6" t="s">
        <v>812</v>
      </c>
      <c r="E3267" s="6" t="s">
        <v>813</v>
      </c>
      <c r="F3267" s="6" t="str">
        <f>IF($M3267="PADD I","PADD 1",IF($M3267="PADD II","PADD 2",IF($M3267="PADD III","PADD 3",IF($M3267="PADD IV","PADD 4",IF($M3267="PADD V","PADD 5","")))))</f>
        <v>PADD 2</v>
      </c>
      <c r="G3267" s="6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6" t="s">
        <v>44</v>
      </c>
      <c r="I3267" s="6" t="s">
        <v>913</v>
      </c>
      <c r="J3267" s="6" t="s">
        <v>394</v>
      </c>
      <c r="K3267" s="10">
        <v>11.6</v>
      </c>
      <c r="L3267" s="10">
        <v>20</v>
      </c>
      <c r="M3267" s="6" t="s">
        <v>425</v>
      </c>
      <c r="N3267" s="6">
        <f>IF(OR($G3267="FCC",$G3267="Hydrocracker",$G3267="Reformer"),IF(COUNTIFS($D:$D,$D3267,$A:$A,$A3267,$B:$B,$B3267,$G:$G,"CDU",$J:$J,"PLANNED")&gt;0,"tied","standalone"),"")</f>
        <v/>
      </c>
    </row>
    <row r="3268" spans="1:14">
      <c r="A3268" s="6">
        <v>2024</v>
      </c>
      <c r="B3268" s="6">
        <v>3</v>
      </c>
      <c r="C3268" s="6" t="s">
        <v>62</v>
      </c>
      <c r="D3268" s="6" t="s">
        <v>592</v>
      </c>
      <c r="E3268" s="6" t="s">
        <v>593</v>
      </c>
      <c r="F3268" s="6" t="str">
        <f>IF($M3268="PADD I","PADD 1",IF($M3268="PADD II","PADD 2",IF($M3268="PADD III","PADD 3",IF($M3268="PADD IV","PADD 4",IF($M3268="PADD V","PADD 5","")))))</f>
        <v>PADD 2</v>
      </c>
      <c r="G3268" s="6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6" t="s">
        <v>510</v>
      </c>
      <c r="I3268" s="6" t="s">
        <v>511</v>
      </c>
      <c r="J3268" s="6" t="s">
        <v>394</v>
      </c>
      <c r="K3268" s="10">
        <v>11.31</v>
      </c>
      <c r="L3268" s="10">
        <v>29</v>
      </c>
      <c r="M3268" s="6" t="s">
        <v>425</v>
      </c>
      <c r="N3268" s="6">
        <f>IF(OR($G3268="FCC",$G3268="Hydrocracker",$G3268="Reformer"),IF(COUNTIFS($D:$D,$D3268,$A:$A,$A3268,$B:$B,$B3268,$G:$G,"CDU",$J:$J,"PLANNED")&gt;0,"tied","standalone"),"")</f>
        <v/>
      </c>
    </row>
    <row r="3269" spans="1:14">
      <c r="A3269" s="6">
        <v>2024</v>
      </c>
      <c r="B3269" s="6">
        <v>3</v>
      </c>
      <c r="C3269" s="6" t="s">
        <v>62</v>
      </c>
      <c r="D3269" s="6" t="s">
        <v>812</v>
      </c>
      <c r="E3269" s="6" t="s">
        <v>813</v>
      </c>
      <c r="F3269" s="6" t="str">
        <f>IF($M3269="PADD I","PADD 1",IF($M3269="PADD II","PADD 2",IF($M3269="PADD III","PADD 3",IF($M3269="PADD IV","PADD 4",IF($M3269="PADD V","PADD 5","")))))</f>
        <v>PADD 2</v>
      </c>
      <c r="G3269" s="6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6" t="s">
        <v>44</v>
      </c>
      <c r="I3269" s="6" t="s">
        <v>508</v>
      </c>
      <c r="J3269" s="6" t="s">
        <v>394</v>
      </c>
      <c r="K3269" s="10">
        <v>11.31</v>
      </c>
      <c r="L3269" s="10">
        <v>13</v>
      </c>
      <c r="M3269" s="6" t="s">
        <v>425</v>
      </c>
      <c r="N3269" s="6">
        <f>IF(OR($G3269="FCC",$G3269="Hydrocracker",$G3269="Reformer"),IF(COUNTIFS($D:$D,$D3269,$A:$A,$A3269,$B:$B,$B3269,$G:$G,"CDU",$J:$J,"PLANNED")&gt;0,"tied","standalone"),"")</f>
        <v/>
      </c>
    </row>
    <row r="3270" spans="1:14">
      <c r="A3270" s="6">
        <v>2024</v>
      </c>
      <c r="B3270" s="6">
        <v>3</v>
      </c>
      <c r="C3270" s="6" t="s">
        <v>62</v>
      </c>
      <c r="D3270" s="6" t="s">
        <v>889</v>
      </c>
      <c r="E3270" s="6" t="s">
        <v>890</v>
      </c>
      <c r="F3270" s="6" t="str">
        <f>IF($M3270="PADD I","PADD 1",IF($M3270="PADD II","PADD 2",IF($M3270="PADD III","PADD 3",IF($M3270="PADD IV","PADD 4",IF($M3270="PADD V","PADD 5","")))))</f>
        <v>PADD 1</v>
      </c>
      <c r="G3270" s="6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6" t="s">
        <v>39</v>
      </c>
      <c r="I3270" s="6" t="s">
        <v>134</v>
      </c>
      <c r="J3270" s="6" t="s">
        <v>394</v>
      </c>
      <c r="K3270" s="10">
        <v>11.2</v>
      </c>
      <c r="L3270" s="10">
        <v>35</v>
      </c>
      <c r="M3270" s="6" t="s">
        <v>463</v>
      </c>
      <c r="N3270" s="6">
        <f>IF(OR($G3270="FCC",$G3270="Hydrocracker",$G3270="Reformer"),IF(COUNTIFS($D:$D,$D3270,$A:$A,$A3270,$B:$B,$B3270,$G:$G,"CDU",$J:$J,"PLANNED")&gt;0,"tied","standalone"),"")</f>
        <v/>
      </c>
    </row>
    <row r="3271" spans="1:14">
      <c r="A3271" s="6">
        <v>2024</v>
      </c>
      <c r="B3271" s="6">
        <v>3</v>
      </c>
      <c r="C3271" s="6" t="s">
        <v>62</v>
      </c>
      <c r="D3271" s="6" t="s">
        <v>458</v>
      </c>
      <c r="E3271" s="6" t="s">
        <v>459</v>
      </c>
      <c r="F3271" s="6" t="str">
        <f>IF($M3271="PADD I","PADD 1",IF($M3271="PADD II","PADD 2",IF($M3271="PADD III","PADD 3",IF($M3271="PADD IV","PADD 4",IF($M3271="PADD V","PADD 5","")))))</f>
        <v>PADD 3</v>
      </c>
      <c r="G3271" s="6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6" t="s">
        <v>471</v>
      </c>
      <c r="I3271" s="6" t="s">
        <v>583</v>
      </c>
      <c r="J3271" s="6" t="s">
        <v>394</v>
      </c>
      <c r="K3271" s="10">
        <v>11.2</v>
      </c>
      <c r="L3271" s="10">
        <v>35</v>
      </c>
      <c r="M3271" s="6" t="s">
        <v>421</v>
      </c>
      <c r="N3271" s="6" t="str">
        <f>IF(OR($G3271="FCC",$G3271="Hydrocracker",$G3271="Reformer"),IF(COUNTIFS($D:$D,$D3271,$A:$A,$A3271,$B:$B,$B3271,$G:$G,"CDU",$J:$J,"PLANNED")&gt;0,"tied","standalone"),"")</f>
        <v>standalone</v>
      </c>
    </row>
    <row r="3272" spans="1:14">
      <c r="A3272" s="6">
        <v>2024</v>
      </c>
      <c r="B3272" s="6">
        <v>3</v>
      </c>
      <c r="C3272" s="6" t="s">
        <v>62</v>
      </c>
      <c r="D3272" s="6" t="s">
        <v>789</v>
      </c>
      <c r="E3272" s="6" t="s">
        <v>455</v>
      </c>
      <c r="F3272" s="6" t="str">
        <f>IF($M3272="PADD I","PADD 1",IF($M3272="PADD II","PADD 2",IF($M3272="PADD III","PADD 3",IF($M3272="PADD IV","PADD 4",IF($M3272="PADD V","PADD 5","")))))</f>
        <v>PADD 2</v>
      </c>
      <c r="G3272" s="6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6" t="s">
        <v>44</v>
      </c>
      <c r="I3272" s="6" t="s">
        <v>790</v>
      </c>
      <c r="J3272" s="6" t="s">
        <v>394</v>
      </c>
      <c r="K3272" s="10">
        <v>11.2</v>
      </c>
      <c r="L3272" s="10">
        <v>32</v>
      </c>
      <c r="M3272" s="6" t="s">
        <v>425</v>
      </c>
      <c r="N3272" s="6">
        <f>IF(OR($G3272="FCC",$G3272="Hydrocracker",$G3272="Reformer"),IF(COUNTIFS($D:$D,$D3272,$A:$A,$A3272,$B:$B,$B3272,$G:$G,"CDU",$J:$J,"PLANNED")&gt;0,"tied","standalone"),"")</f>
        <v/>
      </c>
    </row>
    <row r="3273" spans="1:14">
      <c r="A3273" s="6">
        <v>2024</v>
      </c>
      <c r="B3273" s="6">
        <v>3</v>
      </c>
      <c r="C3273" s="6" t="s">
        <v>62</v>
      </c>
      <c r="D3273" s="6" t="s">
        <v>812</v>
      </c>
      <c r="E3273" s="6" t="s">
        <v>813</v>
      </c>
      <c r="F3273" s="6" t="str">
        <f>IF($M3273="PADD I","PADD 1",IF($M3273="PADD II","PADD 2",IF($M3273="PADD III","PADD 3",IF($M3273="PADD IV","PADD 4",IF($M3273="PADD V","PADD 5","")))))</f>
        <v>PADD 2</v>
      </c>
      <c r="G3273" s="6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6" t="s">
        <v>44</v>
      </c>
      <c r="I3273" s="6" t="s">
        <v>1105</v>
      </c>
      <c r="J3273" s="6" t="s">
        <v>398</v>
      </c>
      <c r="K3273" s="10">
        <v>10.92</v>
      </c>
      <c r="L3273" s="10">
        <v>13</v>
      </c>
      <c r="M3273" s="6" t="s">
        <v>425</v>
      </c>
      <c r="N3273" s="6">
        <f>IF(OR($G3273="FCC",$G3273="Hydrocracker",$G3273="Reformer"),IF(COUNTIFS($D:$D,$D3273,$A:$A,$A3273,$B:$B,$B3273,$G:$G,"CDU",$J:$J,"PLANNED")&gt;0,"tied","standalone"),"")</f>
        <v/>
      </c>
    </row>
    <row r="3274" spans="1:14">
      <c r="A3274" s="6">
        <v>2024</v>
      </c>
      <c r="B3274" s="6">
        <v>3</v>
      </c>
      <c r="C3274" s="6" t="s">
        <v>62</v>
      </c>
      <c r="D3274" s="6" t="s">
        <v>592</v>
      </c>
      <c r="E3274" s="6" t="s">
        <v>593</v>
      </c>
      <c r="F3274" s="6" t="str">
        <f>IF($M3274="PADD I","PADD 1",IF($M3274="PADD II","PADD 2",IF($M3274="PADD III","PADD 3",IF($M3274="PADD IV","PADD 4",IF($M3274="PADD V","PADD 5","")))))</f>
        <v>PADD 2</v>
      </c>
      <c r="G3274" s="6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6" t="s">
        <v>618</v>
      </c>
      <c r="I3274" s="6" t="s">
        <v>654</v>
      </c>
      <c r="J3274" s="6" t="s">
        <v>394</v>
      </c>
      <c r="K3274" s="10">
        <v>10.881</v>
      </c>
      <c r="L3274" s="10">
        <v>27.9</v>
      </c>
      <c r="M3274" s="6" t="s">
        <v>425</v>
      </c>
      <c r="N3274" s="6">
        <f>IF(OR($G3274="FCC",$G3274="Hydrocracker",$G3274="Reformer"),IF(COUNTIFS($D:$D,$D3274,$A:$A,$A3274,$B:$B,$B3274,$G:$G,"CDU",$J:$J,"PLANNED")&gt;0,"tied","standalone"),"")</f>
        <v/>
      </c>
    </row>
    <row r="3275" spans="1:14">
      <c r="A3275" s="6">
        <v>2024</v>
      </c>
      <c r="B3275" s="6">
        <v>3</v>
      </c>
      <c r="C3275" s="6" t="s">
        <v>62</v>
      </c>
      <c r="D3275" s="6" t="s">
        <v>576</v>
      </c>
      <c r="E3275" s="6" t="s">
        <v>455</v>
      </c>
      <c r="F3275" s="6" t="str">
        <f>IF($M3275="PADD I","PADD 1",IF($M3275="PADD II","PADD 2",IF($M3275="PADD III","PADD 3",IF($M3275="PADD IV","PADD 4",IF($M3275="PADD V","PADD 5","")))))</f>
        <v>PADD 3</v>
      </c>
      <c r="G3275" s="6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6" t="s">
        <v>494</v>
      </c>
      <c r="I3275" s="6" t="s">
        <v>577</v>
      </c>
      <c r="J3275" s="6" t="s">
        <v>398</v>
      </c>
      <c r="K3275" s="10">
        <v>10.83</v>
      </c>
      <c r="L3275" s="10">
        <v>57</v>
      </c>
      <c r="M3275" s="6" t="s">
        <v>421</v>
      </c>
      <c r="N3275" s="6" t="str">
        <f>IF(OR($G3275="FCC",$G3275="Hydrocracker",$G3275="Reformer"),IF(COUNTIFS($D:$D,$D3275,$A:$A,$A3275,$B:$B,$B3275,$G:$G,"CDU",$J:$J,"PLANNED")&gt;0,"tied","standalone"),"")</f>
        <v>tied</v>
      </c>
    </row>
    <row r="3276" spans="1:14">
      <c r="A3276" s="6">
        <v>2024</v>
      </c>
      <c r="B3276" s="6">
        <v>3</v>
      </c>
      <c r="C3276" s="6" t="s">
        <v>62</v>
      </c>
      <c r="D3276" s="6" t="s">
        <v>592</v>
      </c>
      <c r="E3276" s="6" t="s">
        <v>593</v>
      </c>
      <c r="F3276" s="6" t="str">
        <f>IF($M3276="PADD I","PADD 1",IF($M3276="PADD II","PADD 2",IF($M3276="PADD III","PADD 3",IF($M3276="PADD IV","PADD 4",IF($M3276="PADD V","PADD 5","")))))</f>
        <v>PADD 2</v>
      </c>
      <c r="G3276" s="6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6" t="s">
        <v>44</v>
      </c>
      <c r="I3276" s="6" t="s">
        <v>963</v>
      </c>
      <c r="J3276" s="6" t="s">
        <v>394</v>
      </c>
      <c r="K3276" s="10">
        <v>10.545</v>
      </c>
      <c r="L3276" s="10">
        <v>55.5</v>
      </c>
      <c r="M3276" s="6" t="s">
        <v>425</v>
      </c>
      <c r="N3276" s="6">
        <f>IF(OR($G3276="FCC",$G3276="Hydrocracker",$G3276="Reformer"),IF(COUNTIFS($D:$D,$D3276,$A:$A,$A3276,$B:$B,$B3276,$G:$G,"CDU",$J:$J,"PLANNED")&gt;0,"tied","standalone"),"")</f>
        <v/>
      </c>
    </row>
    <row r="3277" spans="1:14">
      <c r="A3277" s="6">
        <v>2024</v>
      </c>
      <c r="B3277" s="6">
        <v>3</v>
      </c>
      <c r="C3277" s="6" t="s">
        <v>62</v>
      </c>
      <c r="D3277" s="6" t="s">
        <v>479</v>
      </c>
      <c r="E3277" s="6" t="s">
        <v>438</v>
      </c>
      <c r="F3277" s="6" t="str">
        <f>IF($M3277="PADD I","PADD 1",IF($M3277="PADD II","PADD 2",IF($M3277="PADD III","PADD 3",IF($M3277="PADD IV","PADD 4",IF($M3277="PADD V","PADD 5","")))))</f>
        <v>PADD 4</v>
      </c>
      <c r="G3277" s="6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6" t="s">
        <v>471</v>
      </c>
      <c r="I3277" s="6" t="s">
        <v>1181</v>
      </c>
      <c r="J3277" s="6" t="s">
        <v>398</v>
      </c>
      <c r="K3277" s="10">
        <v>10.44</v>
      </c>
      <c r="L3277" s="10">
        <v>12</v>
      </c>
      <c r="M3277" s="6" t="s">
        <v>480</v>
      </c>
      <c r="N3277" s="6" t="str">
        <f>IF(OR($G3277="FCC",$G3277="Hydrocracker",$G3277="Reformer"),IF(COUNTIFS($D:$D,$D3277,$A:$A,$A3277,$B:$B,$B3277,$G:$G,"CDU",$J:$J,"PLANNED")&gt;0,"tied","standalone"),"")</f>
        <v>tied</v>
      </c>
    </row>
    <row r="3278" spans="1:14">
      <c r="A3278" s="6">
        <v>2024</v>
      </c>
      <c r="B3278" s="6">
        <v>3</v>
      </c>
      <c r="C3278" s="6" t="s">
        <v>62</v>
      </c>
      <c r="D3278" s="6" t="s">
        <v>479</v>
      </c>
      <c r="E3278" s="6" t="s">
        <v>438</v>
      </c>
      <c r="F3278" s="6" t="str">
        <f>IF($M3278="PADD I","PADD 1",IF($M3278="PADD II","PADD 2",IF($M3278="PADD III","PADD 3",IF($M3278="PADD IV","PADD 4",IF($M3278="PADD V","PADD 5","")))))</f>
        <v>PADD 4</v>
      </c>
      <c r="G3278" s="6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6" t="s">
        <v>44</v>
      </c>
      <c r="I3278" s="6" t="s">
        <v>1107</v>
      </c>
      <c r="J3278" s="6" t="s">
        <v>398</v>
      </c>
      <c r="K3278" s="10">
        <v>10.44</v>
      </c>
      <c r="L3278" s="10">
        <v>12</v>
      </c>
      <c r="M3278" s="6" t="s">
        <v>480</v>
      </c>
      <c r="N3278" s="6">
        <f>IF(OR($G3278="FCC",$G3278="Hydrocracker",$G3278="Reformer"),IF(COUNTIFS($D:$D,$D3278,$A:$A,$A3278,$B:$B,$B3278,$G:$G,"CDU",$J:$J,"PLANNED")&gt;0,"tied","standalone"),"")</f>
        <v/>
      </c>
    </row>
    <row r="3279" spans="1:14">
      <c r="A3279" s="6">
        <v>2024</v>
      </c>
      <c r="B3279" s="6">
        <v>3</v>
      </c>
      <c r="C3279" s="6" t="s">
        <v>62</v>
      </c>
      <c r="D3279" s="6" t="s">
        <v>812</v>
      </c>
      <c r="E3279" s="6" t="s">
        <v>813</v>
      </c>
      <c r="F3279" s="6" t="str">
        <f>IF($M3279="PADD I","PADD 1",IF($M3279="PADD II","PADD 2",IF($M3279="PADD III","PADD 3",IF($M3279="PADD IV","PADD 4",IF($M3279="PADD V","PADD 5","")))))</f>
        <v>PADD 2</v>
      </c>
      <c r="G3279" s="6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6" t="s">
        <v>428</v>
      </c>
      <c r="I3279" s="6" t="s">
        <v>862</v>
      </c>
      <c r="J3279" s="6" t="s">
        <v>394</v>
      </c>
      <c r="K3279" s="10">
        <v>10.44</v>
      </c>
      <c r="L3279" s="10">
        <v>12</v>
      </c>
      <c r="M3279" s="6" t="s">
        <v>425</v>
      </c>
      <c r="N3279" s="6">
        <f>IF(OR($G3279="FCC",$G3279="Hydrocracker",$G3279="Reformer"),IF(COUNTIFS($D:$D,$D3279,$A:$A,$A3279,$B:$B,$B3279,$G:$G,"CDU",$J:$J,"PLANNED")&gt;0,"tied","standalone"),"")</f>
        <v/>
      </c>
    </row>
    <row r="3280" spans="1:14">
      <c r="A3280" s="6">
        <v>2024</v>
      </c>
      <c r="B3280" s="6">
        <v>3</v>
      </c>
      <c r="C3280" s="6" t="s">
        <v>62</v>
      </c>
      <c r="D3280" s="6" t="s">
        <v>824</v>
      </c>
      <c r="E3280" s="6" t="s">
        <v>825</v>
      </c>
      <c r="F3280" s="6" t="str">
        <f>IF($M3280="PADD I","PADD 1",IF($M3280="PADD II","PADD 2",IF($M3280="PADD III","PADD 3",IF($M3280="PADD IV","PADD 4",IF($M3280="PADD V","PADD 5","")))))</f>
        <v>PADD 1</v>
      </c>
      <c r="G3280" s="6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6" t="s">
        <v>471</v>
      </c>
      <c r="I3280" s="6" t="s">
        <v>1120</v>
      </c>
      <c r="J3280" s="6" t="s">
        <v>398</v>
      </c>
      <c r="K3280" s="10">
        <v>10.4058</v>
      </c>
      <c r="L3280" s="10">
        <v>11.07</v>
      </c>
      <c r="M3280" s="6" t="s">
        <v>463</v>
      </c>
      <c r="N3280" s="6" t="str">
        <f>IF(OR($G3280="FCC",$G3280="Hydrocracker",$G3280="Reformer"),IF(COUNTIFS($D:$D,$D3280,$A:$A,$A3280,$B:$B,$B3280,$G:$G,"CDU",$J:$J,"PLANNED")&gt;0,"tied","standalone"),"")</f>
        <v>tied</v>
      </c>
    </row>
    <row r="3281" spans="1:14">
      <c r="A3281" s="6">
        <v>2024</v>
      </c>
      <c r="B3281" s="6">
        <v>3</v>
      </c>
      <c r="C3281" s="6" t="s">
        <v>62</v>
      </c>
      <c r="D3281" s="6" t="s">
        <v>49</v>
      </c>
      <c r="E3281" s="6" t="s">
        <v>438</v>
      </c>
      <c r="F3281" s="6" t="str">
        <f>IF($M3281="PADD I","PADD 1",IF($M3281="PADD II","PADD 2",IF($M3281="PADD III","PADD 3",IF($M3281="PADD IV","PADD 4",IF($M3281="PADD V","PADD 5","")))))</f>
        <v>PADD 2</v>
      </c>
      <c r="G3281" s="6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6" t="s">
        <v>485</v>
      </c>
      <c r="I3281" s="6" t="s">
        <v>804</v>
      </c>
      <c r="J3281" s="6" t="s">
        <v>394</v>
      </c>
      <c r="K3281" s="10">
        <v>10.175</v>
      </c>
      <c r="L3281" s="10">
        <v>18.5</v>
      </c>
      <c r="M3281" s="6" t="s">
        <v>425</v>
      </c>
      <c r="N3281" s="6">
        <f>IF(OR($G3281="FCC",$G3281="Hydrocracker",$G3281="Reformer"),IF(COUNTIFS($D:$D,$D3281,$A:$A,$A3281,$B:$B,$B3281,$G:$G,"CDU",$J:$J,"PLANNED")&gt;0,"tied","standalone"),"")</f>
        <v/>
      </c>
    </row>
    <row r="3282" spans="1:14">
      <c r="A3282" s="6">
        <v>2024</v>
      </c>
      <c r="B3282" s="6">
        <v>3</v>
      </c>
      <c r="C3282" s="6" t="s">
        <v>62</v>
      </c>
      <c r="D3282" s="6" t="s">
        <v>984</v>
      </c>
      <c r="E3282" s="6" t="s">
        <v>438</v>
      </c>
      <c r="F3282" s="6" t="str">
        <f>IF($M3282="PADD I","PADD 1",IF($M3282="PADD II","PADD 2",IF($M3282="PADD III","PADD 3",IF($M3282="PADD IV","PADD 4",IF($M3282="PADD V","PADD 5","")))))</f>
        <v>PADD 3</v>
      </c>
      <c r="G3282" s="6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6" t="s">
        <v>39</v>
      </c>
      <c r="I3282" s="6" t="s">
        <v>136</v>
      </c>
      <c r="J3282" s="6" t="s">
        <v>398</v>
      </c>
      <c r="K3282" s="10">
        <v>9.75</v>
      </c>
      <c r="L3282" s="10">
        <v>75</v>
      </c>
      <c r="M3282" s="6" t="s">
        <v>421</v>
      </c>
      <c r="N3282" s="6">
        <f>IF(OR($G3282="FCC",$G3282="Hydrocracker",$G3282="Reformer"),IF(COUNTIFS($D:$D,$D3282,$A:$A,$A3282,$B:$B,$B3282,$G:$G,"CDU",$J:$J,"PLANNED")&gt;0,"tied","standalone"),"")</f>
        <v/>
      </c>
    </row>
    <row r="3283" spans="1:14">
      <c r="A3283" s="6">
        <v>2024</v>
      </c>
      <c r="B3283" s="6">
        <v>3</v>
      </c>
      <c r="C3283" s="6" t="s">
        <v>62</v>
      </c>
      <c r="D3283" s="6" t="s">
        <v>518</v>
      </c>
      <c r="E3283" s="6" t="s">
        <v>419</v>
      </c>
      <c r="F3283" s="6" t="str">
        <f>IF($M3283="PADD I","PADD 1",IF($M3283="PADD II","PADD 2",IF($M3283="PADD III","PADD 3",IF($M3283="PADD IV","PADD 4",IF($M3283="PADD V","PADD 5","")))))</f>
        <v>PADD 3</v>
      </c>
      <c r="G3283" s="6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6" t="s">
        <v>426</v>
      </c>
      <c r="I3283" s="6" t="s">
        <v>523</v>
      </c>
      <c r="J3283" s="6" t="s">
        <v>394</v>
      </c>
      <c r="K3283" s="10">
        <v>9.6</v>
      </c>
      <c r="L3283" s="10">
        <v>30</v>
      </c>
      <c r="M3283" s="6" t="s">
        <v>421</v>
      </c>
      <c r="N3283" s="6" t="str">
        <f>IF(OR($G3283="FCC",$G3283="Hydrocracker",$G3283="Reformer"),IF(COUNTIFS($D:$D,$D3283,$A:$A,$A3283,$B:$B,$B3283,$G:$G,"CDU",$J:$J,"PLANNED")&gt;0,"tied","standalone"),"")</f>
        <v>standalone</v>
      </c>
    </row>
    <row r="3284" spans="1:14">
      <c r="A3284" s="6">
        <v>2024</v>
      </c>
      <c r="B3284" s="6">
        <v>3</v>
      </c>
      <c r="C3284" s="6" t="s">
        <v>62</v>
      </c>
      <c r="D3284" s="6" t="s">
        <v>576</v>
      </c>
      <c r="E3284" s="6" t="s">
        <v>455</v>
      </c>
      <c r="F3284" s="6" t="str">
        <f>IF($M3284="PADD I","PADD 1",IF($M3284="PADD II","PADD 2",IF($M3284="PADD III","PADD 3",IF($M3284="PADD IV","PADD 4",IF($M3284="PADD V","PADD 5","")))))</f>
        <v>PADD 3</v>
      </c>
      <c r="G3284" s="6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6" t="s">
        <v>471</v>
      </c>
      <c r="I3284" s="6" t="s">
        <v>978</v>
      </c>
      <c r="J3284" s="6" t="s">
        <v>398</v>
      </c>
      <c r="K3284" s="10">
        <v>9.5</v>
      </c>
      <c r="L3284" s="10">
        <v>50</v>
      </c>
      <c r="M3284" s="6" t="s">
        <v>421</v>
      </c>
      <c r="N3284" s="6" t="str">
        <f>IF(OR($G3284="FCC",$G3284="Hydrocracker",$G3284="Reformer"),IF(COUNTIFS($D:$D,$D3284,$A:$A,$A3284,$B:$B,$B3284,$G:$G,"CDU",$J:$J,"PLANNED")&gt;0,"tied","standalone"),"")</f>
        <v>tied</v>
      </c>
    </row>
    <row r="3285" spans="1:14">
      <c r="A3285" s="6">
        <v>2024</v>
      </c>
      <c r="B3285" s="6">
        <v>3</v>
      </c>
      <c r="C3285" s="6" t="s">
        <v>62</v>
      </c>
      <c r="D3285" s="6" t="s">
        <v>458</v>
      </c>
      <c r="E3285" s="6" t="s">
        <v>459</v>
      </c>
      <c r="F3285" s="6" t="str">
        <f>IF($M3285="PADD I","PADD 1",IF($M3285="PADD II","PADD 2",IF($M3285="PADD III","PADD 3",IF($M3285="PADD IV","PADD 4",IF($M3285="PADD V","PADD 5","")))))</f>
        <v>PADD 3</v>
      </c>
      <c r="G3285" s="6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6" t="s">
        <v>39</v>
      </c>
      <c r="I3285" s="6" t="s">
        <v>572</v>
      </c>
      <c r="J3285" s="6" t="s">
        <v>394</v>
      </c>
      <c r="K3285" s="10">
        <v>9.199999999999999</v>
      </c>
      <c r="L3285" s="10">
        <v>40</v>
      </c>
      <c r="M3285" s="6" t="s">
        <v>421</v>
      </c>
      <c r="N3285" s="6">
        <f>IF(OR($G3285="FCC",$G3285="Hydrocracker",$G3285="Reformer"),IF(COUNTIFS($D:$D,$D3285,$A:$A,$A3285,$B:$B,$B3285,$G:$G,"CDU",$J:$J,"PLANNED")&gt;0,"tied","standalone"),"")</f>
        <v/>
      </c>
    </row>
    <row r="3286" spans="1:14">
      <c r="A3286" s="6">
        <v>2024</v>
      </c>
      <c r="B3286" s="6">
        <v>3</v>
      </c>
      <c r="C3286" s="6" t="s">
        <v>62</v>
      </c>
      <c r="D3286" s="6" t="s">
        <v>395</v>
      </c>
      <c r="E3286" s="6" t="s">
        <v>433</v>
      </c>
      <c r="F3286" s="6" t="str">
        <f>IF($M3286="PADD I","PADD 1",IF($M3286="PADD II","PADD 2",IF($M3286="PADD III","PADD 3",IF($M3286="PADD IV","PADD 4",IF($M3286="PADD V","PADD 5","")))))</f>
        <v>PADD 2</v>
      </c>
      <c r="G3286" s="6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6" t="s">
        <v>510</v>
      </c>
      <c r="I3286" s="6" t="s">
        <v>511</v>
      </c>
      <c r="J3286" s="6" t="s">
        <v>398</v>
      </c>
      <c r="K3286" s="10">
        <v>9</v>
      </c>
      <c r="L3286" s="10">
        <v>9</v>
      </c>
      <c r="M3286" s="6" t="s">
        <v>425</v>
      </c>
      <c r="N3286" s="6">
        <f>IF(OR($G3286="FCC",$G3286="Hydrocracker",$G3286="Reformer"),IF(COUNTIFS($D:$D,$D3286,$A:$A,$A3286,$B:$B,$B3286,$G:$G,"CDU",$J:$J,"PLANNED")&gt;0,"tied","standalone"),"")</f>
        <v/>
      </c>
    </row>
    <row r="3287" spans="1:14">
      <c r="A3287" s="6">
        <v>2024</v>
      </c>
      <c r="B3287" s="6">
        <v>3</v>
      </c>
      <c r="C3287" s="6" t="s">
        <v>62</v>
      </c>
      <c r="D3287" s="6" t="s">
        <v>576</v>
      </c>
      <c r="E3287" s="6" t="s">
        <v>455</v>
      </c>
      <c r="F3287" s="6" t="str">
        <f>IF($M3287="PADD I","PADD 1",IF($M3287="PADD II","PADD 2",IF($M3287="PADD III","PADD 3",IF($M3287="PADD IV","PADD 4",IF($M3287="PADD V","PADD 5","")))))</f>
        <v>PADD 3</v>
      </c>
      <c r="G3287" s="6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6" t="s">
        <v>44</v>
      </c>
      <c r="I3287" s="6" t="s">
        <v>1126</v>
      </c>
      <c r="J3287" s="6" t="s">
        <v>398</v>
      </c>
      <c r="K3287" s="10">
        <v>8.93</v>
      </c>
      <c r="L3287" s="10">
        <v>47</v>
      </c>
      <c r="M3287" s="6" t="s">
        <v>421</v>
      </c>
      <c r="N3287" s="6">
        <f>IF(OR($G3287="FCC",$G3287="Hydrocracker",$G3287="Reformer"),IF(COUNTIFS($D:$D,$D3287,$A:$A,$A3287,$B:$B,$B3287,$G:$G,"CDU",$J:$J,"PLANNED")&gt;0,"tied","standalone"),"")</f>
        <v/>
      </c>
    </row>
    <row r="3288" spans="1:14">
      <c r="A3288" s="6">
        <v>2024</v>
      </c>
      <c r="B3288" s="6">
        <v>3</v>
      </c>
      <c r="C3288" s="6" t="s">
        <v>62</v>
      </c>
      <c r="D3288" s="6" t="s">
        <v>626</v>
      </c>
      <c r="E3288" s="6" t="s">
        <v>419</v>
      </c>
      <c r="F3288" s="6" t="str">
        <f>IF($M3288="PADD I","PADD 1",IF($M3288="PADD II","PADD 2",IF($M3288="PADD III","PADD 3",IF($M3288="PADD IV","PADD 4",IF($M3288="PADD V","PADD 5","")))))</f>
        <v>PADD 3</v>
      </c>
      <c r="G3288" s="6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6" t="s">
        <v>44</v>
      </c>
      <c r="I3288" s="6" t="s">
        <v>1033</v>
      </c>
      <c r="J3288" s="6" t="s">
        <v>398</v>
      </c>
      <c r="K3288" s="10">
        <v>8.800000000000001</v>
      </c>
      <c r="L3288" s="10">
        <v>55</v>
      </c>
      <c r="M3288" s="6" t="s">
        <v>421</v>
      </c>
      <c r="N3288" s="6">
        <f>IF(OR($G3288="FCC",$G3288="Hydrocracker",$G3288="Reformer"),IF(COUNTIFS($D:$D,$D3288,$A:$A,$A3288,$B:$B,$B3288,$G:$G,"CDU",$J:$J,"PLANNED")&gt;0,"tied","standalone"),"")</f>
        <v/>
      </c>
    </row>
    <row r="3289" spans="1:14">
      <c r="A3289" s="6">
        <v>2024</v>
      </c>
      <c r="B3289" s="6">
        <v>3</v>
      </c>
      <c r="C3289" s="6" t="s">
        <v>62</v>
      </c>
      <c r="D3289" s="6" t="s">
        <v>828</v>
      </c>
      <c r="E3289" s="6" t="s">
        <v>829</v>
      </c>
      <c r="F3289" s="6" t="str">
        <f>IF($M3289="PADD I","PADD 1",IF($M3289="PADD II","PADD 2",IF($M3289="PADD III","PADD 3",IF($M3289="PADD IV","PADD 4",IF($M3289="PADD V","PADD 5","")))))</f>
        <v>PADD 3</v>
      </c>
      <c r="G3289" s="6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6" t="s">
        <v>426</v>
      </c>
      <c r="I3289" s="6" t="s">
        <v>856</v>
      </c>
      <c r="J3289" s="6" t="s">
        <v>394</v>
      </c>
      <c r="K3289" s="10">
        <v>8.800000000000001</v>
      </c>
      <c r="L3289" s="10">
        <v>55</v>
      </c>
      <c r="M3289" s="6" t="s">
        <v>421</v>
      </c>
      <c r="N3289" s="6" t="str">
        <f>IF(OR($G3289="FCC",$G3289="Hydrocracker",$G3289="Reformer"),IF(COUNTIFS($D:$D,$D3289,$A:$A,$A3289,$B:$B,$B3289,$G:$G,"CDU",$J:$J,"PLANNED")&gt;0,"tied","standalone"),"")</f>
        <v>standalone</v>
      </c>
    </row>
    <row r="3290" spans="1:14">
      <c r="A3290" s="6">
        <v>2024</v>
      </c>
      <c r="B3290" s="6">
        <v>3</v>
      </c>
      <c r="C3290" s="6" t="s">
        <v>62</v>
      </c>
      <c r="D3290" s="6" t="s">
        <v>49</v>
      </c>
      <c r="E3290" s="6" t="s">
        <v>438</v>
      </c>
      <c r="F3290" s="6" t="str">
        <f>IF($M3290="PADD I","PADD 1",IF($M3290="PADD II","PADD 2",IF($M3290="PADD III","PADD 3",IF($M3290="PADD IV","PADD 4",IF($M3290="PADD V","PADD 5","")))))</f>
        <v>PADD 2</v>
      </c>
      <c r="G3290" s="6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6" t="s">
        <v>687</v>
      </c>
      <c r="I3290" s="6" t="s">
        <v>654</v>
      </c>
      <c r="J3290" s="6" t="s">
        <v>394</v>
      </c>
      <c r="K3290" s="10">
        <v>8.800000000000001</v>
      </c>
      <c r="L3290" s="10">
        <v>16</v>
      </c>
      <c r="M3290" s="6" t="s">
        <v>425</v>
      </c>
      <c r="N3290" s="6">
        <f>IF(OR($G3290="FCC",$G3290="Hydrocracker",$G3290="Reformer"),IF(COUNTIFS($D:$D,$D3290,$A:$A,$A3290,$B:$B,$B3290,$G:$G,"CDU",$J:$J,"PLANNED")&gt;0,"tied","standalone"),"")</f>
        <v/>
      </c>
    </row>
    <row r="3291" spans="1:14">
      <c r="A3291" s="6">
        <v>2024</v>
      </c>
      <c r="B3291" s="6">
        <v>3</v>
      </c>
      <c r="C3291" s="6" t="s">
        <v>62</v>
      </c>
      <c r="D3291" s="6" t="s">
        <v>749</v>
      </c>
      <c r="E3291" s="6" t="s">
        <v>750</v>
      </c>
      <c r="F3291" s="6" t="str">
        <f>IF($M3291="PADD I","PADD 1",IF($M3291="PADD II","PADD 2",IF($M3291="PADD III","PADD 3",IF($M3291="PADD IV","PADD 4",IF($M3291="PADD V","PADD 5","")))))</f>
        <v>PADD 5</v>
      </c>
      <c r="G3291" s="6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6" t="s">
        <v>39</v>
      </c>
      <c r="I3291" s="6" t="s">
        <v>82</v>
      </c>
      <c r="J3291" s="6" t="s">
        <v>398</v>
      </c>
      <c r="K3291" s="10">
        <v>8.640000000000001</v>
      </c>
      <c r="L3291" s="10">
        <v>27</v>
      </c>
      <c r="M3291" s="6" t="s">
        <v>436</v>
      </c>
      <c r="N3291" s="6">
        <f>IF(OR($G3291="FCC",$G3291="Hydrocracker",$G3291="Reformer"),IF(COUNTIFS($D:$D,$D3291,$A:$A,$A3291,$B:$B,$B3291,$G:$G,"CDU",$J:$J,"PLANNED")&gt;0,"tied","standalone"),"")</f>
        <v/>
      </c>
    </row>
    <row r="3292" spans="1:14">
      <c r="A3292" s="6">
        <v>2024</v>
      </c>
      <c r="B3292" s="6">
        <v>3</v>
      </c>
      <c r="C3292" s="6" t="s">
        <v>62</v>
      </c>
      <c r="D3292" s="6" t="s">
        <v>437</v>
      </c>
      <c r="E3292" s="6" t="s">
        <v>438</v>
      </c>
      <c r="F3292" s="6" t="str">
        <f>IF($M3292="PADD I","PADD 1",IF($M3292="PADD II","PADD 2",IF($M3292="PADD III","PADD 3",IF($M3292="PADD IV","PADD 4",IF($M3292="PADD V","PADD 5","")))))</f>
        <v>PADD 3</v>
      </c>
      <c r="G3292" s="6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6" t="s">
        <v>471</v>
      </c>
      <c r="I3292" s="6" t="s">
        <v>633</v>
      </c>
      <c r="J3292" s="6" t="s">
        <v>394</v>
      </c>
      <c r="K3292" s="10">
        <v>8.515000000000001</v>
      </c>
      <c r="L3292" s="10">
        <v>65.5</v>
      </c>
      <c r="M3292" s="6" t="s">
        <v>421</v>
      </c>
      <c r="N3292" s="6" t="str">
        <f>IF(OR($G3292="FCC",$G3292="Hydrocracker",$G3292="Reformer"),IF(COUNTIFS($D:$D,$D3292,$A:$A,$A3292,$B:$B,$B3292,$G:$G,"CDU",$J:$J,"PLANNED")&gt;0,"tied","standalone"),"")</f>
        <v>standalone</v>
      </c>
    </row>
    <row r="3293" spans="1:14">
      <c r="A3293" s="6">
        <v>2024</v>
      </c>
      <c r="B3293" s="6">
        <v>3</v>
      </c>
      <c r="C3293" s="6" t="s">
        <v>62</v>
      </c>
      <c r="D3293" s="6" t="s">
        <v>576</v>
      </c>
      <c r="E3293" s="6" t="s">
        <v>455</v>
      </c>
      <c r="F3293" s="6" t="str">
        <f>IF($M3293="PADD I","PADD 1",IF($M3293="PADD II","PADD 2",IF($M3293="PADD III","PADD 3",IF($M3293="PADD IV","PADD 4",IF($M3293="PADD V","PADD 5","")))))</f>
        <v>PADD 3</v>
      </c>
      <c r="G3293" s="6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6" t="s">
        <v>44</v>
      </c>
      <c r="I3293" s="6" t="s">
        <v>1139</v>
      </c>
      <c r="J3293" s="6" t="s">
        <v>398</v>
      </c>
      <c r="K3293" s="10">
        <v>8.17</v>
      </c>
      <c r="L3293" s="10">
        <v>43</v>
      </c>
      <c r="M3293" s="6" t="s">
        <v>421</v>
      </c>
      <c r="N3293" s="6">
        <f>IF(OR($G3293="FCC",$G3293="Hydrocracker",$G3293="Reformer"),IF(COUNTIFS($D:$D,$D3293,$A:$A,$A3293,$B:$B,$B3293,$G:$G,"CDU",$J:$J,"PLANNED")&gt;0,"tied","standalone"),"")</f>
        <v/>
      </c>
    </row>
    <row r="3294" spans="1:14">
      <c r="A3294" s="6">
        <v>2024</v>
      </c>
      <c r="B3294" s="6">
        <v>3</v>
      </c>
      <c r="C3294" s="6" t="s">
        <v>62</v>
      </c>
      <c r="D3294" s="6" t="s">
        <v>380</v>
      </c>
      <c r="E3294" s="6" t="s">
        <v>423</v>
      </c>
      <c r="F3294" s="6" t="str">
        <f>IF($M3294="PADD I","PADD 1",IF($M3294="PADD II","PADD 2",IF($M3294="PADD III","PADD 3",IF($M3294="PADD IV","PADD 4",IF($M3294="PADD V","PADD 5","")))))</f>
        <v>PADD 2</v>
      </c>
      <c r="G3294" s="6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6" t="s">
        <v>485</v>
      </c>
      <c r="I3294" s="6" t="s">
        <v>491</v>
      </c>
      <c r="J3294" s="6" t="s">
        <v>394</v>
      </c>
      <c r="K3294" s="10">
        <v>8.138</v>
      </c>
      <c r="L3294" s="10">
        <v>31.3</v>
      </c>
      <c r="M3294" s="6" t="s">
        <v>425</v>
      </c>
      <c r="N3294" s="6">
        <f>IF(OR($G3294="FCC",$G3294="Hydrocracker",$G3294="Reformer"),IF(COUNTIFS($D:$D,$D3294,$A:$A,$A3294,$B:$B,$B3294,$G:$G,"CDU",$J:$J,"PLANNED")&gt;0,"tied","standalone"),"")</f>
        <v/>
      </c>
    </row>
    <row r="3295" spans="1:14">
      <c r="A3295" s="6">
        <v>2024</v>
      </c>
      <c r="B3295" s="6">
        <v>3</v>
      </c>
      <c r="C3295" s="6" t="s">
        <v>62</v>
      </c>
      <c r="D3295" s="6" t="s">
        <v>682</v>
      </c>
      <c r="E3295" s="6" t="s">
        <v>683</v>
      </c>
      <c r="F3295" s="6" t="str">
        <f>IF($M3295="PADD I","PADD 1",IF($M3295="PADD II","PADD 2",IF($M3295="PADD III","PADD 3",IF($M3295="PADD IV","PADD 4",IF($M3295="PADD V","PADD 5","")))))</f>
        <v>PADD 4</v>
      </c>
      <c r="G3295" s="6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6" t="s">
        <v>39</v>
      </c>
      <c r="I3295" s="6" t="s">
        <v>82</v>
      </c>
      <c r="J3295" s="6" t="s">
        <v>398</v>
      </c>
      <c r="K3295" s="10">
        <v>8.06</v>
      </c>
      <c r="L3295" s="10">
        <v>31</v>
      </c>
      <c r="M3295" s="6" t="s">
        <v>480</v>
      </c>
      <c r="N3295" s="6">
        <f>IF(OR($G3295="FCC",$G3295="Hydrocracker",$G3295="Reformer"),IF(COUNTIFS($D:$D,$D3295,$A:$A,$A3295,$B:$B,$B3295,$G:$G,"CDU",$J:$J,"PLANNED")&gt;0,"tied","standalone"),"")</f>
        <v/>
      </c>
    </row>
    <row r="3296" spans="1:14">
      <c r="A3296" s="6">
        <v>2024</v>
      </c>
      <c r="B3296" s="6">
        <v>3</v>
      </c>
      <c r="C3296" s="6" t="s">
        <v>62</v>
      </c>
      <c r="D3296" s="6" t="s">
        <v>384</v>
      </c>
      <c r="E3296" s="6" t="s">
        <v>419</v>
      </c>
      <c r="F3296" s="6" t="str">
        <f>IF($M3296="PADD I","PADD 1",IF($M3296="PADD II","PADD 2",IF($M3296="PADD III","PADD 3",IF($M3296="PADD IV","PADD 4",IF($M3296="PADD V","PADD 5","")))))</f>
        <v>PADD 3</v>
      </c>
      <c r="G3296" s="6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6" t="s">
        <v>471</v>
      </c>
      <c r="I3296" s="6" t="s">
        <v>1149</v>
      </c>
      <c r="J3296" s="6" t="s">
        <v>398</v>
      </c>
      <c r="K3296" s="10">
        <v>8.050000000000001</v>
      </c>
      <c r="L3296" s="10">
        <v>35</v>
      </c>
      <c r="M3296" s="6" t="s">
        <v>421</v>
      </c>
      <c r="N3296" s="6" t="str">
        <f>IF(OR($G3296="FCC",$G3296="Hydrocracker",$G3296="Reformer"),IF(COUNTIFS($D:$D,$D3296,$A:$A,$A3296,$B:$B,$B3296,$G:$G,"CDU",$J:$J,"PLANNED")&gt;0,"tied","standalone"),"")</f>
        <v>standalone</v>
      </c>
    </row>
    <row r="3297" spans="1:14">
      <c r="A3297" s="6">
        <v>2024</v>
      </c>
      <c r="B3297" s="6">
        <v>3</v>
      </c>
      <c r="C3297" s="6" t="s">
        <v>62</v>
      </c>
      <c r="D3297" s="6" t="s">
        <v>465</v>
      </c>
      <c r="E3297" s="6" t="s">
        <v>466</v>
      </c>
      <c r="F3297" s="6" t="str">
        <f>IF($M3297="PADD I","PADD 1",IF($M3297="PADD II","PADD 2",IF($M3297="PADD III","PADD 3",IF($M3297="PADD IV","PADD 4",IF($M3297="PADD V","PADD 5","")))))</f>
        <v>PADD 3</v>
      </c>
      <c r="G3297" s="6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6" t="s">
        <v>426</v>
      </c>
      <c r="I3297" s="6" t="s">
        <v>1172</v>
      </c>
      <c r="J3297" s="6" t="s">
        <v>398</v>
      </c>
      <c r="K3297" s="10">
        <v>8</v>
      </c>
      <c r="L3297" s="10">
        <v>50</v>
      </c>
      <c r="M3297" s="6" t="s">
        <v>421</v>
      </c>
      <c r="N3297" s="6" t="str">
        <f>IF(OR($G3297="FCC",$G3297="Hydrocracker",$G3297="Reformer"),IF(COUNTIFS($D:$D,$D3297,$A:$A,$A3297,$B:$B,$B3297,$G:$G,"CDU",$J:$J,"PLANNED")&gt;0,"tied","standalone"),"")</f>
        <v>tied</v>
      </c>
    </row>
    <row r="3298" spans="1:14">
      <c r="A3298" s="6">
        <v>2024</v>
      </c>
      <c r="B3298" s="6">
        <v>3</v>
      </c>
      <c r="C3298" s="6" t="s">
        <v>62</v>
      </c>
      <c r="D3298" s="6" t="s">
        <v>652</v>
      </c>
      <c r="E3298" s="6" t="s">
        <v>419</v>
      </c>
      <c r="F3298" s="6" t="str">
        <f>IF($M3298="PADD I","PADD 1",IF($M3298="PADD II","PADD 2",IF($M3298="PADD III","PADD 3",IF($M3298="PADD IV","PADD 4",IF($M3298="PADD V","PADD 5","")))))</f>
        <v>PADD 2</v>
      </c>
      <c r="G3298" s="6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6" t="s">
        <v>510</v>
      </c>
      <c r="I3298" s="6" t="s">
        <v>666</v>
      </c>
      <c r="J3298" s="6" t="s">
        <v>394</v>
      </c>
      <c r="K3298" s="10">
        <v>7.8</v>
      </c>
      <c r="L3298" s="10">
        <v>12</v>
      </c>
      <c r="M3298" s="6" t="s">
        <v>425</v>
      </c>
      <c r="N3298" s="6">
        <f>IF(OR($G3298="FCC",$G3298="Hydrocracker",$G3298="Reformer"),IF(COUNTIFS($D:$D,$D3298,$A:$A,$A3298,$B:$B,$B3298,$G:$G,"CDU",$J:$J,"PLANNED")&gt;0,"tied","standalone"),"")</f>
        <v/>
      </c>
    </row>
    <row r="3299" spans="1:14">
      <c r="A3299" s="6">
        <v>2024</v>
      </c>
      <c r="B3299" s="6">
        <v>3</v>
      </c>
      <c r="C3299" s="6" t="s">
        <v>62</v>
      </c>
      <c r="D3299" s="6" t="s">
        <v>678</v>
      </c>
      <c r="E3299" s="6" t="s">
        <v>438</v>
      </c>
      <c r="F3299" s="6" t="str">
        <f>IF($M3299="PADD I","PADD 1",IF($M3299="PADD II","PADD 2",IF($M3299="PADD III","PADD 3",IF($M3299="PADD IV","PADD 4",IF($M3299="PADD V","PADD 5","")))))</f>
        <v>PADD 3</v>
      </c>
      <c r="G3299" s="6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6" t="s">
        <v>471</v>
      </c>
      <c r="I3299" s="6" t="s">
        <v>621</v>
      </c>
      <c r="J3299" s="6" t="s">
        <v>398</v>
      </c>
      <c r="K3299" s="10">
        <v>7.4</v>
      </c>
      <c r="L3299" s="10">
        <v>10</v>
      </c>
      <c r="M3299" s="6" t="s">
        <v>421</v>
      </c>
      <c r="N3299" s="6" t="str">
        <f>IF(OR($G3299="FCC",$G3299="Hydrocracker",$G3299="Reformer"),IF(COUNTIFS($D:$D,$D3299,$A:$A,$A3299,$B:$B,$B3299,$G:$G,"CDU",$J:$J,"PLANNED")&gt;0,"tied","standalone"),"")</f>
        <v>tied</v>
      </c>
    </row>
    <row r="3300" spans="1:14">
      <c r="A3300" s="6">
        <v>2024</v>
      </c>
      <c r="B3300" s="6">
        <v>3</v>
      </c>
      <c r="C3300" s="6" t="s">
        <v>62</v>
      </c>
      <c r="D3300" s="6" t="s">
        <v>496</v>
      </c>
      <c r="E3300" s="6" t="s">
        <v>441</v>
      </c>
      <c r="F3300" s="6" t="str">
        <f>IF($M3300="PADD I","PADD 1",IF($M3300="PADD II","PADD 2",IF($M3300="PADD III","PADD 3",IF($M3300="PADD IV","PADD 4",IF($M3300="PADD V","PADD 5","")))))</f>
        <v>PADD 3</v>
      </c>
      <c r="G3300" s="6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6" t="s">
        <v>510</v>
      </c>
      <c r="I3300" s="6" t="s">
        <v>1125</v>
      </c>
      <c r="J3300" s="6" t="s">
        <v>394</v>
      </c>
      <c r="K3300" s="10">
        <v>7.2</v>
      </c>
      <c r="L3300" s="10">
        <v>7.2</v>
      </c>
      <c r="M3300" s="6" t="s">
        <v>421</v>
      </c>
      <c r="N3300" s="6">
        <f>IF(OR($G3300="FCC",$G3300="Hydrocracker",$G3300="Reformer"),IF(COUNTIFS($D:$D,$D3300,$A:$A,$A3300,$B:$B,$B3300,$G:$G,"CDU",$J:$J,"PLANNED")&gt;0,"tied","standalone"),"")</f>
        <v/>
      </c>
    </row>
    <row r="3301" spans="1:14">
      <c r="A3301" s="6">
        <v>2024</v>
      </c>
      <c r="B3301" s="6">
        <v>3</v>
      </c>
      <c r="C3301" s="6" t="s">
        <v>62</v>
      </c>
      <c r="D3301" s="6" t="s">
        <v>824</v>
      </c>
      <c r="E3301" s="6" t="s">
        <v>825</v>
      </c>
      <c r="F3301" s="6" t="str">
        <f>IF($M3301="PADD I","PADD 1",IF($M3301="PADD II","PADD 2",IF($M3301="PADD III","PADD 3",IF($M3301="PADD IV","PADD 4",IF($M3301="PADD V","PADD 5","")))))</f>
        <v>PADD 1</v>
      </c>
      <c r="G3301" s="6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6" t="s">
        <v>44</v>
      </c>
      <c r="I3301" s="6" t="s">
        <v>1196</v>
      </c>
      <c r="J3301" s="6" t="s">
        <v>398</v>
      </c>
      <c r="K3301" s="10">
        <v>7.1346</v>
      </c>
      <c r="L3301" s="10">
        <v>7.59</v>
      </c>
      <c r="M3301" s="6" t="s">
        <v>463</v>
      </c>
      <c r="N3301" s="6">
        <f>IF(OR($G3301="FCC",$G3301="Hydrocracker",$G3301="Reformer"),IF(COUNTIFS($D:$D,$D3301,$A:$A,$A3301,$B:$B,$B3301,$G:$G,"CDU",$J:$J,"PLANNED")&gt;0,"tied","standalone"),"")</f>
        <v/>
      </c>
    </row>
    <row r="3302" spans="1:14">
      <c r="A3302" s="6">
        <v>2024</v>
      </c>
      <c r="B3302" s="6">
        <v>3</v>
      </c>
      <c r="C3302" s="6" t="s">
        <v>62</v>
      </c>
      <c r="D3302" s="6" t="s">
        <v>518</v>
      </c>
      <c r="E3302" s="6" t="s">
        <v>419</v>
      </c>
      <c r="F3302" s="6" t="str">
        <f>IF($M3302="PADD I","PADD 1",IF($M3302="PADD II","PADD 2",IF($M3302="PADD III","PADD 3",IF($M3302="PADD IV","PADD 4",IF($M3302="PADD V","PADD 5","")))))</f>
        <v>PADD 3</v>
      </c>
      <c r="G3302" s="6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6" t="s">
        <v>471</v>
      </c>
      <c r="I3302" s="6" t="s">
        <v>685</v>
      </c>
      <c r="J3302" s="6" t="s">
        <v>398</v>
      </c>
      <c r="K3302" s="10">
        <v>7</v>
      </c>
      <c r="L3302" s="10">
        <v>7</v>
      </c>
      <c r="M3302" s="6" t="s">
        <v>421</v>
      </c>
      <c r="N3302" s="6" t="str">
        <f>IF(OR($G3302="FCC",$G3302="Hydrocracker",$G3302="Reformer"),IF(COUNTIFS($D:$D,$D3302,$A:$A,$A3302,$B:$B,$B3302,$G:$G,"CDU",$J:$J,"PLANNED")&gt;0,"tied","standalone"),"")</f>
        <v>standalone</v>
      </c>
    </row>
    <row r="3303" spans="1:14">
      <c r="A3303" s="6">
        <v>2024</v>
      </c>
      <c r="B3303" s="6">
        <v>3</v>
      </c>
      <c r="C3303" s="6" t="s">
        <v>62</v>
      </c>
      <c r="D3303" s="6" t="s">
        <v>689</v>
      </c>
      <c r="E3303" s="6" t="s">
        <v>502</v>
      </c>
      <c r="F3303" s="6" t="str">
        <f>IF($M3303="PADD I","PADD 1",IF($M3303="PADD II","PADD 2",IF($M3303="PADD III","PADD 3",IF($M3303="PADD IV","PADD 4",IF($M3303="PADD V","PADD 5","")))))</f>
        <v>PADD 5</v>
      </c>
      <c r="G3303" s="6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6" t="s">
        <v>510</v>
      </c>
      <c r="I3303" s="6" t="s">
        <v>591</v>
      </c>
      <c r="J3303" s="6" t="s">
        <v>398</v>
      </c>
      <c r="K3303" s="10">
        <v>7</v>
      </c>
      <c r="L3303" s="10">
        <v>7</v>
      </c>
      <c r="M3303" s="6" t="s">
        <v>436</v>
      </c>
      <c r="N3303" s="6">
        <f>IF(OR($G3303="FCC",$G3303="Hydrocracker",$G3303="Reformer"),IF(COUNTIFS($D:$D,$D3303,$A:$A,$A3303,$B:$B,$B3303,$G:$G,"CDU",$J:$J,"PLANNED")&gt;0,"tied","standalone"),"")</f>
        <v/>
      </c>
    </row>
    <row r="3304" spans="1:14">
      <c r="A3304" s="6">
        <v>2024</v>
      </c>
      <c r="B3304" s="6">
        <v>3</v>
      </c>
      <c r="C3304" s="6" t="s">
        <v>62</v>
      </c>
      <c r="D3304" s="6" t="s">
        <v>479</v>
      </c>
      <c r="E3304" s="6" t="s">
        <v>438</v>
      </c>
      <c r="F3304" s="6" t="str">
        <f>IF($M3304="PADD I","PADD 1",IF($M3304="PADD II","PADD 2",IF($M3304="PADD III","PADD 3",IF($M3304="PADD IV","PADD 4",IF($M3304="PADD V","PADD 5","")))))</f>
        <v>PADD 4</v>
      </c>
      <c r="G3304" s="6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6" t="s">
        <v>44</v>
      </c>
      <c r="I3304" s="6" t="s">
        <v>1183</v>
      </c>
      <c r="J3304" s="6" t="s">
        <v>398</v>
      </c>
      <c r="K3304" s="10">
        <v>6.96</v>
      </c>
      <c r="L3304" s="10">
        <v>8</v>
      </c>
      <c r="M3304" s="6" t="s">
        <v>480</v>
      </c>
      <c r="N3304" s="6">
        <f>IF(OR($G3304="FCC",$G3304="Hydrocracker",$G3304="Reformer"),IF(COUNTIFS($D:$D,$D3304,$A:$A,$A3304,$B:$B,$B3304,$G:$G,"CDU",$J:$J,"PLANNED")&gt;0,"tied","standalone"),"")</f>
        <v/>
      </c>
    </row>
    <row r="3305" spans="1:14">
      <c r="A3305" s="6">
        <v>2024</v>
      </c>
      <c r="B3305" s="6">
        <v>3</v>
      </c>
      <c r="C3305" s="6" t="s">
        <v>62</v>
      </c>
      <c r="D3305" s="6" t="s">
        <v>490</v>
      </c>
      <c r="E3305" s="6" t="s">
        <v>419</v>
      </c>
      <c r="F3305" s="6" t="str">
        <f>IF($M3305="PADD I","PADD 1",IF($M3305="PADD II","PADD 2",IF($M3305="PADD III","PADD 3",IF($M3305="PADD IV","PADD 4",IF($M3305="PADD V","PADD 5","")))))</f>
        <v>PADD 5</v>
      </c>
      <c r="G3305" s="6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6" t="s">
        <v>485</v>
      </c>
      <c r="I3305" s="6" t="s">
        <v>491</v>
      </c>
      <c r="J3305" s="6" t="s">
        <v>394</v>
      </c>
      <c r="K3305" s="10">
        <v>6.89</v>
      </c>
      <c r="L3305" s="10">
        <v>53</v>
      </c>
      <c r="M3305" s="6" t="s">
        <v>436</v>
      </c>
      <c r="N3305" s="6">
        <f>IF(OR($G3305="FCC",$G3305="Hydrocracker",$G3305="Reformer"),IF(COUNTIFS($D:$D,$D3305,$A:$A,$A3305,$B:$B,$B3305,$G:$G,"CDU",$J:$J,"PLANNED")&gt;0,"tied","standalone"),"")</f>
        <v/>
      </c>
    </row>
    <row r="3306" spans="1:14">
      <c r="A3306" s="6">
        <v>2024</v>
      </c>
      <c r="B3306" s="6">
        <v>3</v>
      </c>
      <c r="C3306" s="6" t="s">
        <v>62</v>
      </c>
      <c r="D3306" s="6" t="s">
        <v>772</v>
      </c>
      <c r="E3306" s="6" t="s">
        <v>502</v>
      </c>
      <c r="F3306" s="6" t="str">
        <f>IF($M3306="PADD I","PADD 1",IF($M3306="PADD II","PADD 2",IF($M3306="PADD III","PADD 3",IF($M3306="PADD IV","PADD 4",IF($M3306="PADD V","PADD 5","")))))</f>
        <v>PADD 4</v>
      </c>
      <c r="G3306" s="6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6" t="s">
        <v>494</v>
      </c>
      <c r="I3306" s="6" t="s">
        <v>1197</v>
      </c>
      <c r="J3306" s="6" t="s">
        <v>394</v>
      </c>
      <c r="K3306" s="10">
        <v>6.75</v>
      </c>
      <c r="L3306" s="10">
        <v>15</v>
      </c>
      <c r="M3306" s="6" t="s">
        <v>480</v>
      </c>
      <c r="N3306" s="6" t="str">
        <f>IF(OR($G3306="FCC",$G3306="Hydrocracker",$G3306="Reformer"),IF(COUNTIFS($D:$D,$D3306,$A:$A,$A3306,$B:$B,$B3306,$G:$G,"CDU",$J:$J,"PLANNED")&gt;0,"tied","standalone"),"")</f>
        <v>standalone</v>
      </c>
    </row>
    <row r="3307" spans="1:14">
      <c r="A3307" s="6">
        <v>2024</v>
      </c>
      <c r="B3307" s="6">
        <v>3</v>
      </c>
      <c r="C3307" s="6" t="s">
        <v>62</v>
      </c>
      <c r="D3307" s="6" t="s">
        <v>792</v>
      </c>
      <c r="E3307" s="6" t="s">
        <v>438</v>
      </c>
      <c r="F3307" s="6" t="str">
        <f>IF($M3307="PADD I","PADD 1",IF($M3307="PADD II","PADD 2",IF($M3307="PADD III","PADD 3",IF($M3307="PADD IV","PADD 4",IF($M3307="PADD V","PADD 5","")))))</f>
        <v>PADD 5</v>
      </c>
      <c r="G3307" s="6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6" t="s">
        <v>426</v>
      </c>
      <c r="I3307" s="6" t="s">
        <v>106</v>
      </c>
      <c r="J3307" s="6" t="s">
        <v>394</v>
      </c>
      <c r="K3307" s="10">
        <v>6.72</v>
      </c>
      <c r="L3307" s="10">
        <v>42</v>
      </c>
      <c r="M3307" s="6" t="s">
        <v>436</v>
      </c>
      <c r="N3307" s="6" t="str">
        <f>IF(OR($G3307="FCC",$G3307="Hydrocracker",$G3307="Reformer"),IF(COUNTIFS($D:$D,$D3307,$A:$A,$A3307,$B:$B,$B3307,$G:$G,"CDU",$J:$J,"PLANNED")&gt;0,"tied","standalone"),"")</f>
        <v>standalone</v>
      </c>
    </row>
    <row r="3308" spans="1:14">
      <c r="A3308" s="6">
        <v>2024</v>
      </c>
      <c r="B3308" s="6">
        <v>3</v>
      </c>
      <c r="C3308" s="6" t="s">
        <v>62</v>
      </c>
      <c r="D3308" s="6" t="s">
        <v>487</v>
      </c>
      <c r="E3308" s="6" t="s">
        <v>488</v>
      </c>
      <c r="F3308" s="6" t="str">
        <f>IF($M3308="PADD I","PADD 1",IF($M3308="PADD II","PADD 2",IF($M3308="PADD III","PADD 3",IF($M3308="PADD IV","PADD 4",IF($M3308="PADD V","PADD 5","")))))</f>
        <v>PADD 4</v>
      </c>
      <c r="G3308" s="6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6" t="s">
        <v>44</v>
      </c>
      <c r="I3308" s="6" t="s">
        <v>543</v>
      </c>
      <c r="J3308" s="6" t="s">
        <v>394</v>
      </c>
      <c r="K3308" s="10">
        <v>6.72</v>
      </c>
      <c r="L3308" s="10">
        <v>21</v>
      </c>
      <c r="M3308" s="6" t="s">
        <v>480</v>
      </c>
      <c r="N3308" s="6">
        <f>IF(OR($G3308="FCC",$G3308="Hydrocracker",$G3308="Reformer"),IF(COUNTIFS($D:$D,$D3308,$A:$A,$A3308,$B:$B,$B3308,$G:$G,"CDU",$J:$J,"PLANNED")&gt;0,"tied","standalone"),"")</f>
        <v/>
      </c>
    </row>
    <row r="3309" spans="1:14">
      <c r="A3309" s="6">
        <v>2024</v>
      </c>
      <c r="B3309" s="6">
        <v>3</v>
      </c>
      <c r="C3309" s="6" t="s">
        <v>62</v>
      </c>
      <c r="D3309" s="6" t="s">
        <v>857</v>
      </c>
      <c r="E3309" s="6" t="s">
        <v>829</v>
      </c>
      <c r="F3309" s="6" t="str">
        <f>IF($M3309="PADD I","PADD 1",IF($M3309="PADD II","PADD 2",IF($M3309="PADD III","PADD 3",IF($M3309="PADD IV","PADD 4",IF($M3309="PADD V","PADD 5","")))))</f>
        <v>PADD 3</v>
      </c>
      <c r="G3309" s="6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6" t="s">
        <v>39</v>
      </c>
      <c r="I3309" s="6" t="s">
        <v>136</v>
      </c>
      <c r="J3309" s="6" t="s">
        <v>398</v>
      </c>
      <c r="K3309" s="10">
        <v>6.7</v>
      </c>
      <c r="L3309" s="10">
        <v>67</v>
      </c>
      <c r="M3309" s="6" t="s">
        <v>421</v>
      </c>
      <c r="N3309" s="6">
        <f>IF(OR($G3309="FCC",$G3309="Hydrocracker",$G3309="Reformer"),IF(COUNTIFS($D:$D,$D3309,$A:$A,$A3309,$B:$B,$B3309,$G:$G,"CDU",$J:$J,"PLANNED")&gt;0,"tied","standalone"),"")</f>
        <v/>
      </c>
    </row>
    <row r="3310" spans="1:14">
      <c r="A3310" s="6">
        <v>2024</v>
      </c>
      <c r="B3310" s="6">
        <v>3</v>
      </c>
      <c r="C3310" s="6" t="s">
        <v>62</v>
      </c>
      <c r="D3310" s="6" t="s">
        <v>849</v>
      </c>
      <c r="E3310" s="6" t="s">
        <v>441</v>
      </c>
      <c r="F3310" s="6" t="str">
        <f>IF($M3310="PADD I","PADD 1",IF($M3310="PADD II","PADD 2",IF($M3310="PADD III","PADD 3",IF($M3310="PADD IV","PADD 4",IF($M3310="PADD V","PADD 5","")))))</f>
        <v>PADD 4</v>
      </c>
      <c r="G3310" s="6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6" t="s">
        <v>428</v>
      </c>
      <c r="I3310" s="6" t="s">
        <v>429</v>
      </c>
      <c r="J3310" s="6" t="s">
        <v>398</v>
      </c>
      <c r="K3310" s="10">
        <v>6.656</v>
      </c>
      <c r="L3310" s="10">
        <v>25.6</v>
      </c>
      <c r="M3310" s="6" t="s">
        <v>480</v>
      </c>
      <c r="N3310" s="6">
        <f>IF(OR($G3310="FCC",$G3310="Hydrocracker",$G3310="Reformer"),IF(COUNTIFS($D:$D,$D3310,$A:$A,$A3310,$B:$B,$B3310,$G:$G,"CDU",$J:$J,"PLANNED")&gt;0,"tied","standalone"),"")</f>
        <v/>
      </c>
    </row>
    <row r="3311" spans="1:14">
      <c r="A3311" s="6">
        <v>2024</v>
      </c>
      <c r="B3311" s="6">
        <v>3</v>
      </c>
      <c r="C3311" s="6" t="s">
        <v>62</v>
      </c>
      <c r="D3311" s="6" t="s">
        <v>515</v>
      </c>
      <c r="E3311" s="6" t="s">
        <v>419</v>
      </c>
      <c r="F3311" s="6" t="str">
        <f>IF($M3311="PADD I","PADD 1",IF($M3311="PADD II","PADD 2",IF($M3311="PADD III","PADD 3",IF($M3311="PADD IV","PADD 4",IF($M3311="PADD V","PADD 5","")))))</f>
        <v>PADD 5</v>
      </c>
      <c r="G3311" s="6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6" t="s">
        <v>471</v>
      </c>
      <c r="I3311" s="6" t="s">
        <v>723</v>
      </c>
      <c r="J3311" s="6" t="s">
        <v>398</v>
      </c>
      <c r="K3311" s="10">
        <v>6.4</v>
      </c>
      <c r="L3311" s="10">
        <v>20</v>
      </c>
      <c r="M3311" s="6" t="s">
        <v>436</v>
      </c>
      <c r="N3311" s="6" t="str">
        <f>IF(OR($G3311="FCC",$G3311="Hydrocracker",$G3311="Reformer"),IF(COUNTIFS($D:$D,$D3311,$A:$A,$A3311,$B:$B,$B3311,$G:$G,"CDU",$J:$J,"PLANNED")&gt;0,"tied","standalone"),"")</f>
        <v>standalone</v>
      </c>
    </row>
    <row r="3312" spans="1:14">
      <c r="A3312" s="6">
        <v>2024</v>
      </c>
      <c r="B3312" s="6">
        <v>3</v>
      </c>
      <c r="C3312" s="6" t="s">
        <v>62</v>
      </c>
      <c r="D3312" s="6" t="s">
        <v>696</v>
      </c>
      <c r="E3312" s="6" t="s">
        <v>455</v>
      </c>
      <c r="F3312" s="6" t="str">
        <f>IF($M3312="PADD I","PADD 1",IF($M3312="PADD II","PADD 2",IF($M3312="PADD III","PADD 3",IF($M3312="PADD IV","PADD 4",IF($M3312="PADD V","PADD 5","")))))</f>
        <v>PADD 3</v>
      </c>
      <c r="G3312" s="6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6" t="s">
        <v>485</v>
      </c>
      <c r="I3312" s="6" t="s">
        <v>491</v>
      </c>
      <c r="J3312" s="6" t="s">
        <v>394</v>
      </c>
      <c r="K3312" s="10">
        <v>6.3</v>
      </c>
      <c r="L3312" s="10">
        <v>18</v>
      </c>
      <c r="M3312" s="6" t="s">
        <v>421</v>
      </c>
      <c r="N3312" s="6">
        <f>IF(OR($G3312="FCC",$G3312="Hydrocracker",$G3312="Reformer"),IF(COUNTIFS($D:$D,$D3312,$A:$A,$A3312,$B:$B,$B3312,$G:$G,"CDU",$J:$J,"PLANNED")&gt;0,"tied","standalone"),"")</f>
        <v/>
      </c>
    </row>
    <row r="3313" spans="1:14">
      <c r="A3313" s="6">
        <v>2024</v>
      </c>
      <c r="B3313" s="6">
        <v>3</v>
      </c>
      <c r="C3313" s="6" t="s">
        <v>62</v>
      </c>
      <c r="D3313" s="6" t="s">
        <v>798</v>
      </c>
      <c r="E3313" s="6" t="s">
        <v>438</v>
      </c>
      <c r="F3313" s="6" t="str">
        <f>IF($M3313="PADD I","PADD 1",IF($M3313="PADD II","PADD 2",IF($M3313="PADD III","PADD 3",IF($M3313="PADD IV","PADD 4",IF($M3313="PADD V","PADD 5","")))))</f>
        <v>PADD 3</v>
      </c>
      <c r="G3313" s="6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6" t="s">
        <v>471</v>
      </c>
      <c r="I3313" s="6" t="s">
        <v>814</v>
      </c>
      <c r="J3313" s="6" t="s">
        <v>398</v>
      </c>
      <c r="K3313" s="10">
        <v>6.3</v>
      </c>
      <c r="L3313" s="10">
        <v>15</v>
      </c>
      <c r="M3313" s="6" t="s">
        <v>421</v>
      </c>
      <c r="N3313" s="6" t="str">
        <f>IF(OR($G3313="FCC",$G3313="Hydrocracker",$G3313="Reformer"),IF(COUNTIFS($D:$D,$D3313,$A:$A,$A3313,$B:$B,$B3313,$G:$G,"CDU",$J:$J,"PLANNED")&gt;0,"tied","standalone"),"")</f>
        <v>standalone</v>
      </c>
    </row>
    <row r="3314" spans="1:14">
      <c r="A3314" s="6">
        <v>2024</v>
      </c>
      <c r="B3314" s="6">
        <v>3</v>
      </c>
      <c r="C3314" s="6" t="s">
        <v>62</v>
      </c>
      <c r="D3314" s="6" t="s">
        <v>1198</v>
      </c>
      <c r="E3314" s="6" t="s">
        <v>1199</v>
      </c>
      <c r="F3314" s="6" t="str">
        <f>IF($M3314="PADD I","PADD 1",IF($M3314="PADD II","PADD 2",IF($M3314="PADD III","PADD 3",IF($M3314="PADD IV","PADD 4",IF($M3314="PADD V","PADD 5","")))))</f>
        <v>PADD 3</v>
      </c>
      <c r="G3314" s="6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6" t="s">
        <v>39</v>
      </c>
      <c r="I3314" s="6" t="s">
        <v>82</v>
      </c>
      <c r="J3314" s="6" t="s">
        <v>398</v>
      </c>
      <c r="K3314" s="10">
        <v>6.09</v>
      </c>
      <c r="L3314" s="10">
        <v>7</v>
      </c>
      <c r="M3314" s="6" t="s">
        <v>421</v>
      </c>
      <c r="N3314" s="6">
        <f>IF(OR($G3314="FCC",$G3314="Hydrocracker",$G3314="Reformer"),IF(COUNTIFS($D:$D,$D3314,$A:$A,$A3314,$B:$B,$B3314,$G:$G,"CDU",$J:$J,"PLANNED")&gt;0,"tied","standalone"),"")</f>
        <v/>
      </c>
    </row>
    <row r="3315" spans="1:14">
      <c r="A3315" s="6">
        <v>2024</v>
      </c>
      <c r="B3315" s="6">
        <v>3</v>
      </c>
      <c r="C3315" s="6" t="s">
        <v>62</v>
      </c>
      <c r="D3315" s="6" t="s">
        <v>465</v>
      </c>
      <c r="E3315" s="6" t="s">
        <v>466</v>
      </c>
      <c r="F3315" s="6" t="str">
        <f>IF($M3315="PADD I","PADD 1",IF($M3315="PADD II","PADD 2",IF($M3315="PADD III","PADD 3",IF($M3315="PADD IV","PADD 4",IF($M3315="PADD V","PADD 5","")))))</f>
        <v>PADD 3</v>
      </c>
      <c r="G3315" s="6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6" t="s">
        <v>44</v>
      </c>
      <c r="I3315" s="6" t="s">
        <v>1145</v>
      </c>
      <c r="J3315" s="6" t="s">
        <v>398</v>
      </c>
      <c r="K3315" s="10">
        <v>6.08</v>
      </c>
      <c r="L3315" s="10">
        <v>38</v>
      </c>
      <c r="M3315" s="6" t="s">
        <v>421</v>
      </c>
      <c r="N3315" s="6">
        <f>IF(OR($G3315="FCC",$G3315="Hydrocracker",$G3315="Reformer"),IF(COUNTIFS($D:$D,$D3315,$A:$A,$A3315,$B:$B,$B3315,$G:$G,"CDU",$J:$J,"PLANNED")&gt;0,"tied","standalone"),"")</f>
        <v/>
      </c>
    </row>
    <row r="3316" spans="1:14">
      <c r="A3316" s="6">
        <v>2024</v>
      </c>
      <c r="B3316" s="6">
        <v>3</v>
      </c>
      <c r="C3316" s="6" t="s">
        <v>62</v>
      </c>
      <c r="D3316" s="6" t="s">
        <v>838</v>
      </c>
      <c r="E3316" s="6" t="s">
        <v>455</v>
      </c>
      <c r="F3316" s="6" t="str">
        <f>IF($M3316="PADD I","PADD 1",IF($M3316="PADD II","PADD 2",IF($M3316="PADD III","PADD 3",IF($M3316="PADD IV","PADD 4",IF($M3316="PADD V","PADD 5","")))))</f>
        <v>PADD 3</v>
      </c>
      <c r="G3316" s="6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6" t="s">
        <v>471</v>
      </c>
      <c r="I3316" s="6" t="s">
        <v>832</v>
      </c>
      <c r="J3316" s="6" t="s">
        <v>394</v>
      </c>
      <c r="K3316" s="10">
        <v>6.08</v>
      </c>
      <c r="L3316" s="10">
        <v>32</v>
      </c>
      <c r="M3316" s="6" t="s">
        <v>421</v>
      </c>
      <c r="N3316" s="6" t="str">
        <f>IF(OR($G3316="FCC",$G3316="Hydrocracker",$G3316="Reformer"),IF(COUNTIFS($D:$D,$D3316,$A:$A,$A3316,$B:$B,$B3316,$G:$G,"CDU",$J:$J,"PLANNED")&gt;0,"tied","standalone"),"")</f>
        <v>standalone</v>
      </c>
    </row>
    <row r="3317" spans="1:14">
      <c r="A3317" s="6">
        <v>2024</v>
      </c>
      <c r="B3317" s="6">
        <v>3</v>
      </c>
      <c r="C3317" s="6" t="s">
        <v>62</v>
      </c>
      <c r="D3317" s="6" t="s">
        <v>422</v>
      </c>
      <c r="E3317" s="6" t="s">
        <v>423</v>
      </c>
      <c r="F3317" s="6" t="str">
        <f>IF($M3317="PADD I","PADD 1",IF($M3317="PADD II","PADD 2",IF($M3317="PADD III","PADD 3",IF($M3317="PADD IV","PADD 4",IF($M3317="PADD V","PADD 5","")))))</f>
        <v>PADD 2</v>
      </c>
      <c r="G3317" s="6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6" t="s">
        <v>485</v>
      </c>
      <c r="I3317" s="6" t="s">
        <v>634</v>
      </c>
      <c r="J3317" s="6" t="s">
        <v>394</v>
      </c>
      <c r="K3317" s="10">
        <v>6.075</v>
      </c>
      <c r="L3317" s="10">
        <v>7.5</v>
      </c>
      <c r="M3317" s="6" t="s">
        <v>425</v>
      </c>
      <c r="N3317" s="6">
        <f>IF(OR($G3317="FCC",$G3317="Hydrocracker",$G3317="Reformer"),IF(COUNTIFS($D:$D,$D3317,$A:$A,$A3317,$B:$B,$B3317,$G:$G,"CDU",$J:$J,"PLANNED")&gt;0,"tied","standalone"),"")</f>
        <v/>
      </c>
    </row>
    <row r="3318" spans="1:14">
      <c r="A3318" s="6">
        <v>2024</v>
      </c>
      <c r="B3318" s="6">
        <v>3</v>
      </c>
      <c r="C3318" s="6" t="s">
        <v>62</v>
      </c>
      <c r="D3318" s="6" t="s">
        <v>546</v>
      </c>
      <c r="E3318" s="6" t="s">
        <v>438</v>
      </c>
      <c r="F3318" s="6" t="str">
        <f>IF($M3318="PADD I","PADD 1",IF($M3318="PADD II","PADD 2",IF($M3318="PADD III","PADD 3",IF($M3318="PADD IV","PADD 4",IF($M3318="PADD V","PADD 5","")))))</f>
        <v>PADD 2</v>
      </c>
      <c r="G3318" s="6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6" t="s">
        <v>44</v>
      </c>
      <c r="I3318" s="6" t="s">
        <v>1005</v>
      </c>
      <c r="J3318" s="6" t="s">
        <v>398</v>
      </c>
      <c r="K3318" s="10">
        <v>6</v>
      </c>
      <c r="L3318" s="10">
        <v>6</v>
      </c>
      <c r="M3318" s="6" t="s">
        <v>425</v>
      </c>
      <c r="N3318" s="6">
        <f>IF(OR($G3318="FCC",$G3318="Hydrocracker",$G3318="Reformer"),IF(COUNTIFS($D:$D,$D3318,$A:$A,$A3318,$B:$B,$B3318,$G:$G,"CDU",$J:$J,"PLANNED")&gt;0,"tied","standalone"),"")</f>
        <v/>
      </c>
    </row>
    <row r="3319" spans="1:14">
      <c r="A3319" s="6">
        <v>2024</v>
      </c>
      <c r="B3319" s="6">
        <v>3</v>
      </c>
      <c r="C3319" s="6" t="s">
        <v>62</v>
      </c>
      <c r="D3319" s="6" t="s">
        <v>540</v>
      </c>
      <c r="E3319" s="6" t="s">
        <v>541</v>
      </c>
      <c r="F3319" s="6" t="str">
        <f>IF($M3319="PADD I","PADD 1",IF($M3319="PADD II","PADD 2",IF($M3319="PADD III","PADD 3",IF($M3319="PADD IV","PADD 4",IF($M3319="PADD V","PADD 5","")))))</f>
        <v>PADD 3</v>
      </c>
      <c r="G3319" s="6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6" t="s">
        <v>428</v>
      </c>
      <c r="I3319" s="6" t="s">
        <v>610</v>
      </c>
      <c r="J3319" s="6" t="s">
        <v>394</v>
      </c>
      <c r="K3319" s="10">
        <v>6</v>
      </c>
      <c r="L3319" s="10">
        <v>100</v>
      </c>
      <c r="M3319" s="6" t="s">
        <v>421</v>
      </c>
      <c r="N3319" s="6">
        <f>IF(OR($G3319="FCC",$G3319="Hydrocracker",$G3319="Reformer"),IF(COUNTIFS($D:$D,$D3319,$A:$A,$A3319,$B:$B,$B3319,$G:$G,"CDU",$J:$J,"PLANNED")&gt;0,"tied","standalone"),"")</f>
        <v/>
      </c>
    </row>
    <row r="3320" spans="1:14">
      <c r="A3320" s="6">
        <v>2024</v>
      </c>
      <c r="B3320" s="6">
        <v>3</v>
      </c>
      <c r="C3320" s="6" t="s">
        <v>62</v>
      </c>
      <c r="D3320" s="6" t="s">
        <v>487</v>
      </c>
      <c r="E3320" s="6" t="s">
        <v>488</v>
      </c>
      <c r="F3320" s="6" t="str">
        <f>IF($M3320="PADD I","PADD 1",IF($M3320="PADD II","PADD 2",IF($M3320="PADD III","PADD 3",IF($M3320="PADD IV","PADD 4",IF($M3320="PADD V","PADD 5","")))))</f>
        <v>PADD 4</v>
      </c>
      <c r="G3320" s="6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6" t="s">
        <v>428</v>
      </c>
      <c r="I3320" s="6" t="s">
        <v>606</v>
      </c>
      <c r="J3320" s="6" t="s">
        <v>394</v>
      </c>
      <c r="K3320" s="10">
        <v>5.9498</v>
      </c>
      <c r="L3320" s="10">
        <v>8.380000000000001</v>
      </c>
      <c r="M3320" s="6" t="s">
        <v>480</v>
      </c>
      <c r="N3320" s="6">
        <f>IF(OR($G3320="FCC",$G3320="Hydrocracker",$G3320="Reformer"),IF(COUNTIFS($D:$D,$D3320,$A:$A,$A3320,$B:$B,$B3320,$G:$G,"CDU",$J:$J,"PLANNED")&gt;0,"tied","standalone"),"")</f>
        <v/>
      </c>
    </row>
    <row r="3321" spans="1:14">
      <c r="A3321" s="6">
        <v>2024</v>
      </c>
      <c r="B3321" s="6">
        <v>3</v>
      </c>
      <c r="C3321" s="6" t="s">
        <v>62</v>
      </c>
      <c r="D3321" s="6" t="s">
        <v>49</v>
      </c>
      <c r="E3321" s="6" t="s">
        <v>438</v>
      </c>
      <c r="F3321" s="6" t="str">
        <f>IF($M3321="PADD I","PADD 1",IF($M3321="PADD II","PADD 2",IF($M3321="PADD III","PADD 3",IF($M3321="PADD IV","PADD 4",IF($M3321="PADD V","PADD 5","")))))</f>
        <v>PADD 2</v>
      </c>
      <c r="G3321" s="6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6" t="s">
        <v>485</v>
      </c>
      <c r="I3321" s="6" t="s">
        <v>681</v>
      </c>
      <c r="J3321" s="6" t="s">
        <v>394</v>
      </c>
      <c r="K3321" s="10">
        <v>5.76</v>
      </c>
      <c r="L3321" s="10">
        <v>12</v>
      </c>
      <c r="M3321" s="6" t="s">
        <v>425</v>
      </c>
      <c r="N3321" s="6">
        <f>IF(OR($G3321="FCC",$G3321="Hydrocracker",$G3321="Reformer"),IF(COUNTIFS($D:$D,$D3321,$A:$A,$A3321,$B:$B,$B3321,$G:$G,"CDU",$J:$J,"PLANNED")&gt;0,"tied","standalone"),"")</f>
        <v/>
      </c>
    </row>
    <row r="3322" spans="1:14">
      <c r="A3322" s="6">
        <v>2024</v>
      </c>
      <c r="B3322" s="6">
        <v>3</v>
      </c>
      <c r="C3322" s="6" t="s">
        <v>62</v>
      </c>
      <c r="D3322" s="6" t="s">
        <v>857</v>
      </c>
      <c r="E3322" s="6" t="s">
        <v>829</v>
      </c>
      <c r="F3322" s="6" t="str">
        <f>IF($M3322="PADD I","PADD 1",IF($M3322="PADD II","PADD 2",IF($M3322="PADD III","PADD 3",IF($M3322="PADD IV","PADD 4",IF($M3322="PADD V","PADD 5","")))))</f>
        <v>PADD 3</v>
      </c>
      <c r="G3322" s="6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6" t="s">
        <v>426</v>
      </c>
      <c r="I3322" s="6" t="s">
        <v>478</v>
      </c>
      <c r="J3322" s="6" t="s">
        <v>398</v>
      </c>
      <c r="K3322" s="10">
        <v>5.5</v>
      </c>
      <c r="L3322" s="10">
        <v>55</v>
      </c>
      <c r="M3322" s="6" t="s">
        <v>421</v>
      </c>
      <c r="N3322" s="6" t="str">
        <f>IF(OR($G3322="FCC",$G3322="Hydrocracker",$G3322="Reformer"),IF(COUNTIFS($D:$D,$D3322,$A:$A,$A3322,$B:$B,$B3322,$G:$G,"CDU",$J:$J,"PLANNED")&gt;0,"tied","standalone"),"")</f>
        <v>tied</v>
      </c>
    </row>
    <row r="3323" spans="1:14">
      <c r="A3323" s="6">
        <v>2024</v>
      </c>
      <c r="B3323" s="6">
        <v>3</v>
      </c>
      <c r="C3323" s="6" t="s">
        <v>62</v>
      </c>
      <c r="D3323" s="6" t="s">
        <v>49</v>
      </c>
      <c r="E3323" s="6" t="s">
        <v>438</v>
      </c>
      <c r="F3323" s="6" t="str">
        <f>IF($M3323="PADD I","PADD 1",IF($M3323="PADD II","PADD 2",IF($M3323="PADD III","PADD 3",IF($M3323="PADD IV","PADD 4",IF($M3323="PADD V","PADD 5","")))))</f>
        <v>PADD 2</v>
      </c>
      <c r="G3323" s="6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6" t="s">
        <v>618</v>
      </c>
      <c r="I3323" s="6" t="s">
        <v>1200</v>
      </c>
      <c r="J3323" s="6" t="s">
        <v>398</v>
      </c>
      <c r="K3323" s="10">
        <v>5.46</v>
      </c>
      <c r="L3323" s="10">
        <v>13</v>
      </c>
      <c r="M3323" s="6" t="s">
        <v>425</v>
      </c>
      <c r="N3323" s="6">
        <f>IF(OR($G3323="FCC",$G3323="Hydrocracker",$G3323="Reformer"),IF(COUNTIFS($D:$D,$D3323,$A:$A,$A3323,$B:$B,$B3323,$G:$G,"CDU",$J:$J,"PLANNED")&gt;0,"tied","standalone"),"")</f>
        <v/>
      </c>
    </row>
    <row r="3324" spans="1:14">
      <c r="A3324" s="6">
        <v>2024</v>
      </c>
      <c r="B3324" s="6">
        <v>3</v>
      </c>
      <c r="C3324" s="6" t="s">
        <v>62</v>
      </c>
      <c r="D3324" s="6" t="s">
        <v>373</v>
      </c>
      <c r="E3324" s="6" t="s">
        <v>438</v>
      </c>
      <c r="F3324" s="6" t="str">
        <f>IF($M3324="PADD I","PADD 1",IF($M3324="PADD II","PADD 2",IF($M3324="PADD III","PADD 3",IF($M3324="PADD IV","PADD 4",IF($M3324="PADD V","PADD 5","")))))</f>
        <v>PADD 3</v>
      </c>
      <c r="G3324" s="6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6" t="s">
        <v>510</v>
      </c>
      <c r="I3324" s="6" t="s">
        <v>1009</v>
      </c>
      <c r="J3324" s="6" t="s">
        <v>394</v>
      </c>
      <c r="K3324" s="10">
        <v>5.32</v>
      </c>
      <c r="L3324" s="10">
        <v>28</v>
      </c>
      <c r="M3324" s="6" t="s">
        <v>421</v>
      </c>
      <c r="N3324" s="6">
        <f>IF(OR($G3324="FCC",$G3324="Hydrocracker",$G3324="Reformer"),IF(COUNTIFS($D:$D,$D3324,$A:$A,$A3324,$B:$B,$B3324,$G:$G,"CDU",$J:$J,"PLANNED")&gt;0,"tied","standalone"),"")</f>
        <v/>
      </c>
    </row>
    <row r="3325" spans="1:14">
      <c r="A3325" s="6">
        <v>2024</v>
      </c>
      <c r="B3325" s="6">
        <v>3</v>
      </c>
      <c r="C3325" s="6" t="s">
        <v>62</v>
      </c>
      <c r="D3325" s="6" t="s">
        <v>479</v>
      </c>
      <c r="E3325" s="6" t="s">
        <v>438</v>
      </c>
      <c r="F3325" s="6" t="str">
        <f>IF($M3325="PADD I","PADD 1",IF($M3325="PADD II","PADD 2",IF($M3325="PADD III","PADD 3",IF($M3325="PADD IV","PADD 4",IF($M3325="PADD V","PADD 5","")))))</f>
        <v>PADD 4</v>
      </c>
      <c r="G3325" s="6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6" t="s">
        <v>510</v>
      </c>
      <c r="I3325" s="6" t="s">
        <v>511</v>
      </c>
      <c r="J3325" s="6" t="s">
        <v>398</v>
      </c>
      <c r="K3325" s="10">
        <v>5.22</v>
      </c>
      <c r="L3325" s="10">
        <v>6</v>
      </c>
      <c r="M3325" s="6" t="s">
        <v>480</v>
      </c>
      <c r="N3325" s="6">
        <f>IF(OR($G3325="FCC",$G3325="Hydrocracker",$G3325="Reformer"),IF(COUNTIFS($D:$D,$D3325,$A:$A,$A3325,$B:$B,$B3325,$G:$G,"CDU",$J:$J,"PLANNED")&gt;0,"tied","standalone"),"")</f>
        <v/>
      </c>
    </row>
    <row r="3326" spans="1:14">
      <c r="A3326" s="6">
        <v>2024</v>
      </c>
      <c r="B3326" s="6">
        <v>3</v>
      </c>
      <c r="C3326" s="6" t="s">
        <v>62</v>
      </c>
      <c r="D3326" s="6" t="s">
        <v>380</v>
      </c>
      <c r="E3326" s="6" t="s">
        <v>423</v>
      </c>
      <c r="F3326" s="6" t="str">
        <f>IF($M3326="PADD I","PADD 1",IF($M3326="PADD II","PADD 2",IF($M3326="PADD III","PADD 3",IF($M3326="PADD IV","PADD 4",IF($M3326="PADD V","PADD 5","")))))</f>
        <v>PADD 2</v>
      </c>
      <c r="G3326" s="6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6" t="s">
        <v>39</v>
      </c>
      <c r="I3326" s="6" t="s">
        <v>381</v>
      </c>
      <c r="J3326" s="6" t="s">
        <v>394</v>
      </c>
      <c r="K3326" s="10">
        <v>5.16</v>
      </c>
      <c r="L3326" s="10">
        <v>172</v>
      </c>
      <c r="M3326" s="6" t="s">
        <v>425</v>
      </c>
      <c r="N3326" s="6">
        <f>IF(OR($G3326="FCC",$G3326="Hydrocracker",$G3326="Reformer"),IF(COUNTIFS($D:$D,$D3326,$A:$A,$A3326,$B:$B,$B3326,$G:$G,"CDU",$J:$J,"PLANNED")&gt;0,"tied","standalone"),"")</f>
        <v/>
      </c>
    </row>
    <row r="3327" spans="1:14">
      <c r="A3327" s="6">
        <v>2024</v>
      </c>
      <c r="B3327" s="6">
        <v>3</v>
      </c>
      <c r="C3327" s="6" t="s">
        <v>62</v>
      </c>
      <c r="D3327" s="6" t="s">
        <v>792</v>
      </c>
      <c r="E3327" s="6" t="s">
        <v>438</v>
      </c>
      <c r="F3327" s="6" t="str">
        <f>IF($M3327="PADD I","PADD 1",IF($M3327="PADD II","PADD 2",IF($M3327="PADD III","PADD 3",IF($M3327="PADD IV","PADD 4",IF($M3327="PADD V","PADD 5","")))))</f>
        <v>PADD 5</v>
      </c>
      <c r="G3327" s="6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6" t="s">
        <v>44</v>
      </c>
      <c r="I3327" s="6" t="s">
        <v>962</v>
      </c>
      <c r="J3327" s="6" t="s">
        <v>394</v>
      </c>
      <c r="K3327" s="10">
        <v>5.12</v>
      </c>
      <c r="L3327" s="10">
        <v>32</v>
      </c>
      <c r="M3327" s="6" t="s">
        <v>436</v>
      </c>
      <c r="N3327" s="6">
        <f>IF(OR($G3327="FCC",$G3327="Hydrocracker",$G3327="Reformer"),IF(COUNTIFS($D:$D,$D3327,$A:$A,$A3327,$B:$B,$B3327,$G:$G,"CDU",$J:$J,"PLANNED")&gt;0,"tied","standalone"),"")</f>
        <v/>
      </c>
    </row>
    <row r="3328" spans="1:14">
      <c r="A3328" s="6">
        <v>2024</v>
      </c>
      <c r="B3328" s="6">
        <v>3</v>
      </c>
      <c r="C3328" s="6" t="s">
        <v>62</v>
      </c>
      <c r="D3328" s="6" t="s">
        <v>928</v>
      </c>
      <c r="E3328" s="6" t="s">
        <v>502</v>
      </c>
      <c r="F3328" s="6" t="str">
        <f>IF($M3328="PADD I","PADD 1",IF($M3328="PADD II","PADD 2",IF($M3328="PADD III","PADD 3",IF($M3328="PADD IV","PADD 4",IF($M3328="PADD V","PADD 5","")))))</f>
        <v>PADD 2</v>
      </c>
      <c r="G3328" s="6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6" t="s">
        <v>39</v>
      </c>
      <c r="I3328" s="6" t="s">
        <v>929</v>
      </c>
      <c r="J3328" s="6" t="s">
        <v>394</v>
      </c>
      <c r="K3328" s="10">
        <v>5.1</v>
      </c>
      <c r="L3328" s="10">
        <v>85</v>
      </c>
      <c r="M3328" s="6" t="s">
        <v>425</v>
      </c>
      <c r="N3328" s="6">
        <f>IF(OR($G3328="FCC",$G3328="Hydrocracker",$G3328="Reformer"),IF(COUNTIFS($D:$D,$D3328,$A:$A,$A3328,$B:$B,$B3328,$G:$G,"CDU",$J:$J,"PLANNED")&gt;0,"tied","standalone"),"")</f>
        <v/>
      </c>
    </row>
    <row r="3329" spans="1:14">
      <c r="A3329" s="6">
        <v>2024</v>
      </c>
      <c r="B3329" s="6">
        <v>3</v>
      </c>
      <c r="C3329" s="6" t="s">
        <v>62</v>
      </c>
      <c r="D3329" s="6" t="s">
        <v>540</v>
      </c>
      <c r="E3329" s="6" t="s">
        <v>541</v>
      </c>
      <c r="F3329" s="6" t="str">
        <f>IF($M3329="PADD I","PADD 1",IF($M3329="PADD II","PADD 2",IF($M3329="PADD III","PADD 3",IF($M3329="PADD IV","PADD 4",IF($M3329="PADD V","PADD 5","")))))</f>
        <v>PADD 3</v>
      </c>
      <c r="G3329" s="6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6" t="s">
        <v>39</v>
      </c>
      <c r="I3329" s="6" t="s">
        <v>1058</v>
      </c>
      <c r="J3329" s="6" t="s">
        <v>394</v>
      </c>
      <c r="K3329" s="10">
        <v>5.082</v>
      </c>
      <c r="L3329" s="10">
        <v>84.7</v>
      </c>
      <c r="M3329" s="6" t="s">
        <v>421</v>
      </c>
      <c r="N3329" s="6">
        <f>IF(OR($G3329="FCC",$G3329="Hydrocracker",$G3329="Reformer"),IF(COUNTIFS($D:$D,$D3329,$A:$A,$A3329,$B:$B,$B3329,$G:$G,"CDU",$J:$J,"PLANNED")&gt;0,"tied","standalone"),"")</f>
        <v/>
      </c>
    </row>
    <row r="3330" spans="1:14">
      <c r="A3330" s="6">
        <v>2024</v>
      </c>
      <c r="B3330" s="6">
        <v>3</v>
      </c>
      <c r="C3330" s="6" t="s">
        <v>62</v>
      </c>
      <c r="D3330" s="6" t="s">
        <v>824</v>
      </c>
      <c r="E3330" s="6" t="s">
        <v>825</v>
      </c>
      <c r="F3330" s="6" t="str">
        <f>IF($M3330="PADD I","PADD 1",IF($M3330="PADD II","PADD 2",IF($M3330="PADD III","PADD 3",IF($M3330="PADD IV","PADD 4",IF($M3330="PADD V","PADD 5","")))))</f>
        <v>PADD 1</v>
      </c>
      <c r="G3330" s="6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6" t="s">
        <v>494</v>
      </c>
      <c r="I3330" s="6" t="s">
        <v>14</v>
      </c>
      <c r="J3330" s="6" t="s">
        <v>398</v>
      </c>
      <c r="K3330" s="10">
        <v>5.076</v>
      </c>
      <c r="L3330" s="10">
        <v>5.4</v>
      </c>
      <c r="M3330" s="6" t="s">
        <v>463</v>
      </c>
      <c r="N3330" s="6" t="str">
        <f>IF(OR($G3330="FCC",$G3330="Hydrocracker",$G3330="Reformer"),IF(COUNTIFS($D:$D,$D3330,$A:$A,$A3330,$B:$B,$B3330,$G:$G,"CDU",$J:$J,"PLANNED")&gt;0,"tied","standalone"),"")</f>
        <v>tied</v>
      </c>
    </row>
    <row r="3331" spans="1:14">
      <c r="A3331" s="6">
        <v>2024</v>
      </c>
      <c r="B3331" s="6">
        <v>3</v>
      </c>
      <c r="C3331" s="6" t="s">
        <v>62</v>
      </c>
      <c r="D3331" s="6" t="s">
        <v>857</v>
      </c>
      <c r="E3331" s="6" t="s">
        <v>829</v>
      </c>
      <c r="F3331" s="6" t="str">
        <f>IF($M3331="PADD I","PADD 1",IF($M3331="PADD II","PADD 2",IF($M3331="PADD III","PADD 3",IF($M3331="PADD IV","PADD 4",IF($M3331="PADD V","PADD 5","")))))</f>
        <v>PADD 3</v>
      </c>
      <c r="G3331" s="6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6" t="s">
        <v>44</v>
      </c>
      <c r="I3331" s="6" t="s">
        <v>843</v>
      </c>
      <c r="J3331" s="6" t="s">
        <v>398</v>
      </c>
      <c r="K3331" s="10">
        <v>5</v>
      </c>
      <c r="L3331" s="10">
        <v>50</v>
      </c>
      <c r="M3331" s="6" t="s">
        <v>421</v>
      </c>
      <c r="N3331" s="6">
        <f>IF(OR($G3331="FCC",$G3331="Hydrocracker",$G3331="Reformer"),IF(COUNTIFS($D:$D,$D3331,$A:$A,$A3331,$B:$B,$B3331,$G:$G,"CDU",$J:$J,"PLANNED")&gt;0,"tied","standalone"),"")</f>
        <v/>
      </c>
    </row>
    <row r="3332" spans="1:14">
      <c r="A3332" s="6">
        <v>2024</v>
      </c>
      <c r="B3332" s="6">
        <v>3</v>
      </c>
      <c r="C3332" s="6" t="s">
        <v>62</v>
      </c>
      <c r="D3332" s="6" t="s">
        <v>889</v>
      </c>
      <c r="E3332" s="6" t="s">
        <v>890</v>
      </c>
      <c r="F3332" s="6" t="str">
        <f>IF($M3332="PADD I","PADD 1",IF($M3332="PADD II","PADD 2",IF($M3332="PADD III","PADD 3",IF($M3332="PADD IV","PADD 4",IF($M3332="PADD V","PADD 5","")))))</f>
        <v>PADD 1</v>
      </c>
      <c r="G3332" s="6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6" t="s">
        <v>44</v>
      </c>
      <c r="I3332" s="6" t="s">
        <v>891</v>
      </c>
      <c r="J3332" s="6" t="s">
        <v>394</v>
      </c>
      <c r="K3332" s="10">
        <v>4.875</v>
      </c>
      <c r="L3332" s="10">
        <v>12.5</v>
      </c>
      <c r="M3332" s="6" t="s">
        <v>463</v>
      </c>
      <c r="N3332" s="6">
        <f>IF(OR($G3332="FCC",$G3332="Hydrocracker",$G3332="Reformer"),IF(COUNTIFS($D:$D,$D3332,$A:$A,$A3332,$B:$B,$B3332,$G:$G,"CDU",$J:$J,"PLANNED")&gt;0,"tied","standalone"),"")</f>
        <v/>
      </c>
    </row>
    <row r="3333" spans="1:14">
      <c r="A3333" s="6">
        <v>2024</v>
      </c>
      <c r="B3333" s="6">
        <v>3</v>
      </c>
      <c r="C3333" s="6" t="s">
        <v>62</v>
      </c>
      <c r="D3333" s="6" t="s">
        <v>458</v>
      </c>
      <c r="E3333" s="6" t="s">
        <v>459</v>
      </c>
      <c r="F3333" s="6" t="str">
        <f>IF($M3333="PADD I","PADD 1",IF($M3333="PADD II","PADD 2",IF($M3333="PADD III","PADD 3",IF($M3333="PADD IV","PADD 4",IF($M3333="PADD V","PADD 5","")))))</f>
        <v>PADD 3</v>
      </c>
      <c r="G3333" s="6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6" t="s">
        <v>39</v>
      </c>
      <c r="I3333" s="6" t="s">
        <v>460</v>
      </c>
      <c r="J3333" s="6" t="s">
        <v>394</v>
      </c>
      <c r="K3333" s="10">
        <v>4.5</v>
      </c>
      <c r="L3333" s="10">
        <v>150</v>
      </c>
      <c r="M3333" s="6" t="s">
        <v>421</v>
      </c>
      <c r="N3333" s="6">
        <f>IF(OR($G3333="FCC",$G3333="Hydrocracker",$G3333="Reformer"),IF(COUNTIFS($D:$D,$D3333,$A:$A,$A3333,$B:$B,$B3333,$G:$G,"CDU",$J:$J,"PLANNED")&gt;0,"tied","standalone"),"")</f>
        <v/>
      </c>
    </row>
    <row r="3334" spans="1:14">
      <c r="A3334" s="6">
        <v>2024</v>
      </c>
      <c r="B3334" s="6">
        <v>3</v>
      </c>
      <c r="C3334" s="6" t="s">
        <v>62</v>
      </c>
      <c r="D3334" s="6" t="s">
        <v>445</v>
      </c>
      <c r="E3334" s="6" t="s">
        <v>446</v>
      </c>
      <c r="F3334" s="6" t="str">
        <f>IF($M3334="PADD I","PADD 1",IF($M3334="PADD II","PADD 2",IF($M3334="PADD III","PADD 3",IF($M3334="PADD IV","PADD 4",IF($M3334="PADD V","PADD 5","")))))</f>
        <v>PADD 3</v>
      </c>
      <c r="G3334" s="6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6" t="s">
        <v>471</v>
      </c>
      <c r="I3334" s="6" t="s">
        <v>588</v>
      </c>
      <c r="J3334" s="6" t="s">
        <v>398</v>
      </c>
      <c r="K3334" s="10">
        <v>4.5</v>
      </c>
      <c r="L3334" s="10">
        <v>45</v>
      </c>
      <c r="M3334" s="6" t="s">
        <v>421</v>
      </c>
      <c r="N3334" s="6" t="str">
        <f>IF(OR($G3334="FCC",$G3334="Hydrocracker",$G3334="Reformer"),IF(COUNTIFS($D:$D,$D3334,$A:$A,$A3334,$B:$B,$B3334,$G:$G,"CDU",$J:$J,"PLANNED")&gt;0,"tied","standalone"),"")</f>
        <v>standalone</v>
      </c>
    </row>
    <row r="3335" spans="1:14">
      <c r="A3335" s="6">
        <v>2024</v>
      </c>
      <c r="B3335" s="6">
        <v>3</v>
      </c>
      <c r="C3335" s="6" t="s">
        <v>62</v>
      </c>
      <c r="D3335" s="6" t="s">
        <v>373</v>
      </c>
      <c r="E3335" s="6" t="s">
        <v>438</v>
      </c>
      <c r="F3335" s="6" t="str">
        <f>IF($M3335="PADD I","PADD 1",IF($M3335="PADD II","PADD 2",IF($M3335="PADD III","PADD 3",IF($M3335="PADD IV","PADD 4",IF($M3335="PADD V","PADD 5","")))))</f>
        <v>PADD 3</v>
      </c>
      <c r="G3335" s="6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6" t="s">
        <v>485</v>
      </c>
      <c r="I3335" s="6" t="s">
        <v>1006</v>
      </c>
      <c r="J3335" s="6" t="s">
        <v>398</v>
      </c>
      <c r="K3335" s="10">
        <v>4.4</v>
      </c>
      <c r="L3335" s="10">
        <v>44</v>
      </c>
      <c r="M3335" s="6" t="s">
        <v>421</v>
      </c>
      <c r="N3335" s="6">
        <f>IF(OR($G3335="FCC",$G3335="Hydrocracker",$G3335="Reformer"),IF(COUNTIFS($D:$D,$D3335,$A:$A,$A3335,$B:$B,$B3335,$G:$G,"CDU",$J:$J,"PLANNED")&gt;0,"tied","standalone"),"")</f>
        <v/>
      </c>
    </row>
    <row r="3336" spans="1:14">
      <c r="A3336" s="6">
        <v>2024</v>
      </c>
      <c r="B3336" s="6">
        <v>3</v>
      </c>
      <c r="C3336" s="6" t="s">
        <v>62</v>
      </c>
      <c r="D3336" s="6" t="s">
        <v>824</v>
      </c>
      <c r="E3336" s="6" t="s">
        <v>825</v>
      </c>
      <c r="F3336" s="6" t="str">
        <f>IF($M3336="PADD I","PADD 1",IF($M3336="PADD II","PADD 2",IF($M3336="PADD III","PADD 3",IF($M3336="PADD IV","PADD 4",IF($M3336="PADD V","PADD 5","")))))</f>
        <v>PADD 1</v>
      </c>
      <c r="G3336" s="6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6" t="s">
        <v>44</v>
      </c>
      <c r="I3336" s="6" t="s">
        <v>1201</v>
      </c>
      <c r="J3336" s="6" t="s">
        <v>398</v>
      </c>
      <c r="K3336" s="10">
        <v>4.23</v>
      </c>
      <c r="L3336" s="10">
        <v>4.5</v>
      </c>
      <c r="M3336" s="6" t="s">
        <v>463</v>
      </c>
      <c r="N3336" s="6">
        <f>IF(OR($G3336="FCC",$G3336="Hydrocracker",$G3336="Reformer"),IF(COUNTIFS($D:$D,$D3336,$A:$A,$A3336,$B:$B,$B3336,$G:$G,"CDU",$J:$J,"PLANNED")&gt;0,"tied","standalone"),"")</f>
        <v/>
      </c>
    </row>
    <row r="3337" spans="1:14">
      <c r="A3337" s="6">
        <v>2024</v>
      </c>
      <c r="B3337" s="6">
        <v>3</v>
      </c>
      <c r="C3337" s="6" t="s">
        <v>62</v>
      </c>
      <c r="D3337" s="6" t="s">
        <v>592</v>
      </c>
      <c r="E3337" s="6" t="s">
        <v>593</v>
      </c>
      <c r="F3337" s="6" t="str">
        <f>IF($M3337="PADD I","PADD 1",IF($M3337="PADD II","PADD 2",IF($M3337="PADD III","PADD 3",IF($M3337="PADD IV","PADD 4",IF($M3337="PADD V","PADD 5","")))))</f>
        <v>PADD 2</v>
      </c>
      <c r="G3337" s="6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6" t="s">
        <v>471</v>
      </c>
      <c r="I3337" s="6" t="s">
        <v>1162</v>
      </c>
      <c r="J3337" s="6" t="s">
        <v>394</v>
      </c>
      <c r="K3337" s="10">
        <v>4.2</v>
      </c>
      <c r="L3337" s="10">
        <v>70</v>
      </c>
      <c r="M3337" s="6" t="s">
        <v>425</v>
      </c>
      <c r="N3337" s="6" t="str">
        <f>IF(OR($G3337="FCC",$G3337="Hydrocracker",$G3337="Reformer"),IF(COUNTIFS($D:$D,$D3337,$A:$A,$A3337,$B:$B,$B3337,$G:$G,"CDU",$J:$J,"PLANNED")&gt;0,"tied","standalone"),"")</f>
        <v>standalone</v>
      </c>
    </row>
    <row r="3338" spans="1:14">
      <c r="A3338" s="6">
        <v>2024</v>
      </c>
      <c r="B3338" s="6">
        <v>3</v>
      </c>
      <c r="C3338" s="6" t="s">
        <v>62</v>
      </c>
      <c r="D3338" s="6" t="s">
        <v>812</v>
      </c>
      <c r="E3338" s="6" t="s">
        <v>813</v>
      </c>
      <c r="F3338" s="6" t="str">
        <f>IF($M3338="PADD I","PADD 1",IF($M3338="PADD II","PADD 2",IF($M3338="PADD III","PADD 3",IF($M3338="PADD IV","PADD 4",IF($M3338="PADD V","PADD 5","")))))</f>
        <v>PADD 2</v>
      </c>
      <c r="G3338" s="6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6" t="s">
        <v>510</v>
      </c>
      <c r="I3338" s="6" t="s">
        <v>666</v>
      </c>
      <c r="J3338" s="6" t="s">
        <v>398</v>
      </c>
      <c r="K3338" s="10">
        <v>4.2</v>
      </c>
      <c r="L3338" s="10">
        <v>5</v>
      </c>
      <c r="M3338" s="6" t="s">
        <v>425</v>
      </c>
      <c r="N3338" s="6">
        <f>IF(OR($G3338="FCC",$G3338="Hydrocracker",$G3338="Reformer"),IF(COUNTIFS($D:$D,$D3338,$A:$A,$A3338,$B:$B,$B3338,$G:$G,"CDU",$J:$J,"PLANNED")&gt;0,"tied","standalone"),"")</f>
        <v/>
      </c>
    </row>
    <row r="3339" spans="1:14">
      <c r="A3339" s="6">
        <v>2024</v>
      </c>
      <c r="B3339" s="6">
        <v>3</v>
      </c>
      <c r="C3339" s="6" t="s">
        <v>62</v>
      </c>
      <c r="D3339" s="6" t="s">
        <v>725</v>
      </c>
      <c r="E3339" s="6" t="s">
        <v>502</v>
      </c>
      <c r="F3339" s="6" t="str">
        <f>IF($M3339="PADD I","PADD 1",IF($M3339="PADD II","PADD 2",IF($M3339="PADD III","PADD 3",IF($M3339="PADD IV","PADD 4",IF($M3339="PADD V","PADD 5","")))))</f>
        <v>PADD 2</v>
      </c>
      <c r="G3339" s="6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6" t="s">
        <v>471</v>
      </c>
      <c r="I3339" s="6" t="s">
        <v>397</v>
      </c>
      <c r="J3339" s="6" t="s">
        <v>398</v>
      </c>
      <c r="K3339" s="10">
        <v>4.125</v>
      </c>
      <c r="L3339" s="10">
        <v>7.5</v>
      </c>
      <c r="M3339" s="6" t="s">
        <v>425</v>
      </c>
      <c r="N3339" s="6" t="str">
        <f>IF(OR($G3339="FCC",$G3339="Hydrocracker",$G3339="Reformer"),IF(COUNTIFS($D:$D,$D3339,$A:$A,$A3339,$B:$B,$B3339,$G:$G,"CDU",$J:$J,"PLANNED")&gt;0,"tied","standalone"),"")</f>
        <v>standalone</v>
      </c>
    </row>
    <row r="3340" spans="1:14">
      <c r="A3340" s="6">
        <v>2024</v>
      </c>
      <c r="B3340" s="6">
        <v>3</v>
      </c>
      <c r="C3340" s="6" t="s">
        <v>62</v>
      </c>
      <c r="D3340" s="6" t="s">
        <v>1202</v>
      </c>
      <c r="E3340" s="6" t="s">
        <v>502</v>
      </c>
      <c r="F3340" s="6" t="str">
        <f>IF($M3340="PADD I","PADD 1",IF($M3340="PADD II","PADD 2",IF($M3340="PADD III","PADD 3",IF($M3340="PADD IV","PADD 4",IF($M3340="PADD V","PADD 5","")))))</f>
        <v>PADD 4</v>
      </c>
      <c r="G3340" s="6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6" t="s">
        <v>44</v>
      </c>
      <c r="I3340" s="6" t="s">
        <v>543</v>
      </c>
      <c r="J3340" s="6" t="s">
        <v>394</v>
      </c>
      <c r="K3340" s="10">
        <v>4</v>
      </c>
      <c r="L3340" s="10">
        <v>12.5</v>
      </c>
      <c r="M3340" s="6" t="s">
        <v>480</v>
      </c>
      <c r="N3340" s="6">
        <f>IF(OR($G3340="FCC",$G3340="Hydrocracker",$G3340="Reformer"),IF(COUNTIFS($D:$D,$D3340,$A:$A,$A3340,$B:$B,$B3340,$G:$G,"CDU",$J:$J,"PLANNED")&gt;0,"tied","standalone"),"")</f>
        <v/>
      </c>
    </row>
    <row r="3341" spans="1:14">
      <c r="A3341" s="6">
        <v>2024</v>
      </c>
      <c r="B3341" s="6">
        <v>3</v>
      </c>
      <c r="C3341" s="6" t="s">
        <v>62</v>
      </c>
      <c r="D3341" s="6" t="s">
        <v>689</v>
      </c>
      <c r="E3341" s="6" t="s">
        <v>502</v>
      </c>
      <c r="F3341" s="6" t="str">
        <f>IF($M3341="PADD I","PADD 1",IF($M3341="PADD II","PADD 2",IF($M3341="PADD III","PADD 3",IF($M3341="PADD IV","PADD 4",IF($M3341="PADD V","PADD 5","")))))</f>
        <v>PADD 5</v>
      </c>
      <c r="G3341" s="6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6" t="s">
        <v>510</v>
      </c>
      <c r="I3341" s="6" t="s">
        <v>555</v>
      </c>
      <c r="J3341" s="6" t="s">
        <v>398</v>
      </c>
      <c r="K3341" s="10">
        <v>4</v>
      </c>
      <c r="L3341" s="10">
        <v>4</v>
      </c>
      <c r="M3341" s="6" t="s">
        <v>436</v>
      </c>
      <c r="N3341" s="6">
        <f>IF(OR($G3341="FCC",$G3341="Hydrocracker",$G3341="Reformer"),IF(COUNTIFS($D:$D,$D3341,$A:$A,$A3341,$B:$B,$B3341,$G:$G,"CDU",$J:$J,"PLANNED")&gt;0,"tied","standalone"),"")</f>
        <v/>
      </c>
    </row>
    <row r="3342" spans="1:14">
      <c r="A3342" s="6">
        <v>2024</v>
      </c>
      <c r="B3342" s="6">
        <v>3</v>
      </c>
      <c r="C3342" s="6" t="s">
        <v>62</v>
      </c>
      <c r="D3342" s="6" t="s">
        <v>375</v>
      </c>
      <c r="E3342" s="6" t="s">
        <v>435</v>
      </c>
      <c r="F3342" s="6" t="str">
        <f>IF($M3342="PADD I","PADD 1",IF($M3342="PADD II","PADD 2",IF($M3342="PADD III","PADD 3",IF($M3342="PADD IV","PADD 4",IF($M3342="PADD V","PADD 5","")))))</f>
        <v>PADD 5</v>
      </c>
      <c r="G3342" s="6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6" t="s">
        <v>485</v>
      </c>
      <c r="I3342" s="6" t="s">
        <v>863</v>
      </c>
      <c r="J3342" s="6" t="s">
        <v>394</v>
      </c>
      <c r="K3342" s="10">
        <v>3.971</v>
      </c>
      <c r="L3342" s="10">
        <v>20.9</v>
      </c>
      <c r="M3342" s="6" t="s">
        <v>436</v>
      </c>
      <c r="N3342" s="6">
        <f>IF(OR($G3342="FCC",$G3342="Hydrocracker",$G3342="Reformer"),IF(COUNTIFS($D:$D,$D3342,$A:$A,$A3342,$B:$B,$B3342,$G:$G,"CDU",$J:$J,"PLANNED")&gt;0,"tied","standalone"),"")</f>
        <v/>
      </c>
    </row>
    <row r="3343" spans="1:14">
      <c r="A3343" s="6">
        <v>2024</v>
      </c>
      <c r="B3343" s="6">
        <v>3</v>
      </c>
      <c r="C3343" s="6" t="s">
        <v>62</v>
      </c>
      <c r="D3343" s="6" t="s">
        <v>824</v>
      </c>
      <c r="E3343" s="6" t="s">
        <v>825</v>
      </c>
      <c r="F3343" s="6" t="str">
        <f>IF($M3343="PADD I","PADD 1",IF($M3343="PADD II","PADD 2",IF($M3343="PADD III","PADD 3",IF($M3343="PADD IV","PADD 4",IF($M3343="PADD V","PADD 5","")))))</f>
        <v>PADD 1</v>
      </c>
      <c r="G3343" s="6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6" t="s">
        <v>44</v>
      </c>
      <c r="I3343" s="6" t="s">
        <v>1203</v>
      </c>
      <c r="J3343" s="6" t="s">
        <v>398</v>
      </c>
      <c r="K3343" s="10">
        <v>3.948</v>
      </c>
      <c r="L3343" s="10">
        <v>4.2</v>
      </c>
      <c r="M3343" s="6" t="s">
        <v>463</v>
      </c>
      <c r="N3343" s="6">
        <f>IF(OR($G3343="FCC",$G3343="Hydrocracker",$G3343="Reformer"),IF(COUNTIFS($D:$D,$D3343,$A:$A,$A3343,$B:$B,$B3343,$G:$G,"CDU",$J:$J,"PLANNED")&gt;0,"tied","standalone"),"")</f>
        <v/>
      </c>
    </row>
    <row r="3344" spans="1:14">
      <c r="A3344" s="6">
        <v>2024</v>
      </c>
      <c r="B3344" s="6">
        <v>3</v>
      </c>
      <c r="C3344" s="6" t="s">
        <v>62</v>
      </c>
      <c r="D3344" s="6" t="s">
        <v>1198</v>
      </c>
      <c r="E3344" s="6" t="s">
        <v>1199</v>
      </c>
      <c r="F3344" s="6" t="str">
        <f>IF($M3344="PADD I","PADD 1",IF($M3344="PADD II","PADD 2",IF($M3344="PADD III","PADD 3",IF($M3344="PADD IV","PADD 4",IF($M3344="PADD V","PADD 5","")))))</f>
        <v>PADD 3</v>
      </c>
      <c r="G3344" s="6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6" t="s">
        <v>44</v>
      </c>
      <c r="I3344" s="6" t="s">
        <v>954</v>
      </c>
      <c r="J3344" s="6" t="s">
        <v>398</v>
      </c>
      <c r="K3344" s="10">
        <v>3.915</v>
      </c>
      <c r="L3344" s="10">
        <v>4.5</v>
      </c>
      <c r="M3344" s="6" t="s">
        <v>421</v>
      </c>
      <c r="N3344" s="6">
        <f>IF(OR($G3344="FCC",$G3344="Hydrocracker",$G3344="Reformer"),IF(COUNTIFS($D:$D,$D3344,$A:$A,$A3344,$B:$B,$B3344,$G:$G,"CDU",$J:$J,"PLANNED")&gt;0,"tied","standalone"),"")</f>
        <v/>
      </c>
    </row>
    <row r="3345" spans="1:14">
      <c r="A3345" s="6">
        <v>2024</v>
      </c>
      <c r="B3345" s="6">
        <v>3</v>
      </c>
      <c r="C3345" s="6" t="s">
        <v>62</v>
      </c>
      <c r="D3345" s="6" t="s">
        <v>984</v>
      </c>
      <c r="E3345" s="6" t="s">
        <v>438</v>
      </c>
      <c r="F3345" s="6" t="str">
        <f>IF($M3345="PADD I","PADD 1",IF($M3345="PADD II","PADD 2",IF($M3345="PADD III","PADD 3",IF($M3345="PADD IV","PADD 4",IF($M3345="PADD V","PADD 5","")))))</f>
        <v>PADD 3</v>
      </c>
      <c r="G3345" s="6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6" t="s">
        <v>426</v>
      </c>
      <c r="I3345" s="6" t="s">
        <v>106</v>
      </c>
      <c r="J3345" s="6" t="s">
        <v>398</v>
      </c>
      <c r="K3345" s="10">
        <v>3.835</v>
      </c>
      <c r="L3345" s="10">
        <v>29.5</v>
      </c>
      <c r="M3345" s="6" t="s">
        <v>421</v>
      </c>
      <c r="N3345" s="6" t="str">
        <f>IF(OR($G3345="FCC",$G3345="Hydrocracker",$G3345="Reformer"),IF(COUNTIFS($D:$D,$D3345,$A:$A,$A3345,$B:$B,$B3345,$G:$G,"CDU",$J:$J,"PLANNED")&gt;0,"tied","standalone"),"")</f>
        <v>tied</v>
      </c>
    </row>
    <row r="3346" spans="1:14">
      <c r="A3346" s="6">
        <v>2024</v>
      </c>
      <c r="B3346" s="6">
        <v>3</v>
      </c>
      <c r="C3346" s="6" t="s">
        <v>62</v>
      </c>
      <c r="D3346" s="6" t="s">
        <v>889</v>
      </c>
      <c r="E3346" s="6" t="s">
        <v>890</v>
      </c>
      <c r="F3346" s="6" t="str">
        <f>IF($M3346="PADD I","PADD 1",IF($M3346="PADD II","PADD 2",IF($M3346="PADD III","PADD 3",IF($M3346="PADD IV","PADD 4",IF($M3346="PADD V","PADD 5","")))))</f>
        <v>PADD 1</v>
      </c>
      <c r="G3346" s="6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6" t="s">
        <v>44</v>
      </c>
      <c r="I3346" s="6" t="s">
        <v>1204</v>
      </c>
      <c r="J3346" s="6" t="s">
        <v>394</v>
      </c>
      <c r="K3346" s="10">
        <v>3.68</v>
      </c>
      <c r="L3346" s="10">
        <v>11.5</v>
      </c>
      <c r="M3346" s="6" t="s">
        <v>463</v>
      </c>
      <c r="N3346" s="6">
        <f>IF(OR($G3346="FCC",$G3346="Hydrocracker",$G3346="Reformer"),IF(COUNTIFS($D:$D,$D3346,$A:$A,$A3346,$B:$B,$B3346,$G:$G,"CDU",$J:$J,"PLANNED")&gt;0,"tied","standalone"),"")</f>
        <v/>
      </c>
    </row>
    <row r="3347" spans="1:14">
      <c r="A3347" s="6">
        <v>2024</v>
      </c>
      <c r="B3347" s="6">
        <v>3</v>
      </c>
      <c r="C3347" s="6" t="s">
        <v>62</v>
      </c>
      <c r="D3347" s="6" t="s">
        <v>857</v>
      </c>
      <c r="E3347" s="6" t="s">
        <v>829</v>
      </c>
      <c r="F3347" s="6" t="str">
        <f>IF($M3347="PADD I","PADD 1",IF($M3347="PADD II","PADD 2",IF($M3347="PADD III","PADD 3",IF($M3347="PADD IV","PADD 4",IF($M3347="PADD V","PADD 5","")))))</f>
        <v>PADD 3</v>
      </c>
      <c r="G3347" s="6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6" t="s">
        <v>428</v>
      </c>
      <c r="I3347" s="6" t="s">
        <v>481</v>
      </c>
      <c r="J3347" s="6" t="s">
        <v>398</v>
      </c>
      <c r="K3347" s="10">
        <v>3.6</v>
      </c>
      <c r="L3347" s="10">
        <v>36</v>
      </c>
      <c r="M3347" s="6" t="s">
        <v>421</v>
      </c>
      <c r="N3347" s="6">
        <f>IF(OR($G3347="FCC",$G3347="Hydrocracker",$G3347="Reformer"),IF(COUNTIFS($D:$D,$D3347,$A:$A,$A3347,$B:$B,$B3347,$G:$G,"CDU",$J:$J,"PLANNED")&gt;0,"tied","standalone"),"")</f>
        <v/>
      </c>
    </row>
    <row r="3348" spans="1:14">
      <c r="A3348" s="6">
        <v>2024</v>
      </c>
      <c r="B3348" s="6">
        <v>3</v>
      </c>
      <c r="C3348" s="6" t="s">
        <v>62</v>
      </c>
      <c r="D3348" s="6" t="s">
        <v>889</v>
      </c>
      <c r="E3348" s="6" t="s">
        <v>890</v>
      </c>
      <c r="F3348" s="6" t="str">
        <f>IF($M3348="PADD I","PADD 1",IF($M3348="PADD II","PADD 2",IF($M3348="PADD III","PADD 3",IF($M3348="PADD IV","PADD 4",IF($M3348="PADD V","PADD 5","")))))</f>
        <v>PADD 1</v>
      </c>
      <c r="G3348" s="6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6" t="s">
        <v>44</v>
      </c>
      <c r="I3348" s="6" t="s">
        <v>797</v>
      </c>
      <c r="J3348" s="6" t="s">
        <v>394</v>
      </c>
      <c r="K3348" s="10">
        <v>3.52</v>
      </c>
      <c r="L3348" s="10">
        <v>11</v>
      </c>
      <c r="M3348" s="6" t="s">
        <v>463</v>
      </c>
      <c r="N3348" s="6">
        <f>IF(OR($G3348="FCC",$G3348="Hydrocracker",$G3348="Reformer"),IF(COUNTIFS($D:$D,$D3348,$A:$A,$A3348,$B:$B,$B3348,$G:$G,"CDU",$J:$J,"PLANNED")&gt;0,"tied","standalone"),"")</f>
        <v/>
      </c>
    </row>
    <row r="3349" spans="1:14">
      <c r="A3349" s="6">
        <v>2024</v>
      </c>
      <c r="B3349" s="6">
        <v>3</v>
      </c>
      <c r="C3349" s="6" t="s">
        <v>62</v>
      </c>
      <c r="D3349" s="6" t="s">
        <v>375</v>
      </c>
      <c r="E3349" s="6" t="s">
        <v>435</v>
      </c>
      <c r="F3349" s="6" t="str">
        <f>IF($M3349="PADD I","PADD 1",IF($M3349="PADD II","PADD 2",IF($M3349="PADD III","PADD 3",IF($M3349="PADD IV","PADD 4",IF($M3349="PADD V","PADD 5","")))))</f>
        <v>PADD 5</v>
      </c>
      <c r="G3349" s="6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6" t="s">
        <v>485</v>
      </c>
      <c r="I3349" s="6" t="s">
        <v>491</v>
      </c>
      <c r="J3349" s="6" t="s">
        <v>394</v>
      </c>
      <c r="K3349" s="10">
        <v>3.52</v>
      </c>
      <c r="L3349" s="10">
        <v>22</v>
      </c>
      <c r="M3349" s="6" t="s">
        <v>436</v>
      </c>
      <c r="N3349" s="6">
        <f>IF(OR($G3349="FCC",$G3349="Hydrocracker",$G3349="Reformer"),IF(COUNTIFS($D:$D,$D3349,$A:$A,$A3349,$B:$B,$B3349,$G:$G,"CDU",$J:$J,"PLANNED")&gt;0,"tied","standalone"),"")</f>
        <v/>
      </c>
    </row>
    <row r="3350" spans="1:14">
      <c r="A3350" s="6">
        <v>2024</v>
      </c>
      <c r="B3350" s="6">
        <v>3</v>
      </c>
      <c r="C3350" s="6" t="s">
        <v>62</v>
      </c>
      <c r="D3350" s="6" t="s">
        <v>437</v>
      </c>
      <c r="E3350" s="6" t="s">
        <v>438</v>
      </c>
      <c r="F3350" s="6" t="str">
        <f>IF($M3350="PADD I","PADD 1",IF($M3350="PADD II","PADD 2",IF($M3350="PADD III","PADD 3",IF($M3350="PADD IV","PADD 4",IF($M3350="PADD V","PADD 5","")))))</f>
        <v>PADD 3</v>
      </c>
      <c r="G3350" s="6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6" t="s">
        <v>44</v>
      </c>
      <c r="I3350" s="6" t="s">
        <v>1140</v>
      </c>
      <c r="J3350" s="6" t="s">
        <v>398</v>
      </c>
      <c r="K3350" s="10">
        <v>3.45</v>
      </c>
      <c r="L3350" s="10">
        <v>115</v>
      </c>
      <c r="M3350" s="6" t="s">
        <v>421</v>
      </c>
      <c r="N3350" s="6">
        <f>IF(OR($G3350="FCC",$G3350="Hydrocracker",$G3350="Reformer"),IF(COUNTIFS($D:$D,$D3350,$A:$A,$A3350,$B:$B,$B3350,$G:$G,"CDU",$J:$J,"PLANNED")&gt;0,"tied","standalone"),"")</f>
        <v/>
      </c>
    </row>
    <row r="3351" spans="1:14">
      <c r="A3351" s="6">
        <v>2024</v>
      </c>
      <c r="B3351" s="6">
        <v>3</v>
      </c>
      <c r="C3351" s="6" t="s">
        <v>62</v>
      </c>
      <c r="D3351" s="6" t="s">
        <v>487</v>
      </c>
      <c r="E3351" s="6" t="s">
        <v>488</v>
      </c>
      <c r="F3351" s="6" t="str">
        <f>IF($M3351="PADD I","PADD 1",IF($M3351="PADD II","PADD 2",IF($M3351="PADD III","PADD 3",IF($M3351="PADD IV","PADD 4",IF($M3351="PADD V","PADD 5","")))))</f>
        <v>PADD 4</v>
      </c>
      <c r="G3351" s="6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6" t="s">
        <v>471</v>
      </c>
      <c r="I3351" s="6" t="s">
        <v>607</v>
      </c>
      <c r="J3351" s="6" t="s">
        <v>394</v>
      </c>
      <c r="K3351" s="10">
        <v>3.355</v>
      </c>
      <c r="L3351" s="10">
        <v>5.5</v>
      </c>
      <c r="M3351" s="6" t="s">
        <v>480</v>
      </c>
      <c r="N3351" s="6" t="str">
        <f>IF(OR($G3351="FCC",$G3351="Hydrocracker",$G3351="Reformer"),IF(COUNTIFS($D:$D,$D3351,$A:$A,$A3351,$B:$B,$B3351,$G:$G,"CDU",$J:$J,"PLANNED")&gt;0,"tied","standalone"),"")</f>
        <v>tied</v>
      </c>
    </row>
    <row r="3352" spans="1:14">
      <c r="A3352" s="6">
        <v>2024</v>
      </c>
      <c r="B3352" s="6">
        <v>3</v>
      </c>
      <c r="C3352" s="6" t="s">
        <v>62</v>
      </c>
      <c r="D3352" s="6" t="s">
        <v>984</v>
      </c>
      <c r="E3352" s="6" t="s">
        <v>438</v>
      </c>
      <c r="F3352" s="6" t="str">
        <f>IF($M3352="PADD I","PADD 1",IF($M3352="PADD II","PADD 2",IF($M3352="PADD III","PADD 3",IF($M3352="PADD IV","PADD 4",IF($M3352="PADD V","PADD 5","")))))</f>
        <v>PADD 3</v>
      </c>
      <c r="G3352" s="6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6" t="s">
        <v>44</v>
      </c>
      <c r="I3352" s="6" t="s">
        <v>508</v>
      </c>
      <c r="J3352" s="6" t="s">
        <v>398</v>
      </c>
      <c r="K3352" s="10">
        <v>3.25</v>
      </c>
      <c r="L3352" s="10">
        <v>25</v>
      </c>
      <c r="M3352" s="6" t="s">
        <v>421</v>
      </c>
      <c r="N3352" s="6">
        <f>IF(OR($G3352="FCC",$G3352="Hydrocracker",$G3352="Reformer"),IF(COUNTIFS($D:$D,$D3352,$A:$A,$A3352,$B:$B,$B3352,$G:$G,"CDU",$J:$J,"PLANNED")&gt;0,"tied","standalone"),"")</f>
        <v/>
      </c>
    </row>
    <row r="3353" spans="1:14">
      <c r="A3353" s="6">
        <v>2024</v>
      </c>
      <c r="B3353" s="6">
        <v>3</v>
      </c>
      <c r="C3353" s="6" t="s">
        <v>62</v>
      </c>
      <c r="D3353" s="6" t="s">
        <v>889</v>
      </c>
      <c r="E3353" s="6" t="s">
        <v>890</v>
      </c>
      <c r="F3353" s="6" t="str">
        <f>IF($M3353="PADD I","PADD 1",IF($M3353="PADD II","PADD 2",IF($M3353="PADD III","PADD 3",IF($M3353="PADD IV","PADD 4",IF($M3353="PADD V","PADD 5","")))))</f>
        <v>PADD 1</v>
      </c>
      <c r="G3353" s="6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6" t="s">
        <v>428</v>
      </c>
      <c r="I3353" s="6" t="s">
        <v>481</v>
      </c>
      <c r="J3353" s="6" t="s">
        <v>394</v>
      </c>
      <c r="K3353" s="10">
        <v>3.2</v>
      </c>
      <c r="L3353" s="10">
        <v>10</v>
      </c>
      <c r="M3353" s="6" t="s">
        <v>463</v>
      </c>
      <c r="N3353" s="6">
        <f>IF(OR($G3353="FCC",$G3353="Hydrocracker",$G3353="Reformer"),IF(COUNTIFS($D:$D,$D3353,$A:$A,$A3353,$B:$B,$B3353,$G:$G,"CDU",$J:$J,"PLANNED")&gt;0,"tied","standalone"),"")</f>
        <v/>
      </c>
    </row>
    <row r="3354" spans="1:14">
      <c r="A3354" s="6">
        <v>2024</v>
      </c>
      <c r="B3354" s="6">
        <v>3</v>
      </c>
      <c r="C3354" s="6" t="s">
        <v>62</v>
      </c>
      <c r="D3354" s="6" t="s">
        <v>749</v>
      </c>
      <c r="E3354" s="6" t="s">
        <v>750</v>
      </c>
      <c r="F3354" s="6" t="str">
        <f>IF($M3354="PADD I","PADD 1",IF($M3354="PADD II","PADD 2",IF($M3354="PADD III","PADD 3",IF($M3354="PADD IV","PADD 4",IF($M3354="PADD V","PADD 5","")))))</f>
        <v>PADD 5</v>
      </c>
      <c r="G3354" s="6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6" t="s">
        <v>44</v>
      </c>
      <c r="I3354" s="6" t="s">
        <v>974</v>
      </c>
      <c r="J3354" s="6" t="s">
        <v>398</v>
      </c>
      <c r="K3354" s="10">
        <v>3.06</v>
      </c>
      <c r="L3354" s="10">
        <v>4.5</v>
      </c>
      <c r="M3354" s="6" t="s">
        <v>436</v>
      </c>
      <c r="N3354" s="6">
        <f>IF(OR($G3354="FCC",$G3354="Hydrocracker",$G3354="Reformer"),IF(COUNTIFS($D:$D,$D3354,$A:$A,$A3354,$B:$B,$B3354,$G:$G,"CDU",$J:$J,"PLANNED")&gt;0,"tied","standalone"),"")</f>
        <v/>
      </c>
    </row>
    <row r="3355" spans="1:14">
      <c r="A3355" s="6">
        <v>2024</v>
      </c>
      <c r="B3355" s="6">
        <v>3</v>
      </c>
      <c r="C3355" s="6" t="s">
        <v>62</v>
      </c>
      <c r="D3355" s="6" t="s">
        <v>622</v>
      </c>
      <c r="E3355" s="6" t="s">
        <v>623</v>
      </c>
      <c r="F3355" s="6" t="str">
        <f>IF($M3355="PADD I","PADD 1",IF($M3355="PADD II","PADD 2",IF($M3355="PADD III","PADD 3",IF($M3355="PADD IV","PADD 4",IF($M3355="PADD V","PADD 5","")))))</f>
        <v>PADD 3</v>
      </c>
      <c r="G3355" s="6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6" t="s">
        <v>39</v>
      </c>
      <c r="I3355" s="6" t="s">
        <v>624</v>
      </c>
      <c r="J3355" s="6" t="s">
        <v>394</v>
      </c>
      <c r="K3355" s="10">
        <v>3</v>
      </c>
      <c r="L3355" s="10">
        <v>50</v>
      </c>
      <c r="M3355" s="6" t="s">
        <v>421</v>
      </c>
      <c r="N3355" s="6">
        <f>IF(OR($G3355="FCC",$G3355="Hydrocracker",$G3355="Reformer"),IF(COUNTIFS($D:$D,$D3355,$A:$A,$A3355,$B:$B,$B3355,$G:$G,"CDU",$J:$J,"PLANNED")&gt;0,"tied","standalone"),"")</f>
        <v/>
      </c>
    </row>
    <row r="3356" spans="1:14">
      <c r="A3356" s="6">
        <v>2024</v>
      </c>
      <c r="B3356" s="6">
        <v>3</v>
      </c>
      <c r="C3356" s="6" t="s">
        <v>62</v>
      </c>
      <c r="D3356" s="6" t="s">
        <v>682</v>
      </c>
      <c r="E3356" s="6" t="s">
        <v>683</v>
      </c>
      <c r="F3356" s="6" t="str">
        <f>IF($M3356="PADD I","PADD 1",IF($M3356="PADD II","PADD 2",IF($M3356="PADD III","PADD 3",IF($M3356="PADD IV","PADD 4",IF($M3356="PADD V","PADD 5","")))))</f>
        <v>PADD 4</v>
      </c>
      <c r="G3356" s="6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6" t="s">
        <v>426</v>
      </c>
      <c r="I3356" s="6" t="s">
        <v>684</v>
      </c>
      <c r="J3356" s="6" t="s">
        <v>398</v>
      </c>
      <c r="K3356" s="10">
        <v>2.99</v>
      </c>
      <c r="L3356" s="10">
        <v>11.5</v>
      </c>
      <c r="M3356" s="6" t="s">
        <v>480</v>
      </c>
      <c r="N3356" s="6" t="str">
        <f>IF(OR($G3356="FCC",$G3356="Hydrocracker",$G3356="Reformer"),IF(COUNTIFS($D:$D,$D3356,$A:$A,$A3356,$B:$B,$B3356,$G:$G,"CDU",$J:$J,"PLANNED")&gt;0,"tied","standalone"),"")</f>
        <v>tied</v>
      </c>
    </row>
    <row r="3357" spans="1:14">
      <c r="A3357" s="6">
        <v>2024</v>
      </c>
      <c r="B3357" s="6">
        <v>3</v>
      </c>
      <c r="C3357" s="6" t="s">
        <v>62</v>
      </c>
      <c r="D3357" s="6" t="s">
        <v>824</v>
      </c>
      <c r="E3357" s="6" t="s">
        <v>825</v>
      </c>
      <c r="F3357" s="6" t="str">
        <f>IF($M3357="PADD I","PADD 1",IF($M3357="PADD II","PADD 2",IF($M3357="PADD III","PADD 3",IF($M3357="PADD IV","PADD 4",IF($M3357="PADD V","PADD 5","")))))</f>
        <v>PADD 1</v>
      </c>
      <c r="G3357" s="6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6" t="s">
        <v>510</v>
      </c>
      <c r="I3357" s="6" t="s">
        <v>511</v>
      </c>
      <c r="J3357" s="6" t="s">
        <v>398</v>
      </c>
      <c r="K3357" s="10">
        <v>2.961</v>
      </c>
      <c r="L3357" s="10">
        <v>3.15</v>
      </c>
      <c r="M3357" s="6" t="s">
        <v>463</v>
      </c>
      <c r="N3357" s="6">
        <f>IF(OR($G3357="FCC",$G3357="Hydrocracker",$G3357="Reformer"),IF(COUNTIFS($D:$D,$D3357,$A:$A,$A3357,$B:$B,$B3357,$G:$G,"CDU",$J:$J,"PLANNED")&gt;0,"tied","standalone"),"")</f>
        <v/>
      </c>
    </row>
    <row r="3358" spans="1:14">
      <c r="A3358" s="6">
        <v>2024</v>
      </c>
      <c r="B3358" s="6">
        <v>3</v>
      </c>
      <c r="C3358" s="6" t="s">
        <v>62</v>
      </c>
      <c r="D3358" s="6" t="s">
        <v>764</v>
      </c>
      <c r="E3358" s="6" t="s">
        <v>455</v>
      </c>
      <c r="F3358" s="6" t="str">
        <f>IF($M3358="PADD I","PADD 1",IF($M3358="PADD II","PADD 2",IF($M3358="PADD III","PADD 3",IF($M3358="PADD IV","PADD 4",IF($M3358="PADD V","PADD 5","")))))</f>
        <v>PADD 3</v>
      </c>
      <c r="G3358" s="6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6" t="s">
        <v>494</v>
      </c>
      <c r="I3358" s="6" t="s">
        <v>14</v>
      </c>
      <c r="J3358" s="6" t="s">
        <v>394</v>
      </c>
      <c r="K3358" s="10">
        <v>2.95</v>
      </c>
      <c r="L3358" s="10">
        <v>29.5</v>
      </c>
      <c r="M3358" s="6" t="s">
        <v>421</v>
      </c>
      <c r="N3358" s="6" t="str">
        <f>IF(OR($G3358="FCC",$G3358="Hydrocracker",$G3358="Reformer"),IF(COUNTIFS($D:$D,$D3358,$A:$A,$A3358,$B:$B,$B3358,$G:$G,"CDU",$J:$J,"PLANNED")&gt;0,"tied","standalone"),"")</f>
        <v>standalone</v>
      </c>
    </row>
    <row r="3359" spans="1:14">
      <c r="A3359" s="6">
        <v>2024</v>
      </c>
      <c r="B3359" s="6">
        <v>3</v>
      </c>
      <c r="C3359" s="6" t="s">
        <v>62</v>
      </c>
      <c r="D3359" s="6" t="s">
        <v>764</v>
      </c>
      <c r="E3359" s="6" t="s">
        <v>455</v>
      </c>
      <c r="F3359" s="6" t="str">
        <f>IF($M3359="PADD I","PADD 1",IF($M3359="PADD II","PADD 2",IF($M3359="PADD III","PADD 3",IF($M3359="PADD IV","PADD 4",IF($M3359="PADD V","PADD 5","")))))</f>
        <v>PADD 3</v>
      </c>
      <c r="G3359" s="6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6" t="s">
        <v>471</v>
      </c>
      <c r="I3359" s="6" t="s">
        <v>914</v>
      </c>
      <c r="J3359" s="6" t="s">
        <v>394</v>
      </c>
      <c r="K3359" s="10">
        <v>2.89</v>
      </c>
      <c r="L3359" s="10">
        <v>28.9</v>
      </c>
      <c r="M3359" s="6" t="s">
        <v>421</v>
      </c>
      <c r="N3359" s="6" t="str">
        <f>IF(OR($G3359="FCC",$G3359="Hydrocracker",$G3359="Reformer"),IF(COUNTIFS($D:$D,$D3359,$A:$A,$A3359,$B:$B,$B3359,$G:$G,"CDU",$J:$J,"PLANNED")&gt;0,"tied","standalone"),"")</f>
        <v>standalone</v>
      </c>
    </row>
    <row r="3360" spans="1:14">
      <c r="A3360" s="6">
        <v>2024</v>
      </c>
      <c r="B3360" s="6">
        <v>3</v>
      </c>
      <c r="C3360" s="6" t="s">
        <v>62</v>
      </c>
      <c r="D3360" s="6" t="s">
        <v>780</v>
      </c>
      <c r="E3360" s="6" t="s">
        <v>781</v>
      </c>
      <c r="F3360" s="6" t="str">
        <f>IF($M3360="PADD I","PADD 1",IF($M3360="PADD II","PADD 2",IF($M3360="PADD III","PADD 3",IF($M3360="PADD IV","PADD 4",IF($M3360="PADD V","PADD 5","")))))</f>
        <v>PADD 3</v>
      </c>
      <c r="G3360" s="6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6" t="s">
        <v>471</v>
      </c>
      <c r="I3360" s="6" t="s">
        <v>15</v>
      </c>
      <c r="J3360" s="6" t="s">
        <v>394</v>
      </c>
      <c r="K3360" s="10">
        <v>2.86</v>
      </c>
      <c r="L3360" s="10">
        <v>11</v>
      </c>
      <c r="M3360" s="6" t="s">
        <v>421</v>
      </c>
      <c r="N3360" s="6" t="str">
        <f>IF(OR($G3360="FCC",$G3360="Hydrocracker",$G3360="Reformer"),IF(COUNTIFS($D:$D,$D3360,$A:$A,$A3360,$B:$B,$B3360,$G:$G,"CDU",$J:$J,"PLANNED")&gt;0,"tied","standalone"),"")</f>
        <v>standalone</v>
      </c>
    </row>
    <row r="3361" spans="1:14">
      <c r="A3361" s="6">
        <v>2024</v>
      </c>
      <c r="B3361" s="6">
        <v>3</v>
      </c>
      <c r="C3361" s="6" t="s">
        <v>62</v>
      </c>
      <c r="D3361" s="6" t="s">
        <v>928</v>
      </c>
      <c r="E3361" s="6" t="s">
        <v>502</v>
      </c>
      <c r="F3361" s="6" t="str">
        <f>IF($M3361="PADD I","PADD 1",IF($M3361="PADD II","PADD 2",IF($M3361="PADD III","PADD 3",IF($M3361="PADD IV","PADD 4",IF($M3361="PADD V","PADD 5","")))))</f>
        <v>PADD 2</v>
      </c>
      <c r="G3361" s="6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6" t="s">
        <v>39</v>
      </c>
      <c r="I3361" s="6" t="s">
        <v>929</v>
      </c>
      <c r="J3361" s="6" t="s">
        <v>394</v>
      </c>
      <c r="K3361" s="10">
        <v>2.7306</v>
      </c>
      <c r="L3361" s="10">
        <v>91.02</v>
      </c>
      <c r="M3361" s="6" t="s">
        <v>425</v>
      </c>
      <c r="N3361" s="6">
        <f>IF(OR($G3361="FCC",$G3361="Hydrocracker",$G3361="Reformer"),IF(COUNTIFS($D:$D,$D3361,$A:$A,$A3361,$B:$B,$B3361,$G:$G,"CDU",$J:$J,"PLANNED")&gt;0,"tied","standalone"),"")</f>
        <v/>
      </c>
    </row>
    <row r="3362" spans="1:14">
      <c r="A3362" s="6">
        <v>2024</v>
      </c>
      <c r="B3362" s="6">
        <v>3</v>
      </c>
      <c r="C3362" s="6" t="s">
        <v>62</v>
      </c>
      <c r="D3362" s="6" t="s">
        <v>889</v>
      </c>
      <c r="E3362" s="6" t="s">
        <v>890</v>
      </c>
      <c r="F3362" s="6" t="str">
        <f>IF($M3362="PADD I","PADD 1",IF($M3362="PADD II","PADD 2",IF($M3362="PADD III","PADD 3",IF($M3362="PADD IV","PADD 4",IF($M3362="PADD V","PADD 5","")))))</f>
        <v>PADD 1</v>
      </c>
      <c r="G3362" s="6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6" t="s">
        <v>426</v>
      </c>
      <c r="I3362" s="6" t="s">
        <v>106</v>
      </c>
      <c r="J3362" s="6" t="s">
        <v>394</v>
      </c>
      <c r="K3362" s="10">
        <v>2.73</v>
      </c>
      <c r="L3362" s="10">
        <v>21</v>
      </c>
      <c r="M3362" s="6" t="s">
        <v>463</v>
      </c>
      <c r="N3362" s="6" t="str">
        <f>IF(OR($G3362="FCC",$G3362="Hydrocracker",$G3362="Reformer"),IF(COUNTIFS($D:$D,$D3362,$A:$A,$A3362,$B:$B,$B3362,$G:$G,"CDU",$J:$J,"PLANNED")&gt;0,"tied","standalone"),"")</f>
        <v>standalone</v>
      </c>
    </row>
    <row r="3363" spans="1:14">
      <c r="A3363" s="6">
        <v>2024</v>
      </c>
      <c r="B3363" s="6">
        <v>3</v>
      </c>
      <c r="C3363" s="6" t="s">
        <v>62</v>
      </c>
      <c r="D3363" s="6" t="s">
        <v>1205</v>
      </c>
      <c r="E3363" s="6" t="s">
        <v>1206</v>
      </c>
      <c r="F3363" s="6" t="str">
        <f>IF($M3363="PADD I","PADD 1",IF($M3363="PADD II","PADD 2",IF($M3363="PADD III","PADD 3",IF($M3363="PADD IV","PADD 4",IF($M3363="PADD V","PADD 5","")))))</f>
        <v>PADD 5</v>
      </c>
      <c r="G3363" s="6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6" t="s">
        <v>39</v>
      </c>
      <c r="I3363" s="6" t="s">
        <v>82</v>
      </c>
      <c r="J3363" s="6" t="s">
        <v>398</v>
      </c>
      <c r="K3363" s="10">
        <v>2.72</v>
      </c>
      <c r="L3363" s="10">
        <v>8.5</v>
      </c>
      <c r="M3363" s="6" t="s">
        <v>436</v>
      </c>
      <c r="N3363" s="6">
        <f>IF(OR($G3363="FCC",$G3363="Hydrocracker",$G3363="Reformer"),IF(COUNTIFS($D:$D,$D3363,$A:$A,$A3363,$B:$B,$B3363,$G:$G,"CDU",$J:$J,"PLANNED")&gt;0,"tied","standalone"),"")</f>
        <v/>
      </c>
    </row>
    <row r="3364" spans="1:14">
      <c r="A3364" s="6">
        <v>2024</v>
      </c>
      <c r="B3364" s="6">
        <v>3</v>
      </c>
      <c r="C3364" s="6" t="s">
        <v>62</v>
      </c>
      <c r="D3364" s="6" t="s">
        <v>872</v>
      </c>
      <c r="E3364" s="6" t="s">
        <v>466</v>
      </c>
      <c r="F3364" s="6" t="str">
        <f>IF($M3364="PADD I","PADD 1",IF($M3364="PADD II","PADD 2",IF($M3364="PADD III","PADD 3",IF($M3364="PADD IV","PADD 4",IF($M3364="PADD V","PADD 5","")))))</f>
        <v>PADD 3</v>
      </c>
      <c r="G3364" s="6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6" t="s">
        <v>485</v>
      </c>
      <c r="I3364" s="6" t="s">
        <v>491</v>
      </c>
      <c r="J3364" s="6" t="s">
        <v>394</v>
      </c>
      <c r="K3364" s="10">
        <v>2.64</v>
      </c>
      <c r="L3364" s="10">
        <v>44</v>
      </c>
      <c r="M3364" s="6" t="s">
        <v>421</v>
      </c>
      <c r="N3364" s="6">
        <f>IF(OR($G3364="FCC",$G3364="Hydrocracker",$G3364="Reformer"),IF(COUNTIFS($D:$D,$D3364,$A:$A,$A3364,$B:$B,$B3364,$G:$G,"CDU",$J:$J,"PLANNED")&gt;0,"tied","standalone"),"")</f>
        <v/>
      </c>
    </row>
    <row r="3365" spans="1:14">
      <c r="A3365" s="6">
        <v>2024</v>
      </c>
      <c r="B3365" s="6">
        <v>3</v>
      </c>
      <c r="C3365" s="6" t="s">
        <v>62</v>
      </c>
      <c r="D3365" s="6" t="s">
        <v>1198</v>
      </c>
      <c r="E3365" s="6" t="s">
        <v>1199</v>
      </c>
      <c r="F3365" s="6" t="str">
        <f>IF($M3365="PADD I","PADD 1",IF($M3365="PADD II","PADD 2",IF($M3365="PADD III","PADD 3",IF($M3365="PADD IV","PADD 4",IF($M3365="PADD V","PADD 5","")))))</f>
        <v>PADD 3</v>
      </c>
      <c r="G3365" s="6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6" t="s">
        <v>428</v>
      </c>
      <c r="I3365" s="6" t="s">
        <v>481</v>
      </c>
      <c r="J3365" s="6" t="s">
        <v>398</v>
      </c>
      <c r="K3365" s="10">
        <v>2.61</v>
      </c>
      <c r="L3365" s="10">
        <v>3</v>
      </c>
      <c r="M3365" s="6" t="s">
        <v>421</v>
      </c>
      <c r="N3365" s="6">
        <f>IF(OR($G3365="FCC",$G3365="Hydrocracker",$G3365="Reformer"),IF(COUNTIFS($D:$D,$D3365,$A:$A,$A3365,$B:$B,$B3365,$G:$G,"CDU",$J:$J,"PLANNED")&gt;0,"tied","standalone"),"")</f>
        <v/>
      </c>
    </row>
    <row r="3366" spans="1:14">
      <c r="A3366" s="6">
        <v>2024</v>
      </c>
      <c r="B3366" s="6">
        <v>3</v>
      </c>
      <c r="C3366" s="6" t="s">
        <v>62</v>
      </c>
      <c r="D3366" s="6" t="s">
        <v>682</v>
      </c>
      <c r="E3366" s="6" t="s">
        <v>683</v>
      </c>
      <c r="F3366" s="6" t="str">
        <f>IF($M3366="PADD I","PADD 1",IF($M3366="PADD II","PADD 2",IF($M3366="PADD III","PADD 3",IF($M3366="PADD IV","PADD 4",IF($M3366="PADD V","PADD 5","")))))</f>
        <v>PADD 4</v>
      </c>
      <c r="G3366" s="6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6" t="s">
        <v>471</v>
      </c>
      <c r="I3366" s="6" t="s">
        <v>1120</v>
      </c>
      <c r="J3366" s="6" t="s">
        <v>398</v>
      </c>
      <c r="K3366" s="10">
        <v>2.6</v>
      </c>
      <c r="L3366" s="10">
        <v>10</v>
      </c>
      <c r="M3366" s="6" t="s">
        <v>480</v>
      </c>
      <c r="N3366" s="6" t="str">
        <f>IF(OR($G3366="FCC",$G3366="Hydrocracker",$G3366="Reformer"),IF(COUNTIFS($D:$D,$D3366,$A:$A,$A3366,$B:$B,$B3366,$G:$G,"CDU",$J:$J,"PLANNED")&gt;0,"tied","standalone"),"")</f>
        <v>tied</v>
      </c>
    </row>
    <row r="3367" spans="1:14">
      <c r="A3367" s="6">
        <v>2024</v>
      </c>
      <c r="B3367" s="6">
        <v>3</v>
      </c>
      <c r="C3367" s="6" t="s">
        <v>62</v>
      </c>
      <c r="D3367" s="6" t="s">
        <v>889</v>
      </c>
      <c r="E3367" s="6" t="s">
        <v>890</v>
      </c>
      <c r="F3367" s="6" t="str">
        <f>IF($M3367="PADD I","PADD 1",IF($M3367="PADD II","PADD 2",IF($M3367="PADD III","PADD 3",IF($M3367="PADD IV","PADD 4",IF($M3367="PADD V","PADD 5","")))))</f>
        <v>PADD 1</v>
      </c>
      <c r="G3367" s="6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6" t="s">
        <v>471</v>
      </c>
      <c r="I3367" s="6" t="s">
        <v>15</v>
      </c>
      <c r="J3367" s="6" t="s">
        <v>394</v>
      </c>
      <c r="K3367" s="10">
        <v>2.56</v>
      </c>
      <c r="L3367" s="10">
        <v>8</v>
      </c>
      <c r="M3367" s="6" t="s">
        <v>463</v>
      </c>
      <c r="N3367" s="6" t="str">
        <f>IF(OR($G3367="FCC",$G3367="Hydrocracker",$G3367="Reformer"),IF(COUNTIFS($D:$D,$D3367,$A:$A,$A3367,$B:$B,$B3367,$G:$G,"CDU",$J:$J,"PLANNED")&gt;0,"tied","standalone"),"")</f>
        <v>standalone</v>
      </c>
    </row>
    <row r="3368" spans="1:14">
      <c r="A3368" s="6">
        <v>2024</v>
      </c>
      <c r="B3368" s="6">
        <v>3</v>
      </c>
      <c r="C3368" s="6" t="s">
        <v>62</v>
      </c>
      <c r="D3368" s="6" t="s">
        <v>540</v>
      </c>
      <c r="E3368" s="6" t="s">
        <v>541</v>
      </c>
      <c r="F3368" s="6" t="str">
        <f>IF($M3368="PADD I","PADD 1",IF($M3368="PADD II","PADD 2",IF($M3368="PADD III","PADD 3",IF($M3368="PADD IV","PADD 4",IF($M3368="PADD V","PADD 5","")))))</f>
        <v>PADD 3</v>
      </c>
      <c r="G3368" s="6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6" t="s">
        <v>428</v>
      </c>
      <c r="I3368" s="6" t="s">
        <v>1070</v>
      </c>
      <c r="J3368" s="6" t="s">
        <v>394</v>
      </c>
      <c r="K3368" s="10">
        <v>2.4</v>
      </c>
      <c r="L3368" s="10">
        <v>40</v>
      </c>
      <c r="M3368" s="6" t="s">
        <v>421</v>
      </c>
      <c r="N3368" s="6">
        <f>IF(OR($G3368="FCC",$G3368="Hydrocracker",$G3368="Reformer"),IF(COUNTIFS($D:$D,$D3368,$A:$A,$A3368,$B:$B,$B3368,$G:$G,"CDU",$J:$J,"PLANNED")&gt;0,"tied","standalone"),"")</f>
        <v/>
      </c>
    </row>
    <row r="3369" spans="1:14">
      <c r="A3369" s="6">
        <v>2024</v>
      </c>
      <c r="B3369" s="6">
        <v>3</v>
      </c>
      <c r="C3369" s="6" t="s">
        <v>62</v>
      </c>
      <c r="D3369" s="6" t="s">
        <v>764</v>
      </c>
      <c r="E3369" s="6" t="s">
        <v>455</v>
      </c>
      <c r="F3369" s="6" t="str">
        <f>IF($M3369="PADD I","PADD 1",IF($M3369="PADD II","PADD 2",IF($M3369="PADD III","PADD 3",IF($M3369="PADD IV","PADD 4",IF($M3369="PADD V","PADD 5","")))))</f>
        <v>PADD 3</v>
      </c>
      <c r="G3369" s="6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6" t="s">
        <v>471</v>
      </c>
      <c r="I3369" s="6" t="s">
        <v>1207</v>
      </c>
      <c r="J3369" s="6" t="s">
        <v>394</v>
      </c>
      <c r="K3369" s="10">
        <v>2.34</v>
      </c>
      <c r="L3369" s="10">
        <v>18</v>
      </c>
      <c r="M3369" s="6" t="s">
        <v>421</v>
      </c>
      <c r="N3369" s="6" t="str">
        <f>IF(OR($G3369="FCC",$G3369="Hydrocracker",$G3369="Reformer"),IF(COUNTIFS($D:$D,$D3369,$A:$A,$A3369,$B:$B,$B3369,$G:$G,"CDU",$J:$J,"PLANNED")&gt;0,"tied","standalone"),"")</f>
        <v>standalone</v>
      </c>
    </row>
    <row r="3370" spans="1:14">
      <c r="A3370" s="6">
        <v>2024</v>
      </c>
      <c r="B3370" s="6">
        <v>3</v>
      </c>
      <c r="C3370" s="6" t="s">
        <v>62</v>
      </c>
      <c r="D3370" s="6" t="s">
        <v>652</v>
      </c>
      <c r="E3370" s="6" t="s">
        <v>419</v>
      </c>
      <c r="F3370" s="6" t="str">
        <f>IF($M3370="PADD I","PADD 1",IF($M3370="PADD II","PADD 2",IF($M3370="PADD III","PADD 3",IF($M3370="PADD IV","PADD 4",IF($M3370="PADD V","PADD 5","")))))</f>
        <v>PADD 2</v>
      </c>
      <c r="G3370" s="6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6" t="s">
        <v>510</v>
      </c>
      <c r="I3370" s="6" t="s">
        <v>666</v>
      </c>
      <c r="J3370" s="6" t="s">
        <v>394</v>
      </c>
      <c r="K3370" s="10">
        <v>2.3</v>
      </c>
      <c r="L3370" s="10">
        <v>23</v>
      </c>
      <c r="M3370" s="6" t="s">
        <v>425</v>
      </c>
      <c r="N3370" s="6">
        <f>IF(OR($G3370="FCC",$G3370="Hydrocracker",$G3370="Reformer"),IF(COUNTIFS($D:$D,$D3370,$A:$A,$A3370,$B:$B,$B3370,$G:$G,"CDU",$J:$J,"PLANNED")&gt;0,"tied","standalone"),"")</f>
        <v/>
      </c>
    </row>
    <row r="3371" spans="1:14">
      <c r="A3371" s="6">
        <v>2024</v>
      </c>
      <c r="B3371" s="6">
        <v>3</v>
      </c>
      <c r="C3371" s="6" t="s">
        <v>62</v>
      </c>
      <c r="D3371" s="6" t="s">
        <v>1205</v>
      </c>
      <c r="E3371" s="6" t="s">
        <v>1206</v>
      </c>
      <c r="F3371" s="6" t="str">
        <f>IF($M3371="PADD I","PADD 1",IF($M3371="PADD II","PADD 2",IF($M3371="PADD III","PADD 3",IF($M3371="PADD IV","PADD 4",IF($M3371="PADD V","PADD 5","")))))</f>
        <v>PADD 5</v>
      </c>
      <c r="G3371" s="6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6" t="s">
        <v>428</v>
      </c>
      <c r="I3371" s="6" t="s">
        <v>481</v>
      </c>
      <c r="J3371" s="6" t="s">
        <v>398</v>
      </c>
      <c r="K3371" s="10">
        <v>2.24</v>
      </c>
      <c r="L3371" s="10">
        <v>7</v>
      </c>
      <c r="M3371" s="6" t="s">
        <v>436</v>
      </c>
      <c r="N3371" s="6">
        <f>IF(OR($G3371="FCC",$G3371="Hydrocracker",$G3371="Reformer"),IF(COUNTIFS($D:$D,$D3371,$A:$A,$A3371,$B:$B,$B3371,$G:$G,"CDU",$J:$J,"PLANNED")&gt;0,"tied","standalone"),"")</f>
        <v/>
      </c>
    </row>
    <row r="3372" spans="1:14">
      <c r="A3372" s="6">
        <v>2024</v>
      </c>
      <c r="B3372" s="6">
        <v>3</v>
      </c>
      <c r="C3372" s="6" t="s">
        <v>62</v>
      </c>
      <c r="D3372" s="6" t="s">
        <v>1208</v>
      </c>
      <c r="E3372" s="6" t="s">
        <v>774</v>
      </c>
      <c r="F3372" s="6" t="str">
        <f>IF($M3372="PADD I","PADD 1",IF($M3372="PADD II","PADD 2",IF($M3372="PADD III","PADD 3",IF($M3372="PADD IV","PADD 4",IF($M3372="PADD V","PADD 5","")))))</f>
        <v>PADD 5</v>
      </c>
      <c r="G3372" s="6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6" t="s">
        <v>44</v>
      </c>
      <c r="I3372" s="6" t="s">
        <v>1209</v>
      </c>
      <c r="J3372" s="6" t="s">
        <v>398</v>
      </c>
      <c r="K3372" s="10">
        <v>2.21</v>
      </c>
      <c r="L3372" s="10">
        <v>8.5</v>
      </c>
      <c r="M3372" s="6" t="s">
        <v>436</v>
      </c>
      <c r="N3372" s="6">
        <f>IF(OR($G3372="FCC",$G3372="Hydrocracker",$G3372="Reformer"),IF(COUNTIFS($D:$D,$D3372,$A:$A,$A3372,$B:$B,$B3372,$G:$G,"CDU",$J:$J,"PLANNED")&gt;0,"tied","standalone"),"")</f>
        <v/>
      </c>
    </row>
    <row r="3373" spans="1:14">
      <c r="A3373" s="6">
        <v>2024</v>
      </c>
      <c r="B3373" s="6">
        <v>3</v>
      </c>
      <c r="C3373" s="6" t="s">
        <v>62</v>
      </c>
      <c r="D3373" s="6" t="s">
        <v>984</v>
      </c>
      <c r="E3373" s="6" t="s">
        <v>438</v>
      </c>
      <c r="F3373" s="6" t="str">
        <f>IF($M3373="PADD I","PADD 1",IF($M3373="PADD II","PADD 2",IF($M3373="PADD III","PADD 3",IF($M3373="PADD IV","PADD 4",IF($M3373="PADD V","PADD 5","")))))</f>
        <v>PADD 3</v>
      </c>
      <c r="G3373" s="6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6" t="s">
        <v>428</v>
      </c>
      <c r="I3373" s="6" t="s">
        <v>1014</v>
      </c>
      <c r="J3373" s="6" t="s">
        <v>398</v>
      </c>
      <c r="K3373" s="10">
        <v>2.21</v>
      </c>
      <c r="L3373" s="10">
        <v>17</v>
      </c>
      <c r="M3373" s="6" t="s">
        <v>421</v>
      </c>
      <c r="N3373" s="6">
        <f>IF(OR($G3373="FCC",$G3373="Hydrocracker",$G3373="Reformer"),IF(COUNTIFS($D:$D,$D3373,$A:$A,$A3373,$B:$B,$B3373,$G:$G,"CDU",$J:$J,"PLANNED")&gt;0,"tied","standalone"),"")</f>
        <v/>
      </c>
    </row>
    <row r="3374" spans="1:14">
      <c r="A3374" s="6">
        <v>2024</v>
      </c>
      <c r="B3374" s="6">
        <v>3</v>
      </c>
      <c r="C3374" s="6" t="s">
        <v>62</v>
      </c>
      <c r="D3374" s="6" t="s">
        <v>682</v>
      </c>
      <c r="E3374" s="6" t="s">
        <v>683</v>
      </c>
      <c r="F3374" s="6" t="str">
        <f>IF($M3374="PADD I","PADD 1",IF($M3374="PADD II","PADD 2",IF($M3374="PADD III","PADD 3",IF($M3374="PADD IV","PADD 4",IF($M3374="PADD V","PADD 5","")))))</f>
        <v>PADD 4</v>
      </c>
      <c r="G3374" s="6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6" t="s">
        <v>471</v>
      </c>
      <c r="I3374" s="6" t="s">
        <v>1120</v>
      </c>
      <c r="J3374" s="6" t="s">
        <v>394</v>
      </c>
      <c r="K3374" s="10">
        <v>1.955</v>
      </c>
      <c r="L3374" s="10">
        <v>8.5</v>
      </c>
      <c r="M3374" s="6" t="s">
        <v>480</v>
      </c>
      <c r="N3374" s="6" t="str">
        <f>IF(OR($G3374="FCC",$G3374="Hydrocracker",$G3374="Reformer"),IF(COUNTIFS($D:$D,$D3374,$A:$A,$A3374,$B:$B,$B3374,$G:$G,"CDU",$J:$J,"PLANNED")&gt;0,"tied","standalone"),"")</f>
        <v>tied</v>
      </c>
    </row>
    <row r="3375" spans="1:14">
      <c r="A3375" s="6">
        <v>2024</v>
      </c>
      <c r="B3375" s="6">
        <v>3</v>
      </c>
      <c r="C3375" s="6" t="s">
        <v>62</v>
      </c>
      <c r="D3375" s="6" t="s">
        <v>484</v>
      </c>
      <c r="E3375" s="6" t="s">
        <v>438</v>
      </c>
      <c r="F3375" s="6" t="str">
        <f>IF($M3375="PADD I","PADD 1",IF($M3375="PADD II","PADD 2",IF($M3375="PADD III","PADD 3",IF($M3375="PADD IV","PADD 4",IF($M3375="PADD V","PADD 5","")))))</f>
        <v>PADD 5</v>
      </c>
      <c r="G3375" s="6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6" t="s">
        <v>471</v>
      </c>
      <c r="I3375" s="6" t="s">
        <v>721</v>
      </c>
      <c r="J3375" s="6" t="s">
        <v>394</v>
      </c>
      <c r="K3375" s="10">
        <v>1.95</v>
      </c>
      <c r="L3375" s="10">
        <v>15</v>
      </c>
      <c r="M3375" s="6" t="s">
        <v>436</v>
      </c>
      <c r="N3375" s="6" t="str">
        <f>IF(OR($G3375="FCC",$G3375="Hydrocracker",$G3375="Reformer"),IF(COUNTIFS($D:$D,$D3375,$A:$A,$A3375,$B:$B,$B3375,$G:$G,"CDU",$J:$J,"PLANNED")&gt;0,"tied","standalone"),"")</f>
        <v>standalone</v>
      </c>
    </row>
    <row r="3376" spans="1:14">
      <c r="A3376" s="6">
        <v>2024</v>
      </c>
      <c r="B3376" s="6">
        <v>3</v>
      </c>
      <c r="C3376" s="6" t="s">
        <v>62</v>
      </c>
      <c r="D3376" s="6" t="s">
        <v>928</v>
      </c>
      <c r="E3376" s="6" t="s">
        <v>502</v>
      </c>
      <c r="F3376" s="6" t="str">
        <f>IF($M3376="PADD I","PADD 1",IF($M3376="PADD II","PADD 2",IF($M3376="PADD III","PADD 3",IF($M3376="PADD IV","PADD 4",IF($M3376="PADD V","PADD 5","")))))</f>
        <v>PADD 2</v>
      </c>
      <c r="G3376" s="6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6" t="s">
        <v>428</v>
      </c>
      <c r="I3376" s="6" t="s">
        <v>586</v>
      </c>
      <c r="J3376" s="6" t="s">
        <v>394</v>
      </c>
      <c r="K3376" s="10">
        <v>1.92</v>
      </c>
      <c r="L3376" s="10">
        <v>32</v>
      </c>
      <c r="M3376" s="6" t="s">
        <v>425</v>
      </c>
      <c r="N3376" s="6">
        <f>IF(OR($G3376="FCC",$G3376="Hydrocracker",$G3376="Reformer"),IF(COUNTIFS($D:$D,$D3376,$A:$A,$A3376,$B:$B,$B3376,$G:$G,"CDU",$J:$J,"PLANNED")&gt;0,"tied","standalone"),"")</f>
        <v/>
      </c>
    </row>
    <row r="3377" spans="1:14">
      <c r="A3377" s="6">
        <v>2024</v>
      </c>
      <c r="B3377" s="6">
        <v>3</v>
      </c>
      <c r="C3377" s="6" t="s">
        <v>62</v>
      </c>
      <c r="D3377" s="6" t="s">
        <v>496</v>
      </c>
      <c r="E3377" s="6" t="s">
        <v>441</v>
      </c>
      <c r="F3377" s="6" t="str">
        <f>IF($M3377="PADD I","PADD 1",IF($M3377="PADD II","PADD 2",IF($M3377="PADD III","PADD 3",IF($M3377="PADD IV","PADD 4",IF($M3377="PADD V","PADD 5","")))))</f>
        <v>PADD 3</v>
      </c>
      <c r="G3377" s="6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6" t="s">
        <v>510</v>
      </c>
      <c r="I3377" s="6" t="s">
        <v>630</v>
      </c>
      <c r="J3377" s="6" t="s">
        <v>394</v>
      </c>
      <c r="K3377" s="10">
        <v>1.872</v>
      </c>
      <c r="L3377" s="10">
        <v>7.2</v>
      </c>
      <c r="M3377" s="6" t="s">
        <v>421</v>
      </c>
      <c r="N3377" s="6">
        <f>IF(OR($G3377="FCC",$G3377="Hydrocracker",$G3377="Reformer"),IF(COUNTIFS($D:$D,$D3377,$A:$A,$A3377,$B:$B,$B3377,$G:$G,"CDU",$J:$J,"PLANNED")&gt;0,"tied","standalone"),"")</f>
        <v/>
      </c>
    </row>
    <row r="3378" spans="1:14">
      <c r="A3378" s="6">
        <v>2024</v>
      </c>
      <c r="B3378" s="6">
        <v>3</v>
      </c>
      <c r="C3378" s="6" t="s">
        <v>62</v>
      </c>
      <c r="D3378" s="6" t="s">
        <v>996</v>
      </c>
      <c r="E3378" s="6" t="s">
        <v>455</v>
      </c>
      <c r="F3378" s="6" t="str">
        <f>IF($M3378="PADD I","PADD 1",IF($M3378="PADD II","PADD 2",IF($M3378="PADD III","PADD 3",IF($M3378="PADD IV","PADD 4",IF($M3378="PADD V","PADD 5","")))))</f>
        <v>PADD 5</v>
      </c>
      <c r="G3378" s="6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6" t="s">
        <v>485</v>
      </c>
      <c r="I3378" s="6" t="s">
        <v>1022</v>
      </c>
      <c r="J3378" s="6" t="s">
        <v>394</v>
      </c>
      <c r="K3378" s="10">
        <v>1.8</v>
      </c>
      <c r="L3378" s="10">
        <v>18</v>
      </c>
      <c r="M3378" s="6" t="s">
        <v>436</v>
      </c>
      <c r="N3378" s="6">
        <f>IF(OR($G3378="FCC",$G3378="Hydrocracker",$G3378="Reformer"),IF(COUNTIFS($D:$D,$D3378,$A:$A,$A3378,$B:$B,$B3378,$G:$G,"CDU",$J:$J,"PLANNED")&gt;0,"tied","standalone"),"")</f>
        <v/>
      </c>
    </row>
    <row r="3379" spans="1:14">
      <c r="A3379" s="6">
        <v>2024</v>
      </c>
      <c r="B3379" s="6">
        <v>3</v>
      </c>
      <c r="C3379" s="6" t="s">
        <v>62</v>
      </c>
      <c r="D3379" s="6" t="s">
        <v>696</v>
      </c>
      <c r="E3379" s="6" t="s">
        <v>455</v>
      </c>
      <c r="F3379" s="6" t="str">
        <f>IF($M3379="PADD I","PADD 1",IF($M3379="PADD II","PADD 2",IF($M3379="PADD III","PADD 3",IF($M3379="PADD IV","PADD 4",IF($M3379="PADD V","PADD 5","")))))</f>
        <v>PADD 3</v>
      </c>
      <c r="G3379" s="6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6" t="s">
        <v>471</v>
      </c>
      <c r="I3379" s="6" t="s">
        <v>1210</v>
      </c>
      <c r="J3379" s="6" t="s">
        <v>394</v>
      </c>
      <c r="K3379" s="10">
        <v>1.6</v>
      </c>
      <c r="L3379" s="10">
        <v>10</v>
      </c>
      <c r="M3379" s="6" t="s">
        <v>421</v>
      </c>
      <c r="N3379" s="6" t="str">
        <f>IF(OR($G3379="FCC",$G3379="Hydrocracker",$G3379="Reformer"),IF(COUNTIFS($D:$D,$D3379,$A:$A,$A3379,$B:$B,$B3379,$G:$G,"CDU",$J:$J,"PLANNED")&gt;0,"tied","standalone"),"")</f>
        <v>standalone</v>
      </c>
    </row>
    <row r="3380" spans="1:14">
      <c r="A3380" s="6">
        <v>2024</v>
      </c>
      <c r="B3380" s="6">
        <v>3</v>
      </c>
      <c r="C3380" s="6" t="s">
        <v>62</v>
      </c>
      <c r="D3380" s="6" t="s">
        <v>996</v>
      </c>
      <c r="E3380" s="6" t="s">
        <v>455</v>
      </c>
      <c r="F3380" s="6" t="str">
        <f>IF($M3380="PADD I","PADD 1",IF($M3380="PADD II","PADD 2",IF($M3380="PADD III","PADD 3",IF($M3380="PADD IV","PADD 4",IF($M3380="PADD V","PADD 5","")))))</f>
        <v>PADD 5</v>
      </c>
      <c r="G3380" s="6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6" t="s">
        <v>485</v>
      </c>
      <c r="I3380" s="6" t="s">
        <v>1025</v>
      </c>
      <c r="J3380" s="6" t="s">
        <v>394</v>
      </c>
      <c r="K3380" s="10">
        <v>1.6</v>
      </c>
      <c r="L3380" s="10">
        <v>16</v>
      </c>
      <c r="M3380" s="6" t="s">
        <v>436</v>
      </c>
      <c r="N3380" s="6">
        <f>IF(OR($G3380="FCC",$G3380="Hydrocracker",$G3380="Reformer"),IF(COUNTIFS($D:$D,$D3380,$A:$A,$A3380,$B:$B,$B3380,$G:$G,"CDU",$J:$J,"PLANNED")&gt;0,"tied","standalone"),"")</f>
        <v/>
      </c>
    </row>
    <row r="3381" spans="1:14">
      <c r="A3381" s="6">
        <v>2024</v>
      </c>
      <c r="B3381" s="6">
        <v>3</v>
      </c>
      <c r="C3381" s="6" t="s">
        <v>62</v>
      </c>
      <c r="D3381" s="6" t="s">
        <v>43</v>
      </c>
      <c r="E3381" s="6" t="s">
        <v>455</v>
      </c>
      <c r="F3381" s="6" t="str">
        <f>IF($M3381="PADD I","PADD 1",IF($M3381="PADD II","PADD 2",IF($M3381="PADD III","PADD 3",IF($M3381="PADD IV","PADD 4",IF($M3381="PADD V","PADD 5","")))))</f>
        <v>PADD 3</v>
      </c>
      <c r="G3381" s="6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6" t="s">
        <v>510</v>
      </c>
      <c r="I3381" s="6" t="s">
        <v>666</v>
      </c>
      <c r="J3381" s="6" t="s">
        <v>398</v>
      </c>
      <c r="K3381" s="10">
        <v>1.56</v>
      </c>
      <c r="L3381" s="10">
        <v>12</v>
      </c>
      <c r="M3381" s="6" t="s">
        <v>421</v>
      </c>
      <c r="N3381" s="6">
        <f>IF(OR($G3381="FCC",$G3381="Hydrocracker",$G3381="Reformer"),IF(COUNTIFS($D:$D,$D3381,$A:$A,$A3381,$B:$B,$B3381,$G:$G,"CDU",$J:$J,"PLANNED")&gt;0,"tied","standalone"),"")</f>
        <v/>
      </c>
    </row>
    <row r="3382" spans="1:14">
      <c r="A3382" s="6">
        <v>2024</v>
      </c>
      <c r="B3382" s="6">
        <v>3</v>
      </c>
      <c r="C3382" s="6" t="s">
        <v>62</v>
      </c>
      <c r="D3382" s="6" t="s">
        <v>652</v>
      </c>
      <c r="E3382" s="6" t="s">
        <v>419</v>
      </c>
      <c r="F3382" s="6" t="str">
        <f>IF($M3382="PADD I","PADD 1",IF($M3382="PADD II","PADD 2",IF($M3382="PADD III","PADD 3",IF($M3382="PADD IV","PADD 4",IF($M3382="PADD V","PADD 5","")))))</f>
        <v>PADD 2</v>
      </c>
      <c r="G3382" s="6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6" t="s">
        <v>510</v>
      </c>
      <c r="I3382" s="6" t="s">
        <v>666</v>
      </c>
      <c r="J3382" s="6" t="s">
        <v>394</v>
      </c>
      <c r="K3382" s="10">
        <v>1.56</v>
      </c>
      <c r="L3382" s="10">
        <v>12</v>
      </c>
      <c r="M3382" s="6" t="s">
        <v>425</v>
      </c>
      <c r="N3382" s="6">
        <f>IF(OR($G3382="FCC",$G3382="Hydrocracker",$G3382="Reformer"),IF(COUNTIFS($D:$D,$D3382,$A:$A,$A3382,$B:$B,$B3382,$G:$G,"CDU",$J:$J,"PLANNED")&gt;0,"tied","standalone"),"")</f>
        <v/>
      </c>
    </row>
    <row r="3383" spans="1:14">
      <c r="A3383" s="6">
        <v>2024</v>
      </c>
      <c r="B3383" s="6">
        <v>3</v>
      </c>
      <c r="C3383" s="6" t="s">
        <v>62</v>
      </c>
      <c r="D3383" s="6" t="s">
        <v>380</v>
      </c>
      <c r="E3383" s="6" t="s">
        <v>423</v>
      </c>
      <c r="F3383" s="6" t="str">
        <f>IF($M3383="PADD I","PADD 1",IF($M3383="PADD II","PADD 2",IF($M3383="PADD III","PADD 3",IF($M3383="PADD IV","PADD 4",IF($M3383="PADD V","PADD 5","")))))</f>
        <v>PADD 2</v>
      </c>
      <c r="G3383" s="6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6" t="s">
        <v>428</v>
      </c>
      <c r="I3383" s="6" t="s">
        <v>481</v>
      </c>
      <c r="J3383" s="6" t="s">
        <v>394</v>
      </c>
      <c r="K3383" s="10">
        <v>1.56</v>
      </c>
      <c r="L3383" s="10">
        <v>52</v>
      </c>
      <c r="M3383" s="6" t="s">
        <v>425</v>
      </c>
      <c r="N3383" s="6">
        <f>IF(OR($G3383="FCC",$G3383="Hydrocracker",$G3383="Reformer"),IF(COUNTIFS($D:$D,$D3383,$A:$A,$A3383,$B:$B,$B3383,$G:$G,"CDU",$J:$J,"PLANNED")&gt;0,"tied","standalone"),"")</f>
        <v/>
      </c>
    </row>
    <row r="3384" spans="1:14">
      <c r="A3384" s="6">
        <v>2024</v>
      </c>
      <c r="B3384" s="6">
        <v>3</v>
      </c>
      <c r="C3384" s="6" t="s">
        <v>62</v>
      </c>
      <c r="D3384" s="6" t="s">
        <v>581</v>
      </c>
      <c r="E3384" s="6" t="s">
        <v>582</v>
      </c>
      <c r="F3384" s="6" t="str">
        <f>IF($M3384="PADD I","PADD 1",IF($M3384="PADD II","PADD 2",IF($M3384="PADD III","PADD 3",IF($M3384="PADD IV","PADD 4",IF($M3384="PADD V","PADD 5","")))))</f>
        <v>PADD 5</v>
      </c>
      <c r="G3384" s="6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6" t="s">
        <v>510</v>
      </c>
      <c r="I3384" s="6" t="s">
        <v>666</v>
      </c>
      <c r="J3384" s="6" t="s">
        <v>394</v>
      </c>
      <c r="K3384" s="10">
        <v>1.53</v>
      </c>
      <c r="L3384" s="10">
        <v>25.5</v>
      </c>
      <c r="M3384" s="6" t="s">
        <v>436</v>
      </c>
      <c r="N3384" s="6">
        <f>IF(OR($G3384="FCC",$G3384="Hydrocracker",$G3384="Reformer"),IF(COUNTIFS($D:$D,$D3384,$A:$A,$A3384,$B:$B,$B3384,$G:$G,"CDU",$J:$J,"PLANNED")&gt;0,"tied","standalone"),"")</f>
        <v/>
      </c>
    </row>
    <row r="3385" spans="1:14">
      <c r="A3385" s="6">
        <v>2024</v>
      </c>
      <c r="B3385" s="6">
        <v>3</v>
      </c>
      <c r="C3385" s="6" t="s">
        <v>62</v>
      </c>
      <c r="D3385" s="6" t="s">
        <v>430</v>
      </c>
      <c r="E3385" s="6" t="s">
        <v>431</v>
      </c>
      <c r="F3385" s="6" t="str">
        <f>IF($M3385="PADD I","PADD 1",IF($M3385="PADD II","PADD 2",IF($M3385="PADD III","PADD 3",IF($M3385="PADD IV","PADD 4",IF($M3385="PADD V","PADD 5","")))))</f>
        <v>PADD 3</v>
      </c>
      <c r="G3385" s="6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6" t="s">
        <v>39</v>
      </c>
      <c r="I3385" s="6" t="s">
        <v>432</v>
      </c>
      <c r="J3385" s="6" t="s">
        <v>398</v>
      </c>
      <c r="K3385" s="10">
        <v>1.5</v>
      </c>
      <c r="L3385" s="10">
        <v>50</v>
      </c>
      <c r="M3385" s="6" t="s">
        <v>421</v>
      </c>
      <c r="N3385" s="6">
        <f>IF(OR($G3385="FCC",$G3385="Hydrocracker",$G3385="Reformer"),IF(COUNTIFS($D:$D,$D3385,$A:$A,$A3385,$B:$B,$B3385,$G:$G,"CDU",$J:$J,"PLANNED")&gt;0,"tied","standalone"),"")</f>
        <v/>
      </c>
    </row>
    <row r="3386" spans="1:14">
      <c r="A3386" s="6">
        <v>2024</v>
      </c>
      <c r="B3386" s="6">
        <v>3</v>
      </c>
      <c r="C3386" s="6" t="s">
        <v>62</v>
      </c>
      <c r="D3386" s="6" t="s">
        <v>682</v>
      </c>
      <c r="E3386" s="6" t="s">
        <v>683</v>
      </c>
      <c r="F3386" s="6" t="str">
        <f>IF($M3386="PADD I","PADD 1",IF($M3386="PADD II","PADD 2",IF($M3386="PADD III","PADD 3",IF($M3386="PADD IV","PADD 4",IF($M3386="PADD V","PADD 5","")))))</f>
        <v>PADD 4</v>
      </c>
      <c r="G3386" s="6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6" t="s">
        <v>44</v>
      </c>
      <c r="I3386" s="6" t="s">
        <v>724</v>
      </c>
      <c r="J3386" s="6" t="s">
        <v>394</v>
      </c>
      <c r="K3386" s="10">
        <v>1.495</v>
      </c>
      <c r="L3386" s="10">
        <v>11.5</v>
      </c>
      <c r="M3386" s="6" t="s">
        <v>480</v>
      </c>
      <c r="N3386" s="6">
        <f>IF(OR($G3386="FCC",$G3386="Hydrocracker",$G3386="Reformer"),IF(COUNTIFS($D:$D,$D3386,$A:$A,$A3386,$B:$B,$B3386,$G:$G,"CDU",$J:$J,"PLANNED")&gt;0,"tied","standalone"),"")</f>
        <v/>
      </c>
    </row>
    <row r="3387" spans="1:14">
      <c r="A3387" s="6">
        <v>2024</v>
      </c>
      <c r="B3387" s="6">
        <v>3</v>
      </c>
      <c r="C3387" s="6" t="s">
        <v>62</v>
      </c>
      <c r="D3387" s="6" t="s">
        <v>928</v>
      </c>
      <c r="E3387" s="6" t="s">
        <v>502</v>
      </c>
      <c r="F3387" s="6" t="str">
        <f>IF($M3387="PADD I","PADD 1",IF($M3387="PADD II","PADD 2",IF($M3387="PADD III","PADD 3",IF($M3387="PADD IV","PADD 4",IF($M3387="PADD V","PADD 5","")))))</f>
        <v>PADD 2</v>
      </c>
      <c r="G3387" s="6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6" t="s">
        <v>485</v>
      </c>
      <c r="I3387" s="6" t="s">
        <v>491</v>
      </c>
      <c r="J3387" s="6" t="s">
        <v>394</v>
      </c>
      <c r="K3387" s="10">
        <v>1.36</v>
      </c>
      <c r="L3387" s="10">
        <v>8.5</v>
      </c>
      <c r="M3387" s="6" t="s">
        <v>425</v>
      </c>
      <c r="N3387" s="6">
        <f>IF(OR($G3387="FCC",$G3387="Hydrocracker",$G3387="Reformer"),IF(COUNTIFS($D:$D,$D3387,$A:$A,$A3387,$B:$B,$B3387,$G:$G,"CDU",$J:$J,"PLANNED")&gt;0,"tied","standalone"),"")</f>
        <v/>
      </c>
    </row>
    <row r="3388" spans="1:14">
      <c r="A3388" s="6">
        <v>2024</v>
      </c>
      <c r="B3388" s="6">
        <v>3</v>
      </c>
      <c r="C3388" s="6" t="s">
        <v>62</v>
      </c>
      <c r="D3388" s="6" t="s">
        <v>662</v>
      </c>
      <c r="E3388" s="6" t="s">
        <v>466</v>
      </c>
      <c r="F3388" s="6" t="str">
        <f>IF($M3388="PADD I","PADD 1",IF($M3388="PADD II","PADD 2",IF($M3388="PADD III","PADD 3",IF($M3388="PADD IV","PADD 4",IF($M3388="PADD V","PADD 5","")))))</f>
        <v>PADD 3</v>
      </c>
      <c r="G3388" s="6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6" t="s">
        <v>485</v>
      </c>
      <c r="I3388" s="6" t="s">
        <v>491</v>
      </c>
      <c r="J3388" s="6" t="s">
        <v>394</v>
      </c>
      <c r="K3388" s="10">
        <v>1.32</v>
      </c>
      <c r="L3388" s="10">
        <v>44</v>
      </c>
      <c r="M3388" s="6" t="s">
        <v>421</v>
      </c>
      <c r="N3388" s="6">
        <f>IF(OR($G3388="FCC",$G3388="Hydrocracker",$G3388="Reformer"),IF(COUNTIFS($D:$D,$D3388,$A:$A,$A3388,$B:$B,$B3388,$G:$G,"CDU",$J:$J,"PLANNED")&gt;0,"tied","standalone"),"")</f>
        <v/>
      </c>
    </row>
    <row r="3389" spans="1:14">
      <c r="A3389" s="6">
        <v>2024</v>
      </c>
      <c r="B3389" s="6">
        <v>3</v>
      </c>
      <c r="C3389" s="6" t="s">
        <v>62</v>
      </c>
      <c r="D3389" s="6" t="s">
        <v>1198</v>
      </c>
      <c r="E3389" s="6" t="s">
        <v>1199</v>
      </c>
      <c r="F3389" s="6" t="str">
        <f>IF($M3389="PADD I","PADD 1",IF($M3389="PADD II","PADD 2",IF($M3389="PADD III","PADD 3",IF($M3389="PADD IV","PADD 4",IF($M3389="PADD V","PADD 5","")))))</f>
        <v>PADD 3</v>
      </c>
      <c r="G3389" s="6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6" t="s">
        <v>573</v>
      </c>
      <c r="I3389" s="6" t="s">
        <v>574</v>
      </c>
      <c r="J3389" s="6" t="s">
        <v>398</v>
      </c>
      <c r="K3389" s="10">
        <v>1.305</v>
      </c>
      <c r="L3389" s="10">
        <v>1.5</v>
      </c>
      <c r="M3389" s="6" t="s">
        <v>421</v>
      </c>
      <c r="N3389" s="6">
        <f>IF(OR($G3389="FCC",$G3389="Hydrocracker",$G3389="Reformer"),IF(COUNTIFS($D:$D,$D3389,$A:$A,$A3389,$B:$B,$B3389,$G:$G,"CDU",$J:$J,"PLANNED")&gt;0,"tied","standalone"),"")</f>
        <v/>
      </c>
    </row>
    <row r="3390" spans="1:14">
      <c r="A3390" s="6">
        <v>2024</v>
      </c>
      <c r="B3390" s="6">
        <v>3</v>
      </c>
      <c r="C3390" s="6" t="s">
        <v>62</v>
      </c>
      <c r="D3390" s="6" t="s">
        <v>984</v>
      </c>
      <c r="E3390" s="6" t="s">
        <v>438</v>
      </c>
      <c r="F3390" s="6" t="str">
        <f>IF($M3390="PADD I","PADD 1",IF($M3390="PADD II","PADD 2",IF($M3390="PADD III","PADD 3",IF($M3390="PADD IV","PADD 4",IF($M3390="PADD V","PADD 5","")))))</f>
        <v>PADD 3</v>
      </c>
      <c r="G3390" s="6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6" t="s">
        <v>510</v>
      </c>
      <c r="I3390" s="6" t="s">
        <v>511</v>
      </c>
      <c r="J3390" s="6" t="s">
        <v>398</v>
      </c>
      <c r="K3390" s="10">
        <v>1.3</v>
      </c>
      <c r="L3390" s="10">
        <v>10</v>
      </c>
      <c r="M3390" s="6" t="s">
        <v>421</v>
      </c>
      <c r="N3390" s="6">
        <f>IF(OR($G3390="FCC",$G3390="Hydrocracker",$G3390="Reformer"),IF(COUNTIFS($D:$D,$D3390,$A:$A,$A3390,$B:$B,$B3390,$G:$G,"CDU",$J:$J,"PLANNED")&gt;0,"tied","standalone"),"")</f>
        <v/>
      </c>
    </row>
    <row r="3391" spans="1:14">
      <c r="A3391" s="6">
        <v>2024</v>
      </c>
      <c r="B3391" s="6">
        <v>3</v>
      </c>
      <c r="C3391" s="6" t="s">
        <v>62</v>
      </c>
      <c r="D3391" s="6" t="s">
        <v>368</v>
      </c>
      <c r="E3391" s="6" t="s">
        <v>715</v>
      </c>
      <c r="F3391" s="6" t="str">
        <f>IF($M3391="PADD I","PADD 1",IF($M3391="PADD II","PADD 2",IF($M3391="PADD III","PADD 3",IF($M3391="PADD IV","PADD 4",IF($M3391="PADD V","PADD 5","")))))</f>
        <v>PADD 3</v>
      </c>
      <c r="G3391" s="6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6" t="s">
        <v>485</v>
      </c>
      <c r="I3391" s="6" t="s">
        <v>491</v>
      </c>
      <c r="J3391" s="6" t="s">
        <v>394</v>
      </c>
      <c r="K3391" s="10">
        <v>1.2828</v>
      </c>
      <c r="L3391" s="10">
        <v>21.38</v>
      </c>
      <c r="M3391" s="6" t="s">
        <v>421</v>
      </c>
      <c r="N3391" s="6">
        <f>IF(OR($G3391="FCC",$G3391="Hydrocracker",$G3391="Reformer"),IF(COUNTIFS($D:$D,$D3391,$A:$A,$A3391,$B:$B,$B3391,$G:$G,"CDU",$J:$J,"PLANNED")&gt;0,"tied","standalone"),"")</f>
        <v/>
      </c>
    </row>
    <row r="3392" spans="1:14">
      <c r="A3392" s="6">
        <v>2024</v>
      </c>
      <c r="B3392" s="6">
        <v>3</v>
      </c>
      <c r="C3392" s="6" t="s">
        <v>62</v>
      </c>
      <c r="D3392" s="6" t="s">
        <v>792</v>
      </c>
      <c r="E3392" s="6" t="s">
        <v>438</v>
      </c>
      <c r="F3392" s="6" t="str">
        <f>IF($M3392="PADD I","PADD 1",IF($M3392="PADD II","PADD 2",IF($M3392="PADD III","PADD 3",IF($M3392="PADD IV","PADD 4",IF($M3392="PADD V","PADD 5","")))))</f>
        <v>PADD 5</v>
      </c>
      <c r="G3392" s="6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6" t="s">
        <v>510</v>
      </c>
      <c r="I3392" s="6" t="s">
        <v>511</v>
      </c>
      <c r="J3392" s="6" t="s">
        <v>394</v>
      </c>
      <c r="K3392" s="10">
        <v>0.96</v>
      </c>
      <c r="L3392" s="10">
        <v>6</v>
      </c>
      <c r="M3392" s="6" t="s">
        <v>436</v>
      </c>
      <c r="N3392" s="6">
        <f>IF(OR($G3392="FCC",$G3392="Hydrocracker",$G3392="Reformer"),IF(COUNTIFS($D:$D,$D3392,$A:$A,$A3392,$B:$B,$B3392,$G:$G,"CDU",$J:$J,"PLANNED")&gt;0,"tied","standalone"),"")</f>
        <v/>
      </c>
    </row>
    <row r="3393" spans="1:14">
      <c r="A3393" s="6">
        <v>2024</v>
      </c>
      <c r="B3393" s="6">
        <v>3</v>
      </c>
      <c r="C3393" s="6" t="s">
        <v>62</v>
      </c>
      <c r="D3393" s="6" t="s">
        <v>789</v>
      </c>
      <c r="E3393" s="6" t="s">
        <v>455</v>
      </c>
      <c r="F3393" s="6" t="str">
        <f>IF($M3393="PADD I","PADD 1",IF($M3393="PADD II","PADD 2",IF($M3393="PADD III","PADD 3",IF($M3393="PADD IV","PADD 4",IF($M3393="PADD V","PADD 5","")))))</f>
        <v>PADD 2</v>
      </c>
      <c r="G3393" s="6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6" t="s">
        <v>44</v>
      </c>
      <c r="I3393" s="6" t="s">
        <v>790</v>
      </c>
      <c r="J3393" s="6" t="s">
        <v>394</v>
      </c>
      <c r="K3393" s="10">
        <v>0.96</v>
      </c>
      <c r="L3393" s="10">
        <v>32</v>
      </c>
      <c r="M3393" s="6" t="s">
        <v>425</v>
      </c>
      <c r="N3393" s="6">
        <f>IF(OR($G3393="FCC",$G3393="Hydrocracker",$G3393="Reformer"),IF(COUNTIFS($D:$D,$D3393,$A:$A,$A3393,$B:$B,$B3393,$G:$G,"CDU",$J:$J,"PLANNED")&gt;0,"tied","standalone"),"")</f>
        <v/>
      </c>
    </row>
    <row r="3394" spans="1:14">
      <c r="A3394" s="6">
        <v>2024</v>
      </c>
      <c r="B3394" s="6">
        <v>3</v>
      </c>
      <c r="C3394" s="6" t="s">
        <v>62</v>
      </c>
      <c r="D3394" s="6" t="s">
        <v>1180</v>
      </c>
      <c r="E3394" s="6" t="s">
        <v>502</v>
      </c>
      <c r="F3394" s="6" t="str">
        <f>IF($M3394="PADD I","PADD 1",IF($M3394="PADD II","PADD 2",IF($M3394="PADD III","PADD 3",IF($M3394="PADD IV","PADD 4",IF($M3394="PADD V","PADD 5","")))))</f>
        <v>PADD 2</v>
      </c>
      <c r="G3394" s="6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6" t="s">
        <v>44</v>
      </c>
      <c r="I3394" s="6" t="s">
        <v>543</v>
      </c>
      <c r="J3394" s="6" t="s">
        <v>394</v>
      </c>
      <c r="K3394" s="10">
        <v>0.93</v>
      </c>
      <c r="L3394" s="10">
        <v>15.5</v>
      </c>
      <c r="M3394" s="6" t="s">
        <v>425</v>
      </c>
      <c r="N3394" s="6">
        <f>IF(OR($G3394="FCC",$G3394="Hydrocracker",$G3394="Reformer"),IF(COUNTIFS($D:$D,$D3394,$A:$A,$A3394,$B:$B,$B3394,$G:$G,"CDU",$J:$J,"PLANNED")&gt;0,"tied","standalone"),"")</f>
        <v/>
      </c>
    </row>
    <row r="3395" spans="1:14">
      <c r="A3395" s="6">
        <v>2024</v>
      </c>
      <c r="B3395" s="6">
        <v>3</v>
      </c>
      <c r="C3395" s="6" t="s">
        <v>62</v>
      </c>
      <c r="D3395" s="6" t="s">
        <v>445</v>
      </c>
      <c r="E3395" s="6" t="s">
        <v>446</v>
      </c>
      <c r="F3395" s="6" t="str">
        <f>IF($M3395="PADD I","PADD 1",IF($M3395="PADD II","PADD 2",IF($M3395="PADD III","PADD 3",IF($M3395="PADD IV","PADD 4",IF($M3395="PADD V","PADD 5","")))))</f>
        <v>PADD 3</v>
      </c>
      <c r="G3395" s="6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6" t="s">
        <v>428</v>
      </c>
      <c r="I3395" s="6" t="s">
        <v>625</v>
      </c>
      <c r="J3395" s="6" t="s">
        <v>398</v>
      </c>
      <c r="K3395" s="10">
        <v>0.9</v>
      </c>
      <c r="L3395" s="10">
        <v>30</v>
      </c>
      <c r="M3395" s="6" t="s">
        <v>421</v>
      </c>
      <c r="N3395" s="6">
        <f>IF(OR($G3395="FCC",$G3395="Hydrocracker",$G3395="Reformer"),IF(COUNTIFS($D:$D,$D3395,$A:$A,$A3395,$B:$B,$B3395,$G:$G,"CDU",$J:$J,"PLANNED")&gt;0,"tied","standalone"),"")</f>
        <v/>
      </c>
    </row>
    <row r="3396" spans="1:14">
      <c r="A3396" s="6">
        <v>2024</v>
      </c>
      <c r="B3396" s="6">
        <v>3</v>
      </c>
      <c r="C3396" s="6" t="s">
        <v>62</v>
      </c>
      <c r="D3396" s="6" t="s">
        <v>928</v>
      </c>
      <c r="E3396" s="6" t="s">
        <v>502</v>
      </c>
      <c r="F3396" s="6" t="str">
        <f>IF($M3396="PADD I","PADD 1",IF($M3396="PADD II","PADD 2",IF($M3396="PADD III","PADD 3",IF($M3396="PADD IV","PADD 4",IF($M3396="PADD V","PADD 5","")))))</f>
        <v>PADD 2</v>
      </c>
      <c r="G3396" s="6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6" t="s">
        <v>428</v>
      </c>
      <c r="I3396" s="6" t="s">
        <v>586</v>
      </c>
      <c r="J3396" s="6" t="s">
        <v>394</v>
      </c>
      <c r="K3396" s="10">
        <v>0.9</v>
      </c>
      <c r="L3396" s="10">
        <v>30</v>
      </c>
      <c r="M3396" s="6" t="s">
        <v>425</v>
      </c>
      <c r="N3396" s="6">
        <f>IF(OR($G3396="FCC",$G3396="Hydrocracker",$G3396="Reformer"),IF(COUNTIFS($D:$D,$D3396,$A:$A,$A3396,$B:$B,$B3396,$G:$G,"CDU",$J:$J,"PLANNED")&gt;0,"tied","standalone"),"")</f>
        <v/>
      </c>
    </row>
    <row r="3397" spans="1:14">
      <c r="A3397" s="6">
        <v>2024</v>
      </c>
      <c r="B3397" s="6">
        <v>3</v>
      </c>
      <c r="C3397" s="6" t="s">
        <v>62</v>
      </c>
      <c r="D3397" s="6" t="s">
        <v>889</v>
      </c>
      <c r="E3397" s="6" t="s">
        <v>890</v>
      </c>
      <c r="F3397" s="6" t="str">
        <f>IF($M3397="PADD I","PADD 1",IF($M3397="PADD II","PADD 2",IF($M3397="PADD III","PADD 3",IF($M3397="PADD IV","PADD 4",IF($M3397="PADD V","PADD 5","")))))</f>
        <v>PADD 1</v>
      </c>
      <c r="G3397" s="6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6" t="s">
        <v>618</v>
      </c>
      <c r="I3397" s="6" t="s">
        <v>654</v>
      </c>
      <c r="J3397" s="6" t="s">
        <v>394</v>
      </c>
      <c r="K3397" s="10">
        <v>0.88</v>
      </c>
      <c r="L3397" s="10">
        <v>2.75</v>
      </c>
      <c r="M3397" s="6" t="s">
        <v>463</v>
      </c>
      <c r="N3397" s="6">
        <f>IF(OR($G3397="FCC",$G3397="Hydrocracker",$G3397="Reformer"),IF(COUNTIFS($D:$D,$D3397,$A:$A,$A3397,$B:$B,$B3397,$G:$G,"CDU",$J:$J,"PLANNED")&gt;0,"tied","standalone"),"")</f>
        <v/>
      </c>
    </row>
    <row r="3398" spans="1:14">
      <c r="A3398" s="6">
        <v>2024</v>
      </c>
      <c r="B3398" s="6">
        <v>3</v>
      </c>
      <c r="C3398" s="6" t="s">
        <v>62</v>
      </c>
      <c r="D3398" s="6" t="s">
        <v>682</v>
      </c>
      <c r="E3398" s="6" t="s">
        <v>683</v>
      </c>
      <c r="F3398" s="6" t="str">
        <f>IF($M3398="PADD I","PADD 1",IF($M3398="PADD II","PADD 2",IF($M3398="PADD III","PADD 3",IF($M3398="PADD IV","PADD 4",IF($M3398="PADD V","PADD 5","")))))</f>
        <v>PADD 4</v>
      </c>
      <c r="G3398" s="6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6" t="s">
        <v>471</v>
      </c>
      <c r="I3398" s="6" t="s">
        <v>1120</v>
      </c>
      <c r="J3398" s="6" t="s">
        <v>394</v>
      </c>
      <c r="K3398" s="10">
        <v>0.85</v>
      </c>
      <c r="L3398" s="10">
        <v>8.5</v>
      </c>
      <c r="M3398" s="6" t="s">
        <v>480</v>
      </c>
      <c r="N3398" s="6" t="str">
        <f>IF(OR($G3398="FCC",$G3398="Hydrocracker",$G3398="Reformer"),IF(COUNTIFS($D:$D,$D3398,$A:$A,$A3398,$B:$B,$B3398,$G:$G,"CDU",$J:$J,"PLANNED")&gt;0,"tied","standalone"),"")</f>
        <v>tied</v>
      </c>
    </row>
    <row r="3399" spans="1:14">
      <c r="A3399" s="6">
        <v>2024</v>
      </c>
      <c r="B3399" s="6">
        <v>3</v>
      </c>
      <c r="C3399" s="6" t="s">
        <v>62</v>
      </c>
      <c r="D3399" s="6" t="s">
        <v>772</v>
      </c>
      <c r="E3399" s="6" t="s">
        <v>502</v>
      </c>
      <c r="F3399" s="6" t="str">
        <f>IF($M3399="PADD I","PADD 1",IF($M3399="PADD II","PADD 2",IF($M3399="PADD III","PADD 3",IF($M3399="PADD IV","PADD 4",IF($M3399="PADD V","PADD 5","")))))</f>
        <v>PADD 4</v>
      </c>
      <c r="G3399" s="6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6" t="s">
        <v>39</v>
      </c>
      <c r="I3399" s="6" t="s">
        <v>1211</v>
      </c>
      <c r="J3399" s="6" t="s">
        <v>394</v>
      </c>
      <c r="K3399" s="10">
        <v>0.792</v>
      </c>
      <c r="L3399" s="10">
        <v>26.4</v>
      </c>
      <c r="M3399" s="6" t="s">
        <v>480</v>
      </c>
      <c r="N3399" s="6">
        <f>IF(OR($G3399="FCC",$G3399="Hydrocracker",$G3399="Reformer"),IF(COUNTIFS($D:$D,$D3399,$A:$A,$A3399,$B:$B,$B3399,$G:$G,"CDU",$J:$J,"PLANNED")&gt;0,"tied","standalone"),"")</f>
        <v/>
      </c>
    </row>
    <row r="3400" spans="1:14">
      <c r="A3400" s="6">
        <v>2024</v>
      </c>
      <c r="B3400" s="6">
        <v>3</v>
      </c>
      <c r="C3400" s="6" t="s">
        <v>62</v>
      </c>
      <c r="D3400" s="6" t="s">
        <v>484</v>
      </c>
      <c r="E3400" s="6" t="s">
        <v>438</v>
      </c>
      <c r="F3400" s="6" t="str">
        <f>IF($M3400="PADD I","PADD 1",IF($M3400="PADD II","PADD 2",IF($M3400="PADD III","PADD 3",IF($M3400="PADD IV","PADD 4",IF($M3400="PADD V","PADD 5","")))))</f>
        <v>PADD 5</v>
      </c>
      <c r="G3400" s="6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6" t="s">
        <v>44</v>
      </c>
      <c r="I3400" s="6" t="s">
        <v>955</v>
      </c>
      <c r="J3400" s="6" t="s">
        <v>394</v>
      </c>
      <c r="K3400" s="10">
        <v>0.75</v>
      </c>
      <c r="L3400" s="10">
        <v>25</v>
      </c>
      <c r="M3400" s="6" t="s">
        <v>436</v>
      </c>
      <c r="N3400" s="6">
        <f>IF(OR($G3400="FCC",$G3400="Hydrocracker",$G3400="Reformer"),IF(COUNTIFS($D:$D,$D3400,$A:$A,$A3400,$B:$B,$B3400,$G:$G,"CDU",$J:$J,"PLANNED")&gt;0,"tied","standalone"),"")</f>
        <v/>
      </c>
    </row>
    <row r="3401" spans="1:14">
      <c r="A3401" s="6">
        <v>2024</v>
      </c>
      <c r="B3401" s="6">
        <v>3</v>
      </c>
      <c r="C3401" s="6" t="s">
        <v>62</v>
      </c>
      <c r="D3401" s="6" t="s">
        <v>383</v>
      </c>
      <c r="E3401" s="6" t="s">
        <v>602</v>
      </c>
      <c r="F3401" s="6" t="str">
        <f>IF($M3401="PADD I","PADD 1",IF($M3401="PADD II","PADD 2",IF($M3401="PADD III","PADD 3",IF($M3401="PADD IV","PADD 4",IF($M3401="PADD V","PADD 5","")))))</f>
        <v>PADD 3</v>
      </c>
      <c r="G3401" s="6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6" t="s">
        <v>428</v>
      </c>
      <c r="I3401" s="6" t="s">
        <v>605</v>
      </c>
      <c r="J3401" s="6" t="s">
        <v>394</v>
      </c>
      <c r="K3401" s="10">
        <v>0.5558999999999999</v>
      </c>
      <c r="L3401" s="10">
        <v>18.53</v>
      </c>
      <c r="M3401" s="6" t="s">
        <v>421</v>
      </c>
      <c r="N3401" s="6">
        <f>IF(OR($G3401="FCC",$G3401="Hydrocracker",$G3401="Reformer"),IF(COUNTIFS($D:$D,$D3401,$A:$A,$A3401,$B:$B,$B3401,$G:$G,"CDU",$J:$J,"PLANNED")&gt;0,"tied","standalone"),"")</f>
        <v/>
      </c>
    </row>
    <row r="3402" spans="1:14">
      <c r="A3402" s="6">
        <v>2024</v>
      </c>
      <c r="B3402" s="6">
        <v>3</v>
      </c>
      <c r="C3402" s="6" t="s">
        <v>62</v>
      </c>
      <c r="D3402" s="6" t="s">
        <v>378</v>
      </c>
      <c r="E3402" s="6" t="s">
        <v>477</v>
      </c>
      <c r="F3402" s="6" t="str">
        <f>IF($M3402="PADD I","PADD 1",IF($M3402="PADD II","PADD 2",IF($M3402="PADD III","PADD 3",IF($M3402="PADD IV","PADD 4",IF($M3402="PADD V","PADD 5","")))))</f>
        <v>PADD 3</v>
      </c>
      <c r="G3402" s="6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6" t="s">
        <v>471</v>
      </c>
      <c r="I3402" s="6" t="s">
        <v>1212</v>
      </c>
      <c r="J3402" s="6" t="s">
        <v>394</v>
      </c>
      <c r="K3402" s="10">
        <v>0.525</v>
      </c>
      <c r="L3402" s="10">
        <v>17.5</v>
      </c>
      <c r="M3402" s="6" t="s">
        <v>421</v>
      </c>
      <c r="N3402" s="6" t="str">
        <f>IF(OR($G3402="FCC",$G3402="Hydrocracker",$G3402="Reformer"),IF(COUNTIFS($D:$D,$D3402,$A:$A,$A3402,$B:$B,$B3402,$G:$G,"CDU",$J:$J,"PLANNED")&gt;0,"tied","standalone"),"")</f>
        <v>standalone</v>
      </c>
    </row>
    <row r="3403" spans="1:14">
      <c r="A3403" s="6">
        <v>2024</v>
      </c>
      <c r="B3403" s="6">
        <v>3</v>
      </c>
      <c r="C3403" s="6" t="s">
        <v>62</v>
      </c>
      <c r="D3403" s="6" t="s">
        <v>849</v>
      </c>
      <c r="E3403" s="6" t="s">
        <v>441</v>
      </c>
      <c r="F3403" s="6" t="str">
        <f>IF($M3403="PADD I","PADD 1",IF($M3403="PADD II","PADD 2",IF($M3403="PADD III","PADD 3",IF($M3403="PADD IV","PADD 4",IF($M3403="PADD V","PADD 5","")))))</f>
        <v>PADD 4</v>
      </c>
      <c r="G3403" s="6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6" t="s">
        <v>426</v>
      </c>
      <c r="I3403" s="6" t="s">
        <v>850</v>
      </c>
      <c r="J3403" s="6" t="s">
        <v>394</v>
      </c>
      <c r="K3403" s="10">
        <v>0.465</v>
      </c>
      <c r="L3403" s="10">
        <v>15.5</v>
      </c>
      <c r="M3403" s="6" t="s">
        <v>480</v>
      </c>
      <c r="N3403" s="6" t="str">
        <f>IF(OR($G3403="FCC",$G3403="Hydrocracker",$G3403="Reformer"),IF(COUNTIFS($D:$D,$D3403,$A:$A,$A3403,$B:$B,$B3403,$G:$G,"CDU",$J:$J,"PLANNED")&gt;0,"tied","standalone"),"")</f>
        <v>tied</v>
      </c>
    </row>
    <row r="3404" spans="1:14">
      <c r="A3404" s="6">
        <v>2024</v>
      </c>
      <c r="B3404" s="6">
        <v>3</v>
      </c>
      <c r="C3404" s="6" t="s">
        <v>62</v>
      </c>
      <c r="D3404" s="6" t="s">
        <v>889</v>
      </c>
      <c r="E3404" s="6" t="s">
        <v>890</v>
      </c>
      <c r="F3404" s="6" t="str">
        <f>IF($M3404="PADD I","PADD 1",IF($M3404="PADD II","PADD 2",IF($M3404="PADD III","PADD 3",IF($M3404="PADD IV","PADD 4",IF($M3404="PADD V","PADD 5","")))))</f>
        <v>PADD 1</v>
      </c>
      <c r="G3404" s="6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6" t="s">
        <v>510</v>
      </c>
      <c r="I3404" s="6" t="s">
        <v>511</v>
      </c>
      <c r="J3404" s="6" t="s">
        <v>394</v>
      </c>
      <c r="K3404" s="10">
        <v>0.432</v>
      </c>
      <c r="L3404" s="10">
        <v>1.35</v>
      </c>
      <c r="M3404" s="6" t="s">
        <v>463</v>
      </c>
      <c r="N3404" s="6">
        <f>IF(OR($G3404="FCC",$G3404="Hydrocracker",$G3404="Reformer"),IF(COUNTIFS($D:$D,$D3404,$A:$A,$A3404,$B:$B,$B3404,$G:$G,"CDU",$J:$J,"PLANNED")&gt;0,"tied","standalone"),"")</f>
        <v/>
      </c>
    </row>
    <row r="3405" spans="1:14">
      <c r="A3405" s="6">
        <v>2024</v>
      </c>
      <c r="B3405" s="6">
        <v>3</v>
      </c>
      <c r="C3405" s="6" t="s">
        <v>62</v>
      </c>
      <c r="D3405" s="6" t="s">
        <v>789</v>
      </c>
      <c r="E3405" s="6" t="s">
        <v>455</v>
      </c>
      <c r="F3405" s="6" t="str">
        <f>IF($M3405="PADD I","PADD 1",IF($M3405="PADD II","PADD 2",IF($M3405="PADD III","PADD 3",IF($M3405="PADD IV","PADD 4",IF($M3405="PADD V","PADD 5","")))))</f>
        <v>PADD 2</v>
      </c>
      <c r="G3405" s="6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6" t="s">
        <v>494</v>
      </c>
      <c r="I3405" s="6" t="s">
        <v>845</v>
      </c>
      <c r="J3405" s="6" t="s">
        <v>394</v>
      </c>
      <c r="K3405" s="10">
        <v>0.42</v>
      </c>
      <c r="L3405" s="10">
        <v>14</v>
      </c>
      <c r="M3405" s="6" t="s">
        <v>425</v>
      </c>
      <c r="N3405" s="6" t="str">
        <f>IF(OR($G3405="FCC",$G3405="Hydrocracker",$G3405="Reformer"),IF(COUNTIFS($D:$D,$D3405,$A:$A,$A3405,$B:$B,$B3405,$G:$G,"CDU",$J:$J,"PLANNED")&gt;0,"tied","standalone"),"")</f>
        <v>standalone</v>
      </c>
    </row>
    <row r="3406" spans="1:14">
      <c r="A3406" s="6">
        <v>2024</v>
      </c>
      <c r="B3406" s="6">
        <v>3</v>
      </c>
      <c r="C3406" s="6" t="s">
        <v>62</v>
      </c>
      <c r="D3406" s="6" t="s">
        <v>849</v>
      </c>
      <c r="E3406" s="6" t="s">
        <v>441</v>
      </c>
      <c r="F3406" s="6" t="str">
        <f>IF($M3406="PADD I","PADD 1",IF($M3406="PADD II","PADD 2",IF($M3406="PADD III","PADD 3",IF($M3406="PADD IV","PADD 4",IF($M3406="PADD V","PADD 5","")))))</f>
        <v>PADD 4</v>
      </c>
      <c r="G3406" s="6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6" t="s">
        <v>44</v>
      </c>
      <c r="I3406" s="6" t="s">
        <v>1114</v>
      </c>
      <c r="J3406" s="6" t="s">
        <v>394</v>
      </c>
      <c r="K3406" s="10">
        <v>0.399</v>
      </c>
      <c r="L3406" s="10">
        <v>13.3</v>
      </c>
      <c r="M3406" s="6" t="s">
        <v>480</v>
      </c>
      <c r="N3406" s="6">
        <f>IF(OR($G3406="FCC",$G3406="Hydrocracker",$G3406="Reformer"),IF(COUNTIFS($D:$D,$D3406,$A:$A,$A3406,$B:$B,$B3406,$G:$G,"CDU",$J:$J,"PLANNED")&gt;0,"tied","standalone"),"")</f>
        <v/>
      </c>
    </row>
    <row r="3407" spans="1:14">
      <c r="A3407" s="6">
        <v>2024</v>
      </c>
      <c r="B3407" s="6">
        <v>3</v>
      </c>
      <c r="C3407" s="6" t="s">
        <v>62</v>
      </c>
      <c r="D3407" s="6" t="s">
        <v>484</v>
      </c>
      <c r="E3407" s="6" t="s">
        <v>438</v>
      </c>
      <c r="F3407" s="6" t="str">
        <f>IF($M3407="PADD I","PADD 1",IF($M3407="PADD II","PADD 2",IF($M3407="PADD III","PADD 3",IF($M3407="PADD IV","PADD 4",IF($M3407="PADD V","PADD 5","")))))</f>
        <v>PADD 5</v>
      </c>
      <c r="G3407" s="6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6" t="s">
        <v>471</v>
      </c>
      <c r="I3407" s="6" t="s">
        <v>721</v>
      </c>
      <c r="J3407" s="6" t="s">
        <v>394</v>
      </c>
      <c r="K3407" s="10">
        <v>0.39</v>
      </c>
      <c r="L3407" s="10">
        <v>13</v>
      </c>
      <c r="M3407" s="6" t="s">
        <v>436</v>
      </c>
      <c r="N3407" s="6" t="str">
        <f>IF(OR($G3407="FCC",$G3407="Hydrocracker",$G3407="Reformer"),IF(COUNTIFS($D:$D,$D3407,$A:$A,$A3407,$B:$B,$B3407,$G:$G,"CDU",$J:$J,"PLANNED")&gt;0,"tied","standalone"),"")</f>
        <v>standalone</v>
      </c>
    </row>
    <row r="3408" spans="1:14">
      <c r="A3408" s="6">
        <v>2024</v>
      </c>
      <c r="B3408" s="6">
        <v>3</v>
      </c>
      <c r="C3408" s="6" t="s">
        <v>62</v>
      </c>
      <c r="D3408" s="6" t="s">
        <v>984</v>
      </c>
      <c r="E3408" s="6" t="s">
        <v>438</v>
      </c>
      <c r="F3408" s="6" t="str">
        <f>IF($M3408="PADD I","PADD 1",IF($M3408="PADD II","PADD 2",IF($M3408="PADD III","PADD 3",IF($M3408="PADD IV","PADD 4",IF($M3408="PADD V","PADD 5","")))))</f>
        <v>PADD 3</v>
      </c>
      <c r="G3408" s="6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6" t="s">
        <v>618</v>
      </c>
      <c r="I3408" s="6" t="s">
        <v>1026</v>
      </c>
      <c r="J3408" s="6" t="s">
        <v>398</v>
      </c>
      <c r="K3408" s="10">
        <v>0.325</v>
      </c>
      <c r="L3408" s="10">
        <v>2.5</v>
      </c>
      <c r="M3408" s="6" t="s">
        <v>421</v>
      </c>
      <c r="N3408" s="6">
        <f>IF(OR($G3408="FCC",$G3408="Hydrocracker",$G3408="Reformer"),IF(COUNTIFS($D:$D,$D3408,$A:$A,$A3408,$B:$B,$B3408,$G:$G,"CDU",$J:$J,"PLANNED")&gt;0,"tied","standalone"),"")</f>
        <v/>
      </c>
    </row>
    <row r="3409" spans="1:14">
      <c r="A3409" s="6">
        <v>2024</v>
      </c>
      <c r="B3409" s="6">
        <v>3</v>
      </c>
      <c r="C3409" s="6" t="s">
        <v>62</v>
      </c>
      <c r="D3409" s="6" t="s">
        <v>849</v>
      </c>
      <c r="E3409" s="6" t="s">
        <v>441</v>
      </c>
      <c r="F3409" s="6" t="str">
        <f>IF($M3409="PADD I","PADD 1",IF($M3409="PADD II","PADD 2",IF($M3409="PADD III","PADD 3",IF($M3409="PADD IV","PADD 4",IF($M3409="PADD V","PADD 5","")))))</f>
        <v>PADD 4</v>
      </c>
      <c r="G3409" s="6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6" t="s">
        <v>687</v>
      </c>
      <c r="I3409" s="6" t="s">
        <v>958</v>
      </c>
      <c r="J3409" s="6" t="s">
        <v>394</v>
      </c>
      <c r="K3409" s="10">
        <v>0.318</v>
      </c>
      <c r="L3409" s="10">
        <v>5.3</v>
      </c>
      <c r="M3409" s="6" t="s">
        <v>480</v>
      </c>
      <c r="N3409" s="6">
        <f>IF(OR($G3409="FCC",$G3409="Hydrocracker",$G3409="Reformer"),IF(COUNTIFS($D:$D,$D3409,$A:$A,$A3409,$B:$B,$B3409,$G:$G,"CDU",$J:$J,"PLANNED")&gt;0,"tied","standalone"),"")</f>
        <v/>
      </c>
    </row>
    <row r="3410" spans="1:14">
      <c r="A3410" s="6">
        <v>2024</v>
      </c>
      <c r="B3410" s="6">
        <v>3</v>
      </c>
      <c r="C3410" s="6" t="s">
        <v>62</v>
      </c>
      <c r="D3410" s="6" t="s">
        <v>857</v>
      </c>
      <c r="E3410" s="6" t="s">
        <v>829</v>
      </c>
      <c r="F3410" s="6" t="str">
        <f>IF($M3410="PADD I","PADD 1",IF($M3410="PADD II","PADD 2",IF($M3410="PADD III","PADD 3",IF($M3410="PADD IV","PADD 4",IF($M3410="PADD V","PADD 5","")))))</f>
        <v>PADD 3</v>
      </c>
      <c r="G3410" s="6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6" t="s">
        <v>1158</v>
      </c>
      <c r="I3410" s="6" t="s">
        <v>1158</v>
      </c>
      <c r="J3410" s="6" t="s">
        <v>398</v>
      </c>
      <c r="K3410" s="10">
        <v>0.3</v>
      </c>
      <c r="L3410" s="10">
        <v>3</v>
      </c>
      <c r="M3410" s="6" t="s">
        <v>421</v>
      </c>
      <c r="N3410" s="6">
        <f>IF(OR($G3410="FCC",$G3410="Hydrocracker",$G3410="Reformer"),IF(COUNTIFS($D:$D,$D3410,$A:$A,$A3410,$B:$B,$B3410,$G:$G,"CDU",$J:$J,"PLANNED")&gt;0,"tied","standalone"),"")</f>
        <v/>
      </c>
    </row>
    <row r="3411" spans="1:14">
      <c r="A3411" s="6">
        <v>2024</v>
      </c>
      <c r="B3411" s="6">
        <v>3</v>
      </c>
      <c r="C3411" s="6" t="s">
        <v>62</v>
      </c>
      <c r="D3411" s="6" t="s">
        <v>849</v>
      </c>
      <c r="E3411" s="6" t="s">
        <v>441</v>
      </c>
      <c r="F3411" s="6" t="str">
        <f>IF($M3411="PADD I","PADD 1",IF($M3411="PADD II","PADD 2",IF($M3411="PADD III","PADD 3",IF($M3411="PADD IV","PADD 4",IF($M3411="PADD V","PADD 5","")))))</f>
        <v>PADD 4</v>
      </c>
      <c r="G3411" s="6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6" t="s">
        <v>510</v>
      </c>
      <c r="I3411" s="6" t="s">
        <v>958</v>
      </c>
      <c r="J3411" s="6" t="s">
        <v>394</v>
      </c>
      <c r="K3411" s="10">
        <v>0.168</v>
      </c>
      <c r="L3411" s="10">
        <v>5.6</v>
      </c>
      <c r="M3411" s="6" t="s">
        <v>480</v>
      </c>
      <c r="N3411" s="6">
        <f>IF(OR($G3411="FCC",$G3411="Hydrocracker",$G3411="Reformer"),IF(COUNTIFS($D:$D,$D3411,$A:$A,$A3411,$B:$B,$B3411,$G:$G,"CDU",$J:$J,"PLANNED")&gt;0,"tied","standalone"),"")</f>
        <v/>
      </c>
    </row>
    <row r="3412" spans="1:14">
      <c r="A3412" s="6">
        <v>2024</v>
      </c>
      <c r="B3412" s="6">
        <v>4</v>
      </c>
      <c r="C3412" s="6" t="s">
        <v>63</v>
      </c>
      <c r="D3412" s="6" t="s">
        <v>370</v>
      </c>
      <c r="E3412" s="6" t="s">
        <v>431</v>
      </c>
      <c r="F3412" s="6" t="str">
        <f>IF($M3412="PADD I","PADD 1",IF($M3412="PADD II","PADD 2",IF($M3412="PADD III","PADD 3",IF($M3412="PADD IV","PADD 4",IF($M3412="PADD V","PADD 5","")))))</f>
        <v>PADD 2</v>
      </c>
      <c r="G3412" s="6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6" t="s">
        <v>39</v>
      </c>
      <c r="I3412" s="6" t="s">
        <v>82</v>
      </c>
      <c r="J3412" s="6" t="s">
        <v>398</v>
      </c>
      <c r="K3412" s="10">
        <v>207.5</v>
      </c>
      <c r="L3412" s="10">
        <v>250</v>
      </c>
      <c r="M3412" s="6" t="s">
        <v>425</v>
      </c>
      <c r="N3412" s="6">
        <f>IF(OR($G3412="FCC",$G3412="Hydrocracker",$G3412="Reformer"),IF(COUNTIFS($D:$D,$D3412,$A:$A,$A3412,$B:$B,$B3412,$G:$G,"CDU",$J:$J,"PLANNED")&gt;0,"tied","standalone"),"")</f>
        <v/>
      </c>
    </row>
    <row r="3413" spans="1:14">
      <c r="A3413" s="6">
        <v>2024</v>
      </c>
      <c r="B3413" s="6">
        <v>4</v>
      </c>
      <c r="C3413" s="6" t="s">
        <v>63</v>
      </c>
      <c r="D3413" s="6" t="s">
        <v>370</v>
      </c>
      <c r="E3413" s="6" t="s">
        <v>431</v>
      </c>
      <c r="F3413" s="6" t="str">
        <f>IF($M3413="PADD I","PADD 1",IF($M3413="PADD II","PADD 2",IF($M3413="PADD III","PADD 3",IF($M3413="PADD IV","PADD 4",IF($M3413="PADD V","PADD 5","")))))</f>
        <v>PADD 2</v>
      </c>
      <c r="G3413" s="6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6" t="s">
        <v>428</v>
      </c>
      <c r="I3413" s="6" t="s">
        <v>481</v>
      </c>
      <c r="J3413" s="6" t="s">
        <v>398</v>
      </c>
      <c r="K3413" s="10">
        <v>127</v>
      </c>
      <c r="L3413" s="10">
        <v>127</v>
      </c>
      <c r="M3413" s="6" t="s">
        <v>425</v>
      </c>
      <c r="N3413" s="6">
        <f>IF(OR($G3413="FCC",$G3413="Hydrocracker",$G3413="Reformer"),IF(COUNTIFS($D:$D,$D3413,$A:$A,$A3413,$B:$B,$B3413,$G:$G,"CDU",$J:$J,"PLANNED")&gt;0,"tied","standalone"),"")</f>
        <v/>
      </c>
    </row>
    <row r="3414" spans="1:14">
      <c r="A3414" s="6">
        <v>2024</v>
      </c>
      <c r="B3414" s="6">
        <v>4</v>
      </c>
      <c r="C3414" s="6" t="s">
        <v>63</v>
      </c>
      <c r="D3414" s="6" t="s">
        <v>54</v>
      </c>
      <c r="E3414" s="6" t="s">
        <v>593</v>
      </c>
      <c r="F3414" s="6" t="str">
        <f>IF($M3414="PADD I","PADD 1",IF($M3414="PADD II","PADD 2",IF($M3414="PADD III","PADD 3",IF($M3414="PADD IV","PADD 4",IF($M3414="PADD V","PADD 5","")))))</f>
        <v>PADD 5</v>
      </c>
      <c r="G3414" s="6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6" t="s">
        <v>39</v>
      </c>
      <c r="I3414" s="6" t="s">
        <v>82</v>
      </c>
      <c r="J3414" s="6" t="s">
        <v>398</v>
      </c>
      <c r="K3414" s="10">
        <v>107.5</v>
      </c>
      <c r="L3414" s="10">
        <v>250</v>
      </c>
      <c r="M3414" s="6" t="s">
        <v>436</v>
      </c>
      <c r="N3414" s="6">
        <f>IF(OR($G3414="FCC",$G3414="Hydrocracker",$G3414="Reformer"),IF(COUNTIFS($D:$D,$D3414,$A:$A,$A3414,$B:$B,$B3414,$G:$G,"CDU",$J:$J,"PLANNED")&gt;0,"tied","standalone"),"")</f>
        <v/>
      </c>
    </row>
    <row r="3415" spans="1:14">
      <c r="A3415" s="6">
        <v>2024</v>
      </c>
      <c r="B3415" s="6">
        <v>4</v>
      </c>
      <c r="C3415" s="6" t="s">
        <v>63</v>
      </c>
      <c r="D3415" s="6" t="s">
        <v>440</v>
      </c>
      <c r="E3415" s="6" t="s">
        <v>441</v>
      </c>
      <c r="F3415" s="6" t="str">
        <f>IF($M3415="PADD I","PADD 1",IF($M3415="PADD II","PADD 2",IF($M3415="PADD III","PADD 3",IF($M3415="PADD IV","PADD 4",IF($M3415="PADD V","PADD 5","")))))</f>
        <v>PADD 3</v>
      </c>
      <c r="G3415" s="6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6" t="s">
        <v>39</v>
      </c>
      <c r="I3415" s="6" t="s">
        <v>442</v>
      </c>
      <c r="J3415" s="6" t="s">
        <v>398</v>
      </c>
      <c r="K3415" s="10">
        <v>99.75</v>
      </c>
      <c r="L3415" s="10">
        <v>175</v>
      </c>
      <c r="M3415" s="6" t="s">
        <v>421</v>
      </c>
      <c r="N3415" s="6">
        <f>IF(OR($G3415="FCC",$G3415="Hydrocracker",$G3415="Reformer"),IF(COUNTIFS($D:$D,$D3415,$A:$A,$A3415,$B:$B,$B3415,$G:$G,"CDU",$J:$J,"PLANNED")&gt;0,"tied","standalone"),"")</f>
        <v/>
      </c>
    </row>
    <row r="3416" spans="1:14">
      <c r="A3416" s="6">
        <v>2024</v>
      </c>
      <c r="B3416" s="6">
        <v>4</v>
      </c>
      <c r="C3416" s="6" t="s">
        <v>63</v>
      </c>
      <c r="D3416" s="6" t="s">
        <v>370</v>
      </c>
      <c r="E3416" s="6" t="s">
        <v>431</v>
      </c>
      <c r="F3416" s="6" t="str">
        <f>IF($M3416="PADD I","PADD 1",IF($M3416="PADD II","PADD 2",IF($M3416="PADD III","PADD 3",IF($M3416="PADD IV","PADD 4",IF($M3416="PADD V","PADD 5","")))))</f>
        <v>PADD 2</v>
      </c>
      <c r="G3416" s="6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6" t="s">
        <v>426</v>
      </c>
      <c r="I3416" s="6" t="s">
        <v>106</v>
      </c>
      <c r="J3416" s="6" t="s">
        <v>398</v>
      </c>
      <c r="K3416" s="10">
        <v>98</v>
      </c>
      <c r="L3416" s="10">
        <v>98</v>
      </c>
      <c r="M3416" s="6" t="s">
        <v>425</v>
      </c>
      <c r="N3416" s="6" t="str">
        <f>IF(OR($G3416="FCC",$G3416="Hydrocracker",$G3416="Reformer"),IF(COUNTIFS($D:$D,$D3416,$A:$A,$A3416,$B:$B,$B3416,$G:$G,"CDU",$J:$J,"PLANNED")&gt;0,"tied","standalone"),"")</f>
        <v>tied</v>
      </c>
    </row>
    <row r="3417" spans="1:14">
      <c r="A3417" s="6">
        <v>2024</v>
      </c>
      <c r="B3417" s="6">
        <v>4</v>
      </c>
      <c r="C3417" s="6" t="s">
        <v>63</v>
      </c>
      <c r="D3417" s="6" t="s">
        <v>52</v>
      </c>
      <c r="E3417" s="6" t="s">
        <v>441</v>
      </c>
      <c r="F3417" s="6" t="str">
        <f>IF($M3417="PADD I","PADD 1",IF($M3417="PADD II","PADD 2",IF($M3417="PADD III","PADD 3",IF($M3417="PADD IV","PADD 4",IF($M3417="PADD V","PADD 5","")))))</f>
        <v>PADD 5</v>
      </c>
      <c r="G3417" s="6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6" t="s">
        <v>39</v>
      </c>
      <c r="I3417" s="6" t="s">
        <v>1213</v>
      </c>
      <c r="J3417" s="6" t="s">
        <v>398</v>
      </c>
      <c r="K3417" s="10">
        <v>90.09999999999999</v>
      </c>
      <c r="L3417" s="10">
        <v>170</v>
      </c>
      <c r="M3417" s="6" t="s">
        <v>436</v>
      </c>
      <c r="N3417" s="6">
        <f>IF(OR($G3417="FCC",$G3417="Hydrocracker",$G3417="Reformer"),IF(COUNTIFS($D:$D,$D3417,$A:$A,$A3417,$B:$B,$B3417,$G:$G,"CDU",$J:$J,"PLANNED")&gt;0,"tied","standalone"),"")</f>
        <v/>
      </c>
    </row>
    <row r="3418" spans="1:14">
      <c r="A3418" s="6">
        <v>2024</v>
      </c>
      <c r="B3418" s="6">
        <v>4</v>
      </c>
      <c r="C3418" s="6" t="s">
        <v>63</v>
      </c>
      <c r="D3418" s="6" t="s">
        <v>370</v>
      </c>
      <c r="E3418" s="6" t="s">
        <v>431</v>
      </c>
      <c r="F3418" s="6" t="str">
        <f>IF($M3418="PADD I","PADD 1",IF($M3418="PADD II","PADD 2",IF($M3418="PADD III","PADD 3",IF($M3418="PADD IV","PADD 4",IF($M3418="PADD V","PADD 5","")))))</f>
        <v>PADD 2</v>
      </c>
      <c r="G3418" s="6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6" t="s">
        <v>44</v>
      </c>
      <c r="I3418" s="6" t="s">
        <v>1214</v>
      </c>
      <c r="J3418" s="6" t="s">
        <v>398</v>
      </c>
      <c r="K3418" s="10">
        <v>90</v>
      </c>
      <c r="L3418" s="10">
        <v>90</v>
      </c>
      <c r="M3418" s="6" t="s">
        <v>425</v>
      </c>
      <c r="N3418" s="6">
        <f>IF(OR($G3418="FCC",$G3418="Hydrocracker",$G3418="Reformer"),IF(COUNTIFS($D:$D,$D3418,$A:$A,$A3418,$B:$B,$B3418,$G:$G,"CDU",$J:$J,"PLANNED")&gt;0,"tied","standalone"),"")</f>
        <v/>
      </c>
    </row>
    <row r="3419" spans="1:14">
      <c r="A3419" s="6">
        <v>2024</v>
      </c>
      <c r="B3419" s="6">
        <v>4</v>
      </c>
      <c r="C3419" s="6" t="s">
        <v>63</v>
      </c>
      <c r="D3419" s="6" t="s">
        <v>370</v>
      </c>
      <c r="E3419" s="6" t="s">
        <v>431</v>
      </c>
      <c r="F3419" s="6" t="str">
        <f>IF($M3419="PADD I","PADD 1",IF($M3419="PADD II","PADD 2",IF($M3419="PADD III","PADD 3",IF($M3419="PADD IV","PADD 4",IF($M3419="PADD V","PADD 5","")))))</f>
        <v>PADD 2</v>
      </c>
      <c r="G3419" s="6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6" t="s">
        <v>44</v>
      </c>
      <c r="I3419" s="6" t="s">
        <v>1215</v>
      </c>
      <c r="J3419" s="6" t="s">
        <v>398</v>
      </c>
      <c r="K3419" s="10">
        <v>80</v>
      </c>
      <c r="L3419" s="10">
        <v>80</v>
      </c>
      <c r="M3419" s="6" t="s">
        <v>425</v>
      </c>
      <c r="N3419" s="6">
        <f>IF(OR($G3419="FCC",$G3419="Hydrocracker",$G3419="Reformer"),IF(COUNTIFS($D:$D,$D3419,$A:$A,$A3419,$B:$B,$B3419,$G:$G,"CDU",$J:$J,"PLANNED")&gt;0,"tied","standalone"),"")</f>
        <v/>
      </c>
    </row>
    <row r="3420" spans="1:14">
      <c r="A3420" s="6">
        <v>2024</v>
      </c>
      <c r="B3420" s="6">
        <v>4</v>
      </c>
      <c r="C3420" s="6" t="s">
        <v>63</v>
      </c>
      <c r="D3420" s="6" t="s">
        <v>373</v>
      </c>
      <c r="E3420" s="6" t="s">
        <v>438</v>
      </c>
      <c r="F3420" s="6" t="str">
        <f>IF($M3420="PADD I","PADD 1",IF($M3420="PADD II","PADD 2",IF($M3420="PADD III","PADD 3",IF($M3420="PADD IV","PADD 4",IF($M3420="PADD V","PADD 5","")))))</f>
        <v>PADD 3</v>
      </c>
      <c r="G3420" s="6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6" t="s">
        <v>44</v>
      </c>
      <c r="I3420" s="6" t="s">
        <v>732</v>
      </c>
      <c r="J3420" s="6" t="s">
        <v>398</v>
      </c>
      <c r="K3420" s="10">
        <v>74.2</v>
      </c>
      <c r="L3420" s="10">
        <v>106</v>
      </c>
      <c r="M3420" s="6" t="s">
        <v>421</v>
      </c>
      <c r="N3420" s="6">
        <f>IF(OR($G3420="FCC",$G3420="Hydrocracker",$G3420="Reformer"),IF(COUNTIFS($D:$D,$D3420,$A:$A,$A3420,$B:$B,$B3420,$G:$G,"CDU",$J:$J,"PLANNED")&gt;0,"tied","standalone"),"")</f>
        <v/>
      </c>
    </row>
    <row r="3421" spans="1:14">
      <c r="A3421" s="6">
        <v>2024</v>
      </c>
      <c r="B3421" s="6">
        <v>4</v>
      </c>
      <c r="C3421" s="6" t="s">
        <v>63</v>
      </c>
      <c r="D3421" s="6" t="s">
        <v>824</v>
      </c>
      <c r="E3421" s="6" t="s">
        <v>825</v>
      </c>
      <c r="F3421" s="6" t="str">
        <f>IF($M3421="PADD I","PADD 1",IF($M3421="PADD II","PADD 2",IF($M3421="PADD III","PADD 3",IF($M3421="PADD IV","PADD 4",IF($M3421="PADD V","PADD 5","")))))</f>
        <v>PADD 1</v>
      </c>
      <c r="G3421" s="6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6" t="s">
        <v>426</v>
      </c>
      <c r="I3421" s="6" t="s">
        <v>106</v>
      </c>
      <c r="J3421" s="6" t="s">
        <v>398</v>
      </c>
      <c r="K3421" s="10">
        <v>69.59999999999999</v>
      </c>
      <c r="L3421" s="10">
        <v>80</v>
      </c>
      <c r="M3421" s="6" t="s">
        <v>463</v>
      </c>
      <c r="N3421" s="6" t="str">
        <f>IF(OR($G3421="FCC",$G3421="Hydrocracker",$G3421="Reformer"),IF(COUNTIFS($D:$D,$D3421,$A:$A,$A3421,$B:$B,$B3421,$G:$G,"CDU",$J:$J,"PLANNED")&gt;0,"tied","standalone"),"")</f>
        <v>tied</v>
      </c>
    </row>
    <row r="3422" spans="1:14">
      <c r="A3422" s="6">
        <v>2024</v>
      </c>
      <c r="B3422" s="6">
        <v>4</v>
      </c>
      <c r="C3422" s="6" t="s">
        <v>63</v>
      </c>
      <c r="D3422" s="6" t="s">
        <v>51</v>
      </c>
      <c r="E3422" s="6" t="s">
        <v>431</v>
      </c>
      <c r="F3422" s="6" t="str">
        <f>IF($M3422="PADD I","PADD 1",IF($M3422="PADD II","PADD 2",IF($M3422="PADD III","PADD 3",IF($M3422="PADD IV","PADD 4",IF($M3422="PADD V","PADD 5","")))))</f>
        <v>PADD 3</v>
      </c>
      <c r="G3422" s="6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6" t="s">
        <v>39</v>
      </c>
      <c r="I3422" s="6" t="s">
        <v>819</v>
      </c>
      <c r="J3422" s="6" t="s">
        <v>398</v>
      </c>
      <c r="K3422" s="10">
        <v>67.51000000000001</v>
      </c>
      <c r="L3422" s="10">
        <v>157</v>
      </c>
      <c r="M3422" s="6" t="s">
        <v>421</v>
      </c>
      <c r="N3422" s="6">
        <f>IF(OR($G3422="FCC",$G3422="Hydrocracker",$G3422="Reformer"),IF(COUNTIFS($D:$D,$D3422,$A:$A,$A3422,$B:$B,$B3422,$G:$G,"CDU",$J:$J,"PLANNED")&gt;0,"tied","standalone"),"")</f>
        <v/>
      </c>
    </row>
    <row r="3423" spans="1:14">
      <c r="A3423" s="6">
        <v>2024</v>
      </c>
      <c r="B3423" s="6">
        <v>4</v>
      </c>
      <c r="C3423" s="6" t="s">
        <v>63</v>
      </c>
      <c r="D3423" s="6" t="s">
        <v>445</v>
      </c>
      <c r="E3423" s="6" t="s">
        <v>446</v>
      </c>
      <c r="F3423" s="6" t="str">
        <f>IF($M3423="PADD I","PADD 1",IF($M3423="PADD II","PADD 2",IF($M3423="PADD III","PADD 3",IF($M3423="PADD IV","PADD 4",IF($M3423="PADD V","PADD 5","")))))</f>
        <v>PADD 3</v>
      </c>
      <c r="G3423" s="6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6" t="s">
        <v>494</v>
      </c>
      <c r="I3423" s="6" t="s">
        <v>562</v>
      </c>
      <c r="J3423" s="6" t="s">
        <v>394</v>
      </c>
      <c r="K3423" s="10">
        <v>67</v>
      </c>
      <c r="L3423" s="10">
        <v>67</v>
      </c>
      <c r="M3423" s="6" t="s">
        <v>421</v>
      </c>
      <c r="N3423" s="6" t="str">
        <f>IF(OR($G3423="FCC",$G3423="Hydrocracker",$G3423="Reformer"),IF(COUNTIFS($D:$D,$D3423,$A:$A,$A3423,$B:$B,$B3423,$G:$G,"CDU",$J:$J,"PLANNED")&gt;0,"tied","standalone"),"")</f>
        <v>tied</v>
      </c>
    </row>
    <row r="3424" spans="1:14">
      <c r="A3424" s="6">
        <v>2024</v>
      </c>
      <c r="B3424" s="6">
        <v>4</v>
      </c>
      <c r="C3424" s="6" t="s">
        <v>63</v>
      </c>
      <c r="D3424" s="6" t="s">
        <v>458</v>
      </c>
      <c r="E3424" s="6" t="s">
        <v>459</v>
      </c>
      <c r="F3424" s="6" t="str">
        <f>IF($M3424="PADD I","PADD 1",IF($M3424="PADD II","PADD 2",IF($M3424="PADD III","PADD 3",IF($M3424="PADD IV","PADD 4",IF($M3424="PADD V","PADD 5","")))))</f>
        <v>PADD 3</v>
      </c>
      <c r="G3424" s="6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6" t="s">
        <v>39</v>
      </c>
      <c r="I3424" s="6" t="s">
        <v>460</v>
      </c>
      <c r="J3424" s="6" t="s">
        <v>394</v>
      </c>
      <c r="K3424" s="10">
        <v>64</v>
      </c>
      <c r="L3424" s="10">
        <v>80</v>
      </c>
      <c r="M3424" s="6" t="s">
        <v>421</v>
      </c>
      <c r="N3424" s="6">
        <f>IF(OR($G3424="FCC",$G3424="Hydrocracker",$G3424="Reformer"),IF(COUNTIFS($D:$D,$D3424,$A:$A,$A3424,$B:$B,$B3424,$G:$G,"CDU",$J:$J,"PLANNED")&gt;0,"tied","standalone"),"")</f>
        <v/>
      </c>
    </row>
    <row r="3425" spans="1:14">
      <c r="A3425" s="6">
        <v>2024</v>
      </c>
      <c r="B3425" s="6">
        <v>4</v>
      </c>
      <c r="C3425" s="6" t="s">
        <v>63</v>
      </c>
      <c r="D3425" s="6" t="s">
        <v>445</v>
      </c>
      <c r="E3425" s="6" t="s">
        <v>446</v>
      </c>
      <c r="F3425" s="6" t="str">
        <f>IF($M3425="PADD I","PADD 1",IF($M3425="PADD II","PADD 2",IF($M3425="PADD III","PADD 3",IF($M3425="PADD IV","PADD 4",IF($M3425="PADD V","PADD 5","")))))</f>
        <v>PADD 3</v>
      </c>
      <c r="G3425" s="6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6" t="s">
        <v>39</v>
      </c>
      <c r="I3425" s="6" t="s">
        <v>560</v>
      </c>
      <c r="J3425" s="6" t="s">
        <v>398</v>
      </c>
      <c r="K3425" s="10">
        <v>63</v>
      </c>
      <c r="L3425" s="10">
        <v>70</v>
      </c>
      <c r="M3425" s="6" t="s">
        <v>421</v>
      </c>
      <c r="N3425" s="6">
        <f>IF(OR($G3425="FCC",$G3425="Hydrocracker",$G3425="Reformer"),IF(COUNTIFS($D:$D,$D3425,$A:$A,$A3425,$B:$B,$B3425,$G:$G,"CDU",$J:$J,"PLANNED")&gt;0,"tied","standalone"),"")</f>
        <v/>
      </c>
    </row>
    <row r="3426" spans="1:14">
      <c r="A3426" s="6">
        <v>2024</v>
      </c>
      <c r="B3426" s="6">
        <v>4</v>
      </c>
      <c r="C3426" s="6" t="s">
        <v>63</v>
      </c>
      <c r="D3426" s="6" t="s">
        <v>440</v>
      </c>
      <c r="E3426" s="6" t="s">
        <v>441</v>
      </c>
      <c r="F3426" s="6" t="str">
        <f>IF($M3426="PADD I","PADD 1",IF($M3426="PADD II","PADD 2",IF($M3426="PADD III","PADD 3",IF($M3426="PADD IV","PADD 4",IF($M3426="PADD V","PADD 5","")))))</f>
        <v>PADD 3</v>
      </c>
      <c r="G3426" s="6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6" t="s">
        <v>485</v>
      </c>
      <c r="I3426" s="6" t="s">
        <v>1187</v>
      </c>
      <c r="J3426" s="6" t="s">
        <v>398</v>
      </c>
      <c r="K3426" s="10">
        <v>60.99</v>
      </c>
      <c r="L3426" s="10">
        <v>107</v>
      </c>
      <c r="M3426" s="6" t="s">
        <v>421</v>
      </c>
      <c r="N3426" s="6">
        <f>IF(OR($G3426="FCC",$G3426="Hydrocracker",$G3426="Reformer"),IF(COUNTIFS($D:$D,$D3426,$A:$A,$A3426,$B:$B,$B3426,$G:$G,"CDU",$J:$J,"PLANNED")&gt;0,"tied","standalone"),"")</f>
        <v/>
      </c>
    </row>
    <row r="3427" spans="1:14">
      <c r="A3427" s="6">
        <v>2024</v>
      </c>
      <c r="B3427" s="6">
        <v>4</v>
      </c>
      <c r="C3427" s="6" t="s">
        <v>63</v>
      </c>
      <c r="D3427" s="6" t="s">
        <v>465</v>
      </c>
      <c r="E3427" s="6" t="s">
        <v>466</v>
      </c>
      <c r="F3427" s="6" t="str">
        <f>IF($M3427="PADD I","PADD 1",IF($M3427="PADD II","PADD 2",IF($M3427="PADD III","PADD 3",IF($M3427="PADD IV","PADD 4",IF($M3427="PADD V","PADD 5","")))))</f>
        <v>PADD 3</v>
      </c>
      <c r="G3427" s="6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6" t="s">
        <v>39</v>
      </c>
      <c r="I3427" s="6" t="s">
        <v>1216</v>
      </c>
      <c r="J3427" s="6" t="s">
        <v>394</v>
      </c>
      <c r="K3427" s="10">
        <v>60</v>
      </c>
      <c r="L3427" s="10">
        <v>120</v>
      </c>
      <c r="M3427" s="6" t="s">
        <v>421</v>
      </c>
      <c r="N3427" s="6">
        <f>IF(OR($G3427="FCC",$G3427="Hydrocracker",$G3427="Reformer"),IF(COUNTIFS($D:$D,$D3427,$A:$A,$A3427,$B:$B,$B3427,$G:$G,"CDU",$J:$J,"PLANNED")&gt;0,"tied","standalone"),"")</f>
        <v/>
      </c>
    </row>
    <row r="3428" spans="1:14">
      <c r="A3428" s="6">
        <v>2024</v>
      </c>
      <c r="B3428" s="6">
        <v>4</v>
      </c>
      <c r="C3428" s="6" t="s">
        <v>63</v>
      </c>
      <c r="D3428" s="6" t="s">
        <v>465</v>
      </c>
      <c r="E3428" s="6" t="s">
        <v>466</v>
      </c>
      <c r="F3428" s="6" t="str">
        <f>IF($M3428="PADD I","PADD 1",IF($M3428="PADD II","PADD 2",IF($M3428="PADD III","PADD 3",IF($M3428="PADD IV","PADD 4",IF($M3428="PADD V","PADD 5","")))))</f>
        <v>PADD 3</v>
      </c>
      <c r="G3428" s="6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6" t="s">
        <v>39</v>
      </c>
      <c r="I3428" s="6" t="s">
        <v>134</v>
      </c>
      <c r="J3428" s="6" t="s">
        <v>398</v>
      </c>
      <c r="K3428" s="10">
        <v>57.24</v>
      </c>
      <c r="L3428" s="10">
        <v>108</v>
      </c>
      <c r="M3428" s="6" t="s">
        <v>421</v>
      </c>
      <c r="N3428" s="6">
        <f>IF(OR($G3428="FCC",$G3428="Hydrocracker",$G3428="Reformer"),IF(COUNTIFS($D:$D,$D3428,$A:$A,$A3428,$B:$B,$B3428,$G:$G,"CDU",$J:$J,"PLANNED")&gt;0,"tied","standalone"),"")</f>
        <v/>
      </c>
    </row>
    <row r="3429" spans="1:14">
      <c r="A3429" s="6">
        <v>2024</v>
      </c>
      <c r="B3429" s="6">
        <v>4</v>
      </c>
      <c r="C3429" s="6" t="s">
        <v>63</v>
      </c>
      <c r="D3429" s="6" t="s">
        <v>51</v>
      </c>
      <c r="E3429" s="6" t="s">
        <v>431</v>
      </c>
      <c r="F3429" s="6" t="str">
        <f>IF($M3429="PADD I","PADD 1",IF($M3429="PADD II","PADD 2",IF($M3429="PADD III","PADD 3",IF($M3429="PADD IV","PADD 4",IF($M3429="PADD V","PADD 5","")))))</f>
        <v>PADD 3</v>
      </c>
      <c r="G3429" s="6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6" t="s">
        <v>471</v>
      </c>
      <c r="I3429" s="6" t="s">
        <v>1136</v>
      </c>
      <c r="J3429" s="6" t="s">
        <v>394</v>
      </c>
      <c r="K3429" s="10">
        <v>57</v>
      </c>
      <c r="L3429" s="10">
        <v>57</v>
      </c>
      <c r="M3429" s="6" t="s">
        <v>421</v>
      </c>
      <c r="N3429" s="6" t="str">
        <f>IF(OR($G3429="FCC",$G3429="Hydrocracker",$G3429="Reformer"),IF(COUNTIFS($D:$D,$D3429,$A:$A,$A3429,$B:$B,$B3429,$G:$G,"CDU",$J:$J,"PLANNED")&gt;0,"tied","standalone"),"")</f>
        <v>tied</v>
      </c>
    </row>
    <row r="3430" spans="1:14">
      <c r="A3430" s="6">
        <v>2024</v>
      </c>
      <c r="B3430" s="6">
        <v>4</v>
      </c>
      <c r="C3430" s="6" t="s">
        <v>63</v>
      </c>
      <c r="D3430" s="6" t="s">
        <v>52</v>
      </c>
      <c r="E3430" s="6" t="s">
        <v>441</v>
      </c>
      <c r="F3430" s="6" t="str">
        <f>IF($M3430="PADD I","PADD 1",IF($M3430="PADD II","PADD 2",IF($M3430="PADD III","PADD 3",IF($M3430="PADD IV","PADD 4",IF($M3430="PADD V","PADD 5","")))))</f>
        <v>PADD 5</v>
      </c>
      <c r="G3430" s="6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6" t="s">
        <v>428</v>
      </c>
      <c r="I3430" s="6" t="s">
        <v>1085</v>
      </c>
      <c r="J3430" s="6" t="s">
        <v>394</v>
      </c>
      <c r="K3430" s="10">
        <v>55.65</v>
      </c>
      <c r="L3430" s="10">
        <v>105</v>
      </c>
      <c r="M3430" s="6" t="s">
        <v>436</v>
      </c>
      <c r="N3430" s="6">
        <f>IF(OR($G3430="FCC",$G3430="Hydrocracker",$G3430="Reformer"),IF(COUNTIFS($D:$D,$D3430,$A:$A,$A3430,$B:$B,$B3430,$G:$G,"CDU",$J:$J,"PLANNED")&gt;0,"tied","standalone"),"")</f>
        <v/>
      </c>
    </row>
    <row r="3431" spans="1:14">
      <c r="A3431" s="6">
        <v>2024</v>
      </c>
      <c r="B3431" s="6">
        <v>4</v>
      </c>
      <c r="C3431" s="6" t="s">
        <v>63</v>
      </c>
      <c r="D3431" s="6" t="s">
        <v>773</v>
      </c>
      <c r="E3431" s="6" t="s">
        <v>774</v>
      </c>
      <c r="F3431" s="6" t="str">
        <f>IF($M3431="PADD I","PADD 1",IF($M3431="PADD II","PADD 2",IF($M3431="PADD III","PADD 3",IF($M3431="PADD IV","PADD 4",IF($M3431="PADD V","PADD 5","")))))</f>
        <v>PADD 4</v>
      </c>
      <c r="G3431" s="6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6" t="s">
        <v>39</v>
      </c>
      <c r="I3431" s="6" t="s">
        <v>82</v>
      </c>
      <c r="J3431" s="6" t="s">
        <v>398</v>
      </c>
      <c r="K3431" s="10">
        <v>53.94</v>
      </c>
      <c r="L3431" s="10">
        <v>58</v>
      </c>
      <c r="M3431" s="6" t="s">
        <v>480</v>
      </c>
      <c r="N3431" s="6">
        <f>IF(OR($G3431="FCC",$G3431="Hydrocracker",$G3431="Reformer"),IF(COUNTIFS($D:$D,$D3431,$A:$A,$A3431,$B:$B,$B3431,$G:$G,"CDU",$J:$J,"PLANNED")&gt;0,"tied","standalone"),"")</f>
        <v/>
      </c>
    </row>
    <row r="3432" spans="1:14">
      <c r="A3432" s="6">
        <v>2024</v>
      </c>
      <c r="B3432" s="6">
        <v>4</v>
      </c>
      <c r="C3432" s="6" t="s">
        <v>63</v>
      </c>
      <c r="D3432" s="6" t="s">
        <v>382</v>
      </c>
      <c r="E3432" s="6" t="s">
        <v>431</v>
      </c>
      <c r="F3432" s="6" t="str">
        <f>IF($M3432="PADD I","PADD 1",IF($M3432="PADD II","PADD 2",IF($M3432="PADD III","PADD 3",IF($M3432="PADD IV","PADD 4",IF($M3432="PADD V","PADD 5","")))))</f>
        <v>PADD 3</v>
      </c>
      <c r="G3432" s="6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6" t="s">
        <v>39</v>
      </c>
      <c r="I3432" s="6" t="s">
        <v>587</v>
      </c>
      <c r="J3432" s="6" t="s">
        <v>394</v>
      </c>
      <c r="K3432" s="10">
        <v>51.3</v>
      </c>
      <c r="L3432" s="10">
        <v>90</v>
      </c>
      <c r="M3432" s="6" t="s">
        <v>421</v>
      </c>
      <c r="N3432" s="6">
        <f>IF(OR($G3432="FCC",$G3432="Hydrocracker",$G3432="Reformer"),IF(COUNTIFS($D:$D,$D3432,$A:$A,$A3432,$B:$B,$B3432,$G:$G,"CDU",$J:$J,"PLANNED")&gt;0,"tied","standalone"),"")</f>
        <v/>
      </c>
    </row>
    <row r="3433" spans="1:14">
      <c r="A3433" s="6">
        <v>2024</v>
      </c>
      <c r="B3433" s="6">
        <v>4</v>
      </c>
      <c r="C3433" s="6" t="s">
        <v>63</v>
      </c>
      <c r="D3433" s="6" t="s">
        <v>370</v>
      </c>
      <c r="E3433" s="6" t="s">
        <v>431</v>
      </c>
      <c r="F3433" s="6" t="str">
        <f>IF($M3433="PADD I","PADD 1",IF($M3433="PADD II","PADD 2",IF($M3433="PADD III","PADD 3",IF($M3433="PADD IV","PADD 4",IF($M3433="PADD V","PADD 5","")))))</f>
        <v>PADD 2</v>
      </c>
      <c r="G3433" s="6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6" t="s">
        <v>44</v>
      </c>
      <c r="I3433" s="6" t="s">
        <v>794</v>
      </c>
      <c r="J3433" s="6" t="s">
        <v>398</v>
      </c>
      <c r="K3433" s="10">
        <v>50</v>
      </c>
      <c r="L3433" s="10">
        <v>50</v>
      </c>
      <c r="M3433" s="6" t="s">
        <v>425</v>
      </c>
      <c r="N3433" s="6">
        <f>IF(OR($G3433="FCC",$G3433="Hydrocracker",$G3433="Reformer"),IF(COUNTIFS($D:$D,$D3433,$A:$A,$A3433,$B:$B,$B3433,$G:$G,"CDU",$J:$J,"PLANNED")&gt;0,"tied","standalone"),"")</f>
        <v/>
      </c>
    </row>
    <row r="3434" spans="1:14">
      <c r="A3434" s="6">
        <v>2024</v>
      </c>
      <c r="B3434" s="6">
        <v>4</v>
      </c>
      <c r="C3434" s="6" t="s">
        <v>63</v>
      </c>
      <c r="D3434" s="6" t="s">
        <v>465</v>
      </c>
      <c r="E3434" s="6" t="s">
        <v>466</v>
      </c>
      <c r="F3434" s="6" t="str">
        <f>IF($M3434="PADD I","PADD 1",IF($M3434="PADD II","PADD 2",IF($M3434="PADD III","PADD 3",IF($M3434="PADD IV","PADD 4",IF($M3434="PADD V","PADD 5","")))))</f>
        <v>PADD 3</v>
      </c>
      <c r="G3434" s="6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6" t="s">
        <v>426</v>
      </c>
      <c r="I3434" s="6" t="s">
        <v>1045</v>
      </c>
      <c r="J3434" s="6" t="s">
        <v>398</v>
      </c>
      <c r="K3434" s="10">
        <v>50</v>
      </c>
      <c r="L3434" s="10">
        <v>50</v>
      </c>
      <c r="M3434" s="6" t="s">
        <v>421</v>
      </c>
      <c r="N3434" s="6" t="str">
        <f>IF(OR($G3434="FCC",$G3434="Hydrocracker",$G3434="Reformer"),IF(COUNTIFS($D:$D,$D3434,$A:$A,$A3434,$B:$B,$B3434,$G:$G,"CDU",$J:$J,"PLANNED")&gt;0,"tied","standalone"),"")</f>
        <v>tied</v>
      </c>
    </row>
    <row r="3435" spans="1:14">
      <c r="A3435" s="6">
        <v>2024</v>
      </c>
      <c r="B3435" s="6">
        <v>4</v>
      </c>
      <c r="C3435" s="6" t="s">
        <v>63</v>
      </c>
      <c r="D3435" s="6" t="s">
        <v>395</v>
      </c>
      <c r="E3435" s="6" t="s">
        <v>433</v>
      </c>
      <c r="F3435" s="6" t="str">
        <f>IF($M3435="PADD I","PADD 1",IF($M3435="PADD II","PADD 2",IF($M3435="PADD III","PADD 3",IF($M3435="PADD IV","PADD 4",IF($M3435="PADD V","PADD 5","")))))</f>
        <v>PADD 2</v>
      </c>
      <c r="G3435" s="6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6" t="s">
        <v>39</v>
      </c>
      <c r="I3435" s="6" t="s">
        <v>1108</v>
      </c>
      <c r="J3435" s="6" t="s">
        <v>398</v>
      </c>
      <c r="K3435" s="10">
        <v>46.11</v>
      </c>
      <c r="L3435" s="10">
        <v>87</v>
      </c>
      <c r="M3435" s="6" t="s">
        <v>425</v>
      </c>
      <c r="N3435" s="6">
        <f>IF(OR($G3435="FCC",$G3435="Hydrocracker",$G3435="Reformer"),IF(COUNTIFS($D:$D,$D3435,$A:$A,$A3435,$B:$B,$B3435,$G:$G,"CDU",$J:$J,"PLANNED")&gt;0,"tied","standalone"),"")</f>
        <v/>
      </c>
    </row>
    <row r="3436" spans="1:14">
      <c r="A3436" s="6">
        <v>2024</v>
      </c>
      <c r="B3436" s="6">
        <v>4</v>
      </c>
      <c r="C3436" s="6" t="s">
        <v>63</v>
      </c>
      <c r="D3436" s="6" t="s">
        <v>824</v>
      </c>
      <c r="E3436" s="6" t="s">
        <v>825</v>
      </c>
      <c r="F3436" s="6" t="str">
        <f>IF($M3436="PADD I","PADD 1",IF($M3436="PADD II","PADD 2",IF($M3436="PADD III","PADD 3",IF($M3436="PADD IV","PADD 4",IF($M3436="PADD V","PADD 5","")))))</f>
        <v>PADD 1</v>
      </c>
      <c r="G3436" s="6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6" t="s">
        <v>39</v>
      </c>
      <c r="I3436" s="6" t="s">
        <v>82</v>
      </c>
      <c r="J3436" s="6" t="s">
        <v>398</v>
      </c>
      <c r="K3436" s="10">
        <v>45.675</v>
      </c>
      <c r="L3436" s="10">
        <v>52.5</v>
      </c>
      <c r="M3436" s="6" t="s">
        <v>463</v>
      </c>
      <c r="N3436" s="6">
        <f>IF(OR($G3436="FCC",$G3436="Hydrocracker",$G3436="Reformer"),IF(COUNTIFS($D:$D,$D3436,$A:$A,$A3436,$B:$B,$B3436,$G:$G,"CDU",$J:$J,"PLANNED")&gt;0,"tied","standalone"),"")</f>
        <v/>
      </c>
    </row>
    <row r="3437" spans="1:14">
      <c r="A3437" s="6">
        <v>2024</v>
      </c>
      <c r="B3437" s="6">
        <v>4</v>
      </c>
      <c r="C3437" s="6" t="s">
        <v>63</v>
      </c>
      <c r="D3437" s="6" t="s">
        <v>370</v>
      </c>
      <c r="E3437" s="6" t="s">
        <v>431</v>
      </c>
      <c r="F3437" s="6" t="str">
        <f>IF($M3437="PADD I","PADD 1",IF($M3437="PADD II","PADD 2",IF($M3437="PADD III","PADD 3",IF($M3437="PADD IV","PADD 4",IF($M3437="PADD V","PADD 5","")))))</f>
        <v>PADD 2</v>
      </c>
      <c r="G3437" s="6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6" t="s">
        <v>485</v>
      </c>
      <c r="I3437" s="6" t="s">
        <v>491</v>
      </c>
      <c r="J3437" s="6" t="s">
        <v>394</v>
      </c>
      <c r="K3437" s="10">
        <v>44.8</v>
      </c>
      <c r="L3437" s="10">
        <v>56</v>
      </c>
      <c r="M3437" s="6" t="s">
        <v>425</v>
      </c>
      <c r="N3437" s="6">
        <f>IF(OR($G3437="FCC",$G3437="Hydrocracker",$G3437="Reformer"),IF(COUNTIFS($D:$D,$D3437,$A:$A,$A3437,$B:$B,$B3437,$G:$G,"CDU",$J:$J,"PLANNED")&gt;0,"tied","standalone"),"")</f>
        <v/>
      </c>
    </row>
    <row r="3438" spans="1:14">
      <c r="A3438" s="6">
        <v>2024</v>
      </c>
      <c r="B3438" s="6">
        <v>4</v>
      </c>
      <c r="C3438" s="6" t="s">
        <v>63</v>
      </c>
      <c r="D3438" s="6" t="s">
        <v>458</v>
      </c>
      <c r="E3438" s="6" t="s">
        <v>459</v>
      </c>
      <c r="F3438" s="6" t="str">
        <f>IF($M3438="PADD I","PADD 1",IF($M3438="PADD II","PADD 2",IF($M3438="PADD III","PADD 3",IF($M3438="PADD IV","PADD 4",IF($M3438="PADD V","PADD 5","")))))</f>
        <v>PADD 3</v>
      </c>
      <c r="G3438" s="6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6" t="s">
        <v>428</v>
      </c>
      <c r="I3438" s="6" t="s">
        <v>539</v>
      </c>
      <c r="J3438" s="6" t="s">
        <v>394</v>
      </c>
      <c r="K3438" s="10">
        <v>43.8</v>
      </c>
      <c r="L3438" s="10">
        <v>60</v>
      </c>
      <c r="M3438" s="6" t="s">
        <v>421</v>
      </c>
      <c r="N3438" s="6">
        <f>IF(OR($G3438="FCC",$G3438="Hydrocracker",$G3438="Reformer"),IF(COUNTIFS($D:$D,$D3438,$A:$A,$A3438,$B:$B,$B3438,$G:$G,"CDU",$J:$J,"PLANNED")&gt;0,"tied","standalone"),"")</f>
        <v/>
      </c>
    </row>
    <row r="3439" spans="1:14">
      <c r="A3439" s="6">
        <v>2024</v>
      </c>
      <c r="B3439" s="6">
        <v>4</v>
      </c>
      <c r="C3439" s="6" t="s">
        <v>63</v>
      </c>
      <c r="D3439" s="6" t="s">
        <v>720</v>
      </c>
      <c r="E3439" s="6" t="s">
        <v>455</v>
      </c>
      <c r="F3439" s="6" t="str">
        <f>IF($M3439="PADD I","PADD 1",IF($M3439="PADD II","PADD 2",IF($M3439="PADD III","PADD 3",IF($M3439="PADD IV","PADD 4",IF($M3439="PADD V","PADD 5","")))))</f>
        <v>PADD 2</v>
      </c>
      <c r="G3439" s="6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6" t="s">
        <v>39</v>
      </c>
      <c r="I3439" s="6" t="s">
        <v>139</v>
      </c>
      <c r="J3439" s="6" t="s">
        <v>398</v>
      </c>
      <c r="K3439" s="10">
        <v>42.4</v>
      </c>
      <c r="L3439" s="10">
        <v>80</v>
      </c>
      <c r="M3439" s="6" t="s">
        <v>425</v>
      </c>
      <c r="N3439" s="6">
        <f>IF(OR($G3439="FCC",$G3439="Hydrocracker",$G3439="Reformer"),IF(COUNTIFS($D:$D,$D3439,$A:$A,$A3439,$B:$B,$B3439,$G:$G,"CDU",$J:$J,"PLANNED")&gt;0,"tied","standalone"),"")</f>
        <v/>
      </c>
    </row>
    <row r="3440" spans="1:14">
      <c r="A3440" s="6">
        <v>2024</v>
      </c>
      <c r="B3440" s="6">
        <v>4</v>
      </c>
      <c r="C3440" s="6" t="s">
        <v>63</v>
      </c>
      <c r="D3440" s="6" t="s">
        <v>465</v>
      </c>
      <c r="E3440" s="6" t="s">
        <v>466</v>
      </c>
      <c r="F3440" s="6" t="str">
        <f>IF($M3440="PADD I","PADD 1",IF($M3440="PADD II","PADD 2",IF($M3440="PADD III","PADD 3",IF($M3440="PADD IV","PADD 4",IF($M3440="PADD V","PADD 5","")))))</f>
        <v>PADD 3</v>
      </c>
      <c r="G3440" s="6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6" t="s">
        <v>426</v>
      </c>
      <c r="I3440" s="6" t="s">
        <v>1172</v>
      </c>
      <c r="J3440" s="6" t="s">
        <v>394</v>
      </c>
      <c r="K3440" s="10">
        <v>42</v>
      </c>
      <c r="L3440" s="10">
        <v>42</v>
      </c>
      <c r="M3440" s="6" t="s">
        <v>421</v>
      </c>
      <c r="N3440" s="6" t="str">
        <f>IF(OR($G3440="FCC",$G3440="Hydrocracker",$G3440="Reformer"),IF(COUNTIFS($D:$D,$D3440,$A:$A,$A3440,$B:$B,$B3440,$G:$G,"CDU",$J:$J,"PLANNED")&gt;0,"tied","standalone"),"")</f>
        <v>tied</v>
      </c>
    </row>
    <row r="3441" spans="1:14">
      <c r="A3441" s="6">
        <v>2024</v>
      </c>
      <c r="B3441" s="6">
        <v>4</v>
      </c>
      <c r="C3441" s="6" t="s">
        <v>63</v>
      </c>
      <c r="D3441" s="6" t="s">
        <v>458</v>
      </c>
      <c r="E3441" s="6" t="s">
        <v>459</v>
      </c>
      <c r="F3441" s="6" t="str">
        <f>IF($M3441="PADD I","PADD 1",IF($M3441="PADD II","PADD 2",IF($M3441="PADD III","PADD 3",IF($M3441="PADD IV","PADD 4",IF($M3441="PADD V","PADD 5","")))))</f>
        <v>PADD 3</v>
      </c>
      <c r="G3441" s="6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6" t="s">
        <v>428</v>
      </c>
      <c r="I3441" s="6" t="s">
        <v>556</v>
      </c>
      <c r="J3441" s="6" t="s">
        <v>394</v>
      </c>
      <c r="K3441" s="10">
        <v>41.6</v>
      </c>
      <c r="L3441" s="10">
        <v>52</v>
      </c>
      <c r="M3441" s="6" t="s">
        <v>421</v>
      </c>
      <c r="N3441" s="6">
        <f>IF(OR($G3441="FCC",$G3441="Hydrocracker",$G3441="Reformer"),IF(COUNTIFS($D:$D,$D3441,$A:$A,$A3441,$B:$B,$B3441,$G:$G,"CDU",$J:$J,"PLANNED")&gt;0,"tied","standalone"),"")</f>
        <v/>
      </c>
    </row>
    <row r="3442" spans="1:14">
      <c r="A3442" s="6">
        <v>2024</v>
      </c>
      <c r="B3442" s="6">
        <v>4</v>
      </c>
      <c r="C3442" s="6" t="s">
        <v>63</v>
      </c>
      <c r="D3442" s="6" t="s">
        <v>370</v>
      </c>
      <c r="E3442" s="6" t="s">
        <v>431</v>
      </c>
      <c r="F3442" s="6" t="str">
        <f>IF($M3442="PADD I","PADD 1",IF($M3442="PADD II","PADD 2",IF($M3442="PADD III","PADD 3",IF($M3442="PADD IV","PADD 4",IF($M3442="PADD V","PADD 5","")))))</f>
        <v>PADD 2</v>
      </c>
      <c r="G3442" s="6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6" t="s">
        <v>471</v>
      </c>
      <c r="I3442" s="6" t="s">
        <v>240</v>
      </c>
      <c r="J3442" s="6" t="s">
        <v>394</v>
      </c>
      <c r="K3442" s="10">
        <v>41.5</v>
      </c>
      <c r="L3442" s="10">
        <v>50</v>
      </c>
      <c r="M3442" s="6" t="s">
        <v>425</v>
      </c>
      <c r="N3442" s="6" t="str">
        <f>IF(OR($G3442="FCC",$G3442="Hydrocracker",$G3442="Reformer"),IF(COUNTIFS($D:$D,$D3442,$A:$A,$A3442,$B:$B,$B3442,$G:$G,"CDU",$J:$J,"PLANNED")&gt;0,"tied","standalone"),"")</f>
        <v>tied</v>
      </c>
    </row>
    <row r="3443" spans="1:14">
      <c r="A3443" s="6">
        <v>2024</v>
      </c>
      <c r="B3443" s="6">
        <v>4</v>
      </c>
      <c r="C3443" s="6" t="s">
        <v>63</v>
      </c>
      <c r="D3443" s="6" t="s">
        <v>378</v>
      </c>
      <c r="E3443" s="6" t="s">
        <v>477</v>
      </c>
      <c r="F3443" s="6" t="str">
        <f>IF($M3443="PADD I","PADD 1",IF($M3443="PADD II","PADD 2",IF($M3443="PADD III","PADD 3",IF($M3443="PADD IV","PADD 4",IF($M3443="PADD V","PADD 5","")))))</f>
        <v>PADD 3</v>
      </c>
      <c r="G3443" s="6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6" t="s">
        <v>426</v>
      </c>
      <c r="I3443" s="6" t="s">
        <v>478</v>
      </c>
      <c r="J3443" s="6" t="s">
        <v>394</v>
      </c>
      <c r="K3443" s="10">
        <v>40.8</v>
      </c>
      <c r="L3443" s="10">
        <v>68</v>
      </c>
      <c r="M3443" s="6" t="s">
        <v>421</v>
      </c>
      <c r="N3443" s="6" t="str">
        <f>IF(OR($G3443="FCC",$G3443="Hydrocracker",$G3443="Reformer"),IF(COUNTIFS($D:$D,$D3443,$A:$A,$A3443,$B:$B,$B3443,$G:$G,"CDU",$J:$J,"PLANNED")&gt;0,"tied","standalone"),"")</f>
        <v>standalone</v>
      </c>
    </row>
    <row r="3444" spans="1:14">
      <c r="A3444" s="6">
        <v>2024</v>
      </c>
      <c r="B3444" s="6">
        <v>4</v>
      </c>
      <c r="C3444" s="6" t="s">
        <v>63</v>
      </c>
      <c r="D3444" s="6" t="s">
        <v>540</v>
      </c>
      <c r="E3444" s="6" t="s">
        <v>541</v>
      </c>
      <c r="F3444" s="6" t="str">
        <f>IF($M3444="PADD I","PADD 1",IF($M3444="PADD II","PADD 2",IF($M3444="PADD III","PADD 3",IF($M3444="PADD IV","PADD 4",IF($M3444="PADD V","PADD 5","")))))</f>
        <v>PADD 3</v>
      </c>
      <c r="G3444" s="6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6" t="s">
        <v>39</v>
      </c>
      <c r="I3444" s="6" t="s">
        <v>542</v>
      </c>
      <c r="J3444" s="6" t="s">
        <v>394</v>
      </c>
      <c r="K3444" s="10">
        <v>40</v>
      </c>
      <c r="L3444" s="10">
        <v>200</v>
      </c>
      <c r="M3444" s="6" t="s">
        <v>421</v>
      </c>
      <c r="N3444" s="6">
        <f>IF(OR($G3444="FCC",$G3444="Hydrocracker",$G3444="Reformer"),IF(COUNTIFS($D:$D,$D3444,$A:$A,$A3444,$B:$B,$B3444,$G:$G,"CDU",$J:$J,"PLANNED")&gt;0,"tied","standalone"),"")</f>
        <v/>
      </c>
    </row>
    <row r="3445" spans="1:14">
      <c r="A3445" s="6">
        <v>2024</v>
      </c>
      <c r="B3445" s="6">
        <v>4</v>
      </c>
      <c r="C3445" s="6" t="s">
        <v>63</v>
      </c>
      <c r="D3445" s="6" t="s">
        <v>849</v>
      </c>
      <c r="E3445" s="6" t="s">
        <v>441</v>
      </c>
      <c r="F3445" s="6" t="str">
        <f>IF($M3445="PADD I","PADD 1",IF($M3445="PADD II","PADD 2",IF($M3445="PADD III","PADD 3",IF($M3445="PADD IV","PADD 4",IF($M3445="PADD V","PADD 5","")))))</f>
        <v>PADD 4</v>
      </c>
      <c r="G3445" s="6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6" t="s">
        <v>39</v>
      </c>
      <c r="I3445" s="6" t="s">
        <v>1154</v>
      </c>
      <c r="J3445" s="6" t="s">
        <v>398</v>
      </c>
      <c r="K3445" s="10">
        <v>36.515</v>
      </c>
      <c r="L3445" s="10">
        <v>54.5</v>
      </c>
      <c r="M3445" s="6" t="s">
        <v>480</v>
      </c>
      <c r="N3445" s="6">
        <f>IF(OR($G3445="FCC",$G3445="Hydrocracker",$G3445="Reformer"),IF(COUNTIFS($D:$D,$D3445,$A:$A,$A3445,$B:$B,$B3445,$G:$G,"CDU",$J:$J,"PLANNED")&gt;0,"tied","standalone"),"")</f>
        <v/>
      </c>
    </row>
    <row r="3446" spans="1:14">
      <c r="A3446" s="6">
        <v>2024</v>
      </c>
      <c r="B3446" s="6">
        <v>4</v>
      </c>
      <c r="C3446" s="6" t="s">
        <v>63</v>
      </c>
      <c r="D3446" s="6" t="s">
        <v>534</v>
      </c>
      <c r="E3446" s="6" t="s">
        <v>459</v>
      </c>
      <c r="F3446" s="6" t="str">
        <f>IF($M3446="PADD I","PADD 1",IF($M3446="PADD II","PADD 2",IF($M3446="PADD III","PADD 3",IF($M3446="PADD IV","PADD 4",IF($M3446="PADD V","PADD 5","")))))</f>
        <v>PADD 3</v>
      </c>
      <c r="G3446" s="6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6" t="s">
        <v>44</v>
      </c>
      <c r="I3446" s="6" t="s">
        <v>551</v>
      </c>
      <c r="J3446" s="6" t="s">
        <v>394</v>
      </c>
      <c r="K3446" s="10">
        <v>35.035</v>
      </c>
      <c r="L3446" s="10">
        <v>45.5</v>
      </c>
      <c r="M3446" s="6" t="s">
        <v>421</v>
      </c>
      <c r="N3446" s="6">
        <f>IF(OR($G3446="FCC",$G3446="Hydrocracker",$G3446="Reformer"),IF(COUNTIFS($D:$D,$D3446,$A:$A,$A3446,$B:$B,$B3446,$G:$G,"CDU",$J:$J,"PLANNED")&gt;0,"tied","standalone"),"")</f>
        <v/>
      </c>
    </row>
    <row r="3447" spans="1:14">
      <c r="A3447" s="6">
        <v>2024</v>
      </c>
      <c r="B3447" s="6">
        <v>4</v>
      </c>
      <c r="C3447" s="6" t="s">
        <v>63</v>
      </c>
      <c r="D3447" s="6" t="s">
        <v>52</v>
      </c>
      <c r="E3447" s="6" t="s">
        <v>441</v>
      </c>
      <c r="F3447" s="6" t="str">
        <f>IF($M3447="PADD I","PADD 1",IF($M3447="PADD II","PADD 2",IF($M3447="PADD III","PADD 3",IF($M3447="PADD IV","PADD 4",IF($M3447="PADD V","PADD 5","")))))</f>
        <v>PADD 5</v>
      </c>
      <c r="G3447" s="6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6" t="s">
        <v>44</v>
      </c>
      <c r="I3447" s="6" t="s">
        <v>1217</v>
      </c>
      <c r="J3447" s="6" t="s">
        <v>398</v>
      </c>
      <c r="K3447" s="10">
        <v>35</v>
      </c>
      <c r="L3447" s="10">
        <v>70</v>
      </c>
      <c r="M3447" s="6" t="s">
        <v>436</v>
      </c>
      <c r="N3447" s="6">
        <f>IF(OR($G3447="FCC",$G3447="Hydrocracker",$G3447="Reformer"),IF(COUNTIFS($D:$D,$D3447,$A:$A,$A3447,$B:$B,$B3447,$G:$G,"CDU",$J:$J,"PLANNED")&gt;0,"tied","standalone"),"")</f>
        <v/>
      </c>
    </row>
    <row r="3448" spans="1:14">
      <c r="A3448" s="6">
        <v>2024</v>
      </c>
      <c r="B3448" s="6">
        <v>4</v>
      </c>
      <c r="C3448" s="6" t="s">
        <v>63</v>
      </c>
      <c r="D3448" s="6" t="s">
        <v>496</v>
      </c>
      <c r="E3448" s="6" t="s">
        <v>441</v>
      </c>
      <c r="F3448" s="6" t="str">
        <f>IF($M3448="PADD I","PADD 1",IF($M3448="PADD II","PADD 2",IF($M3448="PADD III","PADD 3",IF($M3448="PADD IV","PADD 4",IF($M3448="PADD V","PADD 5","")))))</f>
        <v>PADD 3</v>
      </c>
      <c r="G3448" s="6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6" t="s">
        <v>44</v>
      </c>
      <c r="I3448" s="6" t="s">
        <v>497</v>
      </c>
      <c r="J3448" s="6" t="s">
        <v>398</v>
      </c>
      <c r="K3448" s="10">
        <v>35</v>
      </c>
      <c r="L3448" s="10">
        <v>35</v>
      </c>
      <c r="M3448" s="6" t="s">
        <v>421</v>
      </c>
      <c r="N3448" s="6">
        <f>IF(OR($G3448="FCC",$G3448="Hydrocracker",$G3448="Reformer"),IF(COUNTIFS($D:$D,$D3448,$A:$A,$A3448,$B:$B,$B3448,$G:$G,"CDU",$J:$J,"PLANNED")&gt;0,"tied","standalone"),"")</f>
        <v/>
      </c>
    </row>
    <row r="3449" spans="1:14">
      <c r="A3449" s="6">
        <v>2024</v>
      </c>
      <c r="B3449" s="6">
        <v>4</v>
      </c>
      <c r="C3449" s="6" t="s">
        <v>63</v>
      </c>
      <c r="D3449" s="6" t="s">
        <v>52</v>
      </c>
      <c r="E3449" s="6" t="s">
        <v>441</v>
      </c>
      <c r="F3449" s="6" t="str">
        <f>IF($M3449="PADD I","PADD 1",IF($M3449="PADD II","PADD 2",IF($M3449="PADD III","PADD 3",IF($M3449="PADD IV","PADD 4",IF($M3449="PADD V","PADD 5","")))))</f>
        <v>PADD 5</v>
      </c>
      <c r="G3449" s="6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6" t="s">
        <v>44</v>
      </c>
      <c r="I3449" s="6" t="s">
        <v>909</v>
      </c>
      <c r="J3449" s="6" t="s">
        <v>394</v>
      </c>
      <c r="K3449" s="10">
        <v>35</v>
      </c>
      <c r="L3449" s="10">
        <v>70</v>
      </c>
      <c r="M3449" s="6" t="s">
        <v>436</v>
      </c>
      <c r="N3449" s="6">
        <f>IF(OR($G3449="FCC",$G3449="Hydrocracker",$G3449="Reformer"),IF(COUNTIFS($D:$D,$D3449,$A:$A,$A3449,$B:$B,$B3449,$G:$G,"CDU",$J:$J,"PLANNED")&gt;0,"tied","standalone"),"")</f>
        <v/>
      </c>
    </row>
    <row r="3450" spans="1:14">
      <c r="A3450" s="6">
        <v>2024</v>
      </c>
      <c r="B3450" s="6">
        <v>4</v>
      </c>
      <c r="C3450" s="6" t="s">
        <v>63</v>
      </c>
      <c r="D3450" s="6" t="s">
        <v>498</v>
      </c>
      <c r="E3450" s="6" t="s">
        <v>441</v>
      </c>
      <c r="F3450" s="6" t="str">
        <f>IF($M3450="PADD I","PADD 1",IF($M3450="PADD II","PADD 2",IF($M3450="PADD III","PADD 3",IF($M3450="PADD IV","PADD 4",IF($M3450="PADD V","PADD 5","")))))</f>
        <v>PADD 3</v>
      </c>
      <c r="G3450" s="6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6" t="s">
        <v>44</v>
      </c>
      <c r="I3450" s="6" t="s">
        <v>499</v>
      </c>
      <c r="J3450" s="6" t="s">
        <v>394</v>
      </c>
      <c r="K3450" s="10">
        <v>35</v>
      </c>
      <c r="L3450" s="10">
        <v>35</v>
      </c>
      <c r="M3450" s="6" t="s">
        <v>421</v>
      </c>
      <c r="N3450" s="6">
        <f>IF(OR($G3450="FCC",$G3450="Hydrocracker",$G3450="Reformer"),IF(COUNTIFS($D:$D,$D3450,$A:$A,$A3450,$B:$B,$B3450,$G:$G,"CDU",$J:$J,"PLANNED")&gt;0,"tied","standalone"),"")</f>
        <v/>
      </c>
    </row>
    <row r="3451" spans="1:14">
      <c r="A3451" s="6">
        <v>2024</v>
      </c>
      <c r="B3451" s="6">
        <v>4</v>
      </c>
      <c r="C3451" s="6" t="s">
        <v>63</v>
      </c>
      <c r="D3451" s="6" t="s">
        <v>395</v>
      </c>
      <c r="E3451" s="6" t="s">
        <v>433</v>
      </c>
      <c r="F3451" s="6" t="str">
        <f>IF($M3451="PADD I","PADD 1",IF($M3451="PADD II","PADD 2",IF($M3451="PADD III","PADD 3",IF($M3451="PADD IV","PADD 4",IF($M3451="PADD V","PADD 5","")))))</f>
        <v>PADD 2</v>
      </c>
      <c r="G3451" s="6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6" t="s">
        <v>44</v>
      </c>
      <c r="I3451" s="6" t="s">
        <v>444</v>
      </c>
      <c r="J3451" s="6" t="s">
        <v>398</v>
      </c>
      <c r="K3451" s="10">
        <v>34.45</v>
      </c>
      <c r="L3451" s="10">
        <v>65</v>
      </c>
      <c r="M3451" s="6" t="s">
        <v>425</v>
      </c>
      <c r="N3451" s="6">
        <f>IF(OR($G3451="FCC",$G3451="Hydrocracker",$G3451="Reformer"),IF(COUNTIFS($D:$D,$D3451,$A:$A,$A3451,$B:$B,$B3451,$G:$G,"CDU",$J:$J,"PLANNED")&gt;0,"tied","standalone"),"")</f>
        <v/>
      </c>
    </row>
    <row r="3452" spans="1:14">
      <c r="A3452" s="6">
        <v>2024</v>
      </c>
      <c r="B3452" s="6">
        <v>4</v>
      </c>
      <c r="C3452" s="6" t="s">
        <v>63</v>
      </c>
      <c r="D3452" s="6" t="s">
        <v>380</v>
      </c>
      <c r="E3452" s="6" t="s">
        <v>423</v>
      </c>
      <c r="F3452" s="6" t="str">
        <f>IF($M3452="PADD I","PADD 1",IF($M3452="PADD II","PADD 2",IF($M3452="PADD III","PADD 3",IF($M3452="PADD IV","PADD 4",IF($M3452="PADD V","PADD 5","")))))</f>
        <v>PADD 2</v>
      </c>
      <c r="G3452" s="6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6" t="s">
        <v>39</v>
      </c>
      <c r="I3452" s="6" t="s">
        <v>381</v>
      </c>
      <c r="J3452" s="6" t="s">
        <v>394</v>
      </c>
      <c r="K3452" s="10">
        <v>34.4</v>
      </c>
      <c r="L3452" s="10">
        <v>172</v>
      </c>
      <c r="M3452" s="6" t="s">
        <v>425</v>
      </c>
      <c r="N3452" s="6">
        <f>IF(OR($G3452="FCC",$G3452="Hydrocracker",$G3452="Reformer"),IF(COUNTIFS($D:$D,$D3452,$A:$A,$A3452,$B:$B,$B3452,$G:$G,"CDU",$J:$J,"PLANNED")&gt;0,"tied","standalone"),"")</f>
        <v/>
      </c>
    </row>
    <row r="3453" spans="1:14">
      <c r="A3453" s="6">
        <v>2024</v>
      </c>
      <c r="B3453" s="6">
        <v>4</v>
      </c>
      <c r="C3453" s="6" t="s">
        <v>63</v>
      </c>
      <c r="D3453" s="6" t="s">
        <v>458</v>
      </c>
      <c r="E3453" s="6" t="s">
        <v>459</v>
      </c>
      <c r="F3453" s="6" t="str">
        <f>IF($M3453="PADD I","PADD 1",IF($M3453="PADD II","PADD 2",IF($M3453="PADD III","PADD 3",IF($M3453="PADD IV","PADD 4",IF($M3453="PADD V","PADD 5","")))))</f>
        <v>PADD 3</v>
      </c>
      <c r="G3453" s="6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6" t="s">
        <v>44</v>
      </c>
      <c r="I3453" s="6" t="s">
        <v>528</v>
      </c>
      <c r="J3453" s="6" t="s">
        <v>394</v>
      </c>
      <c r="K3453" s="10">
        <v>33.6</v>
      </c>
      <c r="L3453" s="10">
        <v>42</v>
      </c>
      <c r="M3453" s="6" t="s">
        <v>421</v>
      </c>
      <c r="N3453" s="6">
        <f>IF(OR($G3453="FCC",$G3453="Hydrocracker",$G3453="Reformer"),IF(COUNTIFS($D:$D,$D3453,$A:$A,$A3453,$B:$B,$B3453,$G:$G,"CDU",$J:$J,"PLANNED")&gt;0,"tied","standalone"),"")</f>
        <v/>
      </c>
    </row>
    <row r="3454" spans="1:14">
      <c r="A3454" s="6">
        <v>2024</v>
      </c>
      <c r="B3454" s="6">
        <v>4</v>
      </c>
      <c r="C3454" s="6" t="s">
        <v>63</v>
      </c>
      <c r="D3454" s="6" t="s">
        <v>597</v>
      </c>
      <c r="E3454" s="6" t="s">
        <v>441</v>
      </c>
      <c r="F3454" s="6" t="str">
        <f>IF($M3454="PADD I","PADD 1",IF($M3454="PADD II","PADD 2",IF($M3454="PADD III","PADD 3",IF($M3454="PADD IV","PADD 4",IF($M3454="PADD V","PADD 5","")))))</f>
        <v>PADD 5</v>
      </c>
      <c r="G3454" s="6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6" t="s">
        <v>428</v>
      </c>
      <c r="I3454" s="6" t="s">
        <v>481</v>
      </c>
      <c r="J3454" s="6" t="s">
        <v>394</v>
      </c>
      <c r="K3454" s="10">
        <v>33.21</v>
      </c>
      <c r="L3454" s="10">
        <v>123</v>
      </c>
      <c r="M3454" s="6" t="s">
        <v>436</v>
      </c>
      <c r="N3454" s="6">
        <f>IF(OR($G3454="FCC",$G3454="Hydrocracker",$G3454="Reformer"),IF(COUNTIFS($D:$D,$D3454,$A:$A,$A3454,$B:$B,$B3454,$G:$G,"CDU",$J:$J,"PLANNED")&gt;0,"tied","standalone"),"")</f>
        <v/>
      </c>
    </row>
    <row r="3455" spans="1:14">
      <c r="A3455" s="6">
        <v>2024</v>
      </c>
      <c r="B3455" s="6">
        <v>4</v>
      </c>
      <c r="C3455" s="6" t="s">
        <v>63</v>
      </c>
      <c r="D3455" s="6" t="s">
        <v>49</v>
      </c>
      <c r="E3455" s="6" t="s">
        <v>438</v>
      </c>
      <c r="F3455" s="6" t="str">
        <f>IF($M3455="PADD I","PADD 1",IF($M3455="PADD II","PADD 2",IF($M3455="PADD III","PADD 3",IF($M3455="PADD IV","PADD 4",IF($M3455="PADD V","PADD 5","")))))</f>
        <v>PADD 2</v>
      </c>
      <c r="G3455" s="6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6" t="s">
        <v>39</v>
      </c>
      <c r="I3455" s="6" t="s">
        <v>770</v>
      </c>
      <c r="J3455" s="6" t="s">
        <v>398</v>
      </c>
      <c r="K3455" s="10">
        <v>33.15</v>
      </c>
      <c r="L3455" s="10">
        <v>255</v>
      </c>
      <c r="M3455" s="6" t="s">
        <v>425</v>
      </c>
      <c r="N3455" s="6">
        <f>IF(OR($G3455="FCC",$G3455="Hydrocracker",$G3455="Reformer"),IF(COUNTIFS($D:$D,$D3455,$A:$A,$A3455,$B:$B,$B3455,$G:$G,"CDU",$J:$J,"PLANNED")&gt;0,"tied","standalone"),"")</f>
        <v/>
      </c>
    </row>
    <row r="3456" spans="1:14">
      <c r="A3456" s="6">
        <v>2024</v>
      </c>
      <c r="B3456" s="6">
        <v>4</v>
      </c>
      <c r="C3456" s="6" t="s">
        <v>63</v>
      </c>
      <c r="D3456" s="6" t="s">
        <v>445</v>
      </c>
      <c r="E3456" s="6" t="s">
        <v>446</v>
      </c>
      <c r="F3456" s="6" t="str">
        <f>IF($M3456="PADD I","PADD 1",IF($M3456="PADD II","PADD 2",IF($M3456="PADD III","PADD 3",IF($M3456="PADD IV","PADD 4",IF($M3456="PADD V","PADD 5","")))))</f>
        <v>PADD 3</v>
      </c>
      <c r="G3456" s="6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6" t="s">
        <v>471</v>
      </c>
      <c r="I3456" s="6" t="s">
        <v>588</v>
      </c>
      <c r="J3456" s="6" t="s">
        <v>398</v>
      </c>
      <c r="K3456" s="10">
        <v>31.5</v>
      </c>
      <c r="L3456" s="10">
        <v>45</v>
      </c>
      <c r="M3456" s="6" t="s">
        <v>421</v>
      </c>
      <c r="N3456" s="6" t="str">
        <f>IF(OR($G3456="FCC",$G3456="Hydrocracker",$G3456="Reformer"),IF(COUNTIFS($D:$D,$D3456,$A:$A,$A3456,$B:$B,$B3456,$G:$G,"CDU",$J:$J,"PLANNED")&gt;0,"tied","standalone"),"")</f>
        <v>tied</v>
      </c>
    </row>
    <row r="3457" spans="1:14">
      <c r="A3457" s="6">
        <v>2024</v>
      </c>
      <c r="B3457" s="6">
        <v>4</v>
      </c>
      <c r="C3457" s="6" t="s">
        <v>63</v>
      </c>
      <c r="D3457" s="6" t="s">
        <v>765</v>
      </c>
      <c r="E3457" s="6" t="s">
        <v>766</v>
      </c>
      <c r="F3457" s="6" t="str">
        <f>IF($M3457="PADD I","PADD 1",IF($M3457="PADD II","PADD 2",IF($M3457="PADD III","PADD 3",IF($M3457="PADD IV","PADD 4",IF($M3457="PADD V","PADD 5","")))))</f>
        <v>PADD 2</v>
      </c>
      <c r="G3457" s="6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6" t="s">
        <v>39</v>
      </c>
      <c r="I3457" s="6" t="s">
        <v>1218</v>
      </c>
      <c r="J3457" s="6" t="s">
        <v>398</v>
      </c>
      <c r="K3457" s="10">
        <v>31.5</v>
      </c>
      <c r="L3457" s="10">
        <v>35</v>
      </c>
      <c r="M3457" s="6" t="s">
        <v>425</v>
      </c>
      <c r="N3457" s="6">
        <f>IF(OR($G3457="FCC",$G3457="Hydrocracker",$G3457="Reformer"),IF(COUNTIFS($D:$D,$D3457,$A:$A,$A3457,$B:$B,$B3457,$G:$G,"CDU",$J:$J,"PLANNED")&gt;0,"tied","standalone"),"")</f>
        <v/>
      </c>
    </row>
    <row r="3458" spans="1:14">
      <c r="A3458" s="6">
        <v>2024</v>
      </c>
      <c r="B3458" s="6">
        <v>4</v>
      </c>
      <c r="C3458" s="6" t="s">
        <v>63</v>
      </c>
      <c r="D3458" s="6" t="s">
        <v>445</v>
      </c>
      <c r="E3458" s="6" t="s">
        <v>446</v>
      </c>
      <c r="F3458" s="6" t="str">
        <f>IF($M3458="PADD I","PADD 1",IF($M3458="PADD II","PADD 2",IF($M3458="PADD III","PADD 3",IF($M3458="PADD IV","PADD 4",IF($M3458="PADD V","PADD 5","")))))</f>
        <v>PADD 3</v>
      </c>
      <c r="G3458" s="6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6" t="s">
        <v>428</v>
      </c>
      <c r="I3458" s="6" t="s">
        <v>625</v>
      </c>
      <c r="J3458" s="6" t="s">
        <v>398</v>
      </c>
      <c r="K3458" s="10">
        <v>30</v>
      </c>
      <c r="L3458" s="10">
        <v>30</v>
      </c>
      <c r="M3458" s="6" t="s">
        <v>421</v>
      </c>
      <c r="N3458" s="6">
        <f>IF(OR($G3458="FCC",$G3458="Hydrocracker",$G3458="Reformer"),IF(COUNTIFS($D:$D,$D3458,$A:$A,$A3458,$B:$B,$B3458,$G:$G,"CDU",$J:$J,"PLANNED")&gt;0,"tied","standalone"),"")</f>
        <v/>
      </c>
    </row>
    <row r="3459" spans="1:14">
      <c r="A3459" s="6">
        <v>2024</v>
      </c>
      <c r="B3459" s="6">
        <v>4</v>
      </c>
      <c r="C3459" s="6" t="s">
        <v>63</v>
      </c>
      <c r="D3459" s="6" t="s">
        <v>496</v>
      </c>
      <c r="E3459" s="6" t="s">
        <v>441</v>
      </c>
      <c r="F3459" s="6" t="str">
        <f>IF($M3459="PADD I","PADD 1",IF($M3459="PADD II","PADD 2",IF($M3459="PADD III","PADD 3",IF($M3459="PADD IV","PADD 4",IF($M3459="PADD V","PADD 5","")))))</f>
        <v>PADD 3</v>
      </c>
      <c r="G3459" s="6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6" t="s">
        <v>39</v>
      </c>
      <c r="I3459" s="6" t="s">
        <v>82</v>
      </c>
      <c r="J3459" s="6" t="s">
        <v>394</v>
      </c>
      <c r="K3459" s="10">
        <v>30</v>
      </c>
      <c r="L3459" s="10">
        <v>100</v>
      </c>
      <c r="M3459" s="6" t="s">
        <v>421</v>
      </c>
      <c r="N3459" s="6">
        <f>IF(OR($G3459="FCC",$G3459="Hydrocracker",$G3459="Reformer"),IF(COUNTIFS($D:$D,$D3459,$A:$A,$A3459,$B:$B,$B3459,$G:$G,"CDU",$J:$J,"PLANNED")&gt;0,"tied","standalone"),"")</f>
        <v/>
      </c>
    </row>
    <row r="3460" spans="1:14">
      <c r="A3460" s="6">
        <v>2024</v>
      </c>
      <c r="B3460" s="6">
        <v>4</v>
      </c>
      <c r="C3460" s="6" t="s">
        <v>63</v>
      </c>
      <c r="D3460" s="6" t="s">
        <v>518</v>
      </c>
      <c r="E3460" s="6" t="s">
        <v>419</v>
      </c>
      <c r="F3460" s="6" t="str">
        <f>IF($M3460="PADD I","PADD 1",IF($M3460="PADD II","PADD 2",IF($M3460="PADD III","PADD 3",IF($M3460="PADD IV","PADD 4",IF($M3460="PADD V","PADD 5","")))))</f>
        <v>PADD 3</v>
      </c>
      <c r="G3460" s="6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6" t="s">
        <v>426</v>
      </c>
      <c r="I3460" s="6" t="s">
        <v>519</v>
      </c>
      <c r="J3460" s="6" t="s">
        <v>394</v>
      </c>
      <c r="K3460" s="10">
        <v>30</v>
      </c>
      <c r="L3460" s="10">
        <v>30</v>
      </c>
      <c r="M3460" s="6" t="s">
        <v>421</v>
      </c>
      <c r="N3460" s="6" t="str">
        <f>IF(OR($G3460="FCC",$G3460="Hydrocracker",$G3460="Reformer"),IF(COUNTIFS($D:$D,$D3460,$A:$A,$A3460,$B:$B,$B3460,$G:$G,"CDU",$J:$J,"PLANNED")&gt;0,"tied","standalone"),"")</f>
        <v>standalone</v>
      </c>
    </row>
    <row r="3461" spans="1:14">
      <c r="A3461" s="6">
        <v>2024</v>
      </c>
      <c r="B3461" s="6">
        <v>4</v>
      </c>
      <c r="C3461" s="6" t="s">
        <v>63</v>
      </c>
      <c r="D3461" s="6" t="s">
        <v>518</v>
      </c>
      <c r="E3461" s="6" t="s">
        <v>419</v>
      </c>
      <c r="F3461" s="6" t="str">
        <f>IF($M3461="PADD I","PADD 1",IF($M3461="PADD II","PADD 2",IF($M3461="PADD III","PADD 3",IF($M3461="PADD IV","PADD 4",IF($M3461="PADD V","PADD 5","")))))</f>
        <v>PADD 3</v>
      </c>
      <c r="G3461" s="6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6" t="s">
        <v>426</v>
      </c>
      <c r="I3461" s="6" t="s">
        <v>523</v>
      </c>
      <c r="J3461" s="6" t="s">
        <v>394</v>
      </c>
      <c r="K3461" s="10">
        <v>30</v>
      </c>
      <c r="L3461" s="10">
        <v>30</v>
      </c>
      <c r="M3461" s="6" t="s">
        <v>421</v>
      </c>
      <c r="N3461" s="6" t="str">
        <f>IF(OR($G3461="FCC",$G3461="Hydrocracker",$G3461="Reformer"),IF(COUNTIFS($D:$D,$D3461,$A:$A,$A3461,$B:$B,$B3461,$G:$G,"CDU",$J:$J,"PLANNED")&gt;0,"tied","standalone"),"")</f>
        <v>standalone</v>
      </c>
    </row>
    <row r="3462" spans="1:14">
      <c r="A3462" s="6">
        <v>2024</v>
      </c>
      <c r="B3462" s="6">
        <v>4</v>
      </c>
      <c r="C3462" s="6" t="s">
        <v>63</v>
      </c>
      <c r="D3462" s="6" t="s">
        <v>496</v>
      </c>
      <c r="E3462" s="6" t="s">
        <v>441</v>
      </c>
      <c r="F3462" s="6" t="str">
        <f>IF($M3462="PADD I","PADD 1",IF($M3462="PADD II","PADD 2",IF($M3462="PADD III","PADD 3",IF($M3462="PADD IV","PADD 4",IF($M3462="PADD V","PADD 5","")))))</f>
        <v>PADD 3</v>
      </c>
      <c r="G3462" s="6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6" t="s">
        <v>44</v>
      </c>
      <c r="I3462" s="6" t="s">
        <v>1193</v>
      </c>
      <c r="J3462" s="6" t="s">
        <v>398</v>
      </c>
      <c r="K3462" s="10">
        <v>29.76</v>
      </c>
      <c r="L3462" s="10">
        <v>32</v>
      </c>
      <c r="M3462" s="6" t="s">
        <v>421</v>
      </c>
      <c r="N3462" s="6">
        <f>IF(OR($G3462="FCC",$G3462="Hydrocracker",$G3462="Reformer"),IF(COUNTIFS($D:$D,$D3462,$A:$A,$A3462,$B:$B,$B3462,$G:$G,"CDU",$J:$J,"PLANNED")&gt;0,"tied","standalone"),"")</f>
        <v/>
      </c>
    </row>
    <row r="3463" spans="1:14">
      <c r="A3463" s="6">
        <v>2024</v>
      </c>
      <c r="B3463" s="6">
        <v>4</v>
      </c>
      <c r="C3463" s="6" t="s">
        <v>63</v>
      </c>
      <c r="D3463" s="6" t="s">
        <v>430</v>
      </c>
      <c r="E3463" s="6" t="s">
        <v>431</v>
      </c>
      <c r="F3463" s="6" t="str">
        <f>IF($M3463="PADD I","PADD 1",IF($M3463="PADD II","PADD 2",IF($M3463="PADD III","PADD 3",IF($M3463="PADD IV","PADD 4",IF($M3463="PADD V","PADD 5","")))))</f>
        <v>PADD 3</v>
      </c>
      <c r="G3463" s="6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6" t="s">
        <v>39</v>
      </c>
      <c r="I3463" s="6" t="s">
        <v>896</v>
      </c>
      <c r="J3463" s="6" t="s">
        <v>398</v>
      </c>
      <c r="K3463" s="10">
        <v>29.7</v>
      </c>
      <c r="L3463" s="10">
        <v>90</v>
      </c>
      <c r="M3463" s="6" t="s">
        <v>421</v>
      </c>
      <c r="N3463" s="6">
        <f>IF(OR($G3463="FCC",$G3463="Hydrocracker",$G3463="Reformer"),IF(COUNTIFS($D:$D,$D3463,$A:$A,$A3463,$B:$B,$B3463,$G:$G,"CDU",$J:$J,"PLANNED")&gt;0,"tied","standalone"),"")</f>
        <v/>
      </c>
    </row>
    <row r="3464" spans="1:14">
      <c r="A3464" s="6">
        <v>2024</v>
      </c>
      <c r="B3464" s="6">
        <v>4</v>
      </c>
      <c r="C3464" s="6" t="s">
        <v>63</v>
      </c>
      <c r="D3464" s="6" t="s">
        <v>382</v>
      </c>
      <c r="E3464" s="6" t="s">
        <v>431</v>
      </c>
      <c r="F3464" s="6" t="str">
        <f>IF($M3464="PADD I","PADD 1",IF($M3464="PADD II","PADD 2",IF($M3464="PADD III","PADD 3",IF($M3464="PADD IV","PADD 4",IF($M3464="PADD V","PADD 5","")))))</f>
        <v>PADD 3</v>
      </c>
      <c r="G3464" s="6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6" t="s">
        <v>471</v>
      </c>
      <c r="I3464" s="6" t="s">
        <v>991</v>
      </c>
      <c r="J3464" s="6" t="s">
        <v>394</v>
      </c>
      <c r="K3464" s="10">
        <v>29.6</v>
      </c>
      <c r="L3464" s="10">
        <v>80</v>
      </c>
      <c r="M3464" s="6" t="s">
        <v>421</v>
      </c>
      <c r="N3464" s="6" t="str">
        <f>IF(OR($G3464="FCC",$G3464="Hydrocracker",$G3464="Reformer"),IF(COUNTIFS($D:$D,$D3464,$A:$A,$A3464,$B:$B,$B3464,$G:$G,"CDU",$J:$J,"PLANNED")&gt;0,"tied","standalone"),"")</f>
        <v>standalone</v>
      </c>
    </row>
    <row r="3465" spans="1:14">
      <c r="A3465" s="6">
        <v>2024</v>
      </c>
      <c r="B3465" s="6">
        <v>4</v>
      </c>
      <c r="C3465" s="6" t="s">
        <v>63</v>
      </c>
      <c r="D3465" s="6" t="s">
        <v>465</v>
      </c>
      <c r="E3465" s="6" t="s">
        <v>466</v>
      </c>
      <c r="F3465" s="6" t="str">
        <f>IF($M3465="PADD I","PADD 1",IF($M3465="PADD II","PADD 2",IF($M3465="PADD III","PADD 3",IF($M3465="PADD IV","PADD 4",IF($M3465="PADD V","PADD 5","")))))</f>
        <v>PADD 3</v>
      </c>
      <c r="G3465" s="6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6" t="s">
        <v>485</v>
      </c>
      <c r="I3465" s="6" t="s">
        <v>1219</v>
      </c>
      <c r="J3465" s="6" t="s">
        <v>398</v>
      </c>
      <c r="K3465" s="10">
        <v>28.2</v>
      </c>
      <c r="L3465" s="10">
        <v>60</v>
      </c>
      <c r="M3465" s="6" t="s">
        <v>421</v>
      </c>
      <c r="N3465" s="6">
        <f>IF(OR($G3465="FCC",$G3465="Hydrocracker",$G3465="Reformer"),IF(COUNTIFS($D:$D,$D3465,$A:$A,$A3465,$B:$B,$B3465,$G:$G,"CDU",$J:$J,"PLANNED")&gt;0,"tied","standalone"),"")</f>
        <v/>
      </c>
    </row>
    <row r="3466" spans="1:14">
      <c r="A3466" s="6">
        <v>2024</v>
      </c>
      <c r="B3466" s="6">
        <v>4</v>
      </c>
      <c r="C3466" s="6" t="s">
        <v>63</v>
      </c>
      <c r="D3466" s="6" t="s">
        <v>445</v>
      </c>
      <c r="E3466" s="6" t="s">
        <v>446</v>
      </c>
      <c r="F3466" s="6" t="str">
        <f>IF($M3466="PADD I","PADD 1",IF($M3466="PADD II","PADD 2",IF($M3466="PADD III","PADD 3",IF($M3466="PADD IV","PADD 4",IF($M3466="PADD V","PADD 5","")))))</f>
        <v>PADD 3</v>
      </c>
      <c r="G3466" s="6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6" t="s">
        <v>471</v>
      </c>
      <c r="I3466" s="6" t="s">
        <v>590</v>
      </c>
      <c r="J3466" s="6" t="s">
        <v>394</v>
      </c>
      <c r="K3466" s="10">
        <v>27</v>
      </c>
      <c r="L3466" s="10">
        <v>45</v>
      </c>
      <c r="M3466" s="6" t="s">
        <v>421</v>
      </c>
      <c r="N3466" s="6" t="str">
        <f>IF(OR($G3466="FCC",$G3466="Hydrocracker",$G3466="Reformer"),IF(COUNTIFS($D:$D,$D3466,$A:$A,$A3466,$B:$B,$B3466,$G:$G,"CDU",$J:$J,"PLANNED")&gt;0,"tied","standalone"),"")</f>
        <v>tied</v>
      </c>
    </row>
    <row r="3467" spans="1:14">
      <c r="A3467" s="6">
        <v>2024</v>
      </c>
      <c r="B3467" s="6">
        <v>4</v>
      </c>
      <c r="C3467" s="6" t="s">
        <v>63</v>
      </c>
      <c r="D3467" s="6" t="s">
        <v>458</v>
      </c>
      <c r="E3467" s="6" t="s">
        <v>459</v>
      </c>
      <c r="F3467" s="6" t="str">
        <f>IF($M3467="PADD I","PADD 1",IF($M3467="PADD II","PADD 2",IF($M3467="PADD III","PADD 3",IF($M3467="PADD IV","PADD 4",IF($M3467="PADD V","PADD 5","")))))</f>
        <v>PADD 3</v>
      </c>
      <c r="G3467" s="6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6" t="s">
        <v>471</v>
      </c>
      <c r="I3467" s="6" t="s">
        <v>583</v>
      </c>
      <c r="J3467" s="6" t="s">
        <v>394</v>
      </c>
      <c r="K3467" s="10">
        <v>26.95</v>
      </c>
      <c r="L3467" s="10">
        <v>35</v>
      </c>
      <c r="M3467" s="6" t="s">
        <v>421</v>
      </c>
      <c r="N3467" s="6" t="str">
        <f>IF(OR($G3467="FCC",$G3467="Hydrocracker",$G3467="Reformer"),IF(COUNTIFS($D:$D,$D3467,$A:$A,$A3467,$B:$B,$B3467,$G:$G,"CDU",$J:$J,"PLANNED")&gt;0,"tied","standalone"),"")</f>
        <v>standalone</v>
      </c>
    </row>
    <row r="3468" spans="1:14">
      <c r="A3468" s="6">
        <v>2024</v>
      </c>
      <c r="B3468" s="6">
        <v>4</v>
      </c>
      <c r="C3468" s="6" t="s">
        <v>63</v>
      </c>
      <c r="D3468" s="6" t="s">
        <v>370</v>
      </c>
      <c r="E3468" s="6" t="s">
        <v>431</v>
      </c>
      <c r="F3468" s="6" t="str">
        <f>IF($M3468="PADD I","PADD 1",IF($M3468="PADD II","PADD 2",IF($M3468="PADD III","PADD 3",IF($M3468="PADD IV","PADD 4",IF($M3468="PADD V","PADD 5","")))))</f>
        <v>PADD 2</v>
      </c>
      <c r="G3468" s="6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6" t="s">
        <v>44</v>
      </c>
      <c r="I3468" s="6" t="s">
        <v>1220</v>
      </c>
      <c r="J3468" s="6" t="s">
        <v>398</v>
      </c>
      <c r="K3468" s="10">
        <v>25</v>
      </c>
      <c r="L3468" s="10">
        <v>25</v>
      </c>
      <c r="M3468" s="6" t="s">
        <v>425</v>
      </c>
      <c r="N3468" s="6">
        <f>IF(OR($G3468="FCC",$G3468="Hydrocracker",$G3468="Reformer"),IF(COUNTIFS($D:$D,$D3468,$A:$A,$A3468,$B:$B,$B3468,$G:$G,"CDU",$J:$J,"PLANNED")&gt;0,"tied","standalone"),"")</f>
        <v/>
      </c>
    </row>
    <row r="3469" spans="1:14">
      <c r="A3469" s="6">
        <v>2024</v>
      </c>
      <c r="B3469" s="6">
        <v>4</v>
      </c>
      <c r="C3469" s="6" t="s">
        <v>63</v>
      </c>
      <c r="D3469" s="6" t="s">
        <v>465</v>
      </c>
      <c r="E3469" s="6" t="s">
        <v>466</v>
      </c>
      <c r="F3469" s="6" t="str">
        <f>IF($M3469="PADD I","PADD 1",IF($M3469="PADD II","PADD 2",IF($M3469="PADD III","PADD 3",IF($M3469="PADD IV","PADD 4",IF($M3469="PADD V","PADD 5","")))))</f>
        <v>PADD 3</v>
      </c>
      <c r="G3469" s="6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6" t="s">
        <v>485</v>
      </c>
      <c r="I3469" s="6" t="s">
        <v>503</v>
      </c>
      <c r="J3469" s="6" t="s">
        <v>394</v>
      </c>
      <c r="K3469" s="10">
        <v>24.82</v>
      </c>
      <c r="L3469" s="10">
        <v>34</v>
      </c>
      <c r="M3469" s="6" t="s">
        <v>421</v>
      </c>
      <c r="N3469" s="6">
        <f>IF(OR($G3469="FCC",$G3469="Hydrocracker",$G3469="Reformer"),IF(COUNTIFS($D:$D,$D3469,$A:$A,$A3469,$B:$B,$B3469,$G:$G,"CDU",$J:$J,"PLANNED")&gt;0,"tied","standalone"),"")</f>
        <v/>
      </c>
    </row>
    <row r="3470" spans="1:14">
      <c r="A3470" s="6">
        <v>2024</v>
      </c>
      <c r="B3470" s="6">
        <v>4</v>
      </c>
      <c r="C3470" s="6" t="s">
        <v>63</v>
      </c>
      <c r="D3470" s="6" t="s">
        <v>1221</v>
      </c>
      <c r="E3470" s="6" t="s">
        <v>1222</v>
      </c>
      <c r="F3470" s="6" t="str">
        <f>IF($M3470="PADD I","PADD 1",IF($M3470="PADD II","PADD 2",IF($M3470="PADD III","PADD 3",IF($M3470="PADD IV","PADD 4",IF($M3470="PADD V","PADD 5","")))))</f>
        <v>PADD 3</v>
      </c>
      <c r="G3470" s="6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6" t="s">
        <v>39</v>
      </c>
      <c r="I3470" s="6" t="s">
        <v>1223</v>
      </c>
      <c r="J3470" s="6" t="s">
        <v>398</v>
      </c>
      <c r="K3470" s="10">
        <v>23.5</v>
      </c>
      <c r="L3470" s="10">
        <v>50</v>
      </c>
      <c r="M3470" s="6" t="s">
        <v>421</v>
      </c>
      <c r="N3470" s="6">
        <f>IF(OR($G3470="FCC",$G3470="Hydrocracker",$G3470="Reformer"),IF(COUNTIFS($D:$D,$D3470,$A:$A,$A3470,$B:$B,$B3470,$G:$G,"CDU",$J:$J,"PLANNED")&gt;0,"tied","standalone"),"")</f>
        <v/>
      </c>
    </row>
    <row r="3471" spans="1:14">
      <c r="A3471" s="6">
        <v>2024</v>
      </c>
      <c r="B3471" s="6">
        <v>4</v>
      </c>
      <c r="C3471" s="6" t="s">
        <v>63</v>
      </c>
      <c r="D3471" s="6" t="s">
        <v>689</v>
      </c>
      <c r="E3471" s="6" t="s">
        <v>502</v>
      </c>
      <c r="F3471" s="6" t="str">
        <f>IF($M3471="PADD I","PADD 1",IF($M3471="PADD II","PADD 2",IF($M3471="PADD III","PADD 3",IF($M3471="PADD IV","PADD 4",IF($M3471="PADD V","PADD 5","")))))</f>
        <v>PADD 5</v>
      </c>
      <c r="G3471" s="6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6" t="s">
        <v>426</v>
      </c>
      <c r="I3471" s="6" t="s">
        <v>106</v>
      </c>
      <c r="J3471" s="6" t="s">
        <v>398</v>
      </c>
      <c r="K3471" s="10">
        <v>23.5</v>
      </c>
      <c r="L3471" s="10">
        <v>50</v>
      </c>
      <c r="M3471" s="6" t="s">
        <v>436</v>
      </c>
      <c r="N3471" s="6" t="str">
        <f>IF(OR($G3471="FCC",$G3471="Hydrocracker",$G3471="Reformer"),IF(COUNTIFS($D:$D,$D3471,$A:$A,$A3471,$B:$B,$B3471,$G:$G,"CDU",$J:$J,"PLANNED")&gt;0,"tied","standalone"),"")</f>
        <v>standalone</v>
      </c>
    </row>
    <row r="3472" spans="1:14">
      <c r="A3472" s="6">
        <v>2024</v>
      </c>
      <c r="B3472" s="6">
        <v>4</v>
      </c>
      <c r="C3472" s="6" t="s">
        <v>63</v>
      </c>
      <c r="D3472" s="6" t="s">
        <v>496</v>
      </c>
      <c r="E3472" s="6" t="s">
        <v>441</v>
      </c>
      <c r="F3472" s="6" t="str">
        <f>IF($M3472="PADD I","PADD 1",IF($M3472="PADD II","PADD 2",IF($M3472="PADD III","PADD 3",IF($M3472="PADD IV","PADD 4",IF($M3472="PADD V","PADD 5","")))))</f>
        <v>PADD 3</v>
      </c>
      <c r="G3472" s="6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6" t="s">
        <v>471</v>
      </c>
      <c r="I3472" s="6" t="s">
        <v>533</v>
      </c>
      <c r="J3472" s="6" t="s">
        <v>398</v>
      </c>
      <c r="K3472" s="10">
        <v>22.32</v>
      </c>
      <c r="L3472" s="10">
        <v>24</v>
      </c>
      <c r="M3472" s="6" t="s">
        <v>421</v>
      </c>
      <c r="N3472" s="6" t="str">
        <f>IF(OR($G3472="FCC",$G3472="Hydrocracker",$G3472="Reformer"),IF(COUNTIFS($D:$D,$D3472,$A:$A,$A3472,$B:$B,$B3472,$G:$G,"CDU",$J:$J,"PLANNED")&gt;0,"tied","standalone"),"")</f>
        <v>standalone</v>
      </c>
    </row>
    <row r="3473" spans="1:14">
      <c r="A3473" s="6">
        <v>2024</v>
      </c>
      <c r="B3473" s="6">
        <v>4</v>
      </c>
      <c r="C3473" s="6" t="s">
        <v>63</v>
      </c>
      <c r="D3473" s="6" t="s">
        <v>395</v>
      </c>
      <c r="E3473" s="6" t="s">
        <v>433</v>
      </c>
      <c r="F3473" s="6" t="str">
        <f>IF($M3473="PADD I","PADD 1",IF($M3473="PADD II","PADD 2",IF($M3473="PADD III","PADD 3",IF($M3473="PADD IV","PADD 4",IF($M3473="PADD V","PADD 5","")))))</f>
        <v>PADD 2</v>
      </c>
      <c r="G3473" s="6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6" t="s">
        <v>44</v>
      </c>
      <c r="I3473" s="6" t="s">
        <v>474</v>
      </c>
      <c r="J3473" s="6" t="s">
        <v>398</v>
      </c>
      <c r="K3473" s="10">
        <v>22.26</v>
      </c>
      <c r="L3473" s="10">
        <v>42</v>
      </c>
      <c r="M3473" s="6" t="s">
        <v>425</v>
      </c>
      <c r="N3473" s="6">
        <f>IF(OR($G3473="FCC",$G3473="Hydrocracker",$G3473="Reformer"),IF(COUNTIFS($D:$D,$D3473,$A:$A,$A3473,$B:$B,$B3473,$G:$G,"CDU",$J:$J,"PLANNED")&gt;0,"tied","standalone"),"")</f>
        <v/>
      </c>
    </row>
    <row r="3474" spans="1:14">
      <c r="A3474" s="6">
        <v>2024</v>
      </c>
      <c r="B3474" s="6">
        <v>4</v>
      </c>
      <c r="C3474" s="6" t="s">
        <v>63</v>
      </c>
      <c r="D3474" s="6" t="s">
        <v>507</v>
      </c>
      <c r="E3474" s="6" t="s">
        <v>438</v>
      </c>
      <c r="F3474" s="6" t="str">
        <f>IF($M3474="PADD I","PADD 1",IF($M3474="PADD II","PADD 2",IF($M3474="PADD III","PADD 3",IF($M3474="PADD IV","PADD 4",IF($M3474="PADD V","PADD 5","")))))</f>
        <v>PADD 5</v>
      </c>
      <c r="G3474" s="6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6" t="s">
        <v>426</v>
      </c>
      <c r="I3474" s="6" t="s">
        <v>106</v>
      </c>
      <c r="J3474" s="6" t="s">
        <v>394</v>
      </c>
      <c r="K3474" s="10">
        <v>22</v>
      </c>
      <c r="L3474" s="10">
        <v>55</v>
      </c>
      <c r="M3474" s="6" t="s">
        <v>436</v>
      </c>
      <c r="N3474" s="6" t="str">
        <f>IF(OR($G3474="FCC",$G3474="Hydrocracker",$G3474="Reformer"),IF(COUNTIFS($D:$D,$D3474,$A:$A,$A3474,$B:$B,$B3474,$G:$G,"CDU",$J:$J,"PLANNED")&gt;0,"tied","standalone"),"")</f>
        <v>standalone</v>
      </c>
    </row>
    <row r="3475" spans="1:14">
      <c r="A3475" s="6">
        <v>2024</v>
      </c>
      <c r="B3475" s="6">
        <v>4</v>
      </c>
      <c r="C3475" s="6" t="s">
        <v>63</v>
      </c>
      <c r="D3475" s="6" t="s">
        <v>597</v>
      </c>
      <c r="E3475" s="6" t="s">
        <v>441</v>
      </c>
      <c r="F3475" s="6" t="str">
        <f>IF($M3475="PADD I","PADD 1",IF($M3475="PADD II","PADD 2",IF($M3475="PADD III","PADD 3",IF($M3475="PADD IV","PADD 4",IF($M3475="PADD V","PADD 5","")))))</f>
        <v>PADD 5</v>
      </c>
      <c r="G3475" s="6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6" t="s">
        <v>426</v>
      </c>
      <c r="I3475" s="6" t="s">
        <v>106</v>
      </c>
      <c r="J3475" s="6" t="s">
        <v>394</v>
      </c>
      <c r="K3475" s="10">
        <v>21.6</v>
      </c>
      <c r="L3475" s="10">
        <v>80</v>
      </c>
      <c r="M3475" s="6" t="s">
        <v>436</v>
      </c>
      <c r="N3475" s="6" t="str">
        <f>IF(OR($G3475="FCC",$G3475="Hydrocracker",$G3475="Reformer"),IF(COUNTIFS($D:$D,$D3475,$A:$A,$A3475,$B:$B,$B3475,$G:$G,"CDU",$J:$J,"PLANNED")&gt;0,"tied","standalone"),"")</f>
        <v>standalone</v>
      </c>
    </row>
    <row r="3476" spans="1:14">
      <c r="A3476" s="6">
        <v>2024</v>
      </c>
      <c r="B3476" s="6">
        <v>4</v>
      </c>
      <c r="C3476" s="6" t="s">
        <v>63</v>
      </c>
      <c r="D3476" s="6" t="s">
        <v>597</v>
      </c>
      <c r="E3476" s="6" t="s">
        <v>441</v>
      </c>
      <c r="F3476" s="6" t="str">
        <f>IF($M3476="PADD I","PADD 1",IF($M3476="PADD II","PADD 2",IF($M3476="PADD III","PADD 3",IF($M3476="PADD IV","PADD 4",IF($M3476="PADD V","PADD 5","")))))</f>
        <v>PADD 5</v>
      </c>
      <c r="G3476" s="6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6" t="s">
        <v>44</v>
      </c>
      <c r="I3476" s="6" t="s">
        <v>976</v>
      </c>
      <c r="J3476" s="6" t="s">
        <v>394</v>
      </c>
      <c r="K3476" s="10">
        <v>21.6</v>
      </c>
      <c r="L3476" s="10">
        <v>80</v>
      </c>
      <c r="M3476" s="6" t="s">
        <v>436</v>
      </c>
      <c r="N3476" s="6">
        <f>IF(OR($G3476="FCC",$G3476="Hydrocracker",$G3476="Reformer"),IF(COUNTIFS($D:$D,$D3476,$A:$A,$A3476,$B:$B,$B3476,$G:$G,"CDU",$J:$J,"PLANNED")&gt;0,"tied","standalone"),"")</f>
        <v/>
      </c>
    </row>
    <row r="3477" spans="1:14">
      <c r="A3477" s="6">
        <v>2024</v>
      </c>
      <c r="B3477" s="6">
        <v>4</v>
      </c>
      <c r="C3477" s="6" t="s">
        <v>63</v>
      </c>
      <c r="D3477" s="6" t="s">
        <v>382</v>
      </c>
      <c r="E3477" s="6" t="s">
        <v>431</v>
      </c>
      <c r="F3477" s="6" t="str">
        <f>IF($M3477="PADD I","PADD 1",IF($M3477="PADD II","PADD 2",IF($M3477="PADD III","PADD 3",IF($M3477="PADD IV","PADD 4",IF($M3477="PADD V","PADD 5","")))))</f>
        <v>PADD 3</v>
      </c>
      <c r="G3477" s="6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6" t="s">
        <v>471</v>
      </c>
      <c r="I3477" s="6" t="s">
        <v>598</v>
      </c>
      <c r="J3477" s="6" t="s">
        <v>394</v>
      </c>
      <c r="K3477" s="10">
        <v>21.6</v>
      </c>
      <c r="L3477" s="10">
        <v>80</v>
      </c>
      <c r="M3477" s="6" t="s">
        <v>421</v>
      </c>
      <c r="N3477" s="6" t="str">
        <f>IF(OR($G3477="FCC",$G3477="Hydrocracker",$G3477="Reformer"),IF(COUNTIFS($D:$D,$D3477,$A:$A,$A3477,$B:$B,$B3477,$G:$G,"CDU",$J:$J,"PLANNED")&gt;0,"tied","standalone"),"")</f>
        <v>standalone</v>
      </c>
    </row>
    <row r="3478" spans="1:14">
      <c r="A3478" s="6">
        <v>2024</v>
      </c>
      <c r="B3478" s="6">
        <v>4</v>
      </c>
      <c r="C3478" s="6" t="s">
        <v>63</v>
      </c>
      <c r="D3478" s="6" t="s">
        <v>1110</v>
      </c>
      <c r="E3478" s="6" t="s">
        <v>1089</v>
      </c>
      <c r="F3478" s="6" t="str">
        <f>IF($M3478="PADD I","PADD 1",IF($M3478="PADD II","PADD 2",IF($M3478="PADD III","PADD 3",IF($M3478="PADD IV","PADD 4",IF($M3478="PADD V","PADD 5","")))))</f>
        <v>PADD 2</v>
      </c>
      <c r="G3478" s="6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6" t="s">
        <v>39</v>
      </c>
      <c r="I3478" s="6" t="s">
        <v>456</v>
      </c>
      <c r="J3478" s="6" t="s">
        <v>394</v>
      </c>
      <c r="K3478" s="10">
        <v>21.2</v>
      </c>
      <c r="L3478" s="10">
        <v>40</v>
      </c>
      <c r="M3478" s="6" t="s">
        <v>425</v>
      </c>
      <c r="N3478" s="6">
        <f>IF(OR($G3478="FCC",$G3478="Hydrocracker",$G3478="Reformer"),IF(COUNTIFS($D:$D,$D3478,$A:$A,$A3478,$B:$B,$B3478,$G:$G,"CDU",$J:$J,"PLANNED")&gt;0,"tied","standalone"),"")</f>
        <v/>
      </c>
    </row>
    <row r="3479" spans="1:14">
      <c r="A3479" s="6">
        <v>2024</v>
      </c>
      <c r="B3479" s="6">
        <v>4</v>
      </c>
      <c r="C3479" s="6" t="s">
        <v>63</v>
      </c>
      <c r="D3479" s="6" t="s">
        <v>540</v>
      </c>
      <c r="E3479" s="6" t="s">
        <v>541</v>
      </c>
      <c r="F3479" s="6" t="str">
        <f>IF($M3479="PADD I","PADD 1",IF($M3479="PADD II","PADD 2",IF($M3479="PADD III","PADD 3",IF($M3479="PADD IV","PADD 4",IF($M3479="PADD V","PADD 5","")))))</f>
        <v>PADD 3</v>
      </c>
      <c r="G3479" s="6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6" t="s">
        <v>428</v>
      </c>
      <c r="I3479" s="6" t="s">
        <v>610</v>
      </c>
      <c r="J3479" s="6" t="s">
        <v>394</v>
      </c>
      <c r="K3479" s="10">
        <v>20.8</v>
      </c>
      <c r="L3479" s="10">
        <v>104</v>
      </c>
      <c r="M3479" s="6" t="s">
        <v>421</v>
      </c>
      <c r="N3479" s="6">
        <f>IF(OR($G3479="FCC",$G3479="Hydrocracker",$G3479="Reformer"),IF(COUNTIFS($D:$D,$D3479,$A:$A,$A3479,$B:$B,$B3479,$G:$G,"CDU",$J:$J,"PLANNED")&gt;0,"tied","standalone"),"")</f>
        <v/>
      </c>
    </row>
    <row r="3480" spans="1:14">
      <c r="A3480" s="6">
        <v>2024</v>
      </c>
      <c r="B3480" s="6">
        <v>4</v>
      </c>
      <c r="C3480" s="6" t="s">
        <v>63</v>
      </c>
      <c r="D3480" s="6" t="s">
        <v>382</v>
      </c>
      <c r="E3480" s="6" t="s">
        <v>431</v>
      </c>
      <c r="F3480" s="6" t="str">
        <f>IF($M3480="PADD I","PADD 1",IF($M3480="PADD II","PADD 2",IF($M3480="PADD III","PADD 3",IF($M3480="PADD IV","PADD 4",IF($M3480="PADD V","PADD 5","")))))</f>
        <v>PADD 3</v>
      </c>
      <c r="G3480" s="6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6" t="s">
        <v>44</v>
      </c>
      <c r="I3480" s="6" t="s">
        <v>993</v>
      </c>
      <c r="J3480" s="6" t="s">
        <v>398</v>
      </c>
      <c r="K3480" s="10">
        <v>20</v>
      </c>
      <c r="L3480" s="10">
        <v>40</v>
      </c>
      <c r="M3480" s="6" t="s">
        <v>421</v>
      </c>
      <c r="N3480" s="6">
        <f>IF(OR($G3480="FCC",$G3480="Hydrocracker",$G3480="Reformer"),IF(COUNTIFS($D:$D,$D3480,$A:$A,$A3480,$B:$B,$B3480,$G:$G,"CDU",$J:$J,"PLANNED")&gt;0,"tied","standalone"),"")</f>
        <v/>
      </c>
    </row>
    <row r="3481" spans="1:14">
      <c r="A3481" s="6">
        <v>2024</v>
      </c>
      <c r="B3481" s="6">
        <v>4</v>
      </c>
      <c r="C3481" s="6" t="s">
        <v>63</v>
      </c>
      <c r="D3481" s="6" t="s">
        <v>726</v>
      </c>
      <c r="E3481" s="6" t="s">
        <v>727</v>
      </c>
      <c r="F3481" s="6" t="str">
        <f>IF($M3481="PADD I","PADD 1",IF($M3481="PADD II","PADD 2",IF($M3481="PADD III","PADD 3",IF($M3481="PADD IV","PADD 4",IF($M3481="PADD V","PADD 5","")))))</f>
        <v>PADD 1</v>
      </c>
      <c r="G3481" s="6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6" t="s">
        <v>44</v>
      </c>
      <c r="I3481" s="6" t="s">
        <v>1067</v>
      </c>
      <c r="J3481" s="6" t="s">
        <v>398</v>
      </c>
      <c r="K3481" s="10">
        <v>18</v>
      </c>
      <c r="L3481" s="10">
        <v>45</v>
      </c>
      <c r="M3481" s="6" t="s">
        <v>463</v>
      </c>
      <c r="N3481" s="6">
        <f>IF(OR($G3481="FCC",$G3481="Hydrocracker",$G3481="Reformer"),IF(COUNTIFS($D:$D,$D3481,$A:$A,$A3481,$B:$B,$B3481,$G:$G,"CDU",$J:$J,"PLANNED")&gt;0,"tied","standalone"),"")</f>
        <v/>
      </c>
    </row>
    <row r="3482" spans="1:14">
      <c r="A3482" s="6">
        <v>2024</v>
      </c>
      <c r="B3482" s="6">
        <v>4</v>
      </c>
      <c r="C3482" s="6" t="s">
        <v>63</v>
      </c>
      <c r="D3482" s="6" t="s">
        <v>540</v>
      </c>
      <c r="E3482" s="6" t="s">
        <v>541</v>
      </c>
      <c r="F3482" s="6" t="str">
        <f>IF($M3482="PADD I","PADD 1",IF($M3482="PADD II","PADD 2",IF($M3482="PADD III","PADD 3",IF($M3482="PADD IV","PADD 4",IF($M3482="PADD V","PADD 5","")))))</f>
        <v>PADD 3</v>
      </c>
      <c r="G3482" s="6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6" t="s">
        <v>39</v>
      </c>
      <c r="I3482" s="6" t="s">
        <v>1058</v>
      </c>
      <c r="J3482" s="6" t="s">
        <v>394</v>
      </c>
      <c r="K3482" s="10">
        <v>18</v>
      </c>
      <c r="L3482" s="10">
        <v>90</v>
      </c>
      <c r="M3482" s="6" t="s">
        <v>421</v>
      </c>
      <c r="N3482" s="6">
        <f>IF(OR($G3482="FCC",$G3482="Hydrocracker",$G3482="Reformer"),IF(COUNTIFS($D:$D,$D3482,$A:$A,$A3482,$B:$B,$B3482,$G:$G,"CDU",$J:$J,"PLANNED")&gt;0,"tied","standalone"),"")</f>
        <v/>
      </c>
    </row>
    <row r="3483" spans="1:14">
      <c r="A3483" s="6">
        <v>2024</v>
      </c>
      <c r="B3483" s="6">
        <v>4</v>
      </c>
      <c r="C3483" s="6" t="s">
        <v>63</v>
      </c>
      <c r="D3483" s="6" t="s">
        <v>1189</v>
      </c>
      <c r="E3483" s="6" t="s">
        <v>502</v>
      </c>
      <c r="F3483" s="6" t="str">
        <f>IF($M3483="PADD I","PADD 1",IF($M3483="PADD II","PADD 2",IF($M3483="PADD III","PADD 3",IF($M3483="PADD IV","PADD 4",IF($M3483="PADD V","PADD 5","")))))</f>
        <v>PADD 5</v>
      </c>
      <c r="G3483" s="6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6" t="s">
        <v>44</v>
      </c>
      <c r="I3483" s="6" t="s">
        <v>514</v>
      </c>
      <c r="J3483" s="6" t="s">
        <v>394</v>
      </c>
      <c r="K3483" s="10">
        <v>18</v>
      </c>
      <c r="L3483" s="10">
        <v>36</v>
      </c>
      <c r="M3483" s="6" t="s">
        <v>436</v>
      </c>
      <c r="N3483" s="6">
        <f>IF(OR($G3483="FCC",$G3483="Hydrocracker",$G3483="Reformer"),IF(COUNTIFS($D:$D,$D3483,$A:$A,$A3483,$B:$B,$B3483,$G:$G,"CDU",$J:$J,"PLANNED")&gt;0,"tied","standalone"),"")</f>
        <v/>
      </c>
    </row>
    <row r="3484" spans="1:14">
      <c r="A3484" s="6">
        <v>2024</v>
      </c>
      <c r="B3484" s="6">
        <v>4</v>
      </c>
      <c r="C3484" s="6" t="s">
        <v>63</v>
      </c>
      <c r="D3484" s="6" t="s">
        <v>849</v>
      </c>
      <c r="E3484" s="6" t="s">
        <v>441</v>
      </c>
      <c r="F3484" s="6" t="str">
        <f>IF($M3484="PADD I","PADD 1",IF($M3484="PADD II","PADD 2",IF($M3484="PADD III","PADD 3",IF($M3484="PADD IV","PADD 4",IF($M3484="PADD V","PADD 5","")))))</f>
        <v>PADD 4</v>
      </c>
      <c r="G3484" s="6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6" t="s">
        <v>428</v>
      </c>
      <c r="I3484" s="6" t="s">
        <v>429</v>
      </c>
      <c r="J3484" s="6" t="s">
        <v>398</v>
      </c>
      <c r="K3484" s="10">
        <v>17.152</v>
      </c>
      <c r="L3484" s="10">
        <v>25.6</v>
      </c>
      <c r="M3484" s="6" t="s">
        <v>480</v>
      </c>
      <c r="N3484" s="6">
        <f>IF(OR($G3484="FCC",$G3484="Hydrocracker",$G3484="Reformer"),IF(COUNTIFS($D:$D,$D3484,$A:$A,$A3484,$B:$B,$B3484,$G:$G,"CDU",$J:$J,"PLANNED")&gt;0,"tied","standalone"),"")</f>
        <v/>
      </c>
    </row>
    <row r="3485" spans="1:14">
      <c r="A3485" s="6">
        <v>2024</v>
      </c>
      <c r="B3485" s="6">
        <v>4</v>
      </c>
      <c r="C3485" s="6" t="s">
        <v>63</v>
      </c>
      <c r="D3485" s="6" t="s">
        <v>540</v>
      </c>
      <c r="E3485" s="6" t="s">
        <v>541</v>
      </c>
      <c r="F3485" s="6" t="str">
        <f>IF($M3485="PADD I","PADD 1",IF($M3485="PADD II","PADD 2",IF($M3485="PADD III","PADD 3",IF($M3485="PADD IV","PADD 4",IF($M3485="PADD V","PADD 5","")))))</f>
        <v>PADD 3</v>
      </c>
      <c r="G3485" s="6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6" t="s">
        <v>471</v>
      </c>
      <c r="I3485" s="6" t="s">
        <v>1132</v>
      </c>
      <c r="J3485" s="6" t="s">
        <v>394</v>
      </c>
      <c r="K3485" s="10">
        <v>17</v>
      </c>
      <c r="L3485" s="10">
        <v>85</v>
      </c>
      <c r="M3485" s="6" t="s">
        <v>421</v>
      </c>
      <c r="N3485" s="6" t="str">
        <f>IF(OR($G3485="FCC",$G3485="Hydrocracker",$G3485="Reformer"),IF(COUNTIFS($D:$D,$D3485,$A:$A,$A3485,$B:$B,$B3485,$G:$G,"CDU",$J:$J,"PLANNED")&gt;0,"tied","standalone"),"")</f>
        <v>standalone</v>
      </c>
    </row>
    <row r="3486" spans="1:14">
      <c r="A3486" s="6">
        <v>2024</v>
      </c>
      <c r="B3486" s="6">
        <v>4</v>
      </c>
      <c r="C3486" s="6" t="s">
        <v>63</v>
      </c>
      <c r="D3486" s="6" t="s">
        <v>395</v>
      </c>
      <c r="E3486" s="6" t="s">
        <v>433</v>
      </c>
      <c r="F3486" s="6" t="str">
        <f>IF($M3486="PADD I","PADD 1",IF($M3486="PADD II","PADD 2",IF($M3486="PADD III","PADD 3",IF($M3486="PADD IV","PADD 4",IF($M3486="PADD V","PADD 5","")))))</f>
        <v>PADD 2</v>
      </c>
      <c r="G3486" s="6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6" t="s">
        <v>494</v>
      </c>
      <c r="I3486" s="6" t="s">
        <v>513</v>
      </c>
      <c r="J3486" s="6" t="s">
        <v>398</v>
      </c>
      <c r="K3486" s="10">
        <v>16.96</v>
      </c>
      <c r="L3486" s="10">
        <v>32</v>
      </c>
      <c r="M3486" s="6" t="s">
        <v>425</v>
      </c>
      <c r="N3486" s="6" t="str">
        <f>IF(OR($G3486="FCC",$G3486="Hydrocracker",$G3486="Reformer"),IF(COUNTIFS($D:$D,$D3486,$A:$A,$A3486,$B:$B,$B3486,$G:$G,"CDU",$J:$J,"PLANNED")&gt;0,"tied","standalone"),"")</f>
        <v>tied</v>
      </c>
    </row>
    <row r="3487" spans="1:14">
      <c r="A3487" s="6">
        <v>2024</v>
      </c>
      <c r="B3487" s="6">
        <v>4</v>
      </c>
      <c r="C3487" s="6" t="s">
        <v>63</v>
      </c>
      <c r="D3487" s="6" t="s">
        <v>382</v>
      </c>
      <c r="E3487" s="6" t="s">
        <v>431</v>
      </c>
      <c r="F3487" s="6" t="str">
        <f>IF($M3487="PADD I","PADD 1",IF($M3487="PADD II","PADD 2",IF($M3487="PADD III","PADD 3",IF($M3487="PADD IV","PADD 4",IF($M3487="PADD V","PADD 5","")))))</f>
        <v>PADD 3</v>
      </c>
      <c r="G3487" s="6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6" t="s">
        <v>428</v>
      </c>
      <c r="I3487" s="6" t="s">
        <v>646</v>
      </c>
      <c r="J3487" s="6" t="s">
        <v>394</v>
      </c>
      <c r="K3487" s="10">
        <v>16.45</v>
      </c>
      <c r="L3487" s="10">
        <v>35</v>
      </c>
      <c r="M3487" s="6" t="s">
        <v>421</v>
      </c>
      <c r="N3487" s="6">
        <f>IF(OR($G3487="FCC",$G3487="Hydrocracker",$G3487="Reformer"),IF(COUNTIFS($D:$D,$D3487,$A:$A,$A3487,$B:$B,$B3487,$G:$G,"CDU",$J:$J,"PLANNED")&gt;0,"tied","standalone"),"")</f>
        <v/>
      </c>
    </row>
    <row r="3488" spans="1:14">
      <c r="A3488" s="6">
        <v>2024</v>
      </c>
      <c r="B3488" s="6">
        <v>4</v>
      </c>
      <c r="C3488" s="6" t="s">
        <v>63</v>
      </c>
      <c r="D3488" s="6" t="s">
        <v>378</v>
      </c>
      <c r="E3488" s="6" t="s">
        <v>477</v>
      </c>
      <c r="F3488" s="6" t="str">
        <f>IF($M3488="PADD I","PADD 1",IF($M3488="PADD II","PADD 2",IF($M3488="PADD III","PADD 3",IF($M3488="PADD IV","PADD 4",IF($M3488="PADD V","PADD 5","")))))</f>
        <v>PADD 3</v>
      </c>
      <c r="G3488" s="6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6" t="s">
        <v>471</v>
      </c>
      <c r="I3488" s="6" t="s">
        <v>1212</v>
      </c>
      <c r="J3488" s="6" t="s">
        <v>398</v>
      </c>
      <c r="K3488" s="10">
        <v>16.275</v>
      </c>
      <c r="L3488" s="10">
        <v>17.5</v>
      </c>
      <c r="M3488" s="6" t="s">
        <v>421</v>
      </c>
      <c r="N3488" s="6" t="str">
        <f>IF(OR($G3488="FCC",$G3488="Hydrocracker",$G3488="Reformer"),IF(COUNTIFS($D:$D,$D3488,$A:$A,$A3488,$B:$B,$B3488,$G:$G,"CDU",$J:$J,"PLANNED")&gt;0,"tied","standalone"),"")</f>
        <v>standalone</v>
      </c>
    </row>
    <row r="3489" spans="1:14">
      <c r="A3489" s="6">
        <v>2024</v>
      </c>
      <c r="B3489" s="6">
        <v>4</v>
      </c>
      <c r="C3489" s="6" t="s">
        <v>63</v>
      </c>
      <c r="D3489" s="6" t="s">
        <v>853</v>
      </c>
      <c r="E3489" s="6" t="s">
        <v>438</v>
      </c>
      <c r="F3489" s="6" t="str">
        <f>IF($M3489="PADD I","PADD 1",IF($M3489="PADD II","PADD 2",IF($M3489="PADD III","PADD 3",IF($M3489="PADD IV","PADD 4",IF($M3489="PADD V","PADD 5","")))))</f>
        <v>PADD 2</v>
      </c>
      <c r="G3489" s="6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6" t="s">
        <v>44</v>
      </c>
      <c r="I3489" s="6" t="s">
        <v>570</v>
      </c>
      <c r="J3489" s="6" t="s">
        <v>398</v>
      </c>
      <c r="K3489" s="10">
        <v>15.96</v>
      </c>
      <c r="L3489" s="10">
        <v>28</v>
      </c>
      <c r="M3489" s="6" t="s">
        <v>425</v>
      </c>
      <c r="N3489" s="6">
        <f>IF(OR($G3489="FCC",$G3489="Hydrocracker",$G3489="Reformer"),IF(COUNTIFS($D:$D,$D3489,$A:$A,$A3489,$B:$B,$B3489,$G:$G,"CDU",$J:$J,"PLANNED")&gt;0,"tied","standalone"),"")</f>
        <v/>
      </c>
    </row>
    <row r="3490" spans="1:14">
      <c r="A3490" s="6">
        <v>2024</v>
      </c>
      <c r="B3490" s="6">
        <v>4</v>
      </c>
      <c r="C3490" s="6" t="s">
        <v>63</v>
      </c>
      <c r="D3490" s="6" t="s">
        <v>395</v>
      </c>
      <c r="E3490" s="6" t="s">
        <v>433</v>
      </c>
      <c r="F3490" s="6" t="str">
        <f>IF($M3490="PADD I","PADD 1",IF($M3490="PADD II","PADD 2",IF($M3490="PADD III","PADD 3",IF($M3490="PADD IV","PADD 4",IF($M3490="PADD V","PADD 5","")))))</f>
        <v>PADD 2</v>
      </c>
      <c r="G3490" s="6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6" t="s">
        <v>471</v>
      </c>
      <c r="I3490" s="6" t="s">
        <v>521</v>
      </c>
      <c r="J3490" s="6" t="s">
        <v>398</v>
      </c>
      <c r="K3490" s="10">
        <v>15.9</v>
      </c>
      <c r="L3490" s="10">
        <v>30</v>
      </c>
      <c r="M3490" s="6" t="s">
        <v>425</v>
      </c>
      <c r="N3490" s="6" t="str">
        <f>IF(OR($G3490="FCC",$G3490="Hydrocracker",$G3490="Reformer"),IF(COUNTIFS($D:$D,$D3490,$A:$A,$A3490,$B:$B,$B3490,$G:$G,"CDU",$J:$J,"PLANNED")&gt;0,"tied","standalone"),"")</f>
        <v>tied</v>
      </c>
    </row>
    <row r="3491" spans="1:14">
      <c r="A3491" s="6">
        <v>2024</v>
      </c>
      <c r="B3491" s="6">
        <v>4</v>
      </c>
      <c r="C3491" s="6" t="s">
        <v>63</v>
      </c>
      <c r="D3491" s="6" t="s">
        <v>375</v>
      </c>
      <c r="E3491" s="6" t="s">
        <v>435</v>
      </c>
      <c r="F3491" s="6" t="str">
        <f>IF($M3491="PADD I","PADD 1",IF($M3491="PADD II","PADD 2",IF($M3491="PADD III","PADD 3",IF($M3491="PADD IV","PADD 4",IF($M3491="PADD V","PADD 5","")))))</f>
        <v>PADD 5</v>
      </c>
      <c r="G3491" s="6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6" t="s">
        <v>39</v>
      </c>
      <c r="I3491" s="6" t="s">
        <v>94</v>
      </c>
      <c r="J3491" s="6" t="s">
        <v>394</v>
      </c>
      <c r="K3491" s="10">
        <v>15.8</v>
      </c>
      <c r="L3491" s="10">
        <v>158</v>
      </c>
      <c r="M3491" s="6" t="s">
        <v>436</v>
      </c>
      <c r="N3491" s="6">
        <f>IF(OR($G3491="FCC",$G3491="Hydrocracker",$G3491="Reformer"),IF(COUNTIFS($D:$D,$D3491,$A:$A,$A3491,$B:$B,$B3491,$G:$G,"CDU",$J:$J,"PLANNED")&gt;0,"tied","standalone"),"")</f>
        <v/>
      </c>
    </row>
    <row r="3492" spans="1:14">
      <c r="A3492" s="6">
        <v>2024</v>
      </c>
      <c r="B3492" s="6">
        <v>4</v>
      </c>
      <c r="C3492" s="6" t="s">
        <v>63</v>
      </c>
      <c r="D3492" s="6" t="s">
        <v>375</v>
      </c>
      <c r="E3492" s="6" t="s">
        <v>435</v>
      </c>
      <c r="F3492" s="6" t="str">
        <f>IF($M3492="PADD I","PADD 1",IF($M3492="PADD II","PADD 2",IF($M3492="PADD III","PADD 3",IF($M3492="PADD IV","PADD 4",IF($M3492="PADD V","PADD 5","")))))</f>
        <v>PADD 5</v>
      </c>
      <c r="G3492" s="6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6" t="s">
        <v>39</v>
      </c>
      <c r="I3492" s="6" t="s">
        <v>94</v>
      </c>
      <c r="J3492" s="6" t="s">
        <v>398</v>
      </c>
      <c r="K3492" s="10">
        <v>15.5</v>
      </c>
      <c r="L3492" s="10">
        <v>155</v>
      </c>
      <c r="M3492" s="6" t="s">
        <v>436</v>
      </c>
      <c r="N3492" s="6">
        <f>IF(OR($G3492="FCC",$G3492="Hydrocracker",$G3492="Reformer"),IF(COUNTIFS($D:$D,$D3492,$A:$A,$A3492,$B:$B,$B3492,$G:$G,"CDU",$J:$J,"PLANNED")&gt;0,"tied","standalone"),"")</f>
        <v/>
      </c>
    </row>
    <row r="3493" spans="1:14">
      <c r="A3493" s="6">
        <v>2024</v>
      </c>
      <c r="B3493" s="6">
        <v>4</v>
      </c>
      <c r="C3493" s="6" t="s">
        <v>63</v>
      </c>
      <c r="D3493" s="6" t="s">
        <v>507</v>
      </c>
      <c r="E3493" s="6" t="s">
        <v>438</v>
      </c>
      <c r="F3493" s="6" t="str">
        <f>IF($M3493="PADD I","PADD 1",IF($M3493="PADD II","PADD 2",IF($M3493="PADD III","PADD 3",IF($M3493="PADD IV","PADD 4",IF($M3493="PADD V","PADD 5","")))))</f>
        <v>PADD 5</v>
      </c>
      <c r="G3493" s="6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6" t="s">
        <v>471</v>
      </c>
      <c r="I3493" s="6" t="s">
        <v>609</v>
      </c>
      <c r="J3493" s="6" t="s">
        <v>394</v>
      </c>
      <c r="K3493" s="10">
        <v>15.4</v>
      </c>
      <c r="L3493" s="10">
        <v>20</v>
      </c>
      <c r="M3493" s="6" t="s">
        <v>436</v>
      </c>
      <c r="N3493" s="6" t="str">
        <f>IF(OR($G3493="FCC",$G3493="Hydrocracker",$G3493="Reformer"),IF(COUNTIFS($D:$D,$D3493,$A:$A,$A3493,$B:$B,$B3493,$G:$G,"CDU",$J:$J,"PLANNED")&gt;0,"tied","standalone"),"")</f>
        <v>standalone</v>
      </c>
    </row>
    <row r="3494" spans="1:14">
      <c r="A3494" s="6">
        <v>2024</v>
      </c>
      <c r="B3494" s="6">
        <v>4</v>
      </c>
      <c r="C3494" s="6" t="s">
        <v>63</v>
      </c>
      <c r="D3494" s="6" t="s">
        <v>375</v>
      </c>
      <c r="E3494" s="6" t="s">
        <v>435</v>
      </c>
      <c r="F3494" s="6" t="str">
        <f>IF($M3494="PADD I","PADD 1",IF($M3494="PADD II","PADD 2",IF($M3494="PADD III","PADD 3",IF($M3494="PADD IV","PADD 4",IF($M3494="PADD V","PADD 5","")))))</f>
        <v>PADD 5</v>
      </c>
      <c r="G3494" s="6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6" t="s">
        <v>44</v>
      </c>
      <c r="I3494" s="6" t="s">
        <v>1224</v>
      </c>
      <c r="J3494" s="6" t="s">
        <v>398</v>
      </c>
      <c r="K3494" s="10">
        <v>15.06</v>
      </c>
      <c r="L3494" s="10">
        <v>50.2</v>
      </c>
      <c r="M3494" s="6" t="s">
        <v>436</v>
      </c>
      <c r="N3494" s="6">
        <f>IF(OR($G3494="FCC",$G3494="Hydrocracker",$G3494="Reformer"),IF(COUNTIFS($D:$D,$D3494,$A:$A,$A3494,$B:$B,$B3494,$G:$G,"CDU",$J:$J,"PLANNED")&gt;0,"tied","standalone"),"")</f>
        <v/>
      </c>
    </row>
    <row r="3495" spans="1:14">
      <c r="A3495" s="6">
        <v>2024</v>
      </c>
      <c r="B3495" s="6">
        <v>4</v>
      </c>
      <c r="C3495" s="6" t="s">
        <v>63</v>
      </c>
      <c r="D3495" s="6" t="s">
        <v>1221</v>
      </c>
      <c r="E3495" s="6" t="s">
        <v>1222</v>
      </c>
      <c r="F3495" s="6" t="str">
        <f>IF($M3495="PADD I","PADD 1",IF($M3495="PADD II","PADD 2",IF($M3495="PADD III","PADD 3",IF($M3495="PADD IV","PADD 4",IF($M3495="PADD V","PADD 5","")))))</f>
        <v>PADD 3</v>
      </c>
      <c r="G3495" s="6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6" t="s">
        <v>39</v>
      </c>
      <c r="I3495" s="6" t="s">
        <v>1225</v>
      </c>
      <c r="J3495" s="6" t="s">
        <v>398</v>
      </c>
      <c r="K3495" s="10">
        <v>15</v>
      </c>
      <c r="L3495" s="10">
        <v>50</v>
      </c>
      <c r="M3495" s="6" t="s">
        <v>421</v>
      </c>
      <c r="N3495" s="6">
        <f>IF(OR($G3495="FCC",$G3495="Hydrocracker",$G3495="Reformer"),IF(COUNTIFS($D:$D,$D3495,$A:$A,$A3495,$B:$B,$B3495,$G:$G,"CDU",$J:$J,"PLANNED")&gt;0,"tied","standalone"),"")</f>
        <v/>
      </c>
    </row>
    <row r="3496" spans="1:14">
      <c r="A3496" s="6">
        <v>2024</v>
      </c>
      <c r="B3496" s="6">
        <v>4</v>
      </c>
      <c r="C3496" s="6" t="s">
        <v>63</v>
      </c>
      <c r="D3496" s="6" t="s">
        <v>689</v>
      </c>
      <c r="E3496" s="6" t="s">
        <v>502</v>
      </c>
      <c r="F3496" s="6" t="str">
        <f>IF($M3496="PADD I","PADD 1",IF($M3496="PADD II","PADD 2",IF($M3496="PADD III","PADD 3",IF($M3496="PADD IV","PADD 4",IF($M3496="PADD V","PADD 5","")))))</f>
        <v>PADD 5</v>
      </c>
      <c r="G3496" s="6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6" t="s">
        <v>44</v>
      </c>
      <c r="I3496" s="6" t="s">
        <v>1190</v>
      </c>
      <c r="J3496" s="6" t="s">
        <v>398</v>
      </c>
      <c r="K3496" s="10">
        <v>14.84</v>
      </c>
      <c r="L3496" s="10">
        <v>28</v>
      </c>
      <c r="M3496" s="6" t="s">
        <v>436</v>
      </c>
      <c r="N3496" s="6">
        <f>IF(OR($G3496="FCC",$G3496="Hydrocracker",$G3496="Reformer"),IF(COUNTIFS($D:$D,$D3496,$A:$A,$A3496,$B:$B,$B3496,$G:$G,"CDU",$J:$J,"PLANNED")&gt;0,"tied","standalone"),"")</f>
        <v/>
      </c>
    </row>
    <row r="3497" spans="1:14">
      <c r="A3497" s="6">
        <v>2024</v>
      </c>
      <c r="B3497" s="6">
        <v>4</v>
      </c>
      <c r="C3497" s="6" t="s">
        <v>63</v>
      </c>
      <c r="D3497" s="6" t="s">
        <v>853</v>
      </c>
      <c r="E3497" s="6" t="s">
        <v>438</v>
      </c>
      <c r="F3497" s="6" t="str">
        <f>IF($M3497="PADD I","PADD 1",IF($M3497="PADD II","PADD 2",IF($M3497="PADD III","PADD 3",IF($M3497="PADD IV","PADD 4",IF($M3497="PADD V","PADD 5","")))))</f>
        <v>PADD 2</v>
      </c>
      <c r="G3497" s="6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6" t="s">
        <v>44</v>
      </c>
      <c r="I3497" s="6" t="s">
        <v>570</v>
      </c>
      <c r="J3497" s="6" t="s">
        <v>394</v>
      </c>
      <c r="K3497" s="10">
        <v>14.84</v>
      </c>
      <c r="L3497" s="10">
        <v>28</v>
      </c>
      <c r="M3497" s="6" t="s">
        <v>425</v>
      </c>
      <c r="N3497" s="6">
        <f>IF(OR($G3497="FCC",$G3497="Hydrocracker",$G3497="Reformer"),IF(COUNTIFS($D:$D,$D3497,$A:$A,$A3497,$B:$B,$B3497,$G:$G,"CDU",$J:$J,"PLANNED")&gt;0,"tied","standalone"),"")</f>
        <v/>
      </c>
    </row>
    <row r="3498" spans="1:14">
      <c r="A3498" s="6">
        <v>2024</v>
      </c>
      <c r="B3498" s="6">
        <v>4</v>
      </c>
      <c r="C3498" s="6" t="s">
        <v>63</v>
      </c>
      <c r="D3498" s="6" t="s">
        <v>720</v>
      </c>
      <c r="E3498" s="6" t="s">
        <v>455</v>
      </c>
      <c r="F3498" s="6" t="str">
        <f>IF($M3498="PADD I","PADD 1",IF($M3498="PADD II","PADD 2",IF($M3498="PADD III","PADD 3",IF($M3498="PADD IV","PADD 4",IF($M3498="PADD V","PADD 5","")))))</f>
        <v>PADD 2</v>
      </c>
      <c r="G3498" s="6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6" t="s">
        <v>471</v>
      </c>
      <c r="I3498" s="6" t="s">
        <v>240</v>
      </c>
      <c r="J3498" s="6" t="s">
        <v>394</v>
      </c>
      <c r="K3498" s="10">
        <v>14.4</v>
      </c>
      <c r="L3498" s="10">
        <v>36</v>
      </c>
      <c r="M3498" s="6" t="s">
        <v>425</v>
      </c>
      <c r="N3498" s="6" t="str">
        <f>IF(OR($G3498="FCC",$G3498="Hydrocracker",$G3498="Reformer"),IF(COUNTIFS($D:$D,$D3498,$A:$A,$A3498,$B:$B,$B3498,$G:$G,"CDU",$J:$J,"PLANNED")&gt;0,"tied","standalone"),"")</f>
        <v>tied</v>
      </c>
    </row>
    <row r="3499" spans="1:14">
      <c r="A3499" s="6">
        <v>2024</v>
      </c>
      <c r="B3499" s="6">
        <v>4</v>
      </c>
      <c r="C3499" s="6" t="s">
        <v>63</v>
      </c>
      <c r="D3499" s="6" t="s">
        <v>518</v>
      </c>
      <c r="E3499" s="6" t="s">
        <v>419</v>
      </c>
      <c r="F3499" s="6" t="str">
        <f>IF($M3499="PADD I","PADD 1",IF($M3499="PADD II","PADD 2",IF($M3499="PADD III","PADD 3",IF($M3499="PADD IV","PADD 4",IF($M3499="PADD V","PADD 5","")))))</f>
        <v>PADD 3</v>
      </c>
      <c r="G3499" s="6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6" t="s">
        <v>44</v>
      </c>
      <c r="I3499" s="6" t="s">
        <v>1226</v>
      </c>
      <c r="J3499" s="6" t="s">
        <v>398</v>
      </c>
      <c r="K3499" s="10">
        <v>14</v>
      </c>
      <c r="L3499" s="10">
        <v>35</v>
      </c>
      <c r="M3499" s="6" t="s">
        <v>421</v>
      </c>
      <c r="N3499" s="6">
        <f>IF(OR($G3499="FCC",$G3499="Hydrocracker",$G3499="Reformer"),IF(COUNTIFS($D:$D,$D3499,$A:$A,$A3499,$B:$B,$B3499,$G:$G,"CDU",$J:$J,"PLANNED")&gt;0,"tied","standalone"),"")</f>
        <v/>
      </c>
    </row>
    <row r="3500" spans="1:14">
      <c r="A3500" s="6">
        <v>2024</v>
      </c>
      <c r="B3500" s="6">
        <v>4</v>
      </c>
      <c r="C3500" s="6" t="s">
        <v>63</v>
      </c>
      <c r="D3500" s="6" t="s">
        <v>540</v>
      </c>
      <c r="E3500" s="6" t="s">
        <v>541</v>
      </c>
      <c r="F3500" s="6" t="str">
        <f>IF($M3500="PADD I","PADD 1",IF($M3500="PADD II","PADD 2",IF($M3500="PADD III","PADD 3",IF($M3500="PADD IV","PADD 4",IF($M3500="PADD V","PADD 5","")))))</f>
        <v>PADD 3</v>
      </c>
      <c r="G3500" s="6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6" t="s">
        <v>426</v>
      </c>
      <c r="I3500" s="6" t="s">
        <v>522</v>
      </c>
      <c r="J3500" s="6" t="s">
        <v>394</v>
      </c>
      <c r="K3500" s="10">
        <v>13.77</v>
      </c>
      <c r="L3500" s="10">
        <v>81</v>
      </c>
      <c r="M3500" s="6" t="s">
        <v>421</v>
      </c>
      <c r="N3500" s="6" t="str">
        <f>IF(OR($G3500="FCC",$G3500="Hydrocracker",$G3500="Reformer"),IF(COUNTIFS($D:$D,$D3500,$A:$A,$A3500,$B:$B,$B3500,$G:$G,"CDU",$J:$J,"PLANNED")&gt;0,"tied","standalone"),"")</f>
        <v>standalone</v>
      </c>
    </row>
    <row r="3501" spans="1:14">
      <c r="A3501" s="6">
        <v>2024</v>
      </c>
      <c r="B3501" s="6">
        <v>4</v>
      </c>
      <c r="C3501" s="6" t="s">
        <v>63</v>
      </c>
      <c r="D3501" s="6" t="s">
        <v>518</v>
      </c>
      <c r="E3501" s="6" t="s">
        <v>419</v>
      </c>
      <c r="F3501" s="6" t="str">
        <f>IF($M3501="PADD I","PADD 1",IF($M3501="PADD II","PADD 2",IF($M3501="PADD III","PADD 3",IF($M3501="PADD IV","PADD 4",IF($M3501="PADD V","PADD 5","")))))</f>
        <v>PADD 3</v>
      </c>
      <c r="G3501" s="6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6" t="s">
        <v>44</v>
      </c>
      <c r="I3501" s="6" t="s">
        <v>1078</v>
      </c>
      <c r="J3501" s="6" t="s">
        <v>398</v>
      </c>
      <c r="K3501" s="10">
        <v>13.6</v>
      </c>
      <c r="L3501" s="10">
        <v>34</v>
      </c>
      <c r="M3501" s="6" t="s">
        <v>421</v>
      </c>
      <c r="N3501" s="6">
        <f>IF(OR($G3501="FCC",$G3501="Hydrocracker",$G3501="Reformer"),IF(COUNTIFS($D:$D,$D3501,$A:$A,$A3501,$B:$B,$B3501,$G:$G,"CDU",$J:$J,"PLANNED")&gt;0,"tied","standalone"),"")</f>
        <v/>
      </c>
    </row>
    <row r="3502" spans="1:14">
      <c r="A3502" s="6">
        <v>2024</v>
      </c>
      <c r="B3502" s="6">
        <v>4</v>
      </c>
      <c r="C3502" s="6" t="s">
        <v>63</v>
      </c>
      <c r="D3502" s="6" t="s">
        <v>465</v>
      </c>
      <c r="E3502" s="6" t="s">
        <v>466</v>
      </c>
      <c r="F3502" s="6" t="str">
        <f>IF($M3502="PADD I","PADD 1",IF($M3502="PADD II","PADD 2",IF($M3502="PADD III","PADD 3",IF($M3502="PADD IV","PADD 4",IF($M3502="PADD V","PADD 5","")))))</f>
        <v>PADD 3</v>
      </c>
      <c r="G3502" s="6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6" t="s">
        <v>485</v>
      </c>
      <c r="I3502" s="6" t="s">
        <v>503</v>
      </c>
      <c r="J3502" s="6" t="s">
        <v>394</v>
      </c>
      <c r="K3502" s="10">
        <v>13.6</v>
      </c>
      <c r="L3502" s="10">
        <v>34</v>
      </c>
      <c r="M3502" s="6" t="s">
        <v>421</v>
      </c>
      <c r="N3502" s="6">
        <f>IF(OR($G3502="FCC",$G3502="Hydrocracker",$G3502="Reformer"),IF(COUNTIFS($D:$D,$D3502,$A:$A,$A3502,$B:$B,$B3502,$G:$G,"CDU",$J:$J,"PLANNED")&gt;0,"tied","standalone"),"")</f>
        <v/>
      </c>
    </row>
    <row r="3503" spans="1:14">
      <c r="A3503" s="6">
        <v>2024</v>
      </c>
      <c r="B3503" s="6">
        <v>4</v>
      </c>
      <c r="C3503" s="6" t="s">
        <v>63</v>
      </c>
      <c r="D3503" s="6" t="s">
        <v>838</v>
      </c>
      <c r="E3503" s="6" t="s">
        <v>455</v>
      </c>
      <c r="F3503" s="6" t="str">
        <f>IF($M3503="PADD I","PADD 1",IF($M3503="PADD II","PADD 2",IF($M3503="PADD III","PADD 3",IF($M3503="PADD IV","PADD 4",IF($M3503="PADD V","PADD 5","")))))</f>
        <v>PADD 3</v>
      </c>
      <c r="G3503" s="6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6" t="s">
        <v>39</v>
      </c>
      <c r="I3503" s="6" t="s">
        <v>136</v>
      </c>
      <c r="J3503" s="6" t="s">
        <v>394</v>
      </c>
      <c r="K3503" s="10">
        <v>13.5</v>
      </c>
      <c r="L3503" s="10">
        <v>135</v>
      </c>
      <c r="M3503" s="6" t="s">
        <v>421</v>
      </c>
      <c r="N3503" s="6">
        <f>IF(OR($G3503="FCC",$G3503="Hydrocracker",$G3503="Reformer"),IF(COUNTIFS($D:$D,$D3503,$A:$A,$A3503,$B:$B,$B3503,$G:$G,"CDU",$J:$J,"PLANNED")&gt;0,"tied","standalone"),"")</f>
        <v/>
      </c>
    </row>
    <row r="3504" spans="1:14">
      <c r="A3504" s="6">
        <v>2024</v>
      </c>
      <c r="B3504" s="6">
        <v>4</v>
      </c>
      <c r="C3504" s="6" t="s">
        <v>63</v>
      </c>
      <c r="D3504" s="6" t="s">
        <v>765</v>
      </c>
      <c r="E3504" s="6" t="s">
        <v>766</v>
      </c>
      <c r="F3504" s="6" t="str">
        <f>IF($M3504="PADD I","PADD 1",IF($M3504="PADD II","PADD 2",IF($M3504="PADD III","PADD 3",IF($M3504="PADD IV","PADD 4",IF($M3504="PADD V","PADD 5","")))))</f>
        <v>PADD 2</v>
      </c>
      <c r="G3504" s="6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6" t="s">
        <v>44</v>
      </c>
      <c r="I3504" s="6" t="s">
        <v>767</v>
      </c>
      <c r="J3504" s="6" t="s">
        <v>398</v>
      </c>
      <c r="K3504" s="10">
        <v>13.5</v>
      </c>
      <c r="L3504" s="10">
        <v>15</v>
      </c>
      <c r="M3504" s="6" t="s">
        <v>425</v>
      </c>
      <c r="N3504" s="6">
        <f>IF(OR($G3504="FCC",$G3504="Hydrocracker",$G3504="Reformer"),IF(COUNTIFS($D:$D,$D3504,$A:$A,$A3504,$B:$B,$B3504,$G:$G,"CDU",$J:$J,"PLANNED")&gt;0,"tied","standalone"),"")</f>
        <v/>
      </c>
    </row>
    <row r="3505" spans="1:14">
      <c r="A3505" s="6">
        <v>2024</v>
      </c>
      <c r="B3505" s="6">
        <v>4</v>
      </c>
      <c r="C3505" s="6" t="s">
        <v>63</v>
      </c>
      <c r="D3505" s="6" t="s">
        <v>1110</v>
      </c>
      <c r="E3505" s="6" t="s">
        <v>1089</v>
      </c>
      <c r="F3505" s="6" t="str">
        <f>IF($M3505="PADD I","PADD 1",IF($M3505="PADD II","PADD 2",IF($M3505="PADD III","PADD 3",IF($M3505="PADD IV","PADD 4",IF($M3505="PADD V","PADD 5","")))))</f>
        <v>PADD 2</v>
      </c>
      <c r="G3505" s="6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6" t="s">
        <v>426</v>
      </c>
      <c r="I3505" s="6" t="s">
        <v>106</v>
      </c>
      <c r="J3505" s="6" t="s">
        <v>394</v>
      </c>
      <c r="K3505" s="10">
        <v>12.985</v>
      </c>
      <c r="L3505" s="10">
        <v>24.5</v>
      </c>
      <c r="M3505" s="6" t="s">
        <v>425</v>
      </c>
      <c r="N3505" s="6" t="str">
        <f>IF(OR($G3505="FCC",$G3505="Hydrocracker",$G3505="Reformer"),IF(COUNTIFS($D:$D,$D3505,$A:$A,$A3505,$B:$B,$B3505,$G:$G,"CDU",$J:$J,"PLANNED")&gt;0,"tied","standalone"),"")</f>
        <v>standalone</v>
      </c>
    </row>
    <row r="3506" spans="1:14">
      <c r="A3506" s="6">
        <v>2024</v>
      </c>
      <c r="B3506" s="6">
        <v>4</v>
      </c>
      <c r="C3506" s="6" t="s">
        <v>63</v>
      </c>
      <c r="D3506" s="6" t="s">
        <v>597</v>
      </c>
      <c r="E3506" s="6" t="s">
        <v>441</v>
      </c>
      <c r="F3506" s="6" t="str">
        <f>IF($M3506="PADD I","PADD 1",IF($M3506="PADD II","PADD 2",IF($M3506="PADD III","PADD 3",IF($M3506="PADD IV","PADD 4",IF($M3506="PADD V","PADD 5","")))))</f>
        <v>PADD 5</v>
      </c>
      <c r="G3506" s="6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6" t="s">
        <v>39</v>
      </c>
      <c r="I3506" s="6" t="s">
        <v>82</v>
      </c>
      <c r="J3506" s="6" t="s">
        <v>394</v>
      </c>
      <c r="K3506" s="10">
        <v>12.96</v>
      </c>
      <c r="L3506" s="10">
        <v>48</v>
      </c>
      <c r="M3506" s="6" t="s">
        <v>436</v>
      </c>
      <c r="N3506" s="6">
        <f>IF(OR($G3506="FCC",$G3506="Hydrocracker",$G3506="Reformer"),IF(COUNTIFS($D:$D,$D3506,$A:$A,$A3506,$B:$B,$B3506,$G:$G,"CDU",$J:$J,"PLANNED")&gt;0,"tied","standalone"),"")</f>
        <v/>
      </c>
    </row>
    <row r="3507" spans="1:14">
      <c r="A3507" s="6">
        <v>2024</v>
      </c>
      <c r="B3507" s="6">
        <v>4</v>
      </c>
      <c r="C3507" s="6" t="s">
        <v>63</v>
      </c>
      <c r="D3507" s="6" t="s">
        <v>597</v>
      </c>
      <c r="E3507" s="6" t="s">
        <v>441</v>
      </c>
      <c r="F3507" s="6" t="str">
        <f>IF($M3507="PADD I","PADD 1",IF($M3507="PADD II","PADD 2",IF($M3507="PADD III","PADD 3",IF($M3507="PADD IV","PADD 4",IF($M3507="PADD V","PADD 5","")))))</f>
        <v>PADD 5</v>
      </c>
      <c r="G3507" s="6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6" t="s">
        <v>44</v>
      </c>
      <c r="I3507" s="6" t="s">
        <v>979</v>
      </c>
      <c r="J3507" s="6" t="s">
        <v>394</v>
      </c>
      <c r="K3507" s="10">
        <v>12.96</v>
      </c>
      <c r="L3507" s="10">
        <v>64.8</v>
      </c>
      <c r="M3507" s="6" t="s">
        <v>436</v>
      </c>
      <c r="N3507" s="6">
        <f>IF(OR($G3507="FCC",$G3507="Hydrocracker",$G3507="Reformer"),IF(COUNTIFS($D:$D,$D3507,$A:$A,$A3507,$B:$B,$B3507,$G:$G,"CDU",$J:$J,"PLANNED")&gt;0,"tied","standalone"),"")</f>
        <v/>
      </c>
    </row>
    <row r="3508" spans="1:14">
      <c r="A3508" s="6">
        <v>2024</v>
      </c>
      <c r="B3508" s="6">
        <v>4</v>
      </c>
      <c r="C3508" s="6" t="s">
        <v>63</v>
      </c>
      <c r="D3508" s="6" t="s">
        <v>824</v>
      </c>
      <c r="E3508" s="6" t="s">
        <v>825</v>
      </c>
      <c r="F3508" s="6" t="str">
        <f>IF($M3508="PADD I","PADD 1",IF($M3508="PADD II","PADD 2",IF($M3508="PADD III","PADD 3",IF($M3508="PADD IV","PADD 4",IF($M3508="PADD V","PADD 5","")))))</f>
        <v>PADD 1</v>
      </c>
      <c r="G3508" s="6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6" t="s">
        <v>485</v>
      </c>
      <c r="I3508" s="6" t="s">
        <v>826</v>
      </c>
      <c r="J3508" s="6" t="s">
        <v>398</v>
      </c>
      <c r="K3508" s="10">
        <v>12.789</v>
      </c>
      <c r="L3508" s="10">
        <v>14.7</v>
      </c>
      <c r="M3508" s="6" t="s">
        <v>463</v>
      </c>
      <c r="N3508" s="6">
        <f>IF(OR($G3508="FCC",$G3508="Hydrocracker",$G3508="Reformer"),IF(COUNTIFS($D:$D,$D3508,$A:$A,$A3508,$B:$B,$B3508,$G:$G,"CDU",$J:$J,"PLANNED")&gt;0,"tied","standalone"),"")</f>
        <v/>
      </c>
    </row>
    <row r="3509" spans="1:14">
      <c r="A3509" s="6">
        <v>2024</v>
      </c>
      <c r="B3509" s="6">
        <v>4</v>
      </c>
      <c r="C3509" s="6" t="s">
        <v>63</v>
      </c>
      <c r="D3509" s="6" t="s">
        <v>1110</v>
      </c>
      <c r="E3509" s="6" t="s">
        <v>1089</v>
      </c>
      <c r="F3509" s="6" t="str">
        <f>IF($M3509="PADD I","PADD 1",IF($M3509="PADD II","PADD 2",IF($M3509="PADD III","PADD 3",IF($M3509="PADD IV","PADD 4",IF($M3509="PADD V","PADD 5","")))))</f>
        <v>PADD 2</v>
      </c>
      <c r="G3509" s="6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6" t="s">
        <v>428</v>
      </c>
      <c r="I3509" s="6" t="s">
        <v>481</v>
      </c>
      <c r="J3509" s="6" t="s">
        <v>394</v>
      </c>
      <c r="K3509" s="10">
        <v>12.5875</v>
      </c>
      <c r="L3509" s="10">
        <v>23.75</v>
      </c>
      <c r="M3509" s="6" t="s">
        <v>425</v>
      </c>
      <c r="N3509" s="6">
        <f>IF(OR($G3509="FCC",$G3509="Hydrocracker",$G3509="Reformer"),IF(COUNTIFS($D:$D,$D3509,$A:$A,$A3509,$B:$B,$B3509,$G:$G,"CDU",$J:$J,"PLANNED")&gt;0,"tied","standalone"),"")</f>
        <v/>
      </c>
    </row>
    <row r="3510" spans="1:14">
      <c r="A3510" s="6">
        <v>2024</v>
      </c>
      <c r="B3510" s="6">
        <v>4</v>
      </c>
      <c r="C3510" s="6" t="s">
        <v>63</v>
      </c>
      <c r="D3510" s="6" t="s">
        <v>824</v>
      </c>
      <c r="E3510" s="6" t="s">
        <v>825</v>
      </c>
      <c r="F3510" s="6" t="str">
        <f>IF($M3510="PADD I","PADD 1",IF($M3510="PADD II","PADD 2",IF($M3510="PADD III","PADD 3",IF($M3510="PADD IV","PADD 4",IF($M3510="PADD V","PADD 5","")))))</f>
        <v>PADD 1</v>
      </c>
      <c r="G3510" s="6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6" t="s">
        <v>44</v>
      </c>
      <c r="I3510" s="6" t="s">
        <v>1194</v>
      </c>
      <c r="J3510" s="6" t="s">
        <v>398</v>
      </c>
      <c r="K3510" s="10">
        <v>12.528</v>
      </c>
      <c r="L3510" s="10">
        <v>14.4</v>
      </c>
      <c r="M3510" s="6" t="s">
        <v>463</v>
      </c>
      <c r="N3510" s="6">
        <f>IF(OR($G3510="FCC",$G3510="Hydrocracker",$G3510="Reformer"),IF(COUNTIFS($D:$D,$D3510,$A:$A,$A3510,$B:$B,$B3510,$G:$G,"CDU",$J:$J,"PLANNED")&gt;0,"tied","standalone"),"")</f>
        <v/>
      </c>
    </row>
    <row r="3511" spans="1:14">
      <c r="A3511" s="6">
        <v>2024</v>
      </c>
      <c r="B3511" s="6">
        <v>4</v>
      </c>
      <c r="C3511" s="6" t="s">
        <v>63</v>
      </c>
      <c r="D3511" s="6" t="s">
        <v>1088</v>
      </c>
      <c r="E3511" s="6" t="s">
        <v>1089</v>
      </c>
      <c r="F3511" s="6" t="str">
        <f>IF($M3511="PADD I","PADD 1",IF($M3511="PADD II","PADD 2",IF($M3511="PADD III","PADD 3",IF($M3511="PADD IV","PADD 4",IF($M3511="PADD V","PADD 5","")))))</f>
        <v>PADD 2</v>
      </c>
      <c r="G3511" s="6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6" t="s">
        <v>39</v>
      </c>
      <c r="I3511" s="6" t="s">
        <v>1090</v>
      </c>
      <c r="J3511" s="6" t="s">
        <v>398</v>
      </c>
      <c r="K3511" s="10">
        <v>12.35</v>
      </c>
      <c r="L3511" s="10">
        <v>95</v>
      </c>
      <c r="M3511" s="6" t="s">
        <v>425</v>
      </c>
      <c r="N3511" s="6">
        <f>IF(OR($G3511="FCC",$G3511="Hydrocracker",$G3511="Reformer"),IF(COUNTIFS($D:$D,$D3511,$A:$A,$A3511,$B:$B,$B3511,$G:$G,"CDU",$J:$J,"PLANNED")&gt;0,"tied","standalone"),"")</f>
        <v/>
      </c>
    </row>
    <row r="3512" spans="1:14">
      <c r="A3512" s="6">
        <v>2024</v>
      </c>
      <c r="B3512" s="6">
        <v>4</v>
      </c>
      <c r="C3512" s="6" t="s">
        <v>63</v>
      </c>
      <c r="D3512" s="6" t="s">
        <v>824</v>
      </c>
      <c r="E3512" s="6" t="s">
        <v>825</v>
      </c>
      <c r="F3512" s="6" t="str">
        <f>IF($M3512="PADD I","PADD 1",IF($M3512="PADD II","PADD 2",IF($M3512="PADD III","PADD 3",IF($M3512="PADD IV","PADD 4",IF($M3512="PADD V","PADD 5","")))))</f>
        <v>PADD 1</v>
      </c>
      <c r="G3512" s="6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6" t="s">
        <v>44</v>
      </c>
      <c r="I3512" s="6" t="s">
        <v>1195</v>
      </c>
      <c r="J3512" s="6" t="s">
        <v>398</v>
      </c>
      <c r="K3512" s="10">
        <v>12.18</v>
      </c>
      <c r="L3512" s="10">
        <v>14</v>
      </c>
      <c r="M3512" s="6" t="s">
        <v>463</v>
      </c>
      <c r="N3512" s="6">
        <f>IF(OR($G3512="FCC",$G3512="Hydrocracker",$G3512="Reformer"),IF(COUNTIFS($D:$D,$D3512,$A:$A,$A3512,$B:$B,$B3512,$G:$G,"CDU",$J:$J,"PLANNED")&gt;0,"tied","standalone"),"")</f>
        <v/>
      </c>
    </row>
    <row r="3513" spans="1:14">
      <c r="A3513" s="6">
        <v>2024</v>
      </c>
      <c r="B3513" s="6">
        <v>4</v>
      </c>
      <c r="C3513" s="6" t="s">
        <v>63</v>
      </c>
      <c r="D3513" s="6" t="s">
        <v>853</v>
      </c>
      <c r="E3513" s="6" t="s">
        <v>438</v>
      </c>
      <c r="F3513" s="6" t="str">
        <f>IF($M3513="PADD I","PADD 1",IF($M3513="PADD II","PADD 2",IF($M3513="PADD III","PADD 3",IF($M3513="PADD IV","PADD 4",IF($M3513="PADD V","PADD 5","")))))</f>
        <v>PADD 2</v>
      </c>
      <c r="G3513" s="6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6" t="s">
        <v>44</v>
      </c>
      <c r="I3513" s="6" t="s">
        <v>1227</v>
      </c>
      <c r="J3513" s="6" t="s">
        <v>398</v>
      </c>
      <c r="K3513" s="10">
        <v>12</v>
      </c>
      <c r="L3513" s="10">
        <v>20</v>
      </c>
      <c r="M3513" s="6" t="s">
        <v>425</v>
      </c>
      <c r="N3513" s="6">
        <f>IF(OR($G3513="FCC",$G3513="Hydrocracker",$G3513="Reformer"),IF(COUNTIFS($D:$D,$D3513,$A:$A,$A3513,$B:$B,$B3513,$G:$G,"CDU",$J:$J,"PLANNED")&gt;0,"tied","standalone"),"")</f>
        <v/>
      </c>
    </row>
    <row r="3514" spans="1:14">
      <c r="A3514" s="6">
        <v>2024</v>
      </c>
      <c r="B3514" s="6">
        <v>4</v>
      </c>
      <c r="C3514" s="6" t="s">
        <v>63</v>
      </c>
      <c r="D3514" s="6" t="s">
        <v>592</v>
      </c>
      <c r="E3514" s="6" t="s">
        <v>593</v>
      </c>
      <c r="F3514" s="6" t="str">
        <f>IF($M3514="PADD I","PADD 1",IF($M3514="PADD II","PADD 2",IF($M3514="PADD III","PADD 3",IF($M3514="PADD IV","PADD 4",IF($M3514="PADD V","PADD 5","")))))</f>
        <v>PADD 2</v>
      </c>
      <c r="G3514" s="6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6" t="s">
        <v>44</v>
      </c>
      <c r="I3514" s="6" t="s">
        <v>809</v>
      </c>
      <c r="J3514" s="6" t="s">
        <v>398</v>
      </c>
      <c r="K3514" s="10">
        <v>11.9</v>
      </c>
      <c r="L3514" s="10">
        <v>70</v>
      </c>
      <c r="M3514" s="6" t="s">
        <v>425</v>
      </c>
      <c r="N3514" s="6">
        <f>IF(OR($G3514="FCC",$G3514="Hydrocracker",$G3514="Reformer"),IF(COUNTIFS($D:$D,$D3514,$A:$A,$A3514,$B:$B,$B3514,$G:$G,"CDU",$J:$J,"PLANNED")&gt;0,"tied","standalone"),"")</f>
        <v/>
      </c>
    </row>
    <row r="3515" spans="1:14">
      <c r="A3515" s="6">
        <v>2024</v>
      </c>
      <c r="B3515" s="6">
        <v>4</v>
      </c>
      <c r="C3515" s="6" t="s">
        <v>63</v>
      </c>
      <c r="D3515" s="6" t="s">
        <v>430</v>
      </c>
      <c r="E3515" s="6" t="s">
        <v>431</v>
      </c>
      <c r="F3515" s="6" t="str">
        <f>IF($M3515="PADD I","PADD 1",IF($M3515="PADD II","PADD 2",IF($M3515="PADD III","PADD 3",IF($M3515="PADD IV","PADD 4",IF($M3515="PADD V","PADD 5","")))))</f>
        <v>PADD 3</v>
      </c>
      <c r="G3515" s="6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6" t="s">
        <v>428</v>
      </c>
      <c r="I3515" s="6" t="s">
        <v>900</v>
      </c>
      <c r="J3515" s="6" t="s">
        <v>394</v>
      </c>
      <c r="K3515" s="10">
        <v>11.88</v>
      </c>
      <c r="L3515" s="10">
        <v>44</v>
      </c>
      <c r="M3515" s="6" t="s">
        <v>421</v>
      </c>
      <c r="N3515" s="6">
        <f>IF(OR($G3515="FCC",$G3515="Hydrocracker",$G3515="Reformer"),IF(COUNTIFS($D:$D,$D3515,$A:$A,$A3515,$B:$B,$B3515,$G:$G,"CDU",$J:$J,"PLANNED")&gt;0,"tied","standalone"),"")</f>
        <v/>
      </c>
    </row>
    <row r="3516" spans="1:14">
      <c r="A3516" s="6">
        <v>2024</v>
      </c>
      <c r="B3516" s="6">
        <v>4</v>
      </c>
      <c r="C3516" s="6" t="s">
        <v>63</v>
      </c>
      <c r="D3516" s="6" t="s">
        <v>678</v>
      </c>
      <c r="E3516" s="6" t="s">
        <v>438</v>
      </c>
      <c r="F3516" s="6" t="str">
        <f>IF($M3516="PADD I","PADD 1",IF($M3516="PADD II","PADD 2",IF($M3516="PADD III","PADD 3",IF($M3516="PADD IV","PADD 4",IF($M3516="PADD V","PADD 5","")))))</f>
        <v>PADD 3</v>
      </c>
      <c r="G3516" s="6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6" t="s">
        <v>39</v>
      </c>
      <c r="I3516" s="6" t="s">
        <v>1098</v>
      </c>
      <c r="J3516" s="6" t="s">
        <v>394</v>
      </c>
      <c r="K3516" s="10">
        <v>11.5</v>
      </c>
      <c r="L3516" s="10">
        <v>50</v>
      </c>
      <c r="M3516" s="6" t="s">
        <v>421</v>
      </c>
      <c r="N3516" s="6">
        <f>IF(OR($G3516="FCC",$G3516="Hydrocracker",$G3516="Reformer"),IF(COUNTIFS($D:$D,$D3516,$A:$A,$A3516,$B:$B,$B3516,$G:$G,"CDU",$J:$J,"PLANNED")&gt;0,"tied","standalone"),"")</f>
        <v/>
      </c>
    </row>
    <row r="3517" spans="1:14">
      <c r="A3517" s="6">
        <v>2024</v>
      </c>
      <c r="B3517" s="6">
        <v>4</v>
      </c>
      <c r="C3517" s="6" t="s">
        <v>63</v>
      </c>
      <c r="D3517" s="6" t="s">
        <v>496</v>
      </c>
      <c r="E3517" s="6" t="s">
        <v>441</v>
      </c>
      <c r="F3517" s="6" t="str">
        <f>IF($M3517="PADD I","PADD 1",IF($M3517="PADD II","PADD 2",IF($M3517="PADD III","PADD 3",IF($M3517="PADD IV","PADD 4",IF($M3517="PADD V","PADD 5","")))))</f>
        <v>PADD 3</v>
      </c>
      <c r="G3517" s="6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6" t="s">
        <v>428</v>
      </c>
      <c r="I3517" s="6" t="s">
        <v>1091</v>
      </c>
      <c r="J3517" s="6" t="s">
        <v>394</v>
      </c>
      <c r="K3517" s="10">
        <v>11.4</v>
      </c>
      <c r="L3517" s="10">
        <v>38</v>
      </c>
      <c r="M3517" s="6" t="s">
        <v>421</v>
      </c>
      <c r="N3517" s="6">
        <f>IF(OR($G3517="FCC",$G3517="Hydrocracker",$G3517="Reformer"),IF(COUNTIFS($D:$D,$D3517,$A:$A,$A3517,$B:$B,$B3517,$G:$G,"CDU",$J:$J,"PLANNED")&gt;0,"tied","standalone"),"")</f>
        <v/>
      </c>
    </row>
    <row r="3518" spans="1:14">
      <c r="A3518" s="6">
        <v>2024</v>
      </c>
      <c r="B3518" s="6">
        <v>4</v>
      </c>
      <c r="C3518" s="6" t="s">
        <v>63</v>
      </c>
      <c r="D3518" s="6" t="s">
        <v>853</v>
      </c>
      <c r="E3518" s="6" t="s">
        <v>438</v>
      </c>
      <c r="F3518" s="6" t="str">
        <f>IF($M3518="PADD I","PADD 1",IF($M3518="PADD II","PADD 2",IF($M3518="PADD III","PADD 3",IF($M3518="PADD IV","PADD 4",IF($M3518="PADD V","PADD 5","")))))</f>
        <v>PADD 2</v>
      </c>
      <c r="G3518" s="6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6" t="s">
        <v>44</v>
      </c>
      <c r="I3518" s="6" t="s">
        <v>1227</v>
      </c>
      <c r="J3518" s="6" t="s">
        <v>394</v>
      </c>
      <c r="K3518" s="10">
        <v>11.4</v>
      </c>
      <c r="L3518" s="10">
        <v>20</v>
      </c>
      <c r="M3518" s="6" t="s">
        <v>425</v>
      </c>
      <c r="N3518" s="6">
        <f>IF(OR($G3518="FCC",$G3518="Hydrocracker",$G3518="Reformer"),IF(COUNTIFS($D:$D,$D3518,$A:$A,$A3518,$B:$B,$B3518,$G:$G,"CDU",$J:$J,"PLANNED")&gt;0,"tied","standalone"),"")</f>
        <v/>
      </c>
    </row>
    <row r="3519" spans="1:14">
      <c r="A3519" s="6">
        <v>2024</v>
      </c>
      <c r="B3519" s="6">
        <v>4</v>
      </c>
      <c r="C3519" s="6" t="s">
        <v>63</v>
      </c>
      <c r="D3519" s="6" t="s">
        <v>626</v>
      </c>
      <c r="E3519" s="6" t="s">
        <v>419</v>
      </c>
      <c r="F3519" s="6" t="str">
        <f>IF($M3519="PADD I","PADD 1",IF($M3519="PADD II","PADD 2",IF($M3519="PADD III","PADD 3",IF($M3519="PADD IV","PADD 4",IF($M3519="PADD V","PADD 5","")))))</f>
        <v>PADD 3</v>
      </c>
      <c r="G3519" s="6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6" t="s">
        <v>44</v>
      </c>
      <c r="I3519" s="6" t="s">
        <v>1228</v>
      </c>
      <c r="J3519" s="6" t="s">
        <v>398</v>
      </c>
      <c r="K3519" s="10">
        <v>11.28</v>
      </c>
      <c r="L3519" s="10">
        <v>24</v>
      </c>
      <c r="M3519" s="6" t="s">
        <v>421</v>
      </c>
      <c r="N3519" s="6">
        <f>IF(OR($G3519="FCC",$G3519="Hydrocracker",$G3519="Reformer"),IF(COUNTIFS($D:$D,$D3519,$A:$A,$A3519,$B:$B,$B3519,$G:$G,"CDU",$J:$J,"PLANNED")&gt;0,"tied","standalone"),"")</f>
        <v/>
      </c>
    </row>
    <row r="3520" spans="1:14">
      <c r="A3520" s="6">
        <v>2024</v>
      </c>
      <c r="B3520" s="6">
        <v>4</v>
      </c>
      <c r="C3520" s="6" t="s">
        <v>63</v>
      </c>
      <c r="D3520" s="6" t="s">
        <v>437</v>
      </c>
      <c r="E3520" s="6" t="s">
        <v>438</v>
      </c>
      <c r="F3520" s="6" t="str">
        <f>IF($M3520="PADD I","PADD 1",IF($M3520="PADD II","PADD 2",IF($M3520="PADD III","PADD 3",IF($M3520="PADD IV","PADD 4",IF($M3520="PADD V","PADD 5","")))))</f>
        <v>PADD 3</v>
      </c>
      <c r="G3520" s="6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6" t="s">
        <v>471</v>
      </c>
      <c r="I3520" s="6" t="s">
        <v>633</v>
      </c>
      <c r="J3520" s="6" t="s">
        <v>394</v>
      </c>
      <c r="K3520" s="10">
        <v>11.135</v>
      </c>
      <c r="L3520" s="10">
        <v>65.5</v>
      </c>
      <c r="M3520" s="6" t="s">
        <v>421</v>
      </c>
      <c r="N3520" s="6" t="str">
        <f>IF(OR($G3520="FCC",$G3520="Hydrocracker",$G3520="Reformer"),IF(COUNTIFS($D:$D,$D3520,$A:$A,$A3520,$B:$B,$B3520,$G:$G,"CDU",$J:$J,"PLANNED")&gt;0,"tied","standalone"),"")</f>
        <v>standalone</v>
      </c>
    </row>
    <row r="3521" spans="1:14">
      <c r="A3521" s="6">
        <v>2024</v>
      </c>
      <c r="B3521" s="6">
        <v>4</v>
      </c>
      <c r="C3521" s="6" t="s">
        <v>63</v>
      </c>
      <c r="D3521" s="6" t="s">
        <v>370</v>
      </c>
      <c r="E3521" s="6" t="s">
        <v>431</v>
      </c>
      <c r="F3521" s="6" t="str">
        <f>IF($M3521="PADD I","PADD 1",IF($M3521="PADD II","PADD 2",IF($M3521="PADD III","PADD 3",IF($M3521="PADD IV","PADD 4",IF($M3521="PADD V","PADD 5","")))))</f>
        <v>PADD 2</v>
      </c>
      <c r="G3521" s="6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6" t="s">
        <v>510</v>
      </c>
      <c r="I3521" s="6" t="s">
        <v>666</v>
      </c>
      <c r="J3521" s="6" t="s">
        <v>394</v>
      </c>
      <c r="K3521" s="10">
        <v>11.067</v>
      </c>
      <c r="L3521" s="10">
        <v>11.9</v>
      </c>
      <c r="M3521" s="6" t="s">
        <v>425</v>
      </c>
      <c r="N3521" s="6">
        <f>IF(OR($G3521="FCC",$G3521="Hydrocracker",$G3521="Reformer"),IF(COUNTIFS($D:$D,$D3521,$A:$A,$A3521,$B:$B,$B3521,$G:$G,"CDU",$J:$J,"PLANNED")&gt;0,"tied","standalone"),"")</f>
        <v/>
      </c>
    </row>
    <row r="3522" spans="1:14">
      <c r="A3522" s="6">
        <v>2024</v>
      </c>
      <c r="B3522" s="6">
        <v>4</v>
      </c>
      <c r="C3522" s="6" t="s">
        <v>63</v>
      </c>
      <c r="D3522" s="6" t="s">
        <v>490</v>
      </c>
      <c r="E3522" s="6" t="s">
        <v>419</v>
      </c>
      <c r="F3522" s="6" t="str">
        <f>IF($M3522="PADD I","PADD 1",IF($M3522="PADD II","PADD 2",IF($M3522="PADD III","PADD 3",IF($M3522="PADD IV","PADD 4",IF($M3522="PADD V","PADD 5","")))))</f>
        <v>PADD 5</v>
      </c>
      <c r="G3522" s="6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6" t="s">
        <v>485</v>
      </c>
      <c r="I3522" s="6" t="s">
        <v>491</v>
      </c>
      <c r="J3522" s="6" t="s">
        <v>394</v>
      </c>
      <c r="K3522" s="10">
        <v>10.6</v>
      </c>
      <c r="L3522" s="10">
        <v>53</v>
      </c>
      <c r="M3522" s="6" t="s">
        <v>436</v>
      </c>
      <c r="N3522" s="6">
        <f>IF(OR($G3522="FCC",$G3522="Hydrocracker",$G3522="Reformer"),IF(COUNTIFS($D:$D,$D3522,$A:$A,$A3522,$B:$B,$B3522,$G:$G,"CDU",$J:$J,"PLANNED")&gt;0,"tied","standalone"),"")</f>
        <v/>
      </c>
    </row>
    <row r="3523" spans="1:14">
      <c r="A3523" s="6">
        <v>2024</v>
      </c>
      <c r="B3523" s="6">
        <v>4</v>
      </c>
      <c r="C3523" s="6" t="s">
        <v>63</v>
      </c>
      <c r="D3523" s="6" t="s">
        <v>380</v>
      </c>
      <c r="E3523" s="6" t="s">
        <v>423</v>
      </c>
      <c r="F3523" s="6" t="str">
        <f>IF($M3523="PADD I","PADD 1",IF($M3523="PADD II","PADD 2",IF($M3523="PADD III","PADD 3",IF($M3523="PADD IV","PADD 4",IF($M3523="PADD V","PADD 5","")))))</f>
        <v>PADD 2</v>
      </c>
      <c r="G3523" s="6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6" t="s">
        <v>428</v>
      </c>
      <c r="I3523" s="6" t="s">
        <v>481</v>
      </c>
      <c r="J3523" s="6" t="s">
        <v>394</v>
      </c>
      <c r="K3523" s="10">
        <v>10.4</v>
      </c>
      <c r="L3523" s="10">
        <v>52</v>
      </c>
      <c r="M3523" s="6" t="s">
        <v>425</v>
      </c>
      <c r="N3523" s="6">
        <f>IF(OR($G3523="FCC",$G3523="Hydrocracker",$G3523="Reformer"),IF(COUNTIFS($D:$D,$D3523,$A:$A,$A3523,$B:$B,$B3523,$G:$G,"CDU",$J:$J,"PLANNED")&gt;0,"tied","standalone"),"")</f>
        <v/>
      </c>
    </row>
    <row r="3524" spans="1:14">
      <c r="A3524" s="6">
        <v>2024</v>
      </c>
      <c r="B3524" s="6">
        <v>4</v>
      </c>
      <c r="C3524" s="6" t="s">
        <v>63</v>
      </c>
      <c r="D3524" s="6" t="s">
        <v>1088</v>
      </c>
      <c r="E3524" s="6" t="s">
        <v>1089</v>
      </c>
      <c r="F3524" s="6" t="str">
        <f>IF($M3524="PADD I","PADD 1",IF($M3524="PADD II","PADD 2",IF($M3524="PADD III","PADD 3",IF($M3524="PADD IV","PADD 4",IF($M3524="PADD V","PADD 5","")))))</f>
        <v>PADD 2</v>
      </c>
      <c r="G3524" s="6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6" t="s">
        <v>39</v>
      </c>
      <c r="I3524" s="6" t="s">
        <v>1090</v>
      </c>
      <c r="J3524" s="6" t="s">
        <v>394</v>
      </c>
      <c r="K3524" s="10">
        <v>10.2125</v>
      </c>
      <c r="L3524" s="10">
        <v>23.75</v>
      </c>
      <c r="M3524" s="6" t="s">
        <v>425</v>
      </c>
      <c r="N3524" s="6">
        <f>IF(OR($G3524="FCC",$G3524="Hydrocracker",$G3524="Reformer"),IF(COUNTIFS($D:$D,$D3524,$A:$A,$A3524,$B:$B,$B3524,$G:$G,"CDU",$J:$J,"PLANNED")&gt;0,"tied","standalone"),"")</f>
        <v/>
      </c>
    </row>
    <row r="3525" spans="1:14">
      <c r="A3525" s="6">
        <v>2024</v>
      </c>
      <c r="B3525" s="6">
        <v>4</v>
      </c>
      <c r="C3525" s="6" t="s">
        <v>63</v>
      </c>
      <c r="D3525" s="6" t="s">
        <v>540</v>
      </c>
      <c r="E3525" s="6" t="s">
        <v>541</v>
      </c>
      <c r="F3525" s="6" t="str">
        <f>IF($M3525="PADD I","PADD 1",IF($M3525="PADD II","PADD 2",IF($M3525="PADD III","PADD 3",IF($M3525="PADD IV","PADD 4",IF($M3525="PADD V","PADD 5","")))))</f>
        <v>PADD 3</v>
      </c>
      <c r="G3525" s="6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6" t="s">
        <v>44</v>
      </c>
      <c r="I3525" s="6" t="s">
        <v>897</v>
      </c>
      <c r="J3525" s="6" t="s">
        <v>394</v>
      </c>
      <c r="K3525" s="10">
        <v>10</v>
      </c>
      <c r="L3525" s="10">
        <v>50</v>
      </c>
      <c r="M3525" s="6" t="s">
        <v>421</v>
      </c>
      <c r="N3525" s="6">
        <f>IF(OR($G3525="FCC",$G3525="Hydrocracker",$G3525="Reformer"),IF(COUNTIFS($D:$D,$D3525,$A:$A,$A3525,$B:$B,$B3525,$G:$G,"CDU",$J:$J,"PLANNED")&gt;0,"tied","standalone"),"")</f>
        <v/>
      </c>
    </row>
    <row r="3526" spans="1:14">
      <c r="A3526" s="6">
        <v>2024</v>
      </c>
      <c r="B3526" s="6">
        <v>4</v>
      </c>
      <c r="C3526" s="6" t="s">
        <v>63</v>
      </c>
      <c r="D3526" s="6" t="s">
        <v>592</v>
      </c>
      <c r="E3526" s="6" t="s">
        <v>593</v>
      </c>
      <c r="F3526" s="6" t="str">
        <f>IF($M3526="PADD I","PADD 1",IF($M3526="PADD II","PADD 2",IF($M3526="PADD III","PADD 3",IF($M3526="PADD IV","PADD 4",IF($M3526="PADD V","PADD 5","")))))</f>
        <v>PADD 2</v>
      </c>
      <c r="G3526" s="6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6" t="s">
        <v>44</v>
      </c>
      <c r="I3526" s="6" t="s">
        <v>601</v>
      </c>
      <c r="J3526" s="6" t="s">
        <v>398</v>
      </c>
      <c r="K3526" s="10">
        <v>10</v>
      </c>
      <c r="L3526" s="10">
        <v>10</v>
      </c>
      <c r="M3526" s="6" t="s">
        <v>425</v>
      </c>
      <c r="N3526" s="6">
        <f>IF(OR($G3526="FCC",$G3526="Hydrocracker",$G3526="Reformer"),IF(COUNTIFS($D:$D,$D3526,$A:$A,$A3526,$B:$B,$B3526,$G:$G,"CDU",$J:$J,"PLANNED")&gt;0,"tied","standalone"),"")</f>
        <v/>
      </c>
    </row>
    <row r="3527" spans="1:14">
      <c r="A3527" s="6">
        <v>2024</v>
      </c>
      <c r="B3527" s="6">
        <v>4</v>
      </c>
      <c r="C3527" s="6" t="s">
        <v>63</v>
      </c>
      <c r="D3527" s="6" t="s">
        <v>540</v>
      </c>
      <c r="E3527" s="6" t="s">
        <v>541</v>
      </c>
      <c r="F3527" s="6" t="str">
        <f>IF($M3527="PADD I","PADD 1",IF($M3527="PADD II","PADD 2",IF($M3527="PADD III","PADD 3",IF($M3527="PADD IV","PADD 4",IF($M3527="PADD V","PADD 5","")))))</f>
        <v>PADD 3</v>
      </c>
      <c r="G3527" s="6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6" t="s">
        <v>471</v>
      </c>
      <c r="I3527" s="6" t="s">
        <v>1000</v>
      </c>
      <c r="J3527" s="6" t="s">
        <v>394</v>
      </c>
      <c r="K3527" s="10">
        <v>9.800000000000001</v>
      </c>
      <c r="L3527" s="10">
        <v>49</v>
      </c>
      <c r="M3527" s="6" t="s">
        <v>421</v>
      </c>
      <c r="N3527" s="6" t="str">
        <f>IF(OR($G3527="FCC",$G3527="Hydrocracker",$G3527="Reformer"),IF(COUNTIFS($D:$D,$D3527,$A:$A,$A3527,$B:$B,$B3527,$G:$G,"CDU",$J:$J,"PLANNED")&gt;0,"tied","standalone"),"")</f>
        <v>standalone</v>
      </c>
    </row>
    <row r="3528" spans="1:14">
      <c r="A3528" s="6">
        <v>2024</v>
      </c>
      <c r="B3528" s="6">
        <v>4</v>
      </c>
      <c r="C3528" s="6" t="s">
        <v>63</v>
      </c>
      <c r="D3528" s="6" t="s">
        <v>851</v>
      </c>
      <c r="E3528" s="6" t="s">
        <v>829</v>
      </c>
      <c r="F3528" s="6" t="str">
        <f>IF($M3528="PADD I","PADD 1",IF($M3528="PADD II","PADD 2",IF($M3528="PADD III","PADD 3",IF($M3528="PADD IV","PADD 4",IF($M3528="PADD V","PADD 5","")))))</f>
        <v>PADD 2</v>
      </c>
      <c r="G3528" s="6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6" t="s">
        <v>485</v>
      </c>
      <c r="I3528" s="6" t="s">
        <v>1229</v>
      </c>
      <c r="J3528" s="6" t="s">
        <v>398</v>
      </c>
      <c r="K3528" s="10">
        <v>9.720000000000001</v>
      </c>
      <c r="L3528" s="10">
        <v>36</v>
      </c>
      <c r="M3528" s="6" t="s">
        <v>425</v>
      </c>
      <c r="N3528" s="6">
        <f>IF(OR($G3528="FCC",$G3528="Hydrocracker",$G3528="Reformer"),IF(COUNTIFS($D:$D,$D3528,$A:$A,$A3528,$B:$B,$B3528,$G:$G,"CDU",$J:$J,"PLANNED")&gt;0,"tied","standalone"),"")</f>
        <v/>
      </c>
    </row>
    <row r="3529" spans="1:14">
      <c r="A3529" s="6">
        <v>2024</v>
      </c>
      <c r="B3529" s="6">
        <v>4</v>
      </c>
      <c r="C3529" s="6" t="s">
        <v>63</v>
      </c>
      <c r="D3529" s="6" t="s">
        <v>849</v>
      </c>
      <c r="E3529" s="6" t="s">
        <v>441</v>
      </c>
      <c r="F3529" s="6" t="str">
        <f>IF($M3529="PADD I","PADD 1",IF($M3529="PADD II","PADD 2",IF($M3529="PADD III","PADD 3",IF($M3529="PADD IV","PADD 4",IF($M3529="PADD V","PADD 5","")))))</f>
        <v>PADD 4</v>
      </c>
      <c r="G3529" s="6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6" t="s">
        <v>44</v>
      </c>
      <c r="I3529" s="6" t="s">
        <v>1114</v>
      </c>
      <c r="J3529" s="6" t="s">
        <v>394</v>
      </c>
      <c r="K3529" s="10">
        <v>9.709</v>
      </c>
      <c r="L3529" s="10">
        <v>13.3</v>
      </c>
      <c r="M3529" s="6" t="s">
        <v>480</v>
      </c>
      <c r="N3529" s="6">
        <f>IF(OR($G3529="FCC",$G3529="Hydrocracker",$G3529="Reformer"),IF(COUNTIFS($D:$D,$D3529,$A:$A,$A3529,$B:$B,$B3529,$G:$G,"CDU",$J:$J,"PLANNED")&gt;0,"tied","standalone"),"")</f>
        <v/>
      </c>
    </row>
    <row r="3530" spans="1:14">
      <c r="A3530" s="6">
        <v>2024</v>
      </c>
      <c r="B3530" s="6">
        <v>4</v>
      </c>
      <c r="C3530" s="6" t="s">
        <v>63</v>
      </c>
      <c r="D3530" s="6" t="s">
        <v>505</v>
      </c>
      <c r="E3530" s="6" t="s">
        <v>455</v>
      </c>
      <c r="F3530" s="6" t="str">
        <f>IF($M3530="PADD I","PADD 1",IF($M3530="PADD II","PADD 2",IF($M3530="PADD III","PADD 3",IF($M3530="PADD IV","PADD 4",IF($M3530="PADD V","PADD 5","")))))</f>
        <v>PADD 3</v>
      </c>
      <c r="G3530" s="6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6" t="s">
        <v>494</v>
      </c>
      <c r="I3530" s="6" t="s">
        <v>1063</v>
      </c>
      <c r="J3530" s="6" t="s">
        <v>398</v>
      </c>
      <c r="K3530" s="10">
        <v>9.69</v>
      </c>
      <c r="L3530" s="10">
        <v>57</v>
      </c>
      <c r="M3530" s="6" t="s">
        <v>421</v>
      </c>
      <c r="N3530" s="6" t="str">
        <f>IF(OR($G3530="FCC",$G3530="Hydrocracker",$G3530="Reformer"),IF(COUNTIFS($D:$D,$D3530,$A:$A,$A3530,$B:$B,$B3530,$G:$G,"CDU",$J:$J,"PLANNED")&gt;0,"tied","standalone"),"")</f>
        <v>standalone</v>
      </c>
    </row>
    <row r="3531" spans="1:14">
      <c r="A3531" s="6">
        <v>2024</v>
      </c>
      <c r="B3531" s="6">
        <v>4</v>
      </c>
      <c r="C3531" s="6" t="s">
        <v>63</v>
      </c>
      <c r="D3531" s="6" t="s">
        <v>824</v>
      </c>
      <c r="E3531" s="6" t="s">
        <v>825</v>
      </c>
      <c r="F3531" s="6" t="str">
        <f>IF($M3531="PADD I","PADD 1",IF($M3531="PADD II","PADD 2",IF($M3531="PADD III","PADD 3",IF($M3531="PADD IV","PADD 4",IF($M3531="PADD V","PADD 5","")))))</f>
        <v>PADD 1</v>
      </c>
      <c r="G3531" s="6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6" t="s">
        <v>471</v>
      </c>
      <c r="I3531" s="6" t="s">
        <v>1120</v>
      </c>
      <c r="J3531" s="6" t="s">
        <v>398</v>
      </c>
      <c r="K3531" s="10">
        <v>9.6309</v>
      </c>
      <c r="L3531" s="10">
        <v>11.07</v>
      </c>
      <c r="M3531" s="6" t="s">
        <v>463</v>
      </c>
      <c r="N3531" s="6" t="str">
        <f>IF(OR($G3531="FCC",$G3531="Hydrocracker",$G3531="Reformer"),IF(COUNTIFS($D:$D,$D3531,$A:$A,$A3531,$B:$B,$B3531,$G:$G,"CDU",$J:$J,"PLANNED")&gt;0,"tied","standalone"),"")</f>
        <v>tied</v>
      </c>
    </row>
    <row r="3532" spans="1:14">
      <c r="A3532" s="6">
        <v>2024</v>
      </c>
      <c r="B3532" s="6">
        <v>4</v>
      </c>
      <c r="C3532" s="6" t="s">
        <v>63</v>
      </c>
      <c r="D3532" s="6" t="s">
        <v>496</v>
      </c>
      <c r="E3532" s="6" t="s">
        <v>441</v>
      </c>
      <c r="F3532" s="6" t="str">
        <f>IF($M3532="PADD I","PADD 1",IF($M3532="PADD II","PADD 2",IF($M3532="PADD III","PADD 3",IF($M3532="PADD IV","PADD 4",IF($M3532="PADD V","PADD 5","")))))</f>
        <v>PADD 3</v>
      </c>
      <c r="G3532" s="6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6" t="s">
        <v>428</v>
      </c>
      <c r="I3532" s="6" t="s">
        <v>1091</v>
      </c>
      <c r="J3532" s="6" t="s">
        <v>394</v>
      </c>
      <c r="K3532" s="10">
        <v>9.43</v>
      </c>
      <c r="L3532" s="10">
        <v>41</v>
      </c>
      <c r="M3532" s="6" t="s">
        <v>421</v>
      </c>
      <c r="N3532" s="6">
        <f>IF(OR($G3532="FCC",$G3532="Hydrocracker",$G3532="Reformer"),IF(COUNTIFS($D:$D,$D3532,$A:$A,$A3532,$B:$B,$B3532,$G:$G,"CDU",$J:$J,"PLANNED")&gt;0,"tied","standalone"),"")</f>
        <v/>
      </c>
    </row>
    <row r="3533" spans="1:14">
      <c r="A3533" s="6">
        <v>2024</v>
      </c>
      <c r="B3533" s="6">
        <v>4</v>
      </c>
      <c r="C3533" s="6" t="s">
        <v>63</v>
      </c>
      <c r="D3533" s="6" t="s">
        <v>52</v>
      </c>
      <c r="E3533" s="6" t="s">
        <v>441</v>
      </c>
      <c r="F3533" s="6" t="str">
        <f>IF($M3533="PADD I","PADD 1",IF($M3533="PADD II","PADD 2",IF($M3533="PADD III","PADD 3",IF($M3533="PADD IV","PADD 4",IF($M3533="PADD V","PADD 5","")))))</f>
        <v>PADD 5</v>
      </c>
      <c r="G3533" s="6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6" t="s">
        <v>426</v>
      </c>
      <c r="I3533" s="6" t="s">
        <v>106</v>
      </c>
      <c r="J3533" s="6" t="s">
        <v>394</v>
      </c>
      <c r="K3533" s="10">
        <v>9.425000000000001</v>
      </c>
      <c r="L3533" s="10">
        <v>72.5</v>
      </c>
      <c r="M3533" s="6" t="s">
        <v>436</v>
      </c>
      <c r="N3533" s="6" t="str">
        <f>IF(OR($G3533="FCC",$G3533="Hydrocracker",$G3533="Reformer"),IF(COUNTIFS($D:$D,$D3533,$A:$A,$A3533,$B:$B,$B3533,$G:$G,"CDU",$J:$J,"PLANNED")&gt;0,"tied","standalone"),"")</f>
        <v>tied</v>
      </c>
    </row>
    <row r="3534" spans="1:14">
      <c r="A3534" s="6">
        <v>2024</v>
      </c>
      <c r="B3534" s="6">
        <v>4</v>
      </c>
      <c r="C3534" s="6" t="s">
        <v>63</v>
      </c>
      <c r="D3534" s="6" t="s">
        <v>1110</v>
      </c>
      <c r="E3534" s="6" t="s">
        <v>1089</v>
      </c>
      <c r="F3534" s="6" t="str">
        <f>IF($M3534="PADD I","PADD 1",IF($M3534="PADD II","PADD 2",IF($M3534="PADD III","PADD 3",IF($M3534="PADD IV","PADD 4",IF($M3534="PADD V","PADD 5","")))))</f>
        <v>PADD 2</v>
      </c>
      <c r="G3534" s="6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6" t="s">
        <v>44</v>
      </c>
      <c r="I3534" s="6" t="s">
        <v>1230</v>
      </c>
      <c r="J3534" s="6" t="s">
        <v>394</v>
      </c>
      <c r="K3534" s="10">
        <v>9.407500000000001</v>
      </c>
      <c r="L3534" s="10">
        <v>17.75</v>
      </c>
      <c r="M3534" s="6" t="s">
        <v>425</v>
      </c>
      <c r="N3534" s="6">
        <f>IF(OR($G3534="FCC",$G3534="Hydrocracker",$G3534="Reformer"),IF(COUNTIFS($D:$D,$D3534,$A:$A,$A3534,$B:$B,$B3534,$G:$G,"CDU",$J:$J,"PLANNED")&gt;0,"tied","standalone"),"")</f>
        <v/>
      </c>
    </row>
    <row r="3535" spans="1:14">
      <c r="A3535" s="6">
        <v>2024</v>
      </c>
      <c r="B3535" s="6">
        <v>4</v>
      </c>
      <c r="C3535" s="6" t="s">
        <v>63</v>
      </c>
      <c r="D3535" s="6" t="s">
        <v>382</v>
      </c>
      <c r="E3535" s="6" t="s">
        <v>431</v>
      </c>
      <c r="F3535" s="6" t="str">
        <f>IF($M3535="PADD I","PADD 1",IF($M3535="PADD II","PADD 2",IF($M3535="PADD III","PADD 3",IF($M3535="PADD IV","PADD 4",IF($M3535="PADD V","PADD 5","")))))</f>
        <v>PADD 3</v>
      </c>
      <c r="G3535" s="6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6" t="s">
        <v>44</v>
      </c>
      <c r="I3535" s="6" t="s">
        <v>993</v>
      </c>
      <c r="J3535" s="6" t="s">
        <v>394</v>
      </c>
      <c r="K3535" s="10">
        <v>9.199999999999999</v>
      </c>
      <c r="L3535" s="10">
        <v>40</v>
      </c>
      <c r="M3535" s="6" t="s">
        <v>421</v>
      </c>
      <c r="N3535" s="6">
        <f>IF(OR($G3535="FCC",$G3535="Hydrocracker",$G3535="Reformer"),IF(COUNTIFS($D:$D,$D3535,$A:$A,$A3535,$B:$B,$B3535,$G:$G,"CDU",$J:$J,"PLANNED")&gt;0,"tied","standalone"),"")</f>
        <v/>
      </c>
    </row>
    <row r="3536" spans="1:14">
      <c r="A3536" s="6">
        <v>2024</v>
      </c>
      <c r="B3536" s="6">
        <v>4</v>
      </c>
      <c r="C3536" s="6" t="s">
        <v>63</v>
      </c>
      <c r="D3536" s="6" t="s">
        <v>789</v>
      </c>
      <c r="E3536" s="6" t="s">
        <v>455</v>
      </c>
      <c r="F3536" s="6" t="str">
        <f>IF($M3536="PADD I","PADD 1",IF($M3536="PADD II","PADD 2",IF($M3536="PADD III","PADD 3",IF($M3536="PADD IV","PADD 4",IF($M3536="PADD V","PADD 5","")))))</f>
        <v>PADD 2</v>
      </c>
      <c r="G3536" s="6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6" t="s">
        <v>39</v>
      </c>
      <c r="I3536" s="6" t="s">
        <v>134</v>
      </c>
      <c r="J3536" s="6" t="s">
        <v>394</v>
      </c>
      <c r="K3536" s="10">
        <v>9.15</v>
      </c>
      <c r="L3536" s="10">
        <v>91.5</v>
      </c>
      <c r="M3536" s="6" t="s">
        <v>425</v>
      </c>
      <c r="N3536" s="6">
        <f>IF(OR($G3536="FCC",$G3536="Hydrocracker",$G3536="Reformer"),IF(COUNTIFS($D:$D,$D3536,$A:$A,$A3536,$B:$B,$B3536,$G:$G,"CDU",$J:$J,"PLANNED")&gt;0,"tied","standalone"),"")</f>
        <v/>
      </c>
    </row>
    <row r="3537" spans="1:14">
      <c r="A3537" s="6">
        <v>2024</v>
      </c>
      <c r="B3537" s="6">
        <v>4</v>
      </c>
      <c r="C3537" s="6" t="s">
        <v>63</v>
      </c>
      <c r="D3537" s="6" t="s">
        <v>592</v>
      </c>
      <c r="E3537" s="6" t="s">
        <v>593</v>
      </c>
      <c r="F3537" s="6" t="str">
        <f>IF($M3537="PADD I","PADD 1",IF($M3537="PADD II","PADD 2",IF($M3537="PADD III","PADD 3",IF($M3537="PADD IV","PADD 4",IF($M3537="PADD V","PADD 5","")))))</f>
        <v>PADD 2</v>
      </c>
      <c r="G3537" s="6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6" t="s">
        <v>471</v>
      </c>
      <c r="I3537" s="6" t="s">
        <v>1162</v>
      </c>
      <c r="J3537" s="6" t="s">
        <v>394</v>
      </c>
      <c r="K3537" s="10">
        <v>9.1</v>
      </c>
      <c r="L3537" s="10">
        <v>70</v>
      </c>
      <c r="M3537" s="6" t="s">
        <v>425</v>
      </c>
      <c r="N3537" s="6" t="str">
        <f>IF(OR($G3537="FCC",$G3537="Hydrocracker",$G3537="Reformer"),IF(COUNTIFS($D:$D,$D3537,$A:$A,$A3537,$B:$B,$B3537,$G:$G,"CDU",$J:$J,"PLANNED")&gt;0,"tied","standalone"),"")</f>
        <v>standalone</v>
      </c>
    </row>
    <row r="3538" spans="1:14">
      <c r="A3538" s="6">
        <v>2024</v>
      </c>
      <c r="B3538" s="6">
        <v>4</v>
      </c>
      <c r="C3538" s="6" t="s">
        <v>63</v>
      </c>
      <c r="D3538" s="6" t="s">
        <v>765</v>
      </c>
      <c r="E3538" s="6" t="s">
        <v>766</v>
      </c>
      <c r="F3538" s="6" t="str">
        <f>IF($M3538="PADD I","PADD 1",IF($M3538="PADD II","PADD 2",IF($M3538="PADD III","PADD 3",IF($M3538="PADD IV","PADD 4",IF($M3538="PADD V","PADD 5","")))))</f>
        <v>PADD 2</v>
      </c>
      <c r="G3538" s="6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6" t="s">
        <v>44</v>
      </c>
      <c r="I3538" s="6" t="s">
        <v>1231</v>
      </c>
      <c r="J3538" s="6" t="s">
        <v>398</v>
      </c>
      <c r="K3538" s="10">
        <v>9</v>
      </c>
      <c r="L3538" s="10">
        <v>10</v>
      </c>
      <c r="M3538" s="6" t="s">
        <v>425</v>
      </c>
      <c r="N3538" s="6">
        <f>IF(OR($G3538="FCC",$G3538="Hydrocracker",$G3538="Reformer"),IF(COUNTIFS($D:$D,$D3538,$A:$A,$A3538,$B:$B,$B3538,$G:$G,"CDU",$J:$J,"PLANNED")&gt;0,"tied","standalone"),"")</f>
        <v/>
      </c>
    </row>
    <row r="3539" spans="1:14">
      <c r="A3539" s="6">
        <v>2024</v>
      </c>
      <c r="B3539" s="6">
        <v>4</v>
      </c>
      <c r="C3539" s="6" t="s">
        <v>63</v>
      </c>
      <c r="D3539" s="6" t="s">
        <v>375</v>
      </c>
      <c r="E3539" s="6" t="s">
        <v>435</v>
      </c>
      <c r="F3539" s="6" t="str">
        <f>IF($M3539="PADD I","PADD 1",IF($M3539="PADD II","PADD 2",IF($M3539="PADD III","PADD 3",IF($M3539="PADD IV","PADD 4",IF($M3539="PADD V","PADD 5","")))))</f>
        <v>PADD 5</v>
      </c>
      <c r="G3539" s="6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6" t="s">
        <v>471</v>
      </c>
      <c r="I3539" s="6" t="s">
        <v>15</v>
      </c>
      <c r="J3539" s="6" t="s">
        <v>398</v>
      </c>
      <c r="K3539" s="10">
        <v>8.85</v>
      </c>
      <c r="L3539" s="10">
        <v>29.5</v>
      </c>
      <c r="M3539" s="6" t="s">
        <v>436</v>
      </c>
      <c r="N3539" s="6" t="str">
        <f>IF(OR($G3539="FCC",$G3539="Hydrocracker",$G3539="Reformer"),IF(COUNTIFS($D:$D,$D3539,$A:$A,$A3539,$B:$B,$B3539,$G:$G,"CDU",$J:$J,"PLANNED")&gt;0,"tied","standalone"),"")</f>
        <v>tied</v>
      </c>
    </row>
    <row r="3540" spans="1:14">
      <c r="A3540" s="6">
        <v>2024</v>
      </c>
      <c r="B3540" s="6">
        <v>4</v>
      </c>
      <c r="C3540" s="6" t="s">
        <v>63</v>
      </c>
      <c r="D3540" s="6" t="s">
        <v>496</v>
      </c>
      <c r="E3540" s="6" t="s">
        <v>441</v>
      </c>
      <c r="F3540" s="6" t="str">
        <f>IF($M3540="PADD I","PADD 1",IF($M3540="PADD II","PADD 2",IF($M3540="PADD III","PADD 3",IF($M3540="PADD IV","PADD 4",IF($M3540="PADD V","PADD 5","")))))</f>
        <v>PADD 3</v>
      </c>
      <c r="G3540" s="6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6" t="s">
        <v>428</v>
      </c>
      <c r="I3540" s="6" t="s">
        <v>1091</v>
      </c>
      <c r="J3540" s="6" t="s">
        <v>398</v>
      </c>
      <c r="K3540" s="10">
        <v>8.74</v>
      </c>
      <c r="L3540" s="10">
        <v>38</v>
      </c>
      <c r="M3540" s="6" t="s">
        <v>421</v>
      </c>
      <c r="N3540" s="6">
        <f>IF(OR($G3540="FCC",$G3540="Hydrocracker",$G3540="Reformer"),IF(COUNTIFS($D:$D,$D3540,$A:$A,$A3540,$B:$B,$B3540,$G:$G,"CDU",$J:$J,"PLANNED")&gt;0,"tied","standalone"),"")</f>
        <v/>
      </c>
    </row>
    <row r="3541" spans="1:14">
      <c r="A3541" s="6">
        <v>2024</v>
      </c>
      <c r="B3541" s="6">
        <v>4</v>
      </c>
      <c r="C3541" s="6" t="s">
        <v>63</v>
      </c>
      <c r="D3541" s="6" t="s">
        <v>534</v>
      </c>
      <c r="E3541" s="6" t="s">
        <v>459</v>
      </c>
      <c r="F3541" s="6" t="str">
        <f>IF($M3541="PADD I","PADD 1",IF($M3541="PADD II","PADD 2",IF($M3541="PADD III","PADD 3",IF($M3541="PADD IV","PADD 4",IF($M3541="PADD V","PADD 5","")))))</f>
        <v>PADD 3</v>
      </c>
      <c r="G3541" s="6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6" t="s">
        <v>44</v>
      </c>
      <c r="I3541" s="6" t="s">
        <v>535</v>
      </c>
      <c r="J3541" s="6" t="s">
        <v>394</v>
      </c>
      <c r="K3541" s="10">
        <v>8.58</v>
      </c>
      <c r="L3541" s="10">
        <v>66</v>
      </c>
      <c r="M3541" s="6" t="s">
        <v>421</v>
      </c>
      <c r="N3541" s="6">
        <f>IF(OR($G3541="FCC",$G3541="Hydrocracker",$G3541="Reformer"),IF(COUNTIFS($D:$D,$D3541,$A:$A,$A3541,$B:$B,$B3541,$G:$G,"CDU",$J:$J,"PLANNED")&gt;0,"tied","standalone"),"")</f>
        <v/>
      </c>
    </row>
    <row r="3542" spans="1:14">
      <c r="A3542" s="6">
        <v>2024</v>
      </c>
      <c r="B3542" s="6">
        <v>4</v>
      </c>
      <c r="C3542" s="6" t="s">
        <v>63</v>
      </c>
      <c r="D3542" s="6" t="s">
        <v>626</v>
      </c>
      <c r="E3542" s="6" t="s">
        <v>419</v>
      </c>
      <c r="F3542" s="6" t="str">
        <f>IF($M3542="PADD I","PADD 1",IF($M3542="PADD II","PADD 2",IF($M3542="PADD III","PADD 3",IF($M3542="PADD IV","PADD 4",IF($M3542="PADD V","PADD 5","")))))</f>
        <v>PADD 3</v>
      </c>
      <c r="G3542" s="6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6" t="s">
        <v>44</v>
      </c>
      <c r="I3542" s="6" t="s">
        <v>1232</v>
      </c>
      <c r="J3542" s="6" t="s">
        <v>398</v>
      </c>
      <c r="K3542" s="10">
        <v>8.460000000000001</v>
      </c>
      <c r="L3542" s="10">
        <v>18</v>
      </c>
      <c r="M3542" s="6" t="s">
        <v>421</v>
      </c>
      <c r="N3542" s="6">
        <f>IF(OR($G3542="FCC",$G3542="Hydrocracker",$G3542="Reformer"),IF(COUNTIFS($D:$D,$D3542,$A:$A,$A3542,$B:$B,$B3542,$G:$G,"CDU",$J:$J,"PLANNED")&gt;0,"tied","standalone"),"")</f>
        <v/>
      </c>
    </row>
    <row r="3543" spans="1:14">
      <c r="A3543" s="6">
        <v>2024</v>
      </c>
      <c r="B3543" s="6">
        <v>4</v>
      </c>
      <c r="C3543" s="6" t="s">
        <v>63</v>
      </c>
      <c r="D3543" s="6" t="s">
        <v>49</v>
      </c>
      <c r="E3543" s="6" t="s">
        <v>438</v>
      </c>
      <c r="F3543" s="6" t="str">
        <f>IF($M3543="PADD I","PADD 1",IF($M3543="PADD II","PADD 2",IF($M3543="PADD III","PADD 3",IF($M3543="PADD IV","PADD 4",IF($M3543="PADD V","PADD 5","")))))</f>
        <v>PADD 2</v>
      </c>
      <c r="G3543" s="6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6" t="s">
        <v>428</v>
      </c>
      <c r="I3543" s="6" t="s">
        <v>481</v>
      </c>
      <c r="J3543" s="6" t="s">
        <v>398</v>
      </c>
      <c r="K3543" s="10">
        <v>8.449999999999999</v>
      </c>
      <c r="L3543" s="10">
        <v>65</v>
      </c>
      <c r="M3543" s="6" t="s">
        <v>425</v>
      </c>
      <c r="N3543" s="6">
        <f>IF(OR($G3543="FCC",$G3543="Hydrocracker",$G3543="Reformer"),IF(COUNTIFS($D:$D,$D3543,$A:$A,$A3543,$B:$B,$B3543,$G:$G,"CDU",$J:$J,"PLANNED")&gt;0,"tied","standalone"),"")</f>
        <v/>
      </c>
    </row>
    <row r="3544" spans="1:14">
      <c r="A3544" s="6">
        <v>2024</v>
      </c>
      <c r="B3544" s="6">
        <v>4</v>
      </c>
      <c r="C3544" s="6" t="s">
        <v>63</v>
      </c>
      <c r="D3544" s="6" t="s">
        <v>375</v>
      </c>
      <c r="E3544" s="6" t="s">
        <v>435</v>
      </c>
      <c r="F3544" s="6" t="str">
        <f>IF($M3544="PADD I","PADD 1",IF($M3544="PADD II","PADD 2",IF($M3544="PADD III","PADD 3",IF($M3544="PADD IV","PADD 4",IF($M3544="PADD V","PADD 5","")))))</f>
        <v>PADD 5</v>
      </c>
      <c r="G3544" s="6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6" t="s">
        <v>494</v>
      </c>
      <c r="I3544" s="6" t="s">
        <v>548</v>
      </c>
      <c r="J3544" s="6" t="s">
        <v>398</v>
      </c>
      <c r="K3544" s="10">
        <v>8.4</v>
      </c>
      <c r="L3544" s="10">
        <v>42</v>
      </c>
      <c r="M3544" s="6" t="s">
        <v>436</v>
      </c>
      <c r="N3544" s="6" t="str">
        <f>IF(OR($G3544="FCC",$G3544="Hydrocracker",$G3544="Reformer"),IF(COUNTIFS($D:$D,$D3544,$A:$A,$A3544,$B:$B,$B3544,$G:$G,"CDU",$J:$J,"PLANNED")&gt;0,"tied","standalone"),"")</f>
        <v>tied</v>
      </c>
    </row>
    <row r="3545" spans="1:14">
      <c r="A3545" s="6">
        <v>2024</v>
      </c>
      <c r="B3545" s="6">
        <v>4</v>
      </c>
      <c r="C3545" s="6" t="s">
        <v>63</v>
      </c>
      <c r="D3545" s="6" t="s">
        <v>540</v>
      </c>
      <c r="E3545" s="6" t="s">
        <v>541</v>
      </c>
      <c r="F3545" s="6" t="str">
        <f>IF($M3545="PADD I","PADD 1",IF($M3545="PADD II","PADD 2",IF($M3545="PADD III","PADD 3",IF($M3545="PADD IV","PADD 4",IF($M3545="PADD V","PADD 5","")))))</f>
        <v>PADD 3</v>
      </c>
      <c r="G3545" s="6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6" t="s">
        <v>428</v>
      </c>
      <c r="I3545" s="6" t="s">
        <v>1070</v>
      </c>
      <c r="J3545" s="6" t="s">
        <v>394</v>
      </c>
      <c r="K3545" s="10">
        <v>8</v>
      </c>
      <c r="L3545" s="10">
        <v>40</v>
      </c>
      <c r="M3545" s="6" t="s">
        <v>421</v>
      </c>
      <c r="N3545" s="6">
        <f>IF(OR($G3545="FCC",$G3545="Hydrocracker",$G3545="Reformer"),IF(COUNTIFS($D:$D,$D3545,$A:$A,$A3545,$B:$B,$B3545,$G:$G,"CDU",$J:$J,"PLANNED")&gt;0,"tied","standalone"),"")</f>
        <v/>
      </c>
    </row>
    <row r="3546" spans="1:14">
      <c r="A3546" s="6">
        <v>2024</v>
      </c>
      <c r="B3546" s="6">
        <v>4</v>
      </c>
      <c r="C3546" s="6" t="s">
        <v>63</v>
      </c>
      <c r="D3546" s="6" t="s">
        <v>518</v>
      </c>
      <c r="E3546" s="6" t="s">
        <v>419</v>
      </c>
      <c r="F3546" s="6" t="str">
        <f>IF($M3546="PADD I","PADD 1",IF($M3546="PADD II","PADD 2",IF($M3546="PADD III","PADD 3",IF($M3546="PADD IV","PADD 4",IF($M3546="PADD V","PADD 5","")))))</f>
        <v>PADD 3</v>
      </c>
      <c r="G3546" s="6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6" t="s">
        <v>471</v>
      </c>
      <c r="I3546" s="6" t="s">
        <v>908</v>
      </c>
      <c r="J3546" s="6" t="s">
        <v>398</v>
      </c>
      <c r="K3546" s="10">
        <v>8</v>
      </c>
      <c r="L3546" s="10">
        <v>20</v>
      </c>
      <c r="M3546" s="6" t="s">
        <v>421</v>
      </c>
      <c r="N3546" s="6" t="str">
        <f>IF(OR($G3546="FCC",$G3546="Hydrocracker",$G3546="Reformer"),IF(COUNTIFS($D:$D,$D3546,$A:$A,$A3546,$B:$B,$B3546,$G:$G,"CDU",$J:$J,"PLANNED")&gt;0,"tied","standalone"),"")</f>
        <v>standalone</v>
      </c>
    </row>
    <row r="3547" spans="1:14">
      <c r="A3547" s="6">
        <v>2024</v>
      </c>
      <c r="B3547" s="6">
        <v>4</v>
      </c>
      <c r="C3547" s="6" t="s">
        <v>63</v>
      </c>
      <c r="D3547" s="6" t="s">
        <v>518</v>
      </c>
      <c r="E3547" s="6" t="s">
        <v>419</v>
      </c>
      <c r="F3547" s="6" t="str">
        <f>IF($M3547="PADD I","PADD 1",IF($M3547="PADD II","PADD 2",IF($M3547="PADD III","PADD 3",IF($M3547="PADD IV","PADD 4",IF($M3547="PADD V","PADD 5","")))))</f>
        <v>PADD 3</v>
      </c>
      <c r="G3547" s="6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6" t="s">
        <v>44</v>
      </c>
      <c r="I3547" s="6" t="s">
        <v>1080</v>
      </c>
      <c r="J3547" s="6" t="s">
        <v>398</v>
      </c>
      <c r="K3547" s="10">
        <v>8</v>
      </c>
      <c r="L3547" s="10">
        <v>20</v>
      </c>
      <c r="M3547" s="6" t="s">
        <v>421</v>
      </c>
      <c r="N3547" s="6">
        <f>IF(OR($G3547="FCC",$G3547="Hydrocracker",$G3547="Reformer"),IF(COUNTIFS($D:$D,$D3547,$A:$A,$A3547,$B:$B,$B3547,$G:$G,"CDU",$J:$J,"PLANNED")&gt;0,"tied","standalone"),"")</f>
        <v/>
      </c>
    </row>
    <row r="3548" spans="1:14">
      <c r="A3548" s="6">
        <v>2024</v>
      </c>
      <c r="B3548" s="6">
        <v>4</v>
      </c>
      <c r="C3548" s="6" t="s">
        <v>63</v>
      </c>
      <c r="D3548" s="6" t="s">
        <v>689</v>
      </c>
      <c r="E3548" s="6" t="s">
        <v>502</v>
      </c>
      <c r="F3548" s="6" t="str">
        <f>IF($M3548="PADD I","PADD 1",IF($M3548="PADD II","PADD 2",IF($M3548="PADD III","PADD 3",IF($M3548="PADD IV","PADD 4",IF($M3548="PADD V","PADD 5","")))))</f>
        <v>PADD 5</v>
      </c>
      <c r="G3548" s="6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6" t="s">
        <v>485</v>
      </c>
      <c r="I3548" s="6" t="s">
        <v>1146</v>
      </c>
      <c r="J3548" s="6" t="s">
        <v>394</v>
      </c>
      <c r="K3548" s="10">
        <v>7.92</v>
      </c>
      <c r="L3548" s="10">
        <v>24</v>
      </c>
      <c r="M3548" s="6" t="s">
        <v>436</v>
      </c>
      <c r="N3548" s="6">
        <f>IF(OR($G3548="FCC",$G3548="Hydrocracker",$G3548="Reformer"),IF(COUNTIFS($D:$D,$D3548,$A:$A,$A3548,$B:$B,$B3548,$G:$G,"CDU",$J:$J,"PLANNED")&gt;0,"tied","standalone"),"")</f>
        <v/>
      </c>
    </row>
    <row r="3549" spans="1:14">
      <c r="A3549" s="6">
        <v>2024</v>
      </c>
      <c r="B3549" s="6">
        <v>4</v>
      </c>
      <c r="C3549" s="6" t="s">
        <v>63</v>
      </c>
      <c r="D3549" s="6" t="s">
        <v>853</v>
      </c>
      <c r="E3549" s="6" t="s">
        <v>438</v>
      </c>
      <c r="F3549" s="6" t="str">
        <f>IF($M3549="PADD I","PADD 1",IF($M3549="PADD II","PADD 2",IF($M3549="PADD III","PADD 3",IF($M3549="PADD IV","PADD 4",IF($M3549="PADD V","PADD 5","")))))</f>
        <v>PADD 2</v>
      </c>
      <c r="G3549" s="6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6" t="s">
        <v>471</v>
      </c>
      <c r="I3549" s="6" t="s">
        <v>609</v>
      </c>
      <c r="J3549" s="6" t="s">
        <v>394</v>
      </c>
      <c r="K3549" s="10">
        <v>7.875</v>
      </c>
      <c r="L3549" s="10">
        <v>11.25</v>
      </c>
      <c r="M3549" s="6" t="s">
        <v>425</v>
      </c>
      <c r="N3549" s="6" t="str">
        <f>IF(OR($G3549="FCC",$G3549="Hydrocracker",$G3549="Reformer"),IF(COUNTIFS($D:$D,$D3549,$A:$A,$A3549,$B:$B,$B3549,$G:$G,"CDU",$J:$J,"PLANNED")&gt;0,"tied","standalone"),"")</f>
        <v>standalone</v>
      </c>
    </row>
    <row r="3550" spans="1:14">
      <c r="A3550" s="6">
        <v>2024</v>
      </c>
      <c r="B3550" s="6">
        <v>4</v>
      </c>
      <c r="C3550" s="6" t="s">
        <v>63</v>
      </c>
      <c r="D3550" s="6" t="s">
        <v>375</v>
      </c>
      <c r="E3550" s="6" t="s">
        <v>435</v>
      </c>
      <c r="F3550" s="6" t="str">
        <f>IF($M3550="PADD I","PADD 1",IF($M3550="PADD II","PADD 2",IF($M3550="PADD III","PADD 3",IF($M3550="PADD IV","PADD 4",IF($M3550="PADD V","PADD 5","")))))</f>
        <v>PADD 5</v>
      </c>
      <c r="G3550" s="6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6" t="s">
        <v>44</v>
      </c>
      <c r="I3550" s="6" t="s">
        <v>1233</v>
      </c>
      <c r="J3550" s="6" t="s">
        <v>398</v>
      </c>
      <c r="K3550" s="10">
        <v>7.8</v>
      </c>
      <c r="L3550" s="10">
        <v>26</v>
      </c>
      <c r="M3550" s="6" t="s">
        <v>436</v>
      </c>
      <c r="N3550" s="6">
        <f>IF(OR($G3550="FCC",$G3550="Hydrocracker",$G3550="Reformer"),IF(COUNTIFS($D:$D,$D3550,$A:$A,$A3550,$B:$B,$B3550,$G:$G,"CDU",$J:$J,"PLANNED")&gt;0,"tied","standalone"),"")</f>
        <v/>
      </c>
    </row>
    <row r="3551" spans="1:14">
      <c r="A3551" s="6">
        <v>2024</v>
      </c>
      <c r="B3551" s="6">
        <v>4</v>
      </c>
      <c r="C3551" s="6" t="s">
        <v>63</v>
      </c>
      <c r="D3551" s="6" t="s">
        <v>487</v>
      </c>
      <c r="E3551" s="6" t="s">
        <v>488</v>
      </c>
      <c r="F3551" s="6" t="str">
        <f>IF($M3551="PADD I","PADD 1",IF($M3551="PADD II","PADD 2",IF($M3551="PADD III","PADD 3",IF($M3551="PADD IV","PADD 4",IF($M3551="PADD V","PADD 5","")))))</f>
        <v>PADD 4</v>
      </c>
      <c r="G3551" s="6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6" t="s">
        <v>39</v>
      </c>
      <c r="I3551" s="6" t="s">
        <v>489</v>
      </c>
      <c r="J3551" s="6" t="s">
        <v>398</v>
      </c>
      <c r="K3551" s="10">
        <v>7.6</v>
      </c>
      <c r="L3551" s="10">
        <v>38</v>
      </c>
      <c r="M3551" s="6" t="s">
        <v>480</v>
      </c>
      <c r="N3551" s="6">
        <f>IF(OR($G3551="FCC",$G3551="Hydrocracker",$G3551="Reformer"),IF(COUNTIFS($D:$D,$D3551,$A:$A,$A3551,$B:$B,$B3551,$G:$G,"CDU",$J:$J,"PLANNED")&gt;0,"tied","standalone"),"")</f>
        <v/>
      </c>
    </row>
    <row r="3552" spans="1:14">
      <c r="A3552" s="6">
        <v>2024</v>
      </c>
      <c r="B3552" s="6">
        <v>4</v>
      </c>
      <c r="C3552" s="6" t="s">
        <v>63</v>
      </c>
      <c r="D3552" s="6" t="s">
        <v>839</v>
      </c>
      <c r="E3552" s="6" t="s">
        <v>840</v>
      </c>
      <c r="F3552" s="6" t="str">
        <f>IF($M3552="PADD I","PADD 1",IF($M3552="PADD II","PADD 2",IF($M3552="PADD III","PADD 3",IF($M3552="PADD IV","PADD 4",IF($M3552="PADD V","PADD 5","")))))</f>
        <v>PADD 3</v>
      </c>
      <c r="G3552" s="6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6" t="s">
        <v>39</v>
      </c>
      <c r="I3552" s="6" t="s">
        <v>1234</v>
      </c>
      <c r="J3552" s="6" t="s">
        <v>398</v>
      </c>
      <c r="K3552" s="10">
        <v>7.5</v>
      </c>
      <c r="L3552" s="10">
        <v>25</v>
      </c>
      <c r="M3552" s="6" t="s">
        <v>421</v>
      </c>
      <c r="N3552" s="6">
        <f>IF(OR($G3552="FCC",$G3552="Hydrocracker",$G3552="Reformer"),IF(COUNTIFS($D:$D,$D3552,$A:$A,$A3552,$B:$B,$B3552,$G:$G,"CDU",$J:$J,"PLANNED")&gt;0,"tied","standalone"),"")</f>
        <v/>
      </c>
    </row>
    <row r="3553" spans="1:14">
      <c r="A3553" s="6">
        <v>2024</v>
      </c>
      <c r="B3553" s="6">
        <v>4</v>
      </c>
      <c r="C3553" s="6" t="s">
        <v>63</v>
      </c>
      <c r="D3553" s="6" t="s">
        <v>515</v>
      </c>
      <c r="E3553" s="6" t="s">
        <v>419</v>
      </c>
      <c r="F3553" s="6" t="str">
        <f>IF($M3553="PADD I","PADD 1",IF($M3553="PADD II","PADD 2",IF($M3553="PADD III","PADD 3",IF($M3553="PADD IV","PADD 4",IF($M3553="PADD V","PADD 5","")))))</f>
        <v>PADD 5</v>
      </c>
      <c r="G3553" s="6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6" t="s">
        <v>471</v>
      </c>
      <c r="I3553" s="6" t="s">
        <v>723</v>
      </c>
      <c r="J3553" s="6" t="s">
        <v>398</v>
      </c>
      <c r="K3553" s="10">
        <v>7.4</v>
      </c>
      <c r="L3553" s="10">
        <v>20</v>
      </c>
      <c r="M3553" s="6" t="s">
        <v>436</v>
      </c>
      <c r="N3553" s="6" t="str">
        <f>IF(OR($G3553="FCC",$G3553="Hydrocracker",$G3553="Reformer"),IF(COUNTIFS($D:$D,$D3553,$A:$A,$A3553,$B:$B,$B3553,$G:$G,"CDU",$J:$J,"PLANNED")&gt;0,"tied","standalone"),"")</f>
        <v>standalone</v>
      </c>
    </row>
    <row r="3554" spans="1:14">
      <c r="A3554" s="6">
        <v>2024</v>
      </c>
      <c r="B3554" s="6">
        <v>4</v>
      </c>
      <c r="C3554" s="6" t="s">
        <v>63</v>
      </c>
      <c r="D3554" s="6" t="s">
        <v>496</v>
      </c>
      <c r="E3554" s="6" t="s">
        <v>441</v>
      </c>
      <c r="F3554" s="6" t="str">
        <f>IF($M3554="PADD I","PADD 1",IF($M3554="PADD II","PADD 2",IF($M3554="PADD III","PADD 3",IF($M3554="PADD IV","PADD 4",IF($M3554="PADD V","PADD 5","")))))</f>
        <v>PADD 3</v>
      </c>
      <c r="G3554" s="6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6" t="s">
        <v>510</v>
      </c>
      <c r="I3554" s="6" t="s">
        <v>1125</v>
      </c>
      <c r="J3554" s="6" t="s">
        <v>394</v>
      </c>
      <c r="K3554" s="10">
        <v>7.2</v>
      </c>
      <c r="L3554" s="10">
        <v>7.2</v>
      </c>
      <c r="M3554" s="6" t="s">
        <v>421</v>
      </c>
      <c r="N3554" s="6">
        <f>IF(OR($G3554="FCC",$G3554="Hydrocracker",$G3554="Reformer"),IF(COUNTIFS($D:$D,$D3554,$A:$A,$A3554,$B:$B,$B3554,$G:$G,"CDU",$J:$J,"PLANNED")&gt;0,"tied","standalone"),"")</f>
        <v/>
      </c>
    </row>
    <row r="3555" spans="1:14">
      <c r="A3555" s="6">
        <v>2024</v>
      </c>
      <c r="B3555" s="6">
        <v>4</v>
      </c>
      <c r="C3555" s="6" t="s">
        <v>63</v>
      </c>
      <c r="D3555" s="6" t="s">
        <v>828</v>
      </c>
      <c r="E3555" s="6" t="s">
        <v>829</v>
      </c>
      <c r="F3555" s="6" t="str">
        <f>IF($M3555="PADD I","PADD 1",IF($M3555="PADD II","PADD 2",IF($M3555="PADD III","PADD 3",IF($M3555="PADD IV","PADD 4",IF($M3555="PADD V","PADD 5","")))))</f>
        <v>PADD 3</v>
      </c>
      <c r="G3555" s="6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6" t="s">
        <v>426</v>
      </c>
      <c r="I3555" s="6" t="s">
        <v>856</v>
      </c>
      <c r="J3555" s="6" t="s">
        <v>394</v>
      </c>
      <c r="K3555" s="10">
        <v>7.15</v>
      </c>
      <c r="L3555" s="10">
        <v>55</v>
      </c>
      <c r="M3555" s="6" t="s">
        <v>421</v>
      </c>
      <c r="N3555" s="6" t="str">
        <f>IF(OR($G3555="FCC",$G3555="Hydrocracker",$G3555="Reformer"),IF(COUNTIFS($D:$D,$D3555,$A:$A,$A3555,$B:$B,$B3555,$G:$G,"CDU",$J:$J,"PLANNED")&gt;0,"tied","standalone"),"")</f>
        <v>standalone</v>
      </c>
    </row>
    <row r="3556" spans="1:14">
      <c r="A3556" s="6">
        <v>2024</v>
      </c>
      <c r="B3556" s="6">
        <v>4</v>
      </c>
      <c r="C3556" s="6" t="s">
        <v>63</v>
      </c>
      <c r="D3556" s="6" t="s">
        <v>682</v>
      </c>
      <c r="E3556" s="6" t="s">
        <v>683</v>
      </c>
      <c r="F3556" s="6" t="str">
        <f>IF($M3556="PADD I","PADD 1",IF($M3556="PADD II","PADD 2",IF($M3556="PADD III","PADD 3",IF($M3556="PADD IV","PADD 4",IF($M3556="PADD V","PADD 5","")))))</f>
        <v>PADD 4</v>
      </c>
      <c r="G3556" s="6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6" t="s">
        <v>471</v>
      </c>
      <c r="I3556" s="6" t="s">
        <v>1120</v>
      </c>
      <c r="J3556" s="6" t="s">
        <v>394</v>
      </c>
      <c r="K3556" s="10">
        <v>7.055</v>
      </c>
      <c r="L3556" s="10">
        <v>8.5</v>
      </c>
      <c r="M3556" s="6" t="s">
        <v>480</v>
      </c>
      <c r="N3556" s="6" t="str">
        <f>IF(OR($G3556="FCC",$G3556="Hydrocracker",$G3556="Reformer"),IF(COUNTIFS($D:$D,$D3556,$A:$A,$A3556,$B:$B,$B3556,$G:$G,"CDU",$J:$J,"PLANNED")&gt;0,"tied","standalone"),"")</f>
        <v>standalone</v>
      </c>
    </row>
    <row r="3557" spans="1:14">
      <c r="A3557" s="6">
        <v>2024</v>
      </c>
      <c r="B3557" s="6">
        <v>4</v>
      </c>
      <c r="C3557" s="6" t="s">
        <v>63</v>
      </c>
      <c r="D3557" s="6" t="s">
        <v>937</v>
      </c>
      <c r="E3557" s="6" t="s">
        <v>455</v>
      </c>
      <c r="F3557" s="6" t="str">
        <f>IF($M3557="PADD I","PADD 1",IF($M3557="PADD II","PADD 2",IF($M3557="PADD III","PADD 3",IF($M3557="PADD IV","PADD 4",IF($M3557="PADD V","PADD 5","")))))</f>
        <v>PADD 3</v>
      </c>
      <c r="G3557" s="6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6" t="s">
        <v>471</v>
      </c>
      <c r="I3557" s="6" t="s">
        <v>589</v>
      </c>
      <c r="J3557" s="6" t="s">
        <v>394</v>
      </c>
      <c r="K3557" s="10">
        <v>6.9</v>
      </c>
      <c r="L3557" s="10">
        <v>23</v>
      </c>
      <c r="M3557" s="6" t="s">
        <v>421</v>
      </c>
      <c r="N3557" s="6" t="str">
        <f>IF(OR($G3557="FCC",$G3557="Hydrocracker",$G3557="Reformer"),IF(COUNTIFS($D:$D,$D3557,$A:$A,$A3557,$B:$B,$B3557,$G:$G,"CDU",$J:$J,"PLANNED")&gt;0,"tied","standalone"),"")</f>
        <v>standalone</v>
      </c>
    </row>
    <row r="3558" spans="1:14">
      <c r="A3558" s="6">
        <v>2024</v>
      </c>
      <c r="B3558" s="6">
        <v>4</v>
      </c>
      <c r="C3558" s="6" t="s">
        <v>63</v>
      </c>
      <c r="D3558" s="6" t="s">
        <v>853</v>
      </c>
      <c r="E3558" s="6" t="s">
        <v>438</v>
      </c>
      <c r="F3558" s="6" t="str">
        <f>IF($M3558="PADD I","PADD 1",IF($M3558="PADD II","PADD 2",IF($M3558="PADD III","PADD 3",IF($M3558="PADD IV","PADD 4",IF($M3558="PADD V","PADD 5","")))))</f>
        <v>PADD 2</v>
      </c>
      <c r="G3558" s="6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6" t="s">
        <v>44</v>
      </c>
      <c r="I3558" s="6" t="s">
        <v>919</v>
      </c>
      <c r="J3558" s="6" t="s">
        <v>398</v>
      </c>
      <c r="K3558" s="10">
        <v>6.7</v>
      </c>
      <c r="L3558" s="10">
        <v>10</v>
      </c>
      <c r="M3558" s="6" t="s">
        <v>425</v>
      </c>
      <c r="N3558" s="6">
        <f>IF(OR($G3558="FCC",$G3558="Hydrocracker",$G3558="Reformer"),IF(COUNTIFS($D:$D,$D3558,$A:$A,$A3558,$B:$B,$B3558,$G:$G,"CDU",$J:$J,"PLANNED")&gt;0,"tied","standalone"),"")</f>
        <v/>
      </c>
    </row>
    <row r="3559" spans="1:14">
      <c r="A3559" s="6">
        <v>2024</v>
      </c>
      <c r="B3559" s="6">
        <v>4</v>
      </c>
      <c r="C3559" s="6" t="s">
        <v>63</v>
      </c>
      <c r="D3559" s="6" t="s">
        <v>515</v>
      </c>
      <c r="E3559" s="6" t="s">
        <v>419</v>
      </c>
      <c r="F3559" s="6" t="str">
        <f>IF($M3559="PADD I","PADD 1",IF($M3559="PADD II","PADD 2",IF($M3559="PADD III","PADD 3",IF($M3559="PADD IV","PADD 4",IF($M3559="PADD V","PADD 5","")))))</f>
        <v>PADD 5</v>
      </c>
      <c r="G3559" s="6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6" t="s">
        <v>44</v>
      </c>
      <c r="I3559" s="6" t="s">
        <v>516</v>
      </c>
      <c r="J3559" s="6" t="s">
        <v>398</v>
      </c>
      <c r="K3559" s="10">
        <v>6.642</v>
      </c>
      <c r="L3559" s="10">
        <v>66.42</v>
      </c>
      <c r="M3559" s="6" t="s">
        <v>436</v>
      </c>
      <c r="N3559" s="6">
        <f>IF(OR($G3559="FCC",$G3559="Hydrocracker",$G3559="Reformer"),IF(COUNTIFS($D:$D,$D3559,$A:$A,$A3559,$B:$B,$B3559,$G:$G,"CDU",$J:$J,"PLANNED")&gt;0,"tied","standalone"),"")</f>
        <v/>
      </c>
    </row>
    <row r="3560" spans="1:14">
      <c r="A3560" s="6">
        <v>2024</v>
      </c>
      <c r="B3560" s="6">
        <v>4</v>
      </c>
      <c r="C3560" s="6" t="s">
        <v>63</v>
      </c>
      <c r="D3560" s="6" t="s">
        <v>824</v>
      </c>
      <c r="E3560" s="6" t="s">
        <v>825</v>
      </c>
      <c r="F3560" s="6" t="str">
        <f>IF($M3560="PADD I","PADD 1",IF($M3560="PADD II","PADD 2",IF($M3560="PADD III","PADD 3",IF($M3560="PADD IV","PADD 4",IF($M3560="PADD V","PADD 5","")))))</f>
        <v>PADD 1</v>
      </c>
      <c r="G3560" s="6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6" t="s">
        <v>44</v>
      </c>
      <c r="I3560" s="6" t="s">
        <v>1196</v>
      </c>
      <c r="J3560" s="6" t="s">
        <v>398</v>
      </c>
      <c r="K3560" s="10">
        <v>6.6033</v>
      </c>
      <c r="L3560" s="10">
        <v>7.59</v>
      </c>
      <c r="M3560" s="6" t="s">
        <v>463</v>
      </c>
      <c r="N3560" s="6">
        <f>IF(OR($G3560="FCC",$G3560="Hydrocracker",$G3560="Reformer"),IF(COUNTIFS($D:$D,$D3560,$A:$A,$A3560,$B:$B,$B3560,$G:$G,"CDU",$J:$J,"PLANNED")&gt;0,"tied","standalone"),"")</f>
        <v/>
      </c>
    </row>
    <row r="3561" spans="1:14">
      <c r="A3561" s="6">
        <v>2024</v>
      </c>
      <c r="B3561" s="6">
        <v>4</v>
      </c>
      <c r="C3561" s="6" t="s">
        <v>63</v>
      </c>
      <c r="D3561" s="6" t="s">
        <v>375</v>
      </c>
      <c r="E3561" s="6" t="s">
        <v>435</v>
      </c>
      <c r="F3561" s="6" t="str">
        <f>IF($M3561="PADD I","PADD 1",IF($M3561="PADD II","PADD 2",IF($M3561="PADD III","PADD 3",IF($M3561="PADD IV","PADD 4",IF($M3561="PADD V","PADD 5","")))))</f>
        <v>PADD 5</v>
      </c>
      <c r="G3561" s="6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6" t="s">
        <v>485</v>
      </c>
      <c r="I3561" s="6" t="s">
        <v>491</v>
      </c>
      <c r="J3561" s="6" t="s">
        <v>398</v>
      </c>
      <c r="K3561" s="10">
        <v>6.6</v>
      </c>
      <c r="L3561" s="10">
        <v>22</v>
      </c>
      <c r="M3561" s="6" t="s">
        <v>436</v>
      </c>
      <c r="N3561" s="6">
        <f>IF(OR($G3561="FCC",$G3561="Hydrocracker",$G3561="Reformer"),IF(COUNTIFS($D:$D,$D3561,$A:$A,$A3561,$B:$B,$B3561,$G:$G,"CDU",$J:$J,"PLANNED")&gt;0,"tied","standalone"),"")</f>
        <v/>
      </c>
    </row>
    <row r="3562" spans="1:14">
      <c r="A3562" s="6">
        <v>2024</v>
      </c>
      <c r="B3562" s="6">
        <v>4</v>
      </c>
      <c r="C3562" s="6" t="s">
        <v>63</v>
      </c>
      <c r="D3562" s="6" t="s">
        <v>496</v>
      </c>
      <c r="E3562" s="6" t="s">
        <v>441</v>
      </c>
      <c r="F3562" s="6" t="str">
        <f>IF($M3562="PADD I","PADD 1",IF($M3562="PADD II","PADD 2",IF($M3562="PADD III","PADD 3",IF($M3562="PADD IV","PADD 4",IF($M3562="PADD V","PADD 5","")))))</f>
        <v>PADD 3</v>
      </c>
      <c r="G3562" s="6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6" t="s">
        <v>428</v>
      </c>
      <c r="I3562" s="6" t="s">
        <v>1091</v>
      </c>
      <c r="J3562" s="6" t="s">
        <v>398</v>
      </c>
      <c r="K3562" s="10">
        <v>6.46</v>
      </c>
      <c r="L3562" s="10">
        <v>38</v>
      </c>
      <c r="M3562" s="6" t="s">
        <v>421</v>
      </c>
      <c r="N3562" s="6">
        <f>IF(OR($G3562="FCC",$G3562="Hydrocracker",$G3562="Reformer"),IF(COUNTIFS($D:$D,$D3562,$A:$A,$A3562,$B:$B,$B3562,$G:$G,"CDU",$J:$J,"PLANNED")&gt;0,"tied","standalone"),"")</f>
        <v/>
      </c>
    </row>
    <row r="3563" spans="1:14">
      <c r="A3563" s="6">
        <v>2024</v>
      </c>
      <c r="B3563" s="6">
        <v>4</v>
      </c>
      <c r="C3563" s="6" t="s">
        <v>63</v>
      </c>
      <c r="D3563" s="6" t="s">
        <v>626</v>
      </c>
      <c r="E3563" s="6" t="s">
        <v>419</v>
      </c>
      <c r="F3563" s="6" t="str">
        <f>IF($M3563="PADD I","PADD 1",IF($M3563="PADD II","PADD 2",IF($M3563="PADD III","PADD 3",IF($M3563="PADD IV","PADD 4",IF($M3563="PADD V","PADD 5","")))))</f>
        <v>PADD 3</v>
      </c>
      <c r="G3563" s="6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6" t="s">
        <v>426</v>
      </c>
      <c r="I3563" s="6" t="s">
        <v>106</v>
      </c>
      <c r="J3563" s="6" t="s">
        <v>394</v>
      </c>
      <c r="K3563" s="10">
        <v>6.032</v>
      </c>
      <c r="L3563" s="10">
        <v>46.4</v>
      </c>
      <c r="M3563" s="6" t="s">
        <v>421</v>
      </c>
      <c r="N3563" s="6" t="str">
        <f>IF(OR($G3563="FCC",$G3563="Hydrocracker",$G3563="Reformer"),IF(COUNTIFS($D:$D,$D3563,$A:$A,$A3563,$B:$B,$B3563,$G:$G,"CDU",$J:$J,"PLANNED")&gt;0,"tied","standalone"),"")</f>
        <v>standalone</v>
      </c>
    </row>
    <row r="3564" spans="1:14">
      <c r="A3564" s="6">
        <v>2024</v>
      </c>
      <c r="B3564" s="6">
        <v>4</v>
      </c>
      <c r="C3564" s="6" t="s">
        <v>63</v>
      </c>
      <c r="D3564" s="6" t="s">
        <v>665</v>
      </c>
      <c r="E3564" s="6" t="s">
        <v>455</v>
      </c>
      <c r="F3564" s="6" t="str">
        <f>IF($M3564="PADD I","PADD 1",IF($M3564="PADD II","PADD 2",IF($M3564="PADD III","PADD 3",IF($M3564="PADD IV","PADD 4",IF($M3564="PADD V","PADD 5","")))))</f>
        <v>PADD 5</v>
      </c>
      <c r="G3564" s="6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6" t="s">
        <v>44</v>
      </c>
      <c r="I3564" s="6" t="s">
        <v>1235</v>
      </c>
      <c r="J3564" s="6" t="s">
        <v>398</v>
      </c>
      <c r="K3564" s="10">
        <v>6</v>
      </c>
      <c r="L3564" s="10">
        <v>12</v>
      </c>
      <c r="M3564" s="6" t="s">
        <v>436</v>
      </c>
      <c r="N3564" s="6">
        <f>IF(OR($G3564="FCC",$G3564="Hydrocracker",$G3564="Reformer"),IF(COUNTIFS($D:$D,$D3564,$A:$A,$A3564,$B:$B,$B3564,$G:$G,"CDU",$J:$J,"PLANNED")&gt;0,"tied","standalone"),"")</f>
        <v/>
      </c>
    </row>
    <row r="3565" spans="1:14">
      <c r="A3565" s="6">
        <v>2024</v>
      </c>
      <c r="B3565" s="6">
        <v>4</v>
      </c>
      <c r="C3565" s="6" t="s">
        <v>63</v>
      </c>
      <c r="D3565" s="6" t="s">
        <v>515</v>
      </c>
      <c r="E3565" s="6" t="s">
        <v>419</v>
      </c>
      <c r="F3565" s="6" t="str">
        <f>IF($M3565="PADD I","PADD 1",IF($M3565="PADD II","PADD 2",IF($M3565="PADD III","PADD 3",IF($M3565="PADD IV","PADD 4",IF($M3565="PADD V","PADD 5","")))))</f>
        <v>PADD 5</v>
      </c>
      <c r="G3565" s="6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6" t="s">
        <v>471</v>
      </c>
      <c r="I3565" s="6" t="s">
        <v>723</v>
      </c>
      <c r="J3565" s="6" t="s">
        <v>398</v>
      </c>
      <c r="K3565" s="10">
        <v>6</v>
      </c>
      <c r="L3565" s="10">
        <v>20</v>
      </c>
      <c r="M3565" s="6" t="s">
        <v>436</v>
      </c>
      <c r="N3565" s="6" t="str">
        <f>IF(OR($G3565="FCC",$G3565="Hydrocracker",$G3565="Reformer"),IF(COUNTIFS($D:$D,$D3565,$A:$A,$A3565,$B:$B,$B3565,$G:$G,"CDU",$J:$J,"PLANNED")&gt;0,"tied","standalone"),"")</f>
        <v>standalone</v>
      </c>
    </row>
    <row r="3566" spans="1:14">
      <c r="A3566" s="6">
        <v>2024</v>
      </c>
      <c r="B3566" s="6">
        <v>4</v>
      </c>
      <c r="C3566" s="6" t="s">
        <v>63</v>
      </c>
      <c r="D3566" s="6" t="s">
        <v>765</v>
      </c>
      <c r="E3566" s="6" t="s">
        <v>766</v>
      </c>
      <c r="F3566" s="6" t="str">
        <f>IF($M3566="PADD I","PADD 1",IF($M3566="PADD II","PADD 2",IF($M3566="PADD III","PADD 3",IF($M3566="PADD IV","PADD 4",IF($M3566="PADD V","PADD 5","")))))</f>
        <v>PADD 2</v>
      </c>
      <c r="G3566" s="6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6" t="s">
        <v>471</v>
      </c>
      <c r="I3566" s="6" t="s">
        <v>589</v>
      </c>
      <c r="J3566" s="6" t="s">
        <v>398</v>
      </c>
      <c r="K3566" s="10">
        <v>5.85</v>
      </c>
      <c r="L3566" s="10">
        <v>6.5</v>
      </c>
      <c r="M3566" s="6" t="s">
        <v>425</v>
      </c>
      <c r="N3566" s="6" t="str">
        <f>IF(OR($G3566="FCC",$G3566="Hydrocracker",$G3566="Reformer"),IF(COUNTIFS($D:$D,$D3566,$A:$A,$A3566,$B:$B,$B3566,$G:$G,"CDU",$J:$J,"PLANNED")&gt;0,"tied","standalone"),"")</f>
        <v>tied</v>
      </c>
    </row>
    <row r="3567" spans="1:14">
      <c r="A3567" s="6">
        <v>2024</v>
      </c>
      <c r="B3567" s="6">
        <v>4</v>
      </c>
      <c r="C3567" s="6" t="s">
        <v>63</v>
      </c>
      <c r="D3567" s="6" t="s">
        <v>765</v>
      </c>
      <c r="E3567" s="6" t="s">
        <v>766</v>
      </c>
      <c r="F3567" s="6" t="str">
        <f>IF($M3567="PADD I","PADD 1",IF($M3567="PADD II","PADD 2",IF($M3567="PADD III","PADD 3",IF($M3567="PADD IV","PADD 4",IF($M3567="PADD V","PADD 5","")))))</f>
        <v>PADD 2</v>
      </c>
      <c r="G3567" s="6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6" t="s">
        <v>44</v>
      </c>
      <c r="I3567" s="6" t="s">
        <v>508</v>
      </c>
      <c r="J3567" s="6" t="s">
        <v>398</v>
      </c>
      <c r="K3567" s="10">
        <v>5.85</v>
      </c>
      <c r="L3567" s="10">
        <v>6.5</v>
      </c>
      <c r="M3567" s="6" t="s">
        <v>425</v>
      </c>
      <c r="N3567" s="6">
        <f>IF(OR($G3567="FCC",$G3567="Hydrocracker",$G3567="Reformer"),IF(COUNTIFS($D:$D,$D3567,$A:$A,$A3567,$B:$B,$B3567,$G:$G,"CDU",$J:$J,"PLANNED")&gt;0,"tied","standalone"),"")</f>
        <v/>
      </c>
    </row>
    <row r="3568" spans="1:14">
      <c r="A3568" s="6">
        <v>2024</v>
      </c>
      <c r="B3568" s="6">
        <v>4</v>
      </c>
      <c r="C3568" s="6" t="s">
        <v>63</v>
      </c>
      <c r="D3568" s="6" t="s">
        <v>422</v>
      </c>
      <c r="E3568" s="6" t="s">
        <v>423</v>
      </c>
      <c r="F3568" s="6" t="str">
        <f>IF($M3568="PADD I","PADD 1",IF($M3568="PADD II","PADD 2",IF($M3568="PADD III","PADD 3",IF($M3568="PADD IV","PADD 4",IF($M3568="PADD V","PADD 5","")))))</f>
        <v>PADD 2</v>
      </c>
      <c r="G3568" s="6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6" t="s">
        <v>485</v>
      </c>
      <c r="I3568" s="6" t="s">
        <v>517</v>
      </c>
      <c r="J3568" s="6" t="s">
        <v>394</v>
      </c>
      <c r="K3568" s="10">
        <v>5.75</v>
      </c>
      <c r="L3568" s="10">
        <v>25</v>
      </c>
      <c r="M3568" s="6" t="s">
        <v>425</v>
      </c>
      <c r="N3568" s="6">
        <f>IF(OR($G3568="FCC",$G3568="Hydrocracker",$G3568="Reformer"),IF(COUNTIFS($D:$D,$D3568,$A:$A,$A3568,$B:$B,$B3568,$G:$G,"CDU",$J:$J,"PLANNED")&gt;0,"tied","standalone"),"")</f>
        <v/>
      </c>
    </row>
    <row r="3569" spans="1:14">
      <c r="A3569" s="6">
        <v>2024</v>
      </c>
      <c r="B3569" s="6">
        <v>4</v>
      </c>
      <c r="C3569" s="6" t="s">
        <v>63</v>
      </c>
      <c r="D3569" s="6" t="s">
        <v>1110</v>
      </c>
      <c r="E3569" s="6" t="s">
        <v>1089</v>
      </c>
      <c r="F3569" s="6" t="str">
        <f>IF($M3569="PADD I","PADD 1",IF($M3569="PADD II","PADD 2",IF($M3569="PADD III","PADD 3",IF($M3569="PADD IV","PADD 4",IF($M3569="PADD V","PADD 5","")))))</f>
        <v>PADD 2</v>
      </c>
      <c r="G3569" s="6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6" t="s">
        <v>44</v>
      </c>
      <c r="I3569" s="6" t="s">
        <v>1236</v>
      </c>
      <c r="J3569" s="6" t="s">
        <v>394</v>
      </c>
      <c r="K3569" s="10">
        <v>5.565</v>
      </c>
      <c r="L3569" s="10">
        <v>10.5</v>
      </c>
      <c r="M3569" s="6" t="s">
        <v>425</v>
      </c>
      <c r="N3569" s="6">
        <f>IF(OR($G3569="FCC",$G3569="Hydrocracker",$G3569="Reformer"),IF(COUNTIFS($D:$D,$D3569,$A:$A,$A3569,$B:$B,$B3569,$G:$G,"CDU",$J:$J,"PLANNED")&gt;0,"tied","standalone"),"")</f>
        <v/>
      </c>
    </row>
    <row r="3570" spans="1:14">
      <c r="A3570" s="6">
        <v>2024</v>
      </c>
      <c r="B3570" s="6">
        <v>4</v>
      </c>
      <c r="C3570" s="6" t="s">
        <v>63</v>
      </c>
      <c r="D3570" s="6" t="s">
        <v>838</v>
      </c>
      <c r="E3570" s="6" t="s">
        <v>455</v>
      </c>
      <c r="F3570" s="6" t="str">
        <f>IF($M3570="PADD I","PADD 1",IF($M3570="PADD II","PADD 2",IF($M3570="PADD III","PADD 3",IF($M3570="PADD IV","PADD 4",IF($M3570="PADD V","PADD 5","")))))</f>
        <v>PADD 3</v>
      </c>
      <c r="G3570" s="6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6" t="s">
        <v>494</v>
      </c>
      <c r="I3570" s="6" t="s">
        <v>881</v>
      </c>
      <c r="J3570" s="6" t="s">
        <v>394</v>
      </c>
      <c r="K3570" s="10">
        <v>5.5</v>
      </c>
      <c r="L3570" s="10">
        <v>55</v>
      </c>
      <c r="M3570" s="6" t="s">
        <v>421</v>
      </c>
      <c r="N3570" s="6" t="str">
        <f>IF(OR($G3570="FCC",$G3570="Hydrocracker",$G3570="Reformer"),IF(COUNTIFS($D:$D,$D3570,$A:$A,$A3570,$B:$B,$B3570,$G:$G,"CDU",$J:$J,"PLANNED")&gt;0,"tied","standalone"),"")</f>
        <v>standalone</v>
      </c>
    </row>
    <row r="3571" spans="1:14">
      <c r="A3571" s="6">
        <v>2024</v>
      </c>
      <c r="B3571" s="6">
        <v>4</v>
      </c>
      <c r="C3571" s="6" t="s">
        <v>63</v>
      </c>
      <c r="D3571" s="6" t="s">
        <v>928</v>
      </c>
      <c r="E3571" s="6" t="s">
        <v>502</v>
      </c>
      <c r="F3571" s="6" t="str">
        <f>IF($M3571="PADD I","PADD 1",IF($M3571="PADD II","PADD 2",IF($M3571="PADD III","PADD 3",IF($M3571="PADD IV","PADD 4",IF($M3571="PADD V","PADD 5","")))))</f>
        <v>PADD 2</v>
      </c>
      <c r="G3571" s="6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6" t="s">
        <v>485</v>
      </c>
      <c r="I3571" s="6" t="s">
        <v>491</v>
      </c>
      <c r="J3571" s="6" t="s">
        <v>394</v>
      </c>
      <c r="K3571" s="10">
        <v>5.355</v>
      </c>
      <c r="L3571" s="10">
        <v>8.5</v>
      </c>
      <c r="M3571" s="6" t="s">
        <v>425</v>
      </c>
      <c r="N3571" s="6">
        <f>IF(OR($G3571="FCC",$G3571="Hydrocracker",$G3571="Reformer"),IF(COUNTIFS($D:$D,$D3571,$A:$A,$A3571,$B:$B,$B3571,$G:$G,"CDU",$J:$J,"PLANNED")&gt;0,"tied","standalone"),"")</f>
        <v/>
      </c>
    </row>
    <row r="3572" spans="1:14">
      <c r="A3572" s="6">
        <v>2024</v>
      </c>
      <c r="B3572" s="6">
        <v>4</v>
      </c>
      <c r="C3572" s="6" t="s">
        <v>63</v>
      </c>
      <c r="D3572" s="6" t="s">
        <v>496</v>
      </c>
      <c r="E3572" s="6" t="s">
        <v>441</v>
      </c>
      <c r="F3572" s="6" t="str">
        <f>IF($M3572="PADD I","PADD 1",IF($M3572="PADD II","PADD 2",IF($M3572="PADD III","PADD 3",IF($M3572="PADD IV","PADD 4",IF($M3572="PADD V","PADD 5","")))))</f>
        <v>PADD 3</v>
      </c>
      <c r="G3572" s="6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6" t="s">
        <v>428</v>
      </c>
      <c r="I3572" s="6" t="s">
        <v>1091</v>
      </c>
      <c r="J3572" s="6" t="s">
        <v>394</v>
      </c>
      <c r="K3572" s="10">
        <v>5.33</v>
      </c>
      <c r="L3572" s="10">
        <v>41</v>
      </c>
      <c r="M3572" s="6" t="s">
        <v>421</v>
      </c>
      <c r="N3572" s="6">
        <f>IF(OR($G3572="FCC",$G3572="Hydrocracker",$G3572="Reformer"),IF(COUNTIFS($D:$D,$D3572,$A:$A,$A3572,$B:$B,$B3572,$G:$G,"CDU",$J:$J,"PLANNED")&gt;0,"tied","standalone"),"")</f>
        <v/>
      </c>
    </row>
    <row r="3573" spans="1:14">
      <c r="A3573" s="6">
        <v>2024</v>
      </c>
      <c r="B3573" s="6">
        <v>4</v>
      </c>
      <c r="C3573" s="6" t="s">
        <v>63</v>
      </c>
      <c r="D3573" s="6" t="s">
        <v>380</v>
      </c>
      <c r="E3573" s="6" t="s">
        <v>423</v>
      </c>
      <c r="F3573" s="6" t="str">
        <f>IF($M3573="PADD I","PADD 1",IF($M3573="PADD II","PADD 2",IF($M3573="PADD III","PADD 3",IF($M3573="PADD IV","PADD 4",IF($M3573="PADD V","PADD 5","")))))</f>
        <v>PADD 2</v>
      </c>
      <c r="G3573" s="6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6" t="s">
        <v>485</v>
      </c>
      <c r="I3573" s="6" t="s">
        <v>491</v>
      </c>
      <c r="J3573" s="6" t="s">
        <v>394</v>
      </c>
      <c r="K3573" s="10">
        <v>5.29</v>
      </c>
      <c r="L3573" s="10">
        <v>23</v>
      </c>
      <c r="M3573" s="6" t="s">
        <v>425</v>
      </c>
      <c r="N3573" s="6">
        <f>IF(OR($G3573="FCC",$G3573="Hydrocracker",$G3573="Reformer"),IF(COUNTIFS($D:$D,$D3573,$A:$A,$A3573,$B:$B,$B3573,$G:$G,"CDU",$J:$J,"PLANNED")&gt;0,"tied","standalone"),"")</f>
        <v/>
      </c>
    </row>
    <row r="3574" spans="1:14">
      <c r="A3574" s="6">
        <v>2024</v>
      </c>
      <c r="B3574" s="6">
        <v>4</v>
      </c>
      <c r="C3574" s="6" t="s">
        <v>63</v>
      </c>
      <c r="D3574" s="6" t="s">
        <v>515</v>
      </c>
      <c r="E3574" s="6" t="s">
        <v>419</v>
      </c>
      <c r="F3574" s="6" t="str">
        <f>IF($M3574="PADD I","PADD 1",IF($M3574="PADD II","PADD 2",IF($M3574="PADD III","PADD 3",IF($M3574="PADD IV","PADD 4",IF($M3574="PADD V","PADD 5","")))))</f>
        <v>PADD 5</v>
      </c>
      <c r="G3574" s="6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6" t="s">
        <v>44</v>
      </c>
      <c r="I3574" s="6" t="s">
        <v>1166</v>
      </c>
      <c r="J3574" s="6" t="s">
        <v>398</v>
      </c>
      <c r="K3574" s="10">
        <v>5.2</v>
      </c>
      <c r="L3574" s="10">
        <v>52</v>
      </c>
      <c r="M3574" s="6" t="s">
        <v>436</v>
      </c>
      <c r="N3574" s="6">
        <f>IF(OR($G3574="FCC",$G3574="Hydrocracker",$G3574="Reformer"),IF(COUNTIFS($D:$D,$D3574,$A:$A,$A3574,$B:$B,$B3574,$G:$G,"CDU",$J:$J,"PLANNED")&gt;0,"tied","standalone"),"")</f>
        <v/>
      </c>
    </row>
    <row r="3575" spans="1:14">
      <c r="A3575" s="6">
        <v>2024</v>
      </c>
      <c r="B3575" s="6">
        <v>4</v>
      </c>
      <c r="C3575" s="6" t="s">
        <v>63</v>
      </c>
      <c r="D3575" s="6" t="s">
        <v>458</v>
      </c>
      <c r="E3575" s="6" t="s">
        <v>459</v>
      </c>
      <c r="F3575" s="6" t="str">
        <f>IF($M3575="PADD I","PADD 1",IF($M3575="PADD II","PADD 2",IF($M3575="PADD III","PADD 3",IF($M3575="PADD IV","PADD 4",IF($M3575="PADD V","PADD 5","")))))</f>
        <v>PADD 3</v>
      </c>
      <c r="G3575" s="6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6" t="s">
        <v>44</v>
      </c>
      <c r="I3575" s="6" t="s">
        <v>552</v>
      </c>
      <c r="J3575" s="6" t="s">
        <v>398</v>
      </c>
      <c r="K3575" s="10">
        <v>5.1</v>
      </c>
      <c r="L3575" s="10">
        <v>30</v>
      </c>
      <c r="M3575" s="6" t="s">
        <v>421</v>
      </c>
      <c r="N3575" s="6">
        <f>IF(OR($G3575="FCC",$G3575="Hydrocracker",$G3575="Reformer"),IF(COUNTIFS($D:$D,$D3575,$A:$A,$A3575,$B:$B,$B3575,$G:$G,"CDU",$J:$J,"PLANNED")&gt;0,"tied","standalone"),"")</f>
        <v/>
      </c>
    </row>
    <row r="3576" spans="1:14">
      <c r="A3576" s="6">
        <v>2024</v>
      </c>
      <c r="B3576" s="6">
        <v>4</v>
      </c>
      <c r="C3576" s="6" t="s">
        <v>63</v>
      </c>
      <c r="D3576" s="6" t="s">
        <v>458</v>
      </c>
      <c r="E3576" s="6" t="s">
        <v>459</v>
      </c>
      <c r="F3576" s="6" t="str">
        <f>IF($M3576="PADD I","PADD 1",IF($M3576="PADD II","PADD 2",IF($M3576="PADD III","PADD 3",IF($M3576="PADD IV","PADD 4",IF($M3576="PADD V","PADD 5","")))))</f>
        <v>PADD 3</v>
      </c>
      <c r="G3576" s="6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6" t="s">
        <v>44</v>
      </c>
      <c r="I3576" s="6" t="s">
        <v>553</v>
      </c>
      <c r="J3576" s="6" t="s">
        <v>398</v>
      </c>
      <c r="K3576" s="10">
        <v>5.1</v>
      </c>
      <c r="L3576" s="10">
        <v>30</v>
      </c>
      <c r="M3576" s="6" t="s">
        <v>421</v>
      </c>
      <c r="N3576" s="6">
        <f>IF(OR($G3576="FCC",$G3576="Hydrocracker",$G3576="Reformer"),IF(COUNTIFS($D:$D,$D3576,$A:$A,$A3576,$B:$B,$B3576,$G:$G,"CDU",$J:$J,"PLANNED")&gt;0,"tied","standalone"),"")</f>
        <v/>
      </c>
    </row>
    <row r="3577" spans="1:14">
      <c r="A3577" s="6">
        <v>2024</v>
      </c>
      <c r="B3577" s="6">
        <v>4</v>
      </c>
      <c r="C3577" s="6" t="s">
        <v>63</v>
      </c>
      <c r="D3577" s="6" t="s">
        <v>540</v>
      </c>
      <c r="E3577" s="6" t="s">
        <v>541</v>
      </c>
      <c r="F3577" s="6" t="str">
        <f>IF($M3577="PADD I","PADD 1",IF($M3577="PADD II","PADD 2",IF($M3577="PADD III","PADD 3",IF($M3577="PADD IV","PADD 4",IF($M3577="PADD V","PADD 5","")))))</f>
        <v>PADD 3</v>
      </c>
      <c r="G3577" s="6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6" t="s">
        <v>44</v>
      </c>
      <c r="I3577" s="6" t="s">
        <v>1007</v>
      </c>
      <c r="J3577" s="6" t="s">
        <v>394</v>
      </c>
      <c r="K3577" s="10">
        <v>5.04</v>
      </c>
      <c r="L3577" s="10">
        <v>25.2</v>
      </c>
      <c r="M3577" s="6" t="s">
        <v>421</v>
      </c>
      <c r="N3577" s="6">
        <f>IF(OR($G3577="FCC",$G3577="Hydrocracker",$G3577="Reformer"),IF(COUNTIFS($D:$D,$D3577,$A:$A,$A3577,$B:$B,$B3577,$G:$G,"CDU",$J:$J,"PLANNED")&gt;0,"tied","standalone"),"")</f>
        <v/>
      </c>
    </row>
    <row r="3578" spans="1:14">
      <c r="A3578" s="6">
        <v>2024</v>
      </c>
      <c r="B3578" s="6">
        <v>4</v>
      </c>
      <c r="C3578" s="6" t="s">
        <v>63</v>
      </c>
      <c r="D3578" s="6" t="s">
        <v>838</v>
      </c>
      <c r="E3578" s="6" t="s">
        <v>455</v>
      </c>
      <c r="F3578" s="6" t="str">
        <f>IF($M3578="PADD I","PADD 1",IF($M3578="PADD II","PADD 2",IF($M3578="PADD III","PADD 3",IF($M3578="PADD IV","PADD 4",IF($M3578="PADD V","PADD 5","")))))</f>
        <v>PADD 3</v>
      </c>
      <c r="G3578" s="6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6" t="s">
        <v>428</v>
      </c>
      <c r="I3578" s="6" t="s">
        <v>862</v>
      </c>
      <c r="J3578" s="6" t="s">
        <v>394</v>
      </c>
      <c r="K3578" s="10">
        <v>5</v>
      </c>
      <c r="L3578" s="10">
        <v>50</v>
      </c>
      <c r="M3578" s="6" t="s">
        <v>421</v>
      </c>
      <c r="N3578" s="6">
        <f>IF(OR($G3578="FCC",$G3578="Hydrocracker",$G3578="Reformer"),IF(COUNTIFS($D:$D,$D3578,$A:$A,$A3578,$B:$B,$B3578,$G:$G,"CDU",$J:$J,"PLANNED")&gt;0,"tied","standalone"),"")</f>
        <v/>
      </c>
    </row>
    <row r="3579" spans="1:14">
      <c r="A3579" s="6">
        <v>2024</v>
      </c>
      <c r="B3579" s="6">
        <v>4</v>
      </c>
      <c r="C3579" s="6" t="s">
        <v>63</v>
      </c>
      <c r="D3579" s="6" t="s">
        <v>652</v>
      </c>
      <c r="E3579" s="6" t="s">
        <v>419</v>
      </c>
      <c r="F3579" s="6" t="str">
        <f>IF($M3579="PADD I","PADD 1",IF($M3579="PADD II","PADD 2",IF($M3579="PADD III","PADD 3",IF($M3579="PADD IV","PADD 4",IF($M3579="PADD V","PADD 5","")))))</f>
        <v>PADD 2</v>
      </c>
      <c r="G3579" s="6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6" t="s">
        <v>510</v>
      </c>
      <c r="I3579" s="6" t="s">
        <v>666</v>
      </c>
      <c r="J3579" s="6" t="s">
        <v>394</v>
      </c>
      <c r="K3579" s="10">
        <v>4.8</v>
      </c>
      <c r="L3579" s="10">
        <v>12</v>
      </c>
      <c r="M3579" s="6" t="s">
        <v>425</v>
      </c>
      <c r="N3579" s="6">
        <f>IF(OR($G3579="FCC",$G3579="Hydrocracker",$G3579="Reformer"),IF(COUNTIFS($D:$D,$D3579,$A:$A,$A3579,$B:$B,$B3579,$G:$G,"CDU",$J:$J,"PLANNED")&gt;0,"tied","standalone"),"")</f>
        <v/>
      </c>
    </row>
    <row r="3580" spans="1:14">
      <c r="A3580" s="6">
        <v>2024</v>
      </c>
      <c r="B3580" s="6">
        <v>4</v>
      </c>
      <c r="C3580" s="6" t="s">
        <v>63</v>
      </c>
      <c r="D3580" s="6" t="s">
        <v>395</v>
      </c>
      <c r="E3580" s="6" t="s">
        <v>433</v>
      </c>
      <c r="F3580" s="6" t="str">
        <f>IF($M3580="PADD I","PADD 1",IF($M3580="PADD II","PADD 2",IF($M3580="PADD III","PADD 3",IF($M3580="PADD IV","PADD 4",IF($M3580="PADD V","PADD 5","")))))</f>
        <v>PADD 2</v>
      </c>
      <c r="G3580" s="6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6" t="s">
        <v>510</v>
      </c>
      <c r="I3580" s="6" t="s">
        <v>511</v>
      </c>
      <c r="J3580" s="6" t="s">
        <v>398</v>
      </c>
      <c r="K3580" s="10">
        <v>4.77</v>
      </c>
      <c r="L3580" s="10">
        <v>9</v>
      </c>
      <c r="M3580" s="6" t="s">
        <v>425</v>
      </c>
      <c r="N3580" s="6">
        <f>IF(OR($G3580="FCC",$G3580="Hydrocracker",$G3580="Reformer"),IF(COUNTIFS($D:$D,$D3580,$A:$A,$A3580,$B:$B,$B3580,$G:$G,"CDU",$J:$J,"PLANNED")&gt;0,"tied","standalone"),"")</f>
        <v/>
      </c>
    </row>
    <row r="3581" spans="1:14">
      <c r="A3581" s="6">
        <v>2024</v>
      </c>
      <c r="B3581" s="6">
        <v>4</v>
      </c>
      <c r="C3581" s="6" t="s">
        <v>63</v>
      </c>
      <c r="D3581" s="6" t="s">
        <v>576</v>
      </c>
      <c r="E3581" s="6" t="s">
        <v>455</v>
      </c>
      <c r="F3581" s="6" t="str">
        <f>IF($M3581="PADD I","PADD 1",IF($M3581="PADD II","PADD 2",IF($M3581="PADD III","PADD 3",IF($M3581="PADD IV","PADD 4",IF($M3581="PADD V","PADD 5","")))))</f>
        <v>PADD 3</v>
      </c>
      <c r="G3581" s="6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6" t="s">
        <v>44</v>
      </c>
      <c r="I3581" s="6" t="s">
        <v>1126</v>
      </c>
      <c r="J3581" s="6" t="s">
        <v>398</v>
      </c>
      <c r="K3581" s="10">
        <v>4.7</v>
      </c>
      <c r="L3581" s="10">
        <v>47</v>
      </c>
      <c r="M3581" s="6" t="s">
        <v>421</v>
      </c>
      <c r="N3581" s="6">
        <f>IF(OR($G3581="FCC",$G3581="Hydrocracker",$G3581="Reformer"),IF(COUNTIFS($D:$D,$D3581,$A:$A,$A3581,$B:$B,$B3581,$G:$G,"CDU",$J:$J,"PLANNED")&gt;0,"tied","standalone"),"")</f>
        <v/>
      </c>
    </row>
    <row r="3582" spans="1:14">
      <c r="A3582" s="6">
        <v>2024</v>
      </c>
      <c r="B3582" s="6">
        <v>4</v>
      </c>
      <c r="C3582" s="6" t="s">
        <v>63</v>
      </c>
      <c r="D3582" s="6" t="s">
        <v>824</v>
      </c>
      <c r="E3582" s="6" t="s">
        <v>825</v>
      </c>
      <c r="F3582" s="6" t="str">
        <f>IF($M3582="PADD I","PADD 1",IF($M3582="PADD II","PADD 2",IF($M3582="PADD III","PADD 3",IF($M3582="PADD IV","PADD 4",IF($M3582="PADD V","PADD 5","")))))</f>
        <v>PADD 1</v>
      </c>
      <c r="G3582" s="6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6" t="s">
        <v>494</v>
      </c>
      <c r="I3582" s="6" t="s">
        <v>14</v>
      </c>
      <c r="J3582" s="6" t="s">
        <v>398</v>
      </c>
      <c r="K3582" s="10">
        <v>4.698</v>
      </c>
      <c r="L3582" s="10">
        <v>5.4</v>
      </c>
      <c r="M3582" s="6" t="s">
        <v>463</v>
      </c>
      <c r="N3582" s="6" t="str">
        <f>IF(OR($G3582="FCC",$G3582="Hydrocracker",$G3582="Reformer"),IF(COUNTIFS($D:$D,$D3582,$A:$A,$A3582,$B:$B,$B3582,$G:$G,"CDU",$J:$J,"PLANNED")&gt;0,"tied","standalone"),"")</f>
        <v>tied</v>
      </c>
    </row>
    <row r="3583" spans="1:14">
      <c r="A3583" s="6">
        <v>2024</v>
      </c>
      <c r="B3583" s="6">
        <v>4</v>
      </c>
      <c r="C3583" s="6" t="s">
        <v>63</v>
      </c>
      <c r="D3583" s="6" t="s">
        <v>1110</v>
      </c>
      <c r="E3583" s="6" t="s">
        <v>1089</v>
      </c>
      <c r="F3583" s="6" t="str">
        <f>IF($M3583="PADD I","PADD 1",IF($M3583="PADD II","PADD 2",IF($M3583="PADD III","PADD 3",IF($M3583="PADD IV","PADD 4",IF($M3583="PADD V","PADD 5","")))))</f>
        <v>PADD 2</v>
      </c>
      <c r="G3583" s="6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6" t="s">
        <v>44</v>
      </c>
      <c r="I3583" s="6" t="s">
        <v>1237</v>
      </c>
      <c r="J3583" s="6" t="s">
        <v>394</v>
      </c>
      <c r="K3583" s="10">
        <v>4.6375</v>
      </c>
      <c r="L3583" s="10">
        <v>8.75</v>
      </c>
      <c r="M3583" s="6" t="s">
        <v>425</v>
      </c>
      <c r="N3583" s="6">
        <f>IF(OR($G3583="FCC",$G3583="Hydrocracker",$G3583="Reformer"),IF(COUNTIFS($D:$D,$D3583,$A:$A,$A3583,$B:$B,$B3583,$G:$G,"CDU",$J:$J,"PLANNED")&gt;0,"tied","standalone"),"")</f>
        <v/>
      </c>
    </row>
    <row r="3584" spans="1:14">
      <c r="A3584" s="6">
        <v>2024</v>
      </c>
      <c r="B3584" s="6">
        <v>4</v>
      </c>
      <c r="C3584" s="6" t="s">
        <v>63</v>
      </c>
      <c r="D3584" s="6" t="s">
        <v>52</v>
      </c>
      <c r="E3584" s="6" t="s">
        <v>441</v>
      </c>
      <c r="F3584" s="6" t="str">
        <f>IF($M3584="PADD I","PADD 1",IF($M3584="PADD II","PADD 2",IF($M3584="PADD III","PADD 3",IF($M3584="PADD IV","PADD 4",IF($M3584="PADD V","PADD 5","")))))</f>
        <v>PADD 5</v>
      </c>
      <c r="G3584" s="6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6" t="s">
        <v>494</v>
      </c>
      <c r="I3584" s="6" t="s">
        <v>1124</v>
      </c>
      <c r="J3584" s="6" t="s">
        <v>394</v>
      </c>
      <c r="K3584" s="10">
        <v>4.5</v>
      </c>
      <c r="L3584" s="10">
        <v>45</v>
      </c>
      <c r="M3584" s="6" t="s">
        <v>436</v>
      </c>
      <c r="N3584" s="6" t="str">
        <f>IF(OR($G3584="FCC",$G3584="Hydrocracker",$G3584="Reformer"),IF(COUNTIFS($D:$D,$D3584,$A:$A,$A3584,$B:$B,$B3584,$G:$G,"CDU",$J:$J,"PLANNED")&gt;0,"tied","standalone"),"")</f>
        <v>tied</v>
      </c>
    </row>
    <row r="3585" spans="1:14">
      <c r="A3585" s="6">
        <v>2024</v>
      </c>
      <c r="B3585" s="6">
        <v>4</v>
      </c>
      <c r="C3585" s="6" t="s">
        <v>63</v>
      </c>
      <c r="D3585" s="6" t="s">
        <v>851</v>
      </c>
      <c r="E3585" s="6" t="s">
        <v>829</v>
      </c>
      <c r="F3585" s="6" t="str">
        <f>IF($M3585="PADD I","PADD 1",IF($M3585="PADD II","PADD 2",IF($M3585="PADD III","PADD 3",IF($M3585="PADD IV","PADD 4",IF($M3585="PADD V","PADD 5","")))))</f>
        <v>PADD 2</v>
      </c>
      <c r="G3585" s="6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6" t="s">
        <v>485</v>
      </c>
      <c r="I3585" s="6" t="s">
        <v>852</v>
      </c>
      <c r="J3585" s="6" t="s">
        <v>398</v>
      </c>
      <c r="K3585" s="10">
        <v>4.455</v>
      </c>
      <c r="L3585" s="10">
        <v>16.5</v>
      </c>
      <c r="M3585" s="6" t="s">
        <v>425</v>
      </c>
      <c r="N3585" s="6">
        <f>IF(OR($G3585="FCC",$G3585="Hydrocracker",$G3585="Reformer"),IF(COUNTIFS($D:$D,$D3585,$A:$A,$A3585,$B:$B,$B3585,$G:$G,"CDU",$J:$J,"PLANNED")&gt;0,"tied","standalone"),"")</f>
        <v/>
      </c>
    </row>
    <row r="3586" spans="1:14">
      <c r="A3586" s="6">
        <v>2024</v>
      </c>
      <c r="B3586" s="6">
        <v>4</v>
      </c>
      <c r="C3586" s="6" t="s">
        <v>63</v>
      </c>
      <c r="D3586" s="6" t="s">
        <v>851</v>
      </c>
      <c r="E3586" s="6" t="s">
        <v>829</v>
      </c>
      <c r="F3586" s="6" t="str">
        <f>IF($M3586="PADD I","PADD 1",IF($M3586="PADD II","PADD 2",IF($M3586="PADD III","PADD 3",IF($M3586="PADD IV","PADD 4",IF($M3586="PADD V","PADD 5","")))))</f>
        <v>PADD 2</v>
      </c>
      <c r="G3586" s="6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6" t="s">
        <v>485</v>
      </c>
      <c r="I3586" s="6" t="s">
        <v>944</v>
      </c>
      <c r="J3586" s="6" t="s">
        <v>398</v>
      </c>
      <c r="K3586" s="10">
        <v>4.455</v>
      </c>
      <c r="L3586" s="10">
        <v>16.5</v>
      </c>
      <c r="M3586" s="6" t="s">
        <v>425</v>
      </c>
      <c r="N3586" s="6">
        <f>IF(OR($G3586="FCC",$G3586="Hydrocracker",$G3586="Reformer"),IF(COUNTIFS($D:$D,$D3586,$A:$A,$A3586,$B:$B,$B3586,$G:$G,"CDU",$J:$J,"PLANNED")&gt;0,"tied","standalone"),"")</f>
        <v/>
      </c>
    </row>
    <row r="3587" spans="1:14">
      <c r="A3587" s="6">
        <v>2024</v>
      </c>
      <c r="B3587" s="6">
        <v>4</v>
      </c>
      <c r="C3587" s="6" t="s">
        <v>63</v>
      </c>
      <c r="D3587" s="6" t="s">
        <v>849</v>
      </c>
      <c r="E3587" s="6" t="s">
        <v>441</v>
      </c>
      <c r="F3587" s="6" t="str">
        <f>IF($M3587="PADD I","PADD 1",IF($M3587="PADD II","PADD 2",IF($M3587="PADD III","PADD 3",IF($M3587="PADD IV","PADD 4",IF($M3587="PADD V","PADD 5","")))))</f>
        <v>PADD 4</v>
      </c>
      <c r="G3587" s="6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6" t="s">
        <v>485</v>
      </c>
      <c r="I3587" s="6" t="s">
        <v>1238</v>
      </c>
      <c r="J3587" s="6" t="s">
        <v>394</v>
      </c>
      <c r="K3587" s="10">
        <v>4.3</v>
      </c>
      <c r="L3587" s="10">
        <v>10</v>
      </c>
      <c r="M3587" s="6" t="s">
        <v>480</v>
      </c>
      <c r="N3587" s="6">
        <f>IF(OR($G3587="FCC",$G3587="Hydrocracker",$G3587="Reformer"),IF(COUNTIFS($D:$D,$D3587,$A:$A,$A3587,$B:$B,$B3587,$G:$G,"CDU",$J:$J,"PLANNED")&gt;0,"tied","standalone"),"")</f>
        <v/>
      </c>
    </row>
    <row r="3588" spans="1:14">
      <c r="A3588" s="6">
        <v>2024</v>
      </c>
      <c r="B3588" s="6">
        <v>4</v>
      </c>
      <c r="C3588" s="6" t="s">
        <v>63</v>
      </c>
      <c r="D3588" s="6" t="s">
        <v>1191</v>
      </c>
      <c r="E3588" s="6" t="s">
        <v>1129</v>
      </c>
      <c r="F3588" s="6" t="str">
        <f>IF($M3588="PADD I","PADD 1",IF($M3588="PADD II","PADD 2",IF($M3588="PADD III","PADD 3",IF($M3588="PADD IV","PADD 4",IF($M3588="PADD V","PADD 5","")))))</f>
        <v>PADD 3</v>
      </c>
      <c r="G3588" s="6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6" t="s">
        <v>44</v>
      </c>
      <c r="I3588" s="6" t="s">
        <v>977</v>
      </c>
      <c r="J3588" s="6" t="s">
        <v>398</v>
      </c>
      <c r="K3588" s="10">
        <v>4.25</v>
      </c>
      <c r="L3588" s="10">
        <v>25</v>
      </c>
      <c r="M3588" s="6" t="s">
        <v>421</v>
      </c>
      <c r="N3588" s="6">
        <f>IF(OR($G3588="FCC",$G3588="Hydrocracker",$G3588="Reformer"),IF(COUNTIFS($D:$D,$D3588,$A:$A,$A3588,$B:$B,$B3588,$G:$G,"CDU",$J:$J,"PLANNED")&gt;0,"tied","standalone"),"")</f>
        <v/>
      </c>
    </row>
    <row r="3589" spans="1:14">
      <c r="A3589" s="6">
        <v>2024</v>
      </c>
      <c r="B3589" s="6">
        <v>4</v>
      </c>
      <c r="C3589" s="6" t="s">
        <v>63</v>
      </c>
      <c r="D3589" s="6" t="s">
        <v>1110</v>
      </c>
      <c r="E3589" s="6" t="s">
        <v>1089</v>
      </c>
      <c r="F3589" s="6" t="str">
        <f>IF($M3589="PADD I","PADD 1",IF($M3589="PADD II","PADD 2",IF($M3589="PADD III","PADD 3",IF($M3589="PADD IV","PADD 4",IF($M3589="PADD V","PADD 5","")))))</f>
        <v>PADD 2</v>
      </c>
      <c r="G3589" s="6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6" t="s">
        <v>44</v>
      </c>
      <c r="I3589" s="6" t="s">
        <v>1239</v>
      </c>
      <c r="J3589" s="6" t="s">
        <v>394</v>
      </c>
      <c r="K3589" s="10">
        <v>4.24</v>
      </c>
      <c r="L3589" s="10">
        <v>8</v>
      </c>
      <c r="M3589" s="6" t="s">
        <v>425</v>
      </c>
      <c r="N3589" s="6">
        <f>IF(OR($G3589="FCC",$G3589="Hydrocracker",$G3589="Reformer"),IF(COUNTIFS($D:$D,$D3589,$A:$A,$A3589,$B:$B,$B3589,$G:$G,"CDU",$J:$J,"PLANNED")&gt;0,"tied","standalone"),"")</f>
        <v/>
      </c>
    </row>
    <row r="3590" spans="1:14">
      <c r="A3590" s="6">
        <v>2024</v>
      </c>
      <c r="B3590" s="6">
        <v>4</v>
      </c>
      <c r="C3590" s="6" t="s">
        <v>63</v>
      </c>
      <c r="D3590" s="6" t="s">
        <v>52</v>
      </c>
      <c r="E3590" s="6" t="s">
        <v>441</v>
      </c>
      <c r="F3590" s="6" t="str">
        <f>IF($M3590="PADD I","PADD 1",IF($M3590="PADD II","PADD 2",IF($M3590="PADD III","PADD 3",IF($M3590="PADD IV","PADD 4",IF($M3590="PADD V","PADD 5","")))))</f>
        <v>PADD 5</v>
      </c>
      <c r="G3590" s="6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6" t="s">
        <v>510</v>
      </c>
      <c r="I3590" s="6" t="s">
        <v>511</v>
      </c>
      <c r="J3590" s="6" t="s">
        <v>394</v>
      </c>
      <c r="K3590" s="10">
        <v>4.16</v>
      </c>
      <c r="L3590" s="10">
        <v>32</v>
      </c>
      <c r="M3590" s="6" t="s">
        <v>436</v>
      </c>
      <c r="N3590" s="6">
        <f>IF(OR($G3590="FCC",$G3590="Hydrocracker",$G3590="Reformer"),IF(COUNTIFS($D:$D,$D3590,$A:$A,$A3590,$B:$B,$B3590,$G:$G,"CDU",$J:$J,"PLANNED")&gt;0,"tied","standalone"),"")</f>
        <v/>
      </c>
    </row>
    <row r="3591" spans="1:14">
      <c r="A3591" s="6">
        <v>2024</v>
      </c>
      <c r="B3591" s="6">
        <v>4</v>
      </c>
      <c r="C3591" s="6" t="s">
        <v>63</v>
      </c>
      <c r="D3591" s="6" t="s">
        <v>838</v>
      </c>
      <c r="E3591" s="6" t="s">
        <v>455</v>
      </c>
      <c r="F3591" s="6" t="str">
        <f>IF($M3591="PADD I","PADD 1",IF($M3591="PADD II","PADD 2",IF($M3591="PADD III","PADD 3",IF($M3591="PADD IV","PADD 4",IF($M3591="PADD V","PADD 5","")))))</f>
        <v>PADD 3</v>
      </c>
      <c r="G3591" s="6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6" t="s">
        <v>471</v>
      </c>
      <c r="I3591" s="6" t="s">
        <v>832</v>
      </c>
      <c r="J3591" s="6" t="s">
        <v>394</v>
      </c>
      <c r="K3591" s="10">
        <v>4.16</v>
      </c>
      <c r="L3591" s="10">
        <v>32</v>
      </c>
      <c r="M3591" s="6" t="s">
        <v>421</v>
      </c>
      <c r="N3591" s="6" t="str">
        <f>IF(OR($G3591="FCC",$G3591="Hydrocracker",$G3591="Reformer"),IF(COUNTIFS($D:$D,$D3591,$A:$A,$A3591,$B:$B,$B3591,$G:$G,"CDU",$J:$J,"PLANNED")&gt;0,"tied","standalone"),"")</f>
        <v>standalone</v>
      </c>
    </row>
    <row r="3592" spans="1:14">
      <c r="A3592" s="6">
        <v>2024</v>
      </c>
      <c r="B3592" s="6">
        <v>4</v>
      </c>
      <c r="C3592" s="6" t="s">
        <v>63</v>
      </c>
      <c r="D3592" s="6" t="s">
        <v>1110</v>
      </c>
      <c r="E3592" s="6" t="s">
        <v>1089</v>
      </c>
      <c r="F3592" s="6" t="str">
        <f>IF($M3592="PADD I","PADD 1",IF($M3592="PADD II","PADD 2",IF($M3592="PADD III","PADD 3",IF($M3592="PADD IV","PADD 4",IF($M3592="PADD V","PADD 5","")))))</f>
        <v>PADD 2</v>
      </c>
      <c r="G3592" s="6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6" t="s">
        <v>471</v>
      </c>
      <c r="I3592" s="6" t="s">
        <v>1240</v>
      </c>
      <c r="J3592" s="6" t="s">
        <v>394</v>
      </c>
      <c r="K3592" s="10">
        <v>4.1075</v>
      </c>
      <c r="L3592" s="10">
        <v>7.75</v>
      </c>
      <c r="M3592" s="6" t="s">
        <v>425</v>
      </c>
      <c r="N3592" s="6" t="str">
        <f>IF(OR($G3592="FCC",$G3592="Hydrocracker",$G3592="Reformer"),IF(COUNTIFS($D:$D,$D3592,$A:$A,$A3592,$B:$B,$B3592,$G:$G,"CDU",$J:$J,"PLANNED")&gt;0,"tied","standalone"),"")</f>
        <v>standalone</v>
      </c>
    </row>
    <row r="3593" spans="1:14">
      <c r="A3593" s="6">
        <v>2024</v>
      </c>
      <c r="B3593" s="6">
        <v>4</v>
      </c>
      <c r="C3593" s="6" t="s">
        <v>63</v>
      </c>
      <c r="D3593" s="6" t="s">
        <v>665</v>
      </c>
      <c r="E3593" s="6" t="s">
        <v>455</v>
      </c>
      <c r="F3593" s="6" t="str">
        <f>IF($M3593="PADD I","PADD 1",IF($M3593="PADD II","PADD 2",IF($M3593="PADD III","PADD 3",IF($M3593="PADD IV","PADD 4",IF($M3593="PADD V","PADD 5","")))))</f>
        <v>PADD 5</v>
      </c>
      <c r="G3593" s="6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6" t="s">
        <v>44</v>
      </c>
      <c r="I3593" s="6" t="s">
        <v>1235</v>
      </c>
      <c r="J3593" s="6" t="s">
        <v>398</v>
      </c>
      <c r="K3593" s="10">
        <v>3.96</v>
      </c>
      <c r="L3593" s="10">
        <v>12</v>
      </c>
      <c r="M3593" s="6" t="s">
        <v>436</v>
      </c>
      <c r="N3593" s="6">
        <f>IF(OR($G3593="FCC",$G3593="Hydrocracker",$G3593="Reformer"),IF(COUNTIFS($D:$D,$D3593,$A:$A,$A3593,$B:$B,$B3593,$G:$G,"CDU",$J:$J,"PLANNED")&gt;0,"tied","standalone"),"")</f>
        <v/>
      </c>
    </row>
    <row r="3594" spans="1:14">
      <c r="A3594" s="6">
        <v>2024</v>
      </c>
      <c r="B3594" s="6">
        <v>4</v>
      </c>
      <c r="C3594" s="6" t="s">
        <v>63</v>
      </c>
      <c r="D3594" s="6" t="s">
        <v>824</v>
      </c>
      <c r="E3594" s="6" t="s">
        <v>825</v>
      </c>
      <c r="F3594" s="6" t="str">
        <f>IF($M3594="PADD I","PADD 1",IF($M3594="PADD II","PADD 2",IF($M3594="PADD III","PADD 3",IF($M3594="PADD IV","PADD 4",IF($M3594="PADD V","PADD 5","")))))</f>
        <v>PADD 1</v>
      </c>
      <c r="G3594" s="6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6" t="s">
        <v>44</v>
      </c>
      <c r="I3594" s="6" t="s">
        <v>1201</v>
      </c>
      <c r="J3594" s="6" t="s">
        <v>398</v>
      </c>
      <c r="K3594" s="10">
        <v>3.915</v>
      </c>
      <c r="L3594" s="10">
        <v>4.5</v>
      </c>
      <c r="M3594" s="6" t="s">
        <v>463</v>
      </c>
      <c r="N3594" s="6">
        <f>IF(OR($G3594="FCC",$G3594="Hydrocracker",$G3594="Reformer"),IF(COUNTIFS($D:$D,$D3594,$A:$A,$A3594,$B:$B,$B3594,$G:$G,"CDU",$J:$J,"PLANNED")&gt;0,"tied","standalone"),"")</f>
        <v/>
      </c>
    </row>
    <row r="3595" spans="1:14">
      <c r="A3595" s="6">
        <v>2024</v>
      </c>
      <c r="B3595" s="6">
        <v>4</v>
      </c>
      <c r="C3595" s="6" t="s">
        <v>63</v>
      </c>
      <c r="D3595" s="6" t="s">
        <v>49</v>
      </c>
      <c r="E3595" s="6" t="s">
        <v>438</v>
      </c>
      <c r="F3595" s="6" t="str">
        <f>IF($M3595="PADD I","PADD 1",IF($M3595="PADD II","PADD 2",IF($M3595="PADD III","PADD 3",IF($M3595="PADD IV","PADD 4",IF($M3595="PADD V","PADD 5","")))))</f>
        <v>PADD 2</v>
      </c>
      <c r="G3595" s="6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6" t="s">
        <v>471</v>
      </c>
      <c r="I3595" s="6" t="s">
        <v>771</v>
      </c>
      <c r="J3595" s="6" t="s">
        <v>394</v>
      </c>
      <c r="K3595" s="10">
        <v>3.9</v>
      </c>
      <c r="L3595" s="10">
        <v>39</v>
      </c>
      <c r="M3595" s="6" t="s">
        <v>425</v>
      </c>
      <c r="N3595" s="6" t="str">
        <f>IF(OR($G3595="FCC",$G3595="Hydrocracker",$G3595="Reformer"),IF(COUNTIFS($D:$D,$D3595,$A:$A,$A3595,$B:$B,$B3595,$G:$G,"CDU",$J:$J,"PLANNED")&gt;0,"tied","standalone"),"")</f>
        <v>tied</v>
      </c>
    </row>
    <row r="3596" spans="1:14">
      <c r="A3596" s="6">
        <v>2024</v>
      </c>
      <c r="B3596" s="6">
        <v>4</v>
      </c>
      <c r="C3596" s="6" t="s">
        <v>63</v>
      </c>
      <c r="D3596" s="6" t="s">
        <v>576</v>
      </c>
      <c r="E3596" s="6" t="s">
        <v>455</v>
      </c>
      <c r="F3596" s="6" t="str">
        <f>IF($M3596="PADD I","PADD 1",IF($M3596="PADD II","PADD 2",IF($M3596="PADD III","PADD 3",IF($M3596="PADD IV","PADD 4",IF($M3596="PADD V","PADD 5","")))))</f>
        <v>PADD 3</v>
      </c>
      <c r="G3596" s="6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6" t="s">
        <v>44</v>
      </c>
      <c r="I3596" s="6" t="s">
        <v>1126</v>
      </c>
      <c r="J3596" s="6" t="s">
        <v>394</v>
      </c>
      <c r="K3596" s="10">
        <v>3.85</v>
      </c>
      <c r="L3596" s="10">
        <v>55</v>
      </c>
      <c r="M3596" s="6" t="s">
        <v>421</v>
      </c>
      <c r="N3596" s="6">
        <f>IF(OR($G3596="FCC",$G3596="Hydrocracker",$G3596="Reformer"),IF(COUNTIFS($D:$D,$D3596,$A:$A,$A3596,$B:$B,$B3596,$G:$G,"CDU",$J:$J,"PLANNED")&gt;0,"tied","standalone"),"")</f>
        <v/>
      </c>
    </row>
    <row r="3597" spans="1:14">
      <c r="A3597" s="6">
        <v>2024</v>
      </c>
      <c r="B3597" s="6">
        <v>4</v>
      </c>
      <c r="C3597" s="6" t="s">
        <v>63</v>
      </c>
      <c r="D3597" s="6" t="s">
        <v>540</v>
      </c>
      <c r="E3597" s="6" t="s">
        <v>541</v>
      </c>
      <c r="F3597" s="6" t="str">
        <f>IF($M3597="PADD I","PADD 1",IF($M3597="PADD II","PADD 2",IF($M3597="PADD III","PADD 3",IF($M3597="PADD IV","PADD 4",IF($M3597="PADD V","PADD 5","")))))</f>
        <v>PADD 3</v>
      </c>
      <c r="G3597" s="6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6" t="s">
        <v>494</v>
      </c>
      <c r="I3597" s="6" t="s">
        <v>1241</v>
      </c>
      <c r="J3597" s="6" t="s">
        <v>394</v>
      </c>
      <c r="K3597" s="10">
        <v>3.84</v>
      </c>
      <c r="L3597" s="10">
        <v>19.2</v>
      </c>
      <c r="M3597" s="6" t="s">
        <v>421</v>
      </c>
      <c r="N3597" s="6" t="str">
        <f>IF(OR($G3597="FCC",$G3597="Hydrocracker",$G3597="Reformer"),IF(COUNTIFS($D:$D,$D3597,$A:$A,$A3597,$B:$B,$B3597,$G:$G,"CDU",$J:$J,"PLANNED")&gt;0,"tied","standalone"),"")</f>
        <v>standalone</v>
      </c>
    </row>
    <row r="3598" spans="1:14">
      <c r="A3598" s="6">
        <v>2024</v>
      </c>
      <c r="B3598" s="6">
        <v>4</v>
      </c>
      <c r="C3598" s="6" t="s">
        <v>63</v>
      </c>
      <c r="D3598" s="6" t="s">
        <v>41</v>
      </c>
      <c r="E3598" s="6" t="s">
        <v>786</v>
      </c>
      <c r="F3598" s="6" t="str">
        <f>IF($M3598="PADD I","PADD 1",IF($M3598="PADD II","PADD 2",IF($M3598="PADD III","PADD 3",IF($M3598="PADD IV","PADD 4",IF($M3598="PADD V","PADD 5","")))))</f>
        <v>PADD 1</v>
      </c>
      <c r="G3598" s="6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6" t="s">
        <v>426</v>
      </c>
      <c r="I3598" s="6" t="s">
        <v>787</v>
      </c>
      <c r="J3598" s="6" t="s">
        <v>394</v>
      </c>
      <c r="K3598" s="10">
        <v>3.71</v>
      </c>
      <c r="L3598" s="10">
        <v>53</v>
      </c>
      <c r="M3598" s="6" t="s">
        <v>463</v>
      </c>
      <c r="N3598" s="6" t="str">
        <f>IF(OR($G3598="FCC",$G3598="Hydrocracker",$G3598="Reformer"),IF(COUNTIFS($D:$D,$D3598,$A:$A,$A3598,$B:$B,$B3598,$G:$G,"CDU",$J:$J,"PLANNED")&gt;0,"tied","standalone"),"")</f>
        <v>standalone</v>
      </c>
    </row>
    <row r="3599" spans="1:14">
      <c r="A3599" s="6">
        <v>2024</v>
      </c>
      <c r="B3599" s="6">
        <v>4</v>
      </c>
      <c r="C3599" s="6" t="s">
        <v>63</v>
      </c>
      <c r="D3599" s="6" t="s">
        <v>824</v>
      </c>
      <c r="E3599" s="6" t="s">
        <v>825</v>
      </c>
      <c r="F3599" s="6" t="str">
        <f>IF($M3599="PADD I","PADD 1",IF($M3599="PADD II","PADD 2",IF($M3599="PADD III","PADD 3",IF($M3599="PADD IV","PADD 4",IF($M3599="PADD V","PADD 5","")))))</f>
        <v>PADD 1</v>
      </c>
      <c r="G3599" s="6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6" t="s">
        <v>44</v>
      </c>
      <c r="I3599" s="6" t="s">
        <v>1203</v>
      </c>
      <c r="J3599" s="6" t="s">
        <v>398</v>
      </c>
      <c r="K3599" s="10">
        <v>3.654</v>
      </c>
      <c r="L3599" s="10">
        <v>4.2</v>
      </c>
      <c r="M3599" s="6" t="s">
        <v>463</v>
      </c>
      <c r="N3599" s="6">
        <f>IF(OR($G3599="FCC",$G3599="Hydrocracker",$G3599="Reformer"),IF(COUNTIFS($D:$D,$D3599,$A:$A,$A3599,$B:$B,$B3599,$G:$G,"CDU",$J:$J,"PLANNED")&gt;0,"tied","standalone"),"")</f>
        <v/>
      </c>
    </row>
    <row r="3600" spans="1:14">
      <c r="A3600" s="6">
        <v>2024</v>
      </c>
      <c r="B3600" s="6">
        <v>4</v>
      </c>
      <c r="C3600" s="6" t="s">
        <v>63</v>
      </c>
      <c r="D3600" s="6" t="s">
        <v>518</v>
      </c>
      <c r="E3600" s="6" t="s">
        <v>419</v>
      </c>
      <c r="F3600" s="6" t="str">
        <f>IF($M3600="PADD I","PADD 1",IF($M3600="PADD II","PADD 2",IF($M3600="PADD III","PADD 3",IF($M3600="PADD IV","PADD 4",IF($M3600="PADD V","PADD 5","")))))</f>
        <v>PADD 3</v>
      </c>
      <c r="G3600" s="6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6" t="s">
        <v>618</v>
      </c>
      <c r="I3600" s="6" t="s">
        <v>1242</v>
      </c>
      <c r="J3600" s="6" t="s">
        <v>398</v>
      </c>
      <c r="K3600" s="10">
        <v>3.6</v>
      </c>
      <c r="L3600" s="10">
        <v>9</v>
      </c>
      <c r="M3600" s="6" t="s">
        <v>421</v>
      </c>
      <c r="N3600" s="6">
        <f>IF(OR($G3600="FCC",$G3600="Hydrocracker",$G3600="Reformer"),IF(COUNTIFS($D:$D,$D3600,$A:$A,$A3600,$B:$B,$B3600,$G:$G,"CDU",$J:$J,"PLANNED")&gt;0,"tied","standalone"),"")</f>
        <v/>
      </c>
    </row>
    <row r="3601" spans="1:14">
      <c r="A3601" s="6">
        <v>2024</v>
      </c>
      <c r="B3601" s="6">
        <v>4</v>
      </c>
      <c r="C3601" s="6" t="s">
        <v>63</v>
      </c>
      <c r="D3601" s="6" t="s">
        <v>540</v>
      </c>
      <c r="E3601" s="6" t="s">
        <v>541</v>
      </c>
      <c r="F3601" s="6" t="str">
        <f>IF($M3601="PADD I","PADD 1",IF($M3601="PADD II","PADD 2",IF($M3601="PADD III","PADD 3",IF($M3601="PADD IV","PADD 4",IF($M3601="PADD V","PADD 5","")))))</f>
        <v>PADD 3</v>
      </c>
      <c r="G3601" s="6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6" t="s">
        <v>510</v>
      </c>
      <c r="I3601" s="6" t="s">
        <v>1243</v>
      </c>
      <c r="J3601" s="6" t="s">
        <v>394</v>
      </c>
      <c r="K3601" s="10">
        <v>3.6</v>
      </c>
      <c r="L3601" s="10">
        <v>18</v>
      </c>
      <c r="M3601" s="6" t="s">
        <v>421</v>
      </c>
      <c r="N3601" s="6">
        <f>IF(OR($G3601="FCC",$G3601="Hydrocracker",$G3601="Reformer"),IF(COUNTIFS($D:$D,$D3601,$A:$A,$A3601,$B:$B,$B3601,$G:$G,"CDU",$J:$J,"PLANNED")&gt;0,"tied","standalone"),"")</f>
        <v/>
      </c>
    </row>
    <row r="3602" spans="1:14">
      <c r="A3602" s="6">
        <v>2024</v>
      </c>
      <c r="B3602" s="6">
        <v>4</v>
      </c>
      <c r="C3602" s="6" t="s">
        <v>63</v>
      </c>
      <c r="D3602" s="6" t="s">
        <v>812</v>
      </c>
      <c r="E3602" s="6" t="s">
        <v>813</v>
      </c>
      <c r="F3602" s="6" t="str">
        <f>IF($M3602="PADD I","PADD 1",IF($M3602="PADD II","PADD 2",IF($M3602="PADD III","PADD 3",IF($M3602="PADD IV","PADD 4",IF($M3602="PADD V","PADD 5","")))))</f>
        <v>PADD 2</v>
      </c>
      <c r="G3602" s="6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6" t="s">
        <v>39</v>
      </c>
      <c r="I3602" s="6" t="s">
        <v>132</v>
      </c>
      <c r="J3602" s="6" t="s">
        <v>394</v>
      </c>
      <c r="K3602" s="10">
        <v>3.5</v>
      </c>
      <c r="L3602" s="10">
        <v>35</v>
      </c>
      <c r="M3602" s="6" t="s">
        <v>425</v>
      </c>
      <c r="N3602" s="6">
        <f>IF(OR($G3602="FCC",$G3602="Hydrocracker",$G3602="Reformer"),IF(COUNTIFS($D:$D,$D3602,$A:$A,$A3602,$B:$B,$B3602,$G:$G,"CDU",$J:$J,"PLANNED")&gt;0,"tied","standalone"),"")</f>
        <v/>
      </c>
    </row>
    <row r="3603" spans="1:14">
      <c r="A3603" s="6">
        <v>2024</v>
      </c>
      <c r="B3603" s="6">
        <v>4</v>
      </c>
      <c r="C3603" s="6" t="s">
        <v>63</v>
      </c>
      <c r="D3603" s="6" t="s">
        <v>812</v>
      </c>
      <c r="E3603" s="6" t="s">
        <v>813</v>
      </c>
      <c r="F3603" s="6" t="str">
        <f>IF($M3603="PADD I","PADD 1",IF($M3603="PADD II","PADD 2",IF($M3603="PADD III","PADD 3",IF($M3603="PADD IV","PADD 4",IF($M3603="PADD V","PADD 5","")))))</f>
        <v>PADD 2</v>
      </c>
      <c r="G3603" s="6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6" t="s">
        <v>39</v>
      </c>
      <c r="I3603" s="6" t="s">
        <v>379</v>
      </c>
      <c r="J3603" s="6" t="s">
        <v>394</v>
      </c>
      <c r="K3603" s="10">
        <v>3.5</v>
      </c>
      <c r="L3603" s="10">
        <v>35</v>
      </c>
      <c r="M3603" s="6" t="s">
        <v>425</v>
      </c>
      <c r="N3603" s="6">
        <f>IF(OR($G3603="FCC",$G3603="Hydrocracker",$G3603="Reformer"),IF(COUNTIFS($D:$D,$D3603,$A:$A,$A3603,$B:$B,$B3603,$G:$G,"CDU",$J:$J,"PLANNED")&gt;0,"tied","standalone"),"")</f>
        <v/>
      </c>
    </row>
    <row r="3604" spans="1:14">
      <c r="A3604" s="6">
        <v>2024</v>
      </c>
      <c r="B3604" s="6">
        <v>4</v>
      </c>
      <c r="C3604" s="6" t="s">
        <v>63</v>
      </c>
      <c r="D3604" s="6" t="s">
        <v>597</v>
      </c>
      <c r="E3604" s="6" t="s">
        <v>441</v>
      </c>
      <c r="F3604" s="6" t="str">
        <f>IF($M3604="PADD I","PADD 1",IF($M3604="PADD II","PADD 2",IF($M3604="PADD III","PADD 3",IF($M3604="PADD IV","PADD 4",IF($M3604="PADD V","PADD 5","")))))</f>
        <v>PADD 5</v>
      </c>
      <c r="G3604" s="6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6" t="s">
        <v>44</v>
      </c>
      <c r="I3604" s="6" t="s">
        <v>979</v>
      </c>
      <c r="J3604" s="6" t="s">
        <v>394</v>
      </c>
      <c r="K3604" s="10">
        <v>3.4992</v>
      </c>
      <c r="L3604" s="10">
        <v>12.96</v>
      </c>
      <c r="M3604" s="6" t="s">
        <v>436</v>
      </c>
      <c r="N3604" s="6">
        <f>IF(OR($G3604="FCC",$G3604="Hydrocracker",$G3604="Reformer"),IF(COUNTIFS($D:$D,$D3604,$A:$A,$A3604,$B:$B,$B3604,$G:$G,"CDU",$J:$J,"PLANNED")&gt;0,"tied","standalone"),"")</f>
        <v/>
      </c>
    </row>
    <row r="3605" spans="1:14">
      <c r="A3605" s="6">
        <v>2024</v>
      </c>
      <c r="B3605" s="6">
        <v>4</v>
      </c>
      <c r="C3605" s="6" t="s">
        <v>63</v>
      </c>
      <c r="D3605" s="6" t="s">
        <v>1110</v>
      </c>
      <c r="E3605" s="6" t="s">
        <v>1089</v>
      </c>
      <c r="F3605" s="6" t="str">
        <f>IF($M3605="PADD I","PADD 1",IF($M3605="PADD II","PADD 2",IF($M3605="PADD III","PADD 3",IF($M3605="PADD IV","PADD 4",IF($M3605="PADD V","PADD 5","")))))</f>
        <v>PADD 2</v>
      </c>
      <c r="G3605" s="6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6" t="s">
        <v>44</v>
      </c>
      <c r="I3605" s="6" t="s">
        <v>1244</v>
      </c>
      <c r="J3605" s="6" t="s">
        <v>394</v>
      </c>
      <c r="K3605" s="10">
        <v>3.3125</v>
      </c>
      <c r="L3605" s="10">
        <v>6.25</v>
      </c>
      <c r="M3605" s="6" t="s">
        <v>425</v>
      </c>
      <c r="N3605" s="6">
        <f>IF(OR($G3605="FCC",$G3605="Hydrocracker",$G3605="Reformer"),IF(COUNTIFS($D:$D,$D3605,$A:$A,$A3605,$B:$B,$B3605,$G:$G,"CDU",$J:$J,"PLANNED")&gt;0,"tied","standalone"),"")</f>
        <v/>
      </c>
    </row>
    <row r="3606" spans="1:14">
      <c r="A3606" s="6">
        <v>2024</v>
      </c>
      <c r="B3606" s="6">
        <v>4</v>
      </c>
      <c r="C3606" s="6" t="s">
        <v>63</v>
      </c>
      <c r="D3606" s="6" t="s">
        <v>689</v>
      </c>
      <c r="E3606" s="6" t="s">
        <v>502</v>
      </c>
      <c r="F3606" s="6" t="str">
        <f>IF($M3606="PADD I","PADD 1",IF($M3606="PADD II","PADD 2",IF($M3606="PADD III","PADD 3",IF($M3606="PADD IV","PADD 4",IF($M3606="PADD V","PADD 5","")))))</f>
        <v>PADD 5</v>
      </c>
      <c r="G3606" s="6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6" t="s">
        <v>510</v>
      </c>
      <c r="I3606" s="6" t="s">
        <v>591</v>
      </c>
      <c r="J3606" s="6" t="s">
        <v>398</v>
      </c>
      <c r="K3606" s="10">
        <v>3.29</v>
      </c>
      <c r="L3606" s="10">
        <v>7</v>
      </c>
      <c r="M3606" s="6" t="s">
        <v>436</v>
      </c>
      <c r="N3606" s="6">
        <f>IF(OR($G3606="FCC",$G3606="Hydrocracker",$G3606="Reformer"),IF(COUNTIFS($D:$D,$D3606,$A:$A,$A3606,$B:$B,$B3606,$G:$G,"CDU",$J:$J,"PLANNED")&gt;0,"tied","standalone"),"")</f>
        <v/>
      </c>
    </row>
    <row r="3607" spans="1:14">
      <c r="A3607" s="6">
        <v>2024</v>
      </c>
      <c r="B3607" s="6">
        <v>4</v>
      </c>
      <c r="C3607" s="6" t="s">
        <v>63</v>
      </c>
      <c r="D3607" s="6" t="s">
        <v>597</v>
      </c>
      <c r="E3607" s="6" t="s">
        <v>441</v>
      </c>
      <c r="F3607" s="6" t="str">
        <f>IF($M3607="PADD I","PADD 1",IF($M3607="PADD II","PADD 2",IF($M3607="PADD III","PADD 3",IF($M3607="PADD IV","PADD 4",IF($M3607="PADD V","PADD 5","")))))</f>
        <v>PADD 5</v>
      </c>
      <c r="G3607" s="6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6" t="s">
        <v>494</v>
      </c>
      <c r="I3607" s="6" t="s">
        <v>784</v>
      </c>
      <c r="J3607" s="6" t="s">
        <v>394</v>
      </c>
      <c r="K3607" s="10">
        <v>3.24</v>
      </c>
      <c r="L3607" s="10">
        <v>12</v>
      </c>
      <c r="M3607" s="6" t="s">
        <v>436</v>
      </c>
      <c r="N3607" s="6" t="str">
        <f>IF(OR($G3607="FCC",$G3607="Hydrocracker",$G3607="Reformer"),IF(COUNTIFS($D:$D,$D3607,$A:$A,$A3607,$B:$B,$B3607,$G:$G,"CDU",$J:$J,"PLANNED")&gt;0,"tied","standalone"),"")</f>
        <v>standalone</v>
      </c>
    </row>
    <row r="3608" spans="1:14">
      <c r="A3608" s="6">
        <v>2024</v>
      </c>
      <c r="B3608" s="6">
        <v>4</v>
      </c>
      <c r="C3608" s="6" t="s">
        <v>63</v>
      </c>
      <c r="D3608" s="6" t="s">
        <v>838</v>
      </c>
      <c r="E3608" s="6" t="s">
        <v>455</v>
      </c>
      <c r="F3608" s="6" t="str">
        <f>IF($M3608="PADD I","PADD 1",IF($M3608="PADD II","PADD 2",IF($M3608="PADD III","PADD 3",IF($M3608="PADD IV","PADD 4",IF($M3608="PADD V","PADD 5","")))))</f>
        <v>PADD 3</v>
      </c>
      <c r="G3608" s="6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6" t="s">
        <v>471</v>
      </c>
      <c r="I3608" s="6" t="s">
        <v>832</v>
      </c>
      <c r="J3608" s="6" t="s">
        <v>394</v>
      </c>
      <c r="K3608" s="10">
        <v>3.2</v>
      </c>
      <c r="L3608" s="10">
        <v>32</v>
      </c>
      <c r="M3608" s="6" t="s">
        <v>421</v>
      </c>
      <c r="N3608" s="6" t="str">
        <f>IF(OR($G3608="FCC",$G3608="Hydrocracker",$G3608="Reformer"),IF(COUNTIFS($D:$D,$D3608,$A:$A,$A3608,$B:$B,$B3608,$G:$G,"CDU",$J:$J,"PLANNED")&gt;0,"tied","standalone"),"")</f>
        <v>standalone</v>
      </c>
    </row>
    <row r="3609" spans="1:14">
      <c r="A3609" s="6">
        <v>2024</v>
      </c>
      <c r="B3609" s="6">
        <v>4</v>
      </c>
      <c r="C3609" s="6" t="s">
        <v>63</v>
      </c>
      <c r="D3609" s="6" t="s">
        <v>789</v>
      </c>
      <c r="E3609" s="6" t="s">
        <v>455</v>
      </c>
      <c r="F3609" s="6" t="str">
        <f>IF($M3609="PADD I","PADD 1",IF($M3609="PADD II","PADD 2",IF($M3609="PADD III","PADD 3",IF($M3609="PADD IV","PADD 4",IF($M3609="PADD V","PADD 5","")))))</f>
        <v>PADD 2</v>
      </c>
      <c r="G3609" s="6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6" t="s">
        <v>44</v>
      </c>
      <c r="I3609" s="6" t="s">
        <v>739</v>
      </c>
      <c r="J3609" s="6" t="s">
        <v>394</v>
      </c>
      <c r="K3609" s="10">
        <v>3.2</v>
      </c>
      <c r="L3609" s="10">
        <v>32</v>
      </c>
      <c r="M3609" s="6" t="s">
        <v>425</v>
      </c>
      <c r="N3609" s="6">
        <f>IF(OR($G3609="FCC",$G3609="Hydrocracker",$G3609="Reformer"),IF(COUNTIFS($D:$D,$D3609,$A:$A,$A3609,$B:$B,$B3609,$G:$G,"CDU",$J:$J,"PLANNED")&gt;0,"tied","standalone"),"")</f>
        <v/>
      </c>
    </row>
    <row r="3610" spans="1:14">
      <c r="A3610" s="6">
        <v>2024</v>
      </c>
      <c r="B3610" s="6">
        <v>4</v>
      </c>
      <c r="C3610" s="6" t="s">
        <v>63</v>
      </c>
      <c r="D3610" s="6" t="s">
        <v>789</v>
      </c>
      <c r="E3610" s="6" t="s">
        <v>455</v>
      </c>
      <c r="F3610" s="6" t="str">
        <f>IF($M3610="PADD I","PADD 1",IF($M3610="PADD II","PADD 2",IF($M3610="PADD III","PADD 3",IF($M3610="PADD IV","PADD 4",IF($M3610="PADD V","PADD 5","")))))</f>
        <v>PADD 2</v>
      </c>
      <c r="G3610" s="6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6" t="s">
        <v>428</v>
      </c>
      <c r="I3610" s="6" t="s">
        <v>481</v>
      </c>
      <c r="J3610" s="6" t="s">
        <v>394</v>
      </c>
      <c r="K3610" s="10">
        <v>3.2</v>
      </c>
      <c r="L3610" s="10">
        <v>32</v>
      </c>
      <c r="M3610" s="6" t="s">
        <v>425</v>
      </c>
      <c r="N3610" s="6">
        <f>IF(OR($G3610="FCC",$G3610="Hydrocracker",$G3610="Reformer"),IF(COUNTIFS($D:$D,$D3610,$A:$A,$A3610,$B:$B,$B3610,$G:$G,"CDU",$J:$J,"PLANNED")&gt;0,"tied","standalone"),"")</f>
        <v/>
      </c>
    </row>
    <row r="3611" spans="1:14">
      <c r="A3611" s="6">
        <v>2024</v>
      </c>
      <c r="B3611" s="6">
        <v>4</v>
      </c>
      <c r="C3611" s="6" t="s">
        <v>63</v>
      </c>
      <c r="D3611" s="6" t="s">
        <v>789</v>
      </c>
      <c r="E3611" s="6" t="s">
        <v>455</v>
      </c>
      <c r="F3611" s="6" t="str">
        <f>IF($M3611="PADD I","PADD 1",IF($M3611="PADD II","PADD 2",IF($M3611="PADD III","PADD 3",IF($M3611="PADD IV","PADD 4",IF($M3611="PADD V","PADD 5","")))))</f>
        <v>PADD 2</v>
      </c>
      <c r="G3611" s="6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6" t="s">
        <v>44</v>
      </c>
      <c r="I3611" s="6" t="s">
        <v>790</v>
      </c>
      <c r="J3611" s="6" t="s">
        <v>394</v>
      </c>
      <c r="K3611" s="10">
        <v>3.2</v>
      </c>
      <c r="L3611" s="10">
        <v>32</v>
      </c>
      <c r="M3611" s="6" t="s">
        <v>425</v>
      </c>
      <c r="N3611" s="6">
        <f>IF(OR($G3611="FCC",$G3611="Hydrocracker",$G3611="Reformer"),IF(COUNTIFS($D:$D,$D3611,$A:$A,$A3611,$B:$B,$B3611,$G:$G,"CDU",$J:$J,"PLANNED")&gt;0,"tied","standalone"),"")</f>
        <v/>
      </c>
    </row>
    <row r="3612" spans="1:14">
      <c r="A3612" s="6">
        <v>2024</v>
      </c>
      <c r="B3612" s="6">
        <v>4</v>
      </c>
      <c r="C3612" s="6" t="s">
        <v>63</v>
      </c>
      <c r="D3612" s="6" t="s">
        <v>597</v>
      </c>
      <c r="E3612" s="6" t="s">
        <v>441</v>
      </c>
      <c r="F3612" s="6" t="str">
        <f>IF($M3612="PADD I","PADD 1",IF($M3612="PADD II","PADD 2",IF($M3612="PADD III","PADD 3",IF($M3612="PADD IV","PADD 4",IF($M3612="PADD V","PADD 5","")))))</f>
        <v>PADD 5</v>
      </c>
      <c r="G3612" s="6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6" t="s">
        <v>44</v>
      </c>
      <c r="I3612" s="6" t="s">
        <v>980</v>
      </c>
      <c r="J3612" s="6" t="s">
        <v>394</v>
      </c>
      <c r="K3612" s="10">
        <v>3.186</v>
      </c>
      <c r="L3612" s="10">
        <v>11.8</v>
      </c>
      <c r="M3612" s="6" t="s">
        <v>436</v>
      </c>
      <c r="N3612" s="6">
        <f>IF(OR($G3612="FCC",$G3612="Hydrocracker",$G3612="Reformer"),IF(COUNTIFS($D:$D,$D3612,$A:$A,$A3612,$B:$B,$B3612,$G:$G,"CDU",$J:$J,"PLANNED")&gt;0,"tied","standalone"),"")</f>
        <v/>
      </c>
    </row>
    <row r="3613" spans="1:14">
      <c r="A3613" s="6">
        <v>2024</v>
      </c>
      <c r="B3613" s="6">
        <v>4</v>
      </c>
      <c r="C3613" s="6" t="s">
        <v>63</v>
      </c>
      <c r="D3613" s="6" t="s">
        <v>576</v>
      </c>
      <c r="E3613" s="6" t="s">
        <v>455</v>
      </c>
      <c r="F3613" s="6" t="str">
        <f>IF($M3613="PADD I","PADD 1",IF($M3613="PADD II","PADD 2",IF($M3613="PADD III","PADD 3",IF($M3613="PADD IV","PADD 4",IF($M3613="PADD V","PADD 5","")))))</f>
        <v>PADD 3</v>
      </c>
      <c r="G3613" s="6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6" t="s">
        <v>494</v>
      </c>
      <c r="I3613" s="6" t="s">
        <v>577</v>
      </c>
      <c r="J3613" s="6" t="s">
        <v>394</v>
      </c>
      <c r="K3613" s="10">
        <v>3.15</v>
      </c>
      <c r="L3613" s="10">
        <v>45</v>
      </c>
      <c r="M3613" s="6" t="s">
        <v>421</v>
      </c>
      <c r="N3613" s="6" t="str">
        <f>IF(OR($G3613="FCC",$G3613="Hydrocracker",$G3613="Reformer"),IF(COUNTIFS($D:$D,$D3613,$A:$A,$A3613,$B:$B,$B3613,$G:$G,"CDU",$J:$J,"PLANNED")&gt;0,"tied","standalone"),"")</f>
        <v>standalone</v>
      </c>
    </row>
    <row r="3614" spans="1:14">
      <c r="A3614" s="6">
        <v>2024</v>
      </c>
      <c r="B3614" s="6">
        <v>4</v>
      </c>
      <c r="C3614" s="6" t="s">
        <v>63</v>
      </c>
      <c r="D3614" s="6" t="s">
        <v>597</v>
      </c>
      <c r="E3614" s="6" t="s">
        <v>441</v>
      </c>
      <c r="F3614" s="6" t="str">
        <f>IF($M3614="PADD I","PADD 1",IF($M3614="PADD II","PADD 2",IF($M3614="PADD III","PADD 3",IF($M3614="PADD IV","PADD 4",IF($M3614="PADD V","PADD 5","")))))</f>
        <v>PADD 5</v>
      </c>
      <c r="G3614" s="6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6" t="s">
        <v>44</v>
      </c>
      <c r="I3614" s="6" t="s">
        <v>981</v>
      </c>
      <c r="J3614" s="6" t="s">
        <v>394</v>
      </c>
      <c r="K3614" s="10">
        <v>3.1104</v>
      </c>
      <c r="L3614" s="10">
        <v>11.52</v>
      </c>
      <c r="M3614" s="6" t="s">
        <v>436</v>
      </c>
      <c r="N3614" s="6">
        <f>IF(OR($G3614="FCC",$G3614="Hydrocracker",$G3614="Reformer"),IF(COUNTIFS($D:$D,$D3614,$A:$A,$A3614,$B:$B,$B3614,$G:$G,"CDU",$J:$J,"PLANNED")&gt;0,"tied","standalone"),"")</f>
        <v/>
      </c>
    </row>
    <row r="3615" spans="1:14">
      <c r="A3615" s="6">
        <v>2024</v>
      </c>
      <c r="B3615" s="6">
        <v>4</v>
      </c>
      <c r="C3615" s="6" t="s">
        <v>63</v>
      </c>
      <c r="D3615" s="6" t="s">
        <v>49</v>
      </c>
      <c r="E3615" s="6" t="s">
        <v>438</v>
      </c>
      <c r="F3615" s="6" t="str">
        <f>IF($M3615="PADD I","PADD 1",IF($M3615="PADD II","PADD 2",IF($M3615="PADD III","PADD 3",IF($M3615="PADD IV","PADD 4",IF($M3615="PADD V","PADD 5","")))))</f>
        <v>PADD 2</v>
      </c>
      <c r="G3615" s="6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6" t="s">
        <v>494</v>
      </c>
      <c r="I3615" s="6" t="s">
        <v>808</v>
      </c>
      <c r="J3615" s="6" t="s">
        <v>394</v>
      </c>
      <c r="K3615" s="10">
        <v>3.08</v>
      </c>
      <c r="L3615" s="10">
        <v>44</v>
      </c>
      <c r="M3615" s="6" t="s">
        <v>425</v>
      </c>
      <c r="N3615" s="6" t="str">
        <f>IF(OR($G3615="FCC",$G3615="Hydrocracker",$G3615="Reformer"),IF(COUNTIFS($D:$D,$D3615,$A:$A,$A3615,$B:$B,$B3615,$G:$G,"CDU",$J:$J,"PLANNED")&gt;0,"tied","standalone"),"")</f>
        <v>tied</v>
      </c>
    </row>
    <row r="3616" spans="1:14">
      <c r="A3616" s="6">
        <v>2024</v>
      </c>
      <c r="B3616" s="6">
        <v>4</v>
      </c>
      <c r="C3616" s="6" t="s">
        <v>63</v>
      </c>
      <c r="D3616" s="6" t="s">
        <v>789</v>
      </c>
      <c r="E3616" s="6" t="s">
        <v>455</v>
      </c>
      <c r="F3616" s="6" t="str">
        <f>IF($M3616="PADD I","PADD 1",IF($M3616="PADD II","PADD 2",IF($M3616="PADD III","PADD 3",IF($M3616="PADD IV","PADD 4",IF($M3616="PADD V","PADD 5","")))))</f>
        <v>PADD 2</v>
      </c>
      <c r="G3616" s="6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6" t="s">
        <v>426</v>
      </c>
      <c r="I3616" s="6" t="s">
        <v>106</v>
      </c>
      <c r="J3616" s="6" t="s">
        <v>394</v>
      </c>
      <c r="K3616" s="10">
        <v>3</v>
      </c>
      <c r="L3616" s="10">
        <v>30</v>
      </c>
      <c r="M3616" s="6" t="s">
        <v>425</v>
      </c>
      <c r="N3616" s="6" t="str">
        <f>IF(OR($G3616="FCC",$G3616="Hydrocracker",$G3616="Reformer"),IF(COUNTIFS($D:$D,$D3616,$A:$A,$A3616,$B:$B,$B3616,$G:$G,"CDU",$J:$J,"PLANNED")&gt;0,"tied","standalone"),"")</f>
        <v>standalone</v>
      </c>
    </row>
    <row r="3617" spans="1:14">
      <c r="A3617" s="6">
        <v>2024</v>
      </c>
      <c r="B3617" s="6">
        <v>4</v>
      </c>
      <c r="C3617" s="6" t="s">
        <v>63</v>
      </c>
      <c r="D3617" s="6" t="s">
        <v>789</v>
      </c>
      <c r="E3617" s="6" t="s">
        <v>455</v>
      </c>
      <c r="F3617" s="6" t="str">
        <f>IF($M3617="PADD I","PADD 1",IF($M3617="PADD II","PADD 2",IF($M3617="PADD III","PADD 3",IF($M3617="PADD IV","PADD 4",IF($M3617="PADD V","PADD 5","")))))</f>
        <v>PADD 2</v>
      </c>
      <c r="G3617" s="6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6" t="s">
        <v>471</v>
      </c>
      <c r="I3617" s="6" t="s">
        <v>832</v>
      </c>
      <c r="J3617" s="6" t="s">
        <v>394</v>
      </c>
      <c r="K3617" s="10">
        <v>3</v>
      </c>
      <c r="L3617" s="10">
        <v>30</v>
      </c>
      <c r="M3617" s="6" t="s">
        <v>425</v>
      </c>
      <c r="N3617" s="6" t="str">
        <f>IF(OR($G3617="FCC",$G3617="Hydrocracker",$G3617="Reformer"),IF(COUNTIFS($D:$D,$D3617,$A:$A,$A3617,$B:$B,$B3617,$G:$G,"CDU",$J:$J,"PLANNED")&gt;0,"tied","standalone"),"")</f>
        <v>standalone</v>
      </c>
    </row>
    <row r="3618" spans="1:14">
      <c r="A3618" s="6">
        <v>2024</v>
      </c>
      <c r="B3618" s="6">
        <v>4</v>
      </c>
      <c r="C3618" s="6" t="s">
        <v>63</v>
      </c>
      <c r="D3618" s="6" t="s">
        <v>377</v>
      </c>
      <c r="E3618" s="6" t="s">
        <v>466</v>
      </c>
      <c r="F3618" s="6" t="str">
        <f>IF($M3618="PADD I","PADD 1",IF($M3618="PADD II","PADD 2",IF($M3618="PADD III","PADD 3",IF($M3618="PADD IV","PADD 4",IF($M3618="PADD V","PADD 5","")))))</f>
        <v>PADD 2</v>
      </c>
      <c r="G3618" s="6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6" t="s">
        <v>485</v>
      </c>
      <c r="I3618" s="6" t="s">
        <v>1109</v>
      </c>
      <c r="J3618" s="6" t="s">
        <v>398</v>
      </c>
      <c r="K3618" s="10">
        <v>2.8842</v>
      </c>
      <c r="L3618" s="10">
        <v>12.54</v>
      </c>
      <c r="M3618" s="6" t="s">
        <v>425</v>
      </c>
      <c r="N3618" s="6">
        <f>IF(OR($G3618="FCC",$G3618="Hydrocracker",$G3618="Reformer"),IF(COUNTIFS($D:$D,$D3618,$A:$A,$A3618,$B:$B,$B3618,$G:$G,"CDU",$J:$J,"PLANNED")&gt;0,"tied","standalone"),"")</f>
        <v/>
      </c>
    </row>
    <row r="3619" spans="1:14">
      <c r="A3619" s="6">
        <v>2024</v>
      </c>
      <c r="B3619" s="6">
        <v>4</v>
      </c>
      <c r="C3619" s="6" t="s">
        <v>63</v>
      </c>
      <c r="D3619" s="6" t="s">
        <v>518</v>
      </c>
      <c r="E3619" s="6" t="s">
        <v>419</v>
      </c>
      <c r="F3619" s="6" t="str">
        <f>IF($M3619="PADD I","PADD 1",IF($M3619="PADD II","PADD 2",IF($M3619="PADD III","PADD 3",IF($M3619="PADD IV","PADD 4",IF($M3619="PADD V","PADD 5","")))))</f>
        <v>PADD 3</v>
      </c>
      <c r="G3619" s="6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6" t="s">
        <v>471</v>
      </c>
      <c r="I3619" s="6" t="s">
        <v>685</v>
      </c>
      <c r="J3619" s="6" t="s">
        <v>394</v>
      </c>
      <c r="K3619" s="10">
        <v>2.8</v>
      </c>
      <c r="L3619" s="10">
        <v>7</v>
      </c>
      <c r="M3619" s="6" t="s">
        <v>421</v>
      </c>
      <c r="N3619" s="6" t="str">
        <f>IF(OR($G3619="FCC",$G3619="Hydrocracker",$G3619="Reformer"),IF(COUNTIFS($D:$D,$D3619,$A:$A,$A3619,$B:$B,$B3619,$G:$G,"CDU",$J:$J,"PLANNED")&gt;0,"tied","standalone"),"")</f>
        <v>standalone</v>
      </c>
    </row>
    <row r="3620" spans="1:14">
      <c r="A3620" s="6">
        <v>2024</v>
      </c>
      <c r="B3620" s="6">
        <v>4</v>
      </c>
      <c r="C3620" s="6" t="s">
        <v>63</v>
      </c>
      <c r="D3620" s="6" t="s">
        <v>515</v>
      </c>
      <c r="E3620" s="6" t="s">
        <v>419</v>
      </c>
      <c r="F3620" s="6" t="str">
        <f>IF($M3620="PADD I","PADD 1",IF($M3620="PADD II","PADD 2",IF($M3620="PADD III","PADD 3",IF($M3620="PADD IV","PADD 4",IF($M3620="PADD V","PADD 5","")))))</f>
        <v>PADD 5</v>
      </c>
      <c r="G3620" s="6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6" t="s">
        <v>494</v>
      </c>
      <c r="I3620" s="6" t="s">
        <v>718</v>
      </c>
      <c r="J3620" s="6" t="s">
        <v>398</v>
      </c>
      <c r="K3620" s="10">
        <v>2.75</v>
      </c>
      <c r="L3620" s="10">
        <v>27.5</v>
      </c>
      <c r="M3620" s="6" t="s">
        <v>436</v>
      </c>
      <c r="N3620" s="6" t="str">
        <f>IF(OR($G3620="FCC",$G3620="Hydrocracker",$G3620="Reformer"),IF(COUNTIFS($D:$D,$D3620,$A:$A,$A3620,$B:$B,$B3620,$G:$G,"CDU",$J:$J,"PLANNED")&gt;0,"tied","standalone"),"")</f>
        <v>standalone</v>
      </c>
    </row>
    <row r="3621" spans="1:14">
      <c r="A3621" s="6">
        <v>2024</v>
      </c>
      <c r="B3621" s="6">
        <v>4</v>
      </c>
      <c r="C3621" s="6" t="s">
        <v>63</v>
      </c>
      <c r="D3621" s="6" t="s">
        <v>824</v>
      </c>
      <c r="E3621" s="6" t="s">
        <v>825</v>
      </c>
      <c r="F3621" s="6" t="str">
        <f>IF($M3621="PADD I","PADD 1",IF($M3621="PADD II","PADD 2",IF($M3621="PADD III","PADD 3",IF($M3621="PADD IV","PADD 4",IF($M3621="PADD V","PADD 5","")))))</f>
        <v>PADD 1</v>
      </c>
      <c r="G3621" s="6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6" t="s">
        <v>510</v>
      </c>
      <c r="I3621" s="6" t="s">
        <v>511</v>
      </c>
      <c r="J3621" s="6" t="s">
        <v>398</v>
      </c>
      <c r="K3621" s="10">
        <v>2.7405</v>
      </c>
      <c r="L3621" s="10">
        <v>3.15</v>
      </c>
      <c r="M3621" s="6" t="s">
        <v>463</v>
      </c>
      <c r="N3621" s="6">
        <f>IF(OR($G3621="FCC",$G3621="Hydrocracker",$G3621="Reformer"),IF(COUNTIFS($D:$D,$D3621,$A:$A,$A3621,$B:$B,$B3621,$G:$G,"CDU",$J:$J,"PLANNED")&gt;0,"tied","standalone"),"")</f>
        <v/>
      </c>
    </row>
    <row r="3622" spans="1:14">
      <c r="A3622" s="6">
        <v>2024</v>
      </c>
      <c r="B3622" s="6">
        <v>4</v>
      </c>
      <c r="C3622" s="6" t="s">
        <v>63</v>
      </c>
      <c r="D3622" s="6" t="s">
        <v>812</v>
      </c>
      <c r="E3622" s="6" t="s">
        <v>813</v>
      </c>
      <c r="F3622" s="6" t="str">
        <f>IF($M3622="PADD I","PADD 1",IF($M3622="PADD II","PADD 2",IF($M3622="PADD III","PADD 3",IF($M3622="PADD IV","PADD 4",IF($M3622="PADD V","PADD 5","")))))</f>
        <v>PADD 2</v>
      </c>
      <c r="G3622" s="6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6" t="s">
        <v>428</v>
      </c>
      <c r="I3622" s="6" t="s">
        <v>862</v>
      </c>
      <c r="J3622" s="6" t="s">
        <v>394</v>
      </c>
      <c r="K3622" s="10">
        <v>2.7</v>
      </c>
      <c r="L3622" s="10">
        <v>27</v>
      </c>
      <c r="M3622" s="6" t="s">
        <v>425</v>
      </c>
      <c r="N3622" s="6">
        <f>IF(OR($G3622="FCC",$G3622="Hydrocracker",$G3622="Reformer"),IF(COUNTIFS($D:$D,$D3622,$A:$A,$A3622,$B:$B,$B3622,$G:$G,"CDU",$J:$J,"PLANNED")&gt;0,"tied","standalone"),"")</f>
        <v/>
      </c>
    </row>
    <row r="3623" spans="1:14">
      <c r="A3623" s="6">
        <v>2024</v>
      </c>
      <c r="B3623" s="6">
        <v>4</v>
      </c>
      <c r="C3623" s="6" t="s">
        <v>63</v>
      </c>
      <c r="D3623" s="6" t="s">
        <v>789</v>
      </c>
      <c r="E3623" s="6" t="s">
        <v>455</v>
      </c>
      <c r="F3623" s="6" t="str">
        <f>IF($M3623="PADD I","PADD 1",IF($M3623="PADD II","PADD 2",IF($M3623="PADD III","PADD 3",IF($M3623="PADD IV","PADD 4",IF($M3623="PADD V","PADD 5","")))))</f>
        <v>PADD 2</v>
      </c>
      <c r="G3623" s="6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6" t="s">
        <v>44</v>
      </c>
      <c r="I3623" s="6" t="s">
        <v>543</v>
      </c>
      <c r="J3623" s="6" t="s">
        <v>394</v>
      </c>
      <c r="K3623" s="10">
        <v>2.65</v>
      </c>
      <c r="L3623" s="10">
        <v>26.5</v>
      </c>
      <c r="M3623" s="6" t="s">
        <v>425</v>
      </c>
      <c r="N3623" s="6">
        <f>IF(OR($G3623="FCC",$G3623="Hydrocracker",$G3623="Reformer"),IF(COUNTIFS($D:$D,$D3623,$A:$A,$A3623,$B:$B,$B3623,$G:$G,"CDU",$J:$J,"PLANNED")&gt;0,"tied","standalone"),"")</f>
        <v/>
      </c>
    </row>
    <row r="3624" spans="1:14">
      <c r="A3624" s="6">
        <v>2024</v>
      </c>
      <c r="B3624" s="6">
        <v>4</v>
      </c>
      <c r="C3624" s="6" t="s">
        <v>63</v>
      </c>
      <c r="D3624" s="6" t="s">
        <v>383</v>
      </c>
      <c r="E3624" s="6" t="s">
        <v>602</v>
      </c>
      <c r="F3624" s="6" t="str">
        <f>IF($M3624="PADD I","PADD 1",IF($M3624="PADD II","PADD 2",IF($M3624="PADD III","PADD 3",IF($M3624="PADD IV","PADD 4",IF($M3624="PADD V","PADD 5","")))))</f>
        <v>PADD 3</v>
      </c>
      <c r="G3624" s="6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6" t="s">
        <v>39</v>
      </c>
      <c r="I3624" s="6" t="s">
        <v>138</v>
      </c>
      <c r="J3624" s="6" t="s">
        <v>394</v>
      </c>
      <c r="K3624" s="10">
        <v>2.55</v>
      </c>
      <c r="L3624" s="10">
        <v>85</v>
      </c>
      <c r="M3624" s="6" t="s">
        <v>421</v>
      </c>
      <c r="N3624" s="6">
        <f>IF(OR($G3624="FCC",$G3624="Hydrocracker",$G3624="Reformer"),IF(COUNTIFS($D:$D,$D3624,$A:$A,$A3624,$B:$B,$B3624,$G:$G,"CDU",$J:$J,"PLANNED")&gt;0,"tied","standalone"),"")</f>
        <v/>
      </c>
    </row>
    <row r="3625" spans="1:14">
      <c r="A3625" s="6">
        <v>2024</v>
      </c>
      <c r="B3625" s="6">
        <v>4</v>
      </c>
      <c r="C3625" s="6" t="s">
        <v>63</v>
      </c>
      <c r="D3625" s="6" t="s">
        <v>1110</v>
      </c>
      <c r="E3625" s="6" t="s">
        <v>1089</v>
      </c>
      <c r="F3625" s="6" t="str">
        <f>IF($M3625="PADD I","PADD 1",IF($M3625="PADD II","PADD 2",IF($M3625="PADD III","PADD 3",IF($M3625="PADD IV","PADD 4",IF($M3625="PADD V","PADD 5","")))))</f>
        <v>PADD 2</v>
      </c>
      <c r="G3625" s="6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6" t="s">
        <v>510</v>
      </c>
      <c r="I3625" s="6" t="s">
        <v>666</v>
      </c>
      <c r="J3625" s="6" t="s">
        <v>394</v>
      </c>
      <c r="K3625" s="10">
        <v>2.5175</v>
      </c>
      <c r="L3625" s="10">
        <v>4.75</v>
      </c>
      <c r="M3625" s="6" t="s">
        <v>425</v>
      </c>
      <c r="N3625" s="6">
        <f>IF(OR($G3625="FCC",$G3625="Hydrocracker",$G3625="Reformer"),IF(COUNTIFS($D:$D,$D3625,$A:$A,$A3625,$B:$B,$B3625,$G:$G,"CDU",$J:$J,"PLANNED")&gt;0,"tied","standalone"),"")</f>
        <v/>
      </c>
    </row>
    <row r="3626" spans="1:14">
      <c r="A3626" s="6">
        <v>2024</v>
      </c>
      <c r="B3626" s="6">
        <v>4</v>
      </c>
      <c r="C3626" s="6" t="s">
        <v>63</v>
      </c>
      <c r="D3626" s="6" t="s">
        <v>51</v>
      </c>
      <c r="E3626" s="6" t="s">
        <v>431</v>
      </c>
      <c r="F3626" s="6" t="str">
        <f>IF($M3626="PADD I","PADD 1",IF($M3626="PADD II","PADD 2",IF($M3626="PADD III","PADD 3",IF($M3626="PADD IV","PADD 4",IF($M3626="PADD V","PADD 5","")))))</f>
        <v>PADD 3</v>
      </c>
      <c r="G3626" s="6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6" t="s">
        <v>494</v>
      </c>
      <c r="I3626" s="6" t="s">
        <v>1245</v>
      </c>
      <c r="J3626" s="6" t="s">
        <v>394</v>
      </c>
      <c r="K3626" s="10">
        <v>2.5</v>
      </c>
      <c r="L3626" s="10">
        <v>25</v>
      </c>
      <c r="M3626" s="6" t="s">
        <v>421</v>
      </c>
      <c r="N3626" s="6" t="str">
        <f>IF(OR($G3626="FCC",$G3626="Hydrocracker",$G3626="Reformer"),IF(COUNTIFS($D:$D,$D3626,$A:$A,$A3626,$B:$B,$B3626,$G:$G,"CDU",$J:$J,"PLANNED")&gt;0,"tied","standalone"),"")</f>
        <v>tied</v>
      </c>
    </row>
    <row r="3627" spans="1:14">
      <c r="A3627" s="6">
        <v>2024</v>
      </c>
      <c r="B3627" s="6">
        <v>4</v>
      </c>
      <c r="C3627" s="6" t="s">
        <v>63</v>
      </c>
      <c r="D3627" s="6" t="s">
        <v>422</v>
      </c>
      <c r="E3627" s="6" t="s">
        <v>423</v>
      </c>
      <c r="F3627" s="6" t="str">
        <f>IF($M3627="PADD I","PADD 1",IF($M3627="PADD II","PADD 2",IF($M3627="PADD III","PADD 3",IF($M3627="PADD IV","PADD 4",IF($M3627="PADD V","PADD 5","")))))</f>
        <v>PADD 2</v>
      </c>
      <c r="G3627" s="6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6" t="s">
        <v>485</v>
      </c>
      <c r="I3627" s="6" t="s">
        <v>634</v>
      </c>
      <c r="J3627" s="6" t="s">
        <v>394</v>
      </c>
      <c r="K3627" s="10">
        <v>2.475</v>
      </c>
      <c r="L3627" s="10">
        <v>7.5</v>
      </c>
      <c r="M3627" s="6" t="s">
        <v>425</v>
      </c>
      <c r="N3627" s="6">
        <f>IF(OR($G3627="FCC",$G3627="Hydrocracker",$G3627="Reformer"),IF(COUNTIFS($D:$D,$D3627,$A:$A,$A3627,$B:$B,$B3627,$G:$G,"CDU",$J:$J,"PLANNED")&gt;0,"tied","standalone"),"")</f>
        <v/>
      </c>
    </row>
    <row r="3628" spans="1:14">
      <c r="A3628" s="6">
        <v>2024</v>
      </c>
      <c r="B3628" s="6">
        <v>4</v>
      </c>
      <c r="C3628" s="6" t="s">
        <v>63</v>
      </c>
      <c r="D3628" s="6" t="s">
        <v>515</v>
      </c>
      <c r="E3628" s="6" t="s">
        <v>419</v>
      </c>
      <c r="F3628" s="6" t="str">
        <f>IF($M3628="PADD I","PADD 1",IF($M3628="PADD II","PADD 2",IF($M3628="PADD III","PADD 3",IF($M3628="PADD IV","PADD 4",IF($M3628="PADD V","PADD 5","")))))</f>
        <v>PADD 5</v>
      </c>
      <c r="G3628" s="6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6" t="s">
        <v>44</v>
      </c>
      <c r="I3628" s="6" t="s">
        <v>714</v>
      </c>
      <c r="J3628" s="6" t="s">
        <v>398</v>
      </c>
      <c r="K3628" s="10">
        <v>2.45</v>
      </c>
      <c r="L3628" s="10">
        <v>35</v>
      </c>
      <c r="M3628" s="6" t="s">
        <v>436</v>
      </c>
      <c r="N3628" s="6">
        <f>IF(OR($G3628="FCC",$G3628="Hydrocracker",$G3628="Reformer"),IF(COUNTIFS($D:$D,$D3628,$A:$A,$A3628,$B:$B,$B3628,$G:$G,"CDU",$J:$J,"PLANNED")&gt;0,"tied","standalone"),"")</f>
        <v/>
      </c>
    </row>
    <row r="3629" spans="1:14">
      <c r="A3629" s="6">
        <v>2024</v>
      </c>
      <c r="B3629" s="6">
        <v>4</v>
      </c>
      <c r="C3629" s="6" t="s">
        <v>63</v>
      </c>
      <c r="D3629" s="6" t="s">
        <v>49</v>
      </c>
      <c r="E3629" s="6" t="s">
        <v>438</v>
      </c>
      <c r="F3629" s="6" t="str">
        <f>IF($M3629="PADD I","PADD 1",IF($M3629="PADD II","PADD 2",IF($M3629="PADD III","PADD 3",IF($M3629="PADD IV","PADD 4",IF($M3629="PADD V","PADD 5","")))))</f>
        <v>PADD 2</v>
      </c>
      <c r="G3629" s="6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6" t="s">
        <v>44</v>
      </c>
      <c r="I3629" s="6" t="s">
        <v>811</v>
      </c>
      <c r="J3629" s="6" t="s">
        <v>394</v>
      </c>
      <c r="K3629" s="10">
        <v>2.4</v>
      </c>
      <c r="L3629" s="10">
        <v>24</v>
      </c>
      <c r="M3629" s="6" t="s">
        <v>425</v>
      </c>
      <c r="N3629" s="6">
        <f>IF(OR($G3629="FCC",$G3629="Hydrocracker",$G3629="Reformer"),IF(COUNTIFS($D:$D,$D3629,$A:$A,$A3629,$B:$B,$B3629,$G:$G,"CDU",$J:$J,"PLANNED")&gt;0,"tied","standalone"),"")</f>
        <v/>
      </c>
    </row>
    <row r="3630" spans="1:14">
      <c r="A3630" s="6">
        <v>2024</v>
      </c>
      <c r="B3630" s="6">
        <v>4</v>
      </c>
      <c r="C3630" s="6" t="s">
        <v>63</v>
      </c>
      <c r="D3630" s="6" t="s">
        <v>484</v>
      </c>
      <c r="E3630" s="6" t="s">
        <v>438</v>
      </c>
      <c r="F3630" s="6" t="str">
        <f>IF($M3630="PADD I","PADD 1",IF($M3630="PADD II","PADD 2",IF($M3630="PADD III","PADD 3",IF($M3630="PADD IV","PADD 4",IF($M3630="PADD V","PADD 5","")))))</f>
        <v>PADD 5</v>
      </c>
      <c r="G3630" s="6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6" t="s">
        <v>494</v>
      </c>
      <c r="I3630" s="6" t="s">
        <v>14</v>
      </c>
      <c r="J3630" s="6" t="s">
        <v>394</v>
      </c>
      <c r="K3630" s="10">
        <v>2.31</v>
      </c>
      <c r="L3630" s="10">
        <v>33</v>
      </c>
      <c r="M3630" s="6" t="s">
        <v>436</v>
      </c>
      <c r="N3630" s="6" t="str">
        <f>IF(OR($G3630="FCC",$G3630="Hydrocracker",$G3630="Reformer"),IF(COUNTIFS($D:$D,$D3630,$A:$A,$A3630,$B:$B,$B3630,$G:$G,"CDU",$J:$J,"PLANNED")&gt;0,"tied","standalone"),"")</f>
        <v>standalone</v>
      </c>
    </row>
    <row r="3631" spans="1:14">
      <c r="A3631" s="6">
        <v>2024</v>
      </c>
      <c r="B3631" s="6">
        <v>4</v>
      </c>
      <c r="C3631" s="6" t="s">
        <v>63</v>
      </c>
      <c r="D3631" s="6" t="s">
        <v>1191</v>
      </c>
      <c r="E3631" s="6" t="s">
        <v>1129</v>
      </c>
      <c r="F3631" s="6" t="str">
        <f>IF($M3631="PADD I","PADD 1",IF($M3631="PADD II","PADD 2",IF($M3631="PADD III","PADD 3",IF($M3631="PADD IV","PADD 4",IF($M3631="PADD V","PADD 5","")))))</f>
        <v>PADD 3</v>
      </c>
      <c r="G3631" s="6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6" t="s">
        <v>471</v>
      </c>
      <c r="I3631" s="6" t="s">
        <v>609</v>
      </c>
      <c r="J3631" s="6" t="s">
        <v>398</v>
      </c>
      <c r="K3631" s="10">
        <v>2.295</v>
      </c>
      <c r="L3631" s="10">
        <v>13.5</v>
      </c>
      <c r="M3631" s="6" t="s">
        <v>421</v>
      </c>
      <c r="N3631" s="6" t="str">
        <f>IF(OR($G3631="FCC",$G3631="Hydrocracker",$G3631="Reformer"),IF(COUNTIFS($D:$D,$D3631,$A:$A,$A3631,$B:$B,$B3631,$G:$G,"CDU",$J:$J,"PLANNED")&gt;0,"tied","standalone"),"")</f>
        <v>standalone</v>
      </c>
    </row>
    <row r="3632" spans="1:14">
      <c r="A3632" s="6">
        <v>2024</v>
      </c>
      <c r="B3632" s="6">
        <v>4</v>
      </c>
      <c r="C3632" s="6" t="s">
        <v>63</v>
      </c>
      <c r="D3632" s="6" t="s">
        <v>889</v>
      </c>
      <c r="E3632" s="6" t="s">
        <v>890</v>
      </c>
      <c r="F3632" s="6" t="str">
        <f>IF($M3632="PADD I","PADD 1",IF($M3632="PADD II","PADD 2",IF($M3632="PADD III","PADD 3",IF($M3632="PADD IV","PADD 4",IF($M3632="PADD V","PADD 5","")))))</f>
        <v>PADD 1</v>
      </c>
      <c r="G3632" s="6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6" t="s">
        <v>44</v>
      </c>
      <c r="I3632" s="6" t="s">
        <v>891</v>
      </c>
      <c r="J3632" s="6" t="s">
        <v>394</v>
      </c>
      <c r="K3632" s="10">
        <v>2.21</v>
      </c>
      <c r="L3632" s="10">
        <v>17</v>
      </c>
      <c r="M3632" s="6" t="s">
        <v>463</v>
      </c>
      <c r="N3632" s="6">
        <f>IF(OR($G3632="FCC",$G3632="Hydrocracker",$G3632="Reformer"),IF(COUNTIFS($D:$D,$D3632,$A:$A,$A3632,$B:$B,$B3632,$G:$G,"CDU",$J:$J,"PLANNED")&gt;0,"tied","standalone"),"")</f>
        <v/>
      </c>
    </row>
    <row r="3633" spans="1:14">
      <c r="A3633" s="6">
        <v>2024</v>
      </c>
      <c r="B3633" s="6">
        <v>4</v>
      </c>
      <c r="C3633" s="6" t="s">
        <v>63</v>
      </c>
      <c r="D3633" s="6" t="s">
        <v>597</v>
      </c>
      <c r="E3633" s="6" t="s">
        <v>441</v>
      </c>
      <c r="F3633" s="6" t="str">
        <f>IF($M3633="PADD I","PADD 1",IF($M3633="PADD II","PADD 2",IF($M3633="PADD III","PADD 3",IF($M3633="PADD IV","PADD 4",IF($M3633="PADD V","PADD 5","")))))</f>
        <v>PADD 5</v>
      </c>
      <c r="G3633" s="6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6" t="s">
        <v>471</v>
      </c>
      <c r="I3633" s="6" t="s">
        <v>982</v>
      </c>
      <c r="J3633" s="6" t="s">
        <v>394</v>
      </c>
      <c r="K3633" s="10">
        <v>2.16</v>
      </c>
      <c r="L3633" s="10">
        <v>8</v>
      </c>
      <c r="M3633" s="6" t="s">
        <v>436</v>
      </c>
      <c r="N3633" s="6" t="str">
        <f>IF(OR($G3633="FCC",$G3633="Hydrocracker",$G3633="Reformer"),IF(COUNTIFS($D:$D,$D3633,$A:$A,$A3633,$B:$B,$B3633,$G:$G,"CDU",$J:$J,"PLANNED")&gt;0,"tied","standalone"),"")</f>
        <v>standalone</v>
      </c>
    </row>
    <row r="3634" spans="1:14">
      <c r="A3634" s="6">
        <v>2024</v>
      </c>
      <c r="B3634" s="6">
        <v>4</v>
      </c>
      <c r="C3634" s="6" t="s">
        <v>63</v>
      </c>
      <c r="D3634" s="6" t="s">
        <v>1088</v>
      </c>
      <c r="E3634" s="6" t="s">
        <v>1089</v>
      </c>
      <c r="F3634" s="6" t="str">
        <f>IF($M3634="PADD I","PADD 1",IF($M3634="PADD II","PADD 2",IF($M3634="PADD III","PADD 3",IF($M3634="PADD IV","PADD 4",IF($M3634="PADD V","PADD 5","")))))</f>
        <v>PADD 2</v>
      </c>
      <c r="G3634" s="6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6" t="s">
        <v>471</v>
      </c>
      <c r="I3634" s="6" t="s">
        <v>1096</v>
      </c>
      <c r="J3634" s="6" t="s">
        <v>394</v>
      </c>
      <c r="K3634" s="10">
        <v>2.15</v>
      </c>
      <c r="L3634" s="10">
        <v>5</v>
      </c>
      <c r="M3634" s="6" t="s">
        <v>425</v>
      </c>
      <c r="N3634" s="6" t="str">
        <f>IF(OR($G3634="FCC",$G3634="Hydrocracker",$G3634="Reformer"),IF(COUNTIFS($D:$D,$D3634,$A:$A,$A3634,$B:$B,$B3634,$G:$G,"CDU",$J:$J,"PLANNED")&gt;0,"tied","standalone"),"")</f>
        <v>tied</v>
      </c>
    </row>
    <row r="3635" spans="1:14">
      <c r="A3635" s="6">
        <v>2024</v>
      </c>
      <c r="B3635" s="6">
        <v>4</v>
      </c>
      <c r="C3635" s="6" t="s">
        <v>63</v>
      </c>
      <c r="D3635" s="6" t="s">
        <v>812</v>
      </c>
      <c r="E3635" s="6" t="s">
        <v>813</v>
      </c>
      <c r="F3635" s="6" t="str">
        <f>IF($M3635="PADD I","PADD 1",IF($M3635="PADD II","PADD 2",IF($M3635="PADD III","PADD 3",IF($M3635="PADD IV","PADD 4",IF($M3635="PADD V","PADD 5","")))))</f>
        <v>PADD 2</v>
      </c>
      <c r="G3635" s="6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6" t="s">
        <v>426</v>
      </c>
      <c r="I3635" s="6" t="s">
        <v>106</v>
      </c>
      <c r="J3635" s="6" t="s">
        <v>394</v>
      </c>
      <c r="K3635" s="10">
        <v>2.1</v>
      </c>
      <c r="L3635" s="10">
        <v>21</v>
      </c>
      <c r="M3635" s="6" t="s">
        <v>425</v>
      </c>
      <c r="N3635" s="6" t="str">
        <f>IF(OR($G3635="FCC",$G3635="Hydrocracker",$G3635="Reformer"),IF(COUNTIFS($D:$D,$D3635,$A:$A,$A3635,$B:$B,$B3635,$G:$G,"CDU",$J:$J,"PLANNED")&gt;0,"tied","standalone"),"")</f>
        <v>standalone</v>
      </c>
    </row>
    <row r="3636" spans="1:14">
      <c r="A3636" s="6">
        <v>2024</v>
      </c>
      <c r="B3636" s="6">
        <v>4</v>
      </c>
      <c r="C3636" s="6" t="s">
        <v>63</v>
      </c>
      <c r="D3636" s="6" t="s">
        <v>458</v>
      </c>
      <c r="E3636" s="6" t="s">
        <v>459</v>
      </c>
      <c r="F3636" s="6" t="str">
        <f>IF($M3636="PADD I","PADD 1",IF($M3636="PADD II","PADD 2",IF($M3636="PADD III","PADD 3",IF($M3636="PADD IV","PADD 4",IF($M3636="PADD V","PADD 5","")))))</f>
        <v>PADD 3</v>
      </c>
      <c r="G3636" s="6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6" t="s">
        <v>44</v>
      </c>
      <c r="I3636" s="6" t="s">
        <v>552</v>
      </c>
      <c r="J3636" s="6" t="s">
        <v>394</v>
      </c>
      <c r="K3636" s="10">
        <v>2.1</v>
      </c>
      <c r="L3636" s="10">
        <v>30</v>
      </c>
      <c r="M3636" s="6" t="s">
        <v>421</v>
      </c>
      <c r="N3636" s="6">
        <f>IF(OR($G3636="FCC",$G3636="Hydrocracker",$G3636="Reformer"),IF(COUNTIFS($D:$D,$D3636,$A:$A,$A3636,$B:$B,$B3636,$G:$G,"CDU",$J:$J,"PLANNED")&gt;0,"tied","standalone"),"")</f>
        <v/>
      </c>
    </row>
    <row r="3637" spans="1:14">
      <c r="A3637" s="6">
        <v>2024</v>
      </c>
      <c r="B3637" s="6">
        <v>4</v>
      </c>
      <c r="C3637" s="6" t="s">
        <v>63</v>
      </c>
      <c r="D3637" s="6" t="s">
        <v>458</v>
      </c>
      <c r="E3637" s="6" t="s">
        <v>459</v>
      </c>
      <c r="F3637" s="6" t="str">
        <f>IF($M3637="PADD I","PADD 1",IF($M3637="PADD II","PADD 2",IF($M3637="PADD III","PADD 3",IF($M3637="PADD IV","PADD 4",IF($M3637="PADD V","PADD 5","")))))</f>
        <v>PADD 3</v>
      </c>
      <c r="G3637" s="6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6" t="s">
        <v>44</v>
      </c>
      <c r="I3637" s="6" t="s">
        <v>553</v>
      </c>
      <c r="J3637" s="6" t="s">
        <v>394</v>
      </c>
      <c r="K3637" s="10">
        <v>2.1</v>
      </c>
      <c r="L3637" s="10">
        <v>30</v>
      </c>
      <c r="M3637" s="6" t="s">
        <v>421</v>
      </c>
      <c r="N3637" s="6">
        <f>IF(OR($G3637="FCC",$G3637="Hydrocracker",$G3637="Reformer"),IF(COUNTIFS($D:$D,$D3637,$A:$A,$A3637,$B:$B,$B3637,$G:$G,"CDU",$J:$J,"PLANNED")&gt;0,"tied","standalone"),"")</f>
        <v/>
      </c>
    </row>
    <row r="3638" spans="1:14">
      <c r="A3638" s="6">
        <v>2024</v>
      </c>
      <c r="B3638" s="6">
        <v>4</v>
      </c>
      <c r="C3638" s="6" t="s">
        <v>63</v>
      </c>
      <c r="D3638" s="6" t="s">
        <v>889</v>
      </c>
      <c r="E3638" s="6" t="s">
        <v>890</v>
      </c>
      <c r="F3638" s="6" t="str">
        <f>IF($M3638="PADD I","PADD 1",IF($M3638="PADD II","PADD 2",IF($M3638="PADD III","PADD 3",IF($M3638="PADD IV","PADD 4",IF($M3638="PADD V","PADD 5","")))))</f>
        <v>PADD 1</v>
      </c>
      <c r="G3638" s="6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6" t="s">
        <v>39</v>
      </c>
      <c r="I3638" s="6" t="s">
        <v>134</v>
      </c>
      <c r="J3638" s="6" t="s">
        <v>394</v>
      </c>
      <c r="K3638" s="10">
        <v>2.1</v>
      </c>
      <c r="L3638" s="10">
        <v>70</v>
      </c>
      <c r="M3638" s="6" t="s">
        <v>463</v>
      </c>
      <c r="N3638" s="6">
        <f>IF(OR($G3638="FCC",$G3638="Hydrocracker",$G3638="Reformer"),IF(COUNTIFS($D:$D,$D3638,$A:$A,$A3638,$B:$B,$B3638,$G:$G,"CDU",$J:$J,"PLANNED")&gt;0,"tied","standalone"),"")</f>
        <v/>
      </c>
    </row>
    <row r="3639" spans="1:14">
      <c r="A3639" s="6">
        <v>2024</v>
      </c>
      <c r="B3639" s="6">
        <v>4</v>
      </c>
      <c r="C3639" s="6" t="s">
        <v>63</v>
      </c>
      <c r="D3639" s="6" t="s">
        <v>812</v>
      </c>
      <c r="E3639" s="6" t="s">
        <v>813</v>
      </c>
      <c r="F3639" s="6" t="str">
        <f>IF($M3639="PADD I","PADD 1",IF($M3639="PADD II","PADD 2",IF($M3639="PADD III","PADD 3",IF($M3639="PADD IV","PADD 4",IF($M3639="PADD V","PADD 5","")))))</f>
        <v>PADD 2</v>
      </c>
      <c r="G3639" s="6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6" t="s">
        <v>428</v>
      </c>
      <c r="I3639" s="6" t="s">
        <v>1014</v>
      </c>
      <c r="J3639" s="6" t="s">
        <v>398</v>
      </c>
      <c r="K3639" s="10">
        <v>2.04</v>
      </c>
      <c r="L3639" s="10">
        <v>12</v>
      </c>
      <c r="M3639" s="6" t="s">
        <v>425</v>
      </c>
      <c r="N3639" s="6">
        <f>IF(OR($G3639="FCC",$G3639="Hydrocracker",$G3639="Reformer"),IF(COUNTIFS($D:$D,$D3639,$A:$A,$A3639,$B:$B,$B3639,$G:$G,"CDU",$J:$J,"PLANNED")&gt;0,"tied","standalone"),"")</f>
        <v/>
      </c>
    </row>
    <row r="3640" spans="1:14">
      <c r="A3640" s="6">
        <v>2024</v>
      </c>
      <c r="B3640" s="6">
        <v>4</v>
      </c>
      <c r="C3640" s="6" t="s">
        <v>63</v>
      </c>
      <c r="D3640" s="6" t="s">
        <v>680</v>
      </c>
      <c r="E3640" s="6" t="s">
        <v>541</v>
      </c>
      <c r="F3640" s="6" t="str">
        <f>IF($M3640="PADD I","PADD 1",IF($M3640="PADD II","PADD 2",IF($M3640="PADD III","PADD 3",IF($M3640="PADD IV","PADD 4",IF($M3640="PADD V","PADD 5","")))))</f>
        <v>PADD 3</v>
      </c>
      <c r="G3640" s="6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6" t="s">
        <v>44</v>
      </c>
      <c r="I3640" s="6" t="s">
        <v>514</v>
      </c>
      <c r="J3640" s="6" t="s">
        <v>394</v>
      </c>
      <c r="K3640" s="10">
        <v>2.04</v>
      </c>
      <c r="L3640" s="10">
        <v>12</v>
      </c>
      <c r="M3640" s="6" t="s">
        <v>421</v>
      </c>
      <c r="N3640" s="6">
        <f>IF(OR($G3640="FCC",$G3640="Hydrocracker",$G3640="Reformer"),IF(COUNTIFS($D:$D,$D3640,$A:$A,$A3640,$B:$B,$B3640,$G:$G,"CDU",$J:$J,"PLANNED")&gt;0,"tied","standalone"),"")</f>
        <v/>
      </c>
    </row>
    <row r="3641" spans="1:14">
      <c r="A3641" s="6">
        <v>2024</v>
      </c>
      <c r="B3641" s="6">
        <v>4</v>
      </c>
      <c r="C3641" s="6" t="s">
        <v>63</v>
      </c>
      <c r="D3641" s="6" t="s">
        <v>515</v>
      </c>
      <c r="E3641" s="6" t="s">
        <v>419</v>
      </c>
      <c r="F3641" s="6" t="str">
        <f>IF($M3641="PADD I","PADD 1",IF($M3641="PADD II","PADD 2",IF($M3641="PADD III","PADD 3",IF($M3641="PADD IV","PADD 4",IF($M3641="PADD V","PADD 5","")))))</f>
        <v>PADD 5</v>
      </c>
      <c r="G3641" s="6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6" t="s">
        <v>471</v>
      </c>
      <c r="I3641" s="6" t="s">
        <v>723</v>
      </c>
      <c r="J3641" s="6" t="s">
        <v>398</v>
      </c>
      <c r="K3641" s="10">
        <v>2</v>
      </c>
      <c r="L3641" s="10">
        <v>20</v>
      </c>
      <c r="M3641" s="6" t="s">
        <v>436</v>
      </c>
      <c r="N3641" s="6" t="str">
        <f>IF(OR($G3641="FCC",$G3641="Hydrocracker",$G3641="Reformer"),IF(COUNTIFS($D:$D,$D3641,$A:$A,$A3641,$B:$B,$B3641,$G:$G,"CDU",$J:$J,"PLANNED")&gt;0,"tied","standalone"),"")</f>
        <v>standalone</v>
      </c>
    </row>
    <row r="3642" spans="1:14">
      <c r="A3642" s="6">
        <v>2024</v>
      </c>
      <c r="B3642" s="6">
        <v>4</v>
      </c>
      <c r="C3642" s="6" t="s">
        <v>63</v>
      </c>
      <c r="D3642" s="6" t="s">
        <v>789</v>
      </c>
      <c r="E3642" s="6" t="s">
        <v>455</v>
      </c>
      <c r="F3642" s="6" t="str">
        <f>IF($M3642="PADD I","PADD 1",IF($M3642="PADD II","PADD 2",IF($M3642="PADD III","PADD 3",IF($M3642="PADD IV","PADD 4",IF($M3642="PADD V","PADD 5","")))))</f>
        <v>PADD 2</v>
      </c>
      <c r="G3642" s="6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6" t="s">
        <v>44</v>
      </c>
      <c r="I3642" s="6" t="s">
        <v>1246</v>
      </c>
      <c r="J3642" s="6" t="s">
        <v>394</v>
      </c>
      <c r="K3642" s="10">
        <v>2</v>
      </c>
      <c r="L3642" s="10">
        <v>20</v>
      </c>
      <c r="M3642" s="6" t="s">
        <v>425</v>
      </c>
      <c r="N3642" s="6">
        <f>IF(OR($G3642="FCC",$G3642="Hydrocracker",$G3642="Reformer"),IF(COUNTIFS($D:$D,$D3642,$A:$A,$A3642,$B:$B,$B3642,$G:$G,"CDU",$J:$J,"PLANNED")&gt;0,"tied","standalone"),"")</f>
        <v/>
      </c>
    </row>
    <row r="3643" spans="1:14">
      <c r="A3643" s="6">
        <v>2024</v>
      </c>
      <c r="B3643" s="6">
        <v>4</v>
      </c>
      <c r="C3643" s="6" t="s">
        <v>63</v>
      </c>
      <c r="D3643" s="6" t="s">
        <v>812</v>
      </c>
      <c r="E3643" s="6" t="s">
        <v>813</v>
      </c>
      <c r="F3643" s="6" t="str">
        <f>IF($M3643="PADD I","PADD 1",IF($M3643="PADD II","PADD 2",IF($M3643="PADD III","PADD 3",IF($M3643="PADD IV","PADD 4",IF($M3643="PADD V","PADD 5","")))))</f>
        <v>PADD 2</v>
      </c>
      <c r="G3643" s="6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6" t="s">
        <v>44</v>
      </c>
      <c r="I3643" s="6" t="s">
        <v>913</v>
      </c>
      <c r="J3643" s="6" t="s">
        <v>394</v>
      </c>
      <c r="K3643" s="10">
        <v>2</v>
      </c>
      <c r="L3643" s="10">
        <v>20</v>
      </c>
      <c r="M3643" s="6" t="s">
        <v>425</v>
      </c>
      <c r="N3643" s="6">
        <f>IF(OR($G3643="FCC",$G3643="Hydrocracker",$G3643="Reformer"),IF(COUNTIFS($D:$D,$D3643,$A:$A,$A3643,$B:$B,$B3643,$G:$G,"CDU",$J:$J,"PLANNED")&gt;0,"tied","standalone"),"")</f>
        <v/>
      </c>
    </row>
    <row r="3644" spans="1:14">
      <c r="A3644" s="6">
        <v>2024</v>
      </c>
      <c r="B3644" s="6">
        <v>4</v>
      </c>
      <c r="C3644" s="6" t="s">
        <v>63</v>
      </c>
      <c r="D3644" s="6" t="s">
        <v>546</v>
      </c>
      <c r="E3644" s="6" t="s">
        <v>438</v>
      </c>
      <c r="F3644" s="6" t="str">
        <f>IF($M3644="PADD I","PADD 1",IF($M3644="PADD II","PADD 2",IF($M3644="PADD III","PADD 3",IF($M3644="PADD IV","PADD 4",IF($M3644="PADD V","PADD 5","")))))</f>
        <v>PADD 2</v>
      </c>
      <c r="G3644" s="6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6" t="s">
        <v>44</v>
      </c>
      <c r="I3644" s="6" t="s">
        <v>1005</v>
      </c>
      <c r="J3644" s="6" t="s">
        <v>398</v>
      </c>
      <c r="K3644" s="10">
        <v>1.98</v>
      </c>
      <c r="L3644" s="10">
        <v>6</v>
      </c>
      <c r="M3644" s="6" t="s">
        <v>425</v>
      </c>
      <c r="N3644" s="6">
        <f>IF(OR($G3644="FCC",$G3644="Hydrocracker",$G3644="Reformer"),IF(COUNTIFS($D:$D,$D3644,$A:$A,$A3644,$B:$B,$B3644,$G:$G,"CDU",$J:$J,"PLANNED")&gt;0,"tied","standalone"),"")</f>
        <v/>
      </c>
    </row>
    <row r="3645" spans="1:14">
      <c r="A3645" s="6">
        <v>2024</v>
      </c>
      <c r="B3645" s="6">
        <v>4</v>
      </c>
      <c r="C3645" s="6" t="s">
        <v>63</v>
      </c>
      <c r="D3645" s="6" t="s">
        <v>1088</v>
      </c>
      <c r="E3645" s="6" t="s">
        <v>1089</v>
      </c>
      <c r="F3645" s="6" t="str">
        <f>IF($M3645="PADD I","PADD 1",IF($M3645="PADD II","PADD 2",IF($M3645="PADD III","PADD 3",IF($M3645="PADD IV","PADD 4",IF($M3645="PADD V","PADD 5","")))))</f>
        <v>PADD 2</v>
      </c>
      <c r="G3645" s="6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6" t="s">
        <v>44</v>
      </c>
      <c r="I3645" s="6" t="s">
        <v>1247</v>
      </c>
      <c r="J3645" s="6" t="s">
        <v>394</v>
      </c>
      <c r="K3645" s="10">
        <v>1.935</v>
      </c>
      <c r="L3645" s="10">
        <v>4.5</v>
      </c>
      <c r="M3645" s="6" t="s">
        <v>425</v>
      </c>
      <c r="N3645" s="6">
        <f>IF(OR($G3645="FCC",$G3645="Hydrocracker",$G3645="Reformer"),IF(COUNTIFS($D:$D,$D3645,$A:$A,$A3645,$B:$B,$B3645,$G:$G,"CDU",$J:$J,"PLANNED")&gt;0,"tied","standalone"),"")</f>
        <v/>
      </c>
    </row>
    <row r="3646" spans="1:14">
      <c r="A3646" s="6">
        <v>2024</v>
      </c>
      <c r="B3646" s="6">
        <v>4</v>
      </c>
      <c r="C3646" s="6" t="s">
        <v>63</v>
      </c>
      <c r="D3646" s="6" t="s">
        <v>515</v>
      </c>
      <c r="E3646" s="6" t="s">
        <v>419</v>
      </c>
      <c r="F3646" s="6" t="str">
        <f>IF($M3646="PADD I","PADD 1",IF($M3646="PADD II","PADD 2",IF($M3646="PADD III","PADD 3",IF($M3646="PADD IV","PADD 4",IF($M3646="PADD V","PADD 5","")))))</f>
        <v>PADD 5</v>
      </c>
      <c r="G3646" s="6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6" t="s">
        <v>494</v>
      </c>
      <c r="I3646" s="6" t="s">
        <v>718</v>
      </c>
      <c r="J3646" s="6" t="s">
        <v>398</v>
      </c>
      <c r="K3646" s="10">
        <v>1.925</v>
      </c>
      <c r="L3646" s="10">
        <v>27.5</v>
      </c>
      <c r="M3646" s="6" t="s">
        <v>436</v>
      </c>
      <c r="N3646" s="6" t="str">
        <f>IF(OR($G3646="FCC",$G3646="Hydrocracker",$G3646="Reformer"),IF(COUNTIFS($D:$D,$D3646,$A:$A,$A3646,$B:$B,$B3646,$G:$G,"CDU",$J:$J,"PLANNED")&gt;0,"tied","standalone"),"")</f>
        <v>standalone</v>
      </c>
    </row>
    <row r="3647" spans="1:14">
      <c r="A3647" s="6">
        <v>2024</v>
      </c>
      <c r="B3647" s="6">
        <v>4</v>
      </c>
      <c r="C3647" s="6" t="s">
        <v>63</v>
      </c>
      <c r="D3647" s="6" t="s">
        <v>1115</v>
      </c>
      <c r="E3647" s="6" t="s">
        <v>466</v>
      </c>
      <c r="F3647" s="6" t="str">
        <f>IF($M3647="PADD I","PADD 1",IF($M3647="PADD II","PADD 2",IF($M3647="PADD III","PADD 3",IF($M3647="PADD IV","PADD 4",IF($M3647="PADD V","PADD 5","")))))</f>
        <v>PADD 2</v>
      </c>
      <c r="G3647" s="6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6" t="s">
        <v>510</v>
      </c>
      <c r="I3647" s="6" t="s">
        <v>1116</v>
      </c>
      <c r="J3647" s="6" t="s">
        <v>394</v>
      </c>
      <c r="K3647" s="10">
        <v>1.89</v>
      </c>
      <c r="L3647" s="10">
        <v>18.9</v>
      </c>
      <c r="M3647" s="6" t="s">
        <v>425</v>
      </c>
      <c r="N3647" s="6">
        <f>IF(OR($G3647="FCC",$G3647="Hydrocracker",$G3647="Reformer"),IF(COUNTIFS($D:$D,$D3647,$A:$A,$A3647,$B:$B,$B3647,$G:$G,"CDU",$J:$J,"PLANNED")&gt;0,"tied","standalone"),"")</f>
        <v/>
      </c>
    </row>
    <row r="3648" spans="1:14">
      <c r="A3648" s="6">
        <v>2024</v>
      </c>
      <c r="B3648" s="6">
        <v>4</v>
      </c>
      <c r="C3648" s="6" t="s">
        <v>63</v>
      </c>
      <c r="D3648" s="6" t="s">
        <v>652</v>
      </c>
      <c r="E3648" s="6" t="s">
        <v>419</v>
      </c>
      <c r="F3648" s="6" t="str">
        <f>IF($M3648="PADD I","PADD 1",IF($M3648="PADD II","PADD 2",IF($M3648="PADD III","PADD 3",IF($M3648="PADD IV","PADD 4",IF($M3648="PADD V","PADD 5","")))))</f>
        <v>PADD 2</v>
      </c>
      <c r="G3648" s="6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6" t="s">
        <v>471</v>
      </c>
      <c r="I3648" s="6" t="s">
        <v>1173</v>
      </c>
      <c r="J3648" s="6" t="s">
        <v>394</v>
      </c>
      <c r="K3648" s="10">
        <v>1.89</v>
      </c>
      <c r="L3648" s="10">
        <v>27</v>
      </c>
      <c r="M3648" s="6" t="s">
        <v>425</v>
      </c>
      <c r="N3648" s="6" t="str">
        <f>IF(OR($G3648="FCC",$G3648="Hydrocracker",$G3648="Reformer"),IF(COUNTIFS($D:$D,$D3648,$A:$A,$A3648,$B:$B,$B3648,$G:$G,"CDU",$J:$J,"PLANNED")&gt;0,"tied","standalone"),"")</f>
        <v>standalone</v>
      </c>
    </row>
    <row r="3649" spans="1:14">
      <c r="A3649" s="6">
        <v>2024</v>
      </c>
      <c r="B3649" s="6">
        <v>4</v>
      </c>
      <c r="C3649" s="6" t="s">
        <v>63</v>
      </c>
      <c r="D3649" s="6" t="s">
        <v>689</v>
      </c>
      <c r="E3649" s="6" t="s">
        <v>502</v>
      </c>
      <c r="F3649" s="6" t="str">
        <f>IF($M3649="PADD I","PADD 1",IF($M3649="PADD II","PADD 2",IF($M3649="PADD III","PADD 3",IF($M3649="PADD IV","PADD 4",IF($M3649="PADD V","PADD 5","")))))</f>
        <v>PADD 5</v>
      </c>
      <c r="G3649" s="6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6" t="s">
        <v>510</v>
      </c>
      <c r="I3649" s="6" t="s">
        <v>555</v>
      </c>
      <c r="J3649" s="6" t="s">
        <v>398</v>
      </c>
      <c r="K3649" s="10">
        <v>1.88</v>
      </c>
      <c r="L3649" s="10">
        <v>4</v>
      </c>
      <c r="M3649" s="6" t="s">
        <v>436</v>
      </c>
      <c r="N3649" s="6">
        <f>IF(OR($G3649="FCC",$G3649="Hydrocracker",$G3649="Reformer"),IF(COUNTIFS($D:$D,$D3649,$A:$A,$A3649,$B:$B,$B3649,$G:$G,"CDU",$J:$J,"PLANNED")&gt;0,"tied","standalone"),"")</f>
        <v/>
      </c>
    </row>
    <row r="3650" spans="1:14">
      <c r="A3650" s="6">
        <v>2024</v>
      </c>
      <c r="B3650" s="6">
        <v>4</v>
      </c>
      <c r="C3650" s="6" t="s">
        <v>63</v>
      </c>
      <c r="D3650" s="6" t="s">
        <v>49</v>
      </c>
      <c r="E3650" s="6" t="s">
        <v>438</v>
      </c>
      <c r="F3650" s="6" t="str">
        <f>IF($M3650="PADD I","PADD 1",IF($M3650="PADD II","PADD 2",IF($M3650="PADD III","PADD 3",IF($M3650="PADD IV","PADD 4",IF($M3650="PADD V","PADD 5","")))))</f>
        <v>PADD 2</v>
      </c>
      <c r="G3650" s="6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6" t="s">
        <v>485</v>
      </c>
      <c r="I3650" s="6" t="s">
        <v>804</v>
      </c>
      <c r="J3650" s="6" t="s">
        <v>394</v>
      </c>
      <c r="K3650" s="10">
        <v>1.85</v>
      </c>
      <c r="L3650" s="10">
        <v>18.5</v>
      </c>
      <c r="M3650" s="6" t="s">
        <v>425</v>
      </c>
      <c r="N3650" s="6">
        <f>IF(OR($G3650="FCC",$G3650="Hydrocracker",$G3650="Reformer"),IF(COUNTIFS($D:$D,$D3650,$A:$A,$A3650,$B:$B,$B3650,$G:$G,"CDU",$J:$J,"PLANNED")&gt;0,"tied","standalone"),"")</f>
        <v/>
      </c>
    </row>
    <row r="3651" spans="1:14">
      <c r="A3651" s="6">
        <v>2024</v>
      </c>
      <c r="B3651" s="6">
        <v>4</v>
      </c>
      <c r="C3651" s="6" t="s">
        <v>63</v>
      </c>
      <c r="D3651" s="6" t="s">
        <v>55</v>
      </c>
      <c r="E3651" s="6" t="s">
        <v>906</v>
      </c>
      <c r="F3651" s="6" t="str">
        <f>IF($M3651="PADD I","PADD 1",IF($M3651="PADD II","PADD 2",IF($M3651="PADD III","PADD 3",IF($M3651="PADD IV","PADD 4",IF($M3651="PADD V","PADD 5","")))))</f>
        <v>PADD 5</v>
      </c>
      <c r="G3651" s="6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6" t="s">
        <v>39</v>
      </c>
      <c r="I3651" s="6" t="s">
        <v>907</v>
      </c>
      <c r="J3651" s="6" t="s">
        <v>398</v>
      </c>
      <c r="K3651" s="10">
        <v>1.8</v>
      </c>
      <c r="L3651" s="10">
        <v>60</v>
      </c>
      <c r="M3651" s="6" t="s">
        <v>436</v>
      </c>
      <c r="N3651" s="6">
        <f>IF(OR($G3651="FCC",$G3651="Hydrocracker",$G3651="Reformer"),IF(COUNTIFS($D:$D,$D3651,$A:$A,$A3651,$B:$B,$B3651,$G:$G,"CDU",$J:$J,"PLANNED")&gt;0,"tied","standalone"),"")</f>
        <v/>
      </c>
    </row>
    <row r="3652" spans="1:14">
      <c r="A3652" s="6">
        <v>2024</v>
      </c>
      <c r="B3652" s="6">
        <v>4</v>
      </c>
      <c r="C3652" s="6" t="s">
        <v>63</v>
      </c>
      <c r="D3652" s="6" t="s">
        <v>534</v>
      </c>
      <c r="E3652" s="6" t="s">
        <v>459</v>
      </c>
      <c r="F3652" s="6" t="str">
        <f>IF($M3652="PADD I","PADD 1",IF($M3652="PADD II","PADD 2",IF($M3652="PADD III","PADD 3",IF($M3652="PADD IV","PADD 4",IF($M3652="PADD V","PADD 5","")))))</f>
        <v>PADD 3</v>
      </c>
      <c r="G3652" s="6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6" t="s">
        <v>44</v>
      </c>
      <c r="I3652" s="6" t="s">
        <v>543</v>
      </c>
      <c r="J3652" s="6" t="s">
        <v>394</v>
      </c>
      <c r="K3652" s="10">
        <v>1.7</v>
      </c>
      <c r="L3652" s="10">
        <v>10</v>
      </c>
      <c r="M3652" s="6" t="s">
        <v>421</v>
      </c>
      <c r="N3652" s="6">
        <f>IF(OR($G3652="FCC",$G3652="Hydrocracker",$G3652="Reformer"),IF(COUNTIFS($D:$D,$D3652,$A:$A,$A3652,$B:$B,$B3652,$G:$G,"CDU",$J:$J,"PLANNED")&gt;0,"tied","standalone"),"")</f>
        <v/>
      </c>
    </row>
    <row r="3653" spans="1:14">
      <c r="A3653" s="6">
        <v>2024</v>
      </c>
      <c r="B3653" s="6">
        <v>4</v>
      </c>
      <c r="C3653" s="6" t="s">
        <v>63</v>
      </c>
      <c r="D3653" s="6" t="s">
        <v>49</v>
      </c>
      <c r="E3653" s="6" t="s">
        <v>438</v>
      </c>
      <c r="F3653" s="6" t="str">
        <f>IF($M3653="PADD I","PADD 1",IF($M3653="PADD II","PADD 2",IF($M3653="PADD III","PADD 3",IF($M3653="PADD IV","PADD 4",IF($M3653="PADD V","PADD 5","")))))</f>
        <v>PADD 2</v>
      </c>
      <c r="G3653" s="6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6" t="s">
        <v>618</v>
      </c>
      <c r="I3653" s="6" t="s">
        <v>1200</v>
      </c>
      <c r="J3653" s="6" t="s">
        <v>398</v>
      </c>
      <c r="K3653" s="10">
        <v>1.69</v>
      </c>
      <c r="L3653" s="10">
        <v>13</v>
      </c>
      <c r="M3653" s="6" t="s">
        <v>425</v>
      </c>
      <c r="N3653" s="6">
        <f>IF(OR($G3653="FCC",$G3653="Hydrocracker",$G3653="Reformer"),IF(COUNTIFS($D:$D,$D3653,$A:$A,$A3653,$B:$B,$B3653,$G:$G,"CDU",$J:$J,"PLANNED")&gt;0,"tied","standalone"),"")</f>
        <v/>
      </c>
    </row>
    <row r="3654" spans="1:14">
      <c r="A3654" s="6">
        <v>2024</v>
      </c>
      <c r="B3654" s="6">
        <v>4</v>
      </c>
      <c r="C3654" s="6" t="s">
        <v>63</v>
      </c>
      <c r="D3654" s="6" t="s">
        <v>49</v>
      </c>
      <c r="E3654" s="6" t="s">
        <v>438</v>
      </c>
      <c r="F3654" s="6" t="str">
        <f>IF($M3654="PADD I","PADD 1",IF($M3654="PADD II","PADD 2",IF($M3654="PADD III","PADD 3",IF($M3654="PADD IV","PADD 4",IF($M3654="PADD V","PADD 5","")))))</f>
        <v>PADD 2</v>
      </c>
      <c r="G3654" s="6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6" t="s">
        <v>687</v>
      </c>
      <c r="I3654" s="6" t="s">
        <v>654</v>
      </c>
      <c r="J3654" s="6" t="s">
        <v>394</v>
      </c>
      <c r="K3654" s="10">
        <v>1.6</v>
      </c>
      <c r="L3654" s="10">
        <v>16</v>
      </c>
      <c r="M3654" s="6" t="s">
        <v>425</v>
      </c>
      <c r="N3654" s="6">
        <f>IF(OR($G3654="FCC",$G3654="Hydrocracker",$G3654="Reformer"),IF(COUNTIFS($D:$D,$D3654,$A:$A,$A3654,$B:$B,$B3654,$G:$G,"CDU",$J:$J,"PLANNED")&gt;0,"tied","standalone"),"")</f>
        <v/>
      </c>
    </row>
    <row r="3655" spans="1:14">
      <c r="A3655" s="6">
        <v>2024</v>
      </c>
      <c r="B3655" s="6">
        <v>4</v>
      </c>
      <c r="C3655" s="6" t="s">
        <v>63</v>
      </c>
      <c r="D3655" s="6" t="s">
        <v>1110</v>
      </c>
      <c r="E3655" s="6" t="s">
        <v>1089</v>
      </c>
      <c r="F3655" s="6" t="str">
        <f>IF($M3655="PADD I","PADD 1",IF($M3655="PADD II","PADD 2",IF($M3655="PADD III","PADD 3",IF($M3655="PADD IV","PADD 4",IF($M3655="PADD V","PADD 5","")))))</f>
        <v>PADD 2</v>
      </c>
      <c r="G3655" s="6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6" t="s">
        <v>44</v>
      </c>
      <c r="I3655" s="6" t="s">
        <v>1248</v>
      </c>
      <c r="J3655" s="6" t="s">
        <v>394</v>
      </c>
      <c r="K3655" s="10">
        <v>1.59</v>
      </c>
      <c r="L3655" s="10">
        <v>3</v>
      </c>
      <c r="M3655" s="6" t="s">
        <v>425</v>
      </c>
      <c r="N3655" s="6">
        <f>IF(OR($G3655="FCC",$G3655="Hydrocracker",$G3655="Reformer"),IF(COUNTIFS($D:$D,$D3655,$A:$A,$A3655,$B:$B,$B3655,$G:$G,"CDU",$J:$J,"PLANNED")&gt;0,"tied","standalone"),"")</f>
        <v/>
      </c>
    </row>
    <row r="3656" spans="1:14">
      <c r="A3656" s="6">
        <v>2024</v>
      </c>
      <c r="B3656" s="6">
        <v>4</v>
      </c>
      <c r="C3656" s="6" t="s">
        <v>63</v>
      </c>
      <c r="D3656" s="6" t="s">
        <v>597</v>
      </c>
      <c r="E3656" s="6" t="s">
        <v>441</v>
      </c>
      <c r="F3656" s="6" t="str">
        <f>IF($M3656="PADD I","PADD 1",IF($M3656="PADD II","PADD 2",IF($M3656="PADD III","PADD 3",IF($M3656="PADD IV","PADD 4",IF($M3656="PADD V","PADD 5","")))))</f>
        <v>PADD 5</v>
      </c>
      <c r="G3656" s="6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6" t="s">
        <v>471</v>
      </c>
      <c r="I3656" s="6" t="s">
        <v>986</v>
      </c>
      <c r="J3656" s="6" t="s">
        <v>394</v>
      </c>
      <c r="K3656" s="10">
        <v>1.512</v>
      </c>
      <c r="L3656" s="10">
        <v>5.6</v>
      </c>
      <c r="M3656" s="6" t="s">
        <v>436</v>
      </c>
      <c r="N3656" s="6" t="str">
        <f>IF(OR($G3656="FCC",$G3656="Hydrocracker",$G3656="Reformer"),IF(COUNTIFS($D:$D,$D3656,$A:$A,$A3656,$B:$B,$B3656,$G:$G,"CDU",$J:$J,"PLANNED")&gt;0,"tied","standalone"),"")</f>
        <v>standalone</v>
      </c>
    </row>
    <row r="3657" spans="1:14">
      <c r="A3657" s="6">
        <v>2024</v>
      </c>
      <c r="B3657" s="6">
        <v>4</v>
      </c>
      <c r="C3657" s="6" t="s">
        <v>63</v>
      </c>
      <c r="D3657" s="6" t="s">
        <v>865</v>
      </c>
      <c r="E3657" s="6" t="s">
        <v>502</v>
      </c>
      <c r="F3657" s="6" t="str">
        <f>IF($M3657="PADD I","PADD 1",IF($M3657="PADD II","PADD 2",IF($M3657="PADD III","PADD 3",IF($M3657="PADD IV","PADD 4",IF($M3657="PADD V","PADD 5","")))))</f>
        <v>PADD 4</v>
      </c>
      <c r="G3657" s="6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6" t="s">
        <v>494</v>
      </c>
      <c r="I3657" s="6" t="s">
        <v>892</v>
      </c>
      <c r="J3657" s="6" t="s">
        <v>398</v>
      </c>
      <c r="K3657" s="10">
        <v>1.5</v>
      </c>
      <c r="L3657" s="10">
        <v>7.5</v>
      </c>
      <c r="M3657" s="6" t="s">
        <v>480</v>
      </c>
      <c r="N3657" s="6" t="str">
        <f>IF(OR($G3657="FCC",$G3657="Hydrocracker",$G3657="Reformer"),IF(COUNTIFS($D:$D,$D3657,$A:$A,$A3657,$B:$B,$B3657,$G:$G,"CDU",$J:$J,"PLANNED")&gt;0,"tied","standalone"),"")</f>
        <v>standalone</v>
      </c>
    </row>
    <row r="3658" spans="1:14">
      <c r="A3658" s="6">
        <v>2024</v>
      </c>
      <c r="B3658" s="6">
        <v>4</v>
      </c>
      <c r="C3658" s="6" t="s">
        <v>63</v>
      </c>
      <c r="D3658" s="6" t="s">
        <v>798</v>
      </c>
      <c r="E3658" s="6" t="s">
        <v>438</v>
      </c>
      <c r="F3658" s="6" t="str">
        <f>IF($M3658="PADD I","PADD 1",IF($M3658="PADD II","PADD 2",IF($M3658="PADD III","PADD 3",IF($M3658="PADD IV","PADD 4",IF($M3658="PADD V","PADD 5","")))))</f>
        <v>PADD 3</v>
      </c>
      <c r="G3658" s="6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6" t="s">
        <v>471</v>
      </c>
      <c r="I3658" s="6" t="s">
        <v>814</v>
      </c>
      <c r="J3658" s="6" t="s">
        <v>398</v>
      </c>
      <c r="K3658" s="10">
        <v>1.5</v>
      </c>
      <c r="L3658" s="10">
        <v>15</v>
      </c>
      <c r="M3658" s="6" t="s">
        <v>421</v>
      </c>
      <c r="N3658" s="6" t="str">
        <f>IF(OR($G3658="FCC",$G3658="Hydrocracker",$G3658="Reformer"),IF(COUNTIFS($D:$D,$D3658,$A:$A,$A3658,$B:$B,$B3658,$G:$G,"CDU",$J:$J,"PLANNED")&gt;0,"tied","standalone"),"")</f>
        <v>standalone</v>
      </c>
    </row>
    <row r="3659" spans="1:14">
      <c r="A3659" s="6">
        <v>2024</v>
      </c>
      <c r="B3659" s="6">
        <v>4</v>
      </c>
      <c r="C3659" s="6" t="s">
        <v>63</v>
      </c>
      <c r="D3659" s="6" t="s">
        <v>812</v>
      </c>
      <c r="E3659" s="6" t="s">
        <v>813</v>
      </c>
      <c r="F3659" s="6" t="str">
        <f>IF($M3659="PADD I","PADD 1",IF($M3659="PADD II","PADD 2",IF($M3659="PADD III","PADD 3",IF($M3659="PADD IV","PADD 4",IF($M3659="PADD V","PADD 5","")))))</f>
        <v>PADD 2</v>
      </c>
      <c r="G3659" s="6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6" t="s">
        <v>471</v>
      </c>
      <c r="I3659" s="6" t="s">
        <v>832</v>
      </c>
      <c r="J3659" s="6" t="s">
        <v>394</v>
      </c>
      <c r="K3659" s="10">
        <v>1.5</v>
      </c>
      <c r="L3659" s="10">
        <v>15</v>
      </c>
      <c r="M3659" s="6" t="s">
        <v>425</v>
      </c>
      <c r="N3659" s="6" t="str">
        <f>IF(OR($G3659="FCC",$G3659="Hydrocracker",$G3659="Reformer"),IF(COUNTIFS($D:$D,$D3659,$A:$A,$A3659,$B:$B,$B3659,$G:$G,"CDU",$J:$J,"PLANNED")&gt;0,"tied","standalone"),"")</f>
        <v>standalone</v>
      </c>
    </row>
    <row r="3660" spans="1:14">
      <c r="A3660" s="6">
        <v>2024</v>
      </c>
      <c r="B3660" s="6">
        <v>4</v>
      </c>
      <c r="C3660" s="6" t="s">
        <v>63</v>
      </c>
      <c r="D3660" s="6" t="s">
        <v>812</v>
      </c>
      <c r="E3660" s="6" t="s">
        <v>813</v>
      </c>
      <c r="F3660" s="6" t="str">
        <f>IF($M3660="PADD I","PADD 1",IF($M3660="PADD II","PADD 2",IF($M3660="PADD III","PADD 3",IF($M3660="PADD IV","PADD 4",IF($M3660="PADD V","PADD 5","")))))</f>
        <v>PADD 2</v>
      </c>
      <c r="G3660" s="6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6" t="s">
        <v>428</v>
      </c>
      <c r="I3660" s="6" t="s">
        <v>862</v>
      </c>
      <c r="J3660" s="6" t="s">
        <v>394</v>
      </c>
      <c r="K3660" s="10">
        <v>1.5</v>
      </c>
      <c r="L3660" s="10">
        <v>15</v>
      </c>
      <c r="M3660" s="6" t="s">
        <v>425</v>
      </c>
      <c r="N3660" s="6">
        <f>IF(OR($G3660="FCC",$G3660="Hydrocracker",$G3660="Reformer"),IF(COUNTIFS($D:$D,$D3660,$A:$A,$A3660,$B:$B,$B3660,$G:$G,"CDU",$J:$J,"PLANNED")&gt;0,"tied","standalone"),"")</f>
        <v/>
      </c>
    </row>
    <row r="3661" spans="1:14">
      <c r="A3661" s="6">
        <v>2024</v>
      </c>
      <c r="B3661" s="6">
        <v>4</v>
      </c>
      <c r="C3661" s="6" t="s">
        <v>63</v>
      </c>
      <c r="D3661" s="6" t="s">
        <v>889</v>
      </c>
      <c r="E3661" s="6" t="s">
        <v>890</v>
      </c>
      <c r="F3661" s="6" t="str">
        <f>IF($M3661="PADD I","PADD 1",IF($M3661="PADD II","PADD 2",IF($M3661="PADD III","PADD 3",IF($M3661="PADD IV","PADD 4",IF($M3661="PADD V","PADD 5","")))))</f>
        <v>PADD 1</v>
      </c>
      <c r="G3661" s="6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6" t="s">
        <v>426</v>
      </c>
      <c r="I3661" s="6" t="s">
        <v>106</v>
      </c>
      <c r="J3661" s="6" t="s">
        <v>398</v>
      </c>
      <c r="K3661" s="10">
        <v>1.47</v>
      </c>
      <c r="L3661" s="10">
        <v>21</v>
      </c>
      <c r="M3661" s="6" t="s">
        <v>463</v>
      </c>
      <c r="N3661" s="6" t="str">
        <f>IF(OR($G3661="FCC",$G3661="Hydrocracker",$G3661="Reformer"),IF(COUNTIFS($D:$D,$D3661,$A:$A,$A3661,$B:$B,$B3661,$G:$G,"CDU",$J:$J,"PLANNED")&gt;0,"tied","standalone"),"")</f>
        <v>standalone</v>
      </c>
    </row>
    <row r="3662" spans="1:14">
      <c r="A3662" s="6">
        <v>2024</v>
      </c>
      <c r="B3662" s="6">
        <v>4</v>
      </c>
      <c r="C3662" s="6" t="s">
        <v>63</v>
      </c>
      <c r="D3662" s="6" t="s">
        <v>597</v>
      </c>
      <c r="E3662" s="6" t="s">
        <v>441</v>
      </c>
      <c r="F3662" s="6" t="str">
        <f>IF($M3662="PADD I","PADD 1",IF($M3662="PADD II","PADD 2",IF($M3662="PADD III","PADD 3",IF($M3662="PADD IV","PADD 4",IF($M3662="PADD V","PADD 5","")))))</f>
        <v>PADD 5</v>
      </c>
      <c r="G3662" s="6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6" t="s">
        <v>44</v>
      </c>
      <c r="I3662" s="6" t="s">
        <v>954</v>
      </c>
      <c r="J3662" s="6" t="s">
        <v>394</v>
      </c>
      <c r="K3662" s="10">
        <v>1.458</v>
      </c>
      <c r="L3662" s="10">
        <v>5.4</v>
      </c>
      <c r="M3662" s="6" t="s">
        <v>436</v>
      </c>
      <c r="N3662" s="6">
        <f>IF(OR($G3662="FCC",$G3662="Hydrocracker",$G3662="Reformer"),IF(COUNTIFS($D:$D,$D3662,$A:$A,$A3662,$B:$B,$B3662,$G:$G,"CDU",$J:$J,"PLANNED")&gt;0,"tied","standalone"),"")</f>
        <v/>
      </c>
    </row>
    <row r="3663" spans="1:14">
      <c r="A3663" s="6">
        <v>2024</v>
      </c>
      <c r="B3663" s="6">
        <v>4</v>
      </c>
      <c r="C3663" s="6" t="s">
        <v>63</v>
      </c>
      <c r="D3663" s="6" t="s">
        <v>889</v>
      </c>
      <c r="E3663" s="6" t="s">
        <v>890</v>
      </c>
      <c r="F3663" s="6" t="str">
        <f>IF($M3663="PADD I","PADD 1",IF($M3663="PADD II","PADD 2",IF($M3663="PADD III","PADD 3",IF($M3663="PADD IV","PADD 4",IF($M3663="PADD V","PADD 5","")))))</f>
        <v>PADD 1</v>
      </c>
      <c r="G3663" s="6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6" t="s">
        <v>428</v>
      </c>
      <c r="I3663" s="6" t="s">
        <v>481</v>
      </c>
      <c r="J3663" s="6" t="s">
        <v>398</v>
      </c>
      <c r="K3663" s="10">
        <v>1.4</v>
      </c>
      <c r="L3663" s="10">
        <v>20</v>
      </c>
      <c r="M3663" s="6" t="s">
        <v>463</v>
      </c>
      <c r="N3663" s="6">
        <f>IF(OR($G3663="FCC",$G3663="Hydrocracker",$G3663="Reformer"),IF(COUNTIFS($D:$D,$D3663,$A:$A,$A3663,$B:$B,$B3663,$G:$G,"CDU",$J:$J,"PLANNED")&gt;0,"tied","standalone"),"")</f>
        <v/>
      </c>
    </row>
    <row r="3664" spans="1:14">
      <c r="A3664" s="6">
        <v>2024</v>
      </c>
      <c r="B3664" s="6">
        <v>4</v>
      </c>
      <c r="C3664" s="6" t="s">
        <v>63</v>
      </c>
      <c r="D3664" s="6" t="s">
        <v>789</v>
      </c>
      <c r="E3664" s="6" t="s">
        <v>455</v>
      </c>
      <c r="F3664" s="6" t="str">
        <f>IF($M3664="PADD I","PADD 1",IF($M3664="PADD II","PADD 2",IF($M3664="PADD III","PADD 3",IF($M3664="PADD IV","PADD 4",IF($M3664="PADD V","PADD 5","")))))</f>
        <v>PADD 2</v>
      </c>
      <c r="G3664" s="6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6" t="s">
        <v>494</v>
      </c>
      <c r="I3664" s="6" t="s">
        <v>845</v>
      </c>
      <c r="J3664" s="6" t="s">
        <v>394</v>
      </c>
      <c r="K3664" s="10">
        <v>1.4</v>
      </c>
      <c r="L3664" s="10">
        <v>14</v>
      </c>
      <c r="M3664" s="6" t="s">
        <v>425</v>
      </c>
      <c r="N3664" s="6" t="str">
        <f>IF(OR($G3664="FCC",$G3664="Hydrocracker",$G3664="Reformer"),IF(COUNTIFS($D:$D,$D3664,$A:$A,$A3664,$B:$B,$B3664,$G:$G,"CDU",$J:$J,"PLANNED")&gt;0,"tied","standalone"),"")</f>
        <v>standalone</v>
      </c>
    </row>
    <row r="3665" spans="1:14">
      <c r="A3665" s="6">
        <v>2024</v>
      </c>
      <c r="B3665" s="6">
        <v>4</v>
      </c>
      <c r="C3665" s="6" t="s">
        <v>63</v>
      </c>
      <c r="D3665" s="6" t="s">
        <v>812</v>
      </c>
      <c r="E3665" s="6" t="s">
        <v>813</v>
      </c>
      <c r="F3665" s="6" t="str">
        <f>IF($M3665="PADD I","PADD 1",IF($M3665="PADD II","PADD 2",IF($M3665="PADD III","PADD 3",IF($M3665="PADD IV","PADD 4",IF($M3665="PADD V","PADD 5","")))))</f>
        <v>PADD 2</v>
      </c>
      <c r="G3665" s="6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6" t="s">
        <v>44</v>
      </c>
      <c r="I3665" s="6" t="s">
        <v>1105</v>
      </c>
      <c r="J3665" s="6" t="s">
        <v>394</v>
      </c>
      <c r="K3665" s="10">
        <v>1.3</v>
      </c>
      <c r="L3665" s="10">
        <v>13</v>
      </c>
      <c r="M3665" s="6" t="s">
        <v>425</v>
      </c>
      <c r="N3665" s="6">
        <f>IF(OR($G3665="FCC",$G3665="Hydrocracker",$G3665="Reformer"),IF(COUNTIFS($D:$D,$D3665,$A:$A,$A3665,$B:$B,$B3665,$G:$G,"CDU",$J:$J,"PLANNED")&gt;0,"tied","standalone"),"")</f>
        <v/>
      </c>
    </row>
    <row r="3666" spans="1:14">
      <c r="A3666" s="6">
        <v>2024</v>
      </c>
      <c r="B3666" s="6">
        <v>4</v>
      </c>
      <c r="C3666" s="6" t="s">
        <v>63</v>
      </c>
      <c r="D3666" s="6" t="s">
        <v>812</v>
      </c>
      <c r="E3666" s="6" t="s">
        <v>813</v>
      </c>
      <c r="F3666" s="6" t="str">
        <f>IF($M3666="PADD I","PADD 1",IF($M3666="PADD II","PADD 2",IF($M3666="PADD III","PADD 3",IF($M3666="PADD IV","PADD 4",IF($M3666="PADD V","PADD 5","")))))</f>
        <v>PADD 2</v>
      </c>
      <c r="G3666" s="6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6" t="s">
        <v>44</v>
      </c>
      <c r="I3666" s="6" t="s">
        <v>508</v>
      </c>
      <c r="J3666" s="6" t="s">
        <v>394</v>
      </c>
      <c r="K3666" s="10">
        <v>1.3</v>
      </c>
      <c r="L3666" s="10">
        <v>13</v>
      </c>
      <c r="M3666" s="6" t="s">
        <v>425</v>
      </c>
      <c r="N3666" s="6">
        <f>IF(OR($G3666="FCC",$G3666="Hydrocracker",$G3666="Reformer"),IF(COUNTIFS($D:$D,$D3666,$A:$A,$A3666,$B:$B,$B3666,$G:$G,"CDU",$J:$J,"PLANNED")&gt;0,"tied","standalone"),"")</f>
        <v/>
      </c>
    </row>
    <row r="3667" spans="1:14">
      <c r="A3667" s="6">
        <v>2024</v>
      </c>
      <c r="B3667" s="6">
        <v>4</v>
      </c>
      <c r="C3667" s="6" t="s">
        <v>63</v>
      </c>
      <c r="D3667" s="6" t="s">
        <v>1088</v>
      </c>
      <c r="E3667" s="6" t="s">
        <v>1089</v>
      </c>
      <c r="F3667" s="6" t="str">
        <f>IF($M3667="PADD I","PADD 1",IF($M3667="PADD II","PADD 2",IF($M3667="PADD III","PADD 3",IF($M3667="PADD IV","PADD 4",IF($M3667="PADD V","PADD 5","")))))</f>
        <v>PADD 2</v>
      </c>
      <c r="G3667" s="6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6" t="s">
        <v>44</v>
      </c>
      <c r="I3667" s="6" t="s">
        <v>1249</v>
      </c>
      <c r="J3667" s="6" t="s">
        <v>394</v>
      </c>
      <c r="K3667" s="10">
        <v>1.29</v>
      </c>
      <c r="L3667" s="10">
        <v>3</v>
      </c>
      <c r="M3667" s="6" t="s">
        <v>425</v>
      </c>
      <c r="N3667" s="6">
        <f>IF(OR($G3667="FCC",$G3667="Hydrocracker",$G3667="Reformer"),IF(COUNTIFS($D:$D,$D3667,$A:$A,$A3667,$B:$B,$B3667,$G:$G,"CDU",$J:$J,"PLANNED")&gt;0,"tied","standalone"),"")</f>
        <v/>
      </c>
    </row>
    <row r="3668" spans="1:14">
      <c r="A3668" s="6">
        <v>2024</v>
      </c>
      <c r="B3668" s="6">
        <v>4</v>
      </c>
      <c r="C3668" s="6" t="s">
        <v>63</v>
      </c>
      <c r="D3668" s="6" t="s">
        <v>484</v>
      </c>
      <c r="E3668" s="6" t="s">
        <v>438</v>
      </c>
      <c r="F3668" s="6" t="str">
        <f>IF($M3668="PADD I","PADD 1",IF($M3668="PADD II","PADD 2",IF($M3668="PADD III","PADD 3",IF($M3668="PADD IV","PADD 4",IF($M3668="PADD V","PADD 5","")))))</f>
        <v>PADD 5</v>
      </c>
      <c r="G3668" s="6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6" t="s">
        <v>485</v>
      </c>
      <c r="I3668" s="6" t="s">
        <v>486</v>
      </c>
      <c r="J3668" s="6" t="s">
        <v>394</v>
      </c>
      <c r="K3668" s="10">
        <v>1.26</v>
      </c>
      <c r="L3668" s="10">
        <v>42</v>
      </c>
      <c r="M3668" s="6" t="s">
        <v>436</v>
      </c>
      <c r="N3668" s="6">
        <f>IF(OR($G3668="FCC",$G3668="Hydrocracker",$G3668="Reformer"),IF(COUNTIFS($D:$D,$D3668,$A:$A,$A3668,$B:$B,$B3668,$G:$G,"CDU",$J:$J,"PLANNED")&gt;0,"tied","standalone"),"")</f>
        <v/>
      </c>
    </row>
    <row r="3669" spans="1:14">
      <c r="A3669" s="6">
        <v>2024</v>
      </c>
      <c r="B3669" s="6">
        <v>4</v>
      </c>
      <c r="C3669" s="6" t="s">
        <v>63</v>
      </c>
      <c r="D3669" s="6" t="s">
        <v>484</v>
      </c>
      <c r="E3669" s="6" t="s">
        <v>438</v>
      </c>
      <c r="F3669" s="6" t="str">
        <f>IF($M3669="PADD I","PADD 1",IF($M3669="PADD II","PADD 2",IF($M3669="PADD III","PADD 3",IF($M3669="PADD IV","PADD 4",IF($M3669="PADD V","PADD 5","")))))</f>
        <v>PADD 5</v>
      </c>
      <c r="G3669" s="6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6" t="s">
        <v>485</v>
      </c>
      <c r="I3669" s="6" t="s">
        <v>486</v>
      </c>
      <c r="J3669" s="6" t="s">
        <v>398</v>
      </c>
      <c r="K3669" s="10">
        <v>1.23</v>
      </c>
      <c r="L3669" s="10">
        <v>41</v>
      </c>
      <c r="M3669" s="6" t="s">
        <v>436</v>
      </c>
      <c r="N3669" s="6">
        <f>IF(OR($G3669="FCC",$G3669="Hydrocracker",$G3669="Reformer"),IF(COUNTIFS($D:$D,$D3669,$A:$A,$A3669,$B:$B,$B3669,$G:$G,"CDU",$J:$J,"PLANNED")&gt;0,"tied","standalone"),"")</f>
        <v/>
      </c>
    </row>
    <row r="3670" spans="1:14">
      <c r="A3670" s="6">
        <v>2024</v>
      </c>
      <c r="B3670" s="6">
        <v>4</v>
      </c>
      <c r="C3670" s="6" t="s">
        <v>63</v>
      </c>
      <c r="D3670" s="6" t="s">
        <v>889</v>
      </c>
      <c r="E3670" s="6" t="s">
        <v>890</v>
      </c>
      <c r="F3670" s="6" t="str">
        <f>IF($M3670="PADD I","PADD 1",IF($M3670="PADD II","PADD 2",IF($M3670="PADD III","PADD 3",IF($M3670="PADD IV","PADD 4",IF($M3670="PADD V","PADD 5","")))))</f>
        <v>PADD 1</v>
      </c>
      <c r="G3670" s="6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6" t="s">
        <v>428</v>
      </c>
      <c r="I3670" s="6" t="s">
        <v>481</v>
      </c>
      <c r="J3670" s="6" t="s">
        <v>394</v>
      </c>
      <c r="K3670" s="10">
        <v>1.2</v>
      </c>
      <c r="L3670" s="10">
        <v>40</v>
      </c>
      <c r="M3670" s="6" t="s">
        <v>463</v>
      </c>
      <c r="N3670" s="6">
        <f>IF(OR($G3670="FCC",$G3670="Hydrocracker",$G3670="Reformer"),IF(COUNTIFS($D:$D,$D3670,$A:$A,$A3670,$B:$B,$B3670,$G:$G,"CDU",$J:$J,"PLANNED")&gt;0,"tied","standalone"),"")</f>
        <v/>
      </c>
    </row>
    <row r="3671" spans="1:14">
      <c r="A3671" s="6">
        <v>2024</v>
      </c>
      <c r="B3671" s="6">
        <v>4</v>
      </c>
      <c r="C3671" s="6" t="s">
        <v>63</v>
      </c>
      <c r="D3671" s="6" t="s">
        <v>1088</v>
      </c>
      <c r="E3671" s="6" t="s">
        <v>1089</v>
      </c>
      <c r="F3671" s="6" t="str">
        <f>IF($M3671="PADD I","PADD 1",IF($M3671="PADD II","PADD 2",IF($M3671="PADD III","PADD 3",IF($M3671="PADD IV","PADD 4",IF($M3671="PADD V","PADD 5","")))))</f>
        <v>PADD 2</v>
      </c>
      <c r="G3671" s="6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6" t="s">
        <v>44</v>
      </c>
      <c r="I3671" s="6" t="s">
        <v>1250</v>
      </c>
      <c r="J3671" s="6" t="s">
        <v>394</v>
      </c>
      <c r="K3671" s="10">
        <v>1.0449</v>
      </c>
      <c r="L3671" s="10">
        <v>2.43</v>
      </c>
      <c r="M3671" s="6" t="s">
        <v>425</v>
      </c>
      <c r="N3671" s="6">
        <f>IF(OR($G3671="FCC",$G3671="Hydrocracker",$G3671="Reformer"),IF(COUNTIFS($D:$D,$D3671,$A:$A,$A3671,$B:$B,$B3671,$G:$G,"CDU",$J:$J,"PLANNED")&gt;0,"tied","standalone"),"")</f>
        <v/>
      </c>
    </row>
    <row r="3672" spans="1:14">
      <c r="A3672" s="6">
        <v>2024</v>
      </c>
      <c r="B3672" s="6">
        <v>4</v>
      </c>
      <c r="C3672" s="6" t="s">
        <v>63</v>
      </c>
      <c r="D3672" s="6" t="s">
        <v>696</v>
      </c>
      <c r="E3672" s="6" t="s">
        <v>455</v>
      </c>
      <c r="F3672" s="6" t="str">
        <f>IF($M3672="PADD I","PADD 1",IF($M3672="PADD II","PADD 2",IF($M3672="PADD III","PADD 3",IF($M3672="PADD IV","PADD 4",IF($M3672="PADD V","PADD 5","")))))</f>
        <v>PADD 3</v>
      </c>
      <c r="G3672" s="6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6" t="s">
        <v>44</v>
      </c>
      <c r="I3672" s="6" t="s">
        <v>893</v>
      </c>
      <c r="J3672" s="6" t="s">
        <v>394</v>
      </c>
      <c r="K3672" s="10">
        <v>0.9</v>
      </c>
      <c r="L3672" s="10">
        <v>30</v>
      </c>
      <c r="M3672" s="6" t="s">
        <v>421</v>
      </c>
      <c r="N3672" s="6">
        <f>IF(OR($G3672="FCC",$G3672="Hydrocracker",$G3672="Reformer"),IF(COUNTIFS($D:$D,$D3672,$A:$A,$A3672,$B:$B,$B3672,$G:$G,"CDU",$J:$J,"PLANNED")&gt;0,"tied","standalone"),"")</f>
        <v/>
      </c>
    </row>
    <row r="3673" spans="1:14">
      <c r="A3673" s="6">
        <v>2024</v>
      </c>
      <c r="B3673" s="6">
        <v>4</v>
      </c>
      <c r="C3673" s="6" t="s">
        <v>63</v>
      </c>
      <c r="D3673" s="6" t="s">
        <v>49</v>
      </c>
      <c r="E3673" s="6" t="s">
        <v>438</v>
      </c>
      <c r="F3673" s="6" t="str">
        <f>IF($M3673="PADD I","PADD 1",IF($M3673="PADD II","PADD 2",IF($M3673="PADD III","PADD 3",IF($M3673="PADD IV","PADD 4",IF($M3673="PADD V","PADD 5","")))))</f>
        <v>PADD 2</v>
      </c>
      <c r="G3673" s="6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6" t="s">
        <v>485</v>
      </c>
      <c r="I3673" s="6" t="s">
        <v>681</v>
      </c>
      <c r="J3673" s="6" t="s">
        <v>394</v>
      </c>
      <c r="K3673" s="10">
        <v>0.84</v>
      </c>
      <c r="L3673" s="10">
        <v>12</v>
      </c>
      <c r="M3673" s="6" t="s">
        <v>425</v>
      </c>
      <c r="N3673" s="6">
        <f>IF(OR($G3673="FCC",$G3673="Hydrocracker",$G3673="Reformer"),IF(COUNTIFS($D:$D,$D3673,$A:$A,$A3673,$B:$B,$B3673,$G:$G,"CDU",$J:$J,"PLANNED")&gt;0,"tied","standalone"),"")</f>
        <v/>
      </c>
    </row>
    <row r="3674" spans="1:14">
      <c r="A3674" s="6">
        <v>2024</v>
      </c>
      <c r="B3674" s="6">
        <v>4</v>
      </c>
      <c r="C3674" s="6" t="s">
        <v>63</v>
      </c>
      <c r="D3674" s="6" t="s">
        <v>712</v>
      </c>
      <c r="E3674" s="6" t="s">
        <v>602</v>
      </c>
      <c r="F3674" s="6" t="str">
        <f>IF($M3674="PADD I","PADD 1",IF($M3674="PADD II","PADD 2",IF($M3674="PADD III","PADD 3",IF($M3674="PADD IV","PADD 4",IF($M3674="PADD V","PADD 5","")))))</f>
        <v>PADD 3</v>
      </c>
      <c r="G3674" s="6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6" t="s">
        <v>426</v>
      </c>
      <c r="I3674" s="6" t="s">
        <v>106</v>
      </c>
      <c r="J3674" s="6" t="s">
        <v>394</v>
      </c>
      <c r="K3674" s="10">
        <v>0.75</v>
      </c>
      <c r="L3674" s="10">
        <v>25</v>
      </c>
      <c r="M3674" s="6" t="s">
        <v>421</v>
      </c>
      <c r="N3674" s="6" t="str">
        <f>IF(OR($G3674="FCC",$G3674="Hydrocracker",$G3674="Reformer"),IF(COUNTIFS($D:$D,$D3674,$A:$A,$A3674,$B:$B,$B3674,$G:$G,"CDU",$J:$J,"PLANNED")&gt;0,"tied","standalone"),"")</f>
        <v>standalone</v>
      </c>
    </row>
    <row r="3675" spans="1:14">
      <c r="A3675" s="6">
        <v>2024</v>
      </c>
      <c r="B3675" s="6">
        <v>4</v>
      </c>
      <c r="C3675" s="6" t="s">
        <v>63</v>
      </c>
      <c r="D3675" s="6" t="s">
        <v>889</v>
      </c>
      <c r="E3675" s="6" t="s">
        <v>890</v>
      </c>
      <c r="F3675" s="6" t="str">
        <f>IF($M3675="PADD I","PADD 1",IF($M3675="PADD II","PADD 2",IF($M3675="PADD III","PADD 3",IF($M3675="PADD IV","PADD 4",IF($M3675="PADD V","PADD 5","")))))</f>
        <v>PADD 1</v>
      </c>
      <c r="G3675" s="6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6" t="s">
        <v>426</v>
      </c>
      <c r="I3675" s="6" t="s">
        <v>106</v>
      </c>
      <c r="J3675" s="6" t="s">
        <v>394</v>
      </c>
      <c r="K3675" s="10">
        <v>0.75</v>
      </c>
      <c r="L3675" s="10">
        <v>25</v>
      </c>
      <c r="M3675" s="6" t="s">
        <v>463</v>
      </c>
      <c r="N3675" s="6" t="str">
        <f>IF(OR($G3675="FCC",$G3675="Hydrocracker",$G3675="Reformer"),IF(COUNTIFS($D:$D,$D3675,$A:$A,$A3675,$B:$B,$B3675,$G:$G,"CDU",$J:$J,"PLANNED")&gt;0,"tied","standalone"),"")</f>
        <v>standalone</v>
      </c>
    </row>
    <row r="3676" spans="1:14">
      <c r="A3676" s="6">
        <v>2024</v>
      </c>
      <c r="B3676" s="6">
        <v>4</v>
      </c>
      <c r="C3676" s="6" t="s">
        <v>63</v>
      </c>
      <c r="D3676" s="6" t="s">
        <v>789</v>
      </c>
      <c r="E3676" s="6" t="s">
        <v>455</v>
      </c>
      <c r="F3676" s="6" t="str">
        <f>IF($M3676="PADD I","PADD 1",IF($M3676="PADD II","PADD 2",IF($M3676="PADD III","PADD 3",IF($M3676="PADD IV","PADD 4",IF($M3676="PADD V","PADD 5","")))))</f>
        <v>PADD 2</v>
      </c>
      <c r="G3676" s="6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6" t="s">
        <v>618</v>
      </c>
      <c r="I3676" s="6" t="s">
        <v>654</v>
      </c>
      <c r="J3676" s="6" t="s">
        <v>394</v>
      </c>
      <c r="K3676" s="10">
        <v>0.7</v>
      </c>
      <c r="L3676" s="10">
        <v>7</v>
      </c>
      <c r="M3676" s="6" t="s">
        <v>425</v>
      </c>
      <c r="N3676" s="6">
        <f>IF(OR($G3676="FCC",$G3676="Hydrocracker",$G3676="Reformer"),IF(COUNTIFS($D:$D,$D3676,$A:$A,$A3676,$B:$B,$B3676,$G:$G,"CDU",$J:$J,"PLANNED")&gt;0,"tied","standalone"),"")</f>
        <v/>
      </c>
    </row>
    <row r="3677" spans="1:14">
      <c r="A3677" s="6">
        <v>2024</v>
      </c>
      <c r="B3677" s="6">
        <v>4</v>
      </c>
      <c r="C3677" s="6" t="s">
        <v>63</v>
      </c>
      <c r="D3677" s="6" t="s">
        <v>422</v>
      </c>
      <c r="E3677" s="6" t="s">
        <v>423</v>
      </c>
      <c r="F3677" s="6" t="str">
        <f>IF($M3677="PADD I","PADD 1",IF($M3677="PADD II","PADD 2",IF($M3677="PADD III","PADD 3",IF($M3677="PADD IV","PADD 4",IF($M3677="PADD V","PADD 5","")))))</f>
        <v>PADD 2</v>
      </c>
      <c r="G3677" s="6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6" t="s">
        <v>44</v>
      </c>
      <c r="I3677" s="6" t="s">
        <v>530</v>
      </c>
      <c r="J3677" s="6" t="s">
        <v>398</v>
      </c>
      <c r="K3677" s="10">
        <v>0.675</v>
      </c>
      <c r="L3677" s="10">
        <v>22.5</v>
      </c>
      <c r="M3677" s="6" t="s">
        <v>425</v>
      </c>
      <c r="N3677" s="6">
        <f>IF(OR($G3677="FCC",$G3677="Hydrocracker",$G3677="Reformer"),IF(COUNTIFS($D:$D,$D3677,$A:$A,$A3677,$B:$B,$B3677,$G:$G,"CDU",$J:$J,"PLANNED")&gt;0,"tied","standalone"),"")</f>
        <v/>
      </c>
    </row>
    <row r="3678" spans="1:14">
      <c r="A3678" s="6">
        <v>2024</v>
      </c>
      <c r="B3678" s="6">
        <v>4</v>
      </c>
      <c r="C3678" s="6" t="s">
        <v>63</v>
      </c>
      <c r="D3678" s="6" t="s">
        <v>789</v>
      </c>
      <c r="E3678" s="6" t="s">
        <v>455</v>
      </c>
      <c r="F3678" s="6" t="str">
        <f>IF($M3678="PADD I","PADD 1",IF($M3678="PADD II","PADD 2",IF($M3678="PADD III","PADD 3",IF($M3678="PADD IV","PADD 4",IF($M3678="PADD V","PADD 5","")))))</f>
        <v>PADD 2</v>
      </c>
      <c r="G3678" s="6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6" t="s">
        <v>510</v>
      </c>
      <c r="I3678" s="6" t="s">
        <v>666</v>
      </c>
      <c r="J3678" s="6" t="s">
        <v>394</v>
      </c>
      <c r="K3678" s="10">
        <v>0.62</v>
      </c>
      <c r="L3678" s="10">
        <v>6.2</v>
      </c>
      <c r="M3678" s="6" t="s">
        <v>425</v>
      </c>
      <c r="N3678" s="6">
        <f>IF(OR($G3678="FCC",$G3678="Hydrocracker",$G3678="Reformer"),IF(COUNTIFS($D:$D,$D3678,$A:$A,$A3678,$B:$B,$B3678,$G:$G,"CDU",$J:$J,"PLANNED")&gt;0,"tied","standalone"),"")</f>
        <v/>
      </c>
    </row>
    <row r="3679" spans="1:14">
      <c r="A3679" s="6">
        <v>2024</v>
      </c>
      <c r="B3679" s="6">
        <v>4</v>
      </c>
      <c r="C3679" s="6" t="s">
        <v>63</v>
      </c>
      <c r="D3679" s="6" t="s">
        <v>662</v>
      </c>
      <c r="E3679" s="6" t="s">
        <v>466</v>
      </c>
      <c r="F3679" s="6" t="str">
        <f>IF($M3679="PADD I","PADD 1",IF($M3679="PADD II","PADD 2",IF($M3679="PADD III","PADD 3",IF($M3679="PADD IV","PADD 4",IF($M3679="PADD V","PADD 5","")))))</f>
        <v>PADD 3</v>
      </c>
      <c r="G3679" s="6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6" t="s">
        <v>44</v>
      </c>
      <c r="I3679" s="6" t="s">
        <v>887</v>
      </c>
      <c r="J3679" s="6" t="s">
        <v>398</v>
      </c>
      <c r="K3679" s="10">
        <v>0.6</v>
      </c>
      <c r="L3679" s="10">
        <v>20</v>
      </c>
      <c r="M3679" s="6" t="s">
        <v>421</v>
      </c>
      <c r="N3679" s="6">
        <f>IF(OR($G3679="FCC",$G3679="Hydrocracker",$G3679="Reformer"),IF(COUNTIFS($D:$D,$D3679,$A:$A,$A3679,$B:$B,$B3679,$G:$G,"CDU",$J:$J,"PLANNED")&gt;0,"tied","standalone"),"")</f>
        <v/>
      </c>
    </row>
    <row r="3680" spans="1:14">
      <c r="A3680" s="6">
        <v>2024</v>
      </c>
      <c r="B3680" s="6">
        <v>4</v>
      </c>
      <c r="C3680" s="6" t="s">
        <v>63</v>
      </c>
      <c r="D3680" s="6" t="s">
        <v>383</v>
      </c>
      <c r="E3680" s="6" t="s">
        <v>602</v>
      </c>
      <c r="F3680" s="6" t="str">
        <f>IF($M3680="PADD I","PADD 1",IF($M3680="PADD II","PADD 2",IF($M3680="PADD III","PADD 3",IF($M3680="PADD IV","PADD 4",IF($M3680="PADD V","PADD 5","")))))</f>
        <v>PADD 3</v>
      </c>
      <c r="G3680" s="6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6" t="s">
        <v>426</v>
      </c>
      <c r="I3680" s="6" t="s">
        <v>663</v>
      </c>
      <c r="J3680" s="6" t="s">
        <v>394</v>
      </c>
      <c r="K3680" s="10">
        <v>0.6</v>
      </c>
      <c r="L3680" s="10">
        <v>20</v>
      </c>
      <c r="M3680" s="6" t="s">
        <v>421</v>
      </c>
      <c r="N3680" s="6" t="str">
        <f>IF(OR($G3680="FCC",$G3680="Hydrocracker",$G3680="Reformer"),IF(COUNTIFS($D:$D,$D3680,$A:$A,$A3680,$B:$B,$B3680,$G:$G,"CDU",$J:$J,"PLANNED")&gt;0,"tied","standalone"),"")</f>
        <v>standalone</v>
      </c>
    </row>
    <row r="3681" spans="1:14">
      <c r="A3681" s="6">
        <v>2024</v>
      </c>
      <c r="B3681" s="6">
        <v>4</v>
      </c>
      <c r="C3681" s="6" t="s">
        <v>63</v>
      </c>
      <c r="D3681" s="6" t="s">
        <v>1208</v>
      </c>
      <c r="E3681" s="6" t="s">
        <v>774</v>
      </c>
      <c r="F3681" s="6" t="str">
        <f>IF($M3681="PADD I","PADD 1",IF($M3681="PADD II","PADD 2",IF($M3681="PADD III","PADD 3",IF($M3681="PADD IV","PADD 4",IF($M3681="PADD V","PADD 5","")))))</f>
        <v>PADD 5</v>
      </c>
      <c r="G3681" s="6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6" t="s">
        <v>44</v>
      </c>
      <c r="I3681" s="6" t="s">
        <v>1209</v>
      </c>
      <c r="J3681" s="6" t="s">
        <v>398</v>
      </c>
      <c r="K3681" s="10">
        <v>0.595</v>
      </c>
      <c r="L3681" s="10">
        <v>8.5</v>
      </c>
      <c r="M3681" s="6" t="s">
        <v>436</v>
      </c>
      <c r="N3681" s="6">
        <f>IF(OR($G3681="FCC",$G3681="Hydrocracker",$G3681="Reformer"),IF(COUNTIFS($D:$D,$D3681,$A:$A,$A3681,$B:$B,$B3681,$G:$G,"CDU",$J:$J,"PLANNED")&gt;0,"tied","standalone"),"")</f>
        <v/>
      </c>
    </row>
    <row r="3682" spans="1:14">
      <c r="A3682" s="6">
        <v>2024</v>
      </c>
      <c r="B3682" s="6">
        <v>4</v>
      </c>
      <c r="C3682" s="6" t="s">
        <v>63</v>
      </c>
      <c r="D3682" s="6" t="s">
        <v>378</v>
      </c>
      <c r="E3682" s="6" t="s">
        <v>477</v>
      </c>
      <c r="F3682" s="6" t="str">
        <f>IF($M3682="PADD I","PADD 1",IF($M3682="PADD II","PADD 2",IF($M3682="PADD III","PADD 3",IF($M3682="PADD IV","PADD 4",IF($M3682="PADD V","PADD 5","")))))</f>
        <v>PADD 3</v>
      </c>
      <c r="G3682" s="6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6" t="s">
        <v>471</v>
      </c>
      <c r="I3682" s="6" t="s">
        <v>1212</v>
      </c>
      <c r="J3682" s="6" t="s">
        <v>394</v>
      </c>
      <c r="K3682" s="10">
        <v>0.57</v>
      </c>
      <c r="L3682" s="10">
        <v>19</v>
      </c>
      <c r="M3682" s="6" t="s">
        <v>421</v>
      </c>
      <c r="N3682" s="6" t="str">
        <f>IF(OR($G3682="FCC",$G3682="Hydrocracker",$G3682="Reformer"),IF(COUNTIFS($D:$D,$D3682,$A:$A,$A3682,$B:$B,$B3682,$G:$G,"CDU",$J:$J,"PLANNED")&gt;0,"tied","standalone"),"")</f>
        <v>standalone</v>
      </c>
    </row>
    <row r="3683" spans="1:14">
      <c r="A3683" s="6">
        <v>2024</v>
      </c>
      <c r="B3683" s="6">
        <v>4</v>
      </c>
      <c r="C3683" s="6" t="s">
        <v>63</v>
      </c>
      <c r="D3683" s="6" t="s">
        <v>383</v>
      </c>
      <c r="E3683" s="6" t="s">
        <v>602</v>
      </c>
      <c r="F3683" s="6" t="str">
        <f>IF($M3683="PADD I","PADD 1",IF($M3683="PADD II","PADD 2",IF($M3683="PADD III","PADD 3",IF($M3683="PADD IV","PADD 4",IF($M3683="PADD V","PADD 5","")))))</f>
        <v>PADD 3</v>
      </c>
      <c r="G3683" s="6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6" t="s">
        <v>428</v>
      </c>
      <c r="I3683" s="6" t="s">
        <v>605</v>
      </c>
      <c r="J3683" s="6" t="s">
        <v>394</v>
      </c>
      <c r="K3683" s="10">
        <v>0.57</v>
      </c>
      <c r="L3683" s="10">
        <v>19</v>
      </c>
      <c r="M3683" s="6" t="s">
        <v>421</v>
      </c>
      <c r="N3683" s="6">
        <f>IF(OR($G3683="FCC",$G3683="Hydrocracker",$G3683="Reformer"),IF(COUNTIFS($D:$D,$D3683,$A:$A,$A3683,$B:$B,$B3683,$G:$G,"CDU",$J:$J,"PLANNED")&gt;0,"tied","standalone"),"")</f>
        <v/>
      </c>
    </row>
    <row r="3684" spans="1:14">
      <c r="A3684" s="6">
        <v>2024</v>
      </c>
      <c r="B3684" s="6">
        <v>4</v>
      </c>
      <c r="C3684" s="6" t="s">
        <v>63</v>
      </c>
      <c r="D3684" s="6" t="s">
        <v>812</v>
      </c>
      <c r="E3684" s="6" t="s">
        <v>813</v>
      </c>
      <c r="F3684" s="6" t="str">
        <f>IF($M3684="PADD I","PADD 1",IF($M3684="PADD II","PADD 2",IF($M3684="PADD III","PADD 3",IF($M3684="PADD IV","PADD 4",IF($M3684="PADD V","PADD 5","")))))</f>
        <v>PADD 2</v>
      </c>
      <c r="G3684" s="6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6" t="s">
        <v>510</v>
      </c>
      <c r="I3684" s="6" t="s">
        <v>666</v>
      </c>
      <c r="J3684" s="6" t="s">
        <v>394</v>
      </c>
      <c r="K3684" s="10">
        <v>0.55</v>
      </c>
      <c r="L3684" s="10">
        <v>5.5</v>
      </c>
      <c r="M3684" s="6" t="s">
        <v>425</v>
      </c>
      <c r="N3684" s="6">
        <f>IF(OR($G3684="FCC",$G3684="Hydrocracker",$G3684="Reformer"),IF(COUNTIFS($D:$D,$D3684,$A:$A,$A3684,$B:$B,$B3684,$G:$G,"CDU",$J:$J,"PLANNED")&gt;0,"tied","standalone"),"")</f>
        <v/>
      </c>
    </row>
    <row r="3685" spans="1:14">
      <c r="A3685" s="6">
        <v>2024</v>
      </c>
      <c r="B3685" s="6">
        <v>4</v>
      </c>
      <c r="C3685" s="6" t="s">
        <v>63</v>
      </c>
      <c r="D3685" s="6" t="s">
        <v>838</v>
      </c>
      <c r="E3685" s="6" t="s">
        <v>455</v>
      </c>
      <c r="F3685" s="6" t="str">
        <f>IF($M3685="PADD I","PADD 1",IF($M3685="PADD II","PADD 2",IF($M3685="PADD III","PADD 3",IF($M3685="PADD IV","PADD 4",IF($M3685="PADD V","PADD 5","")))))</f>
        <v>PADD 3</v>
      </c>
      <c r="G3685" s="6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6" t="s">
        <v>44</v>
      </c>
      <c r="I3685" s="6" t="s">
        <v>879</v>
      </c>
      <c r="J3685" s="6" t="s">
        <v>394</v>
      </c>
      <c r="K3685" s="10">
        <v>0.54</v>
      </c>
      <c r="L3685" s="10">
        <v>18</v>
      </c>
      <c r="M3685" s="6" t="s">
        <v>421</v>
      </c>
      <c r="N3685" s="6">
        <f>IF(OR($G3685="FCC",$G3685="Hydrocracker",$G3685="Reformer"),IF(COUNTIFS($D:$D,$D3685,$A:$A,$A3685,$B:$B,$B3685,$G:$G,"CDU",$J:$J,"PLANNED")&gt;0,"tied","standalone"),"")</f>
        <v/>
      </c>
    </row>
    <row r="3686" spans="1:14">
      <c r="A3686" s="6">
        <v>2024</v>
      </c>
      <c r="B3686" s="6">
        <v>4</v>
      </c>
      <c r="C3686" s="6" t="s">
        <v>63</v>
      </c>
      <c r="D3686" s="6" t="s">
        <v>597</v>
      </c>
      <c r="E3686" s="6" t="s">
        <v>441</v>
      </c>
      <c r="F3686" s="6" t="str">
        <f>IF($M3686="PADD I","PADD 1",IF($M3686="PADD II","PADD 2",IF($M3686="PADD III","PADD 3",IF($M3686="PADD IV","PADD 4",IF($M3686="PADD V","PADD 5","")))))</f>
        <v>PADD 5</v>
      </c>
      <c r="G3686" s="6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6" t="s">
        <v>618</v>
      </c>
      <c r="I3686" s="6" t="s">
        <v>988</v>
      </c>
      <c r="J3686" s="6" t="s">
        <v>394</v>
      </c>
      <c r="K3686" s="10">
        <v>0.4644</v>
      </c>
      <c r="L3686" s="10">
        <v>1.72</v>
      </c>
      <c r="M3686" s="6" t="s">
        <v>436</v>
      </c>
      <c r="N3686" s="6">
        <f>IF(OR($G3686="FCC",$G3686="Hydrocracker",$G3686="Reformer"),IF(COUNTIFS($D:$D,$D3686,$A:$A,$A3686,$B:$B,$B3686,$G:$G,"CDU",$J:$J,"PLANNED")&gt;0,"tied","standalone"),"")</f>
        <v/>
      </c>
    </row>
    <row r="3687" spans="1:14">
      <c r="A3687" s="6">
        <v>2024</v>
      </c>
      <c r="B3687" s="6">
        <v>4</v>
      </c>
      <c r="C3687" s="6" t="s">
        <v>63</v>
      </c>
      <c r="D3687" s="6" t="s">
        <v>375</v>
      </c>
      <c r="E3687" s="6" t="s">
        <v>435</v>
      </c>
      <c r="F3687" s="6" t="str">
        <f>IF($M3687="PADD I","PADD 1",IF($M3687="PADD II","PADD 2",IF($M3687="PADD III","PADD 3",IF($M3687="PADD IV","PADD 4",IF($M3687="PADD V","PADD 5","")))))</f>
        <v>PADD 5</v>
      </c>
      <c r="G3687" s="6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6" t="s">
        <v>618</v>
      </c>
      <c r="I3687" s="6" t="s">
        <v>654</v>
      </c>
      <c r="J3687" s="6" t="s">
        <v>398</v>
      </c>
      <c r="K3687" s="10">
        <v>0.45</v>
      </c>
      <c r="L3687" s="10">
        <v>1.5</v>
      </c>
      <c r="M3687" s="6" t="s">
        <v>436</v>
      </c>
      <c r="N3687" s="6">
        <f>IF(OR($G3687="FCC",$G3687="Hydrocracker",$G3687="Reformer"),IF(COUNTIFS($D:$D,$D3687,$A:$A,$A3687,$B:$B,$B3687,$G:$G,"CDU",$J:$J,"PLANNED")&gt;0,"tied","standalone"),"")</f>
        <v/>
      </c>
    </row>
    <row r="3688" spans="1:14">
      <c r="A3688" s="6">
        <v>2024</v>
      </c>
      <c r="B3688" s="6">
        <v>4</v>
      </c>
      <c r="C3688" s="6" t="s">
        <v>63</v>
      </c>
      <c r="D3688" s="6" t="s">
        <v>712</v>
      </c>
      <c r="E3688" s="6" t="s">
        <v>602</v>
      </c>
      <c r="F3688" s="6" t="str">
        <f>IF($M3688="PADD I","PADD 1",IF($M3688="PADD II","PADD 2",IF($M3688="PADD III","PADD 3",IF($M3688="PADD IV","PADD 4",IF($M3688="PADD V","PADD 5","")))))</f>
        <v>PADD 3</v>
      </c>
      <c r="G3688" s="6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6" t="s">
        <v>426</v>
      </c>
      <c r="I3688" s="6" t="s">
        <v>106</v>
      </c>
      <c r="J3688" s="6" t="s">
        <v>398</v>
      </c>
      <c r="K3688" s="10">
        <v>0.425</v>
      </c>
      <c r="L3688" s="10">
        <v>2.5</v>
      </c>
      <c r="M3688" s="6" t="s">
        <v>421</v>
      </c>
      <c r="N3688" s="6" t="str">
        <f>IF(OR($G3688="FCC",$G3688="Hydrocracker",$G3688="Reformer"),IF(COUNTIFS($D:$D,$D3688,$A:$A,$A3688,$B:$B,$B3688,$G:$G,"CDU",$J:$J,"PLANNED")&gt;0,"tied","standalone"),"")</f>
        <v>standalone</v>
      </c>
    </row>
    <row r="3689" spans="1:14">
      <c r="A3689" s="6">
        <v>2024</v>
      </c>
      <c r="B3689" s="6">
        <v>4</v>
      </c>
      <c r="C3689" s="6" t="s">
        <v>63</v>
      </c>
      <c r="D3689" s="6" t="s">
        <v>378</v>
      </c>
      <c r="E3689" s="6" t="s">
        <v>477</v>
      </c>
      <c r="F3689" s="6" t="str">
        <f>IF($M3689="PADD I","PADD 1",IF($M3689="PADD II","PADD 2",IF($M3689="PADD III","PADD 3",IF($M3689="PADD IV","PADD 4",IF($M3689="PADD V","PADD 5","")))))</f>
        <v>PADD 3</v>
      </c>
      <c r="G3689" s="6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6" t="s">
        <v>510</v>
      </c>
      <c r="I3689" s="6" t="s">
        <v>1125</v>
      </c>
      <c r="J3689" s="6" t="s">
        <v>394</v>
      </c>
      <c r="K3689" s="10">
        <v>0.375</v>
      </c>
      <c r="L3689" s="10">
        <v>12.5</v>
      </c>
      <c r="M3689" s="6" t="s">
        <v>421</v>
      </c>
      <c r="N3689" s="6">
        <f>IF(OR($G3689="FCC",$G3689="Hydrocracker",$G3689="Reformer"),IF(COUNTIFS($D:$D,$D3689,$A:$A,$A3689,$B:$B,$B3689,$G:$G,"CDU",$J:$J,"PLANNED")&gt;0,"tied","standalone"),"")</f>
        <v/>
      </c>
    </row>
    <row r="3690" spans="1:14">
      <c r="A3690" s="6">
        <v>2024</v>
      </c>
      <c r="B3690" s="6">
        <v>4</v>
      </c>
      <c r="C3690" s="6" t="s">
        <v>63</v>
      </c>
      <c r="D3690" s="6" t="s">
        <v>812</v>
      </c>
      <c r="E3690" s="6" t="s">
        <v>813</v>
      </c>
      <c r="F3690" s="6" t="str">
        <f>IF($M3690="PADD I","PADD 1",IF($M3690="PADD II","PADD 2",IF($M3690="PADD III","PADD 3",IF($M3690="PADD IV","PADD 4",IF($M3690="PADD V","PADD 5","")))))</f>
        <v>PADD 2</v>
      </c>
      <c r="G3690" s="6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6" t="s">
        <v>618</v>
      </c>
      <c r="I3690" s="6" t="s">
        <v>1251</v>
      </c>
      <c r="J3690" s="6" t="s">
        <v>394</v>
      </c>
      <c r="K3690" s="10">
        <v>0.35</v>
      </c>
      <c r="L3690" s="10">
        <v>3.5</v>
      </c>
      <c r="M3690" s="6" t="s">
        <v>425</v>
      </c>
      <c r="N3690" s="6">
        <f>IF(OR($G3690="FCC",$G3690="Hydrocracker",$G3690="Reformer"),IF(COUNTIFS($D:$D,$D3690,$A:$A,$A3690,$B:$B,$B3690,$G:$G,"CDU",$J:$J,"PLANNED")&gt;0,"tied","standalone"),"")</f>
        <v/>
      </c>
    </row>
    <row r="3691" spans="1:14">
      <c r="A3691" s="6">
        <v>2024</v>
      </c>
      <c r="B3691" s="6">
        <v>4</v>
      </c>
      <c r="C3691" s="6" t="s">
        <v>63</v>
      </c>
      <c r="D3691" s="6" t="s">
        <v>772</v>
      </c>
      <c r="E3691" s="6" t="s">
        <v>502</v>
      </c>
      <c r="F3691" s="6" t="str">
        <f>IF($M3691="PADD I","PADD 1",IF($M3691="PADD II","PADD 2",IF($M3691="PADD III","PADD 3",IF($M3691="PADD IV","PADD 4",IF($M3691="PADD V","PADD 5","")))))</f>
        <v>PADD 4</v>
      </c>
      <c r="G3691" s="6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6" t="s">
        <v>426</v>
      </c>
      <c r="I3691" s="6" t="s">
        <v>1156</v>
      </c>
      <c r="J3691" s="6" t="s">
        <v>398</v>
      </c>
      <c r="K3691" s="10">
        <v>0.27</v>
      </c>
      <c r="L3691" s="10">
        <v>9</v>
      </c>
      <c r="M3691" s="6" t="s">
        <v>480</v>
      </c>
      <c r="N3691" s="6" t="str">
        <f>IF(OR($G3691="FCC",$G3691="Hydrocracker",$G3691="Reformer"),IF(COUNTIFS($D:$D,$D3691,$A:$A,$A3691,$B:$B,$B3691,$G:$G,"CDU",$J:$J,"PLANNED")&gt;0,"tied","standalone"),"")</f>
        <v>standalone</v>
      </c>
    </row>
    <row r="3692" spans="1:14">
      <c r="A3692" s="6">
        <v>2024</v>
      </c>
      <c r="B3692" s="6">
        <v>4</v>
      </c>
      <c r="C3692" s="6" t="s">
        <v>63</v>
      </c>
      <c r="D3692" s="6" t="s">
        <v>921</v>
      </c>
      <c r="E3692" s="6" t="s">
        <v>922</v>
      </c>
      <c r="F3692" s="6" t="str">
        <f>IF($M3692="PADD I","PADD 1",IF($M3692="PADD II","PADD 2",IF($M3692="PADD III","PADD 3",IF($M3692="PADD IV","PADD 4",IF($M3692="PADD V","PADD 5","")))))</f>
        <v>PADD 4</v>
      </c>
      <c r="G3692" s="6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6" t="s">
        <v>39</v>
      </c>
      <c r="I3692" s="6" t="s">
        <v>82</v>
      </c>
      <c r="J3692" s="6" t="s">
        <v>398</v>
      </c>
      <c r="K3692" s="10">
        <v>0.238</v>
      </c>
      <c r="L3692" s="10">
        <v>3.4</v>
      </c>
      <c r="M3692" s="6" t="s">
        <v>480</v>
      </c>
      <c r="N3692" s="6">
        <f>IF(OR($G3692="FCC",$G3692="Hydrocracker",$G3692="Reformer"),IF(COUNTIFS($D:$D,$D3692,$A:$A,$A3692,$B:$B,$B3692,$G:$G,"CDU",$J:$J,"PLANNED")&gt;0,"tied","standalone"),"")</f>
        <v/>
      </c>
    </row>
    <row r="3693" spans="1:14">
      <c r="A3693" s="6">
        <v>2024</v>
      </c>
      <c r="B3693" s="6">
        <v>4</v>
      </c>
      <c r="C3693" s="6" t="s">
        <v>63</v>
      </c>
      <c r="D3693" s="6" t="s">
        <v>496</v>
      </c>
      <c r="E3693" s="6" t="s">
        <v>441</v>
      </c>
      <c r="F3693" s="6" t="str">
        <f>IF($M3693="PADD I","PADD 1",IF($M3693="PADD II","PADD 2",IF($M3693="PADD III","PADD 3",IF($M3693="PADD IV","PADD 4",IF($M3693="PADD V","PADD 5","")))))</f>
        <v>PADD 3</v>
      </c>
      <c r="G3693" s="6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6" t="s">
        <v>510</v>
      </c>
      <c r="I3693" s="6" t="s">
        <v>630</v>
      </c>
      <c r="J3693" s="6" t="s">
        <v>394</v>
      </c>
      <c r="K3693" s="10">
        <v>0.216</v>
      </c>
      <c r="L3693" s="10">
        <v>7.2</v>
      </c>
      <c r="M3693" s="6" t="s">
        <v>421</v>
      </c>
      <c r="N3693" s="6">
        <f>IF(OR($G3693="FCC",$G3693="Hydrocracker",$G3693="Reformer"),IF(COUNTIFS($D:$D,$D3693,$A:$A,$A3693,$B:$B,$B3693,$G:$G,"CDU",$J:$J,"PLANNED")&gt;0,"tied","standalone"),"")</f>
        <v/>
      </c>
    </row>
    <row r="3694" spans="1:14">
      <c r="A3694" s="6">
        <v>2024</v>
      </c>
      <c r="B3694" s="6">
        <v>4</v>
      </c>
      <c r="C3694" s="6" t="s">
        <v>63</v>
      </c>
      <c r="D3694" s="6" t="s">
        <v>921</v>
      </c>
      <c r="E3694" s="6" t="s">
        <v>922</v>
      </c>
      <c r="F3694" s="6" t="str">
        <f>IF($M3694="PADD I","PADD 1",IF($M3694="PADD II","PADD 2",IF($M3694="PADD III","PADD 3",IF($M3694="PADD IV","PADD 4",IF($M3694="PADD V","PADD 5","")))))</f>
        <v>PADD 4</v>
      </c>
      <c r="G3694" s="6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6" t="s">
        <v>44</v>
      </c>
      <c r="I3694" s="6" t="s">
        <v>923</v>
      </c>
      <c r="J3694" s="6" t="s">
        <v>398</v>
      </c>
      <c r="K3694" s="10">
        <v>0.21</v>
      </c>
      <c r="L3694" s="10">
        <v>3</v>
      </c>
      <c r="M3694" s="6" t="s">
        <v>480</v>
      </c>
      <c r="N3694" s="6">
        <f>IF(OR($G3694="FCC",$G3694="Hydrocracker",$G3694="Reformer"),IF(COUNTIFS($D:$D,$D3694,$A:$A,$A3694,$B:$B,$B3694,$G:$G,"CDU",$J:$J,"PLANNED")&gt;0,"tied","standalone"),"")</f>
        <v/>
      </c>
    </row>
    <row r="3695" spans="1:14">
      <c r="A3695" s="6">
        <v>2024</v>
      </c>
      <c r="B3695" s="6">
        <v>4</v>
      </c>
      <c r="C3695" s="6" t="s">
        <v>63</v>
      </c>
      <c r="D3695" s="6" t="s">
        <v>921</v>
      </c>
      <c r="E3695" s="6" t="s">
        <v>922</v>
      </c>
      <c r="F3695" s="6" t="str">
        <f>IF($M3695="PADD I","PADD 1",IF($M3695="PADD II","PADD 2",IF($M3695="PADD III","PADD 3",IF($M3695="PADD IV","PADD 4",IF($M3695="PADD V","PADD 5","")))))</f>
        <v>PADD 4</v>
      </c>
      <c r="G3695" s="6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6" t="s">
        <v>471</v>
      </c>
      <c r="I3695" s="6" t="s">
        <v>15</v>
      </c>
      <c r="J3695" s="6" t="s">
        <v>398</v>
      </c>
      <c r="K3695" s="10">
        <v>0.21</v>
      </c>
      <c r="L3695" s="10">
        <v>3</v>
      </c>
      <c r="M3695" s="6" t="s">
        <v>480</v>
      </c>
      <c r="N3695" s="6" t="str">
        <f>IF(OR($G3695="FCC",$G3695="Hydrocracker",$G3695="Reformer"),IF(COUNTIFS($D:$D,$D3695,$A:$A,$A3695,$B:$B,$B3695,$G:$G,"CDU",$J:$J,"PLANNED")&gt;0,"tied","standalone"),"")</f>
        <v>tied</v>
      </c>
    </row>
    <row r="3696" spans="1:14">
      <c r="A3696" s="6">
        <v>2024</v>
      </c>
      <c r="B3696" s="6">
        <v>4</v>
      </c>
      <c r="C3696" s="6" t="s">
        <v>63</v>
      </c>
      <c r="D3696" s="6" t="s">
        <v>921</v>
      </c>
      <c r="E3696" s="6" t="s">
        <v>922</v>
      </c>
      <c r="F3696" s="6" t="str">
        <f>IF($M3696="PADD I","PADD 1",IF($M3696="PADD II","PADD 2",IF($M3696="PADD III","PADD 3",IF($M3696="PADD IV","PADD 4",IF($M3696="PADD V","PADD 5","")))))</f>
        <v>PADD 4</v>
      </c>
      <c r="G3696" s="6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6" t="s">
        <v>618</v>
      </c>
      <c r="I3696" s="6" t="s">
        <v>1252</v>
      </c>
      <c r="J3696" s="6" t="s">
        <v>398</v>
      </c>
      <c r="K3696" s="10">
        <v>0.07000000000000001</v>
      </c>
      <c r="L3696" s="10">
        <v>1</v>
      </c>
      <c r="M3696" s="6" t="s">
        <v>480</v>
      </c>
      <c r="N3696" s="6">
        <f>IF(OR($G3696="FCC",$G3696="Hydrocracker",$G3696="Reformer"),IF(COUNTIFS($D:$D,$D3696,$A:$A,$A3696,$B:$B,$B3696,$G:$G,"CDU",$J:$J,"PLANNED")&gt;0,"tied","standalone"),"")</f>
        <v/>
      </c>
    </row>
    <row r="3697" spans="1:14">
      <c r="A3697" s="6">
        <v>2024</v>
      </c>
      <c r="B3697" s="6">
        <v>5</v>
      </c>
      <c r="C3697" s="6" t="s">
        <v>64</v>
      </c>
      <c r="D3697" s="6" t="s">
        <v>370</v>
      </c>
      <c r="E3697" s="6" t="s">
        <v>431</v>
      </c>
      <c r="F3697" s="6" t="str">
        <f>IF($M3697="PADD I","PADD 1",IF($M3697="PADD II","PADD 2",IF($M3697="PADD III","PADD 3",IF($M3697="PADD IV","PADD 4",IF($M3697="PADD V","PADD 5","")))))</f>
        <v>PADD 2</v>
      </c>
      <c r="G3697" s="6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6" t="s">
        <v>39</v>
      </c>
      <c r="I3697" s="6" t="s">
        <v>82</v>
      </c>
      <c r="J3697" s="6" t="s">
        <v>398</v>
      </c>
      <c r="K3697" s="10">
        <v>112.5</v>
      </c>
      <c r="L3697" s="10">
        <v>250</v>
      </c>
      <c r="M3697" s="6" t="s">
        <v>425</v>
      </c>
      <c r="N3697" s="6">
        <f>IF(OR($G3697="FCC",$G3697="Hydrocracker",$G3697="Reformer"),IF(COUNTIFS($D:$D,$D3697,$A:$A,$A3697,$B:$B,$B3697,$G:$G,"CDU",$J:$J,"PLANNED")&gt;0,"tied","standalone"),"")</f>
        <v/>
      </c>
    </row>
    <row r="3698" spans="1:14">
      <c r="A3698" s="6">
        <v>2024</v>
      </c>
      <c r="B3698" s="6">
        <v>5</v>
      </c>
      <c r="C3698" s="6" t="s">
        <v>64</v>
      </c>
      <c r="D3698" s="6" t="s">
        <v>52</v>
      </c>
      <c r="E3698" s="6" t="s">
        <v>441</v>
      </c>
      <c r="F3698" s="6" t="str">
        <f>IF($M3698="PADD I","PADD 1",IF($M3698="PADD II","PADD 2",IF($M3698="PADD III","PADD 3",IF($M3698="PADD IV","PADD 4",IF($M3698="PADD V","PADD 5","")))))</f>
        <v>PADD 5</v>
      </c>
      <c r="G3698" s="6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6" t="s">
        <v>39</v>
      </c>
      <c r="I3698" s="6" t="s">
        <v>1213</v>
      </c>
      <c r="J3698" s="6" t="s">
        <v>398</v>
      </c>
      <c r="K3698" s="10">
        <v>93.5</v>
      </c>
      <c r="L3698" s="10">
        <v>170</v>
      </c>
      <c r="M3698" s="6" t="s">
        <v>436</v>
      </c>
      <c r="N3698" s="6">
        <f>IF(OR($G3698="FCC",$G3698="Hydrocracker",$G3698="Reformer"),IF(COUNTIFS($D:$D,$D3698,$A:$A,$A3698,$B:$B,$B3698,$G:$G,"CDU",$J:$J,"PLANNED")&gt;0,"tied","standalone"),"")</f>
        <v/>
      </c>
    </row>
    <row r="3699" spans="1:14">
      <c r="A3699" s="6">
        <v>2024</v>
      </c>
      <c r="B3699" s="6">
        <v>5</v>
      </c>
      <c r="C3699" s="6" t="s">
        <v>64</v>
      </c>
      <c r="D3699" s="6" t="s">
        <v>597</v>
      </c>
      <c r="E3699" s="6" t="s">
        <v>441</v>
      </c>
      <c r="F3699" s="6" t="str">
        <f>IF($M3699="PADD I","PADD 1",IF($M3699="PADD II","PADD 2",IF($M3699="PADD III","PADD 3",IF($M3699="PADD IV","PADD 4",IF($M3699="PADD V","PADD 5","")))))</f>
        <v>PADD 5</v>
      </c>
      <c r="G3699" s="6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6" t="s">
        <v>426</v>
      </c>
      <c r="I3699" s="6" t="s">
        <v>106</v>
      </c>
      <c r="J3699" s="6" t="s">
        <v>398</v>
      </c>
      <c r="K3699" s="10">
        <v>77.59999999999999</v>
      </c>
      <c r="L3699" s="10">
        <v>80</v>
      </c>
      <c r="M3699" s="6" t="s">
        <v>436</v>
      </c>
      <c r="N3699" s="6" t="str">
        <f>IF(OR($G3699="FCC",$G3699="Hydrocracker",$G3699="Reformer"),IF(COUNTIFS($D:$D,$D3699,$A:$A,$A3699,$B:$B,$B3699,$G:$G,"CDU",$J:$J,"PLANNED")&gt;0,"tied","standalone"),"")</f>
        <v>standalone</v>
      </c>
    </row>
    <row r="3700" spans="1:14">
      <c r="A3700" s="6">
        <v>2024</v>
      </c>
      <c r="B3700" s="6">
        <v>5</v>
      </c>
      <c r="C3700" s="6" t="s">
        <v>64</v>
      </c>
      <c r="D3700" s="6" t="s">
        <v>370</v>
      </c>
      <c r="E3700" s="6" t="s">
        <v>431</v>
      </c>
      <c r="F3700" s="6" t="str">
        <f>IF($M3700="PADD I","PADD 1",IF($M3700="PADD II","PADD 2",IF($M3700="PADD III","PADD 3",IF($M3700="PADD IV","PADD 4",IF($M3700="PADD V","PADD 5","")))))</f>
        <v>PADD 2</v>
      </c>
      <c r="G3700" s="6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6" t="s">
        <v>426</v>
      </c>
      <c r="I3700" s="6" t="s">
        <v>106</v>
      </c>
      <c r="J3700" s="6" t="s">
        <v>398</v>
      </c>
      <c r="K3700" s="10">
        <v>66.64</v>
      </c>
      <c r="L3700" s="10">
        <v>98</v>
      </c>
      <c r="M3700" s="6" t="s">
        <v>425</v>
      </c>
      <c r="N3700" s="6" t="str">
        <f>IF(OR($G3700="FCC",$G3700="Hydrocracker",$G3700="Reformer"),IF(COUNTIFS($D:$D,$D3700,$A:$A,$A3700,$B:$B,$B3700,$G:$G,"CDU",$J:$J,"PLANNED")&gt;0,"tied","standalone"),"")</f>
        <v>tied</v>
      </c>
    </row>
    <row r="3701" spans="1:14">
      <c r="A3701" s="6">
        <v>2024</v>
      </c>
      <c r="B3701" s="6">
        <v>5</v>
      </c>
      <c r="C3701" s="6" t="s">
        <v>64</v>
      </c>
      <c r="D3701" s="6" t="s">
        <v>597</v>
      </c>
      <c r="E3701" s="6" t="s">
        <v>441</v>
      </c>
      <c r="F3701" s="6" t="str">
        <f>IF($M3701="PADD I","PADD 1",IF($M3701="PADD II","PADD 2",IF($M3701="PADD III","PADD 3",IF($M3701="PADD IV","PADD 4",IF($M3701="PADD V","PADD 5","")))))</f>
        <v>PADD 5</v>
      </c>
      <c r="G3701" s="6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6" t="s">
        <v>44</v>
      </c>
      <c r="I3701" s="6" t="s">
        <v>979</v>
      </c>
      <c r="J3701" s="6" t="s">
        <v>398</v>
      </c>
      <c r="K3701" s="10">
        <v>62.856</v>
      </c>
      <c r="L3701" s="10">
        <v>64.8</v>
      </c>
      <c r="M3701" s="6" t="s">
        <v>436</v>
      </c>
      <c r="N3701" s="6">
        <f>IF(OR($G3701="FCC",$G3701="Hydrocracker",$G3701="Reformer"),IF(COUNTIFS($D:$D,$D3701,$A:$A,$A3701,$B:$B,$B3701,$G:$G,"CDU",$J:$J,"PLANNED")&gt;0,"tied","standalone"),"")</f>
        <v/>
      </c>
    </row>
    <row r="3702" spans="1:14">
      <c r="A3702" s="6">
        <v>2024</v>
      </c>
      <c r="B3702" s="6">
        <v>5</v>
      </c>
      <c r="C3702" s="6" t="s">
        <v>64</v>
      </c>
      <c r="D3702" s="6" t="s">
        <v>370</v>
      </c>
      <c r="E3702" s="6" t="s">
        <v>431</v>
      </c>
      <c r="F3702" s="6" t="str">
        <f>IF($M3702="PADD I","PADD 1",IF($M3702="PADD II","PADD 2",IF($M3702="PADD III","PADD 3",IF($M3702="PADD IV","PADD 4",IF($M3702="PADD V","PADD 5","")))))</f>
        <v>PADD 2</v>
      </c>
      <c r="G3702" s="6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6" t="s">
        <v>44</v>
      </c>
      <c r="I3702" s="6" t="s">
        <v>1214</v>
      </c>
      <c r="J3702" s="6" t="s">
        <v>398</v>
      </c>
      <c r="K3702" s="10">
        <v>61.2</v>
      </c>
      <c r="L3702" s="10">
        <v>90</v>
      </c>
      <c r="M3702" s="6" t="s">
        <v>425</v>
      </c>
      <c r="N3702" s="6">
        <f>IF(OR($G3702="FCC",$G3702="Hydrocracker",$G3702="Reformer"),IF(COUNTIFS($D:$D,$D3702,$A:$A,$A3702,$B:$B,$B3702,$G:$G,"CDU",$J:$J,"PLANNED")&gt;0,"tied","standalone"),"")</f>
        <v/>
      </c>
    </row>
    <row r="3703" spans="1:14">
      <c r="A3703" s="6">
        <v>2024</v>
      </c>
      <c r="B3703" s="6">
        <v>5</v>
      </c>
      <c r="C3703" s="6" t="s">
        <v>64</v>
      </c>
      <c r="D3703" s="6" t="s">
        <v>55</v>
      </c>
      <c r="E3703" s="6" t="s">
        <v>906</v>
      </c>
      <c r="F3703" s="6" t="str">
        <f>IF($M3703="PADD I","PADD 1",IF($M3703="PADD II","PADD 2",IF($M3703="PADD III","PADD 3",IF($M3703="PADD IV","PADD 4",IF($M3703="PADD V","PADD 5","")))))</f>
        <v>PADD 5</v>
      </c>
      <c r="G3703" s="6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6" t="s">
        <v>39</v>
      </c>
      <c r="I3703" s="6" t="s">
        <v>907</v>
      </c>
      <c r="J3703" s="6" t="s">
        <v>398</v>
      </c>
      <c r="K3703" s="10">
        <v>60</v>
      </c>
      <c r="L3703" s="10">
        <v>60</v>
      </c>
      <c r="M3703" s="6" t="s">
        <v>436</v>
      </c>
      <c r="N3703" s="6">
        <f>IF(OR($G3703="FCC",$G3703="Hydrocracker",$G3703="Reformer"),IF(COUNTIFS($D:$D,$D3703,$A:$A,$A3703,$B:$B,$B3703,$G:$G,"CDU",$J:$J,"PLANNED")&gt;0,"tied","standalone"),"")</f>
        <v/>
      </c>
    </row>
    <row r="3704" spans="1:14">
      <c r="A3704" s="6">
        <v>2024</v>
      </c>
      <c r="B3704" s="6">
        <v>5</v>
      </c>
      <c r="C3704" s="6" t="s">
        <v>64</v>
      </c>
      <c r="D3704" s="6" t="s">
        <v>370</v>
      </c>
      <c r="E3704" s="6" t="s">
        <v>431</v>
      </c>
      <c r="F3704" s="6" t="str">
        <f>IF($M3704="PADD I","PADD 1",IF($M3704="PADD II","PADD 2",IF($M3704="PADD III","PADD 3",IF($M3704="PADD IV","PADD 4",IF($M3704="PADD V","PADD 5","")))))</f>
        <v>PADD 2</v>
      </c>
      <c r="G3704" s="6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6" t="s">
        <v>428</v>
      </c>
      <c r="I3704" s="6" t="s">
        <v>481</v>
      </c>
      <c r="J3704" s="6" t="s">
        <v>398</v>
      </c>
      <c r="K3704" s="10">
        <v>57.15</v>
      </c>
      <c r="L3704" s="10">
        <v>127</v>
      </c>
      <c r="M3704" s="6" t="s">
        <v>425</v>
      </c>
      <c r="N3704" s="6">
        <f>IF(OR($G3704="FCC",$G3704="Hydrocracker",$G3704="Reformer"),IF(COUNTIFS($D:$D,$D3704,$A:$A,$A3704,$B:$B,$B3704,$G:$G,"CDU",$J:$J,"PLANNED")&gt;0,"tied","standalone"),"")</f>
        <v/>
      </c>
    </row>
    <row r="3705" spans="1:14">
      <c r="A3705" s="6">
        <v>2024</v>
      </c>
      <c r="B3705" s="6">
        <v>5</v>
      </c>
      <c r="C3705" s="6" t="s">
        <v>64</v>
      </c>
      <c r="D3705" s="6" t="s">
        <v>51</v>
      </c>
      <c r="E3705" s="6" t="s">
        <v>431</v>
      </c>
      <c r="F3705" s="6" t="str">
        <f>IF($M3705="PADD I","PADD 1",IF($M3705="PADD II","PADD 2",IF($M3705="PADD III","PADD 3",IF($M3705="PADD IV","PADD 4",IF($M3705="PADD V","PADD 5","")))))</f>
        <v>PADD 3</v>
      </c>
      <c r="G3705" s="6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6" t="s">
        <v>471</v>
      </c>
      <c r="I3705" s="6" t="s">
        <v>1136</v>
      </c>
      <c r="J3705" s="6" t="s">
        <v>394</v>
      </c>
      <c r="K3705" s="10">
        <v>57</v>
      </c>
      <c r="L3705" s="10">
        <v>57</v>
      </c>
      <c r="M3705" s="6" t="s">
        <v>421</v>
      </c>
      <c r="N3705" s="6" t="str">
        <f>IF(OR($G3705="FCC",$G3705="Hydrocracker",$G3705="Reformer"),IF(COUNTIFS($D:$D,$D3705,$A:$A,$A3705,$B:$B,$B3705,$G:$G,"CDU",$J:$J,"PLANNED")&gt;0,"tied","standalone"),"")</f>
        <v>tied</v>
      </c>
    </row>
    <row r="3706" spans="1:14">
      <c r="A3706" s="6">
        <v>2024</v>
      </c>
      <c r="B3706" s="6">
        <v>5</v>
      </c>
      <c r="C3706" s="6" t="s">
        <v>64</v>
      </c>
      <c r="D3706" s="6" t="s">
        <v>505</v>
      </c>
      <c r="E3706" s="6" t="s">
        <v>455</v>
      </c>
      <c r="F3706" s="6" t="str">
        <f>IF($M3706="PADD I","PADD 1",IF($M3706="PADD II","PADD 2",IF($M3706="PADD III","PADD 3",IF($M3706="PADD IV","PADD 4",IF($M3706="PADD V","PADD 5","")))))</f>
        <v>PADD 3</v>
      </c>
      <c r="G3706" s="6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6" t="s">
        <v>494</v>
      </c>
      <c r="I3706" s="6" t="s">
        <v>1063</v>
      </c>
      <c r="J3706" s="6" t="s">
        <v>398</v>
      </c>
      <c r="K3706" s="10">
        <v>55.29</v>
      </c>
      <c r="L3706" s="10">
        <v>57</v>
      </c>
      <c r="M3706" s="6" t="s">
        <v>421</v>
      </c>
      <c r="N3706" s="6" t="str">
        <f>IF(OR($G3706="FCC",$G3706="Hydrocracker",$G3706="Reformer"),IF(COUNTIFS($D:$D,$D3706,$A:$A,$A3706,$B:$B,$B3706,$G:$G,"CDU",$J:$J,"PLANNED")&gt;0,"tied","standalone"),"")</f>
        <v>standalone</v>
      </c>
    </row>
    <row r="3707" spans="1:14">
      <c r="A3707" s="6">
        <v>2024</v>
      </c>
      <c r="B3707" s="6">
        <v>5</v>
      </c>
      <c r="C3707" s="6" t="s">
        <v>64</v>
      </c>
      <c r="D3707" s="6" t="s">
        <v>370</v>
      </c>
      <c r="E3707" s="6" t="s">
        <v>431</v>
      </c>
      <c r="F3707" s="6" t="str">
        <f>IF($M3707="PADD I","PADD 1",IF($M3707="PADD II","PADD 2",IF($M3707="PADD III","PADD 3",IF($M3707="PADD IV","PADD 4",IF($M3707="PADD V","PADD 5","")))))</f>
        <v>PADD 2</v>
      </c>
      <c r="G3707" s="6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6" t="s">
        <v>44</v>
      </c>
      <c r="I3707" s="6" t="s">
        <v>1215</v>
      </c>
      <c r="J3707" s="6" t="s">
        <v>398</v>
      </c>
      <c r="K3707" s="10">
        <v>54.4</v>
      </c>
      <c r="L3707" s="10">
        <v>80</v>
      </c>
      <c r="M3707" s="6" t="s">
        <v>425</v>
      </c>
      <c r="N3707" s="6">
        <f>IF(OR($G3707="FCC",$G3707="Hydrocracker",$G3707="Reformer"),IF(COUNTIFS($D:$D,$D3707,$A:$A,$A3707,$B:$B,$B3707,$G:$G,"CDU",$J:$J,"PLANNED")&gt;0,"tied","standalone"),"")</f>
        <v/>
      </c>
    </row>
    <row r="3708" spans="1:14">
      <c r="A3708" s="6">
        <v>2024</v>
      </c>
      <c r="B3708" s="6">
        <v>5</v>
      </c>
      <c r="C3708" s="6" t="s">
        <v>64</v>
      </c>
      <c r="D3708" s="6" t="s">
        <v>430</v>
      </c>
      <c r="E3708" s="6" t="s">
        <v>431</v>
      </c>
      <c r="F3708" s="6" t="str">
        <f>IF($M3708="PADD I","PADD 1",IF($M3708="PADD II","PADD 2",IF($M3708="PADD III","PADD 3",IF($M3708="PADD IV","PADD 4",IF($M3708="PADD V","PADD 5","")))))</f>
        <v>PADD 3</v>
      </c>
      <c r="G3708" s="6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6" t="s">
        <v>39</v>
      </c>
      <c r="I3708" s="6" t="s">
        <v>115</v>
      </c>
      <c r="J3708" s="6" t="s">
        <v>398</v>
      </c>
      <c r="K3708" s="10">
        <v>52.8</v>
      </c>
      <c r="L3708" s="10">
        <v>110</v>
      </c>
      <c r="M3708" s="6" t="s">
        <v>421</v>
      </c>
      <c r="N3708" s="6">
        <f>IF(OR($G3708="FCC",$G3708="Hydrocracker",$G3708="Reformer"),IF(COUNTIFS($D:$D,$D3708,$A:$A,$A3708,$B:$B,$B3708,$G:$G,"CDU",$J:$J,"PLANNED")&gt;0,"tied","standalone"),"")</f>
        <v/>
      </c>
    </row>
    <row r="3709" spans="1:14">
      <c r="A3709" s="6">
        <v>2024</v>
      </c>
      <c r="B3709" s="6">
        <v>5</v>
      </c>
      <c r="C3709" s="6" t="s">
        <v>64</v>
      </c>
      <c r="D3709" s="6" t="s">
        <v>373</v>
      </c>
      <c r="E3709" s="6" t="s">
        <v>438</v>
      </c>
      <c r="F3709" s="6" t="str">
        <f>IF($M3709="PADD I","PADD 1",IF($M3709="PADD II","PADD 2",IF($M3709="PADD III","PADD 3",IF($M3709="PADD IV","PADD 4",IF($M3709="PADD V","PADD 5","")))))</f>
        <v>PADD 3</v>
      </c>
      <c r="G3709" s="6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6" t="s">
        <v>44</v>
      </c>
      <c r="I3709" s="6" t="s">
        <v>732</v>
      </c>
      <c r="J3709" s="6" t="s">
        <v>394</v>
      </c>
      <c r="K3709" s="10">
        <v>50.88</v>
      </c>
      <c r="L3709" s="10">
        <v>106</v>
      </c>
      <c r="M3709" s="6" t="s">
        <v>421</v>
      </c>
      <c r="N3709" s="6">
        <f>IF(OR($G3709="FCC",$G3709="Hydrocracker",$G3709="Reformer"),IF(COUNTIFS($D:$D,$D3709,$A:$A,$A3709,$B:$B,$B3709,$G:$G,"CDU",$J:$J,"PLANNED")&gt;0,"tied","standalone"),"")</f>
        <v/>
      </c>
    </row>
    <row r="3710" spans="1:14">
      <c r="A3710" s="6">
        <v>2024</v>
      </c>
      <c r="B3710" s="6">
        <v>5</v>
      </c>
      <c r="C3710" s="6" t="s">
        <v>64</v>
      </c>
      <c r="D3710" s="6" t="s">
        <v>52</v>
      </c>
      <c r="E3710" s="6" t="s">
        <v>441</v>
      </c>
      <c r="F3710" s="6" t="str">
        <f>IF($M3710="PADD I","PADD 1",IF($M3710="PADD II","PADD 2",IF($M3710="PADD III","PADD 3",IF($M3710="PADD IV","PADD 4",IF($M3710="PADD V","PADD 5","")))))</f>
        <v>PADD 5</v>
      </c>
      <c r="G3710" s="6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6" t="s">
        <v>428</v>
      </c>
      <c r="I3710" s="6" t="s">
        <v>1085</v>
      </c>
      <c r="J3710" s="6" t="s">
        <v>394</v>
      </c>
      <c r="K3710" s="10">
        <v>50.4</v>
      </c>
      <c r="L3710" s="10">
        <v>105</v>
      </c>
      <c r="M3710" s="6" t="s">
        <v>436</v>
      </c>
      <c r="N3710" s="6">
        <f>IF(OR($G3710="FCC",$G3710="Hydrocracker",$G3710="Reformer"),IF(COUNTIFS($D:$D,$D3710,$A:$A,$A3710,$B:$B,$B3710,$G:$G,"CDU",$J:$J,"PLANNED")&gt;0,"tied","standalone"),"")</f>
        <v/>
      </c>
    </row>
    <row r="3711" spans="1:14">
      <c r="A3711" s="6">
        <v>2024</v>
      </c>
      <c r="B3711" s="6">
        <v>5</v>
      </c>
      <c r="C3711" s="6" t="s">
        <v>64</v>
      </c>
      <c r="D3711" s="6" t="s">
        <v>51</v>
      </c>
      <c r="E3711" s="6" t="s">
        <v>431</v>
      </c>
      <c r="F3711" s="6" t="str">
        <f>IF($M3711="PADD I","PADD 1",IF($M3711="PADD II","PADD 2",IF($M3711="PADD III","PADD 3",IF($M3711="PADD IV","PADD 4",IF($M3711="PADD V","PADD 5","")))))</f>
        <v>PADD 3</v>
      </c>
      <c r="G3711" s="6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6" t="s">
        <v>471</v>
      </c>
      <c r="I3711" s="6" t="s">
        <v>942</v>
      </c>
      <c r="J3711" s="6" t="s">
        <v>398</v>
      </c>
      <c r="K3711" s="10">
        <v>48.1</v>
      </c>
      <c r="L3711" s="10">
        <v>65</v>
      </c>
      <c r="M3711" s="6" t="s">
        <v>421</v>
      </c>
      <c r="N3711" s="6" t="str">
        <f>IF(OR($G3711="FCC",$G3711="Hydrocracker",$G3711="Reformer"),IF(COUNTIFS($D:$D,$D3711,$A:$A,$A3711,$B:$B,$B3711,$G:$G,"CDU",$J:$J,"PLANNED")&gt;0,"tied","standalone"),"")</f>
        <v>tied</v>
      </c>
    </row>
    <row r="3712" spans="1:14">
      <c r="A3712" s="6">
        <v>2024</v>
      </c>
      <c r="B3712" s="6">
        <v>5</v>
      </c>
      <c r="C3712" s="6" t="s">
        <v>64</v>
      </c>
      <c r="D3712" s="6" t="s">
        <v>52</v>
      </c>
      <c r="E3712" s="6" t="s">
        <v>441</v>
      </c>
      <c r="F3712" s="6" t="str">
        <f>IF($M3712="PADD I","PADD 1",IF($M3712="PADD II","PADD 2",IF($M3712="PADD III","PADD 3",IF($M3712="PADD IV","PADD 4",IF($M3712="PADD V","PADD 5","")))))</f>
        <v>PADD 5</v>
      </c>
      <c r="G3712" s="6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6" t="s">
        <v>44</v>
      </c>
      <c r="I3712" s="6" t="s">
        <v>1217</v>
      </c>
      <c r="J3712" s="6" t="s">
        <v>398</v>
      </c>
      <c r="K3712" s="10">
        <v>45.5</v>
      </c>
      <c r="L3712" s="10">
        <v>70</v>
      </c>
      <c r="M3712" s="6" t="s">
        <v>436</v>
      </c>
      <c r="N3712" s="6">
        <f>IF(OR($G3712="FCC",$G3712="Hydrocracker",$G3712="Reformer"),IF(COUNTIFS($D:$D,$D3712,$A:$A,$A3712,$B:$B,$B3712,$G:$G,"CDU",$J:$J,"PLANNED")&gt;0,"tied","standalone"),"")</f>
        <v/>
      </c>
    </row>
    <row r="3713" spans="1:14">
      <c r="A3713" s="6">
        <v>2024</v>
      </c>
      <c r="B3713" s="6">
        <v>5</v>
      </c>
      <c r="C3713" s="6" t="s">
        <v>64</v>
      </c>
      <c r="D3713" s="6" t="s">
        <v>445</v>
      </c>
      <c r="E3713" s="6" t="s">
        <v>446</v>
      </c>
      <c r="F3713" s="6" t="str">
        <f>IF($M3713="PADD I","PADD 1",IF($M3713="PADD II","PADD 2",IF($M3713="PADD III","PADD 3",IF($M3713="PADD IV","PADD 4",IF($M3713="PADD V","PADD 5","")))))</f>
        <v>PADD 3</v>
      </c>
      <c r="G3713" s="6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6" t="s">
        <v>494</v>
      </c>
      <c r="I3713" s="6" t="s">
        <v>562</v>
      </c>
      <c r="J3713" s="6" t="s">
        <v>394</v>
      </c>
      <c r="K3713" s="10">
        <v>43.55</v>
      </c>
      <c r="L3713" s="10">
        <v>67</v>
      </c>
      <c r="M3713" s="6" t="s">
        <v>421</v>
      </c>
      <c r="N3713" s="6" t="str">
        <f>IF(OR($G3713="FCC",$G3713="Hydrocracker",$G3713="Reformer"),IF(COUNTIFS($D:$D,$D3713,$A:$A,$A3713,$B:$B,$B3713,$G:$G,"CDU",$J:$J,"PLANNED")&gt;0,"tied","standalone"),"")</f>
        <v>tied</v>
      </c>
    </row>
    <row r="3714" spans="1:14">
      <c r="A3714" s="6">
        <v>2024</v>
      </c>
      <c r="B3714" s="6">
        <v>5</v>
      </c>
      <c r="C3714" s="6" t="s">
        <v>64</v>
      </c>
      <c r="D3714" s="6" t="s">
        <v>52</v>
      </c>
      <c r="E3714" s="6" t="s">
        <v>441</v>
      </c>
      <c r="F3714" s="6" t="str">
        <f>IF($M3714="PADD I","PADD 1",IF($M3714="PADD II","PADD 2",IF($M3714="PADD III","PADD 3",IF($M3714="PADD IV","PADD 4",IF($M3714="PADD V","PADD 5","")))))</f>
        <v>PADD 5</v>
      </c>
      <c r="G3714" s="6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6" t="s">
        <v>44</v>
      </c>
      <c r="I3714" s="6" t="s">
        <v>909</v>
      </c>
      <c r="J3714" s="6" t="s">
        <v>394</v>
      </c>
      <c r="K3714" s="10">
        <v>42.7</v>
      </c>
      <c r="L3714" s="10">
        <v>70</v>
      </c>
      <c r="M3714" s="6" t="s">
        <v>436</v>
      </c>
      <c r="N3714" s="6">
        <f>IF(OR($G3714="FCC",$G3714="Hydrocracker",$G3714="Reformer"),IF(COUNTIFS($D:$D,$D3714,$A:$A,$A3714,$B:$B,$B3714,$G:$G,"CDU",$J:$J,"PLANNED")&gt;0,"tied","standalone"),"")</f>
        <v/>
      </c>
    </row>
    <row r="3715" spans="1:14">
      <c r="A3715" s="6">
        <v>2024</v>
      </c>
      <c r="B3715" s="6">
        <v>5</v>
      </c>
      <c r="C3715" s="6" t="s">
        <v>64</v>
      </c>
      <c r="D3715" s="6" t="s">
        <v>872</v>
      </c>
      <c r="E3715" s="6" t="s">
        <v>466</v>
      </c>
      <c r="F3715" s="6" t="str">
        <f>IF($M3715="PADD I","PADD 1",IF($M3715="PADD II","PADD 2",IF($M3715="PADD III","PADD 3",IF($M3715="PADD IV","PADD 4",IF($M3715="PADD V","PADD 5","")))))</f>
        <v>PADD 3</v>
      </c>
      <c r="G3715" s="6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6" t="s">
        <v>44</v>
      </c>
      <c r="I3715" s="6" t="s">
        <v>873</v>
      </c>
      <c r="J3715" s="6" t="s">
        <v>398</v>
      </c>
      <c r="K3715" s="10">
        <v>42</v>
      </c>
      <c r="L3715" s="10">
        <v>50</v>
      </c>
      <c r="M3715" s="6" t="s">
        <v>421</v>
      </c>
      <c r="N3715" s="6">
        <f>IF(OR($G3715="FCC",$G3715="Hydrocracker",$G3715="Reformer"),IF(COUNTIFS($D:$D,$D3715,$A:$A,$A3715,$B:$B,$B3715,$G:$G,"CDU",$J:$J,"PLANNED")&gt;0,"tied","standalone"),"")</f>
        <v/>
      </c>
    </row>
    <row r="3716" spans="1:14">
      <c r="A3716" s="6">
        <v>2024</v>
      </c>
      <c r="B3716" s="6">
        <v>5</v>
      </c>
      <c r="C3716" s="6" t="s">
        <v>64</v>
      </c>
      <c r="D3716" s="6" t="s">
        <v>696</v>
      </c>
      <c r="E3716" s="6" t="s">
        <v>455</v>
      </c>
      <c r="F3716" s="6" t="str">
        <f>IF($M3716="PADD I","PADD 1",IF($M3716="PADD II","PADD 2",IF($M3716="PADD III","PADD 3",IF($M3716="PADD IV","PADD 4",IF($M3716="PADD V","PADD 5","")))))</f>
        <v>PADD 3</v>
      </c>
      <c r="G3716" s="6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6" t="s">
        <v>44</v>
      </c>
      <c r="I3716" s="6" t="s">
        <v>697</v>
      </c>
      <c r="J3716" s="6" t="s">
        <v>394</v>
      </c>
      <c r="K3716" s="10">
        <v>39.15</v>
      </c>
      <c r="L3716" s="10">
        <v>45</v>
      </c>
      <c r="M3716" s="6" t="s">
        <v>421</v>
      </c>
      <c r="N3716" s="6">
        <f>IF(OR($G3716="FCC",$G3716="Hydrocracker",$G3716="Reformer"),IF(COUNTIFS($D:$D,$D3716,$A:$A,$A3716,$B:$B,$B3716,$G:$G,"CDU",$J:$J,"PLANNED")&gt;0,"tied","standalone"),"")</f>
        <v/>
      </c>
    </row>
    <row r="3717" spans="1:14">
      <c r="A3717" s="6">
        <v>2024</v>
      </c>
      <c r="B3717" s="6">
        <v>5</v>
      </c>
      <c r="C3717" s="6" t="s">
        <v>64</v>
      </c>
      <c r="D3717" s="6" t="s">
        <v>872</v>
      </c>
      <c r="E3717" s="6" t="s">
        <v>466</v>
      </c>
      <c r="F3717" s="6" t="str">
        <f>IF($M3717="PADD I","PADD 1",IF($M3717="PADD II","PADD 2",IF($M3717="PADD III","PADD 3",IF($M3717="PADD IV","PADD 4",IF($M3717="PADD V","PADD 5","")))))</f>
        <v>PADD 3</v>
      </c>
      <c r="G3717" s="6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6" t="s">
        <v>44</v>
      </c>
      <c r="I3717" s="6" t="s">
        <v>570</v>
      </c>
      <c r="J3717" s="6" t="s">
        <v>398</v>
      </c>
      <c r="K3717" s="10">
        <v>37.8</v>
      </c>
      <c r="L3717" s="10">
        <v>45</v>
      </c>
      <c r="M3717" s="6" t="s">
        <v>421</v>
      </c>
      <c r="N3717" s="6">
        <f>IF(OR($G3717="FCC",$G3717="Hydrocracker",$G3717="Reformer"),IF(COUNTIFS($D:$D,$D3717,$A:$A,$A3717,$B:$B,$B3717,$G:$G,"CDU",$J:$J,"PLANNED")&gt;0,"tied","standalone"),"")</f>
        <v/>
      </c>
    </row>
    <row r="3718" spans="1:14">
      <c r="A3718" s="6">
        <v>2024</v>
      </c>
      <c r="B3718" s="6">
        <v>5</v>
      </c>
      <c r="C3718" s="6" t="s">
        <v>64</v>
      </c>
      <c r="D3718" s="6" t="s">
        <v>662</v>
      </c>
      <c r="E3718" s="6" t="s">
        <v>466</v>
      </c>
      <c r="F3718" s="6" t="str">
        <f>IF($M3718="PADD I","PADD 1",IF($M3718="PADD II","PADD 2",IF($M3718="PADD III","PADD 3",IF($M3718="PADD IV","PADD 4",IF($M3718="PADD V","PADD 5","")))))</f>
        <v>PADD 3</v>
      </c>
      <c r="G3718" s="6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6" t="s">
        <v>485</v>
      </c>
      <c r="I3718" s="6" t="s">
        <v>491</v>
      </c>
      <c r="J3718" s="6" t="s">
        <v>394</v>
      </c>
      <c r="K3718" s="10">
        <v>36.96</v>
      </c>
      <c r="L3718" s="10">
        <v>44</v>
      </c>
      <c r="M3718" s="6" t="s">
        <v>421</v>
      </c>
      <c r="N3718" s="6">
        <f>IF(OR($G3718="FCC",$G3718="Hydrocracker",$G3718="Reformer"),IF(COUNTIFS($D:$D,$D3718,$A:$A,$A3718,$B:$B,$B3718,$G:$G,"CDU",$J:$J,"PLANNED")&gt;0,"tied","standalone"),"")</f>
        <v/>
      </c>
    </row>
    <row r="3719" spans="1:14">
      <c r="A3719" s="6">
        <v>2024</v>
      </c>
      <c r="B3719" s="6">
        <v>5</v>
      </c>
      <c r="C3719" s="6" t="s">
        <v>64</v>
      </c>
      <c r="D3719" s="6" t="s">
        <v>872</v>
      </c>
      <c r="E3719" s="6" t="s">
        <v>466</v>
      </c>
      <c r="F3719" s="6" t="str">
        <f>IF($M3719="PADD I","PADD 1",IF($M3719="PADD II","PADD 2",IF($M3719="PADD III","PADD 3",IF($M3719="PADD IV","PADD 4",IF($M3719="PADD V","PADD 5","")))))</f>
        <v>PADD 3</v>
      </c>
      <c r="G3719" s="6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6" t="s">
        <v>485</v>
      </c>
      <c r="I3719" s="6" t="s">
        <v>491</v>
      </c>
      <c r="J3719" s="6" t="s">
        <v>398</v>
      </c>
      <c r="K3719" s="10">
        <v>36.96</v>
      </c>
      <c r="L3719" s="10">
        <v>44</v>
      </c>
      <c r="M3719" s="6" t="s">
        <v>421</v>
      </c>
      <c r="N3719" s="6">
        <f>IF(OR($G3719="FCC",$G3719="Hydrocracker",$G3719="Reformer"),IF(COUNTIFS($D:$D,$D3719,$A:$A,$A3719,$B:$B,$B3719,$G:$G,"CDU",$J:$J,"PLANNED")&gt;0,"tied","standalone"),"")</f>
        <v/>
      </c>
    </row>
    <row r="3720" spans="1:14">
      <c r="A3720" s="6">
        <v>2024</v>
      </c>
      <c r="B3720" s="6">
        <v>5</v>
      </c>
      <c r="C3720" s="6" t="s">
        <v>64</v>
      </c>
      <c r="D3720" s="6" t="s">
        <v>812</v>
      </c>
      <c r="E3720" s="6" t="s">
        <v>813</v>
      </c>
      <c r="F3720" s="6" t="str">
        <f>IF($M3720="PADD I","PADD 1",IF($M3720="PADD II","PADD 2",IF($M3720="PADD III","PADD 3",IF($M3720="PADD IV","PADD 4",IF($M3720="PADD V","PADD 5","")))))</f>
        <v>PADD 2</v>
      </c>
      <c r="G3720" s="6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6" t="s">
        <v>39</v>
      </c>
      <c r="I3720" s="6" t="s">
        <v>379</v>
      </c>
      <c r="J3720" s="6" t="s">
        <v>394</v>
      </c>
      <c r="K3720" s="10">
        <v>35</v>
      </c>
      <c r="L3720" s="10">
        <v>35</v>
      </c>
      <c r="M3720" s="6" t="s">
        <v>425</v>
      </c>
      <c r="N3720" s="6">
        <f>IF(OR($G3720="FCC",$G3720="Hydrocracker",$G3720="Reformer"),IF(COUNTIFS($D:$D,$D3720,$A:$A,$A3720,$B:$B,$B3720,$G:$G,"CDU",$J:$J,"PLANNED")&gt;0,"tied","standalone"),"")</f>
        <v/>
      </c>
    </row>
    <row r="3721" spans="1:14">
      <c r="A3721" s="6">
        <v>2024</v>
      </c>
      <c r="B3721" s="6">
        <v>5</v>
      </c>
      <c r="C3721" s="6" t="s">
        <v>64</v>
      </c>
      <c r="D3721" s="6" t="s">
        <v>496</v>
      </c>
      <c r="E3721" s="6" t="s">
        <v>441</v>
      </c>
      <c r="F3721" s="6" t="str">
        <f>IF($M3721="PADD I","PADD 1",IF($M3721="PADD II","PADD 2",IF($M3721="PADD III","PADD 3",IF($M3721="PADD IV","PADD 4",IF($M3721="PADD V","PADD 5","")))))</f>
        <v>PADD 3</v>
      </c>
      <c r="G3721" s="6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6" t="s">
        <v>44</v>
      </c>
      <c r="I3721" s="6" t="s">
        <v>497</v>
      </c>
      <c r="J3721" s="6" t="s">
        <v>398</v>
      </c>
      <c r="K3721" s="10">
        <v>35</v>
      </c>
      <c r="L3721" s="10">
        <v>35</v>
      </c>
      <c r="M3721" s="6" t="s">
        <v>421</v>
      </c>
      <c r="N3721" s="6">
        <f>IF(OR($G3721="FCC",$G3721="Hydrocracker",$G3721="Reformer"),IF(COUNTIFS($D:$D,$D3721,$A:$A,$A3721,$B:$B,$B3721,$G:$G,"CDU",$J:$J,"PLANNED")&gt;0,"tied","standalone"),"")</f>
        <v/>
      </c>
    </row>
    <row r="3722" spans="1:14">
      <c r="A3722" s="6">
        <v>2024</v>
      </c>
      <c r="B3722" s="6">
        <v>5</v>
      </c>
      <c r="C3722" s="6" t="s">
        <v>64</v>
      </c>
      <c r="D3722" s="6" t="s">
        <v>498</v>
      </c>
      <c r="E3722" s="6" t="s">
        <v>441</v>
      </c>
      <c r="F3722" s="6" t="str">
        <f>IF($M3722="PADD I","PADD 1",IF($M3722="PADD II","PADD 2",IF($M3722="PADD III","PADD 3",IF($M3722="PADD IV","PADD 4",IF($M3722="PADD V","PADD 5","")))))</f>
        <v>PADD 3</v>
      </c>
      <c r="G3722" s="6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6" t="s">
        <v>44</v>
      </c>
      <c r="I3722" s="6" t="s">
        <v>499</v>
      </c>
      <c r="J3722" s="6" t="s">
        <v>394</v>
      </c>
      <c r="K3722" s="10">
        <v>35</v>
      </c>
      <c r="L3722" s="10">
        <v>35</v>
      </c>
      <c r="M3722" s="6" t="s">
        <v>421</v>
      </c>
      <c r="N3722" s="6">
        <f>IF(OR($G3722="FCC",$G3722="Hydrocracker",$G3722="Reformer"),IF(COUNTIFS($D:$D,$D3722,$A:$A,$A3722,$B:$B,$B3722,$G:$G,"CDU",$J:$J,"PLANNED")&gt;0,"tied","standalone"),"")</f>
        <v/>
      </c>
    </row>
    <row r="3723" spans="1:14">
      <c r="A3723" s="6">
        <v>2024</v>
      </c>
      <c r="B3723" s="6">
        <v>5</v>
      </c>
      <c r="C3723" s="6" t="s">
        <v>64</v>
      </c>
      <c r="D3723" s="6" t="s">
        <v>370</v>
      </c>
      <c r="E3723" s="6" t="s">
        <v>431</v>
      </c>
      <c r="F3723" s="6" t="str">
        <f>IF($M3723="PADD I","PADD 1",IF($M3723="PADD II","PADD 2",IF($M3723="PADD III","PADD 3",IF($M3723="PADD IV","PADD 4",IF($M3723="PADD V","PADD 5","")))))</f>
        <v>PADD 2</v>
      </c>
      <c r="G3723" s="6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6" t="s">
        <v>44</v>
      </c>
      <c r="I3723" s="6" t="s">
        <v>794</v>
      </c>
      <c r="J3723" s="6" t="s">
        <v>398</v>
      </c>
      <c r="K3723" s="10">
        <v>34</v>
      </c>
      <c r="L3723" s="10">
        <v>50</v>
      </c>
      <c r="M3723" s="6" t="s">
        <v>425</v>
      </c>
      <c r="N3723" s="6">
        <f>IF(OR($G3723="FCC",$G3723="Hydrocracker",$G3723="Reformer"),IF(COUNTIFS($D:$D,$D3723,$A:$A,$A3723,$B:$B,$B3723,$G:$G,"CDU",$J:$J,"PLANNED")&gt;0,"tied","standalone"),"")</f>
        <v/>
      </c>
    </row>
    <row r="3724" spans="1:14">
      <c r="A3724" s="6">
        <v>2024</v>
      </c>
      <c r="B3724" s="6">
        <v>5</v>
      </c>
      <c r="C3724" s="6" t="s">
        <v>64</v>
      </c>
      <c r="D3724" s="6" t="s">
        <v>370</v>
      </c>
      <c r="E3724" s="6" t="s">
        <v>431</v>
      </c>
      <c r="F3724" s="6" t="str">
        <f>IF($M3724="PADD I","PADD 1",IF($M3724="PADD II","PADD 2",IF($M3724="PADD III","PADD 3",IF($M3724="PADD IV","PADD 4",IF($M3724="PADD V","PADD 5","")))))</f>
        <v>PADD 2</v>
      </c>
      <c r="G3724" s="6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6" t="s">
        <v>485</v>
      </c>
      <c r="I3724" s="6" t="s">
        <v>491</v>
      </c>
      <c r="J3724" s="6" t="s">
        <v>394</v>
      </c>
      <c r="K3724" s="10">
        <v>32.48</v>
      </c>
      <c r="L3724" s="10">
        <v>56</v>
      </c>
      <c r="M3724" s="6" t="s">
        <v>425</v>
      </c>
      <c r="N3724" s="6">
        <f>IF(OR($G3724="FCC",$G3724="Hydrocracker",$G3724="Reformer"),IF(COUNTIFS($D:$D,$D3724,$A:$A,$A3724,$B:$B,$B3724,$G:$G,"CDU",$J:$J,"PLANNED")&gt;0,"tied","standalone"),"")</f>
        <v/>
      </c>
    </row>
    <row r="3725" spans="1:14">
      <c r="A3725" s="6">
        <v>2024</v>
      </c>
      <c r="B3725" s="6">
        <v>5</v>
      </c>
      <c r="C3725" s="6" t="s">
        <v>64</v>
      </c>
      <c r="D3725" s="6" t="s">
        <v>430</v>
      </c>
      <c r="E3725" s="6" t="s">
        <v>431</v>
      </c>
      <c r="F3725" s="6" t="str">
        <f>IF($M3725="PADD I","PADD 1",IF($M3725="PADD II","PADD 2",IF($M3725="PADD III","PADD 3",IF($M3725="PADD IV","PADD 4",IF($M3725="PADD V","PADD 5","")))))</f>
        <v>PADD 3</v>
      </c>
      <c r="G3725" s="6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6" t="s">
        <v>44</v>
      </c>
      <c r="I3725" s="6" t="s">
        <v>1253</v>
      </c>
      <c r="J3725" s="6" t="s">
        <v>398</v>
      </c>
      <c r="K3725" s="10">
        <v>30.6</v>
      </c>
      <c r="L3725" s="10">
        <v>45</v>
      </c>
      <c r="M3725" s="6" t="s">
        <v>421</v>
      </c>
      <c r="N3725" s="6">
        <f>IF(OR($G3725="FCC",$G3725="Hydrocracker",$G3725="Reformer"),IF(COUNTIFS($D:$D,$D3725,$A:$A,$A3725,$B:$B,$B3725,$G:$G,"CDU",$J:$J,"PLANNED")&gt;0,"tied","standalone"),"")</f>
        <v/>
      </c>
    </row>
    <row r="3726" spans="1:14">
      <c r="A3726" s="6">
        <v>2024</v>
      </c>
      <c r="B3726" s="6">
        <v>5</v>
      </c>
      <c r="C3726" s="6" t="s">
        <v>64</v>
      </c>
      <c r="D3726" s="6" t="s">
        <v>518</v>
      </c>
      <c r="E3726" s="6" t="s">
        <v>419</v>
      </c>
      <c r="F3726" s="6" t="str">
        <f>IF($M3726="PADD I","PADD 1",IF($M3726="PADD II","PADD 2",IF($M3726="PADD III","PADD 3",IF($M3726="PADD IV","PADD 4",IF($M3726="PADD V","PADD 5","")))))</f>
        <v>PADD 3</v>
      </c>
      <c r="G3726" s="6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6" t="s">
        <v>426</v>
      </c>
      <c r="I3726" s="6" t="s">
        <v>523</v>
      </c>
      <c r="J3726" s="6" t="s">
        <v>394</v>
      </c>
      <c r="K3726" s="10">
        <v>30</v>
      </c>
      <c r="L3726" s="10">
        <v>30</v>
      </c>
      <c r="M3726" s="6" t="s">
        <v>421</v>
      </c>
      <c r="N3726" s="6" t="str">
        <f>IF(OR($G3726="FCC",$G3726="Hydrocracker",$G3726="Reformer"),IF(COUNTIFS($D:$D,$D3726,$A:$A,$A3726,$B:$B,$B3726,$G:$G,"CDU",$J:$J,"PLANNED")&gt;0,"tied","standalone"),"")</f>
        <v>standalone</v>
      </c>
    </row>
    <row r="3727" spans="1:14">
      <c r="A3727" s="6">
        <v>2024</v>
      </c>
      <c r="B3727" s="6">
        <v>5</v>
      </c>
      <c r="C3727" s="6" t="s">
        <v>64</v>
      </c>
      <c r="D3727" s="6" t="s">
        <v>696</v>
      </c>
      <c r="E3727" s="6" t="s">
        <v>455</v>
      </c>
      <c r="F3727" s="6" t="str">
        <f>IF($M3727="PADD I","PADD 1",IF($M3727="PADD II","PADD 2",IF($M3727="PADD III","PADD 3",IF($M3727="PADD IV","PADD 4",IF($M3727="PADD V","PADD 5","")))))</f>
        <v>PADD 3</v>
      </c>
      <c r="G3727" s="6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6" t="s">
        <v>44</v>
      </c>
      <c r="I3727" s="6" t="s">
        <v>893</v>
      </c>
      <c r="J3727" s="6" t="s">
        <v>394</v>
      </c>
      <c r="K3727" s="10">
        <v>30</v>
      </c>
      <c r="L3727" s="10">
        <v>30</v>
      </c>
      <c r="M3727" s="6" t="s">
        <v>421</v>
      </c>
      <c r="N3727" s="6">
        <f>IF(OR($G3727="FCC",$G3727="Hydrocracker",$G3727="Reformer"),IF(COUNTIFS($D:$D,$D3727,$A:$A,$A3727,$B:$B,$B3727,$G:$G,"CDU",$J:$J,"PLANNED")&gt;0,"tied","standalone"),"")</f>
        <v/>
      </c>
    </row>
    <row r="3728" spans="1:14">
      <c r="A3728" s="6">
        <v>2024</v>
      </c>
      <c r="B3728" s="6">
        <v>5</v>
      </c>
      <c r="C3728" s="6" t="s">
        <v>64</v>
      </c>
      <c r="D3728" s="6" t="s">
        <v>375</v>
      </c>
      <c r="E3728" s="6" t="s">
        <v>435</v>
      </c>
      <c r="F3728" s="6" t="str">
        <f>IF($M3728="PADD I","PADD 1",IF($M3728="PADD II","PADD 2",IF($M3728="PADD III","PADD 3",IF($M3728="PADD IV","PADD 4",IF($M3728="PADD V","PADD 5","")))))</f>
        <v>PADD 5</v>
      </c>
      <c r="G3728" s="6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6" t="s">
        <v>44</v>
      </c>
      <c r="I3728" s="6" t="s">
        <v>1224</v>
      </c>
      <c r="J3728" s="6" t="s">
        <v>398</v>
      </c>
      <c r="K3728" s="10">
        <v>27.61</v>
      </c>
      <c r="L3728" s="10">
        <v>50.2</v>
      </c>
      <c r="M3728" s="6" t="s">
        <v>436</v>
      </c>
      <c r="N3728" s="6">
        <f>IF(OR($G3728="FCC",$G3728="Hydrocracker",$G3728="Reformer"),IF(COUNTIFS($D:$D,$D3728,$A:$A,$A3728,$B:$B,$B3728,$G:$G,"CDU",$J:$J,"PLANNED")&gt;0,"tied","standalone"),"")</f>
        <v/>
      </c>
    </row>
    <row r="3729" spans="1:14">
      <c r="A3729" s="6">
        <v>2024</v>
      </c>
      <c r="B3729" s="6">
        <v>5</v>
      </c>
      <c r="C3729" s="6" t="s">
        <v>64</v>
      </c>
      <c r="D3729" s="6" t="s">
        <v>518</v>
      </c>
      <c r="E3729" s="6" t="s">
        <v>419</v>
      </c>
      <c r="F3729" s="6" t="str">
        <f>IF($M3729="PADD I","PADD 1",IF($M3729="PADD II","PADD 2",IF($M3729="PADD III","PADD 3",IF($M3729="PADD IV","PADD 4",IF($M3729="PADD V","PADD 5","")))))</f>
        <v>PADD 3</v>
      </c>
      <c r="G3729" s="6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6" t="s">
        <v>426</v>
      </c>
      <c r="I3729" s="6" t="s">
        <v>519</v>
      </c>
      <c r="J3729" s="6" t="s">
        <v>394</v>
      </c>
      <c r="K3729" s="10">
        <v>27</v>
      </c>
      <c r="L3729" s="10">
        <v>30</v>
      </c>
      <c r="M3729" s="6" t="s">
        <v>421</v>
      </c>
      <c r="N3729" s="6" t="str">
        <f>IF(OR($G3729="FCC",$G3729="Hydrocracker",$G3729="Reformer"),IF(COUNTIFS($D:$D,$D3729,$A:$A,$A3729,$B:$B,$B3729,$G:$G,"CDU",$J:$J,"PLANNED")&gt;0,"tied","standalone"),"")</f>
        <v>standalone</v>
      </c>
    </row>
    <row r="3730" spans="1:14">
      <c r="A3730" s="6">
        <v>2024</v>
      </c>
      <c r="B3730" s="6">
        <v>5</v>
      </c>
      <c r="C3730" s="6" t="s">
        <v>64</v>
      </c>
      <c r="D3730" s="6" t="s">
        <v>382</v>
      </c>
      <c r="E3730" s="6" t="s">
        <v>431</v>
      </c>
      <c r="F3730" s="6" t="str">
        <f>IF($M3730="PADD I","PADD 1",IF($M3730="PADD II","PADD 2",IF($M3730="PADD III","PADD 3",IF($M3730="PADD IV","PADD 4",IF($M3730="PADD V","PADD 5","")))))</f>
        <v>PADD 3</v>
      </c>
      <c r="G3730" s="6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6" t="s">
        <v>471</v>
      </c>
      <c r="I3730" s="6" t="s">
        <v>991</v>
      </c>
      <c r="J3730" s="6" t="s">
        <v>394</v>
      </c>
      <c r="K3730" s="10">
        <v>25.6</v>
      </c>
      <c r="L3730" s="10">
        <v>80</v>
      </c>
      <c r="M3730" s="6" t="s">
        <v>421</v>
      </c>
      <c r="N3730" s="6" t="str">
        <f>IF(OR($G3730="FCC",$G3730="Hydrocracker",$G3730="Reformer"),IF(COUNTIFS($D:$D,$D3730,$A:$A,$A3730,$B:$B,$B3730,$G:$G,"CDU",$J:$J,"PLANNED")&gt;0,"tied","standalone"),"")</f>
        <v>standalone</v>
      </c>
    </row>
    <row r="3731" spans="1:14">
      <c r="A3731" s="6">
        <v>2024</v>
      </c>
      <c r="B3731" s="6">
        <v>5</v>
      </c>
      <c r="C3731" s="6" t="s">
        <v>64</v>
      </c>
      <c r="D3731" s="6" t="s">
        <v>662</v>
      </c>
      <c r="E3731" s="6" t="s">
        <v>466</v>
      </c>
      <c r="F3731" s="6" t="str">
        <f>IF($M3731="PADD I","PADD 1",IF($M3731="PADD II","PADD 2",IF($M3731="PADD III","PADD 3",IF($M3731="PADD IV","PADD 4",IF($M3731="PADD V","PADD 5","")))))</f>
        <v>PADD 3</v>
      </c>
      <c r="G3731" s="6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6" t="s">
        <v>471</v>
      </c>
      <c r="I3731" s="6" t="s">
        <v>805</v>
      </c>
      <c r="J3731" s="6" t="s">
        <v>394</v>
      </c>
      <c r="K3731" s="10">
        <v>25.2</v>
      </c>
      <c r="L3731" s="10">
        <v>30</v>
      </c>
      <c r="M3731" s="6" t="s">
        <v>421</v>
      </c>
      <c r="N3731" s="6" t="str">
        <f>IF(OR($G3731="FCC",$G3731="Hydrocracker",$G3731="Reformer"),IF(COUNTIFS($D:$D,$D3731,$A:$A,$A3731,$B:$B,$B3731,$G:$G,"CDU",$J:$J,"PLANNED")&gt;0,"tied","standalone"),"")</f>
        <v>standalone</v>
      </c>
    </row>
    <row r="3732" spans="1:14">
      <c r="A3732" s="6">
        <v>2024</v>
      </c>
      <c r="B3732" s="6">
        <v>5</v>
      </c>
      <c r="C3732" s="6" t="s">
        <v>64</v>
      </c>
      <c r="D3732" s="6" t="s">
        <v>872</v>
      </c>
      <c r="E3732" s="6" t="s">
        <v>466</v>
      </c>
      <c r="F3732" s="6" t="str">
        <f>IF($M3732="PADD I","PADD 1",IF($M3732="PADD II","PADD 2",IF($M3732="PADD III","PADD 3",IF($M3732="PADD IV","PADD 4",IF($M3732="PADD V","PADD 5","")))))</f>
        <v>PADD 3</v>
      </c>
      <c r="G3732" s="6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6" t="s">
        <v>471</v>
      </c>
      <c r="I3732" s="6" t="s">
        <v>876</v>
      </c>
      <c r="J3732" s="6" t="s">
        <v>398</v>
      </c>
      <c r="K3732" s="10">
        <v>25.2</v>
      </c>
      <c r="L3732" s="10">
        <v>30</v>
      </c>
      <c r="M3732" s="6" t="s">
        <v>421</v>
      </c>
      <c r="N3732" s="6" t="str">
        <f>IF(OR($G3732="FCC",$G3732="Hydrocracker",$G3732="Reformer"),IF(COUNTIFS($D:$D,$D3732,$A:$A,$A3732,$B:$B,$B3732,$G:$G,"CDU",$J:$J,"PLANNED")&gt;0,"tied","standalone"),"")</f>
        <v>standalone</v>
      </c>
    </row>
    <row r="3733" spans="1:14">
      <c r="A3733" s="6">
        <v>2024</v>
      </c>
      <c r="B3733" s="6">
        <v>5</v>
      </c>
      <c r="C3733" s="6" t="s">
        <v>64</v>
      </c>
      <c r="D3733" s="6" t="s">
        <v>872</v>
      </c>
      <c r="E3733" s="6" t="s">
        <v>466</v>
      </c>
      <c r="F3733" s="6" t="str">
        <f>IF($M3733="PADD I","PADD 1",IF($M3733="PADD II","PADD 2",IF($M3733="PADD III","PADD 3",IF($M3733="PADD IV","PADD 4",IF($M3733="PADD V","PADD 5","")))))</f>
        <v>PADD 3</v>
      </c>
      <c r="G3733" s="6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6" t="s">
        <v>44</v>
      </c>
      <c r="I3733" s="6" t="s">
        <v>877</v>
      </c>
      <c r="J3733" s="6" t="s">
        <v>398</v>
      </c>
      <c r="K3733" s="10">
        <v>25.2</v>
      </c>
      <c r="L3733" s="10">
        <v>30</v>
      </c>
      <c r="M3733" s="6" t="s">
        <v>421</v>
      </c>
      <c r="N3733" s="6">
        <f>IF(OR($G3733="FCC",$G3733="Hydrocracker",$G3733="Reformer"),IF(COUNTIFS($D:$D,$D3733,$A:$A,$A3733,$B:$B,$B3733,$G:$G,"CDU",$J:$J,"PLANNED")&gt;0,"tied","standalone"),"")</f>
        <v/>
      </c>
    </row>
    <row r="3734" spans="1:14">
      <c r="A3734" s="6">
        <v>2024</v>
      </c>
      <c r="B3734" s="6">
        <v>5</v>
      </c>
      <c r="C3734" s="6" t="s">
        <v>64</v>
      </c>
      <c r="D3734" s="6" t="s">
        <v>375</v>
      </c>
      <c r="E3734" s="6" t="s">
        <v>435</v>
      </c>
      <c r="F3734" s="6" t="str">
        <f>IF($M3734="PADD I","PADD 1",IF($M3734="PADD II","PADD 2",IF($M3734="PADD III","PADD 3",IF($M3734="PADD IV","PADD 4",IF($M3734="PADD V","PADD 5","")))))</f>
        <v>PADD 5</v>
      </c>
      <c r="G3734" s="6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6" t="s">
        <v>39</v>
      </c>
      <c r="I3734" s="6" t="s">
        <v>94</v>
      </c>
      <c r="J3734" s="6" t="s">
        <v>398</v>
      </c>
      <c r="K3734" s="10">
        <v>24.8</v>
      </c>
      <c r="L3734" s="10">
        <v>155</v>
      </c>
      <c r="M3734" s="6" t="s">
        <v>436</v>
      </c>
      <c r="N3734" s="6">
        <f>IF(OR($G3734="FCC",$G3734="Hydrocracker",$G3734="Reformer"),IF(COUNTIFS($D:$D,$D3734,$A:$A,$A3734,$B:$B,$B3734,$G:$G,"CDU",$J:$J,"PLANNED")&gt;0,"tied","standalone"),"")</f>
        <v/>
      </c>
    </row>
    <row r="3735" spans="1:14">
      <c r="A3735" s="6">
        <v>2024</v>
      </c>
      <c r="B3735" s="6">
        <v>5</v>
      </c>
      <c r="C3735" s="6" t="s">
        <v>64</v>
      </c>
      <c r="D3735" s="6" t="s">
        <v>764</v>
      </c>
      <c r="E3735" s="6" t="s">
        <v>455</v>
      </c>
      <c r="F3735" s="6" t="str">
        <f>IF($M3735="PADD I","PADD 1",IF($M3735="PADD II","PADD 2",IF($M3735="PADD III","PADD 3",IF($M3735="PADD IV","PADD 4",IF($M3735="PADD V","PADD 5","")))))</f>
        <v>PADD 3</v>
      </c>
      <c r="G3735" s="6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6" t="s">
        <v>426</v>
      </c>
      <c r="I3735" s="6" t="s">
        <v>106</v>
      </c>
      <c r="J3735" s="6" t="s">
        <v>394</v>
      </c>
      <c r="K3735" s="10">
        <v>24.32</v>
      </c>
      <c r="L3735" s="10">
        <v>76</v>
      </c>
      <c r="M3735" s="6" t="s">
        <v>421</v>
      </c>
      <c r="N3735" s="6" t="str">
        <f>IF(OR($G3735="FCC",$G3735="Hydrocracker",$G3735="Reformer"),IF(COUNTIFS($D:$D,$D3735,$A:$A,$A3735,$B:$B,$B3735,$G:$G,"CDU",$J:$J,"PLANNED")&gt;0,"tied","standalone"),"")</f>
        <v>standalone</v>
      </c>
    </row>
    <row r="3736" spans="1:14">
      <c r="A3736" s="6">
        <v>2024</v>
      </c>
      <c r="B3736" s="6">
        <v>5</v>
      </c>
      <c r="C3736" s="6" t="s">
        <v>64</v>
      </c>
      <c r="D3736" s="6" t="s">
        <v>430</v>
      </c>
      <c r="E3736" s="6" t="s">
        <v>431</v>
      </c>
      <c r="F3736" s="6" t="str">
        <f>IF($M3736="PADD I","PADD 1",IF($M3736="PADD II","PADD 2",IF($M3736="PADD III","PADD 3",IF($M3736="PADD IV","PADD 4",IF($M3736="PADD V","PADD 5","")))))</f>
        <v>PADD 3</v>
      </c>
      <c r="G3736" s="6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6" t="s">
        <v>428</v>
      </c>
      <c r="I3736" s="6" t="s">
        <v>1176</v>
      </c>
      <c r="J3736" s="6" t="s">
        <v>394</v>
      </c>
      <c r="K3736" s="10">
        <v>24.3</v>
      </c>
      <c r="L3736" s="10">
        <v>54</v>
      </c>
      <c r="M3736" s="6" t="s">
        <v>421</v>
      </c>
      <c r="N3736" s="6">
        <f>IF(OR($G3736="FCC",$G3736="Hydrocracker",$G3736="Reformer"),IF(COUNTIFS($D:$D,$D3736,$A:$A,$A3736,$B:$B,$B3736,$G:$G,"CDU",$J:$J,"PLANNED")&gt;0,"tied","standalone"),"")</f>
        <v/>
      </c>
    </row>
    <row r="3737" spans="1:14">
      <c r="A3737" s="6">
        <v>2024</v>
      </c>
      <c r="B3737" s="6">
        <v>5</v>
      </c>
      <c r="C3737" s="6" t="s">
        <v>64</v>
      </c>
      <c r="D3737" s="6" t="s">
        <v>726</v>
      </c>
      <c r="E3737" s="6" t="s">
        <v>727</v>
      </c>
      <c r="F3737" s="6" t="str">
        <f>IF($M3737="PADD I","PADD 1",IF($M3737="PADD II","PADD 2",IF($M3737="PADD III","PADD 3",IF($M3737="PADD IV","PADD 4",IF($M3737="PADD V","PADD 5","")))))</f>
        <v>PADD 1</v>
      </c>
      <c r="G3737" s="6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6" t="s">
        <v>44</v>
      </c>
      <c r="I3737" s="6" t="s">
        <v>1067</v>
      </c>
      <c r="J3737" s="6" t="s">
        <v>398</v>
      </c>
      <c r="K3737" s="10">
        <v>23.4</v>
      </c>
      <c r="L3737" s="10">
        <v>45</v>
      </c>
      <c r="M3737" s="6" t="s">
        <v>463</v>
      </c>
      <c r="N3737" s="6">
        <f>IF(OR($G3737="FCC",$G3737="Hydrocracker",$G3737="Reformer"),IF(COUNTIFS($D:$D,$D3737,$A:$A,$A3737,$B:$B,$B3737,$G:$G,"CDU",$J:$J,"PLANNED")&gt;0,"tied","standalone"),"")</f>
        <v/>
      </c>
    </row>
    <row r="3738" spans="1:14">
      <c r="A3738" s="6">
        <v>2024</v>
      </c>
      <c r="B3738" s="6">
        <v>5</v>
      </c>
      <c r="C3738" s="6" t="s">
        <v>64</v>
      </c>
      <c r="D3738" s="6" t="s">
        <v>375</v>
      </c>
      <c r="E3738" s="6" t="s">
        <v>435</v>
      </c>
      <c r="F3738" s="6" t="str">
        <f>IF($M3738="PADD I","PADD 1",IF($M3738="PADD II","PADD 2",IF($M3738="PADD III","PADD 3",IF($M3738="PADD IV","PADD 4",IF($M3738="PADD V","PADD 5","")))))</f>
        <v>PADD 5</v>
      </c>
      <c r="G3738" s="6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6" t="s">
        <v>494</v>
      </c>
      <c r="I3738" s="6" t="s">
        <v>548</v>
      </c>
      <c r="J3738" s="6" t="s">
        <v>398</v>
      </c>
      <c r="K3738" s="10">
        <v>23.1</v>
      </c>
      <c r="L3738" s="10">
        <v>42</v>
      </c>
      <c r="M3738" s="6" t="s">
        <v>436</v>
      </c>
      <c r="N3738" s="6" t="str">
        <f>IF(OR($G3738="FCC",$G3738="Hydrocracker",$G3738="Reformer"),IF(COUNTIFS($D:$D,$D3738,$A:$A,$A3738,$B:$B,$B3738,$G:$G,"CDU",$J:$J,"PLANNED")&gt;0,"tied","standalone"),"")</f>
        <v>tied</v>
      </c>
    </row>
    <row r="3739" spans="1:14">
      <c r="A3739" s="6">
        <v>2024</v>
      </c>
      <c r="B3739" s="6">
        <v>5</v>
      </c>
      <c r="C3739" s="6" t="s">
        <v>64</v>
      </c>
      <c r="D3739" s="6" t="s">
        <v>597</v>
      </c>
      <c r="E3739" s="6" t="s">
        <v>441</v>
      </c>
      <c r="F3739" s="6" t="str">
        <f>IF($M3739="PADD I","PADD 1",IF($M3739="PADD II","PADD 2",IF($M3739="PADD III","PADD 3",IF($M3739="PADD IV","PADD 4",IF($M3739="PADD V","PADD 5","")))))</f>
        <v>PADD 5</v>
      </c>
      <c r="G3739" s="6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6" t="s">
        <v>494</v>
      </c>
      <c r="I3739" s="6" t="s">
        <v>784</v>
      </c>
      <c r="J3739" s="6" t="s">
        <v>394</v>
      </c>
      <c r="K3739" s="10">
        <v>22.88</v>
      </c>
      <c r="L3739" s="10">
        <v>44</v>
      </c>
      <c r="M3739" s="6" t="s">
        <v>436</v>
      </c>
      <c r="N3739" s="6" t="str">
        <f>IF(OR($G3739="FCC",$G3739="Hydrocracker",$G3739="Reformer"),IF(COUNTIFS($D:$D,$D3739,$A:$A,$A3739,$B:$B,$B3739,$G:$G,"CDU",$J:$J,"PLANNED")&gt;0,"tied","standalone"),"")</f>
        <v>standalone</v>
      </c>
    </row>
    <row r="3740" spans="1:14">
      <c r="A3740" s="6">
        <v>2024</v>
      </c>
      <c r="B3740" s="6">
        <v>5</v>
      </c>
      <c r="C3740" s="6" t="s">
        <v>64</v>
      </c>
      <c r="D3740" s="6" t="s">
        <v>370</v>
      </c>
      <c r="E3740" s="6" t="s">
        <v>431</v>
      </c>
      <c r="F3740" s="6" t="str">
        <f>IF($M3740="PADD I","PADD 1",IF($M3740="PADD II","PADD 2",IF($M3740="PADD III","PADD 3",IF($M3740="PADD IV","PADD 4",IF($M3740="PADD V","PADD 5","")))))</f>
        <v>PADD 2</v>
      </c>
      <c r="G3740" s="6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6" t="s">
        <v>471</v>
      </c>
      <c r="I3740" s="6" t="s">
        <v>240</v>
      </c>
      <c r="J3740" s="6" t="s">
        <v>394</v>
      </c>
      <c r="K3740" s="10">
        <v>21</v>
      </c>
      <c r="L3740" s="10">
        <v>50</v>
      </c>
      <c r="M3740" s="6" t="s">
        <v>425</v>
      </c>
      <c r="N3740" s="6" t="str">
        <f>IF(OR($G3740="FCC",$G3740="Hydrocracker",$G3740="Reformer"),IF(COUNTIFS($D:$D,$D3740,$A:$A,$A3740,$B:$B,$B3740,$G:$G,"CDU",$J:$J,"PLANNED")&gt;0,"tied","standalone"),"")</f>
        <v>tied</v>
      </c>
    </row>
    <row r="3741" spans="1:14">
      <c r="A3741" s="6">
        <v>2024</v>
      </c>
      <c r="B3741" s="6">
        <v>5</v>
      </c>
      <c r="C3741" s="6" t="s">
        <v>64</v>
      </c>
      <c r="D3741" s="6" t="s">
        <v>465</v>
      </c>
      <c r="E3741" s="6" t="s">
        <v>466</v>
      </c>
      <c r="F3741" s="6" t="str">
        <f>IF($M3741="PADD I","PADD 1",IF($M3741="PADD II","PADD 2",IF($M3741="PADD III","PADD 3",IF($M3741="PADD IV","PADD 4",IF($M3741="PADD V","PADD 5","")))))</f>
        <v>PADD 3</v>
      </c>
      <c r="G3741" s="6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6" t="s">
        <v>428</v>
      </c>
      <c r="I3741" s="6" t="s">
        <v>467</v>
      </c>
      <c r="J3741" s="6" t="s">
        <v>394</v>
      </c>
      <c r="K3741" s="10">
        <v>21</v>
      </c>
      <c r="L3741" s="10">
        <v>50</v>
      </c>
      <c r="M3741" s="6" t="s">
        <v>421</v>
      </c>
      <c r="N3741" s="6">
        <f>IF(OR($G3741="FCC",$G3741="Hydrocracker",$G3741="Reformer"),IF(COUNTIFS($D:$D,$D3741,$A:$A,$A3741,$B:$B,$B3741,$G:$G,"CDU",$J:$J,"PLANNED")&gt;0,"tied","standalone"),"")</f>
        <v/>
      </c>
    </row>
    <row r="3742" spans="1:14">
      <c r="A3742" s="6">
        <v>2024</v>
      </c>
      <c r="B3742" s="6">
        <v>5</v>
      </c>
      <c r="C3742" s="6" t="s">
        <v>64</v>
      </c>
      <c r="D3742" s="6" t="s">
        <v>382</v>
      </c>
      <c r="E3742" s="6" t="s">
        <v>431</v>
      </c>
      <c r="F3742" s="6" t="str">
        <f>IF($M3742="PADD I","PADD 1",IF($M3742="PADD II","PADD 2",IF($M3742="PADD III","PADD 3",IF($M3742="PADD IV","PADD 4",IF($M3742="PADD V","PADD 5","")))))</f>
        <v>PADD 3</v>
      </c>
      <c r="G3742" s="6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6" t="s">
        <v>44</v>
      </c>
      <c r="I3742" s="6" t="s">
        <v>993</v>
      </c>
      <c r="J3742" s="6" t="s">
        <v>398</v>
      </c>
      <c r="K3742" s="10">
        <v>20.8</v>
      </c>
      <c r="L3742" s="10">
        <v>40</v>
      </c>
      <c r="M3742" s="6" t="s">
        <v>421</v>
      </c>
      <c r="N3742" s="6">
        <f>IF(OR($G3742="FCC",$G3742="Hydrocracker",$G3742="Reformer"),IF(COUNTIFS($D:$D,$D3742,$A:$A,$A3742,$B:$B,$B3742,$G:$G,"CDU",$J:$J,"PLANNED")&gt;0,"tied","standalone"),"")</f>
        <v/>
      </c>
    </row>
    <row r="3743" spans="1:14">
      <c r="A3743" s="6">
        <v>2024</v>
      </c>
      <c r="B3743" s="6">
        <v>5</v>
      </c>
      <c r="C3743" s="6" t="s">
        <v>64</v>
      </c>
      <c r="D3743" s="6" t="s">
        <v>662</v>
      </c>
      <c r="E3743" s="6" t="s">
        <v>466</v>
      </c>
      <c r="F3743" s="6" t="str">
        <f>IF($M3743="PADD I","PADD 1",IF($M3743="PADD II","PADD 2",IF($M3743="PADD III","PADD 3",IF($M3743="PADD IV","PADD 4",IF($M3743="PADD V","PADD 5","")))))</f>
        <v>PADD 3</v>
      </c>
      <c r="G3743" s="6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6" t="s">
        <v>44</v>
      </c>
      <c r="I3743" s="6" t="s">
        <v>887</v>
      </c>
      <c r="J3743" s="6" t="s">
        <v>398</v>
      </c>
      <c r="K3743" s="10">
        <v>19.4</v>
      </c>
      <c r="L3743" s="10">
        <v>20</v>
      </c>
      <c r="M3743" s="6" t="s">
        <v>421</v>
      </c>
      <c r="N3743" s="6">
        <f>IF(OR($G3743="FCC",$G3743="Hydrocracker",$G3743="Reformer"),IF(COUNTIFS($D:$D,$D3743,$A:$A,$A3743,$B:$B,$B3743,$G:$G,"CDU",$J:$J,"PLANNED")&gt;0,"tied","standalone"),"")</f>
        <v/>
      </c>
    </row>
    <row r="3744" spans="1:14">
      <c r="A3744" s="6">
        <v>2024</v>
      </c>
      <c r="B3744" s="6">
        <v>5</v>
      </c>
      <c r="C3744" s="6" t="s">
        <v>64</v>
      </c>
      <c r="D3744" s="6" t="s">
        <v>518</v>
      </c>
      <c r="E3744" s="6" t="s">
        <v>419</v>
      </c>
      <c r="F3744" s="6" t="str">
        <f>IF($M3744="PADD I","PADD 1",IF($M3744="PADD II","PADD 2",IF($M3744="PADD III","PADD 3",IF($M3744="PADD IV","PADD 4",IF($M3744="PADD V","PADD 5","")))))</f>
        <v>PADD 3</v>
      </c>
      <c r="G3744" s="6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6" t="s">
        <v>44</v>
      </c>
      <c r="I3744" s="6" t="s">
        <v>1078</v>
      </c>
      <c r="J3744" s="6" t="s">
        <v>398</v>
      </c>
      <c r="K3744" s="10">
        <v>18.7</v>
      </c>
      <c r="L3744" s="10">
        <v>34</v>
      </c>
      <c r="M3744" s="6" t="s">
        <v>421</v>
      </c>
      <c r="N3744" s="6">
        <f>IF(OR($G3744="FCC",$G3744="Hydrocracker",$G3744="Reformer"),IF(COUNTIFS($D:$D,$D3744,$A:$A,$A3744,$B:$B,$B3744,$G:$G,"CDU",$J:$J,"PLANNED")&gt;0,"tied","standalone"),"")</f>
        <v/>
      </c>
    </row>
    <row r="3745" spans="1:14">
      <c r="A3745" s="6">
        <v>2024</v>
      </c>
      <c r="B3745" s="6">
        <v>5</v>
      </c>
      <c r="C3745" s="6" t="s">
        <v>64</v>
      </c>
      <c r="D3745" s="6" t="s">
        <v>773</v>
      </c>
      <c r="E3745" s="6" t="s">
        <v>774</v>
      </c>
      <c r="F3745" s="6" t="str">
        <f>IF($M3745="PADD I","PADD 1",IF($M3745="PADD II","PADD 2",IF($M3745="PADD III","PADD 3",IF($M3745="PADD IV","PADD 4",IF($M3745="PADD V","PADD 5","")))))</f>
        <v>PADD 4</v>
      </c>
      <c r="G3745" s="6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6" t="s">
        <v>39</v>
      </c>
      <c r="I3745" s="6" t="s">
        <v>82</v>
      </c>
      <c r="J3745" s="6" t="s">
        <v>398</v>
      </c>
      <c r="K3745" s="10">
        <v>18.56</v>
      </c>
      <c r="L3745" s="10">
        <v>58</v>
      </c>
      <c r="M3745" s="6" t="s">
        <v>480</v>
      </c>
      <c r="N3745" s="6">
        <f>IF(OR($G3745="FCC",$G3745="Hydrocracker",$G3745="Reformer"),IF(COUNTIFS($D:$D,$D3745,$A:$A,$A3745,$B:$B,$B3745,$G:$G,"CDU",$J:$J,"PLANNED")&gt;0,"tied","standalone"),"")</f>
        <v/>
      </c>
    </row>
    <row r="3746" spans="1:14">
      <c r="A3746" s="6">
        <v>2024</v>
      </c>
      <c r="B3746" s="6">
        <v>5</v>
      </c>
      <c r="C3746" s="6" t="s">
        <v>64</v>
      </c>
      <c r="D3746" s="6" t="s">
        <v>370</v>
      </c>
      <c r="E3746" s="6" t="s">
        <v>431</v>
      </c>
      <c r="F3746" s="6" t="str">
        <f>IF($M3746="PADD I","PADD 1",IF($M3746="PADD II","PADD 2",IF($M3746="PADD III","PADD 3",IF($M3746="PADD IV","PADD 4",IF($M3746="PADD V","PADD 5","")))))</f>
        <v>PADD 2</v>
      </c>
      <c r="G3746" s="6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6" t="s">
        <v>44</v>
      </c>
      <c r="I3746" s="6" t="s">
        <v>1220</v>
      </c>
      <c r="J3746" s="6" t="s">
        <v>398</v>
      </c>
      <c r="K3746" s="10">
        <v>17</v>
      </c>
      <c r="L3746" s="10">
        <v>25</v>
      </c>
      <c r="M3746" s="6" t="s">
        <v>425</v>
      </c>
      <c r="N3746" s="6">
        <f>IF(OR($G3746="FCC",$G3746="Hydrocracker",$G3746="Reformer"),IF(COUNTIFS($D:$D,$D3746,$A:$A,$A3746,$B:$B,$B3746,$G:$G,"CDU",$J:$J,"PLANNED")&gt;0,"tied","standalone"),"")</f>
        <v/>
      </c>
    </row>
    <row r="3747" spans="1:14">
      <c r="A3747" s="6">
        <v>2024</v>
      </c>
      <c r="B3747" s="6">
        <v>5</v>
      </c>
      <c r="C3747" s="6" t="s">
        <v>64</v>
      </c>
      <c r="D3747" s="6" t="s">
        <v>375</v>
      </c>
      <c r="E3747" s="6" t="s">
        <v>435</v>
      </c>
      <c r="F3747" s="6" t="str">
        <f>IF($M3747="PADD I","PADD 1",IF($M3747="PADD II","PADD 2",IF($M3747="PADD III","PADD 3",IF($M3747="PADD IV","PADD 4",IF($M3747="PADD V","PADD 5","")))))</f>
        <v>PADD 5</v>
      </c>
      <c r="G3747" s="6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6" t="s">
        <v>471</v>
      </c>
      <c r="I3747" s="6" t="s">
        <v>15</v>
      </c>
      <c r="J3747" s="6" t="s">
        <v>398</v>
      </c>
      <c r="K3747" s="10">
        <v>16.225</v>
      </c>
      <c r="L3747" s="10">
        <v>29.5</v>
      </c>
      <c r="M3747" s="6" t="s">
        <v>436</v>
      </c>
      <c r="N3747" s="6" t="str">
        <f>IF(OR($G3747="FCC",$G3747="Hydrocracker",$G3747="Reformer"),IF(COUNTIFS($D:$D,$D3747,$A:$A,$A3747,$B:$B,$B3747,$G:$G,"CDU",$J:$J,"PLANNED")&gt;0,"tied","standalone"),"")</f>
        <v>tied</v>
      </c>
    </row>
    <row r="3748" spans="1:14">
      <c r="A3748" s="6">
        <v>2024</v>
      </c>
      <c r="B3748" s="6">
        <v>5</v>
      </c>
      <c r="C3748" s="6" t="s">
        <v>64</v>
      </c>
      <c r="D3748" s="6" t="s">
        <v>884</v>
      </c>
      <c r="E3748" s="6" t="s">
        <v>455</v>
      </c>
      <c r="F3748" s="6" t="str">
        <f>IF($M3748="PADD I","PADD 1",IF($M3748="PADD II","PADD 2",IF($M3748="PADD III","PADD 3",IF($M3748="PADD IV","PADD 4",IF($M3748="PADD V","PADD 5","")))))</f>
        <v>PADD 3</v>
      </c>
      <c r="G3748" s="6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6" t="s">
        <v>44</v>
      </c>
      <c r="I3748" s="6" t="s">
        <v>499</v>
      </c>
      <c r="J3748" s="6" t="s">
        <v>394</v>
      </c>
      <c r="K3748" s="10">
        <v>16</v>
      </c>
      <c r="L3748" s="10">
        <v>50</v>
      </c>
      <c r="M3748" s="6" t="s">
        <v>421</v>
      </c>
      <c r="N3748" s="6">
        <f>IF(OR($G3748="FCC",$G3748="Hydrocracker",$G3748="Reformer"),IF(COUNTIFS($D:$D,$D3748,$A:$A,$A3748,$B:$B,$B3748,$G:$G,"CDU",$J:$J,"PLANNED")&gt;0,"tied","standalone"),"")</f>
        <v/>
      </c>
    </row>
    <row r="3749" spans="1:14">
      <c r="A3749" s="6">
        <v>2024</v>
      </c>
      <c r="B3749" s="6">
        <v>5</v>
      </c>
      <c r="C3749" s="6" t="s">
        <v>64</v>
      </c>
      <c r="D3749" s="6" t="s">
        <v>822</v>
      </c>
      <c r="E3749" s="6" t="s">
        <v>455</v>
      </c>
      <c r="F3749" s="6" t="str">
        <f>IF($M3749="PADD I","PADD 1",IF($M3749="PADD II","PADD 2",IF($M3749="PADD III","PADD 3",IF($M3749="PADD IV","PADD 4",IF($M3749="PADD V","PADD 5","")))))</f>
        <v>PADD 3</v>
      </c>
      <c r="G3749" s="6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6" t="s">
        <v>426</v>
      </c>
      <c r="I3749" s="6" t="s">
        <v>823</v>
      </c>
      <c r="J3749" s="6" t="s">
        <v>394</v>
      </c>
      <c r="K3749" s="10">
        <v>15.36</v>
      </c>
      <c r="L3749" s="10">
        <v>96</v>
      </c>
      <c r="M3749" s="6" t="s">
        <v>421</v>
      </c>
      <c r="N3749" s="6" t="str">
        <f>IF(OR($G3749="FCC",$G3749="Hydrocracker",$G3749="Reformer"),IF(COUNTIFS($D:$D,$D3749,$A:$A,$A3749,$B:$B,$B3749,$G:$G,"CDU",$J:$J,"PLANNED")&gt;0,"tied","standalone"),"")</f>
        <v>standalone</v>
      </c>
    </row>
    <row r="3750" spans="1:14">
      <c r="A3750" s="6">
        <v>2024</v>
      </c>
      <c r="B3750" s="6">
        <v>5</v>
      </c>
      <c r="C3750" s="6" t="s">
        <v>64</v>
      </c>
      <c r="D3750" s="6" t="s">
        <v>720</v>
      </c>
      <c r="E3750" s="6" t="s">
        <v>455</v>
      </c>
      <c r="F3750" s="6" t="str">
        <f>IF($M3750="PADD I","PADD 1",IF($M3750="PADD II","PADD 2",IF($M3750="PADD III","PADD 3",IF($M3750="PADD IV","PADD 4",IF($M3750="PADD V","PADD 5","")))))</f>
        <v>PADD 2</v>
      </c>
      <c r="G3750" s="6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6" t="s">
        <v>39</v>
      </c>
      <c r="I3750" s="6" t="s">
        <v>139</v>
      </c>
      <c r="J3750" s="6" t="s">
        <v>398</v>
      </c>
      <c r="K3750" s="10">
        <v>15.2</v>
      </c>
      <c r="L3750" s="10">
        <v>80</v>
      </c>
      <c r="M3750" s="6" t="s">
        <v>425</v>
      </c>
      <c r="N3750" s="6">
        <f>IF(OR($G3750="FCC",$G3750="Hydrocracker",$G3750="Reformer"),IF(COUNTIFS($D:$D,$D3750,$A:$A,$A3750,$B:$B,$B3750,$G:$G,"CDU",$J:$J,"PLANNED")&gt;0,"tied","standalone"),"")</f>
        <v/>
      </c>
    </row>
    <row r="3751" spans="1:14">
      <c r="A3751" s="6">
        <v>2024</v>
      </c>
      <c r="B3751" s="6">
        <v>5</v>
      </c>
      <c r="C3751" s="6" t="s">
        <v>64</v>
      </c>
      <c r="D3751" s="6" t="s">
        <v>382</v>
      </c>
      <c r="E3751" s="6" t="s">
        <v>431</v>
      </c>
      <c r="F3751" s="6" t="str">
        <f>IF($M3751="PADD I","PADD 1",IF($M3751="PADD II","PADD 2",IF($M3751="PADD III","PADD 3",IF($M3751="PADD IV","PADD 4",IF($M3751="PADD V","PADD 5","")))))</f>
        <v>PADD 3</v>
      </c>
      <c r="G3751" s="6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6" t="s">
        <v>471</v>
      </c>
      <c r="I3751" s="6" t="s">
        <v>598</v>
      </c>
      <c r="J3751" s="6" t="s">
        <v>394</v>
      </c>
      <c r="K3751" s="10">
        <v>15.2</v>
      </c>
      <c r="L3751" s="10">
        <v>80</v>
      </c>
      <c r="M3751" s="6" t="s">
        <v>421</v>
      </c>
      <c r="N3751" s="6" t="str">
        <f>IF(OR($G3751="FCC",$G3751="Hydrocracker",$G3751="Reformer"),IF(COUNTIFS($D:$D,$D3751,$A:$A,$A3751,$B:$B,$B3751,$G:$G,"CDU",$J:$J,"PLANNED")&gt;0,"tied","standalone"),"")</f>
        <v>standalone</v>
      </c>
    </row>
    <row r="3752" spans="1:14">
      <c r="A3752" s="6">
        <v>2024</v>
      </c>
      <c r="B3752" s="6">
        <v>5</v>
      </c>
      <c r="C3752" s="6" t="s">
        <v>64</v>
      </c>
      <c r="D3752" s="6" t="s">
        <v>812</v>
      </c>
      <c r="E3752" s="6" t="s">
        <v>813</v>
      </c>
      <c r="F3752" s="6" t="str">
        <f>IF($M3752="PADD I","PADD 1",IF($M3752="PADD II","PADD 2",IF($M3752="PADD III","PADD 3",IF($M3752="PADD IV","PADD 4",IF($M3752="PADD V","PADD 5","")))))</f>
        <v>PADD 2</v>
      </c>
      <c r="G3752" s="6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6" t="s">
        <v>428</v>
      </c>
      <c r="I3752" s="6" t="s">
        <v>862</v>
      </c>
      <c r="J3752" s="6" t="s">
        <v>394</v>
      </c>
      <c r="K3752" s="10">
        <v>15</v>
      </c>
      <c r="L3752" s="10">
        <v>15</v>
      </c>
      <c r="M3752" s="6" t="s">
        <v>425</v>
      </c>
      <c r="N3752" s="6">
        <f>IF(OR($G3752="FCC",$G3752="Hydrocracker",$G3752="Reformer"),IF(COUNTIFS($D:$D,$D3752,$A:$A,$A3752,$B:$B,$B3752,$G:$G,"CDU",$J:$J,"PLANNED")&gt;0,"tied","standalone"),"")</f>
        <v/>
      </c>
    </row>
    <row r="3753" spans="1:14">
      <c r="A3753" s="6">
        <v>2024</v>
      </c>
      <c r="B3753" s="6">
        <v>5</v>
      </c>
      <c r="C3753" s="6" t="s">
        <v>64</v>
      </c>
      <c r="D3753" s="6" t="s">
        <v>375</v>
      </c>
      <c r="E3753" s="6" t="s">
        <v>435</v>
      </c>
      <c r="F3753" s="6" t="str">
        <f>IF($M3753="PADD I","PADD 1",IF($M3753="PADD II","PADD 2",IF($M3753="PADD III","PADD 3",IF($M3753="PADD IV","PADD 4",IF($M3753="PADD V","PADD 5","")))))</f>
        <v>PADD 5</v>
      </c>
      <c r="G3753" s="6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6" t="s">
        <v>44</v>
      </c>
      <c r="I3753" s="6" t="s">
        <v>1233</v>
      </c>
      <c r="J3753" s="6" t="s">
        <v>398</v>
      </c>
      <c r="K3753" s="10">
        <v>14.3</v>
      </c>
      <c r="L3753" s="10">
        <v>26</v>
      </c>
      <c r="M3753" s="6" t="s">
        <v>436</v>
      </c>
      <c r="N3753" s="6">
        <f>IF(OR($G3753="FCC",$G3753="Hydrocracker",$G3753="Reformer"),IF(COUNTIFS($D:$D,$D3753,$A:$A,$A3753,$B:$B,$B3753,$G:$G,"CDU",$J:$J,"PLANNED")&gt;0,"tied","standalone"),"")</f>
        <v/>
      </c>
    </row>
    <row r="3754" spans="1:14">
      <c r="A3754" s="6">
        <v>2024</v>
      </c>
      <c r="B3754" s="6">
        <v>5</v>
      </c>
      <c r="C3754" s="6" t="s">
        <v>64</v>
      </c>
      <c r="D3754" s="6" t="s">
        <v>518</v>
      </c>
      <c r="E3754" s="6" t="s">
        <v>419</v>
      </c>
      <c r="F3754" s="6" t="str">
        <f>IF($M3754="PADD I","PADD 1",IF($M3754="PADD II","PADD 2",IF($M3754="PADD III","PADD 3",IF($M3754="PADD IV","PADD 4",IF($M3754="PADD V","PADD 5","")))))</f>
        <v>PADD 3</v>
      </c>
      <c r="G3754" s="6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6" t="s">
        <v>44</v>
      </c>
      <c r="I3754" s="6" t="s">
        <v>1226</v>
      </c>
      <c r="J3754" s="6" t="s">
        <v>398</v>
      </c>
      <c r="K3754" s="10">
        <v>13.65</v>
      </c>
      <c r="L3754" s="10">
        <v>35</v>
      </c>
      <c r="M3754" s="6" t="s">
        <v>421</v>
      </c>
      <c r="N3754" s="6">
        <f>IF(OR($G3754="FCC",$G3754="Hydrocracker",$G3754="Reformer"),IF(COUNTIFS($D:$D,$D3754,$A:$A,$A3754,$B:$B,$B3754,$G:$G,"CDU",$J:$J,"PLANNED")&gt;0,"tied","standalone"),"")</f>
        <v/>
      </c>
    </row>
    <row r="3755" spans="1:14">
      <c r="A3755" s="6">
        <v>2024</v>
      </c>
      <c r="B3755" s="6">
        <v>5</v>
      </c>
      <c r="C3755" s="6" t="s">
        <v>64</v>
      </c>
      <c r="D3755" s="6" t="s">
        <v>812</v>
      </c>
      <c r="E3755" s="6" t="s">
        <v>813</v>
      </c>
      <c r="F3755" s="6" t="str">
        <f>IF($M3755="PADD I","PADD 1",IF($M3755="PADD II","PADD 2",IF($M3755="PADD III","PADD 3",IF($M3755="PADD IV","PADD 4",IF($M3755="PADD V","PADD 5","")))))</f>
        <v>PADD 2</v>
      </c>
      <c r="G3755" s="6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6" t="s">
        <v>44</v>
      </c>
      <c r="I3755" s="6" t="s">
        <v>1105</v>
      </c>
      <c r="J3755" s="6" t="s">
        <v>394</v>
      </c>
      <c r="K3755" s="10">
        <v>13</v>
      </c>
      <c r="L3755" s="10">
        <v>13</v>
      </c>
      <c r="M3755" s="6" t="s">
        <v>425</v>
      </c>
      <c r="N3755" s="6">
        <f>IF(OR($G3755="FCC",$G3755="Hydrocracker",$G3755="Reformer"),IF(COUNTIFS($D:$D,$D3755,$A:$A,$A3755,$B:$B,$B3755,$G:$G,"CDU",$J:$J,"PLANNED")&gt;0,"tied","standalone"),"")</f>
        <v/>
      </c>
    </row>
    <row r="3756" spans="1:14">
      <c r="A3756" s="6">
        <v>2024</v>
      </c>
      <c r="B3756" s="6">
        <v>5</v>
      </c>
      <c r="C3756" s="6" t="s">
        <v>64</v>
      </c>
      <c r="D3756" s="6" t="s">
        <v>375</v>
      </c>
      <c r="E3756" s="6" t="s">
        <v>435</v>
      </c>
      <c r="F3756" s="6" t="str">
        <f>IF($M3756="PADD I","PADD 1",IF($M3756="PADD II","PADD 2",IF($M3756="PADD III","PADD 3",IF($M3756="PADD IV","PADD 4",IF($M3756="PADD V","PADD 5","")))))</f>
        <v>PADD 5</v>
      </c>
      <c r="G3756" s="6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6" t="s">
        <v>485</v>
      </c>
      <c r="I3756" s="6" t="s">
        <v>491</v>
      </c>
      <c r="J3756" s="6" t="s">
        <v>398</v>
      </c>
      <c r="K3756" s="10">
        <v>12.1</v>
      </c>
      <c r="L3756" s="10">
        <v>22</v>
      </c>
      <c r="M3756" s="6" t="s">
        <v>436</v>
      </c>
      <c r="N3756" s="6">
        <f>IF(OR($G3756="FCC",$G3756="Hydrocracker",$G3756="Reformer"),IF(COUNTIFS($D:$D,$D3756,$A:$A,$A3756,$B:$B,$B3756,$G:$G,"CDU",$J:$J,"PLANNED")&gt;0,"tied","standalone"),"")</f>
        <v/>
      </c>
    </row>
    <row r="3757" spans="1:14">
      <c r="A3757" s="6">
        <v>2024</v>
      </c>
      <c r="B3757" s="6">
        <v>5</v>
      </c>
      <c r="C3757" s="6" t="s">
        <v>64</v>
      </c>
      <c r="D3757" s="6" t="s">
        <v>445</v>
      </c>
      <c r="E3757" s="6" t="s">
        <v>446</v>
      </c>
      <c r="F3757" s="6" t="str">
        <f>IF($M3757="PADD I","PADD 1",IF($M3757="PADD II","PADD 2",IF($M3757="PADD III","PADD 3",IF($M3757="PADD IV","PADD 4",IF($M3757="PADD V","PADD 5","")))))</f>
        <v>PADD 3</v>
      </c>
      <c r="G3757" s="6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6" t="s">
        <v>39</v>
      </c>
      <c r="I3757" s="6" t="s">
        <v>560</v>
      </c>
      <c r="J3757" s="6" t="s">
        <v>398</v>
      </c>
      <c r="K3757" s="10">
        <v>11.2</v>
      </c>
      <c r="L3757" s="10">
        <v>70</v>
      </c>
      <c r="M3757" s="6" t="s">
        <v>421</v>
      </c>
      <c r="N3757" s="6">
        <f>IF(OR($G3757="FCC",$G3757="Hydrocracker",$G3757="Reformer"),IF(COUNTIFS($D:$D,$D3757,$A:$A,$A3757,$B:$B,$B3757,$G:$G,"CDU",$J:$J,"PLANNED")&gt;0,"tied","standalone"),"")</f>
        <v/>
      </c>
    </row>
    <row r="3758" spans="1:14">
      <c r="A3758" s="6">
        <v>2024</v>
      </c>
      <c r="B3758" s="6">
        <v>5</v>
      </c>
      <c r="C3758" s="6" t="s">
        <v>64</v>
      </c>
      <c r="D3758" s="6" t="s">
        <v>518</v>
      </c>
      <c r="E3758" s="6" t="s">
        <v>419</v>
      </c>
      <c r="F3758" s="6" t="str">
        <f>IF($M3758="PADD I","PADD 1",IF($M3758="PADD II","PADD 2",IF($M3758="PADD III","PADD 3",IF($M3758="PADD IV","PADD 4",IF($M3758="PADD V","PADD 5","")))))</f>
        <v>PADD 3</v>
      </c>
      <c r="G3758" s="6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6" t="s">
        <v>471</v>
      </c>
      <c r="I3758" s="6" t="s">
        <v>908</v>
      </c>
      <c r="J3758" s="6" t="s">
        <v>398</v>
      </c>
      <c r="K3758" s="10">
        <v>11</v>
      </c>
      <c r="L3758" s="10">
        <v>20</v>
      </c>
      <c r="M3758" s="6" t="s">
        <v>421</v>
      </c>
      <c r="N3758" s="6" t="str">
        <f>IF(OR($G3758="FCC",$G3758="Hydrocracker",$G3758="Reformer"),IF(COUNTIFS($D:$D,$D3758,$A:$A,$A3758,$B:$B,$B3758,$G:$G,"CDU",$J:$J,"PLANNED")&gt;0,"tied","standalone"),"")</f>
        <v>standalone</v>
      </c>
    </row>
    <row r="3759" spans="1:14">
      <c r="A3759" s="6">
        <v>2024</v>
      </c>
      <c r="B3759" s="6">
        <v>5</v>
      </c>
      <c r="C3759" s="6" t="s">
        <v>64</v>
      </c>
      <c r="D3759" s="6" t="s">
        <v>518</v>
      </c>
      <c r="E3759" s="6" t="s">
        <v>419</v>
      </c>
      <c r="F3759" s="6" t="str">
        <f>IF($M3759="PADD I","PADD 1",IF($M3759="PADD II","PADD 2",IF($M3759="PADD III","PADD 3",IF($M3759="PADD IV","PADD 4",IF($M3759="PADD V","PADD 5","")))))</f>
        <v>PADD 3</v>
      </c>
      <c r="G3759" s="6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6" t="s">
        <v>44</v>
      </c>
      <c r="I3759" s="6" t="s">
        <v>1080</v>
      </c>
      <c r="J3759" s="6" t="s">
        <v>398</v>
      </c>
      <c r="K3759" s="10">
        <v>11</v>
      </c>
      <c r="L3759" s="10">
        <v>20</v>
      </c>
      <c r="M3759" s="6" t="s">
        <v>421</v>
      </c>
      <c r="N3759" s="6">
        <f>IF(OR($G3759="FCC",$G3759="Hydrocracker",$G3759="Reformer"),IF(COUNTIFS($D:$D,$D3759,$A:$A,$A3759,$B:$B,$B3759,$G:$G,"CDU",$J:$J,"PLANNED")&gt;0,"tied","standalone"),"")</f>
        <v/>
      </c>
    </row>
    <row r="3760" spans="1:14">
      <c r="A3760" s="6">
        <v>2024</v>
      </c>
      <c r="B3760" s="6">
        <v>5</v>
      </c>
      <c r="C3760" s="6" t="s">
        <v>64</v>
      </c>
      <c r="D3760" s="6" t="s">
        <v>812</v>
      </c>
      <c r="E3760" s="6" t="s">
        <v>813</v>
      </c>
      <c r="F3760" s="6" t="str">
        <f>IF($M3760="PADD I","PADD 1",IF($M3760="PADD II","PADD 2",IF($M3760="PADD III","PADD 3",IF($M3760="PADD IV","PADD 4",IF($M3760="PADD V","PADD 5","")))))</f>
        <v>PADD 2</v>
      </c>
      <c r="G3760" s="6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6" t="s">
        <v>39</v>
      </c>
      <c r="I3760" s="6" t="s">
        <v>132</v>
      </c>
      <c r="J3760" s="6" t="s">
        <v>394</v>
      </c>
      <c r="K3760" s="10">
        <v>10.15</v>
      </c>
      <c r="L3760" s="10">
        <v>35</v>
      </c>
      <c r="M3760" s="6" t="s">
        <v>425</v>
      </c>
      <c r="N3760" s="6">
        <f>IF(OR($G3760="FCC",$G3760="Hydrocracker",$G3760="Reformer"),IF(COUNTIFS($D:$D,$D3760,$A:$A,$A3760,$B:$B,$B3760,$G:$G,"CDU",$J:$J,"PLANNED")&gt;0,"tied","standalone"),"")</f>
        <v/>
      </c>
    </row>
    <row r="3761" spans="1:14">
      <c r="A3761" s="6">
        <v>2024</v>
      </c>
      <c r="B3761" s="6">
        <v>5</v>
      </c>
      <c r="C3761" s="6" t="s">
        <v>64</v>
      </c>
      <c r="D3761" s="6" t="s">
        <v>378</v>
      </c>
      <c r="E3761" s="6" t="s">
        <v>477</v>
      </c>
      <c r="F3761" s="6" t="str">
        <f>IF($M3761="PADD I","PADD 1",IF($M3761="PADD II","PADD 2",IF($M3761="PADD III","PADD 3",IF($M3761="PADD IV","PADD 4",IF($M3761="PADD V","PADD 5","")))))</f>
        <v>PADD 3</v>
      </c>
      <c r="G3761" s="6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6" t="s">
        <v>426</v>
      </c>
      <c r="I3761" s="6" t="s">
        <v>478</v>
      </c>
      <c r="J3761" s="6" t="s">
        <v>394</v>
      </c>
      <c r="K3761" s="10">
        <v>8.84</v>
      </c>
      <c r="L3761" s="10">
        <v>68</v>
      </c>
      <c r="M3761" s="6" t="s">
        <v>421</v>
      </c>
      <c r="N3761" s="6" t="str">
        <f>IF(OR($G3761="FCC",$G3761="Hydrocracker",$G3761="Reformer"),IF(COUNTIFS($D:$D,$D3761,$A:$A,$A3761,$B:$B,$B3761,$G:$G,"CDU",$J:$J,"PLANNED")&gt;0,"tied","standalone"),"")</f>
        <v>standalone</v>
      </c>
    </row>
    <row r="3762" spans="1:14">
      <c r="A3762" s="6">
        <v>2024</v>
      </c>
      <c r="B3762" s="6">
        <v>5</v>
      </c>
      <c r="C3762" s="6" t="s">
        <v>64</v>
      </c>
      <c r="D3762" s="6" t="s">
        <v>812</v>
      </c>
      <c r="E3762" s="6" t="s">
        <v>813</v>
      </c>
      <c r="F3762" s="6" t="str">
        <f>IF($M3762="PADD I","PADD 1",IF($M3762="PADD II","PADD 2",IF($M3762="PADD III","PADD 3",IF($M3762="PADD IV","PADD 4",IF($M3762="PADD V","PADD 5","")))))</f>
        <v>PADD 2</v>
      </c>
      <c r="G3762" s="6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6" t="s">
        <v>471</v>
      </c>
      <c r="I3762" s="6" t="s">
        <v>832</v>
      </c>
      <c r="J3762" s="6" t="s">
        <v>394</v>
      </c>
      <c r="K3762" s="10">
        <v>8.699999999999999</v>
      </c>
      <c r="L3762" s="10">
        <v>15</v>
      </c>
      <c r="M3762" s="6" t="s">
        <v>425</v>
      </c>
      <c r="N3762" s="6" t="str">
        <f>IF(OR($G3762="FCC",$G3762="Hydrocracker",$G3762="Reformer"),IF(COUNTIFS($D:$D,$D3762,$A:$A,$A3762,$B:$B,$B3762,$G:$G,"CDU",$J:$J,"PLANNED")&gt;0,"tied","standalone"),"")</f>
        <v>standalone</v>
      </c>
    </row>
    <row r="3763" spans="1:14">
      <c r="A3763" s="6">
        <v>2024</v>
      </c>
      <c r="B3763" s="6">
        <v>5</v>
      </c>
      <c r="C3763" s="6" t="s">
        <v>64</v>
      </c>
      <c r="D3763" s="6" t="s">
        <v>370</v>
      </c>
      <c r="E3763" s="6" t="s">
        <v>431</v>
      </c>
      <c r="F3763" s="6" t="str">
        <f>IF($M3763="PADD I","PADD 1",IF($M3763="PADD II","PADD 2",IF($M3763="PADD III","PADD 3",IF($M3763="PADD IV","PADD 4",IF($M3763="PADD V","PADD 5","")))))</f>
        <v>PADD 2</v>
      </c>
      <c r="G3763" s="6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6" t="s">
        <v>510</v>
      </c>
      <c r="I3763" s="6" t="s">
        <v>666</v>
      </c>
      <c r="J3763" s="6" t="s">
        <v>394</v>
      </c>
      <c r="K3763" s="10">
        <v>8.092000000000001</v>
      </c>
      <c r="L3763" s="10">
        <v>11.9</v>
      </c>
      <c r="M3763" s="6" t="s">
        <v>425</v>
      </c>
      <c r="N3763" s="6">
        <f>IF(OR($G3763="FCC",$G3763="Hydrocracker",$G3763="Reformer"),IF(COUNTIFS($D:$D,$D3763,$A:$A,$A3763,$B:$B,$B3763,$G:$G,"CDU",$J:$J,"PLANNED")&gt;0,"tied","standalone"),"")</f>
        <v/>
      </c>
    </row>
    <row r="3764" spans="1:14">
      <c r="A3764" s="6">
        <v>2024</v>
      </c>
      <c r="B3764" s="6">
        <v>5</v>
      </c>
      <c r="C3764" s="6" t="s">
        <v>64</v>
      </c>
      <c r="D3764" s="6" t="s">
        <v>1221</v>
      </c>
      <c r="E3764" s="6" t="s">
        <v>1222</v>
      </c>
      <c r="F3764" s="6" t="str">
        <f>IF($M3764="PADD I","PADD 1",IF($M3764="PADD II","PADD 2",IF($M3764="PADD III","PADD 3",IF($M3764="PADD IV","PADD 4",IF($M3764="PADD V","PADD 5","")))))</f>
        <v>PADD 3</v>
      </c>
      <c r="G3764" s="6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6" t="s">
        <v>39</v>
      </c>
      <c r="I3764" s="6" t="s">
        <v>1225</v>
      </c>
      <c r="J3764" s="6" t="s">
        <v>398</v>
      </c>
      <c r="K3764" s="10">
        <v>8</v>
      </c>
      <c r="L3764" s="10">
        <v>50</v>
      </c>
      <c r="M3764" s="6" t="s">
        <v>421</v>
      </c>
      <c r="N3764" s="6">
        <f>IF(OR($G3764="FCC",$G3764="Hydrocracker",$G3764="Reformer"),IF(COUNTIFS($D:$D,$D3764,$A:$A,$A3764,$B:$B,$B3764,$G:$G,"CDU",$J:$J,"PLANNED")&gt;0,"tied","standalone"),"")</f>
        <v/>
      </c>
    </row>
    <row r="3765" spans="1:14">
      <c r="A3765" s="6">
        <v>2024</v>
      </c>
      <c r="B3765" s="6">
        <v>5</v>
      </c>
      <c r="C3765" s="6" t="s">
        <v>64</v>
      </c>
      <c r="D3765" s="6" t="s">
        <v>430</v>
      </c>
      <c r="E3765" s="6" t="s">
        <v>431</v>
      </c>
      <c r="F3765" s="6" t="str">
        <f>IF($M3765="PADD I","PADD 1",IF($M3765="PADD II","PADD 2",IF($M3765="PADD III","PADD 3",IF($M3765="PADD IV","PADD 4",IF($M3765="PADD V","PADD 5","")))))</f>
        <v>PADD 3</v>
      </c>
      <c r="G3765" s="6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6" t="s">
        <v>485</v>
      </c>
      <c r="I3765" s="6" t="s">
        <v>565</v>
      </c>
      <c r="J3765" s="6" t="s">
        <v>398</v>
      </c>
      <c r="K3765" s="10">
        <v>8</v>
      </c>
      <c r="L3765" s="10">
        <v>25</v>
      </c>
      <c r="M3765" s="6" t="s">
        <v>421</v>
      </c>
      <c r="N3765" s="6">
        <f>IF(OR($G3765="FCC",$G3765="Hydrocracker",$G3765="Reformer"),IF(COUNTIFS($D:$D,$D3765,$A:$A,$A3765,$B:$B,$B3765,$G:$G,"CDU",$J:$J,"PLANNED")&gt;0,"tied","standalone"),"")</f>
        <v/>
      </c>
    </row>
    <row r="3766" spans="1:14">
      <c r="A3766" s="6">
        <v>2024</v>
      </c>
      <c r="B3766" s="6">
        <v>5</v>
      </c>
      <c r="C3766" s="6" t="s">
        <v>64</v>
      </c>
      <c r="D3766" s="6" t="s">
        <v>812</v>
      </c>
      <c r="E3766" s="6" t="s">
        <v>813</v>
      </c>
      <c r="F3766" s="6" t="str">
        <f>IF($M3766="PADD I","PADD 1",IF($M3766="PADD II","PADD 2",IF($M3766="PADD III","PADD 3",IF($M3766="PADD IV","PADD 4",IF($M3766="PADD V","PADD 5","")))))</f>
        <v>PADD 2</v>
      </c>
      <c r="G3766" s="6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6" t="s">
        <v>428</v>
      </c>
      <c r="I3766" s="6" t="s">
        <v>862</v>
      </c>
      <c r="J3766" s="6" t="s">
        <v>394</v>
      </c>
      <c r="K3766" s="10">
        <v>7.83</v>
      </c>
      <c r="L3766" s="10">
        <v>27</v>
      </c>
      <c r="M3766" s="6" t="s">
        <v>425</v>
      </c>
      <c r="N3766" s="6">
        <f>IF(OR($G3766="FCC",$G3766="Hydrocracker",$G3766="Reformer"),IF(COUNTIFS($D:$D,$D3766,$A:$A,$A3766,$B:$B,$B3766,$G:$G,"CDU",$J:$J,"PLANNED")&gt;0,"tied","standalone"),"")</f>
        <v/>
      </c>
    </row>
    <row r="3767" spans="1:14">
      <c r="A3767" s="6">
        <v>2024</v>
      </c>
      <c r="B3767" s="6">
        <v>5</v>
      </c>
      <c r="C3767" s="6" t="s">
        <v>64</v>
      </c>
      <c r="D3767" s="6" t="s">
        <v>812</v>
      </c>
      <c r="E3767" s="6" t="s">
        <v>813</v>
      </c>
      <c r="F3767" s="6" t="str">
        <f>IF($M3767="PADD I","PADD 1",IF($M3767="PADD II","PADD 2",IF($M3767="PADD III","PADD 3",IF($M3767="PADD IV","PADD 4",IF($M3767="PADD V","PADD 5","")))))</f>
        <v>PADD 2</v>
      </c>
      <c r="G3767" s="6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6" t="s">
        <v>426</v>
      </c>
      <c r="I3767" s="6" t="s">
        <v>106</v>
      </c>
      <c r="J3767" s="6" t="s">
        <v>394</v>
      </c>
      <c r="K3767" s="10">
        <v>7.35</v>
      </c>
      <c r="L3767" s="10">
        <v>21</v>
      </c>
      <c r="M3767" s="6" t="s">
        <v>425</v>
      </c>
      <c r="N3767" s="6" t="str">
        <f>IF(OR($G3767="FCC",$G3767="Hydrocracker",$G3767="Reformer"),IF(COUNTIFS($D:$D,$D3767,$A:$A,$A3767,$B:$B,$B3767,$G:$G,"CDU",$J:$J,"PLANNED")&gt;0,"tied","standalone"),"")</f>
        <v>standalone</v>
      </c>
    </row>
    <row r="3768" spans="1:14">
      <c r="A3768" s="6">
        <v>2024</v>
      </c>
      <c r="B3768" s="6">
        <v>5</v>
      </c>
      <c r="C3768" s="6" t="s">
        <v>64</v>
      </c>
      <c r="D3768" s="6" t="s">
        <v>496</v>
      </c>
      <c r="E3768" s="6" t="s">
        <v>441</v>
      </c>
      <c r="F3768" s="6" t="str">
        <f>IF($M3768="PADD I","PADD 1",IF($M3768="PADD II","PADD 2",IF($M3768="PADD III","PADD 3",IF($M3768="PADD IV","PADD 4",IF($M3768="PADD V","PADD 5","")))))</f>
        <v>PADD 3</v>
      </c>
      <c r="G3768" s="6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6" t="s">
        <v>510</v>
      </c>
      <c r="I3768" s="6" t="s">
        <v>1125</v>
      </c>
      <c r="J3768" s="6" t="s">
        <v>394</v>
      </c>
      <c r="K3768" s="10">
        <v>7.2</v>
      </c>
      <c r="L3768" s="10">
        <v>7.2</v>
      </c>
      <c r="M3768" s="6" t="s">
        <v>421</v>
      </c>
      <c r="N3768" s="6">
        <f>IF(OR($G3768="FCC",$G3768="Hydrocracker",$G3768="Reformer"),IF(COUNTIFS($D:$D,$D3768,$A:$A,$A3768,$B:$B,$B3768,$G:$G,"CDU",$J:$J,"PLANNED")&gt;0,"tied","standalone"),"")</f>
        <v/>
      </c>
    </row>
    <row r="3769" spans="1:14">
      <c r="A3769" s="6">
        <v>2024</v>
      </c>
      <c r="B3769" s="6">
        <v>5</v>
      </c>
      <c r="C3769" s="6" t="s">
        <v>64</v>
      </c>
      <c r="D3769" s="6" t="s">
        <v>812</v>
      </c>
      <c r="E3769" s="6" t="s">
        <v>813</v>
      </c>
      <c r="F3769" s="6" t="str">
        <f>IF($M3769="PADD I","PADD 1",IF($M3769="PADD II","PADD 2",IF($M3769="PADD III","PADD 3",IF($M3769="PADD IV","PADD 4",IF($M3769="PADD V","PADD 5","")))))</f>
        <v>PADD 2</v>
      </c>
      <c r="G3769" s="6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6" t="s">
        <v>44</v>
      </c>
      <c r="I3769" s="6" t="s">
        <v>913</v>
      </c>
      <c r="J3769" s="6" t="s">
        <v>394</v>
      </c>
      <c r="K3769" s="10">
        <v>7</v>
      </c>
      <c r="L3769" s="10">
        <v>20</v>
      </c>
      <c r="M3769" s="6" t="s">
        <v>425</v>
      </c>
      <c r="N3769" s="6">
        <f>IF(OR($G3769="FCC",$G3769="Hydrocracker",$G3769="Reformer"),IF(COUNTIFS($D:$D,$D3769,$A:$A,$A3769,$B:$B,$B3769,$G:$G,"CDU",$J:$J,"PLANNED")&gt;0,"tied","standalone"),"")</f>
        <v/>
      </c>
    </row>
    <row r="3770" spans="1:14">
      <c r="A3770" s="6">
        <v>2024</v>
      </c>
      <c r="B3770" s="6">
        <v>5</v>
      </c>
      <c r="C3770" s="6" t="s">
        <v>64</v>
      </c>
      <c r="D3770" s="6" t="s">
        <v>622</v>
      </c>
      <c r="E3770" s="6" t="s">
        <v>623</v>
      </c>
      <c r="F3770" s="6" t="str">
        <f>IF($M3770="PADD I","PADD 1",IF($M3770="PADD II","PADD 2",IF($M3770="PADD III","PADD 3",IF($M3770="PADD IV","PADD 4",IF($M3770="PADD V","PADD 5","")))))</f>
        <v>PADD 3</v>
      </c>
      <c r="G3770" s="6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6" t="s">
        <v>39</v>
      </c>
      <c r="I3770" s="6" t="s">
        <v>624</v>
      </c>
      <c r="J3770" s="6" t="s">
        <v>394</v>
      </c>
      <c r="K3770" s="10">
        <v>6.5</v>
      </c>
      <c r="L3770" s="10">
        <v>50</v>
      </c>
      <c r="M3770" s="6" t="s">
        <v>421</v>
      </c>
      <c r="N3770" s="6">
        <f>IF(OR($G3770="FCC",$G3770="Hydrocracker",$G3770="Reformer"),IF(COUNTIFS($D:$D,$D3770,$A:$A,$A3770,$B:$B,$B3770,$G:$G,"CDU",$J:$J,"PLANNED")&gt;0,"tied","standalone"),"")</f>
        <v/>
      </c>
    </row>
    <row r="3771" spans="1:14">
      <c r="A3771" s="6">
        <v>2024</v>
      </c>
      <c r="B3771" s="6">
        <v>5</v>
      </c>
      <c r="C3771" s="6" t="s">
        <v>64</v>
      </c>
      <c r="D3771" s="6" t="s">
        <v>430</v>
      </c>
      <c r="E3771" s="6" t="s">
        <v>431</v>
      </c>
      <c r="F3771" s="6" t="str">
        <f>IF($M3771="PADD I","PADD 1",IF($M3771="PADD II","PADD 2",IF($M3771="PADD III","PADD 3",IF($M3771="PADD IV","PADD 4",IF($M3771="PADD V","PADD 5","")))))</f>
        <v>PADD 3</v>
      </c>
      <c r="G3771" s="6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6" t="s">
        <v>426</v>
      </c>
      <c r="I3771" s="6" t="s">
        <v>702</v>
      </c>
      <c r="J3771" s="6" t="s">
        <v>394</v>
      </c>
      <c r="K3771" s="10">
        <v>6.4</v>
      </c>
      <c r="L3771" s="10">
        <v>20</v>
      </c>
      <c r="M3771" s="6" t="s">
        <v>421</v>
      </c>
      <c r="N3771" s="6" t="str">
        <f>IF(OR($G3771="FCC",$G3771="Hydrocracker",$G3771="Reformer"),IF(COUNTIFS($D:$D,$D3771,$A:$A,$A3771,$B:$B,$B3771,$G:$G,"CDU",$J:$J,"PLANNED")&gt;0,"tied","standalone"),"")</f>
        <v>tied</v>
      </c>
    </row>
    <row r="3772" spans="1:14">
      <c r="A3772" s="6">
        <v>2024</v>
      </c>
      <c r="B3772" s="6">
        <v>5</v>
      </c>
      <c r="C3772" s="6" t="s">
        <v>64</v>
      </c>
      <c r="D3772" s="6" t="s">
        <v>912</v>
      </c>
      <c r="E3772" s="6" t="s">
        <v>906</v>
      </c>
      <c r="F3772" s="6" t="str">
        <f>IF($M3772="PADD I","PADD 1",IF($M3772="PADD II","PADD 2",IF($M3772="PADD III","PADD 3",IF($M3772="PADD IV","PADD 4",IF($M3772="PADD V","PADD 5","")))))</f>
        <v>PADD 5</v>
      </c>
      <c r="G3772" s="6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6" t="s">
        <v>39</v>
      </c>
      <c r="I3772" s="6" t="s">
        <v>907</v>
      </c>
      <c r="J3772" s="6" t="s">
        <v>398</v>
      </c>
      <c r="K3772" s="10">
        <v>6.38</v>
      </c>
      <c r="L3772" s="10">
        <v>22</v>
      </c>
      <c r="M3772" s="6" t="s">
        <v>436</v>
      </c>
      <c r="N3772" s="6">
        <f>IF(OR($G3772="FCC",$G3772="Hydrocracker",$G3772="Reformer"),IF(COUNTIFS($D:$D,$D3772,$A:$A,$A3772,$B:$B,$B3772,$G:$G,"CDU",$J:$J,"PLANNED")&gt;0,"tied","standalone"),"")</f>
        <v/>
      </c>
    </row>
    <row r="3773" spans="1:14">
      <c r="A3773" s="6">
        <v>2024</v>
      </c>
      <c r="B3773" s="6">
        <v>5</v>
      </c>
      <c r="C3773" s="6" t="s">
        <v>64</v>
      </c>
      <c r="D3773" s="6" t="s">
        <v>665</v>
      </c>
      <c r="E3773" s="6" t="s">
        <v>455</v>
      </c>
      <c r="F3773" s="6" t="str">
        <f>IF($M3773="PADD I","PADD 1",IF($M3773="PADD II","PADD 2",IF($M3773="PADD III","PADD 3",IF($M3773="PADD IV","PADD 4",IF($M3773="PADD V","PADD 5","")))))</f>
        <v>PADD 5</v>
      </c>
      <c r="G3773" s="6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6" t="s">
        <v>44</v>
      </c>
      <c r="I3773" s="6" t="s">
        <v>1235</v>
      </c>
      <c r="J3773" s="6" t="s">
        <v>398</v>
      </c>
      <c r="K3773" s="10">
        <v>6.24</v>
      </c>
      <c r="L3773" s="10">
        <v>12</v>
      </c>
      <c r="M3773" s="6" t="s">
        <v>436</v>
      </c>
      <c r="N3773" s="6">
        <f>IF(OR($G3773="FCC",$G3773="Hydrocracker",$G3773="Reformer"),IF(COUNTIFS($D:$D,$D3773,$A:$A,$A3773,$B:$B,$B3773,$G:$G,"CDU",$J:$J,"PLANNED")&gt;0,"tied","standalone"),"")</f>
        <v/>
      </c>
    </row>
    <row r="3774" spans="1:14">
      <c r="A3774" s="6">
        <v>2024</v>
      </c>
      <c r="B3774" s="6">
        <v>5</v>
      </c>
      <c r="C3774" s="6" t="s">
        <v>64</v>
      </c>
      <c r="D3774" s="6" t="s">
        <v>496</v>
      </c>
      <c r="E3774" s="6" t="s">
        <v>441</v>
      </c>
      <c r="F3774" s="6" t="str">
        <f>IF($M3774="PADD I","PADD 1",IF($M3774="PADD II","PADD 2",IF($M3774="PADD III","PADD 3",IF($M3774="PADD IV","PADD 4",IF($M3774="PADD V","PADD 5","")))))</f>
        <v>PADD 3</v>
      </c>
      <c r="G3774" s="6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6" t="s">
        <v>428</v>
      </c>
      <c r="I3774" s="6" t="s">
        <v>1091</v>
      </c>
      <c r="J3774" s="6" t="s">
        <v>398</v>
      </c>
      <c r="K3774" s="10">
        <v>6.08</v>
      </c>
      <c r="L3774" s="10">
        <v>38</v>
      </c>
      <c r="M3774" s="6" t="s">
        <v>421</v>
      </c>
      <c r="N3774" s="6">
        <f>IF(OR($G3774="FCC",$G3774="Hydrocracker",$G3774="Reformer"),IF(COUNTIFS($D:$D,$D3774,$A:$A,$A3774,$B:$B,$B3774,$G:$G,"CDU",$J:$J,"PLANNED")&gt;0,"tied","standalone"),"")</f>
        <v/>
      </c>
    </row>
    <row r="3775" spans="1:14">
      <c r="A3775" s="6">
        <v>2024</v>
      </c>
      <c r="B3775" s="6">
        <v>5</v>
      </c>
      <c r="C3775" s="6" t="s">
        <v>64</v>
      </c>
      <c r="D3775" s="6" t="s">
        <v>550</v>
      </c>
      <c r="E3775" s="6" t="s">
        <v>438</v>
      </c>
      <c r="F3775" s="6" t="str">
        <f>IF($M3775="PADD I","PADD 1",IF($M3775="PADD II","PADD 2",IF($M3775="PADD III","PADD 3",IF($M3775="PADD IV","PADD 4",IF($M3775="PADD V","PADD 5","")))))</f>
        <v>PADD 2</v>
      </c>
      <c r="G3775" s="6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6" t="s">
        <v>44</v>
      </c>
      <c r="I3775" s="6" t="s">
        <v>551</v>
      </c>
      <c r="J3775" s="6" t="s">
        <v>394</v>
      </c>
      <c r="K3775" s="10">
        <v>5.795</v>
      </c>
      <c r="L3775" s="10">
        <v>30.5</v>
      </c>
      <c r="M3775" s="6" t="s">
        <v>425</v>
      </c>
      <c r="N3775" s="6">
        <f>IF(OR($G3775="FCC",$G3775="Hydrocracker",$G3775="Reformer"),IF(COUNTIFS($D:$D,$D3775,$A:$A,$A3775,$B:$B,$B3775,$G:$G,"CDU",$J:$J,"PLANNED")&gt;0,"tied","standalone"),"")</f>
        <v/>
      </c>
    </row>
    <row r="3776" spans="1:14">
      <c r="A3776" s="6">
        <v>2024</v>
      </c>
      <c r="B3776" s="6">
        <v>5</v>
      </c>
      <c r="C3776" s="6" t="s">
        <v>64</v>
      </c>
      <c r="D3776" s="6" t="s">
        <v>865</v>
      </c>
      <c r="E3776" s="6" t="s">
        <v>502</v>
      </c>
      <c r="F3776" s="6" t="str">
        <f>IF($M3776="PADD I","PADD 1",IF($M3776="PADD II","PADD 2",IF($M3776="PADD III","PADD 3",IF($M3776="PADD IV","PADD 4",IF($M3776="PADD V","PADD 5","")))))</f>
        <v>PADD 4</v>
      </c>
      <c r="G3776" s="6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6" t="s">
        <v>494</v>
      </c>
      <c r="I3776" s="6" t="s">
        <v>892</v>
      </c>
      <c r="J3776" s="6" t="s">
        <v>398</v>
      </c>
      <c r="K3776" s="10">
        <v>5.55</v>
      </c>
      <c r="L3776" s="10">
        <v>7.5</v>
      </c>
      <c r="M3776" s="6" t="s">
        <v>480</v>
      </c>
      <c r="N3776" s="6" t="str">
        <f>IF(OR($G3776="FCC",$G3776="Hydrocracker",$G3776="Reformer"),IF(COUNTIFS($D:$D,$D3776,$A:$A,$A3776,$B:$B,$B3776,$G:$G,"CDU",$J:$J,"PLANNED")&gt;0,"tied","standalone"),"")</f>
        <v>standalone</v>
      </c>
    </row>
    <row r="3777" spans="1:14">
      <c r="A3777" s="6">
        <v>2024</v>
      </c>
      <c r="B3777" s="6">
        <v>5</v>
      </c>
      <c r="C3777" s="6" t="s">
        <v>64</v>
      </c>
      <c r="D3777" s="6" t="s">
        <v>384</v>
      </c>
      <c r="E3777" s="6" t="s">
        <v>419</v>
      </c>
      <c r="F3777" s="6" t="str">
        <f>IF($M3777="PADD I","PADD 1",IF($M3777="PADD II","PADD 2",IF($M3777="PADD III","PADD 3",IF($M3777="PADD IV","PADD 4",IF($M3777="PADD V","PADD 5","")))))</f>
        <v>PADD 3</v>
      </c>
      <c r="G3777" s="6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6" t="s">
        <v>39</v>
      </c>
      <c r="I3777" s="6" t="s">
        <v>779</v>
      </c>
      <c r="J3777" s="6" t="s">
        <v>398</v>
      </c>
      <c r="K3777" s="10">
        <v>5.55</v>
      </c>
      <c r="L3777" s="10">
        <v>185</v>
      </c>
      <c r="M3777" s="6" t="s">
        <v>421</v>
      </c>
      <c r="N3777" s="6">
        <f>IF(OR($G3777="FCC",$G3777="Hydrocracker",$G3777="Reformer"),IF(COUNTIFS($D:$D,$D3777,$A:$A,$A3777,$B:$B,$B3777,$G:$G,"CDU",$J:$J,"PLANNED")&gt;0,"tied","standalone"),"")</f>
        <v/>
      </c>
    </row>
    <row r="3778" spans="1:14">
      <c r="A3778" s="6">
        <v>2024</v>
      </c>
      <c r="B3778" s="6">
        <v>5</v>
      </c>
      <c r="C3778" s="6" t="s">
        <v>64</v>
      </c>
      <c r="D3778" s="6" t="s">
        <v>812</v>
      </c>
      <c r="E3778" s="6" t="s">
        <v>813</v>
      </c>
      <c r="F3778" s="6" t="str">
        <f>IF($M3778="PADD I","PADD 1",IF($M3778="PADD II","PADD 2",IF($M3778="PADD III","PADD 3",IF($M3778="PADD IV","PADD 4",IF($M3778="PADD V","PADD 5","")))))</f>
        <v>PADD 2</v>
      </c>
      <c r="G3778" s="6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6" t="s">
        <v>44</v>
      </c>
      <c r="I3778" s="6" t="s">
        <v>508</v>
      </c>
      <c r="J3778" s="6" t="s">
        <v>394</v>
      </c>
      <c r="K3778" s="10">
        <v>5.46</v>
      </c>
      <c r="L3778" s="10">
        <v>13</v>
      </c>
      <c r="M3778" s="6" t="s">
        <v>425</v>
      </c>
      <c r="N3778" s="6">
        <f>IF(OR($G3778="FCC",$G3778="Hydrocracker",$G3778="Reformer"),IF(COUNTIFS($D:$D,$D3778,$A:$A,$A3778,$B:$B,$B3778,$G:$G,"CDU",$J:$J,"PLANNED")&gt;0,"tied","standalone"),"")</f>
        <v/>
      </c>
    </row>
    <row r="3779" spans="1:14">
      <c r="A3779" s="6">
        <v>2024</v>
      </c>
      <c r="B3779" s="6">
        <v>5</v>
      </c>
      <c r="C3779" s="6" t="s">
        <v>64</v>
      </c>
      <c r="D3779" s="6" t="s">
        <v>581</v>
      </c>
      <c r="E3779" s="6" t="s">
        <v>582</v>
      </c>
      <c r="F3779" s="6" t="str">
        <f>IF($M3779="PADD I","PADD 1",IF($M3779="PADD II","PADD 2",IF($M3779="PADD III","PADD 3",IF($M3779="PADD IV","PADD 4",IF($M3779="PADD V","PADD 5","")))))</f>
        <v>PADD 5</v>
      </c>
      <c r="G3779" s="6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6" t="s">
        <v>426</v>
      </c>
      <c r="I3779" s="6" t="s">
        <v>106</v>
      </c>
      <c r="J3779" s="6" t="s">
        <v>394</v>
      </c>
      <c r="K3779" s="10">
        <v>5.4</v>
      </c>
      <c r="L3779" s="10">
        <v>90</v>
      </c>
      <c r="M3779" s="6" t="s">
        <v>436</v>
      </c>
      <c r="N3779" s="6" t="str">
        <f>IF(OR($G3779="FCC",$G3779="Hydrocracker",$G3779="Reformer"),IF(COUNTIFS($D:$D,$D3779,$A:$A,$A3779,$B:$B,$B3779,$G:$G,"CDU",$J:$J,"PLANNED")&gt;0,"tied","standalone"),"")</f>
        <v>standalone</v>
      </c>
    </row>
    <row r="3780" spans="1:14">
      <c r="A3780" s="6">
        <v>2024</v>
      </c>
      <c r="B3780" s="6">
        <v>5</v>
      </c>
      <c r="C3780" s="6" t="s">
        <v>64</v>
      </c>
      <c r="D3780" s="6" t="s">
        <v>496</v>
      </c>
      <c r="E3780" s="6" t="s">
        <v>441</v>
      </c>
      <c r="F3780" s="6" t="str">
        <f>IF($M3780="PADD I","PADD 1",IF($M3780="PADD II","PADD 2",IF($M3780="PADD III","PADD 3",IF($M3780="PADD IV","PADD 4",IF($M3780="PADD V","PADD 5","")))))</f>
        <v>PADD 3</v>
      </c>
      <c r="G3780" s="6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6" t="s">
        <v>428</v>
      </c>
      <c r="I3780" s="6" t="s">
        <v>1091</v>
      </c>
      <c r="J3780" s="6" t="s">
        <v>394</v>
      </c>
      <c r="K3780" s="10">
        <v>5.33</v>
      </c>
      <c r="L3780" s="10">
        <v>41</v>
      </c>
      <c r="M3780" s="6" t="s">
        <v>421</v>
      </c>
      <c r="N3780" s="6">
        <f>IF(OR($G3780="FCC",$G3780="Hydrocracker",$G3780="Reformer"),IF(COUNTIFS($D:$D,$D3780,$A:$A,$A3780,$B:$B,$B3780,$G:$G,"CDU",$J:$J,"PLANNED")&gt;0,"tied","standalone"),"")</f>
        <v/>
      </c>
    </row>
    <row r="3781" spans="1:14">
      <c r="A3781" s="6">
        <v>2024</v>
      </c>
      <c r="B3781" s="6">
        <v>5</v>
      </c>
      <c r="C3781" s="6" t="s">
        <v>64</v>
      </c>
      <c r="D3781" s="6" t="s">
        <v>806</v>
      </c>
      <c r="E3781" s="6" t="s">
        <v>807</v>
      </c>
      <c r="F3781" s="6" t="str">
        <f>IF($M3781="PADD I","PADD 1",IF($M3781="PADD II","PADD 2",IF($M3781="PADD III","PADD 3",IF($M3781="PADD IV","PADD 4",IF($M3781="PADD V","PADD 5","")))))</f>
        <v>PADD 3</v>
      </c>
      <c r="G3781" s="6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6" t="s">
        <v>39</v>
      </c>
      <c r="I3781" s="6" t="s">
        <v>82</v>
      </c>
      <c r="J3781" s="6" t="s">
        <v>398</v>
      </c>
      <c r="K3781" s="10">
        <v>5.25</v>
      </c>
      <c r="L3781" s="10">
        <v>15</v>
      </c>
      <c r="M3781" s="6" t="s">
        <v>421</v>
      </c>
      <c r="N3781" s="6">
        <f>IF(OR($G3781="FCC",$G3781="Hydrocracker",$G3781="Reformer"),IF(COUNTIFS($D:$D,$D3781,$A:$A,$A3781,$B:$B,$B3781,$G:$G,"CDU",$J:$J,"PLANNED")&gt;0,"tied","standalone"),"")</f>
        <v/>
      </c>
    </row>
    <row r="3782" spans="1:14">
      <c r="A3782" s="6">
        <v>2024</v>
      </c>
      <c r="B3782" s="6">
        <v>5</v>
      </c>
      <c r="C3782" s="6" t="s">
        <v>64</v>
      </c>
      <c r="D3782" s="6" t="s">
        <v>507</v>
      </c>
      <c r="E3782" s="6" t="s">
        <v>438</v>
      </c>
      <c r="F3782" s="6" t="str">
        <f>IF($M3782="PADD I","PADD 1",IF($M3782="PADD II","PADD 2",IF($M3782="PADD III","PADD 3",IF($M3782="PADD IV","PADD 4",IF($M3782="PADD V","PADD 5","")))))</f>
        <v>PADD 5</v>
      </c>
      <c r="G3782" s="6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6" t="s">
        <v>471</v>
      </c>
      <c r="I3782" s="6" t="s">
        <v>609</v>
      </c>
      <c r="J3782" s="6" t="s">
        <v>394</v>
      </c>
      <c r="K3782" s="10">
        <v>5.2</v>
      </c>
      <c r="L3782" s="10">
        <v>20</v>
      </c>
      <c r="M3782" s="6" t="s">
        <v>436</v>
      </c>
      <c r="N3782" s="6" t="str">
        <f>IF(OR($G3782="FCC",$G3782="Hydrocracker",$G3782="Reformer"),IF(COUNTIFS($D:$D,$D3782,$A:$A,$A3782,$B:$B,$B3782,$G:$G,"CDU",$J:$J,"PLANNED")&gt;0,"tied","standalone"),"")</f>
        <v>standalone</v>
      </c>
    </row>
    <row r="3783" spans="1:14">
      <c r="A3783" s="6">
        <v>2024</v>
      </c>
      <c r="B3783" s="6">
        <v>5</v>
      </c>
      <c r="C3783" s="6" t="s">
        <v>64</v>
      </c>
      <c r="D3783" s="6" t="s">
        <v>789</v>
      </c>
      <c r="E3783" s="6" t="s">
        <v>455</v>
      </c>
      <c r="F3783" s="6" t="str">
        <f>IF($M3783="PADD I","PADD 1",IF($M3783="PADD II","PADD 2",IF($M3783="PADD III","PADD 3",IF($M3783="PADD IV","PADD 4",IF($M3783="PADD V","PADD 5","")))))</f>
        <v>PADD 2</v>
      </c>
      <c r="G3783" s="6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6" t="s">
        <v>44</v>
      </c>
      <c r="I3783" s="6" t="s">
        <v>739</v>
      </c>
      <c r="J3783" s="6" t="s">
        <v>394</v>
      </c>
      <c r="K3783" s="10">
        <v>5.12</v>
      </c>
      <c r="L3783" s="10">
        <v>32</v>
      </c>
      <c r="M3783" s="6" t="s">
        <v>425</v>
      </c>
      <c r="N3783" s="6">
        <f>IF(OR($G3783="FCC",$G3783="Hydrocracker",$G3783="Reformer"),IF(COUNTIFS($D:$D,$D3783,$A:$A,$A3783,$B:$B,$B3783,$G:$G,"CDU",$J:$J,"PLANNED")&gt;0,"tied","standalone"),"")</f>
        <v/>
      </c>
    </row>
    <row r="3784" spans="1:14">
      <c r="A3784" s="6">
        <v>2024</v>
      </c>
      <c r="B3784" s="6">
        <v>5</v>
      </c>
      <c r="C3784" s="6" t="s">
        <v>64</v>
      </c>
      <c r="D3784" s="6" t="s">
        <v>789</v>
      </c>
      <c r="E3784" s="6" t="s">
        <v>455</v>
      </c>
      <c r="F3784" s="6" t="str">
        <f>IF($M3784="PADD I","PADD 1",IF($M3784="PADD II","PADD 2",IF($M3784="PADD III","PADD 3",IF($M3784="PADD IV","PADD 4",IF($M3784="PADD V","PADD 5","")))))</f>
        <v>PADD 2</v>
      </c>
      <c r="G3784" s="6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6" t="s">
        <v>428</v>
      </c>
      <c r="I3784" s="6" t="s">
        <v>481</v>
      </c>
      <c r="J3784" s="6" t="s">
        <v>394</v>
      </c>
      <c r="K3784" s="10">
        <v>5.12</v>
      </c>
      <c r="L3784" s="10">
        <v>32</v>
      </c>
      <c r="M3784" s="6" t="s">
        <v>425</v>
      </c>
      <c r="N3784" s="6">
        <f>IF(OR($G3784="FCC",$G3784="Hydrocracker",$G3784="Reformer"),IF(COUNTIFS($D:$D,$D3784,$A:$A,$A3784,$B:$B,$B3784,$G:$G,"CDU",$J:$J,"PLANNED")&gt;0,"tied","standalone"),"")</f>
        <v/>
      </c>
    </row>
    <row r="3785" spans="1:14">
      <c r="A3785" s="6">
        <v>2024</v>
      </c>
      <c r="B3785" s="6">
        <v>5</v>
      </c>
      <c r="C3785" s="6" t="s">
        <v>64</v>
      </c>
      <c r="D3785" s="6" t="s">
        <v>465</v>
      </c>
      <c r="E3785" s="6" t="s">
        <v>466</v>
      </c>
      <c r="F3785" s="6" t="str">
        <f>IF($M3785="PADD I","PADD 1",IF($M3785="PADD II","PADD 2",IF($M3785="PADD III","PADD 3",IF($M3785="PADD IV","PADD 4",IF($M3785="PADD V","PADD 5","")))))</f>
        <v>PADD 3</v>
      </c>
      <c r="G3785" s="6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6" t="s">
        <v>426</v>
      </c>
      <c r="I3785" s="6" t="s">
        <v>1045</v>
      </c>
      <c r="J3785" s="6" t="s">
        <v>398</v>
      </c>
      <c r="K3785" s="10">
        <v>5</v>
      </c>
      <c r="L3785" s="10">
        <v>50</v>
      </c>
      <c r="M3785" s="6" t="s">
        <v>421</v>
      </c>
      <c r="N3785" s="6" t="str">
        <f>IF(OR($G3785="FCC",$G3785="Hydrocracker",$G3785="Reformer"),IF(COUNTIFS($D:$D,$D3785,$A:$A,$A3785,$B:$B,$B3785,$G:$G,"CDU",$J:$J,"PLANNED")&gt;0,"tied","standalone"),"")</f>
        <v>standalone</v>
      </c>
    </row>
    <row r="3786" spans="1:14">
      <c r="A3786" s="6">
        <v>2024</v>
      </c>
      <c r="B3786" s="6">
        <v>5</v>
      </c>
      <c r="C3786" s="6" t="s">
        <v>64</v>
      </c>
      <c r="D3786" s="6" t="s">
        <v>445</v>
      </c>
      <c r="E3786" s="6" t="s">
        <v>446</v>
      </c>
      <c r="F3786" s="6" t="str">
        <f>IF($M3786="PADD I","PADD 1",IF($M3786="PADD II","PADD 2",IF($M3786="PADD III","PADD 3",IF($M3786="PADD IV","PADD 4",IF($M3786="PADD V","PADD 5","")))))</f>
        <v>PADD 3</v>
      </c>
      <c r="G3786" s="6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6" t="s">
        <v>428</v>
      </c>
      <c r="I3786" s="6" t="s">
        <v>625</v>
      </c>
      <c r="J3786" s="6" t="s">
        <v>398</v>
      </c>
      <c r="K3786" s="10">
        <v>4.8</v>
      </c>
      <c r="L3786" s="10">
        <v>30</v>
      </c>
      <c r="M3786" s="6" t="s">
        <v>421</v>
      </c>
      <c r="N3786" s="6">
        <f>IF(OR($G3786="FCC",$G3786="Hydrocracker",$G3786="Reformer"),IF(COUNTIFS($D:$D,$D3786,$A:$A,$A3786,$B:$B,$B3786,$G:$G,"CDU",$J:$J,"PLANNED")&gt;0,"tied","standalone"),"")</f>
        <v/>
      </c>
    </row>
    <row r="3787" spans="1:14">
      <c r="A3787" s="6">
        <v>2024</v>
      </c>
      <c r="B3787" s="6">
        <v>5</v>
      </c>
      <c r="C3787" s="6" t="s">
        <v>64</v>
      </c>
      <c r="D3787" s="6" t="s">
        <v>592</v>
      </c>
      <c r="E3787" s="6" t="s">
        <v>593</v>
      </c>
      <c r="F3787" s="6" t="str">
        <f>IF($M3787="PADD I","PADD 1",IF($M3787="PADD II","PADD 2",IF($M3787="PADD III","PADD 3",IF($M3787="PADD IV","PADD 4",IF($M3787="PADD V","PADD 5","")))))</f>
        <v>PADD 2</v>
      </c>
      <c r="G3787" s="6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6" t="s">
        <v>44</v>
      </c>
      <c r="I3787" s="6" t="s">
        <v>601</v>
      </c>
      <c r="J3787" s="6" t="s">
        <v>398</v>
      </c>
      <c r="K3787" s="10">
        <v>4.8</v>
      </c>
      <c r="L3787" s="10">
        <v>10</v>
      </c>
      <c r="M3787" s="6" t="s">
        <v>425</v>
      </c>
      <c r="N3787" s="6">
        <f>IF(OR($G3787="FCC",$G3787="Hydrocracker",$G3787="Reformer"),IF(COUNTIFS($D:$D,$D3787,$A:$A,$A3787,$B:$B,$B3787,$G:$G,"CDU",$J:$J,"PLANNED")&gt;0,"tied","standalone"),"")</f>
        <v/>
      </c>
    </row>
    <row r="3788" spans="1:14">
      <c r="A3788" s="6">
        <v>2024</v>
      </c>
      <c r="B3788" s="6">
        <v>5</v>
      </c>
      <c r="C3788" s="6" t="s">
        <v>64</v>
      </c>
      <c r="D3788" s="6" t="s">
        <v>839</v>
      </c>
      <c r="E3788" s="6" t="s">
        <v>840</v>
      </c>
      <c r="F3788" s="6" t="str">
        <f>IF($M3788="PADD I","PADD 1",IF($M3788="PADD II","PADD 2",IF($M3788="PADD III","PADD 3",IF($M3788="PADD IV","PADD 4",IF($M3788="PADD V","PADD 5","")))))</f>
        <v>PADD 3</v>
      </c>
      <c r="G3788" s="6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6" t="s">
        <v>39</v>
      </c>
      <c r="I3788" s="6" t="s">
        <v>1234</v>
      </c>
      <c r="J3788" s="6" t="s">
        <v>398</v>
      </c>
      <c r="K3788" s="10">
        <v>4.75</v>
      </c>
      <c r="L3788" s="10">
        <v>25</v>
      </c>
      <c r="M3788" s="6" t="s">
        <v>421</v>
      </c>
      <c r="N3788" s="6">
        <f>IF(OR($G3788="FCC",$G3788="Hydrocracker",$G3788="Reformer"),IF(COUNTIFS($D:$D,$D3788,$A:$A,$A3788,$B:$B,$B3788,$G:$G,"CDU",$J:$J,"PLANNED")&gt;0,"tied","standalone"),"")</f>
        <v/>
      </c>
    </row>
    <row r="3789" spans="1:14">
      <c r="A3789" s="6">
        <v>2024</v>
      </c>
      <c r="B3789" s="6">
        <v>5</v>
      </c>
      <c r="C3789" s="6" t="s">
        <v>64</v>
      </c>
      <c r="D3789" s="6" t="s">
        <v>422</v>
      </c>
      <c r="E3789" s="6" t="s">
        <v>423</v>
      </c>
      <c r="F3789" s="6" t="str">
        <f>IF($M3789="PADD I","PADD 1",IF($M3789="PADD II","PADD 2",IF($M3789="PADD III","PADD 3",IF($M3789="PADD IV","PADD 4",IF($M3789="PADD V","PADD 5","")))))</f>
        <v>PADD 2</v>
      </c>
      <c r="G3789" s="6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6" t="s">
        <v>485</v>
      </c>
      <c r="I3789" s="6" t="s">
        <v>517</v>
      </c>
      <c r="J3789" s="6" t="s">
        <v>394</v>
      </c>
      <c r="K3789" s="10">
        <v>4.75</v>
      </c>
      <c r="L3789" s="10">
        <v>25</v>
      </c>
      <c r="M3789" s="6" t="s">
        <v>425</v>
      </c>
      <c r="N3789" s="6">
        <f>IF(OR($G3789="FCC",$G3789="Hydrocracker",$G3789="Reformer"),IF(COUNTIFS($D:$D,$D3789,$A:$A,$A3789,$B:$B,$B3789,$G:$G,"CDU",$J:$J,"PLANNED")&gt;0,"tied","standalone"),"")</f>
        <v/>
      </c>
    </row>
    <row r="3790" spans="1:14">
      <c r="A3790" s="6">
        <v>2024</v>
      </c>
      <c r="B3790" s="6">
        <v>5</v>
      </c>
      <c r="C3790" s="6" t="s">
        <v>64</v>
      </c>
      <c r="D3790" s="6" t="s">
        <v>550</v>
      </c>
      <c r="E3790" s="6" t="s">
        <v>438</v>
      </c>
      <c r="F3790" s="6" t="str">
        <f>IF($M3790="PADD I","PADD 1",IF($M3790="PADD II","PADD 2",IF($M3790="PADD III","PADD 3",IF($M3790="PADD IV","PADD 4",IF($M3790="PADD V","PADD 5","")))))</f>
        <v>PADD 2</v>
      </c>
      <c r="G3790" s="6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6" t="s">
        <v>44</v>
      </c>
      <c r="I3790" s="6" t="s">
        <v>968</v>
      </c>
      <c r="J3790" s="6" t="s">
        <v>398</v>
      </c>
      <c r="K3790" s="10">
        <v>4.75</v>
      </c>
      <c r="L3790" s="10">
        <v>25</v>
      </c>
      <c r="M3790" s="6" t="s">
        <v>425</v>
      </c>
      <c r="N3790" s="6">
        <f>IF(OR($G3790="FCC",$G3790="Hydrocracker",$G3790="Reformer"),IF(COUNTIFS($D:$D,$D3790,$A:$A,$A3790,$B:$B,$B3790,$G:$G,"CDU",$J:$J,"PLANNED")&gt;0,"tied","standalone"),"")</f>
        <v/>
      </c>
    </row>
    <row r="3791" spans="1:14">
      <c r="A3791" s="6">
        <v>2024</v>
      </c>
      <c r="B3791" s="6">
        <v>5</v>
      </c>
      <c r="C3791" s="6" t="s">
        <v>64</v>
      </c>
      <c r="D3791" s="6" t="s">
        <v>375</v>
      </c>
      <c r="E3791" s="6" t="s">
        <v>435</v>
      </c>
      <c r="F3791" s="6" t="str">
        <f>IF($M3791="PADD I","PADD 1",IF($M3791="PADD II","PADD 2",IF($M3791="PADD III","PADD 3",IF($M3791="PADD IV","PADD 4",IF($M3791="PADD V","PADD 5","")))))</f>
        <v>PADD 5</v>
      </c>
      <c r="G3791" s="6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6" t="s">
        <v>39</v>
      </c>
      <c r="I3791" s="6" t="s">
        <v>94</v>
      </c>
      <c r="J3791" s="6" t="s">
        <v>394</v>
      </c>
      <c r="K3791" s="10">
        <v>4.74</v>
      </c>
      <c r="L3791" s="10">
        <v>158</v>
      </c>
      <c r="M3791" s="6" t="s">
        <v>436</v>
      </c>
      <c r="N3791" s="6">
        <f>IF(OR($G3791="FCC",$G3791="Hydrocracker",$G3791="Reformer"),IF(COUNTIFS($D:$D,$D3791,$A:$A,$A3791,$B:$B,$B3791,$G:$G,"CDU",$J:$J,"PLANNED")&gt;0,"tied","standalone"),"")</f>
        <v/>
      </c>
    </row>
    <row r="3792" spans="1:14">
      <c r="A3792" s="6">
        <v>2024</v>
      </c>
      <c r="B3792" s="6">
        <v>5</v>
      </c>
      <c r="C3792" s="6" t="s">
        <v>64</v>
      </c>
      <c r="D3792" s="6" t="s">
        <v>51</v>
      </c>
      <c r="E3792" s="6" t="s">
        <v>431</v>
      </c>
      <c r="F3792" s="6" t="str">
        <f>IF($M3792="PADD I","PADD 1",IF($M3792="PADD II","PADD 2",IF($M3792="PADD III","PADD 3",IF($M3792="PADD IV","PADD 4",IF($M3792="PADD V","PADD 5","")))))</f>
        <v>PADD 3</v>
      </c>
      <c r="G3792" s="6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6" t="s">
        <v>39</v>
      </c>
      <c r="I3792" s="6" t="s">
        <v>819</v>
      </c>
      <c r="J3792" s="6" t="s">
        <v>398</v>
      </c>
      <c r="K3792" s="10">
        <v>4.71</v>
      </c>
      <c r="L3792" s="10">
        <v>157</v>
      </c>
      <c r="M3792" s="6" t="s">
        <v>421</v>
      </c>
      <c r="N3792" s="6">
        <f>IF(OR($G3792="FCC",$G3792="Hydrocracker",$G3792="Reformer"),IF(COUNTIFS($D:$D,$D3792,$A:$A,$A3792,$B:$B,$B3792,$G:$G,"CDU",$J:$J,"PLANNED")&gt;0,"tied","standalone"),"")</f>
        <v/>
      </c>
    </row>
    <row r="3793" spans="1:14">
      <c r="A3793" s="6">
        <v>2024</v>
      </c>
      <c r="B3793" s="6">
        <v>5</v>
      </c>
      <c r="C3793" s="6" t="s">
        <v>64</v>
      </c>
      <c r="D3793" s="6" t="s">
        <v>652</v>
      </c>
      <c r="E3793" s="6" t="s">
        <v>419</v>
      </c>
      <c r="F3793" s="6" t="str">
        <f>IF($M3793="PADD I","PADD 1",IF($M3793="PADD II","PADD 2",IF($M3793="PADD III","PADD 3",IF($M3793="PADD IV","PADD 4",IF($M3793="PADD V","PADD 5","")))))</f>
        <v>PADD 2</v>
      </c>
      <c r="G3793" s="6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6" t="s">
        <v>471</v>
      </c>
      <c r="I3793" s="6" t="s">
        <v>1173</v>
      </c>
      <c r="J3793" s="6" t="s">
        <v>398</v>
      </c>
      <c r="K3793" s="10">
        <v>4.6</v>
      </c>
      <c r="L3793" s="10">
        <v>20</v>
      </c>
      <c r="M3793" s="6" t="s">
        <v>425</v>
      </c>
      <c r="N3793" s="6" t="str">
        <f>IF(OR($G3793="FCC",$G3793="Hydrocracker",$G3793="Reformer"),IF(COUNTIFS($D:$D,$D3793,$A:$A,$A3793,$B:$B,$B3793,$G:$G,"CDU",$J:$J,"PLANNED")&gt;0,"tied","standalone"),"")</f>
        <v>standalone</v>
      </c>
    </row>
    <row r="3794" spans="1:14">
      <c r="A3794" s="6">
        <v>2024</v>
      </c>
      <c r="B3794" s="6">
        <v>5</v>
      </c>
      <c r="C3794" s="6" t="s">
        <v>64</v>
      </c>
      <c r="D3794" s="6" t="s">
        <v>765</v>
      </c>
      <c r="E3794" s="6" t="s">
        <v>766</v>
      </c>
      <c r="F3794" s="6" t="str">
        <f>IF($M3794="PADD I","PADD 1",IF($M3794="PADD II","PADD 2",IF($M3794="PADD III","PADD 3",IF($M3794="PADD IV","PADD 4",IF($M3794="PADD V","PADD 5","")))))</f>
        <v>PADD 2</v>
      </c>
      <c r="G3794" s="6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6" t="s">
        <v>39</v>
      </c>
      <c r="I3794" s="6" t="s">
        <v>1218</v>
      </c>
      <c r="J3794" s="6" t="s">
        <v>398</v>
      </c>
      <c r="K3794" s="10">
        <v>4.55</v>
      </c>
      <c r="L3794" s="10">
        <v>35</v>
      </c>
      <c r="M3794" s="6" t="s">
        <v>425</v>
      </c>
      <c r="N3794" s="6">
        <f>IF(OR($G3794="FCC",$G3794="Hydrocracker",$G3794="Reformer"),IF(COUNTIFS($D:$D,$D3794,$A:$A,$A3794,$B:$B,$B3794,$G:$G,"CDU",$J:$J,"PLANNED")&gt;0,"tied","standalone"),"")</f>
        <v/>
      </c>
    </row>
    <row r="3795" spans="1:14">
      <c r="A3795" s="6">
        <v>2024</v>
      </c>
      <c r="B3795" s="6">
        <v>5</v>
      </c>
      <c r="C3795" s="6" t="s">
        <v>64</v>
      </c>
      <c r="D3795" s="6" t="s">
        <v>789</v>
      </c>
      <c r="E3795" s="6" t="s">
        <v>455</v>
      </c>
      <c r="F3795" s="6" t="str">
        <f>IF($M3795="PADD I","PADD 1",IF($M3795="PADD II","PADD 2",IF($M3795="PADD III","PADD 3",IF($M3795="PADD IV","PADD 4",IF($M3795="PADD V","PADD 5","")))))</f>
        <v>PADD 2</v>
      </c>
      <c r="G3795" s="6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6" t="s">
        <v>44</v>
      </c>
      <c r="I3795" s="6" t="s">
        <v>543</v>
      </c>
      <c r="J3795" s="6" t="s">
        <v>394</v>
      </c>
      <c r="K3795" s="10">
        <v>4.24</v>
      </c>
      <c r="L3795" s="10">
        <v>26.5</v>
      </c>
      <c r="M3795" s="6" t="s">
        <v>425</v>
      </c>
      <c r="N3795" s="6">
        <f>IF(OR($G3795="FCC",$G3795="Hydrocracker",$G3795="Reformer"),IF(COUNTIFS($D:$D,$D3795,$A:$A,$A3795,$B:$B,$B3795,$G:$G,"CDU",$J:$J,"PLANNED")&gt;0,"tied","standalone"),"")</f>
        <v/>
      </c>
    </row>
    <row r="3796" spans="1:14">
      <c r="A3796" s="6">
        <v>2024</v>
      </c>
      <c r="B3796" s="6">
        <v>5</v>
      </c>
      <c r="C3796" s="6" t="s">
        <v>64</v>
      </c>
      <c r="D3796" s="6" t="s">
        <v>382</v>
      </c>
      <c r="E3796" s="6" t="s">
        <v>431</v>
      </c>
      <c r="F3796" s="6" t="str">
        <f>IF($M3796="PADD I","PADD 1",IF($M3796="PADD II","PADD 2",IF($M3796="PADD III","PADD 3",IF($M3796="PADD IV","PADD 4",IF($M3796="PADD V","PADD 5","")))))</f>
        <v>PADD 3</v>
      </c>
      <c r="G3796" s="6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6" t="s">
        <v>39</v>
      </c>
      <c r="I3796" s="6" t="s">
        <v>587</v>
      </c>
      <c r="J3796" s="6" t="s">
        <v>394</v>
      </c>
      <c r="K3796" s="10">
        <v>4.2</v>
      </c>
      <c r="L3796" s="10">
        <v>70</v>
      </c>
      <c r="M3796" s="6" t="s">
        <v>421</v>
      </c>
      <c r="N3796" s="6">
        <f>IF(OR($G3796="FCC",$G3796="Hydrocracker",$G3796="Reformer"),IF(COUNTIFS($D:$D,$D3796,$A:$A,$A3796,$B:$B,$B3796,$G:$G,"CDU",$J:$J,"PLANNED")&gt;0,"tied","standalone"),"")</f>
        <v/>
      </c>
    </row>
    <row r="3797" spans="1:14">
      <c r="A3797" s="6">
        <v>2024</v>
      </c>
      <c r="B3797" s="6">
        <v>5</v>
      </c>
      <c r="C3797" s="6" t="s">
        <v>64</v>
      </c>
      <c r="D3797" s="6" t="s">
        <v>789</v>
      </c>
      <c r="E3797" s="6" t="s">
        <v>455</v>
      </c>
      <c r="F3797" s="6" t="str">
        <f>IF($M3797="PADD I","PADD 1",IF($M3797="PADD II","PADD 2",IF($M3797="PADD III","PADD 3",IF($M3797="PADD IV","PADD 4",IF($M3797="PADD V","PADD 5","")))))</f>
        <v>PADD 2</v>
      </c>
      <c r="G3797" s="6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6" t="s">
        <v>44</v>
      </c>
      <c r="I3797" s="6" t="s">
        <v>790</v>
      </c>
      <c r="J3797" s="6" t="s">
        <v>394</v>
      </c>
      <c r="K3797" s="10">
        <v>4.16</v>
      </c>
      <c r="L3797" s="10">
        <v>32</v>
      </c>
      <c r="M3797" s="6" t="s">
        <v>425</v>
      </c>
      <c r="N3797" s="6">
        <f>IF(OR($G3797="FCC",$G3797="Hydrocracker",$G3797="Reformer"),IF(COUNTIFS($D:$D,$D3797,$A:$A,$A3797,$B:$B,$B3797,$G:$G,"CDU",$J:$J,"PLANNED")&gt;0,"tied","standalone"),"")</f>
        <v/>
      </c>
    </row>
    <row r="3798" spans="1:14">
      <c r="A3798" s="6">
        <v>2024</v>
      </c>
      <c r="B3798" s="6">
        <v>5</v>
      </c>
      <c r="C3798" s="6" t="s">
        <v>64</v>
      </c>
      <c r="D3798" s="6" t="s">
        <v>496</v>
      </c>
      <c r="E3798" s="6" t="s">
        <v>441</v>
      </c>
      <c r="F3798" s="6" t="str">
        <f>IF($M3798="PADD I","PADD 1",IF($M3798="PADD II","PADD 2",IF($M3798="PADD III","PADD 3",IF($M3798="PADD IV","PADD 4",IF($M3798="PADD V","PADD 5","")))))</f>
        <v>PADD 3</v>
      </c>
      <c r="G3798" s="6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6" t="s">
        <v>471</v>
      </c>
      <c r="I3798" s="6" t="s">
        <v>533</v>
      </c>
      <c r="J3798" s="6" t="s">
        <v>394</v>
      </c>
      <c r="K3798" s="10">
        <v>3.84</v>
      </c>
      <c r="L3798" s="10">
        <v>24</v>
      </c>
      <c r="M3798" s="6" t="s">
        <v>421</v>
      </c>
      <c r="N3798" s="6" t="str">
        <f>IF(OR($G3798="FCC",$G3798="Hydrocracker",$G3798="Reformer"),IF(COUNTIFS($D:$D,$D3798,$A:$A,$A3798,$B:$B,$B3798,$G:$G,"CDU",$J:$J,"PLANNED")&gt;0,"tied","standalone"),"")</f>
        <v>standalone</v>
      </c>
    </row>
    <row r="3799" spans="1:14">
      <c r="A3799" s="6">
        <v>2024</v>
      </c>
      <c r="B3799" s="6">
        <v>5</v>
      </c>
      <c r="C3799" s="6" t="s">
        <v>64</v>
      </c>
      <c r="D3799" s="6" t="s">
        <v>507</v>
      </c>
      <c r="E3799" s="6" t="s">
        <v>438</v>
      </c>
      <c r="F3799" s="6" t="str">
        <f>IF($M3799="PADD I","PADD 1",IF($M3799="PADD II","PADD 2",IF($M3799="PADD III","PADD 3",IF($M3799="PADD IV","PADD 4",IF($M3799="PADD V","PADD 5","")))))</f>
        <v>PADD 5</v>
      </c>
      <c r="G3799" s="6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6" t="s">
        <v>471</v>
      </c>
      <c r="I3799" s="6" t="s">
        <v>607</v>
      </c>
      <c r="J3799" s="6" t="s">
        <v>394</v>
      </c>
      <c r="K3799" s="10">
        <v>3.8</v>
      </c>
      <c r="L3799" s="10">
        <v>20</v>
      </c>
      <c r="M3799" s="6" t="s">
        <v>436</v>
      </c>
      <c r="N3799" s="6" t="str">
        <f>IF(OR($G3799="FCC",$G3799="Hydrocracker",$G3799="Reformer"),IF(COUNTIFS($D:$D,$D3799,$A:$A,$A3799,$B:$B,$B3799,$G:$G,"CDU",$J:$J,"PLANNED")&gt;0,"tied","standalone"),"")</f>
        <v>standalone</v>
      </c>
    </row>
    <row r="3800" spans="1:14">
      <c r="A3800" s="6">
        <v>2024</v>
      </c>
      <c r="B3800" s="6">
        <v>5</v>
      </c>
      <c r="C3800" s="6" t="s">
        <v>64</v>
      </c>
      <c r="D3800" s="6" t="s">
        <v>652</v>
      </c>
      <c r="E3800" s="6" t="s">
        <v>419</v>
      </c>
      <c r="F3800" s="6" t="str">
        <f>IF($M3800="PADD I","PADD 1",IF($M3800="PADD II","PADD 2",IF($M3800="PADD III","PADD 3",IF($M3800="PADD IV","PADD 4",IF($M3800="PADD V","PADD 5","")))))</f>
        <v>PADD 2</v>
      </c>
      <c r="G3800" s="6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6" t="s">
        <v>485</v>
      </c>
      <c r="I3800" s="6" t="s">
        <v>491</v>
      </c>
      <c r="J3800" s="6" t="s">
        <v>394</v>
      </c>
      <c r="K3800" s="10">
        <v>3.696</v>
      </c>
      <c r="L3800" s="10">
        <v>23.1</v>
      </c>
      <c r="M3800" s="6" t="s">
        <v>425</v>
      </c>
      <c r="N3800" s="6">
        <f>IF(OR($G3800="FCC",$G3800="Hydrocracker",$G3800="Reformer"),IF(COUNTIFS($D:$D,$D3800,$A:$A,$A3800,$B:$B,$B3800,$G:$G,"CDU",$J:$J,"PLANNED")&gt;0,"tied","standalone"),"")</f>
        <v/>
      </c>
    </row>
    <row r="3801" spans="1:14">
      <c r="A3801" s="6">
        <v>2024</v>
      </c>
      <c r="B3801" s="6">
        <v>5</v>
      </c>
      <c r="C3801" s="6" t="s">
        <v>64</v>
      </c>
      <c r="D3801" s="6" t="s">
        <v>518</v>
      </c>
      <c r="E3801" s="6" t="s">
        <v>419</v>
      </c>
      <c r="F3801" s="6" t="str">
        <f>IF($M3801="PADD I","PADD 1",IF($M3801="PADD II","PADD 2",IF($M3801="PADD III","PADD 3",IF($M3801="PADD IV","PADD 4",IF($M3801="PADD V","PADD 5","")))))</f>
        <v>PADD 3</v>
      </c>
      <c r="G3801" s="6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6" t="s">
        <v>618</v>
      </c>
      <c r="I3801" s="6" t="s">
        <v>1242</v>
      </c>
      <c r="J3801" s="6" t="s">
        <v>398</v>
      </c>
      <c r="K3801" s="10">
        <v>3.51</v>
      </c>
      <c r="L3801" s="10">
        <v>9</v>
      </c>
      <c r="M3801" s="6" t="s">
        <v>421</v>
      </c>
      <c r="N3801" s="6">
        <f>IF(OR($G3801="FCC",$G3801="Hydrocracker",$G3801="Reformer"),IF(COUNTIFS($D:$D,$D3801,$A:$A,$A3801,$B:$B,$B3801,$G:$G,"CDU",$J:$J,"PLANNED")&gt;0,"tied","standalone"),"")</f>
        <v/>
      </c>
    </row>
    <row r="3802" spans="1:14">
      <c r="A3802" s="6">
        <v>2024</v>
      </c>
      <c r="B3802" s="6">
        <v>5</v>
      </c>
      <c r="C3802" s="6" t="s">
        <v>64</v>
      </c>
      <c r="D3802" s="6" t="s">
        <v>51</v>
      </c>
      <c r="E3802" s="6" t="s">
        <v>431</v>
      </c>
      <c r="F3802" s="6" t="str">
        <f>IF($M3802="PADD I","PADD 1",IF($M3802="PADD II","PADD 2",IF($M3802="PADD III","PADD 3",IF($M3802="PADD IV","PADD 4",IF($M3802="PADD V","PADD 5","")))))</f>
        <v>PADD 3</v>
      </c>
      <c r="G3802" s="6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6" t="s">
        <v>39</v>
      </c>
      <c r="I3802" s="6" t="s">
        <v>390</v>
      </c>
      <c r="J3802" s="6" t="s">
        <v>398</v>
      </c>
      <c r="K3802" s="10">
        <v>3.24</v>
      </c>
      <c r="L3802" s="10">
        <v>108</v>
      </c>
      <c r="M3802" s="6" t="s">
        <v>421</v>
      </c>
      <c r="N3802" s="6">
        <f>IF(OR($G3802="FCC",$G3802="Hydrocracker",$G3802="Reformer"),IF(COUNTIFS($D:$D,$D3802,$A:$A,$A3802,$B:$B,$B3802,$G:$G,"CDU",$J:$J,"PLANNED")&gt;0,"tied","standalone"),"")</f>
        <v/>
      </c>
    </row>
    <row r="3803" spans="1:14">
      <c r="A3803" s="6">
        <v>2024</v>
      </c>
      <c r="B3803" s="6">
        <v>5</v>
      </c>
      <c r="C3803" s="6" t="s">
        <v>64</v>
      </c>
      <c r="D3803" s="6" t="s">
        <v>384</v>
      </c>
      <c r="E3803" s="6" t="s">
        <v>419</v>
      </c>
      <c r="F3803" s="6" t="str">
        <f>IF($M3803="PADD I","PADD 1",IF($M3803="PADD II","PADD 2",IF($M3803="PADD III","PADD 3",IF($M3803="PADD IV","PADD 4",IF($M3803="PADD V","PADD 5","")))))</f>
        <v>PADD 3</v>
      </c>
      <c r="G3803" s="6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6" t="s">
        <v>44</v>
      </c>
      <c r="I3803" s="6" t="s">
        <v>1254</v>
      </c>
      <c r="J3803" s="6" t="s">
        <v>398</v>
      </c>
      <c r="K3803" s="10">
        <v>3.21</v>
      </c>
      <c r="L3803" s="10">
        <v>107</v>
      </c>
      <c r="M3803" s="6" t="s">
        <v>421</v>
      </c>
      <c r="N3803" s="6">
        <f>IF(OR($G3803="FCC",$G3803="Hydrocracker",$G3803="Reformer"),IF(COUNTIFS($D:$D,$D3803,$A:$A,$A3803,$B:$B,$B3803,$G:$G,"CDU",$J:$J,"PLANNED")&gt;0,"tied","standalone"),"")</f>
        <v/>
      </c>
    </row>
    <row r="3804" spans="1:14">
      <c r="A3804" s="6">
        <v>2024</v>
      </c>
      <c r="B3804" s="6">
        <v>5</v>
      </c>
      <c r="C3804" s="6" t="s">
        <v>64</v>
      </c>
      <c r="D3804" s="6" t="s">
        <v>853</v>
      </c>
      <c r="E3804" s="6" t="s">
        <v>438</v>
      </c>
      <c r="F3804" s="6" t="str">
        <f>IF($M3804="PADD I","PADD 1",IF($M3804="PADD II","PADD 2",IF($M3804="PADD III","PADD 3",IF($M3804="PADD IV","PADD 4",IF($M3804="PADD V","PADD 5","")))))</f>
        <v>PADD 2</v>
      </c>
      <c r="G3804" s="6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6" t="s">
        <v>44</v>
      </c>
      <c r="I3804" s="6" t="s">
        <v>919</v>
      </c>
      <c r="J3804" s="6" t="s">
        <v>398</v>
      </c>
      <c r="K3804" s="10">
        <v>3.2</v>
      </c>
      <c r="L3804" s="10">
        <v>10</v>
      </c>
      <c r="M3804" s="6" t="s">
        <v>425</v>
      </c>
      <c r="N3804" s="6">
        <f>IF(OR($G3804="FCC",$G3804="Hydrocracker",$G3804="Reformer"),IF(COUNTIFS($D:$D,$D3804,$A:$A,$A3804,$B:$B,$B3804,$G:$G,"CDU",$J:$J,"PLANNED")&gt;0,"tied","standalone"),"")</f>
        <v/>
      </c>
    </row>
    <row r="3805" spans="1:14">
      <c r="A3805" s="6">
        <v>2024</v>
      </c>
      <c r="B3805" s="6">
        <v>5</v>
      </c>
      <c r="C3805" s="6" t="s">
        <v>64</v>
      </c>
      <c r="D3805" s="6" t="s">
        <v>789</v>
      </c>
      <c r="E3805" s="6" t="s">
        <v>455</v>
      </c>
      <c r="F3805" s="6" t="str">
        <f>IF($M3805="PADD I","PADD 1",IF($M3805="PADD II","PADD 2",IF($M3805="PADD III","PADD 3",IF($M3805="PADD IV","PADD 4",IF($M3805="PADD V","PADD 5","")))))</f>
        <v>PADD 2</v>
      </c>
      <c r="G3805" s="6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6" t="s">
        <v>44</v>
      </c>
      <c r="I3805" s="6" t="s">
        <v>1246</v>
      </c>
      <c r="J3805" s="6" t="s">
        <v>394</v>
      </c>
      <c r="K3805" s="10">
        <v>3.2</v>
      </c>
      <c r="L3805" s="10">
        <v>20</v>
      </c>
      <c r="M3805" s="6" t="s">
        <v>425</v>
      </c>
      <c r="N3805" s="6">
        <f>IF(OR($G3805="FCC",$G3805="Hydrocracker",$G3805="Reformer"),IF(COUNTIFS($D:$D,$D3805,$A:$A,$A3805,$B:$B,$B3805,$G:$G,"CDU",$J:$J,"PLANNED")&gt;0,"tied","standalone"),"")</f>
        <v/>
      </c>
    </row>
    <row r="3806" spans="1:14">
      <c r="A3806" s="6">
        <v>2024</v>
      </c>
      <c r="B3806" s="6">
        <v>5</v>
      </c>
      <c r="C3806" s="6" t="s">
        <v>64</v>
      </c>
      <c r="D3806" s="6" t="s">
        <v>838</v>
      </c>
      <c r="E3806" s="6" t="s">
        <v>455</v>
      </c>
      <c r="F3806" s="6" t="str">
        <f>IF($M3806="PADD I","PADD 1",IF($M3806="PADD II","PADD 2",IF($M3806="PADD III","PADD 3",IF($M3806="PADD IV","PADD 4",IF($M3806="PADD V","PADD 5","")))))</f>
        <v>PADD 3</v>
      </c>
      <c r="G3806" s="6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6" t="s">
        <v>471</v>
      </c>
      <c r="I3806" s="6" t="s">
        <v>832</v>
      </c>
      <c r="J3806" s="6" t="s">
        <v>394</v>
      </c>
      <c r="K3806" s="10">
        <v>3.2</v>
      </c>
      <c r="L3806" s="10">
        <v>32</v>
      </c>
      <c r="M3806" s="6" t="s">
        <v>421</v>
      </c>
      <c r="N3806" s="6" t="str">
        <f>IF(OR($G3806="FCC",$G3806="Hydrocracker",$G3806="Reformer"),IF(COUNTIFS($D:$D,$D3806,$A:$A,$A3806,$B:$B,$B3806,$G:$G,"CDU",$J:$J,"PLANNED")&gt;0,"tied","standalone"),"")</f>
        <v>standalone</v>
      </c>
    </row>
    <row r="3807" spans="1:14">
      <c r="A3807" s="6">
        <v>2024</v>
      </c>
      <c r="B3807" s="6">
        <v>5</v>
      </c>
      <c r="C3807" s="6" t="s">
        <v>64</v>
      </c>
      <c r="D3807" s="6" t="s">
        <v>789</v>
      </c>
      <c r="E3807" s="6" t="s">
        <v>455</v>
      </c>
      <c r="F3807" s="6" t="str">
        <f>IF($M3807="PADD I","PADD 1",IF($M3807="PADD II","PADD 2",IF($M3807="PADD III","PADD 3",IF($M3807="PADD IV","PADD 4",IF($M3807="PADD V","PADD 5","")))))</f>
        <v>PADD 2</v>
      </c>
      <c r="G3807" s="6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6" t="s">
        <v>471</v>
      </c>
      <c r="I3807" s="6" t="s">
        <v>832</v>
      </c>
      <c r="J3807" s="6" t="s">
        <v>394</v>
      </c>
      <c r="K3807" s="10">
        <v>3</v>
      </c>
      <c r="L3807" s="10">
        <v>30</v>
      </c>
      <c r="M3807" s="6" t="s">
        <v>425</v>
      </c>
      <c r="N3807" s="6" t="str">
        <f>IF(OR($G3807="FCC",$G3807="Hydrocracker",$G3807="Reformer"),IF(COUNTIFS($D:$D,$D3807,$A:$A,$A3807,$B:$B,$B3807,$G:$G,"CDU",$J:$J,"PLANNED")&gt;0,"tied","standalone"),"")</f>
        <v>standalone</v>
      </c>
    </row>
    <row r="3808" spans="1:14">
      <c r="A3808" s="6">
        <v>2024</v>
      </c>
      <c r="B3808" s="6">
        <v>5</v>
      </c>
      <c r="C3808" s="6" t="s">
        <v>64</v>
      </c>
      <c r="D3808" s="6" t="s">
        <v>789</v>
      </c>
      <c r="E3808" s="6" t="s">
        <v>455</v>
      </c>
      <c r="F3808" s="6" t="str">
        <f>IF($M3808="PADD I","PADD 1",IF($M3808="PADD II","PADD 2",IF($M3808="PADD III","PADD 3",IF($M3808="PADD IV","PADD 4",IF($M3808="PADD V","PADD 5","")))))</f>
        <v>PADD 2</v>
      </c>
      <c r="G3808" s="6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6" t="s">
        <v>39</v>
      </c>
      <c r="I3808" s="6" t="s">
        <v>134</v>
      </c>
      <c r="J3808" s="6" t="s">
        <v>394</v>
      </c>
      <c r="K3808" s="10">
        <v>2.745</v>
      </c>
      <c r="L3808" s="10">
        <v>91.5</v>
      </c>
      <c r="M3808" s="6" t="s">
        <v>425</v>
      </c>
      <c r="N3808" s="6">
        <f>IF(OR($G3808="FCC",$G3808="Hydrocracker",$G3808="Reformer"),IF(COUNTIFS($D:$D,$D3808,$A:$A,$A3808,$B:$B,$B3808,$G:$G,"CDU",$J:$J,"PLANNED")&gt;0,"tied","standalone"),"")</f>
        <v/>
      </c>
    </row>
    <row r="3809" spans="1:14">
      <c r="A3809" s="6">
        <v>2024</v>
      </c>
      <c r="B3809" s="6">
        <v>5</v>
      </c>
      <c r="C3809" s="6" t="s">
        <v>64</v>
      </c>
      <c r="D3809" s="6" t="s">
        <v>375</v>
      </c>
      <c r="E3809" s="6" t="s">
        <v>435</v>
      </c>
      <c r="F3809" s="6" t="str">
        <f>IF($M3809="PADD I","PADD 1",IF($M3809="PADD II","PADD 2",IF($M3809="PADD III","PADD 3",IF($M3809="PADD IV","PADD 4",IF($M3809="PADD V","PADD 5","")))))</f>
        <v>PADD 5</v>
      </c>
      <c r="G3809" s="6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6" t="s">
        <v>485</v>
      </c>
      <c r="I3809" s="6" t="s">
        <v>863</v>
      </c>
      <c r="J3809" s="6" t="s">
        <v>394</v>
      </c>
      <c r="K3809" s="10">
        <v>2.5</v>
      </c>
      <c r="L3809" s="10">
        <v>25</v>
      </c>
      <c r="M3809" s="6" t="s">
        <v>436</v>
      </c>
      <c r="N3809" s="6">
        <f>IF(OR($G3809="FCC",$G3809="Hydrocracker",$G3809="Reformer"),IF(COUNTIFS($D:$D,$D3809,$A:$A,$A3809,$B:$B,$B3809,$G:$G,"CDU",$J:$J,"PLANNED")&gt;0,"tied","standalone"),"")</f>
        <v/>
      </c>
    </row>
    <row r="3810" spans="1:14">
      <c r="A3810" s="6">
        <v>2024</v>
      </c>
      <c r="B3810" s="6">
        <v>5</v>
      </c>
      <c r="C3810" s="6" t="s">
        <v>64</v>
      </c>
      <c r="D3810" s="6" t="s">
        <v>496</v>
      </c>
      <c r="E3810" s="6" t="s">
        <v>441</v>
      </c>
      <c r="F3810" s="6" t="str">
        <f>IF($M3810="PADD I","PADD 1",IF($M3810="PADD II","PADD 2",IF($M3810="PADD III","PADD 3",IF($M3810="PADD IV","PADD 4",IF($M3810="PADD V","PADD 5","")))))</f>
        <v>PADD 3</v>
      </c>
      <c r="G3810" s="6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6" t="s">
        <v>428</v>
      </c>
      <c r="I3810" s="6" t="s">
        <v>1091</v>
      </c>
      <c r="J3810" s="6" t="s">
        <v>398</v>
      </c>
      <c r="K3810" s="10">
        <v>2.28</v>
      </c>
      <c r="L3810" s="10">
        <v>38</v>
      </c>
      <c r="M3810" s="6" t="s">
        <v>421</v>
      </c>
      <c r="N3810" s="6">
        <f>IF(OR($G3810="FCC",$G3810="Hydrocracker",$G3810="Reformer"),IF(COUNTIFS($D:$D,$D3810,$A:$A,$A3810,$B:$B,$B3810,$G:$G,"CDU",$J:$J,"PLANNED")&gt;0,"tied","standalone"),"")</f>
        <v/>
      </c>
    </row>
    <row r="3811" spans="1:14">
      <c r="A3811" s="6">
        <v>2024</v>
      </c>
      <c r="B3811" s="6">
        <v>5</v>
      </c>
      <c r="C3811" s="6" t="s">
        <v>64</v>
      </c>
      <c r="D3811" s="6" t="s">
        <v>518</v>
      </c>
      <c r="E3811" s="6" t="s">
        <v>419</v>
      </c>
      <c r="F3811" s="6" t="str">
        <f>IF($M3811="PADD I","PADD 1",IF($M3811="PADD II","PADD 2",IF($M3811="PADD III","PADD 3",IF($M3811="PADD IV","PADD 4",IF($M3811="PADD V","PADD 5","")))))</f>
        <v>PADD 3</v>
      </c>
      <c r="G3811" s="6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6" t="s">
        <v>471</v>
      </c>
      <c r="I3811" s="6" t="s">
        <v>685</v>
      </c>
      <c r="J3811" s="6" t="s">
        <v>394</v>
      </c>
      <c r="K3811" s="10">
        <v>2.24</v>
      </c>
      <c r="L3811" s="10">
        <v>7</v>
      </c>
      <c r="M3811" s="6" t="s">
        <v>421</v>
      </c>
      <c r="N3811" s="6" t="str">
        <f>IF(OR($G3811="FCC",$G3811="Hydrocracker",$G3811="Reformer"),IF(COUNTIFS($D:$D,$D3811,$A:$A,$A3811,$B:$B,$B3811,$G:$G,"CDU",$J:$J,"PLANNED")&gt;0,"tied","standalone"),"")</f>
        <v>standalone</v>
      </c>
    </row>
    <row r="3812" spans="1:14">
      <c r="A3812" s="6">
        <v>2024</v>
      </c>
      <c r="B3812" s="6">
        <v>5</v>
      </c>
      <c r="C3812" s="6" t="s">
        <v>64</v>
      </c>
      <c r="D3812" s="6" t="s">
        <v>375</v>
      </c>
      <c r="E3812" s="6" t="s">
        <v>435</v>
      </c>
      <c r="F3812" s="6" t="str">
        <f>IF($M3812="PADD I","PADD 1",IF($M3812="PADD II","PADD 2",IF($M3812="PADD III","PADD 3",IF($M3812="PADD IV","PADD 4",IF($M3812="PADD V","PADD 5","")))))</f>
        <v>PADD 5</v>
      </c>
      <c r="G3812" s="6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6" t="s">
        <v>485</v>
      </c>
      <c r="I3812" s="6" t="s">
        <v>491</v>
      </c>
      <c r="J3812" s="6" t="s">
        <v>398</v>
      </c>
      <c r="K3812" s="10">
        <v>2.2</v>
      </c>
      <c r="L3812" s="10">
        <v>22</v>
      </c>
      <c r="M3812" s="6" t="s">
        <v>436</v>
      </c>
      <c r="N3812" s="6">
        <f>IF(OR($G3812="FCC",$G3812="Hydrocracker",$G3812="Reformer"),IF(COUNTIFS($D:$D,$D3812,$A:$A,$A3812,$B:$B,$B3812,$G:$G,"CDU",$J:$J,"PLANNED")&gt;0,"tied","standalone"),"")</f>
        <v/>
      </c>
    </row>
    <row r="3813" spans="1:14">
      <c r="A3813" s="6">
        <v>2024</v>
      </c>
      <c r="B3813" s="6">
        <v>5</v>
      </c>
      <c r="C3813" s="6" t="s">
        <v>64</v>
      </c>
      <c r="D3813" s="6" t="s">
        <v>901</v>
      </c>
      <c r="E3813" s="6" t="s">
        <v>902</v>
      </c>
      <c r="F3813" s="6" t="str">
        <f>IF($M3813="PADD I","PADD 1",IF($M3813="PADD II","PADD 2",IF($M3813="PADD III","PADD 3",IF($M3813="PADD IV","PADD 4",IF($M3813="PADD V","PADD 5","")))))</f>
        <v>PADD 3</v>
      </c>
      <c r="G3813" s="6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6" t="s">
        <v>39</v>
      </c>
      <c r="I3813" s="6" t="s">
        <v>904</v>
      </c>
      <c r="J3813" s="6" t="s">
        <v>394</v>
      </c>
      <c r="K3813" s="10">
        <v>2.19</v>
      </c>
      <c r="L3813" s="10">
        <v>73</v>
      </c>
      <c r="M3813" s="6" t="s">
        <v>421</v>
      </c>
      <c r="N3813" s="6">
        <f>IF(OR($G3813="FCC",$G3813="Hydrocracker",$G3813="Reformer"),IF(COUNTIFS($D:$D,$D3813,$A:$A,$A3813,$B:$B,$B3813,$G:$G,"CDU",$J:$J,"PLANNED")&gt;0,"tied","standalone"),"")</f>
        <v/>
      </c>
    </row>
    <row r="3814" spans="1:14">
      <c r="A3814" s="6">
        <v>2024</v>
      </c>
      <c r="B3814" s="6">
        <v>5</v>
      </c>
      <c r="C3814" s="6" t="s">
        <v>64</v>
      </c>
      <c r="D3814" s="6" t="s">
        <v>812</v>
      </c>
      <c r="E3814" s="6" t="s">
        <v>813</v>
      </c>
      <c r="F3814" s="6" t="str">
        <f>IF($M3814="PADD I","PADD 1",IF($M3814="PADD II","PADD 2",IF($M3814="PADD III","PADD 3",IF($M3814="PADD IV","PADD 4",IF($M3814="PADD V","PADD 5","")))))</f>
        <v>PADD 2</v>
      </c>
      <c r="G3814" s="6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6" t="s">
        <v>618</v>
      </c>
      <c r="I3814" s="6" t="s">
        <v>1251</v>
      </c>
      <c r="J3814" s="6" t="s">
        <v>394</v>
      </c>
      <c r="K3814" s="10">
        <v>2.135</v>
      </c>
      <c r="L3814" s="10">
        <v>3.5</v>
      </c>
      <c r="M3814" s="6" t="s">
        <v>425</v>
      </c>
      <c r="N3814" s="6">
        <f>IF(OR($G3814="FCC",$G3814="Hydrocracker",$G3814="Reformer"),IF(COUNTIFS($D:$D,$D3814,$A:$A,$A3814,$B:$B,$B3814,$G:$G,"CDU",$J:$J,"PLANNED")&gt;0,"tied","standalone"),"")</f>
        <v/>
      </c>
    </row>
    <row r="3815" spans="1:14">
      <c r="A3815" s="6">
        <v>2024</v>
      </c>
      <c r="B3815" s="6">
        <v>5</v>
      </c>
      <c r="C3815" s="6" t="s">
        <v>64</v>
      </c>
      <c r="D3815" s="6" t="s">
        <v>384</v>
      </c>
      <c r="E3815" s="6" t="s">
        <v>419</v>
      </c>
      <c r="F3815" s="6" t="str">
        <f>IF($M3815="PADD I","PADD 1",IF($M3815="PADD II","PADD 2",IF($M3815="PADD III","PADD 3",IF($M3815="PADD IV","PADD 4",IF($M3815="PADD V","PADD 5","")))))</f>
        <v>PADD 3</v>
      </c>
      <c r="G3815" s="6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6" t="s">
        <v>485</v>
      </c>
      <c r="I3815" s="6" t="s">
        <v>1255</v>
      </c>
      <c r="J3815" s="6" t="s">
        <v>398</v>
      </c>
      <c r="K3815" s="10">
        <v>2.13</v>
      </c>
      <c r="L3815" s="10">
        <v>71</v>
      </c>
      <c r="M3815" s="6" t="s">
        <v>421</v>
      </c>
      <c r="N3815" s="6">
        <f>IF(OR($G3815="FCC",$G3815="Hydrocracker",$G3815="Reformer"),IF(COUNTIFS($D:$D,$D3815,$A:$A,$A3815,$B:$B,$B3815,$G:$G,"CDU",$J:$J,"PLANNED")&gt;0,"tied","standalone"),"")</f>
        <v/>
      </c>
    </row>
    <row r="3816" spans="1:14">
      <c r="A3816" s="6">
        <v>2024</v>
      </c>
      <c r="B3816" s="6">
        <v>5</v>
      </c>
      <c r="C3816" s="6" t="s">
        <v>64</v>
      </c>
      <c r="D3816" s="6" t="s">
        <v>52</v>
      </c>
      <c r="E3816" s="6" t="s">
        <v>441</v>
      </c>
      <c r="F3816" s="6" t="str">
        <f>IF($M3816="PADD I","PADD 1",IF($M3816="PADD II","PADD 2",IF($M3816="PADD III","PADD 3",IF($M3816="PADD IV","PADD 4",IF($M3816="PADD V","PADD 5","")))))</f>
        <v>PADD 5</v>
      </c>
      <c r="G3816" s="6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6" t="s">
        <v>510</v>
      </c>
      <c r="I3816" s="6" t="s">
        <v>511</v>
      </c>
      <c r="J3816" s="6" t="s">
        <v>398</v>
      </c>
      <c r="K3816" s="10">
        <v>1.98</v>
      </c>
      <c r="L3816" s="10">
        <v>33</v>
      </c>
      <c r="M3816" s="6" t="s">
        <v>436</v>
      </c>
      <c r="N3816" s="6">
        <f>IF(OR($G3816="FCC",$G3816="Hydrocracker",$G3816="Reformer"),IF(COUNTIFS($D:$D,$D3816,$A:$A,$A3816,$B:$B,$B3816,$G:$G,"CDU",$J:$J,"PLANNED")&gt;0,"tied","standalone"),"")</f>
        <v/>
      </c>
    </row>
    <row r="3817" spans="1:14">
      <c r="A3817" s="6">
        <v>2024</v>
      </c>
      <c r="B3817" s="6">
        <v>5</v>
      </c>
      <c r="C3817" s="6" t="s">
        <v>64</v>
      </c>
      <c r="D3817" s="6" t="s">
        <v>928</v>
      </c>
      <c r="E3817" s="6" t="s">
        <v>502</v>
      </c>
      <c r="F3817" s="6" t="str">
        <f>IF($M3817="PADD I","PADD 1",IF($M3817="PADD II","PADD 2",IF($M3817="PADD III","PADD 3",IF($M3817="PADD IV","PADD 4",IF($M3817="PADD V","PADD 5","")))))</f>
        <v>PADD 2</v>
      </c>
      <c r="G3817" s="6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6" t="s">
        <v>485</v>
      </c>
      <c r="I3817" s="6" t="s">
        <v>491</v>
      </c>
      <c r="J3817" s="6" t="s">
        <v>394</v>
      </c>
      <c r="K3817" s="10">
        <v>1.955</v>
      </c>
      <c r="L3817" s="10">
        <v>8.5</v>
      </c>
      <c r="M3817" s="6" t="s">
        <v>425</v>
      </c>
      <c r="N3817" s="6">
        <f>IF(OR($G3817="FCC",$G3817="Hydrocracker",$G3817="Reformer"),IF(COUNTIFS($D:$D,$D3817,$A:$A,$A3817,$B:$B,$B3817,$G:$G,"CDU",$J:$J,"PLANNED")&gt;0,"tied","standalone"),"")</f>
        <v/>
      </c>
    </row>
    <row r="3818" spans="1:14">
      <c r="A3818" s="6">
        <v>2024</v>
      </c>
      <c r="B3818" s="6">
        <v>5</v>
      </c>
      <c r="C3818" s="6" t="s">
        <v>64</v>
      </c>
      <c r="D3818" s="6" t="s">
        <v>765</v>
      </c>
      <c r="E3818" s="6" t="s">
        <v>766</v>
      </c>
      <c r="F3818" s="6" t="str">
        <f>IF($M3818="PADD I","PADD 1",IF($M3818="PADD II","PADD 2",IF($M3818="PADD III","PADD 3",IF($M3818="PADD IV","PADD 4",IF($M3818="PADD V","PADD 5","")))))</f>
        <v>PADD 2</v>
      </c>
      <c r="G3818" s="6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6" t="s">
        <v>44</v>
      </c>
      <c r="I3818" s="6" t="s">
        <v>767</v>
      </c>
      <c r="J3818" s="6" t="s">
        <v>398</v>
      </c>
      <c r="K3818" s="10">
        <v>1.95</v>
      </c>
      <c r="L3818" s="10">
        <v>15</v>
      </c>
      <c r="M3818" s="6" t="s">
        <v>425</v>
      </c>
      <c r="N3818" s="6">
        <f>IF(OR($G3818="FCC",$G3818="Hydrocracker",$G3818="Reformer"),IF(COUNTIFS($D:$D,$D3818,$A:$A,$A3818,$B:$B,$B3818,$G:$G,"CDU",$J:$J,"PLANNED")&gt;0,"tied","standalone"),"")</f>
        <v/>
      </c>
    </row>
    <row r="3819" spans="1:14">
      <c r="A3819" s="6">
        <v>2024</v>
      </c>
      <c r="B3819" s="6">
        <v>5</v>
      </c>
      <c r="C3819" s="6" t="s">
        <v>64</v>
      </c>
      <c r="D3819" s="6" t="s">
        <v>901</v>
      </c>
      <c r="E3819" s="6" t="s">
        <v>902</v>
      </c>
      <c r="F3819" s="6" t="str">
        <f>IF($M3819="PADD I","PADD 1",IF($M3819="PADD II","PADD 2",IF($M3819="PADD III","PADD 3",IF($M3819="PADD IV","PADD 4",IF($M3819="PADD V","PADD 5","")))))</f>
        <v>PADD 3</v>
      </c>
      <c r="G3819" s="6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6" t="s">
        <v>39</v>
      </c>
      <c r="I3819" s="6" t="s">
        <v>904</v>
      </c>
      <c r="J3819" s="6" t="s">
        <v>398</v>
      </c>
      <c r="K3819" s="10">
        <v>1.95</v>
      </c>
      <c r="L3819" s="10">
        <v>65</v>
      </c>
      <c r="M3819" s="6" t="s">
        <v>421</v>
      </c>
      <c r="N3819" s="6">
        <f>IF(OR($G3819="FCC",$G3819="Hydrocracker",$G3819="Reformer"),IF(COUNTIFS($D:$D,$D3819,$A:$A,$A3819,$B:$B,$B3819,$G:$G,"CDU",$J:$J,"PLANNED")&gt;0,"tied","standalone"),"")</f>
        <v/>
      </c>
    </row>
    <row r="3820" spans="1:14">
      <c r="A3820" s="6">
        <v>2024</v>
      </c>
      <c r="B3820" s="6">
        <v>5</v>
      </c>
      <c r="C3820" s="6" t="s">
        <v>64</v>
      </c>
      <c r="D3820" s="6" t="s">
        <v>812</v>
      </c>
      <c r="E3820" s="6" t="s">
        <v>813</v>
      </c>
      <c r="F3820" s="6" t="str">
        <f>IF($M3820="PADD I","PADD 1",IF($M3820="PADD II","PADD 2",IF($M3820="PADD III","PADD 3",IF($M3820="PADD IV","PADD 4",IF($M3820="PADD V","PADD 5","")))))</f>
        <v>PADD 2</v>
      </c>
      <c r="G3820" s="6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6" t="s">
        <v>510</v>
      </c>
      <c r="I3820" s="6" t="s">
        <v>666</v>
      </c>
      <c r="J3820" s="6" t="s">
        <v>394</v>
      </c>
      <c r="K3820" s="10">
        <v>1.925</v>
      </c>
      <c r="L3820" s="10">
        <v>5.5</v>
      </c>
      <c r="M3820" s="6" t="s">
        <v>425</v>
      </c>
      <c r="N3820" s="6">
        <f>IF(OR($G3820="FCC",$G3820="Hydrocracker",$G3820="Reformer"),IF(COUNTIFS($D:$D,$D3820,$A:$A,$A3820,$B:$B,$B3820,$G:$G,"CDU",$J:$J,"PLANNED")&gt;0,"tied","standalone"),"")</f>
        <v/>
      </c>
    </row>
    <row r="3821" spans="1:14">
      <c r="A3821" s="6">
        <v>2024</v>
      </c>
      <c r="B3821" s="6">
        <v>5</v>
      </c>
      <c r="C3821" s="6" t="s">
        <v>64</v>
      </c>
      <c r="D3821" s="6" t="s">
        <v>789</v>
      </c>
      <c r="E3821" s="6" t="s">
        <v>455</v>
      </c>
      <c r="F3821" s="6" t="str">
        <f>IF($M3821="PADD I","PADD 1",IF($M3821="PADD II","PADD 2",IF($M3821="PADD III","PADD 3",IF($M3821="PADD IV","PADD 4",IF($M3821="PADD V","PADD 5","")))))</f>
        <v>PADD 2</v>
      </c>
      <c r="G3821" s="6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6" t="s">
        <v>494</v>
      </c>
      <c r="I3821" s="6" t="s">
        <v>845</v>
      </c>
      <c r="J3821" s="6" t="s">
        <v>394</v>
      </c>
      <c r="K3821" s="10">
        <v>1.82</v>
      </c>
      <c r="L3821" s="10">
        <v>14</v>
      </c>
      <c r="M3821" s="6" t="s">
        <v>425</v>
      </c>
      <c r="N3821" s="6" t="str">
        <f>IF(OR($G3821="FCC",$G3821="Hydrocracker",$G3821="Reformer"),IF(COUNTIFS($D:$D,$D3821,$A:$A,$A3821,$B:$B,$B3821,$G:$G,"CDU",$J:$J,"PLANNED")&gt;0,"tied","standalone"),"")</f>
        <v>standalone</v>
      </c>
    </row>
    <row r="3822" spans="1:14">
      <c r="A3822" s="6">
        <v>2024</v>
      </c>
      <c r="B3822" s="6">
        <v>5</v>
      </c>
      <c r="C3822" s="6" t="s">
        <v>64</v>
      </c>
      <c r="D3822" s="6" t="s">
        <v>378</v>
      </c>
      <c r="E3822" s="6" t="s">
        <v>477</v>
      </c>
      <c r="F3822" s="6" t="str">
        <f>IF($M3822="PADD I","PADD 1",IF($M3822="PADD II","PADD 2",IF($M3822="PADD III","PADD 3",IF($M3822="PADD IV","PADD 4",IF($M3822="PADD V","PADD 5","")))))</f>
        <v>PADD 3</v>
      </c>
      <c r="G3822" s="6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6" t="s">
        <v>471</v>
      </c>
      <c r="I3822" s="6" t="s">
        <v>1212</v>
      </c>
      <c r="J3822" s="6" t="s">
        <v>398</v>
      </c>
      <c r="K3822" s="10">
        <v>1.75</v>
      </c>
      <c r="L3822" s="10">
        <v>17.5</v>
      </c>
      <c r="M3822" s="6" t="s">
        <v>421</v>
      </c>
      <c r="N3822" s="6" t="str">
        <f>IF(OR($G3822="FCC",$G3822="Hydrocracker",$G3822="Reformer"),IF(COUNTIFS($D:$D,$D3822,$A:$A,$A3822,$B:$B,$B3822,$G:$G,"CDU",$J:$J,"PLANNED")&gt;0,"tied","standalone"),"")</f>
        <v>standalone</v>
      </c>
    </row>
    <row r="3823" spans="1:14">
      <c r="A3823" s="6">
        <v>2024</v>
      </c>
      <c r="B3823" s="6">
        <v>5</v>
      </c>
      <c r="C3823" s="6" t="s">
        <v>64</v>
      </c>
      <c r="D3823" s="6" t="s">
        <v>440</v>
      </c>
      <c r="E3823" s="6" t="s">
        <v>441</v>
      </c>
      <c r="F3823" s="6" t="str">
        <f>IF($M3823="PADD I","PADD 1",IF($M3823="PADD II","PADD 2",IF($M3823="PADD III","PADD 3",IF($M3823="PADD IV","PADD 4",IF($M3823="PADD V","PADD 5","")))))</f>
        <v>PADD 3</v>
      </c>
      <c r="G3823" s="6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6" t="s">
        <v>471</v>
      </c>
      <c r="I3823" s="6" t="s">
        <v>1167</v>
      </c>
      <c r="J3823" s="6" t="s">
        <v>394</v>
      </c>
      <c r="K3823" s="10">
        <v>1.65</v>
      </c>
      <c r="L3823" s="10">
        <v>55</v>
      </c>
      <c r="M3823" s="6" t="s">
        <v>421</v>
      </c>
      <c r="N3823" s="6" t="str">
        <f>IF(OR($G3823="FCC",$G3823="Hydrocracker",$G3823="Reformer"),IF(COUNTIFS($D:$D,$D3823,$A:$A,$A3823,$B:$B,$B3823,$G:$G,"CDU",$J:$J,"PLANNED")&gt;0,"tied","standalone"),"")</f>
        <v>standalone</v>
      </c>
    </row>
    <row r="3824" spans="1:14">
      <c r="A3824" s="6">
        <v>2024</v>
      </c>
      <c r="B3824" s="6">
        <v>5</v>
      </c>
      <c r="C3824" s="6" t="s">
        <v>64</v>
      </c>
      <c r="D3824" s="6" t="s">
        <v>378</v>
      </c>
      <c r="E3824" s="6" t="s">
        <v>477</v>
      </c>
      <c r="F3824" s="6" t="str">
        <f>IF($M3824="PADD I","PADD 1",IF($M3824="PADD II","PADD 2",IF($M3824="PADD III","PADD 3",IF($M3824="PADD IV","PADD 4",IF($M3824="PADD V","PADD 5","")))))</f>
        <v>PADD 3</v>
      </c>
      <c r="G3824" s="6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6" t="s">
        <v>510</v>
      </c>
      <c r="I3824" s="6" t="s">
        <v>1125</v>
      </c>
      <c r="J3824" s="6" t="s">
        <v>394</v>
      </c>
      <c r="K3824" s="10">
        <v>1.625</v>
      </c>
      <c r="L3824" s="10">
        <v>12.5</v>
      </c>
      <c r="M3824" s="6" t="s">
        <v>421</v>
      </c>
      <c r="N3824" s="6">
        <f>IF(OR($G3824="FCC",$G3824="Hydrocracker",$G3824="Reformer"),IF(COUNTIFS($D:$D,$D3824,$A:$A,$A3824,$B:$B,$B3824,$G:$G,"CDU",$J:$J,"PLANNED")&gt;0,"tied","standalone"),"")</f>
        <v/>
      </c>
    </row>
    <row r="3825" spans="1:14">
      <c r="A3825" s="6">
        <v>2024</v>
      </c>
      <c r="B3825" s="6">
        <v>5</v>
      </c>
      <c r="C3825" s="6" t="s">
        <v>64</v>
      </c>
      <c r="D3825" s="6" t="s">
        <v>1082</v>
      </c>
      <c r="E3825" s="6" t="s">
        <v>1083</v>
      </c>
      <c r="F3825" s="6" t="str">
        <f>IF($M3825="PADD I","PADD 1",IF($M3825="PADD II","PADD 2",IF($M3825="PADD III","PADD 3",IF($M3825="PADD IV","PADD 4",IF($M3825="PADD V","PADD 5","")))))</f>
        <v>PADD 5</v>
      </c>
      <c r="G3825" s="6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6" t="s">
        <v>39</v>
      </c>
      <c r="I3825" s="6" t="s">
        <v>713</v>
      </c>
      <c r="J3825" s="6" t="s">
        <v>398</v>
      </c>
      <c r="K3825" s="10">
        <v>1.6</v>
      </c>
      <c r="L3825" s="10">
        <v>5</v>
      </c>
      <c r="M3825" s="6" t="s">
        <v>436</v>
      </c>
      <c r="N3825" s="6">
        <f>IF(OR($G3825="FCC",$G3825="Hydrocracker",$G3825="Reformer"),IF(COUNTIFS($D:$D,$D3825,$A:$A,$A3825,$B:$B,$B3825,$G:$G,"CDU",$J:$J,"PLANNED")&gt;0,"tied","standalone"),"")</f>
        <v/>
      </c>
    </row>
    <row r="3826" spans="1:14">
      <c r="A3826" s="6">
        <v>2024</v>
      </c>
      <c r="B3826" s="6">
        <v>5</v>
      </c>
      <c r="C3826" s="6" t="s">
        <v>64</v>
      </c>
      <c r="D3826" s="6" t="s">
        <v>712</v>
      </c>
      <c r="E3826" s="6" t="s">
        <v>602</v>
      </c>
      <c r="F3826" s="6" t="str">
        <f>IF($M3826="PADD I","PADD 1",IF($M3826="PADD II","PADD 2",IF($M3826="PADD III","PADD 3",IF($M3826="PADD IV","PADD 4",IF($M3826="PADD V","PADD 5","")))))</f>
        <v>PADD 3</v>
      </c>
      <c r="G3826" s="6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6" t="s">
        <v>44</v>
      </c>
      <c r="I3826" s="6" t="s">
        <v>878</v>
      </c>
      <c r="J3826" s="6" t="s">
        <v>394</v>
      </c>
      <c r="K3826" s="10">
        <v>1.56</v>
      </c>
      <c r="L3826" s="10">
        <v>12</v>
      </c>
      <c r="M3826" s="6" t="s">
        <v>421</v>
      </c>
      <c r="N3826" s="6">
        <f>IF(OR($G3826="FCC",$G3826="Hydrocracker",$G3826="Reformer"),IF(COUNTIFS($D:$D,$D3826,$A:$A,$A3826,$B:$B,$B3826,$G:$G,"CDU",$J:$J,"PLANNED")&gt;0,"tied","standalone"),"")</f>
        <v/>
      </c>
    </row>
    <row r="3827" spans="1:14">
      <c r="A3827" s="6">
        <v>2024</v>
      </c>
      <c r="B3827" s="6">
        <v>5</v>
      </c>
      <c r="C3827" s="6" t="s">
        <v>64</v>
      </c>
      <c r="D3827" s="6" t="s">
        <v>49</v>
      </c>
      <c r="E3827" s="6" t="s">
        <v>438</v>
      </c>
      <c r="F3827" s="6" t="str">
        <f>IF($M3827="PADD I","PADD 1",IF($M3827="PADD II","PADD 2",IF($M3827="PADD III","PADD 3",IF($M3827="PADD IV","PADD 4",IF($M3827="PADD V","PADD 5","")))))</f>
        <v>PADD 2</v>
      </c>
      <c r="G3827" s="6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6" t="s">
        <v>485</v>
      </c>
      <c r="I3827" s="6" t="s">
        <v>681</v>
      </c>
      <c r="J3827" s="6" t="s">
        <v>394</v>
      </c>
      <c r="K3827" s="10">
        <v>1.56</v>
      </c>
      <c r="L3827" s="10">
        <v>12</v>
      </c>
      <c r="M3827" s="6" t="s">
        <v>425</v>
      </c>
      <c r="N3827" s="6">
        <f>IF(OR($G3827="FCC",$G3827="Hydrocracker",$G3827="Reformer"),IF(COUNTIFS($D:$D,$D3827,$A:$A,$A3827,$B:$B,$B3827,$G:$G,"CDU",$J:$J,"PLANNED")&gt;0,"tied","standalone"),"")</f>
        <v/>
      </c>
    </row>
    <row r="3828" spans="1:14">
      <c r="A3828" s="6">
        <v>2024</v>
      </c>
      <c r="B3828" s="6">
        <v>5</v>
      </c>
      <c r="C3828" s="6" t="s">
        <v>64</v>
      </c>
      <c r="D3828" s="6" t="s">
        <v>772</v>
      </c>
      <c r="E3828" s="6" t="s">
        <v>502</v>
      </c>
      <c r="F3828" s="6" t="str">
        <f>IF($M3828="PADD I","PADD 1",IF($M3828="PADD II","PADD 2",IF($M3828="PADD III","PADD 3",IF($M3828="PADD IV","PADD 4",IF($M3828="PADD V","PADD 5","")))))</f>
        <v>PADD 4</v>
      </c>
      <c r="G3828" s="6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6" t="s">
        <v>494</v>
      </c>
      <c r="I3828" s="6" t="s">
        <v>1197</v>
      </c>
      <c r="J3828" s="6" t="s">
        <v>394</v>
      </c>
      <c r="K3828" s="10">
        <v>1.5</v>
      </c>
      <c r="L3828" s="10">
        <v>15</v>
      </c>
      <c r="M3828" s="6" t="s">
        <v>480</v>
      </c>
      <c r="N3828" s="6" t="str">
        <f>IF(OR($G3828="FCC",$G3828="Hydrocracker",$G3828="Reformer"),IF(COUNTIFS($D:$D,$D3828,$A:$A,$A3828,$B:$B,$B3828,$G:$G,"CDU",$J:$J,"PLANNED")&gt;0,"tied","standalone"),"")</f>
        <v>standalone</v>
      </c>
    </row>
    <row r="3829" spans="1:14">
      <c r="A3829" s="6">
        <v>2024</v>
      </c>
      <c r="B3829" s="6">
        <v>5</v>
      </c>
      <c r="C3829" s="6" t="s">
        <v>64</v>
      </c>
      <c r="D3829" s="6" t="s">
        <v>921</v>
      </c>
      <c r="E3829" s="6" t="s">
        <v>922</v>
      </c>
      <c r="F3829" s="6" t="str">
        <f>IF($M3829="PADD I","PADD 1",IF($M3829="PADD II","PADD 2",IF($M3829="PADD III","PADD 3",IF($M3829="PADD IV","PADD 4",IF($M3829="PADD V","PADD 5","")))))</f>
        <v>PADD 4</v>
      </c>
      <c r="G3829" s="6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6" t="s">
        <v>39</v>
      </c>
      <c r="I3829" s="6" t="s">
        <v>82</v>
      </c>
      <c r="J3829" s="6" t="s">
        <v>398</v>
      </c>
      <c r="K3829" s="10">
        <v>1.326</v>
      </c>
      <c r="L3829" s="10">
        <v>3.4</v>
      </c>
      <c r="M3829" s="6" t="s">
        <v>480</v>
      </c>
      <c r="N3829" s="6">
        <f>IF(OR($G3829="FCC",$G3829="Hydrocracker",$G3829="Reformer"),IF(COUNTIFS($D:$D,$D3829,$A:$A,$A3829,$B:$B,$B3829,$G:$G,"CDU",$J:$J,"PLANNED")&gt;0,"tied","standalone"),"")</f>
        <v/>
      </c>
    </row>
    <row r="3830" spans="1:14">
      <c r="A3830" s="6">
        <v>2024</v>
      </c>
      <c r="B3830" s="6">
        <v>5</v>
      </c>
      <c r="C3830" s="6" t="s">
        <v>64</v>
      </c>
      <c r="D3830" s="6" t="s">
        <v>765</v>
      </c>
      <c r="E3830" s="6" t="s">
        <v>766</v>
      </c>
      <c r="F3830" s="6" t="str">
        <f>IF($M3830="PADD I","PADD 1",IF($M3830="PADD II","PADD 2",IF($M3830="PADD III","PADD 3",IF($M3830="PADD IV","PADD 4",IF($M3830="PADD V","PADD 5","")))))</f>
        <v>PADD 2</v>
      </c>
      <c r="G3830" s="6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6" t="s">
        <v>44</v>
      </c>
      <c r="I3830" s="6" t="s">
        <v>1231</v>
      </c>
      <c r="J3830" s="6" t="s">
        <v>398</v>
      </c>
      <c r="K3830" s="10">
        <v>1.3</v>
      </c>
      <c r="L3830" s="10">
        <v>10</v>
      </c>
      <c r="M3830" s="6" t="s">
        <v>425</v>
      </c>
      <c r="N3830" s="6">
        <f>IF(OR($G3830="FCC",$G3830="Hydrocracker",$G3830="Reformer"),IF(COUNTIFS($D:$D,$D3830,$A:$A,$A3830,$B:$B,$B3830,$G:$G,"CDU",$J:$J,"PLANNED")&gt;0,"tied","standalone"),"")</f>
        <v/>
      </c>
    </row>
    <row r="3831" spans="1:14">
      <c r="A3831" s="6">
        <v>2024</v>
      </c>
      <c r="B3831" s="6">
        <v>5</v>
      </c>
      <c r="C3831" s="6" t="s">
        <v>64</v>
      </c>
      <c r="D3831" s="6" t="s">
        <v>465</v>
      </c>
      <c r="E3831" s="6" t="s">
        <v>466</v>
      </c>
      <c r="F3831" s="6" t="str">
        <f>IF($M3831="PADD I","PADD 1",IF($M3831="PADD II","PADD 2",IF($M3831="PADD III","PADD 3",IF($M3831="PADD IV","PADD 4",IF($M3831="PADD V","PADD 5","")))))</f>
        <v>PADD 3</v>
      </c>
      <c r="G3831" s="6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6" t="s">
        <v>426</v>
      </c>
      <c r="I3831" s="6" t="s">
        <v>1172</v>
      </c>
      <c r="J3831" s="6" t="s">
        <v>394</v>
      </c>
      <c r="K3831" s="10">
        <v>1.26</v>
      </c>
      <c r="L3831" s="10">
        <v>42</v>
      </c>
      <c r="M3831" s="6" t="s">
        <v>421</v>
      </c>
      <c r="N3831" s="6" t="str">
        <f>IF(OR($G3831="FCC",$G3831="Hydrocracker",$G3831="Reformer"),IF(COUNTIFS($D:$D,$D3831,$A:$A,$A3831,$B:$B,$B3831,$G:$G,"CDU",$J:$J,"PLANNED")&gt;0,"tied","standalone"),"")</f>
        <v>standalone</v>
      </c>
    </row>
    <row r="3832" spans="1:14">
      <c r="A3832" s="6">
        <v>2024</v>
      </c>
      <c r="B3832" s="6">
        <v>5</v>
      </c>
      <c r="C3832" s="6" t="s">
        <v>64</v>
      </c>
      <c r="D3832" s="6" t="s">
        <v>496</v>
      </c>
      <c r="E3832" s="6" t="s">
        <v>441</v>
      </c>
      <c r="F3832" s="6" t="str">
        <f>IF($M3832="PADD I","PADD 1",IF($M3832="PADD II","PADD 2",IF($M3832="PADD III","PADD 3",IF($M3832="PADD IV","PADD 4",IF($M3832="PADD V","PADD 5","")))))</f>
        <v>PADD 3</v>
      </c>
      <c r="G3832" s="6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6" t="s">
        <v>428</v>
      </c>
      <c r="I3832" s="6" t="s">
        <v>1091</v>
      </c>
      <c r="J3832" s="6" t="s">
        <v>394</v>
      </c>
      <c r="K3832" s="10">
        <v>1.23</v>
      </c>
      <c r="L3832" s="10">
        <v>41</v>
      </c>
      <c r="M3832" s="6" t="s">
        <v>421</v>
      </c>
      <c r="N3832" s="6">
        <f>IF(OR($G3832="FCC",$G3832="Hydrocracker",$G3832="Reformer"),IF(COUNTIFS($D:$D,$D3832,$A:$A,$A3832,$B:$B,$B3832,$G:$G,"CDU",$J:$J,"PLANNED")&gt;0,"tied","standalone"),"")</f>
        <v/>
      </c>
    </row>
    <row r="3833" spans="1:14">
      <c r="A3833" s="6">
        <v>2024</v>
      </c>
      <c r="B3833" s="6">
        <v>5</v>
      </c>
      <c r="C3833" s="6" t="s">
        <v>64</v>
      </c>
      <c r="D3833" s="6" t="s">
        <v>921</v>
      </c>
      <c r="E3833" s="6" t="s">
        <v>922</v>
      </c>
      <c r="F3833" s="6" t="str">
        <f>IF($M3833="PADD I","PADD 1",IF($M3833="PADD II","PADD 2",IF($M3833="PADD III","PADD 3",IF($M3833="PADD IV","PADD 4",IF($M3833="PADD V","PADD 5","")))))</f>
        <v>PADD 4</v>
      </c>
      <c r="G3833" s="6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6" t="s">
        <v>44</v>
      </c>
      <c r="I3833" s="6" t="s">
        <v>923</v>
      </c>
      <c r="J3833" s="6" t="s">
        <v>398</v>
      </c>
      <c r="K3833" s="10">
        <v>1.17</v>
      </c>
      <c r="L3833" s="10">
        <v>3</v>
      </c>
      <c r="M3833" s="6" t="s">
        <v>480</v>
      </c>
      <c r="N3833" s="6">
        <f>IF(OR($G3833="FCC",$G3833="Hydrocracker",$G3833="Reformer"),IF(COUNTIFS($D:$D,$D3833,$A:$A,$A3833,$B:$B,$B3833,$G:$G,"CDU",$J:$J,"PLANNED")&gt;0,"tied","standalone"),"")</f>
        <v/>
      </c>
    </row>
    <row r="3834" spans="1:14">
      <c r="A3834" s="6">
        <v>2024</v>
      </c>
      <c r="B3834" s="6">
        <v>5</v>
      </c>
      <c r="C3834" s="6" t="s">
        <v>64</v>
      </c>
      <c r="D3834" s="6" t="s">
        <v>921</v>
      </c>
      <c r="E3834" s="6" t="s">
        <v>922</v>
      </c>
      <c r="F3834" s="6" t="str">
        <f>IF($M3834="PADD I","PADD 1",IF($M3834="PADD II","PADD 2",IF($M3834="PADD III","PADD 3",IF($M3834="PADD IV","PADD 4",IF($M3834="PADD V","PADD 5","")))))</f>
        <v>PADD 4</v>
      </c>
      <c r="G3834" s="6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6" t="s">
        <v>471</v>
      </c>
      <c r="I3834" s="6" t="s">
        <v>15</v>
      </c>
      <c r="J3834" s="6" t="s">
        <v>398</v>
      </c>
      <c r="K3834" s="10">
        <v>1.17</v>
      </c>
      <c r="L3834" s="10">
        <v>3</v>
      </c>
      <c r="M3834" s="6" t="s">
        <v>480</v>
      </c>
      <c r="N3834" s="6" t="str">
        <f>IF(OR($G3834="FCC",$G3834="Hydrocracker",$G3834="Reformer"),IF(COUNTIFS($D:$D,$D3834,$A:$A,$A3834,$B:$B,$B3834,$G:$G,"CDU",$J:$J,"PLANNED")&gt;0,"tied","standalone"),"")</f>
        <v>tied</v>
      </c>
    </row>
    <row r="3835" spans="1:14">
      <c r="A3835" s="6">
        <v>2024</v>
      </c>
      <c r="B3835" s="6">
        <v>5</v>
      </c>
      <c r="C3835" s="6" t="s">
        <v>64</v>
      </c>
      <c r="D3835" s="6" t="s">
        <v>789</v>
      </c>
      <c r="E3835" s="6" t="s">
        <v>455</v>
      </c>
      <c r="F3835" s="6" t="str">
        <f>IF($M3835="PADD I","PADD 1",IF($M3835="PADD II","PADD 2",IF($M3835="PADD III","PADD 3",IF($M3835="PADD IV","PADD 4",IF($M3835="PADD V","PADD 5","")))))</f>
        <v>PADD 2</v>
      </c>
      <c r="G3835" s="6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6" t="s">
        <v>618</v>
      </c>
      <c r="I3835" s="6" t="s">
        <v>654</v>
      </c>
      <c r="J3835" s="6" t="s">
        <v>394</v>
      </c>
      <c r="K3835" s="10">
        <v>1.12</v>
      </c>
      <c r="L3835" s="10">
        <v>7</v>
      </c>
      <c r="M3835" s="6" t="s">
        <v>425</v>
      </c>
      <c r="N3835" s="6">
        <f>IF(OR($G3835="FCC",$G3835="Hydrocracker",$G3835="Reformer"),IF(COUNTIFS($D:$D,$D3835,$A:$A,$A3835,$B:$B,$B3835,$G:$G,"CDU",$J:$J,"PLANNED")&gt;0,"tied","standalone"),"")</f>
        <v/>
      </c>
    </row>
    <row r="3836" spans="1:14">
      <c r="A3836" s="6">
        <v>2024</v>
      </c>
      <c r="B3836" s="6">
        <v>5</v>
      </c>
      <c r="C3836" s="6" t="s">
        <v>64</v>
      </c>
      <c r="D3836" s="6" t="s">
        <v>384</v>
      </c>
      <c r="E3836" s="6" t="s">
        <v>419</v>
      </c>
      <c r="F3836" s="6" t="str">
        <f>IF($M3836="PADD I","PADD 1",IF($M3836="PADD II","PADD 2",IF($M3836="PADD III","PADD 3",IF($M3836="PADD IV","PADD 4",IF($M3836="PADD V","PADD 5","")))))</f>
        <v>PADD 3</v>
      </c>
      <c r="G3836" s="6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6" t="s">
        <v>471</v>
      </c>
      <c r="I3836" s="6" t="s">
        <v>1149</v>
      </c>
      <c r="J3836" s="6" t="s">
        <v>398</v>
      </c>
      <c r="K3836" s="10">
        <v>1.02</v>
      </c>
      <c r="L3836" s="10">
        <v>34</v>
      </c>
      <c r="M3836" s="6" t="s">
        <v>421</v>
      </c>
      <c r="N3836" s="6" t="str">
        <f>IF(OR($G3836="FCC",$G3836="Hydrocracker",$G3836="Reformer"),IF(COUNTIFS($D:$D,$D3836,$A:$A,$A3836,$B:$B,$B3836,$G:$G,"CDU",$J:$J,"PLANNED")&gt;0,"tied","standalone"),"")</f>
        <v>tied</v>
      </c>
    </row>
    <row r="3837" spans="1:14">
      <c r="A3837" s="6">
        <v>2024</v>
      </c>
      <c r="B3837" s="6">
        <v>5</v>
      </c>
      <c r="C3837" s="6" t="s">
        <v>64</v>
      </c>
      <c r="D3837" s="6" t="s">
        <v>789</v>
      </c>
      <c r="E3837" s="6" t="s">
        <v>455</v>
      </c>
      <c r="F3837" s="6" t="str">
        <f>IF($M3837="PADD I","PADD 1",IF($M3837="PADD II","PADD 2",IF($M3837="PADD III","PADD 3",IF($M3837="PADD IV","PADD 4",IF($M3837="PADD V","PADD 5","")))))</f>
        <v>PADD 2</v>
      </c>
      <c r="G3837" s="6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6" t="s">
        <v>510</v>
      </c>
      <c r="I3837" s="6" t="s">
        <v>666</v>
      </c>
      <c r="J3837" s="6" t="s">
        <v>394</v>
      </c>
      <c r="K3837" s="10">
        <v>0.992</v>
      </c>
      <c r="L3837" s="10">
        <v>6.2</v>
      </c>
      <c r="M3837" s="6" t="s">
        <v>425</v>
      </c>
      <c r="N3837" s="6">
        <f>IF(OR($G3837="FCC",$G3837="Hydrocracker",$G3837="Reformer"),IF(COUNTIFS($D:$D,$D3837,$A:$A,$A3837,$B:$B,$B3837,$G:$G,"CDU",$J:$J,"PLANNED")&gt;0,"tied","standalone"),"")</f>
        <v/>
      </c>
    </row>
    <row r="3838" spans="1:14">
      <c r="A3838" s="6">
        <v>2024</v>
      </c>
      <c r="B3838" s="6">
        <v>5</v>
      </c>
      <c r="C3838" s="6" t="s">
        <v>64</v>
      </c>
      <c r="D3838" s="6" t="s">
        <v>789</v>
      </c>
      <c r="E3838" s="6" t="s">
        <v>455</v>
      </c>
      <c r="F3838" s="6" t="str">
        <f>IF($M3838="PADD I","PADD 1",IF($M3838="PADD II","PADD 2",IF($M3838="PADD III","PADD 3",IF($M3838="PADD IV","PADD 4",IF($M3838="PADD V","PADD 5","")))))</f>
        <v>PADD 2</v>
      </c>
      <c r="G3838" s="6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6" t="s">
        <v>426</v>
      </c>
      <c r="I3838" s="6" t="s">
        <v>106</v>
      </c>
      <c r="J3838" s="6" t="s">
        <v>394</v>
      </c>
      <c r="K3838" s="10">
        <v>0.9</v>
      </c>
      <c r="L3838" s="10">
        <v>30</v>
      </c>
      <c r="M3838" s="6" t="s">
        <v>425</v>
      </c>
      <c r="N3838" s="6" t="str">
        <f>IF(OR($G3838="FCC",$G3838="Hydrocracker",$G3838="Reformer"),IF(COUNTIFS($D:$D,$D3838,$A:$A,$A3838,$B:$B,$B3838,$G:$G,"CDU",$J:$J,"PLANNED")&gt;0,"tied","standalone"),"")</f>
        <v>standalone</v>
      </c>
    </row>
    <row r="3839" spans="1:14">
      <c r="A3839" s="6">
        <v>2024</v>
      </c>
      <c r="B3839" s="6">
        <v>5</v>
      </c>
      <c r="C3839" s="6" t="s">
        <v>64</v>
      </c>
      <c r="D3839" s="6" t="s">
        <v>765</v>
      </c>
      <c r="E3839" s="6" t="s">
        <v>766</v>
      </c>
      <c r="F3839" s="6" t="str">
        <f>IF($M3839="PADD I","PADD 1",IF($M3839="PADD II","PADD 2",IF($M3839="PADD III","PADD 3",IF($M3839="PADD IV","PADD 4",IF($M3839="PADD V","PADD 5","")))))</f>
        <v>PADD 2</v>
      </c>
      <c r="G3839" s="6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6" t="s">
        <v>471</v>
      </c>
      <c r="I3839" s="6" t="s">
        <v>589</v>
      </c>
      <c r="J3839" s="6" t="s">
        <v>398</v>
      </c>
      <c r="K3839" s="10">
        <v>0.845</v>
      </c>
      <c r="L3839" s="10">
        <v>6.5</v>
      </c>
      <c r="M3839" s="6" t="s">
        <v>425</v>
      </c>
      <c r="N3839" s="6" t="str">
        <f>IF(OR($G3839="FCC",$G3839="Hydrocracker",$G3839="Reformer"),IF(COUNTIFS($D:$D,$D3839,$A:$A,$A3839,$B:$B,$B3839,$G:$G,"CDU",$J:$J,"PLANNED")&gt;0,"tied","standalone"),"")</f>
        <v>tied</v>
      </c>
    </row>
    <row r="3840" spans="1:14">
      <c r="A3840" s="6">
        <v>2024</v>
      </c>
      <c r="B3840" s="6">
        <v>5</v>
      </c>
      <c r="C3840" s="6" t="s">
        <v>64</v>
      </c>
      <c r="D3840" s="6" t="s">
        <v>765</v>
      </c>
      <c r="E3840" s="6" t="s">
        <v>766</v>
      </c>
      <c r="F3840" s="6" t="str">
        <f>IF($M3840="PADD I","PADD 1",IF($M3840="PADD II","PADD 2",IF($M3840="PADD III","PADD 3",IF($M3840="PADD IV","PADD 4",IF($M3840="PADD V","PADD 5","")))))</f>
        <v>PADD 2</v>
      </c>
      <c r="G3840" s="6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6" t="s">
        <v>44</v>
      </c>
      <c r="I3840" s="6" t="s">
        <v>508</v>
      </c>
      <c r="J3840" s="6" t="s">
        <v>398</v>
      </c>
      <c r="K3840" s="10">
        <v>0.845</v>
      </c>
      <c r="L3840" s="10">
        <v>6.5</v>
      </c>
      <c r="M3840" s="6" t="s">
        <v>425</v>
      </c>
      <c r="N3840" s="6">
        <f>IF(OR($G3840="FCC",$G3840="Hydrocracker",$G3840="Reformer"),IF(COUNTIFS($D:$D,$D3840,$A:$A,$A3840,$B:$B,$B3840,$G:$G,"CDU",$J:$J,"PLANNED")&gt;0,"tied","standalone"),"")</f>
        <v/>
      </c>
    </row>
    <row r="3841" spans="1:14">
      <c r="A3841" s="6">
        <v>2024</v>
      </c>
      <c r="B3841" s="6">
        <v>5</v>
      </c>
      <c r="C3841" s="6" t="s">
        <v>64</v>
      </c>
      <c r="D3841" s="6" t="s">
        <v>375</v>
      </c>
      <c r="E3841" s="6" t="s">
        <v>435</v>
      </c>
      <c r="F3841" s="6" t="str">
        <f>IF($M3841="PADD I","PADD 1",IF($M3841="PADD II","PADD 2",IF($M3841="PADD III","PADD 3",IF($M3841="PADD IV","PADD 4",IF($M3841="PADD V","PADD 5","")))))</f>
        <v>PADD 5</v>
      </c>
      <c r="G3841" s="6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6" t="s">
        <v>618</v>
      </c>
      <c r="I3841" s="6" t="s">
        <v>654</v>
      </c>
      <c r="J3841" s="6" t="s">
        <v>398</v>
      </c>
      <c r="K3841" s="10">
        <v>0.825</v>
      </c>
      <c r="L3841" s="10">
        <v>1.5</v>
      </c>
      <c r="M3841" s="6" t="s">
        <v>436</v>
      </c>
      <c r="N3841" s="6">
        <f>IF(OR($G3841="FCC",$G3841="Hydrocracker",$G3841="Reformer"),IF(COUNTIFS($D:$D,$D3841,$A:$A,$A3841,$B:$B,$B3841,$G:$G,"CDU",$J:$J,"PLANNED")&gt;0,"tied","standalone"),"")</f>
        <v/>
      </c>
    </row>
    <row r="3842" spans="1:14">
      <c r="A3842" s="6">
        <v>2024</v>
      </c>
      <c r="B3842" s="6">
        <v>5</v>
      </c>
      <c r="C3842" s="6" t="s">
        <v>64</v>
      </c>
      <c r="D3842" s="6" t="s">
        <v>849</v>
      </c>
      <c r="E3842" s="6" t="s">
        <v>441</v>
      </c>
      <c r="F3842" s="6" t="str">
        <f>IF($M3842="PADD I","PADD 1",IF($M3842="PADD II","PADD 2",IF($M3842="PADD III","PADD 3",IF($M3842="PADD IV","PADD 4",IF($M3842="PADD V","PADD 5","")))))</f>
        <v>PADD 4</v>
      </c>
      <c r="G3842" s="6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6" t="s">
        <v>510</v>
      </c>
      <c r="I3842" s="6" t="s">
        <v>958</v>
      </c>
      <c r="J3842" s="6" t="s">
        <v>394</v>
      </c>
      <c r="K3842" s="10">
        <v>0.728</v>
      </c>
      <c r="L3842" s="10">
        <v>5.6</v>
      </c>
      <c r="M3842" s="6" t="s">
        <v>480</v>
      </c>
      <c r="N3842" s="6">
        <f>IF(OR($G3842="FCC",$G3842="Hydrocracker",$G3842="Reformer"),IF(COUNTIFS($D:$D,$D3842,$A:$A,$A3842,$B:$B,$B3842,$G:$G,"CDU",$J:$J,"PLANNED")&gt;0,"tied","standalone"),"")</f>
        <v/>
      </c>
    </row>
    <row r="3843" spans="1:14">
      <c r="A3843" s="6">
        <v>2024</v>
      </c>
      <c r="B3843" s="6">
        <v>5</v>
      </c>
      <c r="C3843" s="6" t="s">
        <v>64</v>
      </c>
      <c r="D3843" s="6" t="s">
        <v>682</v>
      </c>
      <c r="E3843" s="6" t="s">
        <v>683</v>
      </c>
      <c r="F3843" s="6" t="str">
        <f>IF($M3843="PADD I","PADD 1",IF($M3843="PADD II","PADD 2",IF($M3843="PADD III","PADD 3",IF($M3843="PADD IV","PADD 4",IF($M3843="PADD V","PADD 5","")))))</f>
        <v>PADD 4</v>
      </c>
      <c r="G3843" s="6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6" t="s">
        <v>426</v>
      </c>
      <c r="I3843" s="6" t="s">
        <v>684</v>
      </c>
      <c r="J3843" s="6" t="s">
        <v>394</v>
      </c>
      <c r="K3843" s="10">
        <v>0.6899999999999999</v>
      </c>
      <c r="L3843" s="10">
        <v>11.5</v>
      </c>
      <c r="M3843" s="6" t="s">
        <v>480</v>
      </c>
      <c r="N3843" s="6" t="str">
        <f>IF(OR($G3843="FCC",$G3843="Hydrocracker",$G3843="Reformer"),IF(COUNTIFS($D:$D,$D3843,$A:$A,$A3843,$B:$B,$B3843,$G:$G,"CDU",$J:$J,"PLANNED")&gt;0,"tied","standalone"),"")</f>
        <v>standalone</v>
      </c>
    </row>
    <row r="3844" spans="1:14">
      <c r="A3844" s="6">
        <v>2024</v>
      </c>
      <c r="B3844" s="6">
        <v>5</v>
      </c>
      <c r="C3844" s="6" t="s">
        <v>64</v>
      </c>
      <c r="D3844" s="6" t="s">
        <v>712</v>
      </c>
      <c r="E3844" s="6" t="s">
        <v>602</v>
      </c>
      <c r="F3844" s="6" t="str">
        <f>IF($M3844="PADD I","PADD 1",IF($M3844="PADD II","PADD 2",IF($M3844="PADD III","PADD 3",IF($M3844="PADD IV","PADD 4",IF($M3844="PADD V","PADD 5","")))))</f>
        <v>PADD 3</v>
      </c>
      <c r="G3844" s="6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6" t="s">
        <v>44</v>
      </c>
      <c r="I3844" s="6" t="s">
        <v>785</v>
      </c>
      <c r="J3844" s="6" t="s">
        <v>398</v>
      </c>
      <c r="K3844" s="10">
        <v>0.6899999999999999</v>
      </c>
      <c r="L3844" s="10">
        <v>23</v>
      </c>
      <c r="M3844" s="6" t="s">
        <v>421</v>
      </c>
      <c r="N3844" s="6">
        <f>IF(OR($G3844="FCC",$G3844="Hydrocracker",$G3844="Reformer"),IF(COUNTIFS($D:$D,$D3844,$A:$A,$A3844,$B:$B,$B3844,$G:$G,"CDU",$J:$J,"PLANNED")&gt;0,"tied","standalone"),"")</f>
        <v/>
      </c>
    </row>
    <row r="3845" spans="1:14">
      <c r="A3845" s="6">
        <v>2024</v>
      </c>
      <c r="B3845" s="6">
        <v>5</v>
      </c>
      <c r="C3845" s="6" t="s">
        <v>64</v>
      </c>
      <c r="D3845" s="6" t="s">
        <v>1082</v>
      </c>
      <c r="E3845" s="6" t="s">
        <v>1083</v>
      </c>
      <c r="F3845" s="6" t="str">
        <f>IF($M3845="PADD I","PADD 1",IF($M3845="PADD II","PADD 2",IF($M3845="PADD III","PADD 3",IF($M3845="PADD IV","PADD 4",IF($M3845="PADD V","PADD 5","")))))</f>
        <v>PADD 5</v>
      </c>
      <c r="G3845" s="6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6" t="s">
        <v>428</v>
      </c>
      <c r="I3845" s="6" t="s">
        <v>1084</v>
      </c>
      <c r="J3845" s="6" t="s">
        <v>398</v>
      </c>
      <c r="K3845" s="10">
        <v>0.64</v>
      </c>
      <c r="L3845" s="10">
        <v>2</v>
      </c>
      <c r="M3845" s="6" t="s">
        <v>436</v>
      </c>
      <c r="N3845" s="6">
        <f>IF(OR($G3845="FCC",$G3845="Hydrocracker",$G3845="Reformer"),IF(COUNTIFS($D:$D,$D3845,$A:$A,$A3845,$B:$B,$B3845,$G:$G,"CDU",$J:$J,"PLANNED")&gt;0,"tied","standalone"),"")</f>
        <v/>
      </c>
    </row>
    <row r="3846" spans="1:14">
      <c r="A3846" s="6">
        <v>2024</v>
      </c>
      <c r="B3846" s="6">
        <v>5</v>
      </c>
      <c r="C3846" s="6" t="s">
        <v>64</v>
      </c>
      <c r="D3846" s="6" t="s">
        <v>384</v>
      </c>
      <c r="E3846" s="6" t="s">
        <v>419</v>
      </c>
      <c r="F3846" s="6" t="str">
        <f>IF($M3846="PADD I","PADD 1",IF($M3846="PADD II","PADD 2",IF($M3846="PADD III","PADD 3",IF($M3846="PADD IV","PADD 4",IF($M3846="PADD V","PADD 5","")))))</f>
        <v>PADD 3</v>
      </c>
      <c r="G3846" s="6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6" t="s">
        <v>510</v>
      </c>
      <c r="I3846" s="6" t="s">
        <v>1256</v>
      </c>
      <c r="J3846" s="6" t="s">
        <v>398</v>
      </c>
      <c r="K3846" s="10">
        <v>0.6</v>
      </c>
      <c r="L3846" s="10">
        <v>20</v>
      </c>
      <c r="M3846" s="6" t="s">
        <v>421</v>
      </c>
      <c r="N3846" s="6">
        <f>IF(OR($G3846="FCC",$G3846="Hydrocracker",$G3846="Reformer"),IF(COUNTIFS($D:$D,$D3846,$A:$A,$A3846,$B:$B,$B3846,$G:$G,"CDU",$J:$J,"PLANNED")&gt;0,"tied","standalone"),"")</f>
        <v/>
      </c>
    </row>
    <row r="3847" spans="1:14">
      <c r="A3847" s="6">
        <v>2024</v>
      </c>
      <c r="B3847" s="6">
        <v>5</v>
      </c>
      <c r="C3847" s="6" t="s">
        <v>64</v>
      </c>
      <c r="D3847" s="6" t="s">
        <v>921</v>
      </c>
      <c r="E3847" s="6" t="s">
        <v>922</v>
      </c>
      <c r="F3847" s="6" t="str">
        <f>IF($M3847="PADD I","PADD 1",IF($M3847="PADD II","PADD 2",IF($M3847="PADD III","PADD 3",IF($M3847="PADD IV","PADD 4",IF($M3847="PADD V","PADD 5","")))))</f>
        <v>PADD 4</v>
      </c>
      <c r="G3847" s="6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6" t="s">
        <v>618</v>
      </c>
      <c r="I3847" s="6" t="s">
        <v>1252</v>
      </c>
      <c r="J3847" s="6" t="s">
        <v>398</v>
      </c>
      <c r="K3847" s="10">
        <v>0.39</v>
      </c>
      <c r="L3847" s="10">
        <v>1</v>
      </c>
      <c r="M3847" s="6" t="s">
        <v>480</v>
      </c>
      <c r="N3847" s="6">
        <f>IF(OR($G3847="FCC",$G3847="Hydrocracker",$G3847="Reformer"),IF(COUNTIFS($D:$D,$D3847,$A:$A,$A3847,$B:$B,$B3847,$G:$G,"CDU",$J:$J,"PLANNED")&gt;0,"tied","standalone"),"")</f>
        <v/>
      </c>
    </row>
    <row r="3848" spans="1:14">
      <c r="A3848" s="6">
        <v>2024</v>
      </c>
      <c r="B3848" s="6">
        <v>5</v>
      </c>
      <c r="C3848" s="6" t="s">
        <v>64</v>
      </c>
      <c r="D3848" s="6" t="s">
        <v>682</v>
      </c>
      <c r="E3848" s="6" t="s">
        <v>683</v>
      </c>
      <c r="F3848" s="6" t="str">
        <f>IF($M3848="PADD I","PADD 1",IF($M3848="PADD II","PADD 2",IF($M3848="PADD III","PADD 3",IF($M3848="PADD IV","PADD 4",IF($M3848="PADD V","PADD 5","")))))</f>
        <v>PADD 4</v>
      </c>
      <c r="G3848" s="6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6" t="s">
        <v>426</v>
      </c>
      <c r="I3848" s="6" t="s">
        <v>684</v>
      </c>
      <c r="J3848" s="6" t="s">
        <v>394</v>
      </c>
      <c r="K3848" s="10">
        <v>0.375</v>
      </c>
      <c r="L3848" s="10">
        <v>12.5</v>
      </c>
      <c r="M3848" s="6" t="s">
        <v>480</v>
      </c>
      <c r="N3848" s="6" t="str">
        <f>IF(OR($G3848="FCC",$G3848="Hydrocracker",$G3848="Reformer"),IF(COUNTIFS($D:$D,$D3848,$A:$A,$A3848,$B:$B,$B3848,$G:$G,"CDU",$J:$J,"PLANNED")&gt;0,"tied","standalone"),"")</f>
        <v>standalone</v>
      </c>
    </row>
    <row r="3849" spans="1:14">
      <c r="A3849" s="6">
        <v>2024</v>
      </c>
      <c r="B3849" s="6">
        <v>5</v>
      </c>
      <c r="C3849" s="6" t="s">
        <v>64</v>
      </c>
      <c r="D3849" s="6" t="s">
        <v>712</v>
      </c>
      <c r="E3849" s="6" t="s">
        <v>602</v>
      </c>
      <c r="F3849" s="6" t="str">
        <f>IF($M3849="PADD I","PADD 1",IF($M3849="PADD II","PADD 2",IF($M3849="PADD III","PADD 3",IF($M3849="PADD IV","PADD 4",IF($M3849="PADD V","PADD 5","")))))</f>
        <v>PADD 3</v>
      </c>
      <c r="G3849" s="6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6" t="s">
        <v>44</v>
      </c>
      <c r="I3849" s="6" t="s">
        <v>894</v>
      </c>
      <c r="J3849" s="6" t="s">
        <v>394</v>
      </c>
      <c r="K3849" s="10">
        <v>0.36</v>
      </c>
      <c r="L3849" s="10">
        <v>6</v>
      </c>
      <c r="M3849" s="6" t="s">
        <v>421</v>
      </c>
      <c r="N3849" s="6">
        <f>IF(OR($G3849="FCC",$G3849="Hydrocracker",$G3849="Reformer"),IF(COUNTIFS($D:$D,$D3849,$A:$A,$A3849,$B:$B,$B3849,$G:$G,"CDU",$J:$J,"PLANNED")&gt;0,"tied","standalone"),"")</f>
        <v/>
      </c>
    </row>
    <row r="3850" spans="1:14">
      <c r="A3850" s="6">
        <v>2024</v>
      </c>
      <c r="B3850" s="6">
        <v>5</v>
      </c>
      <c r="C3850" s="6" t="s">
        <v>64</v>
      </c>
      <c r="D3850" s="6" t="s">
        <v>853</v>
      </c>
      <c r="E3850" s="6" t="s">
        <v>438</v>
      </c>
      <c r="F3850" s="6" t="str">
        <f>IF($M3850="PADD I","PADD 1",IF($M3850="PADD II","PADD 2",IF($M3850="PADD III","PADD 3",IF($M3850="PADD IV","PADD 4",IF($M3850="PADD V","PADD 5","")))))</f>
        <v>PADD 2</v>
      </c>
      <c r="G3850" s="6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6" t="s">
        <v>471</v>
      </c>
      <c r="I3850" s="6" t="s">
        <v>609</v>
      </c>
      <c r="J3850" s="6" t="s">
        <v>394</v>
      </c>
      <c r="K3850" s="10">
        <v>0.3375</v>
      </c>
      <c r="L3850" s="10">
        <v>11.25</v>
      </c>
      <c r="M3850" s="6" t="s">
        <v>425</v>
      </c>
      <c r="N3850" s="6" t="str">
        <f>IF(OR($G3850="FCC",$G3850="Hydrocracker",$G3850="Reformer"),IF(COUNTIFS($D:$D,$D3850,$A:$A,$A3850,$B:$B,$B3850,$G:$G,"CDU",$J:$J,"PLANNED")&gt;0,"tied","standalone"),"")</f>
        <v>standalone</v>
      </c>
    </row>
    <row r="3851" spans="1:14">
      <c r="A3851" s="6">
        <v>2024</v>
      </c>
      <c r="B3851" s="6">
        <v>6</v>
      </c>
      <c r="C3851" s="6" t="s">
        <v>65</v>
      </c>
      <c r="D3851" s="6" t="s">
        <v>382</v>
      </c>
      <c r="E3851" s="6" t="s">
        <v>431</v>
      </c>
      <c r="F3851" s="6" t="str">
        <f>IF($M3851="PADD I","PADD 1",IF($M3851="PADD II","PADD 2",IF($M3851="PADD III","PADD 3",IF($M3851="PADD IV","PADD 4",IF($M3851="PADD V","PADD 5","")))))</f>
        <v>PADD 3</v>
      </c>
      <c r="G3851" s="6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6" t="s">
        <v>39</v>
      </c>
      <c r="I3851" s="6" t="s">
        <v>587</v>
      </c>
      <c r="J3851" s="6" t="s">
        <v>398</v>
      </c>
      <c r="K3851" s="10">
        <v>100</v>
      </c>
      <c r="L3851" s="10">
        <v>100</v>
      </c>
      <c r="M3851" s="6" t="s">
        <v>421</v>
      </c>
      <c r="N3851" s="6">
        <f>IF(OR($G3851="FCC",$G3851="Hydrocracker",$G3851="Reformer"),IF(COUNTIFS($D:$D,$D3851,$A:$A,$A3851,$B:$B,$B3851,$G:$G,"CDU",$J:$J,"PLANNED")&gt;0,"tied","standalone"),"")</f>
        <v/>
      </c>
    </row>
    <row r="3852" spans="1:14">
      <c r="A3852" s="6">
        <v>2024</v>
      </c>
      <c r="B3852" s="6">
        <v>6</v>
      </c>
      <c r="C3852" s="6" t="s">
        <v>65</v>
      </c>
      <c r="D3852" s="6" t="s">
        <v>597</v>
      </c>
      <c r="E3852" s="6" t="s">
        <v>441</v>
      </c>
      <c r="F3852" s="6" t="str">
        <f>IF($M3852="PADD I","PADD 1",IF($M3852="PADD II","PADD 2",IF($M3852="PADD III","PADD 3",IF($M3852="PADD IV","PADD 4",IF($M3852="PADD V","PADD 5","")))))</f>
        <v>PADD 5</v>
      </c>
      <c r="G3852" s="6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6" t="s">
        <v>426</v>
      </c>
      <c r="I3852" s="6" t="s">
        <v>106</v>
      </c>
      <c r="J3852" s="6" t="s">
        <v>398</v>
      </c>
      <c r="K3852" s="10">
        <v>80</v>
      </c>
      <c r="L3852" s="10">
        <v>80</v>
      </c>
      <c r="M3852" s="6" t="s">
        <v>436</v>
      </c>
      <c r="N3852" s="6" t="str">
        <f>IF(OR($G3852="FCC",$G3852="Hydrocracker",$G3852="Reformer"),IF(COUNTIFS($D:$D,$D3852,$A:$A,$A3852,$B:$B,$B3852,$G:$G,"CDU",$J:$J,"PLANNED")&gt;0,"tied","standalone"),"")</f>
        <v>standalone</v>
      </c>
    </row>
    <row r="3853" spans="1:14">
      <c r="A3853" s="6">
        <v>2024</v>
      </c>
      <c r="B3853" s="6">
        <v>6</v>
      </c>
      <c r="C3853" s="6" t="s">
        <v>65</v>
      </c>
      <c r="D3853" s="6" t="s">
        <v>597</v>
      </c>
      <c r="E3853" s="6" t="s">
        <v>441</v>
      </c>
      <c r="F3853" s="6" t="str">
        <f>IF($M3853="PADD I","PADD 1",IF($M3853="PADD II","PADD 2",IF($M3853="PADD III","PADD 3",IF($M3853="PADD IV","PADD 4",IF($M3853="PADD V","PADD 5","")))))</f>
        <v>PADD 5</v>
      </c>
      <c r="G3853" s="6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6" t="s">
        <v>44</v>
      </c>
      <c r="I3853" s="6" t="s">
        <v>979</v>
      </c>
      <c r="J3853" s="6" t="s">
        <v>398</v>
      </c>
      <c r="K3853" s="10">
        <v>64.8</v>
      </c>
      <c r="L3853" s="10">
        <v>64.8</v>
      </c>
      <c r="M3853" s="6" t="s">
        <v>436</v>
      </c>
      <c r="N3853" s="6">
        <f>IF(OR($G3853="FCC",$G3853="Hydrocracker",$G3853="Reformer"),IF(COUNTIFS($D:$D,$D3853,$A:$A,$A3853,$B:$B,$B3853,$G:$G,"CDU",$J:$J,"PLANNED")&gt;0,"tied","standalone"),"")</f>
        <v/>
      </c>
    </row>
    <row r="3854" spans="1:14">
      <c r="A3854" s="6">
        <v>2024</v>
      </c>
      <c r="B3854" s="6">
        <v>6</v>
      </c>
      <c r="C3854" s="6" t="s">
        <v>65</v>
      </c>
      <c r="D3854" s="6" t="s">
        <v>382</v>
      </c>
      <c r="E3854" s="6" t="s">
        <v>431</v>
      </c>
      <c r="F3854" s="6" t="str">
        <f>IF($M3854="PADD I","PADD 1",IF($M3854="PADD II","PADD 2",IF($M3854="PADD III","PADD 3",IF($M3854="PADD IV","PADD 4",IF($M3854="PADD V","PADD 5","")))))</f>
        <v>PADD 3</v>
      </c>
      <c r="G3854" s="6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6" t="s">
        <v>426</v>
      </c>
      <c r="I3854" s="6" t="s">
        <v>106</v>
      </c>
      <c r="J3854" s="6" t="s">
        <v>398</v>
      </c>
      <c r="K3854" s="10">
        <v>60</v>
      </c>
      <c r="L3854" s="10">
        <v>60</v>
      </c>
      <c r="M3854" s="6" t="s">
        <v>421</v>
      </c>
      <c r="N3854" s="6" t="str">
        <f>IF(OR($G3854="FCC",$G3854="Hydrocracker",$G3854="Reformer"),IF(COUNTIFS($D:$D,$D3854,$A:$A,$A3854,$B:$B,$B3854,$G:$G,"CDU",$J:$J,"PLANNED")&gt;0,"tied","standalone"),"")</f>
        <v>tied</v>
      </c>
    </row>
    <row r="3855" spans="1:14">
      <c r="A3855" s="6">
        <v>2024</v>
      </c>
      <c r="B3855" s="6">
        <v>6</v>
      </c>
      <c r="C3855" s="6" t="s">
        <v>65</v>
      </c>
      <c r="D3855" s="6" t="s">
        <v>1093</v>
      </c>
      <c r="E3855" s="6" t="s">
        <v>438</v>
      </c>
      <c r="F3855" s="6" t="str">
        <f>IF($M3855="PADD I","PADD 1",IF($M3855="PADD II","PADD 2",IF($M3855="PADD III","PADD 3",IF($M3855="PADD IV","PADD 4",IF($M3855="PADD V","PADD 5","")))))</f>
        <v>PADD 2</v>
      </c>
      <c r="G3855" s="6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6" t="s">
        <v>39</v>
      </c>
      <c r="I3855" s="6" t="s">
        <v>929</v>
      </c>
      <c r="J3855" s="6" t="s">
        <v>398</v>
      </c>
      <c r="K3855" s="10">
        <v>58.52</v>
      </c>
      <c r="L3855" s="10">
        <v>76</v>
      </c>
      <c r="M3855" s="6" t="s">
        <v>425</v>
      </c>
      <c r="N3855" s="6">
        <f>IF(OR($G3855="FCC",$G3855="Hydrocracker",$G3855="Reformer"),IF(COUNTIFS($D:$D,$D3855,$A:$A,$A3855,$B:$B,$B3855,$G:$G,"CDU",$J:$J,"PLANNED")&gt;0,"tied","standalone"),"")</f>
        <v/>
      </c>
    </row>
    <row r="3856" spans="1:14">
      <c r="A3856" s="6">
        <v>2024</v>
      </c>
      <c r="B3856" s="6">
        <v>6</v>
      </c>
      <c r="C3856" s="6" t="s">
        <v>65</v>
      </c>
      <c r="D3856" s="6" t="s">
        <v>581</v>
      </c>
      <c r="E3856" s="6" t="s">
        <v>582</v>
      </c>
      <c r="F3856" s="6" t="str">
        <f>IF($M3856="PADD I","PADD 1",IF($M3856="PADD II","PADD 2",IF($M3856="PADD III","PADD 3",IF($M3856="PADD IV","PADD 4",IF($M3856="PADD V","PADD 5","")))))</f>
        <v>PADD 5</v>
      </c>
      <c r="G3856" s="6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6" t="s">
        <v>426</v>
      </c>
      <c r="I3856" s="6" t="s">
        <v>106</v>
      </c>
      <c r="J3856" s="6" t="s">
        <v>394</v>
      </c>
      <c r="K3856" s="10">
        <v>54</v>
      </c>
      <c r="L3856" s="10">
        <v>90</v>
      </c>
      <c r="M3856" s="6" t="s">
        <v>436</v>
      </c>
      <c r="N3856" s="6" t="str">
        <f>IF(OR($G3856="FCC",$G3856="Hydrocracker",$G3856="Reformer"),IF(COUNTIFS($D:$D,$D3856,$A:$A,$A3856,$B:$B,$B3856,$G:$G,"CDU",$J:$J,"PLANNED")&gt;0,"tied","standalone"),"")</f>
        <v>standalone</v>
      </c>
    </row>
    <row r="3857" spans="1:14">
      <c r="A3857" s="6">
        <v>2024</v>
      </c>
      <c r="B3857" s="6">
        <v>6</v>
      </c>
      <c r="C3857" s="6" t="s">
        <v>65</v>
      </c>
      <c r="D3857" s="6" t="s">
        <v>51</v>
      </c>
      <c r="E3857" s="6" t="s">
        <v>431</v>
      </c>
      <c r="F3857" s="6" t="str">
        <f>IF($M3857="PADD I","PADD 1",IF($M3857="PADD II","PADD 2",IF($M3857="PADD III","PADD 3",IF($M3857="PADD IV","PADD 4",IF($M3857="PADD V","PADD 5","")))))</f>
        <v>PADD 3</v>
      </c>
      <c r="G3857" s="6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6" t="s">
        <v>471</v>
      </c>
      <c r="I3857" s="6" t="s">
        <v>1136</v>
      </c>
      <c r="J3857" s="6" t="s">
        <v>394</v>
      </c>
      <c r="K3857" s="10">
        <v>53.01</v>
      </c>
      <c r="L3857" s="10">
        <v>57</v>
      </c>
      <c r="M3857" s="6" t="s">
        <v>421</v>
      </c>
      <c r="N3857" s="6" t="str">
        <f>IF(OR($G3857="FCC",$G3857="Hydrocracker",$G3857="Reformer"),IF(COUNTIFS($D:$D,$D3857,$A:$A,$A3857,$B:$B,$B3857,$G:$G,"CDU",$J:$J,"PLANNED")&gt;0,"tied","standalone"),"")</f>
        <v>standalone</v>
      </c>
    </row>
    <row r="3858" spans="1:14">
      <c r="A3858" s="6">
        <v>2024</v>
      </c>
      <c r="B3858" s="6">
        <v>6</v>
      </c>
      <c r="C3858" s="6" t="s">
        <v>65</v>
      </c>
      <c r="D3858" s="6" t="s">
        <v>515</v>
      </c>
      <c r="E3858" s="6" t="s">
        <v>419</v>
      </c>
      <c r="F3858" s="6" t="str">
        <f>IF($M3858="PADD I","PADD 1",IF($M3858="PADD II","PADD 2",IF($M3858="PADD III","PADD 3",IF($M3858="PADD IV","PADD 4",IF($M3858="PADD V","PADD 5","")))))</f>
        <v>PADD 5</v>
      </c>
      <c r="G3858" s="6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6" t="s">
        <v>426</v>
      </c>
      <c r="I3858" s="6" t="s">
        <v>106</v>
      </c>
      <c r="J3858" s="6" t="s">
        <v>398</v>
      </c>
      <c r="K3858" s="10">
        <v>43.5</v>
      </c>
      <c r="L3858" s="10">
        <v>50</v>
      </c>
      <c r="M3858" s="6" t="s">
        <v>436</v>
      </c>
      <c r="N3858" s="6" t="str">
        <f>IF(OR($G3858="FCC",$G3858="Hydrocracker",$G3858="Reformer"),IF(COUNTIFS($D:$D,$D3858,$A:$A,$A3858,$B:$B,$B3858,$G:$G,"CDU",$J:$J,"PLANNED")&gt;0,"tied","standalone"),"")</f>
        <v>standalone</v>
      </c>
    </row>
    <row r="3859" spans="1:14">
      <c r="A3859" s="6">
        <v>2024</v>
      </c>
      <c r="B3859" s="6">
        <v>6</v>
      </c>
      <c r="C3859" s="6" t="s">
        <v>65</v>
      </c>
      <c r="D3859" s="6" t="s">
        <v>384</v>
      </c>
      <c r="E3859" s="6" t="s">
        <v>419</v>
      </c>
      <c r="F3859" s="6" t="str">
        <f>IF($M3859="PADD I","PADD 1",IF($M3859="PADD II","PADD 2",IF($M3859="PADD III","PADD 3",IF($M3859="PADD IV","PADD 4",IF($M3859="PADD V","PADD 5","")))))</f>
        <v>PADD 3</v>
      </c>
      <c r="G3859" s="6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6" t="s">
        <v>39</v>
      </c>
      <c r="I3859" s="6" t="s">
        <v>779</v>
      </c>
      <c r="J3859" s="6" t="s">
        <v>398</v>
      </c>
      <c r="K3859" s="10">
        <v>42.55</v>
      </c>
      <c r="L3859" s="10">
        <v>185</v>
      </c>
      <c r="M3859" s="6" t="s">
        <v>421</v>
      </c>
      <c r="N3859" s="6">
        <f>IF(OR($G3859="FCC",$G3859="Hydrocracker",$G3859="Reformer"),IF(COUNTIFS($D:$D,$D3859,$A:$A,$A3859,$B:$B,$B3859,$G:$G,"CDU",$J:$J,"PLANNED")&gt;0,"tied","standalone"),"")</f>
        <v/>
      </c>
    </row>
    <row r="3860" spans="1:14">
      <c r="A3860" s="6">
        <v>2024</v>
      </c>
      <c r="B3860" s="6">
        <v>6</v>
      </c>
      <c r="C3860" s="6" t="s">
        <v>65</v>
      </c>
      <c r="D3860" s="6" t="s">
        <v>437</v>
      </c>
      <c r="E3860" s="6" t="s">
        <v>438</v>
      </c>
      <c r="F3860" s="6" t="str">
        <f>IF($M3860="PADD I","PADD 1",IF($M3860="PADD II","PADD 2",IF($M3860="PADD III","PADD 3",IF($M3860="PADD IV","PADD 4",IF($M3860="PADD V","PADD 5","")))))</f>
        <v>PADD 3</v>
      </c>
      <c r="G3860" s="6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6" t="s">
        <v>426</v>
      </c>
      <c r="I3860" s="6" t="s">
        <v>522</v>
      </c>
      <c r="J3860" s="6" t="s">
        <v>394</v>
      </c>
      <c r="K3860" s="10">
        <v>42</v>
      </c>
      <c r="L3860" s="10">
        <v>140</v>
      </c>
      <c r="M3860" s="6" t="s">
        <v>421</v>
      </c>
      <c r="N3860" s="6" t="str">
        <f>IF(OR($G3860="FCC",$G3860="Hydrocracker",$G3860="Reformer"),IF(COUNTIFS($D:$D,$D3860,$A:$A,$A3860,$B:$B,$B3860,$G:$G,"CDU",$J:$J,"PLANNED")&gt;0,"tied","standalone"),"")</f>
        <v>standalone</v>
      </c>
    </row>
    <row r="3861" spans="1:14">
      <c r="A3861" s="6">
        <v>2024</v>
      </c>
      <c r="B3861" s="6">
        <v>6</v>
      </c>
      <c r="C3861" s="6" t="s">
        <v>65</v>
      </c>
      <c r="D3861" s="6" t="s">
        <v>597</v>
      </c>
      <c r="E3861" s="6" t="s">
        <v>441</v>
      </c>
      <c r="F3861" s="6" t="str">
        <f>IF($M3861="PADD I","PADD 1",IF($M3861="PADD II","PADD 2",IF($M3861="PADD III","PADD 3",IF($M3861="PADD IV","PADD 4",IF($M3861="PADD V","PADD 5","")))))</f>
        <v>PADD 5</v>
      </c>
      <c r="G3861" s="6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6" t="s">
        <v>494</v>
      </c>
      <c r="I3861" s="6" t="s">
        <v>784</v>
      </c>
      <c r="J3861" s="6" t="s">
        <v>394</v>
      </c>
      <c r="K3861" s="10">
        <v>40.92</v>
      </c>
      <c r="L3861" s="10">
        <v>44</v>
      </c>
      <c r="M3861" s="6" t="s">
        <v>436</v>
      </c>
      <c r="N3861" s="6" t="str">
        <f>IF(OR($G3861="FCC",$G3861="Hydrocracker",$G3861="Reformer"),IF(COUNTIFS($D:$D,$D3861,$A:$A,$A3861,$B:$B,$B3861,$G:$G,"CDU",$J:$J,"PLANNED")&gt;0,"tied","standalone"),"")</f>
        <v>standalone</v>
      </c>
    </row>
    <row r="3862" spans="1:14">
      <c r="A3862" s="6">
        <v>2024</v>
      </c>
      <c r="B3862" s="6">
        <v>6</v>
      </c>
      <c r="C3862" s="6" t="s">
        <v>65</v>
      </c>
      <c r="D3862" s="6" t="s">
        <v>725</v>
      </c>
      <c r="E3862" s="6" t="s">
        <v>502</v>
      </c>
      <c r="F3862" s="6" t="str">
        <f>IF($M3862="PADD I","PADD 1",IF($M3862="PADD II","PADD 2",IF($M3862="PADD III","PADD 3",IF($M3862="PADD IV","PADD 4",IF($M3862="PADD V","PADD 5","")))))</f>
        <v>PADD 2</v>
      </c>
      <c r="G3862" s="6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6" t="s">
        <v>44</v>
      </c>
      <c r="I3862" s="6" t="s">
        <v>1192</v>
      </c>
      <c r="J3862" s="6" t="s">
        <v>398</v>
      </c>
      <c r="K3862" s="10">
        <v>39.15</v>
      </c>
      <c r="L3862" s="10">
        <v>45</v>
      </c>
      <c r="M3862" s="6" t="s">
        <v>425</v>
      </c>
      <c r="N3862" s="6">
        <f>IF(OR($G3862="FCC",$G3862="Hydrocracker",$G3862="Reformer"),IF(COUNTIFS($D:$D,$D3862,$A:$A,$A3862,$B:$B,$B3862,$G:$G,"CDU",$J:$J,"PLANNED")&gt;0,"tied","standalone"),"")</f>
        <v/>
      </c>
    </row>
    <row r="3863" spans="1:14">
      <c r="A3863" s="6">
        <v>2024</v>
      </c>
      <c r="B3863" s="6">
        <v>6</v>
      </c>
      <c r="C3863" s="6" t="s">
        <v>65</v>
      </c>
      <c r="D3863" s="6" t="s">
        <v>725</v>
      </c>
      <c r="E3863" s="6" t="s">
        <v>502</v>
      </c>
      <c r="F3863" s="6" t="str">
        <f>IF($M3863="PADD I","PADD 1",IF($M3863="PADD II","PADD 2",IF($M3863="PADD III","PADD 3",IF($M3863="PADD IV","PADD 4",IF($M3863="PADD V","PADD 5","")))))</f>
        <v>PADD 2</v>
      </c>
      <c r="G3863" s="6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6" t="s">
        <v>44</v>
      </c>
      <c r="I3863" s="6" t="s">
        <v>1192</v>
      </c>
      <c r="J3863" s="6" t="s">
        <v>394</v>
      </c>
      <c r="K3863" s="10">
        <v>39.15</v>
      </c>
      <c r="L3863" s="10">
        <v>45</v>
      </c>
      <c r="M3863" s="6" t="s">
        <v>425</v>
      </c>
      <c r="N3863" s="6">
        <f>IF(OR($G3863="FCC",$G3863="Hydrocracker",$G3863="Reformer"),IF(COUNTIFS($D:$D,$D3863,$A:$A,$A3863,$B:$B,$B3863,$G:$G,"CDU",$J:$J,"PLANNED")&gt;0,"tied","standalone"),"")</f>
        <v/>
      </c>
    </row>
    <row r="3864" spans="1:14">
      <c r="A3864" s="6">
        <v>2024</v>
      </c>
      <c r="B3864" s="6">
        <v>6</v>
      </c>
      <c r="C3864" s="6" t="s">
        <v>65</v>
      </c>
      <c r="D3864" s="6" t="s">
        <v>872</v>
      </c>
      <c r="E3864" s="6" t="s">
        <v>466</v>
      </c>
      <c r="F3864" s="6" t="str">
        <f>IF($M3864="PADD I","PADD 1",IF($M3864="PADD II","PADD 2",IF($M3864="PADD III","PADD 3",IF($M3864="PADD IV","PADD 4",IF($M3864="PADD V","PADD 5","")))))</f>
        <v>PADD 3</v>
      </c>
      <c r="G3864" s="6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6" t="s">
        <v>44</v>
      </c>
      <c r="I3864" s="6" t="s">
        <v>873</v>
      </c>
      <c r="J3864" s="6" t="s">
        <v>398</v>
      </c>
      <c r="K3864" s="10">
        <v>38.5</v>
      </c>
      <c r="L3864" s="10">
        <v>50</v>
      </c>
      <c r="M3864" s="6" t="s">
        <v>421</v>
      </c>
      <c r="N3864" s="6">
        <f>IF(OR($G3864="FCC",$G3864="Hydrocracker",$G3864="Reformer"),IF(COUNTIFS($D:$D,$D3864,$A:$A,$A3864,$B:$B,$B3864,$G:$G,"CDU",$J:$J,"PLANNED")&gt;0,"tied","standalone"),"")</f>
        <v/>
      </c>
    </row>
    <row r="3865" spans="1:14">
      <c r="A3865" s="6">
        <v>2024</v>
      </c>
      <c r="B3865" s="6">
        <v>6</v>
      </c>
      <c r="C3865" s="6" t="s">
        <v>65</v>
      </c>
      <c r="D3865" s="6" t="s">
        <v>440</v>
      </c>
      <c r="E3865" s="6" t="s">
        <v>441</v>
      </c>
      <c r="F3865" s="6" t="str">
        <f>IF($M3865="PADD I","PADD 1",IF($M3865="PADD II","PADD 2",IF($M3865="PADD III","PADD 3",IF($M3865="PADD IV","PADD 4",IF($M3865="PADD V","PADD 5","")))))</f>
        <v>PADD 3</v>
      </c>
      <c r="G3865" s="6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6" t="s">
        <v>471</v>
      </c>
      <c r="I3865" s="6" t="s">
        <v>1167</v>
      </c>
      <c r="J3865" s="6" t="s">
        <v>394</v>
      </c>
      <c r="K3865" s="10">
        <v>36.85</v>
      </c>
      <c r="L3865" s="10">
        <v>55</v>
      </c>
      <c r="M3865" s="6" t="s">
        <v>421</v>
      </c>
      <c r="N3865" s="6" t="str">
        <f>IF(OR($G3865="FCC",$G3865="Hydrocracker",$G3865="Reformer"),IF(COUNTIFS($D:$D,$D3865,$A:$A,$A3865,$B:$B,$B3865,$G:$G,"CDU",$J:$J,"PLANNED")&gt;0,"tied","standalone"),"")</f>
        <v>standalone</v>
      </c>
    </row>
    <row r="3866" spans="1:14">
      <c r="A3866" s="6">
        <v>2024</v>
      </c>
      <c r="B3866" s="6">
        <v>6</v>
      </c>
      <c r="C3866" s="6" t="s">
        <v>65</v>
      </c>
      <c r="D3866" s="6" t="s">
        <v>696</v>
      </c>
      <c r="E3866" s="6" t="s">
        <v>455</v>
      </c>
      <c r="F3866" s="6" t="str">
        <f>IF($M3866="PADD I","PADD 1",IF($M3866="PADD II","PADD 2",IF($M3866="PADD III","PADD 3",IF($M3866="PADD IV","PADD 4",IF($M3866="PADD V","PADD 5","")))))</f>
        <v>PADD 3</v>
      </c>
      <c r="G3866" s="6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6" t="s">
        <v>44</v>
      </c>
      <c r="I3866" s="6" t="s">
        <v>697</v>
      </c>
      <c r="J3866" s="6" t="s">
        <v>394</v>
      </c>
      <c r="K3866" s="10">
        <v>36</v>
      </c>
      <c r="L3866" s="10">
        <v>45</v>
      </c>
      <c r="M3866" s="6" t="s">
        <v>421</v>
      </c>
      <c r="N3866" s="6">
        <f>IF(OR($G3866="FCC",$G3866="Hydrocracker",$G3866="Reformer"),IF(COUNTIFS($D:$D,$D3866,$A:$A,$A3866,$B:$B,$B3866,$G:$G,"CDU",$J:$J,"PLANNED")&gt;0,"tied","standalone"),"")</f>
        <v/>
      </c>
    </row>
    <row r="3867" spans="1:14">
      <c r="A3867" s="6">
        <v>2024</v>
      </c>
      <c r="B3867" s="6">
        <v>6</v>
      </c>
      <c r="C3867" s="6" t="s">
        <v>65</v>
      </c>
      <c r="D3867" s="6" t="s">
        <v>496</v>
      </c>
      <c r="E3867" s="6" t="s">
        <v>441</v>
      </c>
      <c r="F3867" s="6" t="str">
        <f>IF($M3867="PADD I","PADD 1",IF($M3867="PADD II","PADD 2",IF($M3867="PADD III","PADD 3",IF($M3867="PADD IV","PADD 4",IF($M3867="PADD V","PADD 5","")))))</f>
        <v>PADD 3</v>
      </c>
      <c r="G3867" s="6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6" t="s">
        <v>44</v>
      </c>
      <c r="I3867" s="6" t="s">
        <v>497</v>
      </c>
      <c r="J3867" s="6" t="s">
        <v>398</v>
      </c>
      <c r="K3867" s="10">
        <v>35</v>
      </c>
      <c r="L3867" s="10">
        <v>35</v>
      </c>
      <c r="M3867" s="6" t="s">
        <v>421</v>
      </c>
      <c r="N3867" s="6">
        <f>IF(OR($G3867="FCC",$G3867="Hydrocracker",$G3867="Reformer"),IF(COUNTIFS($D:$D,$D3867,$A:$A,$A3867,$B:$B,$B3867,$G:$G,"CDU",$J:$J,"PLANNED")&gt;0,"tied","standalone"),"")</f>
        <v/>
      </c>
    </row>
    <row r="3868" spans="1:14">
      <c r="A3868" s="6">
        <v>2024</v>
      </c>
      <c r="B3868" s="6">
        <v>6</v>
      </c>
      <c r="C3868" s="6" t="s">
        <v>65</v>
      </c>
      <c r="D3868" s="6" t="s">
        <v>498</v>
      </c>
      <c r="E3868" s="6" t="s">
        <v>441</v>
      </c>
      <c r="F3868" s="6" t="str">
        <f>IF($M3868="PADD I","PADD 1",IF($M3868="PADD II","PADD 2",IF($M3868="PADD III","PADD 3",IF($M3868="PADD IV","PADD 4",IF($M3868="PADD V","PADD 5","")))))</f>
        <v>PADD 3</v>
      </c>
      <c r="G3868" s="6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6" t="s">
        <v>44</v>
      </c>
      <c r="I3868" s="6" t="s">
        <v>499</v>
      </c>
      <c r="J3868" s="6" t="s">
        <v>394</v>
      </c>
      <c r="K3868" s="10">
        <v>35</v>
      </c>
      <c r="L3868" s="10">
        <v>35</v>
      </c>
      <c r="M3868" s="6" t="s">
        <v>421</v>
      </c>
      <c r="N3868" s="6">
        <f>IF(OR($G3868="FCC",$G3868="Hydrocracker",$G3868="Reformer"),IF(COUNTIFS($D:$D,$D3868,$A:$A,$A3868,$B:$B,$B3868,$G:$G,"CDU",$J:$J,"PLANNED")&gt;0,"tied","standalone"),"")</f>
        <v/>
      </c>
    </row>
    <row r="3869" spans="1:14">
      <c r="A3869" s="6">
        <v>2024</v>
      </c>
      <c r="B3869" s="6">
        <v>6</v>
      </c>
      <c r="C3869" s="6" t="s">
        <v>65</v>
      </c>
      <c r="D3869" s="6" t="s">
        <v>872</v>
      </c>
      <c r="E3869" s="6" t="s">
        <v>466</v>
      </c>
      <c r="F3869" s="6" t="str">
        <f>IF($M3869="PADD I","PADD 1",IF($M3869="PADD II","PADD 2",IF($M3869="PADD III","PADD 3",IF($M3869="PADD IV","PADD 4",IF($M3869="PADD V","PADD 5","")))))</f>
        <v>PADD 3</v>
      </c>
      <c r="G3869" s="6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6" t="s">
        <v>44</v>
      </c>
      <c r="I3869" s="6" t="s">
        <v>570</v>
      </c>
      <c r="J3869" s="6" t="s">
        <v>398</v>
      </c>
      <c r="K3869" s="10">
        <v>34.65</v>
      </c>
      <c r="L3869" s="10">
        <v>45</v>
      </c>
      <c r="M3869" s="6" t="s">
        <v>421</v>
      </c>
      <c r="N3869" s="6">
        <f>IF(OR($G3869="FCC",$G3869="Hydrocracker",$G3869="Reformer"),IF(COUNTIFS($D:$D,$D3869,$A:$A,$A3869,$B:$B,$B3869,$G:$G,"CDU",$J:$J,"PLANNED")&gt;0,"tied","standalone"),"")</f>
        <v/>
      </c>
    </row>
    <row r="3870" spans="1:14">
      <c r="A3870" s="6">
        <v>2024</v>
      </c>
      <c r="B3870" s="6">
        <v>6</v>
      </c>
      <c r="C3870" s="6" t="s">
        <v>65</v>
      </c>
      <c r="D3870" s="6" t="s">
        <v>872</v>
      </c>
      <c r="E3870" s="6" t="s">
        <v>466</v>
      </c>
      <c r="F3870" s="6" t="str">
        <f>IF($M3870="PADD I","PADD 1",IF($M3870="PADD II","PADD 2",IF($M3870="PADD III","PADD 3",IF($M3870="PADD IV","PADD 4",IF($M3870="PADD V","PADD 5","")))))</f>
        <v>PADD 3</v>
      </c>
      <c r="G3870" s="6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6" t="s">
        <v>485</v>
      </c>
      <c r="I3870" s="6" t="s">
        <v>491</v>
      </c>
      <c r="J3870" s="6" t="s">
        <v>398</v>
      </c>
      <c r="K3870" s="10">
        <v>33.88</v>
      </c>
      <c r="L3870" s="10">
        <v>44</v>
      </c>
      <c r="M3870" s="6" t="s">
        <v>421</v>
      </c>
      <c r="N3870" s="6">
        <f>IF(OR($G3870="FCC",$G3870="Hydrocracker",$G3870="Reformer"),IF(COUNTIFS($D:$D,$D3870,$A:$A,$A3870,$B:$B,$B3870,$G:$G,"CDU",$J:$J,"PLANNED")&gt;0,"tied","standalone"),"")</f>
        <v/>
      </c>
    </row>
    <row r="3871" spans="1:14">
      <c r="A3871" s="6">
        <v>2024</v>
      </c>
      <c r="B3871" s="6">
        <v>6</v>
      </c>
      <c r="C3871" s="6" t="s">
        <v>65</v>
      </c>
      <c r="D3871" s="6" t="s">
        <v>52</v>
      </c>
      <c r="E3871" s="6" t="s">
        <v>441</v>
      </c>
      <c r="F3871" s="6" t="str">
        <f>IF($M3871="PADD I","PADD 1",IF($M3871="PADD II","PADD 2",IF($M3871="PADD III","PADD 3",IF($M3871="PADD IV","PADD 4",IF($M3871="PADD V","PADD 5","")))))</f>
        <v>PADD 5</v>
      </c>
      <c r="G3871" s="6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6" t="s">
        <v>44</v>
      </c>
      <c r="I3871" s="6" t="s">
        <v>909</v>
      </c>
      <c r="J3871" s="6" t="s">
        <v>398</v>
      </c>
      <c r="K3871" s="10">
        <v>33.2</v>
      </c>
      <c r="L3871" s="10">
        <v>40</v>
      </c>
      <c r="M3871" s="6" t="s">
        <v>436</v>
      </c>
      <c r="N3871" s="6">
        <f>IF(OR($G3871="FCC",$G3871="Hydrocracker",$G3871="Reformer"),IF(COUNTIFS($D:$D,$D3871,$A:$A,$A3871,$B:$B,$B3871,$G:$G,"CDU",$J:$J,"PLANNED")&gt;0,"tied","standalone"),"")</f>
        <v/>
      </c>
    </row>
    <row r="3872" spans="1:14">
      <c r="A3872" s="6">
        <v>2024</v>
      </c>
      <c r="B3872" s="6">
        <v>6</v>
      </c>
      <c r="C3872" s="6" t="s">
        <v>65</v>
      </c>
      <c r="D3872" s="6" t="s">
        <v>662</v>
      </c>
      <c r="E3872" s="6" t="s">
        <v>466</v>
      </c>
      <c r="F3872" s="6" t="str">
        <f>IF($M3872="PADD I","PADD 1",IF($M3872="PADD II","PADD 2",IF($M3872="PADD III","PADD 3",IF($M3872="PADD IV","PADD 4",IF($M3872="PADD V","PADD 5","")))))</f>
        <v>PADD 3</v>
      </c>
      <c r="G3872" s="6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6" t="s">
        <v>485</v>
      </c>
      <c r="I3872" s="6" t="s">
        <v>491</v>
      </c>
      <c r="J3872" s="6" t="s">
        <v>394</v>
      </c>
      <c r="K3872" s="10">
        <v>32.12</v>
      </c>
      <c r="L3872" s="10">
        <v>44</v>
      </c>
      <c r="M3872" s="6" t="s">
        <v>421</v>
      </c>
      <c r="N3872" s="6">
        <f>IF(OR($G3872="FCC",$G3872="Hydrocracker",$G3872="Reformer"),IF(COUNTIFS($D:$D,$D3872,$A:$A,$A3872,$B:$B,$B3872,$G:$G,"CDU",$J:$J,"PLANNED")&gt;0,"tied","standalone"),"")</f>
        <v/>
      </c>
    </row>
    <row r="3873" spans="1:14">
      <c r="A3873" s="6">
        <v>2024</v>
      </c>
      <c r="B3873" s="6">
        <v>6</v>
      </c>
      <c r="C3873" s="6" t="s">
        <v>65</v>
      </c>
      <c r="D3873" s="6" t="s">
        <v>507</v>
      </c>
      <c r="E3873" s="6" t="s">
        <v>438</v>
      </c>
      <c r="F3873" s="6" t="str">
        <f>IF($M3873="PADD I","PADD 1",IF($M3873="PADD II","PADD 2",IF($M3873="PADD III","PADD 3",IF($M3873="PADD IV","PADD 4",IF($M3873="PADD V","PADD 5","")))))</f>
        <v>PADD 5</v>
      </c>
      <c r="G3873" s="6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6" t="s">
        <v>39</v>
      </c>
      <c r="I3873" s="6" t="s">
        <v>132</v>
      </c>
      <c r="J3873" s="6" t="s">
        <v>394</v>
      </c>
      <c r="K3873" s="10">
        <v>32</v>
      </c>
      <c r="L3873" s="10">
        <v>160</v>
      </c>
      <c r="M3873" s="6" t="s">
        <v>436</v>
      </c>
      <c r="N3873" s="6">
        <f>IF(OR($G3873="FCC",$G3873="Hydrocracker",$G3873="Reformer"),IF(COUNTIFS($D:$D,$D3873,$A:$A,$A3873,$B:$B,$B3873,$G:$G,"CDU",$J:$J,"PLANNED")&gt;0,"tied","standalone"),"")</f>
        <v/>
      </c>
    </row>
    <row r="3874" spans="1:14">
      <c r="A3874" s="6">
        <v>2024</v>
      </c>
      <c r="B3874" s="6">
        <v>6</v>
      </c>
      <c r="C3874" s="6" t="s">
        <v>65</v>
      </c>
      <c r="D3874" s="6" t="s">
        <v>884</v>
      </c>
      <c r="E3874" s="6" t="s">
        <v>455</v>
      </c>
      <c r="F3874" s="6" t="str">
        <f>IF($M3874="PADD I","PADD 1",IF($M3874="PADD II","PADD 2",IF($M3874="PADD III","PADD 3",IF($M3874="PADD IV","PADD 4",IF($M3874="PADD V","PADD 5","")))))</f>
        <v>PADD 3</v>
      </c>
      <c r="G3874" s="6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6" t="s">
        <v>44</v>
      </c>
      <c r="I3874" s="6" t="s">
        <v>499</v>
      </c>
      <c r="J3874" s="6" t="s">
        <v>394</v>
      </c>
      <c r="K3874" s="10">
        <v>31.5</v>
      </c>
      <c r="L3874" s="10">
        <v>50</v>
      </c>
      <c r="M3874" s="6" t="s">
        <v>421</v>
      </c>
      <c r="N3874" s="6">
        <f>IF(OR($G3874="FCC",$G3874="Hydrocracker",$G3874="Reformer"),IF(COUNTIFS($D:$D,$D3874,$A:$A,$A3874,$B:$B,$B3874,$G:$G,"CDU",$J:$J,"PLANNED")&gt;0,"tied","standalone"),"")</f>
        <v/>
      </c>
    </row>
    <row r="3875" spans="1:14">
      <c r="A3875" s="6">
        <v>2024</v>
      </c>
      <c r="B3875" s="6">
        <v>6</v>
      </c>
      <c r="C3875" s="6" t="s">
        <v>65</v>
      </c>
      <c r="D3875" s="6" t="s">
        <v>507</v>
      </c>
      <c r="E3875" s="6" t="s">
        <v>438</v>
      </c>
      <c r="F3875" s="6" t="str">
        <f>IF($M3875="PADD I","PADD 1",IF($M3875="PADD II","PADD 2",IF($M3875="PADD III","PADD 3",IF($M3875="PADD IV","PADD 4",IF($M3875="PADD V","PADD 5","")))))</f>
        <v>PADD 5</v>
      </c>
      <c r="G3875" s="6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6" t="s">
        <v>39</v>
      </c>
      <c r="I3875" s="6" t="s">
        <v>132</v>
      </c>
      <c r="J3875" s="6" t="s">
        <v>394</v>
      </c>
      <c r="K3875" s="10">
        <v>29.75</v>
      </c>
      <c r="L3875" s="10">
        <v>175</v>
      </c>
      <c r="M3875" s="6" t="s">
        <v>436</v>
      </c>
      <c r="N3875" s="6">
        <f>IF(OR($G3875="FCC",$G3875="Hydrocracker",$G3875="Reformer"),IF(COUNTIFS($D:$D,$D3875,$A:$A,$A3875,$B:$B,$B3875,$G:$G,"CDU",$J:$J,"PLANNED")&gt;0,"tied","standalone"),"")</f>
        <v/>
      </c>
    </row>
    <row r="3876" spans="1:14">
      <c r="A3876" s="6">
        <v>2024</v>
      </c>
      <c r="B3876" s="6">
        <v>6</v>
      </c>
      <c r="C3876" s="6" t="s">
        <v>65</v>
      </c>
      <c r="D3876" s="6" t="s">
        <v>448</v>
      </c>
      <c r="E3876" s="6" t="s">
        <v>449</v>
      </c>
      <c r="F3876" s="6" t="str">
        <f>IF($M3876="PADD I","PADD 1",IF($M3876="PADD II","PADD 2",IF($M3876="PADD III","PADD 3",IF($M3876="PADD IV","PADD 4",IF($M3876="PADD V","PADD 5","")))))</f>
        <v>PADD 3</v>
      </c>
      <c r="G3876" s="6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6" t="s">
        <v>39</v>
      </c>
      <c r="I3876" s="6" t="s">
        <v>525</v>
      </c>
      <c r="J3876" s="6" t="s">
        <v>394</v>
      </c>
      <c r="K3876" s="10">
        <v>29.4</v>
      </c>
      <c r="L3876" s="10">
        <v>147</v>
      </c>
      <c r="M3876" s="6" t="s">
        <v>421</v>
      </c>
      <c r="N3876" s="6">
        <f>IF(OR($G3876="FCC",$G3876="Hydrocracker",$G3876="Reformer"),IF(COUNTIFS($D:$D,$D3876,$A:$A,$A3876,$B:$B,$B3876,$G:$G,"CDU",$J:$J,"PLANNED")&gt;0,"tied","standalone"),"")</f>
        <v/>
      </c>
    </row>
    <row r="3877" spans="1:14">
      <c r="A3877" s="6">
        <v>2024</v>
      </c>
      <c r="B3877" s="6">
        <v>6</v>
      </c>
      <c r="C3877" s="6" t="s">
        <v>65</v>
      </c>
      <c r="D3877" s="6" t="s">
        <v>576</v>
      </c>
      <c r="E3877" s="6" t="s">
        <v>455</v>
      </c>
      <c r="F3877" s="6" t="str">
        <f>IF($M3877="PADD I","PADD 1",IF($M3877="PADD II","PADD 2",IF($M3877="PADD III","PADD 3",IF($M3877="PADD IV","PADD 4",IF($M3877="PADD V","PADD 5","")))))</f>
        <v>PADD 3</v>
      </c>
      <c r="G3877" s="6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6" t="s">
        <v>44</v>
      </c>
      <c r="I3877" s="6" t="s">
        <v>1139</v>
      </c>
      <c r="J3877" s="6" t="s">
        <v>398</v>
      </c>
      <c r="K3877" s="10">
        <v>27.09</v>
      </c>
      <c r="L3877" s="10">
        <v>43</v>
      </c>
      <c r="M3877" s="6" t="s">
        <v>421</v>
      </c>
      <c r="N3877" s="6">
        <f>IF(OR($G3877="FCC",$G3877="Hydrocracker",$G3877="Reformer"),IF(COUNTIFS($D:$D,$D3877,$A:$A,$A3877,$B:$B,$B3877,$G:$G,"CDU",$J:$J,"PLANNED")&gt;0,"tied","standalone"),"")</f>
        <v/>
      </c>
    </row>
    <row r="3878" spans="1:14">
      <c r="A3878" s="6">
        <v>2024</v>
      </c>
      <c r="B3878" s="6">
        <v>6</v>
      </c>
      <c r="C3878" s="6" t="s">
        <v>65</v>
      </c>
      <c r="D3878" s="6" t="s">
        <v>792</v>
      </c>
      <c r="E3878" s="6" t="s">
        <v>438</v>
      </c>
      <c r="F3878" s="6" t="str">
        <f>IF($M3878="PADD I","PADD 1",IF($M3878="PADD II","PADD 2",IF($M3878="PADD III","PADD 3",IF($M3878="PADD IV","PADD 4",IF($M3878="PADD V","PADD 5","")))))</f>
        <v>PADD 5</v>
      </c>
      <c r="G3878" s="6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6" t="s">
        <v>44</v>
      </c>
      <c r="I3878" s="6" t="s">
        <v>962</v>
      </c>
      <c r="J3878" s="6" t="s">
        <v>394</v>
      </c>
      <c r="K3878" s="10">
        <v>25.6</v>
      </c>
      <c r="L3878" s="10">
        <v>32</v>
      </c>
      <c r="M3878" s="6" t="s">
        <v>436</v>
      </c>
      <c r="N3878" s="6">
        <f>IF(OR($G3878="FCC",$G3878="Hydrocracker",$G3878="Reformer"),IF(COUNTIFS($D:$D,$D3878,$A:$A,$A3878,$B:$B,$B3878,$G:$G,"CDU",$J:$J,"PLANNED")&gt;0,"tied","standalone"),"")</f>
        <v/>
      </c>
    </row>
    <row r="3879" spans="1:14">
      <c r="A3879" s="6">
        <v>2024</v>
      </c>
      <c r="B3879" s="6">
        <v>6</v>
      </c>
      <c r="C3879" s="6" t="s">
        <v>65</v>
      </c>
      <c r="D3879" s="6" t="s">
        <v>540</v>
      </c>
      <c r="E3879" s="6" t="s">
        <v>541</v>
      </c>
      <c r="F3879" s="6" t="str">
        <f>IF($M3879="PADD I","PADD 1",IF($M3879="PADD II","PADD 2",IF($M3879="PADD III","PADD 3",IF($M3879="PADD IV","PADD 4",IF($M3879="PADD V","PADD 5","")))))</f>
        <v>PADD 3</v>
      </c>
      <c r="G3879" s="6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6" t="s">
        <v>471</v>
      </c>
      <c r="I3879" s="6" t="s">
        <v>1132</v>
      </c>
      <c r="J3879" s="6" t="s">
        <v>394</v>
      </c>
      <c r="K3879" s="10">
        <v>25.5</v>
      </c>
      <c r="L3879" s="10">
        <v>85</v>
      </c>
      <c r="M3879" s="6" t="s">
        <v>421</v>
      </c>
      <c r="N3879" s="6" t="str">
        <f>IF(OR($G3879="FCC",$G3879="Hydrocracker",$G3879="Reformer"),IF(COUNTIFS($D:$D,$D3879,$A:$A,$A3879,$B:$B,$B3879,$G:$G,"CDU",$J:$J,"PLANNED")&gt;0,"tied","standalone"),"")</f>
        <v>standalone</v>
      </c>
    </row>
    <row r="3880" spans="1:14">
      <c r="A3880" s="6">
        <v>2024</v>
      </c>
      <c r="B3880" s="6">
        <v>6</v>
      </c>
      <c r="C3880" s="6" t="s">
        <v>65</v>
      </c>
      <c r="D3880" s="6" t="s">
        <v>384</v>
      </c>
      <c r="E3880" s="6" t="s">
        <v>419</v>
      </c>
      <c r="F3880" s="6" t="str">
        <f>IF($M3880="PADD I","PADD 1",IF($M3880="PADD II","PADD 2",IF($M3880="PADD III","PADD 3",IF($M3880="PADD IV","PADD 4",IF($M3880="PADD V","PADD 5","")))))</f>
        <v>PADD 3</v>
      </c>
      <c r="G3880" s="6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6" t="s">
        <v>44</v>
      </c>
      <c r="I3880" s="6" t="s">
        <v>1254</v>
      </c>
      <c r="J3880" s="6" t="s">
        <v>398</v>
      </c>
      <c r="K3880" s="10">
        <v>24.61</v>
      </c>
      <c r="L3880" s="10">
        <v>107</v>
      </c>
      <c r="M3880" s="6" t="s">
        <v>421</v>
      </c>
      <c r="N3880" s="6">
        <f>IF(OR($G3880="FCC",$G3880="Hydrocracker",$G3880="Reformer"),IF(COUNTIFS($D:$D,$D3880,$A:$A,$A3880,$B:$B,$B3880,$G:$G,"CDU",$J:$J,"PLANNED")&gt;0,"tied","standalone"),"")</f>
        <v/>
      </c>
    </row>
    <row r="3881" spans="1:14">
      <c r="A3881" s="6">
        <v>2024</v>
      </c>
      <c r="B3881" s="6">
        <v>6</v>
      </c>
      <c r="C3881" s="6" t="s">
        <v>65</v>
      </c>
      <c r="D3881" s="6" t="s">
        <v>51</v>
      </c>
      <c r="E3881" s="6" t="s">
        <v>431</v>
      </c>
      <c r="F3881" s="6" t="str">
        <f>IF($M3881="PADD I","PADD 1",IF($M3881="PADD II","PADD 2",IF($M3881="PADD III","PADD 3",IF($M3881="PADD IV","PADD 4",IF($M3881="PADD V","PADD 5","")))))</f>
        <v>PADD 3</v>
      </c>
      <c r="G3881" s="6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6" t="s">
        <v>494</v>
      </c>
      <c r="I3881" s="6" t="s">
        <v>1245</v>
      </c>
      <c r="J3881" s="6" t="s">
        <v>398</v>
      </c>
      <c r="K3881" s="10">
        <v>23.25</v>
      </c>
      <c r="L3881" s="10">
        <v>25</v>
      </c>
      <c r="M3881" s="6" t="s">
        <v>421</v>
      </c>
      <c r="N3881" s="6" t="str">
        <f>IF(OR($G3881="FCC",$G3881="Hydrocracker",$G3881="Reformer"),IF(COUNTIFS($D:$D,$D3881,$A:$A,$A3881,$B:$B,$B3881,$G:$G,"CDU",$J:$J,"PLANNED")&gt;0,"tied","standalone"),"")</f>
        <v>standalone</v>
      </c>
    </row>
    <row r="3882" spans="1:14">
      <c r="A3882" s="6">
        <v>2024</v>
      </c>
      <c r="B3882" s="6">
        <v>6</v>
      </c>
      <c r="C3882" s="6" t="s">
        <v>65</v>
      </c>
      <c r="D3882" s="6" t="s">
        <v>872</v>
      </c>
      <c r="E3882" s="6" t="s">
        <v>466</v>
      </c>
      <c r="F3882" s="6" t="str">
        <f>IF($M3882="PADD I","PADD 1",IF($M3882="PADD II","PADD 2",IF($M3882="PADD III","PADD 3",IF($M3882="PADD IV","PADD 4",IF($M3882="PADD V","PADD 5","")))))</f>
        <v>PADD 3</v>
      </c>
      <c r="G3882" s="6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6" t="s">
        <v>471</v>
      </c>
      <c r="I3882" s="6" t="s">
        <v>876</v>
      </c>
      <c r="J3882" s="6" t="s">
        <v>398</v>
      </c>
      <c r="K3882" s="10">
        <v>23.1</v>
      </c>
      <c r="L3882" s="10">
        <v>30</v>
      </c>
      <c r="M3882" s="6" t="s">
        <v>421</v>
      </c>
      <c r="N3882" s="6" t="str">
        <f>IF(OR($G3882="FCC",$G3882="Hydrocracker",$G3882="Reformer"),IF(COUNTIFS($D:$D,$D3882,$A:$A,$A3882,$B:$B,$B3882,$G:$G,"CDU",$J:$J,"PLANNED")&gt;0,"tied","standalone"),"")</f>
        <v>standalone</v>
      </c>
    </row>
    <row r="3883" spans="1:14">
      <c r="A3883" s="6">
        <v>2024</v>
      </c>
      <c r="B3883" s="6">
        <v>6</v>
      </c>
      <c r="C3883" s="6" t="s">
        <v>65</v>
      </c>
      <c r="D3883" s="6" t="s">
        <v>872</v>
      </c>
      <c r="E3883" s="6" t="s">
        <v>466</v>
      </c>
      <c r="F3883" s="6" t="str">
        <f>IF($M3883="PADD I","PADD 1",IF($M3883="PADD II","PADD 2",IF($M3883="PADD III","PADD 3",IF($M3883="PADD IV","PADD 4",IF($M3883="PADD V","PADD 5","")))))</f>
        <v>PADD 3</v>
      </c>
      <c r="G3883" s="6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6" t="s">
        <v>44</v>
      </c>
      <c r="I3883" s="6" t="s">
        <v>877</v>
      </c>
      <c r="J3883" s="6" t="s">
        <v>398</v>
      </c>
      <c r="K3883" s="10">
        <v>23.1</v>
      </c>
      <c r="L3883" s="10">
        <v>30</v>
      </c>
      <c r="M3883" s="6" t="s">
        <v>421</v>
      </c>
      <c r="N3883" s="6">
        <f>IF(OR($G3883="FCC",$G3883="Hydrocracker",$G3883="Reformer"),IF(COUNTIFS($D:$D,$D3883,$A:$A,$A3883,$B:$B,$B3883,$G:$G,"CDU",$J:$J,"PLANNED")&gt;0,"tied","standalone"),"")</f>
        <v/>
      </c>
    </row>
    <row r="3884" spans="1:14">
      <c r="A3884" s="6">
        <v>2024</v>
      </c>
      <c r="B3884" s="6">
        <v>6</v>
      </c>
      <c r="C3884" s="6" t="s">
        <v>65</v>
      </c>
      <c r="D3884" s="6" t="s">
        <v>696</v>
      </c>
      <c r="E3884" s="6" t="s">
        <v>455</v>
      </c>
      <c r="F3884" s="6" t="str">
        <f>IF($M3884="PADD I","PADD 1",IF($M3884="PADD II","PADD 2",IF($M3884="PADD III","PADD 3",IF($M3884="PADD IV","PADD 4",IF($M3884="PADD V","PADD 5","")))))</f>
        <v>PADD 3</v>
      </c>
      <c r="G3884" s="6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6" t="s">
        <v>39</v>
      </c>
      <c r="I3884" s="6" t="s">
        <v>127</v>
      </c>
      <c r="J3884" s="6" t="s">
        <v>394</v>
      </c>
      <c r="K3884" s="10">
        <v>21.39</v>
      </c>
      <c r="L3884" s="10">
        <v>93</v>
      </c>
      <c r="M3884" s="6" t="s">
        <v>421</v>
      </c>
      <c r="N3884" s="6">
        <f>IF(OR($G3884="FCC",$G3884="Hydrocracker",$G3884="Reformer"),IF(COUNTIFS($D:$D,$D3884,$A:$A,$A3884,$B:$B,$B3884,$G:$G,"CDU",$J:$J,"PLANNED")&gt;0,"tied","standalone"),"")</f>
        <v/>
      </c>
    </row>
    <row r="3885" spans="1:14">
      <c r="A3885" s="6">
        <v>2024</v>
      </c>
      <c r="B3885" s="6">
        <v>6</v>
      </c>
      <c r="C3885" s="6" t="s">
        <v>65</v>
      </c>
      <c r="D3885" s="6" t="s">
        <v>375</v>
      </c>
      <c r="E3885" s="6" t="s">
        <v>435</v>
      </c>
      <c r="F3885" s="6" t="str">
        <f>IF($M3885="PADD I","PADD 1",IF($M3885="PADD II","PADD 2",IF($M3885="PADD III","PADD 3",IF($M3885="PADD IV","PADD 4",IF($M3885="PADD V","PADD 5","")))))</f>
        <v>PADD 5</v>
      </c>
      <c r="G3885" s="6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6" t="s">
        <v>485</v>
      </c>
      <c r="I3885" s="6" t="s">
        <v>863</v>
      </c>
      <c r="J3885" s="6" t="s">
        <v>394</v>
      </c>
      <c r="K3885" s="10">
        <v>20</v>
      </c>
      <c r="L3885" s="10">
        <v>25</v>
      </c>
      <c r="M3885" s="6" t="s">
        <v>436</v>
      </c>
      <c r="N3885" s="6">
        <f>IF(OR($G3885="FCC",$G3885="Hydrocracker",$G3885="Reformer"),IF(COUNTIFS($D:$D,$D3885,$A:$A,$A3885,$B:$B,$B3885,$G:$G,"CDU",$J:$J,"PLANNED")&gt;0,"tied","standalone"),"")</f>
        <v/>
      </c>
    </row>
    <row r="3886" spans="1:14">
      <c r="A3886" s="6">
        <v>2024</v>
      </c>
      <c r="B3886" s="6">
        <v>6</v>
      </c>
      <c r="C3886" s="6" t="s">
        <v>65</v>
      </c>
      <c r="D3886" s="6" t="s">
        <v>1093</v>
      </c>
      <c r="E3886" s="6" t="s">
        <v>438</v>
      </c>
      <c r="F3886" s="6" t="str">
        <f>IF($M3886="PADD I","PADD 1",IF($M3886="PADD II","PADD 2",IF($M3886="PADD III","PADD 3",IF($M3886="PADD IV","PADD 4",IF($M3886="PADD V","PADD 5","")))))</f>
        <v>PADD 2</v>
      </c>
      <c r="G3886" s="6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6" t="s">
        <v>44</v>
      </c>
      <c r="I3886" s="6" t="s">
        <v>1101</v>
      </c>
      <c r="J3886" s="6" t="s">
        <v>398</v>
      </c>
      <c r="K3886" s="10">
        <v>19.558</v>
      </c>
      <c r="L3886" s="10">
        <v>25.4</v>
      </c>
      <c r="M3886" s="6" t="s">
        <v>425</v>
      </c>
      <c r="N3886" s="6">
        <f>IF(OR($G3886="FCC",$G3886="Hydrocracker",$G3886="Reformer"),IF(COUNTIFS($D:$D,$D3886,$A:$A,$A3886,$B:$B,$B3886,$G:$G,"CDU",$J:$J,"PLANNED")&gt;0,"tied","standalone"),"")</f>
        <v/>
      </c>
    </row>
    <row r="3887" spans="1:14">
      <c r="A3887" s="6">
        <v>2024</v>
      </c>
      <c r="B3887" s="6">
        <v>6</v>
      </c>
      <c r="C3887" s="6" t="s">
        <v>65</v>
      </c>
      <c r="D3887" s="6" t="s">
        <v>448</v>
      </c>
      <c r="E3887" s="6" t="s">
        <v>449</v>
      </c>
      <c r="F3887" s="6" t="str">
        <f>IF($M3887="PADD I","PADD 1",IF($M3887="PADD II","PADD 2",IF($M3887="PADD III","PADD 3",IF($M3887="PADD IV","PADD 4",IF($M3887="PADD V","PADD 5","")))))</f>
        <v>PADD 3</v>
      </c>
      <c r="G3887" s="6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6" t="s">
        <v>39</v>
      </c>
      <c r="I3887" s="6" t="s">
        <v>525</v>
      </c>
      <c r="J3887" s="6" t="s">
        <v>398</v>
      </c>
      <c r="K3887" s="10">
        <v>19.37</v>
      </c>
      <c r="L3887" s="10">
        <v>149</v>
      </c>
      <c r="M3887" s="6" t="s">
        <v>421</v>
      </c>
      <c r="N3887" s="6">
        <f>IF(OR($G3887="FCC",$G3887="Hydrocracker",$G3887="Reformer"),IF(COUNTIFS($D:$D,$D3887,$A:$A,$A3887,$B:$B,$B3887,$G:$G,"CDU",$J:$J,"PLANNED")&gt;0,"tied","standalone"),"")</f>
        <v/>
      </c>
    </row>
    <row r="3888" spans="1:14">
      <c r="A3888" s="6">
        <v>2024</v>
      </c>
      <c r="B3888" s="6">
        <v>6</v>
      </c>
      <c r="C3888" s="6" t="s">
        <v>65</v>
      </c>
      <c r="D3888" s="6" t="s">
        <v>696</v>
      </c>
      <c r="E3888" s="6" t="s">
        <v>455</v>
      </c>
      <c r="F3888" s="6" t="str">
        <f>IF($M3888="PADD I","PADD 1",IF($M3888="PADD II","PADD 2",IF($M3888="PADD III","PADD 3",IF($M3888="PADD IV","PADD 4",IF($M3888="PADD V","PADD 5","")))))</f>
        <v>PADD 3</v>
      </c>
      <c r="G3888" s="6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6" t="s">
        <v>44</v>
      </c>
      <c r="I3888" s="6" t="s">
        <v>893</v>
      </c>
      <c r="J3888" s="6" t="s">
        <v>394</v>
      </c>
      <c r="K3888" s="10">
        <v>18.9</v>
      </c>
      <c r="L3888" s="10">
        <v>30</v>
      </c>
      <c r="M3888" s="6" t="s">
        <v>421</v>
      </c>
      <c r="N3888" s="6">
        <f>IF(OR($G3888="FCC",$G3888="Hydrocracker",$G3888="Reformer"),IF(COUNTIFS($D:$D,$D3888,$A:$A,$A3888,$B:$B,$B3888,$G:$G,"CDU",$J:$J,"PLANNED")&gt;0,"tied","standalone"),"")</f>
        <v/>
      </c>
    </row>
    <row r="3889" spans="1:14">
      <c r="A3889" s="6">
        <v>2024</v>
      </c>
      <c r="B3889" s="6">
        <v>6</v>
      </c>
      <c r="C3889" s="6" t="s">
        <v>65</v>
      </c>
      <c r="D3889" s="6" t="s">
        <v>662</v>
      </c>
      <c r="E3889" s="6" t="s">
        <v>466</v>
      </c>
      <c r="F3889" s="6" t="str">
        <f>IF($M3889="PADD I","PADD 1",IF($M3889="PADD II","PADD 2",IF($M3889="PADD III","PADD 3",IF($M3889="PADD IV","PADD 4",IF($M3889="PADD V","PADD 5","")))))</f>
        <v>PADD 3</v>
      </c>
      <c r="G3889" s="6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6" t="s">
        <v>471</v>
      </c>
      <c r="I3889" s="6" t="s">
        <v>805</v>
      </c>
      <c r="J3889" s="6" t="s">
        <v>394</v>
      </c>
      <c r="K3889" s="10">
        <v>18.9</v>
      </c>
      <c r="L3889" s="10">
        <v>30</v>
      </c>
      <c r="M3889" s="6" t="s">
        <v>421</v>
      </c>
      <c r="N3889" s="6" t="str">
        <f>IF(OR($G3889="FCC",$G3889="Hydrocracker",$G3889="Reformer"),IF(COUNTIFS($D:$D,$D3889,$A:$A,$A3889,$B:$B,$B3889,$G:$G,"CDU",$J:$J,"PLANNED")&gt;0,"tied","standalone"),"")</f>
        <v>standalone</v>
      </c>
    </row>
    <row r="3890" spans="1:14">
      <c r="A3890" s="6">
        <v>2024</v>
      </c>
      <c r="B3890" s="6">
        <v>6</v>
      </c>
      <c r="C3890" s="6" t="s">
        <v>65</v>
      </c>
      <c r="D3890" s="6" t="s">
        <v>1093</v>
      </c>
      <c r="E3890" s="6" t="s">
        <v>438</v>
      </c>
      <c r="F3890" s="6" t="str">
        <f>IF($M3890="PADD I","PADD 1",IF($M3890="PADD II","PADD 2",IF($M3890="PADD III","PADD 3",IF($M3890="PADD IV","PADD 4",IF($M3890="PADD V","PADD 5","")))))</f>
        <v>PADD 2</v>
      </c>
      <c r="G3890" s="6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6" t="s">
        <v>44</v>
      </c>
      <c r="I3890" s="6" t="s">
        <v>1102</v>
      </c>
      <c r="J3890" s="6" t="s">
        <v>398</v>
      </c>
      <c r="K3890" s="10">
        <v>18.634</v>
      </c>
      <c r="L3890" s="10">
        <v>24.2</v>
      </c>
      <c r="M3890" s="6" t="s">
        <v>425</v>
      </c>
      <c r="N3890" s="6">
        <f>IF(OR($G3890="FCC",$G3890="Hydrocracker",$G3890="Reformer"),IF(COUNTIFS($D:$D,$D3890,$A:$A,$A3890,$B:$B,$B3890,$G:$G,"CDU",$J:$J,"PLANNED")&gt;0,"tied","standalone"),"")</f>
        <v/>
      </c>
    </row>
    <row r="3891" spans="1:14">
      <c r="A3891" s="6">
        <v>2024</v>
      </c>
      <c r="B3891" s="6">
        <v>6</v>
      </c>
      <c r="C3891" s="6" t="s">
        <v>65</v>
      </c>
      <c r="D3891" s="6" t="s">
        <v>371</v>
      </c>
      <c r="E3891" s="6" t="s">
        <v>419</v>
      </c>
      <c r="F3891" s="6" t="str">
        <f>IF($M3891="PADD I","PADD 1",IF($M3891="PADD II","PADD 2",IF($M3891="PADD III","PADD 3",IF($M3891="PADD IV","PADD 4",IF($M3891="PADD V","PADD 5","")))))</f>
        <v>PADD 2</v>
      </c>
      <c r="G3891" s="6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6" t="s">
        <v>471</v>
      </c>
      <c r="I3891" s="6" t="s">
        <v>735</v>
      </c>
      <c r="J3891" s="6" t="s">
        <v>394</v>
      </c>
      <c r="K3891" s="10">
        <v>18.45</v>
      </c>
      <c r="L3891" s="10">
        <v>61.5</v>
      </c>
      <c r="M3891" s="6" t="s">
        <v>425</v>
      </c>
      <c r="N3891" s="6" t="str">
        <f>IF(OR($G3891="FCC",$G3891="Hydrocracker",$G3891="Reformer"),IF(COUNTIFS($D:$D,$D3891,$A:$A,$A3891,$B:$B,$B3891,$G:$G,"CDU",$J:$J,"PLANNED")&gt;0,"tied","standalone"),"")</f>
        <v>standalone</v>
      </c>
    </row>
    <row r="3892" spans="1:14">
      <c r="A3892" s="6">
        <v>2024</v>
      </c>
      <c r="B3892" s="6">
        <v>6</v>
      </c>
      <c r="C3892" s="6" t="s">
        <v>65</v>
      </c>
      <c r="D3892" s="6" t="s">
        <v>375</v>
      </c>
      <c r="E3892" s="6" t="s">
        <v>435</v>
      </c>
      <c r="F3892" s="6" t="str">
        <f>IF($M3892="PADD I","PADD 1",IF($M3892="PADD II","PADD 2",IF($M3892="PADD III","PADD 3",IF($M3892="PADD IV","PADD 4",IF($M3892="PADD V","PADD 5","")))))</f>
        <v>PADD 5</v>
      </c>
      <c r="G3892" s="6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6" t="s">
        <v>485</v>
      </c>
      <c r="I3892" s="6" t="s">
        <v>491</v>
      </c>
      <c r="J3892" s="6" t="s">
        <v>398</v>
      </c>
      <c r="K3892" s="10">
        <v>18.26</v>
      </c>
      <c r="L3892" s="10">
        <v>22</v>
      </c>
      <c r="M3892" s="6" t="s">
        <v>436</v>
      </c>
      <c r="N3892" s="6">
        <f>IF(OR($G3892="FCC",$G3892="Hydrocracker",$G3892="Reformer"),IF(COUNTIFS($D:$D,$D3892,$A:$A,$A3892,$B:$B,$B3892,$G:$G,"CDU",$J:$J,"PLANNED")&gt;0,"tied","standalone"),"")</f>
        <v/>
      </c>
    </row>
    <row r="3893" spans="1:14">
      <c r="A3893" s="6">
        <v>2024</v>
      </c>
      <c r="B3893" s="6">
        <v>6</v>
      </c>
      <c r="C3893" s="6" t="s">
        <v>65</v>
      </c>
      <c r="D3893" s="6" t="s">
        <v>1093</v>
      </c>
      <c r="E3893" s="6" t="s">
        <v>438</v>
      </c>
      <c r="F3893" s="6" t="str">
        <f>IF($M3893="PADD I","PADD 1",IF($M3893="PADD II","PADD 2",IF($M3893="PADD III","PADD 3",IF($M3893="PADD IV","PADD 4",IF($M3893="PADD V","PADD 5","")))))</f>
        <v>PADD 2</v>
      </c>
      <c r="G3893" s="6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6" t="s">
        <v>426</v>
      </c>
      <c r="I3893" s="6" t="s">
        <v>106</v>
      </c>
      <c r="J3893" s="6" t="s">
        <v>398</v>
      </c>
      <c r="K3893" s="10">
        <v>18.2</v>
      </c>
      <c r="L3893" s="10">
        <v>26</v>
      </c>
      <c r="M3893" s="6" t="s">
        <v>425</v>
      </c>
      <c r="N3893" s="6" t="str">
        <f>IF(OR($G3893="FCC",$G3893="Hydrocracker",$G3893="Reformer"),IF(COUNTIFS($D:$D,$D3893,$A:$A,$A3893,$B:$B,$B3893,$G:$G,"CDU",$J:$J,"PLANNED")&gt;0,"tied","standalone"),"")</f>
        <v>tied</v>
      </c>
    </row>
    <row r="3894" spans="1:14">
      <c r="A3894" s="6">
        <v>2024</v>
      </c>
      <c r="B3894" s="6">
        <v>6</v>
      </c>
      <c r="C3894" s="6" t="s">
        <v>65</v>
      </c>
      <c r="D3894" s="6" t="s">
        <v>518</v>
      </c>
      <c r="E3894" s="6" t="s">
        <v>419</v>
      </c>
      <c r="F3894" s="6" t="str">
        <f>IF($M3894="PADD I","PADD 1",IF($M3894="PADD II","PADD 2",IF($M3894="PADD III","PADD 3",IF($M3894="PADD IV","PADD 4",IF($M3894="PADD V","PADD 5","")))))</f>
        <v>PADD 3</v>
      </c>
      <c r="G3894" s="6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6" t="s">
        <v>426</v>
      </c>
      <c r="I3894" s="6" t="s">
        <v>523</v>
      </c>
      <c r="J3894" s="6" t="s">
        <v>394</v>
      </c>
      <c r="K3894" s="10">
        <v>18</v>
      </c>
      <c r="L3894" s="10">
        <v>30</v>
      </c>
      <c r="M3894" s="6" t="s">
        <v>421</v>
      </c>
      <c r="N3894" s="6" t="str">
        <f>IF(OR($G3894="FCC",$G3894="Hydrocracker",$G3894="Reformer"),IF(COUNTIFS($D:$D,$D3894,$A:$A,$A3894,$B:$B,$B3894,$G:$G,"CDU",$J:$J,"PLANNED")&gt;0,"tied","standalone"),"")</f>
        <v>standalone</v>
      </c>
    </row>
    <row r="3895" spans="1:14">
      <c r="A3895" s="6">
        <v>2024</v>
      </c>
      <c r="B3895" s="6">
        <v>6</v>
      </c>
      <c r="C3895" s="6" t="s">
        <v>65</v>
      </c>
      <c r="D3895" s="6" t="s">
        <v>437</v>
      </c>
      <c r="E3895" s="6" t="s">
        <v>438</v>
      </c>
      <c r="F3895" s="6" t="str">
        <f>IF($M3895="PADD I","PADD 1",IF($M3895="PADD II","PADD 2",IF($M3895="PADD III","PADD 3",IF($M3895="PADD IV","PADD 4",IF($M3895="PADD V","PADD 5","")))))</f>
        <v>PADD 3</v>
      </c>
      <c r="G3895" s="6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6" t="s">
        <v>471</v>
      </c>
      <c r="I3895" s="6" t="s">
        <v>493</v>
      </c>
      <c r="J3895" s="6" t="s">
        <v>394</v>
      </c>
      <c r="K3895" s="10">
        <v>17.825</v>
      </c>
      <c r="L3895" s="10">
        <v>77.5</v>
      </c>
      <c r="M3895" s="6" t="s">
        <v>421</v>
      </c>
      <c r="N3895" s="6" t="str">
        <f>IF(OR($G3895="FCC",$G3895="Hydrocracker",$G3895="Reformer"),IF(COUNTIFS($D:$D,$D3895,$A:$A,$A3895,$B:$B,$B3895,$G:$G,"CDU",$J:$J,"PLANNED")&gt;0,"tied","standalone"),"")</f>
        <v>standalone</v>
      </c>
    </row>
    <row r="3896" spans="1:14">
      <c r="A3896" s="6">
        <v>2024</v>
      </c>
      <c r="B3896" s="6">
        <v>6</v>
      </c>
      <c r="C3896" s="6" t="s">
        <v>65</v>
      </c>
      <c r="D3896" s="6" t="s">
        <v>812</v>
      </c>
      <c r="E3896" s="6" t="s">
        <v>813</v>
      </c>
      <c r="F3896" s="6" t="str">
        <f>IF($M3896="PADD I","PADD 1",IF($M3896="PADD II","PADD 2",IF($M3896="PADD III","PADD 3",IF($M3896="PADD IV","PADD 4",IF($M3896="PADD V","PADD 5","")))))</f>
        <v>PADD 2</v>
      </c>
      <c r="G3896" s="6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6" t="s">
        <v>39</v>
      </c>
      <c r="I3896" s="6" t="s">
        <v>379</v>
      </c>
      <c r="J3896" s="6" t="s">
        <v>394</v>
      </c>
      <c r="K3896" s="10">
        <v>17.5</v>
      </c>
      <c r="L3896" s="10">
        <v>35</v>
      </c>
      <c r="M3896" s="6" t="s">
        <v>425</v>
      </c>
      <c r="N3896" s="6">
        <f>IF(OR($G3896="FCC",$G3896="Hydrocracker",$G3896="Reformer"),IF(COUNTIFS($D:$D,$D3896,$A:$A,$A3896,$B:$B,$B3896,$G:$G,"CDU",$J:$J,"PLANNED")&gt;0,"tied","standalone"),"")</f>
        <v/>
      </c>
    </row>
    <row r="3897" spans="1:14">
      <c r="A3897" s="6">
        <v>2024</v>
      </c>
      <c r="B3897" s="6">
        <v>6</v>
      </c>
      <c r="C3897" s="6" t="s">
        <v>65</v>
      </c>
      <c r="D3897" s="6" t="s">
        <v>371</v>
      </c>
      <c r="E3897" s="6" t="s">
        <v>419</v>
      </c>
      <c r="F3897" s="6" t="str">
        <f>IF($M3897="PADD I","PADD 1",IF($M3897="PADD II","PADD 2",IF($M3897="PADD III","PADD 3",IF($M3897="PADD IV","PADD 4",IF($M3897="PADD V","PADD 5","")))))</f>
        <v>PADD 2</v>
      </c>
      <c r="G3897" s="6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6" t="s">
        <v>471</v>
      </c>
      <c r="I3897" s="6" t="s">
        <v>735</v>
      </c>
      <c r="J3897" s="6" t="s">
        <v>398</v>
      </c>
      <c r="K3897" s="10">
        <v>16.5</v>
      </c>
      <c r="L3897" s="10">
        <v>50</v>
      </c>
      <c r="M3897" s="6" t="s">
        <v>425</v>
      </c>
      <c r="N3897" s="6" t="str">
        <f>IF(OR($G3897="FCC",$G3897="Hydrocracker",$G3897="Reformer"),IF(COUNTIFS($D:$D,$D3897,$A:$A,$A3897,$B:$B,$B3897,$G:$G,"CDU",$J:$J,"PLANNED")&gt;0,"tied","standalone"),"")</f>
        <v>standalone</v>
      </c>
    </row>
    <row r="3898" spans="1:14">
      <c r="A3898" s="6">
        <v>2024</v>
      </c>
      <c r="B3898" s="6">
        <v>6</v>
      </c>
      <c r="C3898" s="6" t="s">
        <v>65</v>
      </c>
      <c r="D3898" s="6" t="s">
        <v>384</v>
      </c>
      <c r="E3898" s="6" t="s">
        <v>419</v>
      </c>
      <c r="F3898" s="6" t="str">
        <f>IF($M3898="PADD I","PADD 1",IF($M3898="PADD II","PADD 2",IF($M3898="PADD III","PADD 3",IF($M3898="PADD IV","PADD 4",IF($M3898="PADD V","PADD 5","")))))</f>
        <v>PADD 3</v>
      </c>
      <c r="G3898" s="6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6" t="s">
        <v>485</v>
      </c>
      <c r="I3898" s="6" t="s">
        <v>1255</v>
      </c>
      <c r="J3898" s="6" t="s">
        <v>398</v>
      </c>
      <c r="K3898" s="10">
        <v>16.33</v>
      </c>
      <c r="L3898" s="10">
        <v>71</v>
      </c>
      <c r="M3898" s="6" t="s">
        <v>421</v>
      </c>
      <c r="N3898" s="6">
        <f>IF(OR($G3898="FCC",$G3898="Hydrocracker",$G3898="Reformer"),IF(COUNTIFS($D:$D,$D3898,$A:$A,$A3898,$B:$B,$B3898,$G:$G,"CDU",$J:$J,"PLANNED")&gt;0,"tied","standalone"),"")</f>
        <v/>
      </c>
    </row>
    <row r="3899" spans="1:14">
      <c r="A3899" s="6">
        <v>2024</v>
      </c>
      <c r="B3899" s="6">
        <v>6</v>
      </c>
      <c r="C3899" s="6" t="s">
        <v>65</v>
      </c>
      <c r="D3899" s="6" t="s">
        <v>792</v>
      </c>
      <c r="E3899" s="6" t="s">
        <v>438</v>
      </c>
      <c r="F3899" s="6" t="str">
        <f>IF($M3899="PADD I","PADD 1",IF($M3899="PADD II","PADD 2",IF($M3899="PADD III","PADD 3",IF($M3899="PADD IV","PADD 4",IF($M3899="PADD V","PADD 5","")))))</f>
        <v>PADD 5</v>
      </c>
      <c r="G3899" s="6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6" t="s">
        <v>471</v>
      </c>
      <c r="I3899" s="6" t="s">
        <v>15</v>
      </c>
      <c r="J3899" s="6" t="s">
        <v>394</v>
      </c>
      <c r="K3899" s="10">
        <v>15.6</v>
      </c>
      <c r="L3899" s="10">
        <v>26</v>
      </c>
      <c r="M3899" s="6" t="s">
        <v>436</v>
      </c>
      <c r="N3899" s="6" t="str">
        <f>IF(OR($G3899="FCC",$G3899="Hydrocracker",$G3899="Reformer"),IF(COUNTIFS($D:$D,$D3899,$A:$A,$A3899,$B:$B,$B3899,$G:$G,"CDU",$J:$J,"PLANNED")&gt;0,"tied","standalone"),"")</f>
        <v>standalone</v>
      </c>
    </row>
    <row r="3900" spans="1:14">
      <c r="A3900" s="6">
        <v>2024</v>
      </c>
      <c r="B3900" s="6">
        <v>6</v>
      </c>
      <c r="C3900" s="6" t="s">
        <v>65</v>
      </c>
      <c r="D3900" s="6" t="s">
        <v>820</v>
      </c>
      <c r="E3900" s="6" t="s">
        <v>710</v>
      </c>
      <c r="F3900" s="6" t="str">
        <f>IF($M3900="PADD I","PADD 1",IF($M3900="PADD II","PADD 2",IF($M3900="PADD III","PADD 3",IF($M3900="PADD IV","PADD 4",IF($M3900="PADD V","PADD 5","")))))</f>
        <v>PADD 3</v>
      </c>
      <c r="G3900" s="6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6" t="s">
        <v>44</v>
      </c>
      <c r="I3900" s="6" t="s">
        <v>676</v>
      </c>
      <c r="J3900" s="6" t="s">
        <v>398</v>
      </c>
      <c r="K3900" s="10">
        <v>15.4</v>
      </c>
      <c r="L3900" s="10">
        <v>22</v>
      </c>
      <c r="M3900" s="6" t="s">
        <v>421</v>
      </c>
      <c r="N3900" s="6">
        <f>IF(OR($G3900="FCC",$G3900="Hydrocracker",$G3900="Reformer"),IF(COUNTIFS($D:$D,$D3900,$A:$A,$A3900,$B:$B,$B3900,$G:$G,"CDU",$J:$J,"PLANNED")&gt;0,"tied","standalone"),"")</f>
        <v/>
      </c>
    </row>
    <row r="3901" spans="1:14">
      <c r="A3901" s="6">
        <v>2024</v>
      </c>
      <c r="B3901" s="6">
        <v>6</v>
      </c>
      <c r="C3901" s="6" t="s">
        <v>65</v>
      </c>
      <c r="D3901" s="6" t="s">
        <v>792</v>
      </c>
      <c r="E3901" s="6" t="s">
        <v>438</v>
      </c>
      <c r="F3901" s="6" t="str">
        <f>IF($M3901="PADD I","PADD 1",IF($M3901="PADD II","PADD 2",IF($M3901="PADD III","PADD 3",IF($M3901="PADD IV","PADD 4",IF($M3901="PADD V","PADD 5","")))))</f>
        <v>PADD 5</v>
      </c>
      <c r="G3901" s="6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6" t="s">
        <v>471</v>
      </c>
      <c r="I3901" s="6" t="s">
        <v>15</v>
      </c>
      <c r="J3901" s="6" t="s">
        <v>398</v>
      </c>
      <c r="K3901" s="10">
        <v>15.309</v>
      </c>
      <c r="L3901" s="10">
        <v>24.3</v>
      </c>
      <c r="M3901" s="6" t="s">
        <v>436</v>
      </c>
      <c r="N3901" s="6" t="str">
        <f>IF(OR($G3901="FCC",$G3901="Hydrocracker",$G3901="Reformer"),IF(COUNTIFS($D:$D,$D3901,$A:$A,$A3901,$B:$B,$B3901,$G:$G,"CDU",$J:$J,"PLANNED")&gt;0,"tied","standalone"),"")</f>
        <v>standalone</v>
      </c>
    </row>
    <row r="3902" spans="1:14">
      <c r="A3902" s="6">
        <v>2024</v>
      </c>
      <c r="B3902" s="6">
        <v>6</v>
      </c>
      <c r="C3902" s="6" t="s">
        <v>65</v>
      </c>
      <c r="D3902" s="6" t="s">
        <v>51</v>
      </c>
      <c r="E3902" s="6" t="s">
        <v>431</v>
      </c>
      <c r="F3902" s="6" t="str">
        <f>IF($M3902="PADD I","PADD 1",IF($M3902="PADD II","PADD 2",IF($M3902="PADD III","PADD 3",IF($M3902="PADD IV","PADD 4",IF($M3902="PADD V","PADD 5","")))))</f>
        <v>PADD 3</v>
      </c>
      <c r="G3902" s="6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6" t="s">
        <v>44</v>
      </c>
      <c r="I3902" s="6" t="s">
        <v>1141</v>
      </c>
      <c r="J3902" s="6" t="s">
        <v>394</v>
      </c>
      <c r="K3902" s="10">
        <v>14.95</v>
      </c>
      <c r="L3902" s="10">
        <v>65</v>
      </c>
      <c r="M3902" s="6" t="s">
        <v>421</v>
      </c>
      <c r="N3902" s="6">
        <f>IF(OR($G3902="FCC",$G3902="Hydrocracker",$G3902="Reformer"),IF(COUNTIFS($D:$D,$D3902,$A:$A,$A3902,$B:$B,$B3902,$G:$G,"CDU",$J:$J,"PLANNED")&gt;0,"tied","standalone"),"")</f>
        <v/>
      </c>
    </row>
    <row r="3903" spans="1:14">
      <c r="A3903" s="6">
        <v>2024</v>
      </c>
      <c r="B3903" s="6">
        <v>6</v>
      </c>
      <c r="C3903" s="6" t="s">
        <v>65</v>
      </c>
      <c r="D3903" s="6" t="s">
        <v>901</v>
      </c>
      <c r="E3903" s="6" t="s">
        <v>902</v>
      </c>
      <c r="F3903" s="6" t="str">
        <f>IF($M3903="PADD I","PADD 1",IF($M3903="PADD II","PADD 2",IF($M3903="PADD III","PADD 3",IF($M3903="PADD IV","PADD 4",IF($M3903="PADD V","PADD 5","")))))</f>
        <v>PADD 3</v>
      </c>
      <c r="G3903" s="6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6" t="s">
        <v>39</v>
      </c>
      <c r="I3903" s="6" t="s">
        <v>904</v>
      </c>
      <c r="J3903" s="6" t="s">
        <v>398</v>
      </c>
      <c r="K3903" s="10">
        <v>14.95</v>
      </c>
      <c r="L3903" s="10">
        <v>65</v>
      </c>
      <c r="M3903" s="6" t="s">
        <v>421</v>
      </c>
      <c r="N3903" s="6">
        <f>IF(OR($G3903="FCC",$G3903="Hydrocracker",$G3903="Reformer"),IF(COUNTIFS($D:$D,$D3903,$A:$A,$A3903,$B:$B,$B3903,$G:$G,"CDU",$J:$J,"PLANNED")&gt;0,"tied","standalone"),"")</f>
        <v/>
      </c>
    </row>
    <row r="3904" spans="1:14">
      <c r="A3904" s="6">
        <v>2024</v>
      </c>
      <c r="B3904" s="6">
        <v>6</v>
      </c>
      <c r="C3904" s="6" t="s">
        <v>65</v>
      </c>
      <c r="D3904" s="6" t="s">
        <v>901</v>
      </c>
      <c r="E3904" s="6" t="s">
        <v>902</v>
      </c>
      <c r="F3904" s="6" t="str">
        <f>IF($M3904="PADD I","PADD 1",IF($M3904="PADD II","PADD 2",IF($M3904="PADD III","PADD 3",IF($M3904="PADD IV","PADD 4",IF($M3904="PADD V","PADD 5","")))))</f>
        <v>PADD 3</v>
      </c>
      <c r="G3904" s="6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6" t="s">
        <v>39</v>
      </c>
      <c r="I3904" s="6" t="s">
        <v>904</v>
      </c>
      <c r="J3904" s="6" t="s">
        <v>394</v>
      </c>
      <c r="K3904" s="10">
        <v>14.6</v>
      </c>
      <c r="L3904" s="10">
        <v>73</v>
      </c>
      <c r="M3904" s="6" t="s">
        <v>421</v>
      </c>
      <c r="N3904" s="6">
        <f>IF(OR($G3904="FCC",$G3904="Hydrocracker",$G3904="Reformer"),IF(COUNTIFS($D:$D,$D3904,$A:$A,$A3904,$B:$B,$B3904,$G:$G,"CDU",$J:$J,"PLANNED")&gt;0,"tied","standalone"),"")</f>
        <v/>
      </c>
    </row>
    <row r="3905" spans="1:14">
      <c r="A3905" s="6">
        <v>2024</v>
      </c>
      <c r="B3905" s="6">
        <v>6</v>
      </c>
      <c r="C3905" s="6" t="s">
        <v>65</v>
      </c>
      <c r="D3905" s="6" t="s">
        <v>55</v>
      </c>
      <c r="E3905" s="6" t="s">
        <v>906</v>
      </c>
      <c r="F3905" s="6" t="str">
        <f>IF($M3905="PADD I","PADD 1",IF($M3905="PADD II","PADD 2",IF($M3905="PADD III","PADD 3",IF($M3905="PADD IV","PADD 4",IF($M3905="PADD V","PADD 5","")))))</f>
        <v>PADD 5</v>
      </c>
      <c r="G3905" s="6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6" t="s">
        <v>39</v>
      </c>
      <c r="I3905" s="6" t="s">
        <v>907</v>
      </c>
      <c r="J3905" s="6" t="s">
        <v>398</v>
      </c>
      <c r="K3905" s="10">
        <v>13.8</v>
      </c>
      <c r="L3905" s="10">
        <v>60</v>
      </c>
      <c r="M3905" s="6" t="s">
        <v>436</v>
      </c>
      <c r="N3905" s="6">
        <f>IF(OR($G3905="FCC",$G3905="Hydrocracker",$G3905="Reformer"),IF(COUNTIFS($D:$D,$D3905,$A:$A,$A3905,$B:$B,$B3905,$G:$G,"CDU",$J:$J,"PLANNED")&gt;0,"tied","standalone"),"")</f>
        <v/>
      </c>
    </row>
    <row r="3906" spans="1:14">
      <c r="A3906" s="6">
        <v>2024</v>
      </c>
      <c r="B3906" s="6">
        <v>6</v>
      </c>
      <c r="C3906" s="6" t="s">
        <v>65</v>
      </c>
      <c r="D3906" s="6" t="s">
        <v>838</v>
      </c>
      <c r="E3906" s="6" t="s">
        <v>455</v>
      </c>
      <c r="F3906" s="6" t="str">
        <f>IF($M3906="PADD I","PADD 1",IF($M3906="PADD II","PADD 2",IF($M3906="PADD III","PADD 3",IF($M3906="PADD IV","PADD 4",IF($M3906="PADD V","PADD 5","")))))</f>
        <v>PADD 3</v>
      </c>
      <c r="G3906" s="6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6" t="s">
        <v>39</v>
      </c>
      <c r="I3906" s="6" t="s">
        <v>136</v>
      </c>
      <c r="J3906" s="6" t="s">
        <v>394</v>
      </c>
      <c r="K3906" s="10">
        <v>13.5</v>
      </c>
      <c r="L3906" s="10">
        <v>135</v>
      </c>
      <c r="M3906" s="6" t="s">
        <v>421</v>
      </c>
      <c r="N3906" s="6">
        <f>IF(OR($G3906="FCC",$G3906="Hydrocracker",$G3906="Reformer"),IF(COUNTIFS($D:$D,$D3906,$A:$A,$A3906,$B:$B,$B3906,$G:$G,"CDU",$J:$J,"PLANNED")&gt;0,"tied","standalone"),"")</f>
        <v/>
      </c>
    </row>
    <row r="3907" spans="1:14">
      <c r="A3907" s="6">
        <v>2024</v>
      </c>
      <c r="B3907" s="6">
        <v>6</v>
      </c>
      <c r="C3907" s="6" t="s">
        <v>65</v>
      </c>
      <c r="D3907" s="6" t="s">
        <v>534</v>
      </c>
      <c r="E3907" s="6" t="s">
        <v>459</v>
      </c>
      <c r="F3907" s="6" t="str">
        <f>IF($M3907="PADD I","PADD 1",IF($M3907="PADD II","PADD 2",IF($M3907="PADD III","PADD 3",IF($M3907="PADD IV","PADD 4",IF($M3907="PADD V","PADD 5","")))))</f>
        <v>PADD 3</v>
      </c>
      <c r="G3907" s="6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6" t="s">
        <v>44</v>
      </c>
      <c r="I3907" s="6" t="s">
        <v>535</v>
      </c>
      <c r="J3907" s="6" t="s">
        <v>394</v>
      </c>
      <c r="K3907" s="10">
        <v>13.2</v>
      </c>
      <c r="L3907" s="10">
        <v>66</v>
      </c>
      <c r="M3907" s="6" t="s">
        <v>421</v>
      </c>
      <c r="N3907" s="6">
        <f>IF(OR($G3907="FCC",$G3907="Hydrocracker",$G3907="Reformer"),IF(COUNTIFS($D:$D,$D3907,$A:$A,$A3907,$B:$B,$B3907,$G:$G,"CDU",$J:$J,"PLANNED")&gt;0,"tied","standalone"),"")</f>
        <v/>
      </c>
    </row>
    <row r="3908" spans="1:14">
      <c r="A3908" s="6">
        <v>2024</v>
      </c>
      <c r="B3908" s="6">
        <v>6</v>
      </c>
      <c r="C3908" s="6" t="s">
        <v>65</v>
      </c>
      <c r="D3908" s="6" t="s">
        <v>812</v>
      </c>
      <c r="E3908" s="6" t="s">
        <v>813</v>
      </c>
      <c r="F3908" s="6" t="str">
        <f>IF($M3908="PADD I","PADD 1",IF($M3908="PADD II","PADD 2",IF($M3908="PADD III","PADD 3",IF($M3908="PADD IV","PADD 4",IF($M3908="PADD V","PADD 5","")))))</f>
        <v>PADD 2</v>
      </c>
      <c r="G3908" s="6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6" t="s">
        <v>44</v>
      </c>
      <c r="I3908" s="6" t="s">
        <v>1105</v>
      </c>
      <c r="J3908" s="6" t="s">
        <v>394</v>
      </c>
      <c r="K3908" s="10">
        <v>13</v>
      </c>
      <c r="L3908" s="10">
        <v>13</v>
      </c>
      <c r="M3908" s="6" t="s">
        <v>425</v>
      </c>
      <c r="N3908" s="6">
        <f>IF(OR($G3908="FCC",$G3908="Hydrocracker",$G3908="Reformer"),IF(COUNTIFS($D:$D,$D3908,$A:$A,$A3908,$B:$B,$B3908,$G:$G,"CDU",$J:$J,"PLANNED")&gt;0,"tied","standalone"),"")</f>
        <v/>
      </c>
    </row>
    <row r="3909" spans="1:14">
      <c r="A3909" s="6">
        <v>2024</v>
      </c>
      <c r="B3909" s="6">
        <v>6</v>
      </c>
      <c r="C3909" s="6" t="s">
        <v>65</v>
      </c>
      <c r="D3909" s="6" t="s">
        <v>820</v>
      </c>
      <c r="E3909" s="6" t="s">
        <v>710</v>
      </c>
      <c r="F3909" s="6" t="str">
        <f>IF($M3909="PADD I","PADD 1",IF($M3909="PADD II","PADD 2",IF($M3909="PADD III","PADD 3",IF($M3909="PADD IV","PADD 4",IF($M3909="PADD V","PADD 5","")))))</f>
        <v>PADD 3</v>
      </c>
      <c r="G3909" s="6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6" t="s">
        <v>494</v>
      </c>
      <c r="I3909" s="6" t="s">
        <v>14</v>
      </c>
      <c r="J3909" s="6" t="s">
        <v>398</v>
      </c>
      <c r="K3909" s="10">
        <v>12.95</v>
      </c>
      <c r="L3909" s="10">
        <v>18.5</v>
      </c>
      <c r="M3909" s="6" t="s">
        <v>421</v>
      </c>
      <c r="N3909" s="6" t="str">
        <f>IF(OR($G3909="FCC",$G3909="Hydrocracker",$G3909="Reformer"),IF(COUNTIFS($D:$D,$D3909,$A:$A,$A3909,$B:$B,$B3909,$G:$G,"CDU",$J:$J,"PLANNED")&gt;0,"tied","standalone"),"")</f>
        <v>standalone</v>
      </c>
    </row>
    <row r="3910" spans="1:14">
      <c r="A3910" s="6">
        <v>2024</v>
      </c>
      <c r="B3910" s="6">
        <v>6</v>
      </c>
      <c r="C3910" s="6" t="s">
        <v>65</v>
      </c>
      <c r="D3910" s="6" t="s">
        <v>448</v>
      </c>
      <c r="E3910" s="6" t="s">
        <v>449</v>
      </c>
      <c r="F3910" s="6" t="str">
        <f>IF($M3910="PADD I","PADD 1",IF($M3910="PADD II","PADD 2",IF($M3910="PADD III","PADD 3",IF($M3910="PADD IV","PADD 4",IF($M3910="PADD V","PADD 5","")))))</f>
        <v>PADD 3</v>
      </c>
      <c r="G3910" s="6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6" t="s">
        <v>428</v>
      </c>
      <c r="I3910" s="6" t="s">
        <v>450</v>
      </c>
      <c r="J3910" s="6" t="s">
        <v>398</v>
      </c>
      <c r="K3910" s="10">
        <v>12.4215</v>
      </c>
      <c r="L3910" s="10">
        <v>95.55</v>
      </c>
      <c r="M3910" s="6" t="s">
        <v>421</v>
      </c>
      <c r="N3910" s="6">
        <f>IF(OR($G3910="FCC",$G3910="Hydrocracker",$G3910="Reformer"),IF(COUNTIFS($D:$D,$D3910,$A:$A,$A3910,$B:$B,$B3910,$G:$G,"CDU",$J:$J,"PLANNED")&gt;0,"tied","standalone"),"")</f>
        <v/>
      </c>
    </row>
    <row r="3911" spans="1:14">
      <c r="A3911" s="6">
        <v>2024</v>
      </c>
      <c r="B3911" s="6">
        <v>6</v>
      </c>
      <c r="C3911" s="6" t="s">
        <v>65</v>
      </c>
      <c r="D3911" s="6" t="s">
        <v>1093</v>
      </c>
      <c r="E3911" s="6" t="s">
        <v>438</v>
      </c>
      <c r="F3911" s="6" t="str">
        <f>IF($M3911="PADD I","PADD 1",IF($M3911="PADD II","PADD 2",IF($M3911="PADD III","PADD 3",IF($M3911="PADD IV","PADD 4",IF($M3911="PADD V","PADD 5","")))))</f>
        <v>PADD 2</v>
      </c>
      <c r="G3911" s="6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6" t="s">
        <v>44</v>
      </c>
      <c r="I3911" s="6" t="s">
        <v>1106</v>
      </c>
      <c r="J3911" s="6" t="s">
        <v>398</v>
      </c>
      <c r="K3911" s="10">
        <v>11.55</v>
      </c>
      <c r="L3911" s="10">
        <v>15</v>
      </c>
      <c r="M3911" s="6" t="s">
        <v>425</v>
      </c>
      <c r="N3911" s="6">
        <f>IF(OR($G3911="FCC",$G3911="Hydrocracker",$G3911="Reformer"),IF(COUNTIFS($D:$D,$D3911,$A:$A,$A3911,$B:$B,$B3911,$G:$G,"CDU",$J:$J,"PLANNED")&gt;0,"tied","standalone"),"")</f>
        <v/>
      </c>
    </row>
    <row r="3912" spans="1:14">
      <c r="A3912" s="6">
        <v>2024</v>
      </c>
      <c r="B3912" s="6">
        <v>6</v>
      </c>
      <c r="C3912" s="6" t="s">
        <v>65</v>
      </c>
      <c r="D3912" s="6" t="s">
        <v>849</v>
      </c>
      <c r="E3912" s="6" t="s">
        <v>441</v>
      </c>
      <c r="F3912" s="6" t="str">
        <f>IF($M3912="PADD I","PADD 1",IF($M3912="PADD II","PADD 2",IF($M3912="PADD III","PADD 3",IF($M3912="PADD IV","PADD 4",IF($M3912="PADD V","PADD 5","")))))</f>
        <v>PADD 4</v>
      </c>
      <c r="G3912" s="6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6" t="s">
        <v>44</v>
      </c>
      <c r="I3912" s="6" t="s">
        <v>850</v>
      </c>
      <c r="J3912" s="6" t="s">
        <v>394</v>
      </c>
      <c r="K3912" s="10">
        <v>11.16</v>
      </c>
      <c r="L3912" s="10">
        <v>27.9</v>
      </c>
      <c r="M3912" s="6" t="s">
        <v>480</v>
      </c>
      <c r="N3912" s="6">
        <f>IF(OR($G3912="FCC",$G3912="Hydrocracker",$G3912="Reformer"),IF(COUNTIFS($D:$D,$D3912,$A:$A,$A3912,$B:$B,$B3912,$G:$G,"CDU",$J:$J,"PLANNED")&gt;0,"tied","standalone"),"")</f>
        <v/>
      </c>
    </row>
    <row r="3913" spans="1:14">
      <c r="A3913" s="6">
        <v>2024</v>
      </c>
      <c r="B3913" s="6">
        <v>6</v>
      </c>
      <c r="C3913" s="6" t="s">
        <v>65</v>
      </c>
      <c r="D3913" s="6" t="s">
        <v>928</v>
      </c>
      <c r="E3913" s="6" t="s">
        <v>502</v>
      </c>
      <c r="F3913" s="6" t="str">
        <f>IF($M3913="PADD I","PADD 1",IF($M3913="PADD II","PADD 2",IF($M3913="PADD III","PADD 3",IF($M3913="PADD IV","PADD 4",IF($M3913="PADD V","PADD 5","")))))</f>
        <v>PADD 2</v>
      </c>
      <c r="G3913" s="6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6" t="s">
        <v>39</v>
      </c>
      <c r="I3913" s="6" t="s">
        <v>929</v>
      </c>
      <c r="J3913" s="6" t="s">
        <v>394</v>
      </c>
      <c r="K3913" s="10">
        <v>11.05</v>
      </c>
      <c r="L3913" s="10">
        <v>85</v>
      </c>
      <c r="M3913" s="6" t="s">
        <v>425</v>
      </c>
      <c r="N3913" s="6">
        <f>IF(OR($G3913="FCC",$G3913="Hydrocracker",$G3913="Reformer"),IF(COUNTIFS($D:$D,$D3913,$A:$A,$A3913,$B:$B,$B3913,$G:$G,"CDU",$J:$J,"PLANNED")&gt;0,"tied","standalone"),"")</f>
        <v/>
      </c>
    </row>
    <row r="3914" spans="1:14">
      <c r="A3914" s="6">
        <v>2024</v>
      </c>
      <c r="B3914" s="6">
        <v>6</v>
      </c>
      <c r="C3914" s="6" t="s">
        <v>65</v>
      </c>
      <c r="D3914" s="6" t="s">
        <v>507</v>
      </c>
      <c r="E3914" s="6" t="s">
        <v>438</v>
      </c>
      <c r="F3914" s="6" t="str">
        <f>IF($M3914="PADD I","PADD 1",IF($M3914="PADD II","PADD 2",IF($M3914="PADD III","PADD 3",IF($M3914="PADD IV","PADD 4",IF($M3914="PADD V","PADD 5","")))))</f>
        <v>PADD 5</v>
      </c>
      <c r="G3914" s="6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6" t="s">
        <v>428</v>
      </c>
      <c r="I3914" s="6" t="s">
        <v>635</v>
      </c>
      <c r="J3914" s="6" t="s">
        <v>394</v>
      </c>
      <c r="K3914" s="10">
        <v>10.54</v>
      </c>
      <c r="L3914" s="10">
        <v>62</v>
      </c>
      <c r="M3914" s="6" t="s">
        <v>436</v>
      </c>
      <c r="N3914" s="6">
        <f>IF(OR($G3914="FCC",$G3914="Hydrocracker",$G3914="Reformer"),IF(COUNTIFS($D:$D,$D3914,$A:$A,$A3914,$B:$B,$B3914,$G:$G,"CDU",$J:$J,"PLANNED")&gt;0,"tied","standalone"),"")</f>
        <v/>
      </c>
    </row>
    <row r="3915" spans="1:14">
      <c r="A3915" s="6">
        <v>2024</v>
      </c>
      <c r="B3915" s="6">
        <v>6</v>
      </c>
      <c r="C3915" s="6" t="s">
        <v>65</v>
      </c>
      <c r="D3915" s="6" t="s">
        <v>1093</v>
      </c>
      <c r="E3915" s="6" t="s">
        <v>438</v>
      </c>
      <c r="F3915" s="6" t="str">
        <f>IF($M3915="PADD I","PADD 1",IF($M3915="PADD II","PADD 2",IF($M3915="PADD III","PADD 3",IF($M3915="PADD IV","PADD 4",IF($M3915="PADD V","PADD 5","")))))</f>
        <v>PADD 2</v>
      </c>
      <c r="G3915" s="6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6" t="s">
        <v>44</v>
      </c>
      <c r="I3915" s="6" t="s">
        <v>1107</v>
      </c>
      <c r="J3915" s="6" t="s">
        <v>398</v>
      </c>
      <c r="K3915" s="10">
        <v>10.472</v>
      </c>
      <c r="L3915" s="10">
        <v>13.6</v>
      </c>
      <c r="M3915" s="6" t="s">
        <v>425</v>
      </c>
      <c r="N3915" s="6">
        <f>IF(OR($G3915="FCC",$G3915="Hydrocracker",$G3915="Reformer"),IF(COUNTIFS($D:$D,$D3915,$A:$A,$A3915,$B:$B,$B3915,$G:$G,"CDU",$J:$J,"PLANNED")&gt;0,"tied","standalone"),"")</f>
        <v/>
      </c>
    </row>
    <row r="3916" spans="1:14">
      <c r="A3916" s="6">
        <v>2024</v>
      </c>
      <c r="B3916" s="6">
        <v>6</v>
      </c>
      <c r="C3916" s="6" t="s">
        <v>65</v>
      </c>
      <c r="D3916" s="6" t="s">
        <v>1093</v>
      </c>
      <c r="E3916" s="6" t="s">
        <v>438</v>
      </c>
      <c r="F3916" s="6" t="str">
        <f>IF($M3916="PADD I","PADD 1",IF($M3916="PADD II","PADD 2",IF($M3916="PADD III","PADD 3",IF($M3916="PADD IV","PADD 4",IF($M3916="PADD V","PADD 5","")))))</f>
        <v>PADD 2</v>
      </c>
      <c r="G3916" s="6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6" t="s">
        <v>471</v>
      </c>
      <c r="I3916" s="6" t="s">
        <v>966</v>
      </c>
      <c r="J3916" s="6" t="s">
        <v>398</v>
      </c>
      <c r="K3916" s="10">
        <v>10.01</v>
      </c>
      <c r="L3916" s="10">
        <v>13</v>
      </c>
      <c r="M3916" s="6" t="s">
        <v>425</v>
      </c>
      <c r="N3916" s="6" t="str">
        <f>IF(OR($G3916="FCC",$G3916="Hydrocracker",$G3916="Reformer"),IF(COUNTIFS($D:$D,$D3916,$A:$A,$A3916,$B:$B,$B3916,$G:$G,"CDU",$J:$J,"PLANNED")&gt;0,"tied","standalone"),"")</f>
        <v>tied</v>
      </c>
    </row>
    <row r="3917" spans="1:14">
      <c r="A3917" s="6">
        <v>2024</v>
      </c>
      <c r="B3917" s="6">
        <v>6</v>
      </c>
      <c r="C3917" s="6" t="s">
        <v>65</v>
      </c>
      <c r="D3917" s="6" t="s">
        <v>430</v>
      </c>
      <c r="E3917" s="6" t="s">
        <v>431</v>
      </c>
      <c r="F3917" s="6" t="str">
        <f>IF($M3917="PADD I","PADD 1",IF($M3917="PADD II","PADD 2",IF($M3917="PADD III","PADD 3",IF($M3917="PADD IV","PADD 4",IF($M3917="PADD V","PADD 5","")))))</f>
        <v>PADD 3</v>
      </c>
      <c r="G3917" s="6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6" t="s">
        <v>485</v>
      </c>
      <c r="I3917" s="6" t="s">
        <v>565</v>
      </c>
      <c r="J3917" s="6" t="s">
        <v>398</v>
      </c>
      <c r="K3917" s="10">
        <v>10</v>
      </c>
      <c r="L3917" s="10">
        <v>25</v>
      </c>
      <c r="M3917" s="6" t="s">
        <v>421</v>
      </c>
      <c r="N3917" s="6">
        <f>IF(OR($G3917="FCC",$G3917="Hydrocracker",$G3917="Reformer"),IF(COUNTIFS($D:$D,$D3917,$A:$A,$A3917,$B:$B,$B3917,$G:$G,"CDU",$J:$J,"PLANNED")&gt;0,"tied","standalone"),"")</f>
        <v/>
      </c>
    </row>
    <row r="3918" spans="1:14">
      <c r="A3918" s="6">
        <v>2024</v>
      </c>
      <c r="B3918" s="6">
        <v>6</v>
      </c>
      <c r="C3918" s="6" t="s">
        <v>65</v>
      </c>
      <c r="D3918" s="6" t="s">
        <v>52</v>
      </c>
      <c r="E3918" s="6" t="s">
        <v>441</v>
      </c>
      <c r="F3918" s="6" t="str">
        <f>IF($M3918="PADD I","PADD 1",IF($M3918="PADD II","PADD 2",IF($M3918="PADD III","PADD 3",IF($M3918="PADD IV","PADD 4",IF($M3918="PADD V","PADD 5","")))))</f>
        <v>PADD 5</v>
      </c>
      <c r="G3918" s="6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6" t="s">
        <v>44</v>
      </c>
      <c r="I3918" s="6" t="s">
        <v>1257</v>
      </c>
      <c r="J3918" s="6" t="s">
        <v>398</v>
      </c>
      <c r="K3918" s="10">
        <v>9.960000000000001</v>
      </c>
      <c r="L3918" s="10">
        <v>12</v>
      </c>
      <c r="M3918" s="6" t="s">
        <v>436</v>
      </c>
      <c r="N3918" s="6">
        <f>IF(OR($G3918="FCC",$G3918="Hydrocracker",$G3918="Reformer"),IF(COUNTIFS($D:$D,$D3918,$A:$A,$A3918,$B:$B,$B3918,$G:$G,"CDU",$J:$J,"PLANNED")&gt;0,"tied","standalone"),"")</f>
        <v/>
      </c>
    </row>
    <row r="3919" spans="1:14">
      <c r="A3919" s="6">
        <v>2024</v>
      </c>
      <c r="B3919" s="6">
        <v>6</v>
      </c>
      <c r="C3919" s="6" t="s">
        <v>65</v>
      </c>
      <c r="D3919" s="6" t="s">
        <v>448</v>
      </c>
      <c r="E3919" s="6" t="s">
        <v>449</v>
      </c>
      <c r="F3919" s="6" t="str">
        <f>IF($M3919="PADD I","PADD 1",IF($M3919="PADD II","PADD 2",IF($M3919="PADD III","PADD 3",IF($M3919="PADD IV","PADD 4",IF($M3919="PADD V","PADD 5","")))))</f>
        <v>PADD 3</v>
      </c>
      <c r="G3919" s="6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6" t="s">
        <v>485</v>
      </c>
      <c r="I3919" s="6" t="s">
        <v>578</v>
      </c>
      <c r="J3919" s="6" t="s">
        <v>398</v>
      </c>
      <c r="K3919" s="10">
        <v>9.69</v>
      </c>
      <c r="L3919" s="10">
        <v>57</v>
      </c>
      <c r="M3919" s="6" t="s">
        <v>421</v>
      </c>
      <c r="N3919" s="6">
        <f>IF(OR($G3919="FCC",$G3919="Hydrocracker",$G3919="Reformer"),IF(COUNTIFS($D:$D,$D3919,$A:$A,$A3919,$B:$B,$B3919,$G:$G,"CDU",$J:$J,"PLANNED")&gt;0,"tied","standalone"),"")</f>
        <v/>
      </c>
    </row>
    <row r="3920" spans="1:14">
      <c r="A3920" s="6">
        <v>2024</v>
      </c>
      <c r="B3920" s="6">
        <v>6</v>
      </c>
      <c r="C3920" s="6" t="s">
        <v>65</v>
      </c>
      <c r="D3920" s="6" t="s">
        <v>812</v>
      </c>
      <c r="E3920" s="6" t="s">
        <v>813</v>
      </c>
      <c r="F3920" s="6" t="str">
        <f>IF($M3920="PADD I","PADD 1",IF($M3920="PADD II","PADD 2",IF($M3920="PADD III","PADD 3",IF($M3920="PADD IV","PADD 4",IF($M3920="PADD V","PADD 5","")))))</f>
        <v>PADD 2</v>
      </c>
      <c r="G3920" s="6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6" t="s">
        <v>39</v>
      </c>
      <c r="I3920" s="6" t="s">
        <v>379</v>
      </c>
      <c r="J3920" s="6" t="s">
        <v>394</v>
      </c>
      <c r="K3920" s="10">
        <v>8.75</v>
      </c>
      <c r="L3920" s="10">
        <v>8.75</v>
      </c>
      <c r="M3920" s="6" t="s">
        <v>425</v>
      </c>
      <c r="N3920" s="6">
        <f>IF(OR($G3920="FCC",$G3920="Hydrocracker",$G3920="Reformer"),IF(COUNTIFS($D:$D,$D3920,$A:$A,$A3920,$B:$B,$B3920,$G:$G,"CDU",$J:$J,"PLANNED")&gt;0,"tied","standalone"),"")</f>
        <v/>
      </c>
    </row>
    <row r="3921" spans="1:14">
      <c r="A3921" s="6">
        <v>2024</v>
      </c>
      <c r="B3921" s="6">
        <v>6</v>
      </c>
      <c r="C3921" s="6" t="s">
        <v>65</v>
      </c>
      <c r="D3921" s="6" t="s">
        <v>597</v>
      </c>
      <c r="E3921" s="6" t="s">
        <v>441</v>
      </c>
      <c r="F3921" s="6" t="str">
        <f>IF($M3921="PADD I","PADD 1",IF($M3921="PADD II","PADD 2",IF($M3921="PADD III","PADD 3",IF($M3921="PADD IV","PADD 4",IF($M3921="PADD V","PADD 5","")))))</f>
        <v>PADD 5</v>
      </c>
      <c r="G3921" s="6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6" t="s">
        <v>471</v>
      </c>
      <c r="I3921" s="6" t="s">
        <v>986</v>
      </c>
      <c r="J3921" s="6" t="s">
        <v>394</v>
      </c>
      <c r="K3921" s="10">
        <v>8.4</v>
      </c>
      <c r="L3921" s="10">
        <v>28</v>
      </c>
      <c r="M3921" s="6" t="s">
        <v>436</v>
      </c>
      <c r="N3921" s="6" t="str">
        <f>IF(OR($G3921="FCC",$G3921="Hydrocracker",$G3921="Reformer"),IF(COUNTIFS($D:$D,$D3921,$A:$A,$A3921,$B:$B,$B3921,$G:$G,"CDU",$J:$J,"PLANNED")&gt;0,"tied","standalone"),"")</f>
        <v>standalone</v>
      </c>
    </row>
    <row r="3922" spans="1:14">
      <c r="A3922" s="6">
        <v>2024</v>
      </c>
      <c r="B3922" s="6">
        <v>6</v>
      </c>
      <c r="C3922" s="6" t="s">
        <v>65</v>
      </c>
      <c r="D3922" s="6" t="s">
        <v>792</v>
      </c>
      <c r="E3922" s="6" t="s">
        <v>438</v>
      </c>
      <c r="F3922" s="6" t="str">
        <f>IF($M3922="PADD I","PADD 1",IF($M3922="PADD II","PADD 2",IF($M3922="PADD III","PADD 3",IF($M3922="PADD IV","PADD 4",IF($M3922="PADD V","PADD 5","")))))</f>
        <v>PADD 5</v>
      </c>
      <c r="G3922" s="6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6" t="s">
        <v>426</v>
      </c>
      <c r="I3922" s="6" t="s">
        <v>106</v>
      </c>
      <c r="J3922" s="6" t="s">
        <v>394</v>
      </c>
      <c r="K3922" s="10">
        <v>8.4</v>
      </c>
      <c r="L3922" s="10">
        <v>42</v>
      </c>
      <c r="M3922" s="6" t="s">
        <v>436</v>
      </c>
      <c r="N3922" s="6" t="str">
        <f>IF(OR($G3922="FCC",$G3922="Hydrocracker",$G3922="Reformer"),IF(COUNTIFS($D:$D,$D3922,$A:$A,$A3922,$B:$B,$B3922,$G:$G,"CDU",$J:$J,"PLANNED")&gt;0,"tied","standalone"),"")</f>
        <v>standalone</v>
      </c>
    </row>
    <row r="3923" spans="1:14">
      <c r="A3923" s="6">
        <v>2024</v>
      </c>
      <c r="B3923" s="6">
        <v>6</v>
      </c>
      <c r="C3923" s="6" t="s">
        <v>65</v>
      </c>
      <c r="D3923" s="6" t="s">
        <v>597</v>
      </c>
      <c r="E3923" s="6" t="s">
        <v>441</v>
      </c>
      <c r="F3923" s="6" t="str">
        <f>IF($M3923="PADD I","PADD 1",IF($M3923="PADD II","PADD 2",IF($M3923="PADD III","PADD 3",IF($M3923="PADD IV","PADD 4",IF($M3923="PADD V","PADD 5","")))))</f>
        <v>PADD 5</v>
      </c>
      <c r="G3923" s="6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6" t="s">
        <v>471</v>
      </c>
      <c r="I3923" s="6" t="s">
        <v>598</v>
      </c>
      <c r="J3923" s="6" t="s">
        <v>394</v>
      </c>
      <c r="K3923" s="10">
        <v>8.4</v>
      </c>
      <c r="L3923" s="10">
        <v>28</v>
      </c>
      <c r="M3923" s="6" t="s">
        <v>436</v>
      </c>
      <c r="N3923" s="6" t="str">
        <f>IF(OR($G3923="FCC",$G3923="Hydrocracker",$G3923="Reformer"),IF(COUNTIFS($D:$D,$D3923,$A:$A,$A3923,$B:$B,$B3923,$G:$G,"CDU",$J:$J,"PLANNED")&gt;0,"tied","standalone"),"")</f>
        <v>standalone</v>
      </c>
    </row>
    <row r="3924" spans="1:14">
      <c r="A3924" s="6">
        <v>2024</v>
      </c>
      <c r="B3924" s="6">
        <v>6</v>
      </c>
      <c r="C3924" s="6" t="s">
        <v>65</v>
      </c>
      <c r="D3924" s="6" t="s">
        <v>430</v>
      </c>
      <c r="E3924" s="6" t="s">
        <v>431</v>
      </c>
      <c r="F3924" s="6" t="str">
        <f>IF($M3924="PADD I","PADD 1",IF($M3924="PADD II","PADD 2",IF($M3924="PADD III","PADD 3",IF($M3924="PADD IV","PADD 4",IF($M3924="PADD V","PADD 5","")))))</f>
        <v>PADD 3</v>
      </c>
      <c r="G3924" s="6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6" t="s">
        <v>426</v>
      </c>
      <c r="I3924" s="6" t="s">
        <v>702</v>
      </c>
      <c r="J3924" s="6" t="s">
        <v>394</v>
      </c>
      <c r="K3924" s="10">
        <v>8</v>
      </c>
      <c r="L3924" s="10">
        <v>20</v>
      </c>
      <c r="M3924" s="6" t="s">
        <v>421</v>
      </c>
      <c r="N3924" s="6" t="str">
        <f>IF(OR($G3924="FCC",$G3924="Hydrocracker",$G3924="Reformer"),IF(COUNTIFS($D:$D,$D3924,$A:$A,$A3924,$B:$B,$B3924,$G:$G,"CDU",$J:$J,"PLANNED")&gt;0,"tied","standalone"),"")</f>
        <v>standalone</v>
      </c>
    </row>
    <row r="3925" spans="1:14">
      <c r="A3925" s="6">
        <v>2024</v>
      </c>
      <c r="B3925" s="6">
        <v>6</v>
      </c>
      <c r="C3925" s="6" t="s">
        <v>65</v>
      </c>
      <c r="D3925" s="6" t="s">
        <v>928</v>
      </c>
      <c r="E3925" s="6" t="s">
        <v>502</v>
      </c>
      <c r="F3925" s="6" t="str">
        <f>IF($M3925="PADD I","PADD 1",IF($M3925="PADD II","PADD 2",IF($M3925="PADD III","PADD 3",IF($M3925="PADD IV","PADD 4",IF($M3925="PADD V","PADD 5","")))))</f>
        <v>PADD 2</v>
      </c>
      <c r="G3925" s="6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6" t="s">
        <v>485</v>
      </c>
      <c r="I3925" s="6" t="s">
        <v>491</v>
      </c>
      <c r="J3925" s="6" t="s">
        <v>394</v>
      </c>
      <c r="K3925" s="10">
        <v>7.905</v>
      </c>
      <c r="L3925" s="10">
        <v>8.5</v>
      </c>
      <c r="M3925" s="6" t="s">
        <v>425</v>
      </c>
      <c r="N3925" s="6">
        <f>IF(OR($G3925="FCC",$G3925="Hydrocracker",$G3925="Reformer"),IF(COUNTIFS($D:$D,$D3925,$A:$A,$A3925,$B:$B,$B3925,$G:$G,"CDU",$J:$J,"PLANNED")&gt;0,"tied","standalone"),"")</f>
        <v/>
      </c>
    </row>
    <row r="3926" spans="1:14">
      <c r="A3926" s="6">
        <v>2024</v>
      </c>
      <c r="B3926" s="6">
        <v>6</v>
      </c>
      <c r="C3926" s="6" t="s">
        <v>65</v>
      </c>
      <c r="D3926" s="6" t="s">
        <v>384</v>
      </c>
      <c r="E3926" s="6" t="s">
        <v>419</v>
      </c>
      <c r="F3926" s="6" t="str">
        <f>IF($M3926="PADD I","PADD 1",IF($M3926="PADD II","PADD 2",IF($M3926="PADD III","PADD 3",IF($M3926="PADD IV","PADD 4",IF($M3926="PADD V","PADD 5","")))))</f>
        <v>PADD 3</v>
      </c>
      <c r="G3926" s="6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6" t="s">
        <v>471</v>
      </c>
      <c r="I3926" s="6" t="s">
        <v>1149</v>
      </c>
      <c r="J3926" s="6" t="s">
        <v>398</v>
      </c>
      <c r="K3926" s="10">
        <v>7.82</v>
      </c>
      <c r="L3926" s="10">
        <v>34</v>
      </c>
      <c r="M3926" s="6" t="s">
        <v>421</v>
      </c>
      <c r="N3926" s="6" t="str">
        <f>IF(OR($G3926="FCC",$G3926="Hydrocracker",$G3926="Reformer"),IF(COUNTIFS($D:$D,$D3926,$A:$A,$A3926,$B:$B,$B3926,$G:$G,"CDU",$J:$J,"PLANNED")&gt;0,"tied","standalone"),"")</f>
        <v>tied</v>
      </c>
    </row>
    <row r="3927" spans="1:14">
      <c r="A3927" s="6">
        <v>2024</v>
      </c>
      <c r="B3927" s="6">
        <v>6</v>
      </c>
      <c r="C3927" s="6" t="s">
        <v>65</v>
      </c>
      <c r="D3927" s="6" t="s">
        <v>812</v>
      </c>
      <c r="E3927" s="6" t="s">
        <v>813</v>
      </c>
      <c r="F3927" s="6" t="str">
        <f>IF($M3927="PADD I","PADD 1",IF($M3927="PADD II","PADD 2",IF($M3927="PADD III","PADD 3",IF($M3927="PADD IV","PADD 4",IF($M3927="PADD V","PADD 5","")))))</f>
        <v>PADD 2</v>
      </c>
      <c r="G3927" s="6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6" t="s">
        <v>428</v>
      </c>
      <c r="I3927" s="6" t="s">
        <v>862</v>
      </c>
      <c r="J3927" s="6" t="s">
        <v>394</v>
      </c>
      <c r="K3927" s="10">
        <v>7.5</v>
      </c>
      <c r="L3927" s="10">
        <v>15</v>
      </c>
      <c r="M3927" s="6" t="s">
        <v>425</v>
      </c>
      <c r="N3927" s="6">
        <f>IF(OR($G3927="FCC",$G3927="Hydrocracker",$G3927="Reformer"),IF(COUNTIFS($D:$D,$D3927,$A:$A,$A3927,$B:$B,$B3927,$G:$G,"CDU",$J:$J,"PLANNED")&gt;0,"tied","standalone"),"")</f>
        <v/>
      </c>
    </row>
    <row r="3928" spans="1:14">
      <c r="A3928" s="6">
        <v>2024</v>
      </c>
      <c r="B3928" s="6">
        <v>6</v>
      </c>
      <c r="C3928" s="6" t="s">
        <v>65</v>
      </c>
      <c r="D3928" s="6" t="s">
        <v>662</v>
      </c>
      <c r="E3928" s="6" t="s">
        <v>466</v>
      </c>
      <c r="F3928" s="6" t="str">
        <f>IF($M3928="PADD I","PADD 1",IF($M3928="PADD II","PADD 2",IF($M3928="PADD III","PADD 3",IF($M3928="PADD IV","PADD 4",IF($M3928="PADD V","PADD 5","")))))</f>
        <v>PADD 3</v>
      </c>
      <c r="G3928" s="6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6" t="s">
        <v>485</v>
      </c>
      <c r="I3928" s="6" t="s">
        <v>491</v>
      </c>
      <c r="J3928" s="6" t="s">
        <v>394</v>
      </c>
      <c r="K3928" s="10">
        <v>7.48</v>
      </c>
      <c r="L3928" s="10">
        <v>44</v>
      </c>
      <c r="M3928" s="6" t="s">
        <v>421</v>
      </c>
      <c r="N3928" s="6">
        <f>IF(OR($G3928="FCC",$G3928="Hydrocracker",$G3928="Reformer"),IF(COUNTIFS($D:$D,$D3928,$A:$A,$A3928,$B:$B,$B3928,$G:$G,"CDU",$J:$J,"PLANNED")&gt;0,"tied","standalone"),"")</f>
        <v/>
      </c>
    </row>
    <row r="3929" spans="1:14">
      <c r="A3929" s="6">
        <v>2024</v>
      </c>
      <c r="B3929" s="6">
        <v>6</v>
      </c>
      <c r="C3929" s="6" t="s">
        <v>65</v>
      </c>
      <c r="D3929" s="6" t="s">
        <v>496</v>
      </c>
      <c r="E3929" s="6" t="s">
        <v>441</v>
      </c>
      <c r="F3929" s="6" t="str">
        <f>IF($M3929="PADD I","PADD 1",IF($M3929="PADD II","PADD 2",IF($M3929="PADD III","PADD 3",IF($M3929="PADD IV","PADD 4",IF($M3929="PADD V","PADD 5","")))))</f>
        <v>PADD 3</v>
      </c>
      <c r="G3929" s="6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6" t="s">
        <v>510</v>
      </c>
      <c r="I3929" s="6" t="s">
        <v>1125</v>
      </c>
      <c r="J3929" s="6" t="s">
        <v>394</v>
      </c>
      <c r="K3929" s="10">
        <v>7.2</v>
      </c>
      <c r="L3929" s="10">
        <v>7.2</v>
      </c>
      <c r="M3929" s="6" t="s">
        <v>421</v>
      </c>
      <c r="N3929" s="6">
        <f>IF(OR($G3929="FCC",$G3929="Hydrocracker",$G3929="Reformer"),IF(COUNTIFS($D:$D,$D3929,$A:$A,$A3929,$B:$B,$B3929,$G:$G,"CDU",$J:$J,"PLANNED")&gt;0,"tied","standalone"),"")</f>
        <v/>
      </c>
    </row>
    <row r="3930" spans="1:14">
      <c r="A3930" s="6">
        <v>2024</v>
      </c>
      <c r="B3930" s="6">
        <v>6</v>
      </c>
      <c r="C3930" s="6" t="s">
        <v>65</v>
      </c>
      <c r="D3930" s="6" t="s">
        <v>576</v>
      </c>
      <c r="E3930" s="6" t="s">
        <v>455</v>
      </c>
      <c r="F3930" s="6" t="str">
        <f>IF($M3930="PADD I","PADD 1",IF($M3930="PADD II","PADD 2",IF($M3930="PADD III","PADD 3",IF($M3930="PADD IV","PADD 4",IF($M3930="PADD V","PADD 5","")))))</f>
        <v>PADD 3</v>
      </c>
      <c r="G3930" s="6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6" t="s">
        <v>44</v>
      </c>
      <c r="I3930" s="6" t="s">
        <v>1126</v>
      </c>
      <c r="J3930" s="6" t="s">
        <v>394</v>
      </c>
      <c r="K3930" s="10">
        <v>7.15</v>
      </c>
      <c r="L3930" s="10">
        <v>55</v>
      </c>
      <c r="M3930" s="6" t="s">
        <v>421</v>
      </c>
      <c r="N3930" s="6">
        <f>IF(OR($G3930="FCC",$G3930="Hydrocracker",$G3930="Reformer"),IF(COUNTIFS($D:$D,$D3930,$A:$A,$A3930,$B:$B,$B3930,$G:$G,"CDU",$J:$J,"PLANNED")&gt;0,"tied","standalone"),"")</f>
        <v/>
      </c>
    </row>
    <row r="3931" spans="1:14">
      <c r="A3931" s="6">
        <v>2024</v>
      </c>
      <c r="B3931" s="6">
        <v>6</v>
      </c>
      <c r="C3931" s="6" t="s">
        <v>65</v>
      </c>
      <c r="D3931" s="6" t="s">
        <v>592</v>
      </c>
      <c r="E3931" s="6" t="s">
        <v>593</v>
      </c>
      <c r="F3931" s="6" t="str">
        <f>IF($M3931="PADD I","PADD 1",IF($M3931="PADD II","PADD 2",IF($M3931="PADD III","PADD 3",IF($M3931="PADD IV","PADD 4",IF($M3931="PADD V","PADD 5","")))))</f>
        <v>PADD 2</v>
      </c>
      <c r="G3931" s="6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6" t="s">
        <v>471</v>
      </c>
      <c r="I3931" s="6" t="s">
        <v>1162</v>
      </c>
      <c r="J3931" s="6" t="s">
        <v>394</v>
      </c>
      <c r="K3931" s="10">
        <v>7</v>
      </c>
      <c r="L3931" s="10">
        <v>70</v>
      </c>
      <c r="M3931" s="6" t="s">
        <v>425</v>
      </c>
      <c r="N3931" s="6" t="str">
        <f>IF(OR($G3931="FCC",$G3931="Hydrocracker",$G3931="Reformer"),IF(COUNTIFS($D:$D,$D3931,$A:$A,$A3931,$B:$B,$B3931,$G:$G,"CDU",$J:$J,"PLANNED")&gt;0,"tied","standalone"),"")</f>
        <v>standalone</v>
      </c>
    </row>
    <row r="3932" spans="1:14">
      <c r="A3932" s="6">
        <v>2024</v>
      </c>
      <c r="B3932" s="6">
        <v>6</v>
      </c>
      <c r="C3932" s="6" t="s">
        <v>65</v>
      </c>
      <c r="D3932" s="6" t="s">
        <v>458</v>
      </c>
      <c r="E3932" s="6" t="s">
        <v>459</v>
      </c>
      <c r="F3932" s="6" t="str">
        <f>IF($M3932="PADD I","PADD 1",IF($M3932="PADD II","PADD 2",IF($M3932="PADD III","PADD 3",IF($M3932="PADD IV","PADD 4",IF($M3932="PADD V","PADD 5","")))))</f>
        <v>PADD 3</v>
      </c>
      <c r="G3932" s="6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6" t="s">
        <v>44</v>
      </c>
      <c r="I3932" s="6" t="s">
        <v>552</v>
      </c>
      <c r="J3932" s="6" t="s">
        <v>394</v>
      </c>
      <c r="K3932" s="10">
        <v>6.9</v>
      </c>
      <c r="L3932" s="10">
        <v>30</v>
      </c>
      <c r="M3932" s="6" t="s">
        <v>421</v>
      </c>
      <c r="N3932" s="6">
        <f>IF(OR($G3932="FCC",$G3932="Hydrocracker",$G3932="Reformer"),IF(COUNTIFS($D:$D,$D3932,$A:$A,$A3932,$B:$B,$B3932,$G:$G,"CDU",$J:$J,"PLANNED")&gt;0,"tied","standalone"),"")</f>
        <v/>
      </c>
    </row>
    <row r="3933" spans="1:14">
      <c r="A3933" s="6">
        <v>2024</v>
      </c>
      <c r="B3933" s="6">
        <v>6</v>
      </c>
      <c r="C3933" s="6" t="s">
        <v>65</v>
      </c>
      <c r="D3933" s="6" t="s">
        <v>458</v>
      </c>
      <c r="E3933" s="6" t="s">
        <v>459</v>
      </c>
      <c r="F3933" s="6" t="str">
        <f>IF($M3933="PADD I","PADD 1",IF($M3933="PADD II","PADD 2",IF($M3933="PADD III","PADD 3",IF($M3933="PADD IV","PADD 4",IF($M3933="PADD V","PADD 5","")))))</f>
        <v>PADD 3</v>
      </c>
      <c r="G3933" s="6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6" t="s">
        <v>44</v>
      </c>
      <c r="I3933" s="6" t="s">
        <v>553</v>
      </c>
      <c r="J3933" s="6" t="s">
        <v>394</v>
      </c>
      <c r="K3933" s="10">
        <v>6.9</v>
      </c>
      <c r="L3933" s="10">
        <v>30</v>
      </c>
      <c r="M3933" s="6" t="s">
        <v>421</v>
      </c>
      <c r="N3933" s="6">
        <f>IF(OR($G3933="FCC",$G3933="Hydrocracker",$G3933="Reformer"),IF(COUNTIFS($D:$D,$D3933,$A:$A,$A3933,$B:$B,$B3933,$G:$G,"CDU",$J:$J,"PLANNED")&gt;0,"tied","standalone"),"")</f>
        <v/>
      </c>
    </row>
    <row r="3934" spans="1:14">
      <c r="A3934" s="6">
        <v>2024</v>
      </c>
      <c r="B3934" s="6">
        <v>6</v>
      </c>
      <c r="C3934" s="6" t="s">
        <v>65</v>
      </c>
      <c r="D3934" s="6" t="s">
        <v>849</v>
      </c>
      <c r="E3934" s="6" t="s">
        <v>441</v>
      </c>
      <c r="F3934" s="6" t="str">
        <f>IF($M3934="PADD I","PADD 1",IF($M3934="PADD II","PADD 2",IF($M3934="PADD III","PADD 3",IF($M3934="PADD IV","PADD 4",IF($M3934="PADD V","PADD 5","")))))</f>
        <v>PADD 4</v>
      </c>
      <c r="G3934" s="6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6" t="s">
        <v>44</v>
      </c>
      <c r="I3934" s="6" t="s">
        <v>1117</v>
      </c>
      <c r="J3934" s="6" t="s">
        <v>398</v>
      </c>
      <c r="K3934" s="10">
        <v>6.45</v>
      </c>
      <c r="L3934" s="10">
        <v>15</v>
      </c>
      <c r="M3934" s="6" t="s">
        <v>480</v>
      </c>
      <c r="N3934" s="6">
        <f>IF(OR($G3934="FCC",$G3934="Hydrocracker",$G3934="Reformer"),IF(COUNTIFS($D:$D,$D3934,$A:$A,$A3934,$B:$B,$B3934,$G:$G,"CDU",$J:$J,"PLANNED")&gt;0,"tied","standalone"),"")</f>
        <v/>
      </c>
    </row>
    <row r="3935" spans="1:14">
      <c r="A3935" s="6">
        <v>2024</v>
      </c>
      <c r="B3935" s="6">
        <v>6</v>
      </c>
      <c r="C3935" s="6" t="s">
        <v>65</v>
      </c>
      <c r="D3935" s="6" t="s">
        <v>576</v>
      </c>
      <c r="E3935" s="6" t="s">
        <v>455</v>
      </c>
      <c r="F3935" s="6" t="str">
        <f>IF($M3935="PADD I","PADD 1",IF($M3935="PADD II","PADD 2",IF($M3935="PADD III","PADD 3",IF($M3935="PADD IV","PADD 4",IF($M3935="PADD V","PADD 5","")))))</f>
        <v>PADD 3</v>
      </c>
      <c r="G3935" s="6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6" t="s">
        <v>44</v>
      </c>
      <c r="I3935" s="6" t="s">
        <v>1126</v>
      </c>
      <c r="J3935" s="6" t="s">
        <v>394</v>
      </c>
      <c r="K3935" s="10">
        <v>6.11</v>
      </c>
      <c r="L3935" s="10">
        <v>47</v>
      </c>
      <c r="M3935" s="6" t="s">
        <v>421</v>
      </c>
      <c r="N3935" s="6">
        <f>IF(OR($G3935="FCC",$G3935="Hydrocracker",$G3935="Reformer"),IF(COUNTIFS($D:$D,$D3935,$A:$A,$A3935,$B:$B,$B3935,$G:$G,"CDU",$J:$J,"PLANNED")&gt;0,"tied","standalone"),"")</f>
        <v/>
      </c>
    </row>
    <row r="3936" spans="1:14">
      <c r="A3936" s="6">
        <v>2024</v>
      </c>
      <c r="B3936" s="6">
        <v>6</v>
      </c>
      <c r="C3936" s="6" t="s">
        <v>65</v>
      </c>
      <c r="D3936" s="6" t="s">
        <v>592</v>
      </c>
      <c r="E3936" s="6" t="s">
        <v>593</v>
      </c>
      <c r="F3936" s="6" t="str">
        <f>IF($M3936="PADD I","PADD 1",IF($M3936="PADD II","PADD 2",IF($M3936="PADD III","PADD 3",IF($M3936="PADD IV","PADD 4",IF($M3936="PADD V","PADD 5","")))))</f>
        <v>PADD 2</v>
      </c>
      <c r="G3936" s="6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6" t="s">
        <v>471</v>
      </c>
      <c r="I3936" s="6" t="s">
        <v>1164</v>
      </c>
      <c r="J3936" s="6" t="s">
        <v>394</v>
      </c>
      <c r="K3936" s="10">
        <v>6</v>
      </c>
      <c r="L3936" s="10">
        <v>60</v>
      </c>
      <c r="M3936" s="6" t="s">
        <v>425</v>
      </c>
      <c r="N3936" s="6" t="str">
        <f>IF(OR($G3936="FCC",$G3936="Hydrocracker",$G3936="Reformer"),IF(COUNTIFS($D:$D,$D3936,$A:$A,$A3936,$B:$B,$B3936,$G:$G,"CDU",$J:$J,"PLANNED")&gt;0,"tied","standalone"),"")</f>
        <v>standalone</v>
      </c>
    </row>
    <row r="3937" spans="1:14">
      <c r="A3937" s="6">
        <v>2024</v>
      </c>
      <c r="B3937" s="6">
        <v>6</v>
      </c>
      <c r="C3937" s="6" t="s">
        <v>65</v>
      </c>
      <c r="D3937" s="6" t="s">
        <v>382</v>
      </c>
      <c r="E3937" s="6" t="s">
        <v>431</v>
      </c>
      <c r="F3937" s="6" t="str">
        <f>IF($M3937="PADD I","PADD 1",IF($M3937="PADD II","PADD 2",IF($M3937="PADD III","PADD 3",IF($M3937="PADD IV","PADD 4",IF($M3937="PADD V","PADD 5","")))))</f>
        <v>PADD 3</v>
      </c>
      <c r="G3937" s="6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6" t="s">
        <v>39</v>
      </c>
      <c r="I3937" s="6" t="s">
        <v>700</v>
      </c>
      <c r="J3937" s="6" t="s">
        <v>394</v>
      </c>
      <c r="K3937" s="10">
        <v>5.85</v>
      </c>
      <c r="L3937" s="10">
        <v>45</v>
      </c>
      <c r="M3937" s="6" t="s">
        <v>421</v>
      </c>
      <c r="N3937" s="6">
        <f>IF(OR($G3937="FCC",$G3937="Hydrocracker",$G3937="Reformer"),IF(COUNTIFS($D:$D,$D3937,$A:$A,$A3937,$B:$B,$B3937,$G:$G,"CDU",$J:$J,"PLANNED")&gt;0,"tied","standalone"),"")</f>
        <v/>
      </c>
    </row>
    <row r="3938" spans="1:14">
      <c r="A3938" s="6">
        <v>2024</v>
      </c>
      <c r="B3938" s="6">
        <v>6</v>
      </c>
      <c r="C3938" s="6" t="s">
        <v>65</v>
      </c>
      <c r="D3938" s="6" t="s">
        <v>725</v>
      </c>
      <c r="E3938" s="6" t="s">
        <v>502</v>
      </c>
      <c r="F3938" s="6" t="str">
        <f>IF($M3938="PADD I","PADD 1",IF($M3938="PADD II","PADD 2",IF($M3938="PADD III","PADD 3",IF($M3938="PADD IV","PADD 4",IF($M3938="PADD V","PADD 5","")))))</f>
        <v>PADD 2</v>
      </c>
      <c r="G3938" s="6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6" t="s">
        <v>485</v>
      </c>
      <c r="I3938" s="6" t="s">
        <v>491</v>
      </c>
      <c r="J3938" s="6" t="s">
        <v>394</v>
      </c>
      <c r="K3938" s="10">
        <v>5.7</v>
      </c>
      <c r="L3938" s="10">
        <v>19</v>
      </c>
      <c r="M3938" s="6" t="s">
        <v>425</v>
      </c>
      <c r="N3938" s="6">
        <f>IF(OR($G3938="FCC",$G3938="Hydrocracker",$G3938="Reformer"),IF(COUNTIFS($D:$D,$D3938,$A:$A,$A3938,$B:$B,$B3938,$G:$G,"CDU",$J:$J,"PLANNED")&gt;0,"tied","standalone"),"")</f>
        <v/>
      </c>
    </row>
    <row r="3939" spans="1:14">
      <c r="A3939" s="6">
        <v>2024</v>
      </c>
      <c r="B3939" s="6">
        <v>6</v>
      </c>
      <c r="C3939" s="6" t="s">
        <v>65</v>
      </c>
      <c r="D3939" s="6" t="s">
        <v>458</v>
      </c>
      <c r="E3939" s="6" t="s">
        <v>459</v>
      </c>
      <c r="F3939" s="6" t="str">
        <f>IF($M3939="PADD I","PADD 1",IF($M3939="PADD II","PADD 2",IF($M3939="PADD III","PADD 3",IF($M3939="PADD IV","PADD 4",IF($M3939="PADD V","PADD 5","")))))</f>
        <v>PADD 3</v>
      </c>
      <c r="G3939" s="6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6" t="s">
        <v>44</v>
      </c>
      <c r="I3939" s="6" t="s">
        <v>567</v>
      </c>
      <c r="J3939" s="6" t="s">
        <v>394</v>
      </c>
      <c r="K3939" s="10">
        <v>5.52</v>
      </c>
      <c r="L3939" s="10">
        <v>24</v>
      </c>
      <c r="M3939" s="6" t="s">
        <v>421</v>
      </c>
      <c r="N3939" s="6">
        <f>IF(OR($G3939="FCC",$G3939="Hydrocracker",$G3939="Reformer"),IF(COUNTIFS($D:$D,$D3939,$A:$A,$A3939,$B:$B,$B3939,$G:$G,"CDU",$J:$J,"PLANNED")&gt;0,"tied","standalone"),"")</f>
        <v/>
      </c>
    </row>
    <row r="3940" spans="1:14">
      <c r="A3940" s="6">
        <v>2024</v>
      </c>
      <c r="B3940" s="6">
        <v>6</v>
      </c>
      <c r="C3940" s="6" t="s">
        <v>65</v>
      </c>
      <c r="D3940" s="6" t="s">
        <v>838</v>
      </c>
      <c r="E3940" s="6" t="s">
        <v>455</v>
      </c>
      <c r="F3940" s="6" t="str">
        <f>IF($M3940="PADD I","PADD 1",IF($M3940="PADD II","PADD 2",IF($M3940="PADD III","PADD 3",IF($M3940="PADD IV","PADD 4",IF($M3940="PADD V","PADD 5","")))))</f>
        <v>PADD 3</v>
      </c>
      <c r="G3940" s="6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6" t="s">
        <v>428</v>
      </c>
      <c r="I3940" s="6" t="s">
        <v>862</v>
      </c>
      <c r="J3940" s="6" t="s">
        <v>394</v>
      </c>
      <c r="K3940" s="10">
        <v>5</v>
      </c>
      <c r="L3940" s="10">
        <v>50</v>
      </c>
      <c r="M3940" s="6" t="s">
        <v>421</v>
      </c>
      <c r="N3940" s="6">
        <f>IF(OR($G3940="FCC",$G3940="Hydrocracker",$G3940="Reformer"),IF(COUNTIFS($D:$D,$D3940,$A:$A,$A3940,$B:$B,$B3940,$G:$G,"CDU",$J:$J,"PLANNED")&gt;0,"tied","standalone"),"")</f>
        <v/>
      </c>
    </row>
    <row r="3941" spans="1:14">
      <c r="A3941" s="6">
        <v>2024</v>
      </c>
      <c r="B3941" s="6">
        <v>6</v>
      </c>
      <c r="C3941" s="6" t="s">
        <v>65</v>
      </c>
      <c r="D3941" s="6" t="s">
        <v>622</v>
      </c>
      <c r="E3941" s="6" t="s">
        <v>623</v>
      </c>
      <c r="F3941" s="6" t="str">
        <f>IF($M3941="PADD I","PADD 1",IF($M3941="PADD II","PADD 2",IF($M3941="PADD III","PADD 3",IF($M3941="PADD IV","PADD 4",IF($M3941="PADD V","PADD 5","")))))</f>
        <v>PADD 3</v>
      </c>
      <c r="G3941" s="6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6" t="s">
        <v>39</v>
      </c>
      <c r="I3941" s="6" t="s">
        <v>624</v>
      </c>
      <c r="J3941" s="6" t="s">
        <v>394</v>
      </c>
      <c r="K3941" s="10">
        <v>5</v>
      </c>
      <c r="L3941" s="10">
        <v>50</v>
      </c>
      <c r="M3941" s="6" t="s">
        <v>421</v>
      </c>
      <c r="N3941" s="6">
        <f>IF(OR($G3941="FCC",$G3941="Hydrocracker",$G3941="Reformer"),IF(COUNTIFS($D:$D,$D3941,$A:$A,$A3941,$B:$B,$B3941,$G:$G,"CDU",$J:$J,"PLANNED")&gt;0,"tied","standalone"),"")</f>
        <v/>
      </c>
    </row>
    <row r="3942" spans="1:14">
      <c r="A3942" s="6">
        <v>2024</v>
      </c>
      <c r="B3942" s="6">
        <v>6</v>
      </c>
      <c r="C3942" s="6" t="s">
        <v>65</v>
      </c>
      <c r="D3942" s="6" t="s">
        <v>445</v>
      </c>
      <c r="E3942" s="6" t="s">
        <v>446</v>
      </c>
      <c r="F3942" s="6" t="str">
        <f>IF($M3942="PADD I","PADD 1",IF($M3942="PADD II","PADD 2",IF($M3942="PADD III","PADD 3",IF($M3942="PADD IV","PADD 4",IF($M3942="PADD V","PADD 5","")))))</f>
        <v>PADD 3</v>
      </c>
      <c r="G3942" s="6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6" t="s">
        <v>494</v>
      </c>
      <c r="I3942" s="6" t="s">
        <v>562</v>
      </c>
      <c r="J3942" s="6" t="s">
        <v>394</v>
      </c>
      <c r="K3942" s="10">
        <v>4.69</v>
      </c>
      <c r="L3942" s="10">
        <v>67</v>
      </c>
      <c r="M3942" s="6" t="s">
        <v>421</v>
      </c>
      <c r="N3942" s="6" t="str">
        <f>IF(OR($G3942="FCC",$G3942="Hydrocracker",$G3942="Reformer"),IF(COUNTIFS($D:$D,$D3942,$A:$A,$A3942,$B:$B,$B3942,$G:$G,"CDU",$J:$J,"PLANNED")&gt;0,"tied","standalone"),"")</f>
        <v>standalone</v>
      </c>
    </row>
    <row r="3943" spans="1:14">
      <c r="A3943" s="6">
        <v>2024</v>
      </c>
      <c r="B3943" s="6">
        <v>6</v>
      </c>
      <c r="C3943" s="6" t="s">
        <v>65</v>
      </c>
      <c r="D3943" s="6" t="s">
        <v>384</v>
      </c>
      <c r="E3943" s="6" t="s">
        <v>419</v>
      </c>
      <c r="F3943" s="6" t="str">
        <f>IF($M3943="PADD I","PADD 1",IF($M3943="PADD II","PADD 2",IF($M3943="PADD III","PADD 3",IF($M3943="PADD IV","PADD 4",IF($M3943="PADD V","PADD 5","")))))</f>
        <v>PADD 3</v>
      </c>
      <c r="G3943" s="6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6" t="s">
        <v>510</v>
      </c>
      <c r="I3943" s="6" t="s">
        <v>1256</v>
      </c>
      <c r="J3943" s="6" t="s">
        <v>398</v>
      </c>
      <c r="K3943" s="10">
        <v>4.6</v>
      </c>
      <c r="L3943" s="10">
        <v>20</v>
      </c>
      <c r="M3943" s="6" t="s">
        <v>421</v>
      </c>
      <c r="N3943" s="6">
        <f>IF(OR($G3943="FCC",$G3943="Hydrocracker",$G3943="Reformer"),IF(COUNTIFS($D:$D,$D3943,$A:$A,$A3943,$B:$B,$B3943,$G:$G,"CDU",$J:$J,"PLANNED")&gt;0,"tied","standalone"),"")</f>
        <v/>
      </c>
    </row>
    <row r="3944" spans="1:14">
      <c r="A3944" s="6">
        <v>2024</v>
      </c>
      <c r="B3944" s="6">
        <v>6</v>
      </c>
      <c r="C3944" s="6" t="s">
        <v>65</v>
      </c>
      <c r="D3944" s="6" t="s">
        <v>378</v>
      </c>
      <c r="E3944" s="6" t="s">
        <v>477</v>
      </c>
      <c r="F3944" s="6" t="str">
        <f>IF($M3944="PADD I","PADD 1",IF($M3944="PADD II","PADD 2",IF($M3944="PADD III","PADD 3",IF($M3944="PADD IV","PADD 4",IF($M3944="PADD V","PADD 5","")))))</f>
        <v>PADD 3</v>
      </c>
      <c r="G3944" s="6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6" t="s">
        <v>44</v>
      </c>
      <c r="I3944" s="6" t="s">
        <v>1258</v>
      </c>
      <c r="J3944" s="6" t="s">
        <v>394</v>
      </c>
      <c r="K3944" s="10">
        <v>4.5</v>
      </c>
      <c r="L3944" s="10">
        <v>45</v>
      </c>
      <c r="M3944" s="6" t="s">
        <v>421</v>
      </c>
      <c r="N3944" s="6">
        <f>IF(OR($G3944="FCC",$G3944="Hydrocracker",$G3944="Reformer"),IF(COUNTIFS($D:$D,$D3944,$A:$A,$A3944,$B:$B,$B3944,$G:$G,"CDU",$J:$J,"PLANNED")&gt;0,"tied","standalone"),"")</f>
        <v/>
      </c>
    </row>
    <row r="3945" spans="1:14">
      <c r="A3945" s="6">
        <v>2024</v>
      </c>
      <c r="B3945" s="6">
        <v>6</v>
      </c>
      <c r="C3945" s="6" t="s">
        <v>65</v>
      </c>
      <c r="D3945" s="6" t="s">
        <v>484</v>
      </c>
      <c r="E3945" s="6" t="s">
        <v>438</v>
      </c>
      <c r="F3945" s="6" t="str">
        <f>IF($M3945="PADD I","PADD 1",IF($M3945="PADD II","PADD 2",IF($M3945="PADD III","PADD 3",IF($M3945="PADD IV","PADD 4",IF($M3945="PADD V","PADD 5","")))))</f>
        <v>PADD 5</v>
      </c>
      <c r="G3945" s="6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6" t="s">
        <v>471</v>
      </c>
      <c r="I3945" s="6" t="s">
        <v>721</v>
      </c>
      <c r="J3945" s="6" t="s">
        <v>394</v>
      </c>
      <c r="K3945" s="10">
        <v>4.5</v>
      </c>
      <c r="L3945" s="10">
        <v>15</v>
      </c>
      <c r="M3945" s="6" t="s">
        <v>436</v>
      </c>
      <c r="N3945" s="6" t="str">
        <f>IF(OR($G3945="FCC",$G3945="Hydrocracker",$G3945="Reformer"),IF(COUNTIFS($D:$D,$D3945,$A:$A,$A3945,$B:$B,$B3945,$G:$G,"CDU",$J:$J,"PLANNED")&gt;0,"tied","standalone"),"")</f>
        <v>standalone</v>
      </c>
    </row>
    <row r="3946" spans="1:14">
      <c r="A3946" s="6">
        <v>2024</v>
      </c>
      <c r="B3946" s="6">
        <v>6</v>
      </c>
      <c r="C3946" s="6" t="s">
        <v>65</v>
      </c>
      <c r="D3946" s="6" t="s">
        <v>378</v>
      </c>
      <c r="E3946" s="6" t="s">
        <v>477</v>
      </c>
      <c r="F3946" s="6" t="str">
        <f>IF($M3946="PADD I","PADD 1",IF($M3946="PADD II","PADD 2",IF($M3946="PADD III","PADD 3",IF($M3946="PADD IV","PADD 4",IF($M3946="PADD V","PADD 5","")))))</f>
        <v>PADD 3</v>
      </c>
      <c r="G3946" s="6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6" t="s">
        <v>44</v>
      </c>
      <c r="I3946" s="6" t="s">
        <v>1258</v>
      </c>
      <c r="J3946" s="6" t="s">
        <v>394</v>
      </c>
      <c r="K3946" s="10">
        <v>4.34</v>
      </c>
      <c r="L3946" s="10">
        <v>62</v>
      </c>
      <c r="M3946" s="6" t="s">
        <v>421</v>
      </c>
      <c r="N3946" s="6">
        <f>IF(OR($G3946="FCC",$G3946="Hydrocracker",$G3946="Reformer"),IF(COUNTIFS($D:$D,$D3946,$A:$A,$A3946,$B:$B,$B3946,$G:$G,"CDU",$J:$J,"PLANNED")&gt;0,"tied","standalone"),"")</f>
        <v/>
      </c>
    </row>
    <row r="3947" spans="1:14">
      <c r="A3947" s="6">
        <v>2024</v>
      </c>
      <c r="B3947" s="6">
        <v>6</v>
      </c>
      <c r="C3947" s="6" t="s">
        <v>65</v>
      </c>
      <c r="D3947" s="6" t="s">
        <v>838</v>
      </c>
      <c r="E3947" s="6" t="s">
        <v>455</v>
      </c>
      <c r="F3947" s="6" t="str">
        <f>IF($M3947="PADD I","PADD 1",IF($M3947="PADD II","PADD 2",IF($M3947="PADD III","PADD 3",IF($M3947="PADD IV","PADD 4",IF($M3947="PADD V","PADD 5","")))))</f>
        <v>PADD 3</v>
      </c>
      <c r="G3947" s="6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6" t="s">
        <v>471</v>
      </c>
      <c r="I3947" s="6" t="s">
        <v>832</v>
      </c>
      <c r="J3947" s="6" t="s">
        <v>394</v>
      </c>
      <c r="K3947" s="10">
        <v>4.16</v>
      </c>
      <c r="L3947" s="10">
        <v>32</v>
      </c>
      <c r="M3947" s="6" t="s">
        <v>421</v>
      </c>
      <c r="N3947" s="6" t="str">
        <f>IF(OR($G3947="FCC",$G3947="Hydrocracker",$G3947="Reformer"),IF(COUNTIFS($D:$D,$D3947,$A:$A,$A3947,$B:$B,$B3947,$G:$G,"CDU",$J:$J,"PLANNED")&gt;0,"tied","standalone"),"")</f>
        <v>standalone</v>
      </c>
    </row>
    <row r="3948" spans="1:14">
      <c r="A3948" s="6">
        <v>2024</v>
      </c>
      <c r="B3948" s="6">
        <v>6</v>
      </c>
      <c r="C3948" s="6" t="s">
        <v>65</v>
      </c>
      <c r="D3948" s="6" t="s">
        <v>928</v>
      </c>
      <c r="E3948" s="6" t="s">
        <v>502</v>
      </c>
      <c r="F3948" s="6" t="str">
        <f>IF($M3948="PADD I","PADD 1",IF($M3948="PADD II","PADD 2",IF($M3948="PADD III","PADD 3",IF($M3948="PADD IV","PADD 4",IF($M3948="PADD V","PADD 5","")))))</f>
        <v>PADD 2</v>
      </c>
      <c r="G3948" s="6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6" t="s">
        <v>428</v>
      </c>
      <c r="I3948" s="6" t="s">
        <v>586</v>
      </c>
      <c r="J3948" s="6" t="s">
        <v>394</v>
      </c>
      <c r="K3948" s="10">
        <v>4.16</v>
      </c>
      <c r="L3948" s="10">
        <v>32</v>
      </c>
      <c r="M3948" s="6" t="s">
        <v>425</v>
      </c>
      <c r="N3948" s="6">
        <f>IF(OR($G3948="FCC",$G3948="Hydrocracker",$G3948="Reformer"),IF(COUNTIFS($D:$D,$D3948,$A:$A,$A3948,$B:$B,$B3948,$G:$G,"CDU",$J:$J,"PLANNED")&gt;0,"tied","standalone"),"")</f>
        <v/>
      </c>
    </row>
    <row r="3949" spans="1:14">
      <c r="A3949" s="6">
        <v>2024</v>
      </c>
      <c r="B3949" s="6">
        <v>6</v>
      </c>
      <c r="C3949" s="6" t="s">
        <v>65</v>
      </c>
      <c r="D3949" s="6" t="s">
        <v>1093</v>
      </c>
      <c r="E3949" s="6" t="s">
        <v>438</v>
      </c>
      <c r="F3949" s="6" t="str">
        <f>IF($M3949="PADD I","PADD 1",IF($M3949="PADD II","PADD 2",IF($M3949="PADD III","PADD 3",IF($M3949="PADD IV","PADD 4",IF($M3949="PADD V","PADD 5","")))))</f>
        <v>PADD 2</v>
      </c>
      <c r="G3949" s="6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6" t="s">
        <v>618</v>
      </c>
      <c r="I3949" s="6" t="s">
        <v>654</v>
      </c>
      <c r="J3949" s="6" t="s">
        <v>398</v>
      </c>
      <c r="K3949" s="10">
        <v>3.927</v>
      </c>
      <c r="L3949" s="10">
        <v>5.1</v>
      </c>
      <c r="M3949" s="6" t="s">
        <v>425</v>
      </c>
      <c r="N3949" s="6">
        <f>IF(OR($G3949="FCC",$G3949="Hydrocracker",$G3949="Reformer"),IF(COUNTIFS($D:$D,$D3949,$A:$A,$A3949,$B:$B,$B3949,$G:$G,"CDU",$J:$J,"PLANNED")&gt;0,"tied","standalone"),"")</f>
        <v/>
      </c>
    </row>
    <row r="3950" spans="1:14">
      <c r="A3950" s="6">
        <v>2024</v>
      </c>
      <c r="B3950" s="6">
        <v>6</v>
      </c>
      <c r="C3950" s="6" t="s">
        <v>65</v>
      </c>
      <c r="D3950" s="6" t="s">
        <v>378</v>
      </c>
      <c r="E3950" s="6" t="s">
        <v>477</v>
      </c>
      <c r="F3950" s="6" t="str">
        <f>IF($M3950="PADD I","PADD 1",IF($M3950="PADD II","PADD 2",IF($M3950="PADD III","PADD 3",IF($M3950="PADD IV","PADD 4",IF($M3950="PADD V","PADD 5","")))))</f>
        <v>PADD 3</v>
      </c>
      <c r="G3950" s="6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6" t="s">
        <v>428</v>
      </c>
      <c r="I3950" s="6" t="s">
        <v>478</v>
      </c>
      <c r="J3950" s="6" t="s">
        <v>394</v>
      </c>
      <c r="K3950" s="10">
        <v>3.36</v>
      </c>
      <c r="L3950" s="10">
        <v>112</v>
      </c>
      <c r="M3950" s="6" t="s">
        <v>421</v>
      </c>
      <c r="N3950" s="6">
        <f>IF(OR($G3950="FCC",$G3950="Hydrocracker",$G3950="Reformer"),IF(COUNTIFS($D:$D,$D3950,$A:$A,$A3950,$B:$B,$B3950,$G:$G,"CDU",$J:$J,"PLANNED")&gt;0,"tied","standalone"),"")</f>
        <v/>
      </c>
    </row>
    <row r="3951" spans="1:14">
      <c r="A3951" s="6">
        <v>2024</v>
      </c>
      <c r="B3951" s="6">
        <v>6</v>
      </c>
      <c r="C3951" s="6" t="s">
        <v>65</v>
      </c>
      <c r="D3951" s="6" t="s">
        <v>378</v>
      </c>
      <c r="E3951" s="6" t="s">
        <v>477</v>
      </c>
      <c r="F3951" s="6" t="str">
        <f>IF($M3951="PADD I","PADD 1",IF($M3951="PADD II","PADD 2",IF($M3951="PADD III","PADD 3",IF($M3951="PADD IV","PADD 4",IF($M3951="PADD V","PADD 5","")))))</f>
        <v>PADD 3</v>
      </c>
      <c r="G3951" s="6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6" t="s">
        <v>428</v>
      </c>
      <c r="I3951" s="6" t="s">
        <v>478</v>
      </c>
      <c r="J3951" s="6" t="s">
        <v>394</v>
      </c>
      <c r="K3951" s="10">
        <v>3.36</v>
      </c>
      <c r="L3951" s="10">
        <v>112</v>
      </c>
      <c r="M3951" s="6" t="s">
        <v>421</v>
      </c>
      <c r="N3951" s="6">
        <f>IF(OR($G3951="FCC",$G3951="Hydrocracker",$G3951="Reformer"),IF(COUNTIFS($D:$D,$D3951,$A:$A,$A3951,$B:$B,$B3951,$G:$G,"CDU",$J:$J,"PLANNED")&gt;0,"tied","standalone"),"")</f>
        <v/>
      </c>
    </row>
    <row r="3952" spans="1:14">
      <c r="A3952" s="6">
        <v>2024</v>
      </c>
      <c r="B3952" s="6">
        <v>6</v>
      </c>
      <c r="C3952" s="6" t="s">
        <v>65</v>
      </c>
      <c r="D3952" s="6" t="s">
        <v>1093</v>
      </c>
      <c r="E3952" s="6" t="s">
        <v>438</v>
      </c>
      <c r="F3952" s="6" t="str">
        <f>IF($M3952="PADD I","PADD 1",IF($M3952="PADD II","PADD 2",IF($M3952="PADD III","PADD 3",IF($M3952="PADD IV","PADD 4",IF($M3952="PADD V","PADD 5","")))))</f>
        <v>PADD 2</v>
      </c>
      <c r="G3952" s="6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6" t="s">
        <v>44</v>
      </c>
      <c r="I3952" s="6" t="s">
        <v>514</v>
      </c>
      <c r="J3952" s="6" t="s">
        <v>394</v>
      </c>
      <c r="K3952" s="10">
        <v>3.311</v>
      </c>
      <c r="L3952" s="10">
        <v>4.3</v>
      </c>
      <c r="M3952" s="6" t="s">
        <v>425</v>
      </c>
      <c r="N3952" s="6">
        <f>IF(OR($G3952="FCC",$G3952="Hydrocracker",$G3952="Reformer"),IF(COUNTIFS($D:$D,$D3952,$A:$A,$A3952,$B:$B,$B3952,$G:$G,"CDU",$J:$J,"PLANNED")&gt;0,"tied","standalone"),"")</f>
        <v/>
      </c>
    </row>
    <row r="3953" spans="1:14">
      <c r="A3953" s="6">
        <v>2024</v>
      </c>
      <c r="B3953" s="6">
        <v>6</v>
      </c>
      <c r="C3953" s="6" t="s">
        <v>65</v>
      </c>
      <c r="D3953" s="6" t="s">
        <v>1093</v>
      </c>
      <c r="E3953" s="6" t="s">
        <v>438</v>
      </c>
      <c r="F3953" s="6" t="str">
        <f>IF($M3953="PADD I","PADD 1",IF($M3953="PADD II","PADD 2",IF($M3953="PADD III","PADD 3",IF($M3953="PADD IV","PADD 4",IF($M3953="PADD V","PADD 5","")))))</f>
        <v>PADD 2</v>
      </c>
      <c r="G3953" s="6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6" t="s">
        <v>510</v>
      </c>
      <c r="I3953" s="6" t="s">
        <v>666</v>
      </c>
      <c r="J3953" s="6" t="s">
        <v>394</v>
      </c>
      <c r="K3953" s="10">
        <v>3.08</v>
      </c>
      <c r="L3953" s="10">
        <v>4.4</v>
      </c>
      <c r="M3953" s="6" t="s">
        <v>425</v>
      </c>
      <c r="N3953" s="6">
        <f>IF(OR($G3953="FCC",$G3953="Hydrocracker",$G3953="Reformer"),IF(COUNTIFS($D:$D,$D3953,$A:$A,$A3953,$B:$B,$B3953,$G:$G,"CDU",$J:$J,"PLANNED")&gt;0,"tied","standalone"),"")</f>
        <v/>
      </c>
    </row>
    <row r="3954" spans="1:14">
      <c r="A3954" s="6">
        <v>2024</v>
      </c>
      <c r="B3954" s="6">
        <v>6</v>
      </c>
      <c r="C3954" s="6" t="s">
        <v>65</v>
      </c>
      <c r="D3954" s="6" t="s">
        <v>378</v>
      </c>
      <c r="E3954" s="6" t="s">
        <v>477</v>
      </c>
      <c r="F3954" s="6" t="str">
        <f>IF($M3954="PADD I","PADD 1",IF($M3954="PADD II","PADD 2",IF($M3954="PADD III","PADD 3",IF($M3954="PADD IV","PADD 4",IF($M3954="PADD V","PADD 5","")))))</f>
        <v>PADD 3</v>
      </c>
      <c r="G3954" s="6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6" t="s">
        <v>39</v>
      </c>
      <c r="I3954" s="6" t="s">
        <v>124</v>
      </c>
      <c r="J3954" s="6" t="s">
        <v>394</v>
      </c>
      <c r="K3954" s="10">
        <v>2.955</v>
      </c>
      <c r="L3954" s="10">
        <v>98.5</v>
      </c>
      <c r="M3954" s="6" t="s">
        <v>421</v>
      </c>
      <c r="N3954" s="6">
        <f>IF(OR($G3954="FCC",$G3954="Hydrocracker",$G3954="Reformer"),IF(COUNTIFS($D:$D,$D3954,$A:$A,$A3954,$B:$B,$B3954,$G:$G,"CDU",$J:$J,"PLANNED")&gt;0,"tied","standalone"),"")</f>
        <v/>
      </c>
    </row>
    <row r="3955" spans="1:14">
      <c r="A3955" s="6">
        <v>2024</v>
      </c>
      <c r="B3955" s="6">
        <v>6</v>
      </c>
      <c r="C3955" s="6" t="s">
        <v>65</v>
      </c>
      <c r="D3955" s="6" t="s">
        <v>378</v>
      </c>
      <c r="E3955" s="6" t="s">
        <v>477</v>
      </c>
      <c r="F3955" s="6" t="str">
        <f>IF($M3955="PADD I","PADD 1",IF($M3955="PADD II","PADD 2",IF($M3955="PADD III","PADD 3",IF($M3955="PADD IV","PADD 4",IF($M3955="PADD V","PADD 5","")))))</f>
        <v>PADD 3</v>
      </c>
      <c r="G3955" s="6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6" t="s">
        <v>39</v>
      </c>
      <c r="I3955" s="6" t="s">
        <v>379</v>
      </c>
      <c r="J3955" s="6" t="s">
        <v>394</v>
      </c>
      <c r="K3955" s="10">
        <v>2.955</v>
      </c>
      <c r="L3955" s="10">
        <v>98.5</v>
      </c>
      <c r="M3955" s="6" t="s">
        <v>421</v>
      </c>
      <c r="N3955" s="6">
        <f>IF(OR($G3955="FCC",$G3955="Hydrocracker",$G3955="Reformer"),IF(COUNTIFS($D:$D,$D3955,$A:$A,$A3955,$B:$B,$B3955,$G:$G,"CDU",$J:$J,"PLANNED")&gt;0,"tied","standalone"),"")</f>
        <v/>
      </c>
    </row>
    <row r="3956" spans="1:14">
      <c r="A3956" s="6">
        <v>2024</v>
      </c>
      <c r="B3956" s="6">
        <v>6</v>
      </c>
      <c r="C3956" s="6" t="s">
        <v>65</v>
      </c>
      <c r="D3956" s="6" t="s">
        <v>378</v>
      </c>
      <c r="E3956" s="6" t="s">
        <v>477</v>
      </c>
      <c r="F3956" s="6" t="str">
        <f>IF($M3956="PADD I","PADD 1",IF($M3956="PADD II","PADD 2",IF($M3956="PADD III","PADD 3",IF($M3956="PADD IV","PADD 4",IF($M3956="PADD V","PADD 5","")))))</f>
        <v>PADD 3</v>
      </c>
      <c r="G3956" s="6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6" t="s">
        <v>39</v>
      </c>
      <c r="I3956" s="6" t="s">
        <v>124</v>
      </c>
      <c r="J3956" s="6" t="s">
        <v>394</v>
      </c>
      <c r="K3956" s="10">
        <v>2.955</v>
      </c>
      <c r="L3956" s="10">
        <v>98.5</v>
      </c>
      <c r="M3956" s="6" t="s">
        <v>421</v>
      </c>
      <c r="N3956" s="6">
        <f>IF(OR($G3956="FCC",$G3956="Hydrocracker",$G3956="Reformer"),IF(COUNTIFS($D:$D,$D3956,$A:$A,$A3956,$B:$B,$B3956,$G:$G,"CDU",$J:$J,"PLANNED")&gt;0,"tied","standalone"),"")</f>
        <v/>
      </c>
    </row>
    <row r="3957" spans="1:14">
      <c r="A3957" s="6">
        <v>2024</v>
      </c>
      <c r="B3957" s="6">
        <v>6</v>
      </c>
      <c r="C3957" s="6" t="s">
        <v>65</v>
      </c>
      <c r="D3957" s="6" t="s">
        <v>378</v>
      </c>
      <c r="E3957" s="6" t="s">
        <v>477</v>
      </c>
      <c r="F3957" s="6" t="str">
        <f>IF($M3957="PADD I","PADD 1",IF($M3957="PADD II","PADD 2",IF($M3957="PADD III","PADD 3",IF($M3957="PADD IV","PADD 4",IF($M3957="PADD V","PADD 5","")))))</f>
        <v>PADD 3</v>
      </c>
      <c r="G3957" s="6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6" t="s">
        <v>39</v>
      </c>
      <c r="I3957" s="6" t="s">
        <v>379</v>
      </c>
      <c r="J3957" s="6" t="s">
        <v>394</v>
      </c>
      <c r="K3957" s="10">
        <v>2.955</v>
      </c>
      <c r="L3957" s="10">
        <v>98.5</v>
      </c>
      <c r="M3957" s="6" t="s">
        <v>421</v>
      </c>
      <c r="N3957" s="6">
        <f>IF(OR($G3957="FCC",$G3957="Hydrocracker",$G3957="Reformer"),IF(COUNTIFS($D:$D,$D3957,$A:$A,$A3957,$B:$B,$B3957,$G:$G,"CDU",$J:$J,"PLANNED")&gt;0,"tied","standalone"),"")</f>
        <v/>
      </c>
    </row>
    <row r="3958" spans="1:14">
      <c r="A3958" s="6">
        <v>2024</v>
      </c>
      <c r="B3958" s="6">
        <v>6</v>
      </c>
      <c r="C3958" s="6" t="s">
        <v>65</v>
      </c>
      <c r="D3958" s="6" t="s">
        <v>458</v>
      </c>
      <c r="E3958" s="6" t="s">
        <v>459</v>
      </c>
      <c r="F3958" s="6" t="str">
        <f>IF($M3958="PADD I","PADD 1",IF($M3958="PADD II","PADD 2",IF($M3958="PADD III","PADD 3",IF($M3958="PADD IV","PADD 4",IF($M3958="PADD V","PADD 5","")))))</f>
        <v>PADD 3</v>
      </c>
      <c r="G3958" s="6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6" t="s">
        <v>39</v>
      </c>
      <c r="I3958" s="6" t="s">
        <v>572</v>
      </c>
      <c r="J3958" s="6" t="s">
        <v>394</v>
      </c>
      <c r="K3958" s="10">
        <v>2.8</v>
      </c>
      <c r="L3958" s="10">
        <v>40</v>
      </c>
      <c r="M3958" s="6" t="s">
        <v>421</v>
      </c>
      <c r="N3958" s="6">
        <f>IF(OR($G3958="FCC",$G3958="Hydrocracker",$G3958="Reformer"),IF(COUNTIFS($D:$D,$D3958,$A:$A,$A3958,$B:$B,$B3958,$G:$G,"CDU",$J:$J,"PLANNED")&gt;0,"tied","standalone"),"")</f>
        <v/>
      </c>
    </row>
    <row r="3959" spans="1:14">
      <c r="A3959" s="6">
        <v>2024</v>
      </c>
      <c r="B3959" s="6">
        <v>6</v>
      </c>
      <c r="C3959" s="6" t="s">
        <v>65</v>
      </c>
      <c r="D3959" s="6" t="s">
        <v>378</v>
      </c>
      <c r="E3959" s="6" t="s">
        <v>477</v>
      </c>
      <c r="F3959" s="6" t="str">
        <f>IF($M3959="PADD I","PADD 1",IF($M3959="PADD II","PADD 2",IF($M3959="PADD III","PADD 3",IF($M3959="PADD IV","PADD 4",IF($M3959="PADD V","PADD 5","")))))</f>
        <v>PADD 3</v>
      </c>
      <c r="G3959" s="6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6" t="s">
        <v>428</v>
      </c>
      <c r="I3959" s="6" t="s">
        <v>1014</v>
      </c>
      <c r="J3959" s="6" t="s">
        <v>394</v>
      </c>
      <c r="K3959" s="10">
        <v>2.8</v>
      </c>
      <c r="L3959" s="10">
        <v>40</v>
      </c>
      <c r="M3959" s="6" t="s">
        <v>421</v>
      </c>
      <c r="N3959" s="6">
        <f>IF(OR($G3959="FCC",$G3959="Hydrocracker",$G3959="Reformer"),IF(COUNTIFS($D:$D,$D3959,$A:$A,$A3959,$B:$B,$B3959,$G:$G,"CDU",$J:$J,"PLANNED")&gt;0,"tied","standalone"),"")</f>
        <v/>
      </c>
    </row>
    <row r="3960" spans="1:14">
      <c r="A3960" s="6">
        <v>2024</v>
      </c>
      <c r="B3960" s="6">
        <v>6</v>
      </c>
      <c r="C3960" s="6" t="s">
        <v>65</v>
      </c>
      <c r="D3960" s="6" t="s">
        <v>534</v>
      </c>
      <c r="E3960" s="6" t="s">
        <v>459</v>
      </c>
      <c r="F3960" s="6" t="str">
        <f>IF($M3960="PADD I","PADD 1",IF($M3960="PADD II","PADD 2",IF($M3960="PADD III","PADD 3",IF($M3960="PADD IV","PADD 4",IF($M3960="PADD V","PADD 5","")))))</f>
        <v>PADD 3</v>
      </c>
      <c r="G3960" s="6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6" t="s">
        <v>44</v>
      </c>
      <c r="I3960" s="6" t="s">
        <v>543</v>
      </c>
      <c r="J3960" s="6" t="s">
        <v>394</v>
      </c>
      <c r="K3960" s="10">
        <v>2.7</v>
      </c>
      <c r="L3960" s="10">
        <v>10</v>
      </c>
      <c r="M3960" s="6" t="s">
        <v>421</v>
      </c>
      <c r="N3960" s="6">
        <f>IF(OR($G3960="FCC",$G3960="Hydrocracker",$G3960="Reformer"),IF(COUNTIFS($D:$D,$D3960,$A:$A,$A3960,$B:$B,$B3960,$G:$G,"CDU",$J:$J,"PLANNED")&gt;0,"tied","standalone"),"")</f>
        <v/>
      </c>
    </row>
    <row r="3961" spans="1:14">
      <c r="A3961" s="6">
        <v>2024</v>
      </c>
      <c r="B3961" s="6">
        <v>6</v>
      </c>
      <c r="C3961" s="6" t="s">
        <v>65</v>
      </c>
      <c r="D3961" s="6" t="s">
        <v>1259</v>
      </c>
      <c r="E3961" s="6" t="s">
        <v>1260</v>
      </c>
      <c r="F3961" s="6" t="str">
        <f>IF($M3961="PADD I","PADD 1",IF($M3961="PADD II","PADD 2",IF($M3961="PADD III","PADD 3",IF($M3961="PADD IV","PADD 4",IF($M3961="PADD V","PADD 5","")))))</f>
        <v>PADD 5</v>
      </c>
      <c r="G3961" s="6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6" t="s">
        <v>39</v>
      </c>
      <c r="I3961" s="6" t="s">
        <v>1261</v>
      </c>
      <c r="J3961" s="6" t="s">
        <v>398</v>
      </c>
      <c r="K3961" s="10">
        <v>2.43</v>
      </c>
      <c r="L3961" s="10">
        <v>9</v>
      </c>
      <c r="M3961" s="6" t="s">
        <v>436</v>
      </c>
      <c r="N3961" s="6">
        <f>IF(OR($G3961="FCC",$G3961="Hydrocracker",$G3961="Reformer"),IF(COUNTIFS($D:$D,$D3961,$A:$A,$A3961,$B:$B,$B3961,$G:$G,"CDU",$J:$J,"PLANNED")&gt;0,"tied","standalone"),"")</f>
        <v/>
      </c>
    </row>
    <row r="3962" spans="1:14">
      <c r="A3962" s="6">
        <v>2024</v>
      </c>
      <c r="B3962" s="6">
        <v>6</v>
      </c>
      <c r="C3962" s="6" t="s">
        <v>65</v>
      </c>
      <c r="D3962" s="6" t="s">
        <v>984</v>
      </c>
      <c r="E3962" s="6" t="s">
        <v>438</v>
      </c>
      <c r="F3962" s="6" t="str">
        <f>IF($M3962="PADD I","PADD 1",IF($M3962="PADD II","PADD 2",IF($M3962="PADD III","PADD 3",IF($M3962="PADD IV","PADD 4",IF($M3962="PADD V","PADD 5","")))))</f>
        <v>PADD 3</v>
      </c>
      <c r="G3962" s="6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6" t="s">
        <v>426</v>
      </c>
      <c r="I3962" s="6" t="s">
        <v>106</v>
      </c>
      <c r="J3962" s="6" t="s">
        <v>394</v>
      </c>
      <c r="K3962" s="10">
        <v>2.065</v>
      </c>
      <c r="L3962" s="10">
        <v>29.5</v>
      </c>
      <c r="M3962" s="6" t="s">
        <v>421</v>
      </c>
      <c r="N3962" s="6" t="str">
        <f>IF(OR($G3962="FCC",$G3962="Hydrocracker",$G3962="Reformer"),IF(COUNTIFS($D:$D,$D3962,$A:$A,$A3962,$B:$B,$B3962,$G:$G,"CDU",$J:$J,"PLANNED")&gt;0,"tied","standalone"),"")</f>
        <v>standalone</v>
      </c>
    </row>
    <row r="3963" spans="1:14">
      <c r="A3963" s="6">
        <v>2024</v>
      </c>
      <c r="B3963" s="6">
        <v>6</v>
      </c>
      <c r="C3963" s="6" t="s">
        <v>65</v>
      </c>
      <c r="D3963" s="6" t="s">
        <v>507</v>
      </c>
      <c r="E3963" s="6" t="s">
        <v>438</v>
      </c>
      <c r="F3963" s="6" t="str">
        <f>IF($M3963="PADD I","PADD 1",IF($M3963="PADD II","PADD 2",IF($M3963="PADD III","PADD 3",IF($M3963="PADD IV","PADD 4",IF($M3963="PADD V","PADD 5","")))))</f>
        <v>PADD 5</v>
      </c>
      <c r="G3963" s="6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6" t="s">
        <v>471</v>
      </c>
      <c r="I3963" s="6" t="s">
        <v>607</v>
      </c>
      <c r="J3963" s="6" t="s">
        <v>394</v>
      </c>
      <c r="K3963" s="10">
        <v>2</v>
      </c>
      <c r="L3963" s="10">
        <v>20</v>
      </c>
      <c r="M3963" s="6" t="s">
        <v>436</v>
      </c>
      <c r="N3963" s="6" t="str">
        <f>IF(OR($G3963="FCC",$G3963="Hydrocracker",$G3963="Reformer"),IF(COUNTIFS($D:$D,$D3963,$A:$A,$A3963,$B:$B,$B3963,$G:$G,"CDU",$J:$J,"PLANNED")&gt;0,"tied","standalone"),"")</f>
        <v>standalone</v>
      </c>
    </row>
    <row r="3964" spans="1:14">
      <c r="A3964" s="6">
        <v>2024</v>
      </c>
      <c r="B3964" s="6">
        <v>6</v>
      </c>
      <c r="C3964" s="6" t="s">
        <v>65</v>
      </c>
      <c r="D3964" s="6" t="s">
        <v>41</v>
      </c>
      <c r="E3964" s="6" t="s">
        <v>786</v>
      </c>
      <c r="F3964" s="6" t="str">
        <f>IF($M3964="PADD I","PADD 1",IF($M3964="PADD II","PADD 2",IF($M3964="PADD III","PADD 3",IF($M3964="PADD IV","PADD 4",IF($M3964="PADD V","PADD 5","")))))</f>
        <v>PADD 1</v>
      </c>
      <c r="G3964" s="6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6" t="s">
        <v>428</v>
      </c>
      <c r="I3964" s="6" t="s">
        <v>1060</v>
      </c>
      <c r="J3964" s="6" t="s">
        <v>394</v>
      </c>
      <c r="K3964" s="10">
        <v>1.82</v>
      </c>
      <c r="L3964" s="10">
        <v>26</v>
      </c>
      <c r="M3964" s="6" t="s">
        <v>463</v>
      </c>
      <c r="N3964" s="6">
        <f>IF(OR($G3964="FCC",$G3964="Hydrocracker",$G3964="Reformer"),IF(COUNTIFS($D:$D,$D3964,$A:$A,$A3964,$B:$B,$B3964,$G:$G,"CDU",$J:$J,"PLANNED")&gt;0,"tied","standalone"),"")</f>
        <v/>
      </c>
    </row>
    <row r="3965" spans="1:14">
      <c r="A3965" s="6">
        <v>2024</v>
      </c>
      <c r="B3965" s="6">
        <v>6</v>
      </c>
      <c r="C3965" s="6" t="s">
        <v>65</v>
      </c>
      <c r="D3965" s="6" t="s">
        <v>550</v>
      </c>
      <c r="E3965" s="6" t="s">
        <v>438</v>
      </c>
      <c r="F3965" s="6" t="str">
        <f>IF($M3965="PADD I","PADD 1",IF($M3965="PADD II","PADD 2",IF($M3965="PADD III","PADD 3",IF($M3965="PADD IV","PADD 4",IF($M3965="PADD V","PADD 5","")))))</f>
        <v>PADD 2</v>
      </c>
      <c r="G3965" s="6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6" t="s">
        <v>44</v>
      </c>
      <c r="I3965" s="6" t="s">
        <v>968</v>
      </c>
      <c r="J3965" s="6" t="s">
        <v>398</v>
      </c>
      <c r="K3965" s="10">
        <v>1.75</v>
      </c>
      <c r="L3965" s="10">
        <v>25</v>
      </c>
      <c r="M3965" s="6" t="s">
        <v>425</v>
      </c>
      <c r="N3965" s="6">
        <f>IF(OR($G3965="FCC",$G3965="Hydrocracker",$G3965="Reformer"),IF(COUNTIFS($D:$D,$D3965,$A:$A,$A3965,$B:$B,$B3965,$G:$G,"CDU",$J:$J,"PLANNED")&gt;0,"tied","standalone"),"")</f>
        <v/>
      </c>
    </row>
    <row r="3966" spans="1:14">
      <c r="A3966" s="6">
        <v>2024</v>
      </c>
      <c r="B3966" s="6">
        <v>6</v>
      </c>
      <c r="C3966" s="6" t="s">
        <v>65</v>
      </c>
      <c r="D3966" s="6" t="s">
        <v>507</v>
      </c>
      <c r="E3966" s="6" t="s">
        <v>438</v>
      </c>
      <c r="F3966" s="6" t="str">
        <f>IF($M3966="PADD I","PADD 1",IF($M3966="PADD II","PADD 2",IF($M3966="PADD III","PADD 3",IF($M3966="PADD IV","PADD 4",IF($M3966="PADD V","PADD 5","")))))</f>
        <v>PADD 5</v>
      </c>
      <c r="G3966" s="6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6" t="s">
        <v>471</v>
      </c>
      <c r="I3966" s="6" t="s">
        <v>609</v>
      </c>
      <c r="J3966" s="6" t="s">
        <v>394</v>
      </c>
      <c r="K3966" s="10">
        <v>1.4</v>
      </c>
      <c r="L3966" s="10">
        <v>20</v>
      </c>
      <c r="M3966" s="6" t="s">
        <v>436</v>
      </c>
      <c r="N3966" s="6" t="str">
        <f>IF(OR($G3966="FCC",$G3966="Hydrocracker",$G3966="Reformer"),IF(COUNTIFS($D:$D,$D3966,$A:$A,$A3966,$B:$B,$B3966,$G:$G,"CDU",$J:$J,"PLANNED")&gt;0,"tied","standalone"),"")</f>
        <v>standalone</v>
      </c>
    </row>
    <row r="3967" spans="1:14">
      <c r="A3967" s="6">
        <v>2024</v>
      </c>
      <c r="B3967" s="6">
        <v>6</v>
      </c>
      <c r="C3967" s="6" t="s">
        <v>65</v>
      </c>
      <c r="D3967" s="6" t="s">
        <v>507</v>
      </c>
      <c r="E3967" s="6" t="s">
        <v>438</v>
      </c>
      <c r="F3967" s="6" t="str">
        <f>IF($M3967="PADD I","PADD 1",IF($M3967="PADD II","PADD 2",IF($M3967="PADD III","PADD 3",IF($M3967="PADD IV","PADD 4",IF($M3967="PADD V","PADD 5","")))))</f>
        <v>PADD 5</v>
      </c>
      <c r="G3967" s="6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6" t="s">
        <v>471</v>
      </c>
      <c r="I3967" s="6" t="s">
        <v>609</v>
      </c>
      <c r="J3967" s="6" t="s">
        <v>394</v>
      </c>
      <c r="K3967" s="10">
        <v>1.4</v>
      </c>
      <c r="L3967" s="10">
        <v>20</v>
      </c>
      <c r="M3967" s="6" t="s">
        <v>436</v>
      </c>
      <c r="N3967" s="6" t="str">
        <f>IF(OR($G3967="FCC",$G3967="Hydrocracker",$G3967="Reformer"),IF(COUNTIFS($D:$D,$D3967,$A:$A,$A3967,$B:$B,$B3967,$G:$G,"CDU",$J:$J,"PLANNED")&gt;0,"tied","standalone"),"")</f>
        <v>standalone</v>
      </c>
    </row>
    <row r="3968" spans="1:14">
      <c r="A3968" s="6">
        <v>2024</v>
      </c>
      <c r="B3968" s="6">
        <v>6</v>
      </c>
      <c r="C3968" s="6" t="s">
        <v>65</v>
      </c>
      <c r="D3968" s="6" t="s">
        <v>49</v>
      </c>
      <c r="E3968" s="6" t="s">
        <v>438</v>
      </c>
      <c r="F3968" s="6" t="str">
        <f>IF($M3968="PADD I","PADD 1",IF($M3968="PADD II","PADD 2",IF($M3968="PADD III","PADD 3",IF($M3968="PADD IV","PADD 4",IF($M3968="PADD V","PADD 5","")))))</f>
        <v>PADD 2</v>
      </c>
      <c r="G3968" s="6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6" t="s">
        <v>485</v>
      </c>
      <c r="I3968" s="6" t="s">
        <v>681</v>
      </c>
      <c r="J3968" s="6" t="s">
        <v>394</v>
      </c>
      <c r="K3968" s="10">
        <v>1.05</v>
      </c>
      <c r="L3968" s="10">
        <v>15</v>
      </c>
      <c r="M3968" s="6" t="s">
        <v>425</v>
      </c>
      <c r="N3968" s="6">
        <f>IF(OR($G3968="FCC",$G3968="Hydrocracker",$G3968="Reformer"),IF(COUNTIFS($D:$D,$D3968,$A:$A,$A3968,$B:$B,$B3968,$G:$G,"CDU",$J:$J,"PLANNED")&gt;0,"tied","standalone"),"")</f>
        <v/>
      </c>
    </row>
    <row r="3969" spans="1:14">
      <c r="A3969" s="6">
        <v>2024</v>
      </c>
      <c r="B3969" s="6">
        <v>6</v>
      </c>
      <c r="C3969" s="6" t="s">
        <v>65</v>
      </c>
      <c r="D3969" s="6" t="s">
        <v>49</v>
      </c>
      <c r="E3969" s="6" t="s">
        <v>438</v>
      </c>
      <c r="F3969" s="6" t="str">
        <f>IF($M3969="PADD I","PADD 1",IF($M3969="PADD II","PADD 2",IF($M3969="PADD III","PADD 3",IF($M3969="PADD IV","PADD 4",IF($M3969="PADD V","PADD 5","")))))</f>
        <v>PADD 2</v>
      </c>
      <c r="G3969" s="6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6" t="s">
        <v>485</v>
      </c>
      <c r="I3969" s="6" t="s">
        <v>681</v>
      </c>
      <c r="J3969" s="6" t="s">
        <v>394</v>
      </c>
      <c r="K3969" s="10">
        <v>1.05</v>
      </c>
      <c r="L3969" s="10">
        <v>15</v>
      </c>
      <c r="M3969" s="6" t="s">
        <v>425</v>
      </c>
      <c r="N3969" s="6">
        <f>IF(OR($G3969="FCC",$G3969="Hydrocracker",$G3969="Reformer"),IF(COUNTIFS($D:$D,$D3969,$A:$A,$A3969,$B:$B,$B3969,$G:$G,"CDU",$J:$J,"PLANNED")&gt;0,"tied","standalone"),"")</f>
        <v/>
      </c>
    </row>
    <row r="3970" spans="1:14">
      <c r="A3970" s="6">
        <v>2024</v>
      </c>
      <c r="B3970" s="6">
        <v>6</v>
      </c>
      <c r="C3970" s="6" t="s">
        <v>65</v>
      </c>
      <c r="D3970" s="6" t="s">
        <v>550</v>
      </c>
      <c r="E3970" s="6" t="s">
        <v>438</v>
      </c>
      <c r="F3970" s="6" t="str">
        <f>IF($M3970="PADD I","PADD 1",IF($M3970="PADD II","PADD 2",IF($M3970="PADD III","PADD 3",IF($M3970="PADD IV","PADD 4",IF($M3970="PADD V","PADD 5","")))))</f>
        <v>PADD 2</v>
      </c>
      <c r="G3970" s="6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6" t="s">
        <v>44</v>
      </c>
      <c r="I3970" s="6" t="s">
        <v>551</v>
      </c>
      <c r="J3970" s="6" t="s">
        <v>394</v>
      </c>
      <c r="K3970" s="10">
        <v>0.915</v>
      </c>
      <c r="L3970" s="10">
        <v>30.5</v>
      </c>
      <c r="M3970" s="6" t="s">
        <v>425</v>
      </c>
      <c r="N3970" s="6">
        <f>IF(OR($G3970="FCC",$G3970="Hydrocracker",$G3970="Reformer"),IF(COUNTIFS($D:$D,$D3970,$A:$A,$A3970,$B:$B,$B3970,$G:$G,"CDU",$J:$J,"PLANNED")&gt;0,"tied","standalone"),"")</f>
        <v/>
      </c>
    </row>
    <row r="3971" spans="1:14">
      <c r="A3971" s="6">
        <v>2024</v>
      </c>
      <c r="B3971" s="6">
        <v>6</v>
      </c>
      <c r="C3971" s="6" t="s">
        <v>65</v>
      </c>
      <c r="D3971" s="6" t="s">
        <v>937</v>
      </c>
      <c r="E3971" s="6" t="s">
        <v>455</v>
      </c>
      <c r="F3971" s="6" t="str">
        <f>IF($M3971="PADD I","PADD 1",IF($M3971="PADD II","PADD 2",IF($M3971="PADD III","PADD 3",IF($M3971="PADD IV","PADD 4",IF($M3971="PADD V","PADD 5","")))))</f>
        <v>PADD 3</v>
      </c>
      <c r="G3971" s="6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6" t="s">
        <v>471</v>
      </c>
      <c r="I3971" s="6" t="s">
        <v>589</v>
      </c>
      <c r="J3971" s="6" t="s">
        <v>394</v>
      </c>
      <c r="K3971" s="10">
        <v>0.6899999999999999</v>
      </c>
      <c r="L3971" s="10">
        <v>23</v>
      </c>
      <c r="M3971" s="6" t="s">
        <v>421</v>
      </c>
      <c r="N3971" s="6" t="str">
        <f>IF(OR($G3971="FCC",$G3971="Hydrocracker",$G3971="Reformer"),IF(COUNTIFS($D:$D,$D3971,$A:$A,$A3971,$B:$B,$B3971,$G:$G,"CDU",$J:$J,"PLANNED")&gt;0,"tied","standalone"),"")</f>
        <v>standalone</v>
      </c>
    </row>
    <row r="3972" spans="1:14">
      <c r="A3972" s="6">
        <v>2024</v>
      </c>
      <c r="B3972" s="6">
        <v>6</v>
      </c>
      <c r="C3972" s="6" t="s">
        <v>65</v>
      </c>
      <c r="D3972" s="6" t="s">
        <v>49</v>
      </c>
      <c r="E3972" s="6" t="s">
        <v>438</v>
      </c>
      <c r="F3972" s="6" t="str">
        <f>IF($M3972="PADD I","PADD 1",IF($M3972="PADD II","PADD 2",IF($M3972="PADD III","PADD 3",IF($M3972="PADD IV","PADD 4",IF($M3972="PADD V","PADD 5","")))))</f>
        <v>PADD 2</v>
      </c>
      <c r="G3972" s="6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6" t="s">
        <v>485</v>
      </c>
      <c r="I3972" s="6" t="s">
        <v>804</v>
      </c>
      <c r="J3972" s="6" t="s">
        <v>394</v>
      </c>
      <c r="K3972" s="10">
        <v>0.555</v>
      </c>
      <c r="L3972" s="10">
        <v>18.5</v>
      </c>
      <c r="M3972" s="6" t="s">
        <v>425</v>
      </c>
      <c r="N3972" s="6">
        <f>IF(OR($G3972="FCC",$G3972="Hydrocracker",$G3972="Reformer"),IF(COUNTIFS($D:$D,$D3972,$A:$A,$A3972,$B:$B,$B3972,$G:$G,"CDU",$J:$J,"PLANNED")&gt;0,"tied","standalone"),"")</f>
        <v/>
      </c>
    </row>
    <row r="3973" spans="1:14">
      <c r="A3973" s="6">
        <v>2024</v>
      </c>
      <c r="B3973" s="6">
        <v>6</v>
      </c>
      <c r="C3973" s="6" t="s">
        <v>65</v>
      </c>
      <c r="D3973" s="6" t="s">
        <v>518</v>
      </c>
      <c r="E3973" s="6" t="s">
        <v>419</v>
      </c>
      <c r="F3973" s="6" t="str">
        <f>IF($M3973="PADD I","PADD 1",IF($M3973="PADD II","PADD 2",IF($M3973="PADD III","PADD 3",IF($M3973="PADD IV","PADD 4",IF($M3973="PADD V","PADD 5","")))))</f>
        <v>PADD 3</v>
      </c>
      <c r="G3973" s="6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6" t="s">
        <v>471</v>
      </c>
      <c r="I3973" s="6" t="s">
        <v>685</v>
      </c>
      <c r="J3973" s="6" t="s">
        <v>394</v>
      </c>
      <c r="K3973" s="10">
        <v>0.49</v>
      </c>
      <c r="L3973" s="10">
        <v>7</v>
      </c>
      <c r="M3973" s="6" t="s">
        <v>421</v>
      </c>
      <c r="N3973" s="6" t="str">
        <f>IF(OR($G3973="FCC",$G3973="Hydrocracker",$G3973="Reformer"),IF(COUNTIFS($D:$D,$D3973,$A:$A,$A3973,$B:$B,$B3973,$G:$G,"CDU",$J:$J,"PLANNED")&gt;0,"tied","standalone"),"")</f>
        <v>standalone</v>
      </c>
    </row>
    <row r="3974" spans="1:14">
      <c r="A3974" s="6">
        <v>2024</v>
      </c>
      <c r="B3974" s="6">
        <v>6</v>
      </c>
      <c r="C3974" s="6" t="s">
        <v>65</v>
      </c>
      <c r="D3974" s="6" t="s">
        <v>849</v>
      </c>
      <c r="E3974" s="6" t="s">
        <v>441</v>
      </c>
      <c r="F3974" s="6" t="str">
        <f>IF($M3974="PADD I","PADD 1",IF($M3974="PADD II","PADD 2",IF($M3974="PADD III","PADD 3",IF($M3974="PADD IV","PADD 4",IF($M3974="PADD V","PADD 5","")))))</f>
        <v>PADD 4</v>
      </c>
      <c r="G3974" s="6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6" t="s">
        <v>510</v>
      </c>
      <c r="I3974" s="6" t="s">
        <v>958</v>
      </c>
      <c r="J3974" s="6" t="s">
        <v>394</v>
      </c>
      <c r="K3974" s="10">
        <v>0.168</v>
      </c>
      <c r="L3974" s="10">
        <v>5.6</v>
      </c>
      <c r="M3974" s="6" t="s">
        <v>480</v>
      </c>
      <c r="N3974" s="6">
        <f>IF(OR($G3974="FCC",$G3974="Hydrocracker",$G3974="Reformer"),IF(COUNTIFS($D:$D,$D3974,$A:$A,$A3974,$B:$B,$B3974,$G:$G,"CDU",$J:$J,"PLANNED")&gt;0,"tied","standalone"),"")</f>
        <v/>
      </c>
    </row>
    <row r="3975" spans="1:14">
      <c r="A3975" s="6">
        <v>2024</v>
      </c>
      <c r="B3975" s="6">
        <v>7</v>
      </c>
      <c r="C3975" s="6" t="s">
        <v>66</v>
      </c>
      <c r="D3975" s="6" t="s">
        <v>370</v>
      </c>
      <c r="E3975" s="6" t="s">
        <v>431</v>
      </c>
      <c r="F3975" s="6" t="str">
        <f>IF($M3975="PADD I","PADD 1",IF($M3975="PADD II","PADD 2",IF($M3975="PADD III","PADD 3",IF($M3975="PADD IV","PADD 4",IF($M3975="PADD V","PADD 5","")))))</f>
        <v>PADD 2</v>
      </c>
      <c r="G3975" s="6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6" t="s">
        <v>39</v>
      </c>
      <c r="I3975" s="6" t="s">
        <v>82</v>
      </c>
      <c r="J3975" s="6" t="s">
        <v>394</v>
      </c>
      <c r="K3975" s="10">
        <v>137.5</v>
      </c>
      <c r="L3975" s="10">
        <v>250</v>
      </c>
      <c r="M3975" s="6" t="s">
        <v>425</v>
      </c>
      <c r="N3975" s="6">
        <f>IF(OR($G3975="FCC",$G3975="Hydrocracker",$G3975="Reformer"),IF(COUNTIFS($D:$D,$D3975,$A:$A,$A3975,$B:$B,$B3975,$G:$G,"CDU",$J:$J,"PLANNED")&gt;0,"tied","standalone"),"")</f>
        <v/>
      </c>
    </row>
    <row r="3976" spans="1:14">
      <c r="A3976" s="6">
        <v>2024</v>
      </c>
      <c r="B3976" s="6">
        <v>7</v>
      </c>
      <c r="C3976" s="6" t="s">
        <v>66</v>
      </c>
      <c r="D3976" s="6" t="s">
        <v>382</v>
      </c>
      <c r="E3976" s="6" t="s">
        <v>431</v>
      </c>
      <c r="F3976" s="6" t="str">
        <f>IF($M3976="PADD I","PADD 1",IF($M3976="PADD II","PADD 2",IF($M3976="PADD III","PADD 3",IF($M3976="PADD IV","PADD 4",IF($M3976="PADD V","PADD 5","")))))</f>
        <v>PADD 3</v>
      </c>
      <c r="G3976" s="6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6" t="s">
        <v>39</v>
      </c>
      <c r="I3976" s="6" t="s">
        <v>700</v>
      </c>
      <c r="J3976" s="6" t="s">
        <v>398</v>
      </c>
      <c r="K3976" s="10">
        <v>133.2</v>
      </c>
      <c r="L3976" s="10">
        <v>180</v>
      </c>
      <c r="M3976" s="6" t="s">
        <v>421</v>
      </c>
      <c r="N3976" s="6">
        <f>IF(OR($G3976="FCC",$G3976="Hydrocracker",$G3976="Reformer"),IF(COUNTIFS($D:$D,$D3976,$A:$A,$A3976,$B:$B,$B3976,$G:$G,"CDU",$J:$J,"PLANNED")&gt;0,"tied","standalone"),"")</f>
        <v/>
      </c>
    </row>
    <row r="3977" spans="1:14">
      <c r="A3977" s="6">
        <v>2024</v>
      </c>
      <c r="B3977" s="6">
        <v>7</v>
      </c>
      <c r="C3977" s="6" t="s">
        <v>66</v>
      </c>
      <c r="D3977" s="6" t="s">
        <v>437</v>
      </c>
      <c r="E3977" s="6" t="s">
        <v>438</v>
      </c>
      <c r="F3977" s="6" t="str">
        <f>IF($M3977="PADD I","PADD 1",IF($M3977="PADD II","PADD 2",IF($M3977="PADD III","PADD 3",IF($M3977="PADD IV","PADD 4",IF($M3977="PADD V","PADD 5","")))))</f>
        <v>PADD 3</v>
      </c>
      <c r="G3977" s="6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6" t="s">
        <v>426</v>
      </c>
      <c r="I3977" s="6" t="s">
        <v>522</v>
      </c>
      <c r="J3977" s="6" t="s">
        <v>394</v>
      </c>
      <c r="K3977" s="10">
        <v>107.8</v>
      </c>
      <c r="L3977" s="10">
        <v>140</v>
      </c>
      <c r="M3977" s="6" t="s">
        <v>421</v>
      </c>
      <c r="N3977" s="6" t="str">
        <f>IF(OR($G3977="FCC",$G3977="Hydrocracker",$G3977="Reformer"),IF(COUNTIFS($D:$D,$D3977,$A:$A,$A3977,$B:$B,$B3977,$G:$G,"CDU",$J:$J,"PLANNED")&gt;0,"tied","standalone"),"")</f>
        <v>standalone</v>
      </c>
    </row>
    <row r="3978" spans="1:14">
      <c r="A3978" s="6">
        <v>2024</v>
      </c>
      <c r="B3978" s="6">
        <v>7</v>
      </c>
      <c r="C3978" s="6" t="s">
        <v>66</v>
      </c>
      <c r="D3978" s="6" t="s">
        <v>382</v>
      </c>
      <c r="E3978" s="6" t="s">
        <v>431</v>
      </c>
      <c r="F3978" s="6" t="str">
        <f>IF($M3978="PADD I","PADD 1",IF($M3978="PADD II","PADD 2",IF($M3978="PADD III","PADD 3",IF($M3978="PADD IV","PADD 4",IF($M3978="PADD V","PADD 5","")))))</f>
        <v>PADD 3</v>
      </c>
      <c r="G3978" s="6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6" t="s">
        <v>428</v>
      </c>
      <c r="I3978" s="6" t="s">
        <v>969</v>
      </c>
      <c r="J3978" s="6" t="s">
        <v>394</v>
      </c>
      <c r="K3978" s="10">
        <v>78.54000000000001</v>
      </c>
      <c r="L3978" s="10">
        <v>102</v>
      </c>
      <c r="M3978" s="6" t="s">
        <v>421</v>
      </c>
      <c r="N3978" s="6">
        <f>IF(OR($G3978="FCC",$G3978="Hydrocracker",$G3978="Reformer"),IF(COUNTIFS($D:$D,$D3978,$A:$A,$A3978,$B:$B,$B3978,$G:$G,"CDU",$J:$J,"PLANNED")&gt;0,"tied","standalone"),"")</f>
        <v/>
      </c>
    </row>
    <row r="3979" spans="1:14">
      <c r="A3979" s="6">
        <v>2024</v>
      </c>
      <c r="B3979" s="6">
        <v>7</v>
      </c>
      <c r="C3979" s="6" t="s">
        <v>66</v>
      </c>
      <c r="D3979" s="6" t="s">
        <v>1093</v>
      </c>
      <c r="E3979" s="6" t="s">
        <v>438</v>
      </c>
      <c r="F3979" s="6" t="str">
        <f>IF($M3979="PADD I","PADD 1",IF($M3979="PADD II","PADD 2",IF($M3979="PADD III","PADD 3",IF($M3979="PADD IV","PADD 4",IF($M3979="PADD V","PADD 5","")))))</f>
        <v>PADD 2</v>
      </c>
      <c r="G3979" s="6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6" t="s">
        <v>39</v>
      </c>
      <c r="I3979" s="6" t="s">
        <v>929</v>
      </c>
      <c r="J3979" s="6" t="s">
        <v>398</v>
      </c>
      <c r="K3979" s="10">
        <v>76</v>
      </c>
      <c r="L3979" s="10">
        <v>76</v>
      </c>
      <c r="M3979" s="6" t="s">
        <v>425</v>
      </c>
      <c r="N3979" s="6">
        <f>IF(OR($G3979="FCC",$G3979="Hydrocracker",$G3979="Reformer"),IF(COUNTIFS($D:$D,$D3979,$A:$A,$A3979,$B:$B,$B3979,$G:$G,"CDU",$J:$J,"PLANNED")&gt;0,"tied","standalone"),"")</f>
        <v/>
      </c>
    </row>
    <row r="3980" spans="1:14">
      <c r="A3980" s="6">
        <v>2024</v>
      </c>
      <c r="B3980" s="6">
        <v>7</v>
      </c>
      <c r="C3980" s="6" t="s">
        <v>66</v>
      </c>
      <c r="D3980" s="6" t="s">
        <v>437</v>
      </c>
      <c r="E3980" s="6" t="s">
        <v>438</v>
      </c>
      <c r="F3980" s="6" t="str">
        <f>IF($M3980="PADD I","PADD 1",IF($M3980="PADD II","PADD 2",IF($M3980="PADD III","PADD 3",IF($M3980="PADD IV","PADD 4",IF($M3980="PADD V","PADD 5","")))))</f>
        <v>PADD 3</v>
      </c>
      <c r="G3980" s="6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6" t="s">
        <v>39</v>
      </c>
      <c r="I3980" s="6" t="s">
        <v>1262</v>
      </c>
      <c r="J3980" s="6" t="s">
        <v>394</v>
      </c>
      <c r="K3980" s="10">
        <v>72.8</v>
      </c>
      <c r="L3980" s="10">
        <v>280</v>
      </c>
      <c r="M3980" s="6" t="s">
        <v>421</v>
      </c>
      <c r="N3980" s="6">
        <f>IF(OR($G3980="FCC",$G3980="Hydrocracker",$G3980="Reformer"),IF(COUNTIFS($D:$D,$D3980,$A:$A,$A3980,$B:$B,$B3980,$G:$G,"CDU",$J:$J,"PLANNED")&gt;0,"tied","standalone"),"")</f>
        <v/>
      </c>
    </row>
    <row r="3981" spans="1:14">
      <c r="A3981" s="6">
        <v>2024</v>
      </c>
      <c r="B3981" s="6">
        <v>7</v>
      </c>
      <c r="C3981" s="6" t="s">
        <v>66</v>
      </c>
      <c r="D3981" s="6" t="s">
        <v>370</v>
      </c>
      <c r="E3981" s="6" t="s">
        <v>431</v>
      </c>
      <c r="F3981" s="6" t="str">
        <f>IF($M3981="PADD I","PADD 1",IF($M3981="PADD II","PADD 2",IF($M3981="PADD III","PADD 3",IF($M3981="PADD IV","PADD 4",IF($M3981="PADD V","PADD 5","")))))</f>
        <v>PADD 2</v>
      </c>
      <c r="G3981" s="6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6" t="s">
        <v>428</v>
      </c>
      <c r="I3981" s="6" t="s">
        <v>481</v>
      </c>
      <c r="J3981" s="6" t="s">
        <v>394</v>
      </c>
      <c r="K3981" s="10">
        <v>69.84999999999999</v>
      </c>
      <c r="L3981" s="10">
        <v>127</v>
      </c>
      <c r="M3981" s="6" t="s">
        <v>425</v>
      </c>
      <c r="N3981" s="6">
        <f>IF(OR($G3981="FCC",$G3981="Hydrocracker",$G3981="Reformer"),IF(COUNTIFS($D:$D,$D3981,$A:$A,$A3981,$B:$B,$B3981,$G:$G,"CDU",$J:$J,"PLANNED")&gt;0,"tied","standalone"),"")</f>
        <v/>
      </c>
    </row>
    <row r="3982" spans="1:14">
      <c r="A3982" s="6">
        <v>2024</v>
      </c>
      <c r="B3982" s="6">
        <v>7</v>
      </c>
      <c r="C3982" s="6" t="s">
        <v>66</v>
      </c>
      <c r="D3982" s="6" t="s">
        <v>370</v>
      </c>
      <c r="E3982" s="6" t="s">
        <v>431</v>
      </c>
      <c r="F3982" s="6" t="str">
        <f>IF($M3982="PADD I","PADD 1",IF($M3982="PADD II","PADD 2",IF($M3982="PADD III","PADD 3",IF($M3982="PADD IV","PADD 4",IF($M3982="PADD V","PADD 5","")))))</f>
        <v>PADD 2</v>
      </c>
      <c r="G3982" s="6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6" t="s">
        <v>426</v>
      </c>
      <c r="I3982" s="6" t="s">
        <v>106</v>
      </c>
      <c r="J3982" s="6" t="s">
        <v>394</v>
      </c>
      <c r="K3982" s="10">
        <v>53.9</v>
      </c>
      <c r="L3982" s="10">
        <v>98</v>
      </c>
      <c r="M3982" s="6" t="s">
        <v>425</v>
      </c>
      <c r="N3982" s="6" t="str">
        <f>IF(OR($G3982="FCC",$G3982="Hydrocracker",$G3982="Reformer"),IF(COUNTIFS($D:$D,$D3982,$A:$A,$A3982,$B:$B,$B3982,$G:$G,"CDU",$J:$J,"PLANNED")&gt;0,"tied","standalone"),"")</f>
        <v>standalone</v>
      </c>
    </row>
    <row r="3983" spans="1:14">
      <c r="A3983" s="6">
        <v>2024</v>
      </c>
      <c r="B3983" s="6">
        <v>7</v>
      </c>
      <c r="C3983" s="6" t="s">
        <v>66</v>
      </c>
      <c r="D3983" s="6" t="s">
        <v>370</v>
      </c>
      <c r="E3983" s="6" t="s">
        <v>431</v>
      </c>
      <c r="F3983" s="6" t="str">
        <f>IF($M3983="PADD I","PADD 1",IF($M3983="PADD II","PADD 2",IF($M3983="PADD III","PADD 3",IF($M3983="PADD IV","PADD 4",IF($M3983="PADD V","PADD 5","")))))</f>
        <v>PADD 2</v>
      </c>
      <c r="G3983" s="6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6" t="s">
        <v>44</v>
      </c>
      <c r="I3983" s="6" t="s">
        <v>1214</v>
      </c>
      <c r="J3983" s="6" t="s">
        <v>394</v>
      </c>
      <c r="K3983" s="10">
        <v>49.5</v>
      </c>
      <c r="L3983" s="10">
        <v>90</v>
      </c>
      <c r="M3983" s="6" t="s">
        <v>425</v>
      </c>
      <c r="N3983" s="6">
        <f>IF(OR($G3983="FCC",$G3983="Hydrocracker",$G3983="Reformer"),IF(COUNTIFS($D:$D,$D3983,$A:$A,$A3983,$B:$B,$B3983,$G:$G,"CDU",$J:$J,"PLANNED")&gt;0,"tied","standalone"),"")</f>
        <v/>
      </c>
    </row>
    <row r="3984" spans="1:14">
      <c r="A3984" s="6">
        <v>2024</v>
      </c>
      <c r="B3984" s="6">
        <v>7</v>
      </c>
      <c r="C3984" s="6" t="s">
        <v>66</v>
      </c>
      <c r="D3984" s="6" t="s">
        <v>824</v>
      </c>
      <c r="E3984" s="6" t="s">
        <v>825</v>
      </c>
      <c r="F3984" s="6" t="str">
        <f>IF($M3984="PADD I","PADD 1",IF($M3984="PADD II","PADD 2",IF($M3984="PADD III","PADD 3",IF($M3984="PADD IV","PADD 4",IF($M3984="PADD V","PADD 5","")))))</f>
        <v>PADD 1</v>
      </c>
      <c r="G3984" s="6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6" t="s">
        <v>426</v>
      </c>
      <c r="I3984" s="6" t="s">
        <v>106</v>
      </c>
      <c r="J3984" s="6" t="s">
        <v>394</v>
      </c>
      <c r="K3984" s="10">
        <v>45</v>
      </c>
      <c r="L3984" s="10">
        <v>45</v>
      </c>
      <c r="M3984" s="6" t="s">
        <v>463</v>
      </c>
      <c r="N3984" s="6" t="str">
        <f>IF(OR($G3984="FCC",$G3984="Hydrocracker",$G3984="Reformer"),IF(COUNTIFS($D:$D,$D3984,$A:$A,$A3984,$B:$B,$B3984,$G:$G,"CDU",$J:$J,"PLANNED")&gt;0,"tied","standalone"),"")</f>
        <v>standalone</v>
      </c>
    </row>
    <row r="3985" spans="1:14">
      <c r="A3985" s="6">
        <v>2024</v>
      </c>
      <c r="B3985" s="6">
        <v>7</v>
      </c>
      <c r="C3985" s="6" t="s">
        <v>66</v>
      </c>
      <c r="D3985" s="6" t="s">
        <v>370</v>
      </c>
      <c r="E3985" s="6" t="s">
        <v>431</v>
      </c>
      <c r="F3985" s="6" t="str">
        <f>IF($M3985="PADD I","PADD 1",IF($M3985="PADD II","PADD 2",IF($M3985="PADD III","PADD 3",IF($M3985="PADD IV","PADD 4",IF($M3985="PADD V","PADD 5","")))))</f>
        <v>PADD 2</v>
      </c>
      <c r="G3985" s="6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6" t="s">
        <v>44</v>
      </c>
      <c r="I3985" s="6" t="s">
        <v>1215</v>
      </c>
      <c r="J3985" s="6" t="s">
        <v>394</v>
      </c>
      <c r="K3985" s="10">
        <v>44</v>
      </c>
      <c r="L3985" s="10">
        <v>80</v>
      </c>
      <c r="M3985" s="6" t="s">
        <v>425</v>
      </c>
      <c r="N3985" s="6">
        <f>IF(OR($G3985="FCC",$G3985="Hydrocracker",$G3985="Reformer"),IF(COUNTIFS($D:$D,$D3985,$A:$A,$A3985,$B:$B,$B3985,$G:$G,"CDU",$J:$J,"PLANNED")&gt;0,"tied","standalone"),"")</f>
        <v/>
      </c>
    </row>
    <row r="3986" spans="1:14">
      <c r="A3986" s="6">
        <v>2024</v>
      </c>
      <c r="B3986" s="6">
        <v>7</v>
      </c>
      <c r="C3986" s="6" t="s">
        <v>66</v>
      </c>
      <c r="D3986" s="6" t="s">
        <v>496</v>
      </c>
      <c r="E3986" s="6" t="s">
        <v>441</v>
      </c>
      <c r="F3986" s="6" t="str">
        <f>IF($M3986="PADD I","PADD 1",IF($M3986="PADD II","PADD 2",IF($M3986="PADD III","PADD 3",IF($M3986="PADD IV","PADD 4",IF($M3986="PADD V","PADD 5","")))))</f>
        <v>PADD 3</v>
      </c>
      <c r="G3986" s="6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6" t="s">
        <v>44</v>
      </c>
      <c r="I3986" s="6" t="s">
        <v>497</v>
      </c>
      <c r="J3986" s="6" t="s">
        <v>398</v>
      </c>
      <c r="K3986" s="10">
        <v>35</v>
      </c>
      <c r="L3986" s="10">
        <v>35</v>
      </c>
      <c r="M3986" s="6" t="s">
        <v>421</v>
      </c>
      <c r="N3986" s="6">
        <f>IF(OR($G3986="FCC",$G3986="Hydrocracker",$G3986="Reformer"),IF(COUNTIFS($D:$D,$D3986,$A:$A,$A3986,$B:$B,$B3986,$G:$G,"CDU",$J:$J,"PLANNED")&gt;0,"tied","standalone"),"")</f>
        <v/>
      </c>
    </row>
    <row r="3987" spans="1:14">
      <c r="A3987" s="6">
        <v>2024</v>
      </c>
      <c r="B3987" s="6">
        <v>7</v>
      </c>
      <c r="C3987" s="6" t="s">
        <v>66</v>
      </c>
      <c r="D3987" s="6" t="s">
        <v>498</v>
      </c>
      <c r="E3987" s="6" t="s">
        <v>441</v>
      </c>
      <c r="F3987" s="6" t="str">
        <f>IF($M3987="PADD I","PADD 1",IF($M3987="PADD II","PADD 2",IF($M3987="PADD III","PADD 3",IF($M3987="PADD IV","PADD 4",IF($M3987="PADD V","PADD 5","")))))</f>
        <v>PADD 3</v>
      </c>
      <c r="G3987" s="6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6" t="s">
        <v>44</v>
      </c>
      <c r="I3987" s="6" t="s">
        <v>499</v>
      </c>
      <c r="J3987" s="6" t="s">
        <v>394</v>
      </c>
      <c r="K3987" s="10">
        <v>35</v>
      </c>
      <c r="L3987" s="10">
        <v>35</v>
      </c>
      <c r="M3987" s="6" t="s">
        <v>421</v>
      </c>
      <c r="N3987" s="6">
        <f>IF(OR($G3987="FCC",$G3987="Hydrocracker",$G3987="Reformer"),IF(COUNTIFS($D:$D,$D3987,$A:$A,$A3987,$B:$B,$B3987,$G:$G,"CDU",$J:$J,"PLANNED")&gt;0,"tied","standalone"),"")</f>
        <v/>
      </c>
    </row>
    <row r="3988" spans="1:14">
      <c r="A3988" s="6">
        <v>2024</v>
      </c>
      <c r="B3988" s="6">
        <v>7</v>
      </c>
      <c r="C3988" s="6" t="s">
        <v>66</v>
      </c>
      <c r="D3988" s="6" t="s">
        <v>437</v>
      </c>
      <c r="E3988" s="6" t="s">
        <v>438</v>
      </c>
      <c r="F3988" s="6" t="str">
        <f>IF($M3988="PADD I","PADD 1",IF($M3988="PADD II","PADD 2",IF($M3988="PADD III","PADD 3",IF($M3988="PADD IV","PADD 4",IF($M3988="PADD V","PADD 5","")))))</f>
        <v>PADD 3</v>
      </c>
      <c r="G3988" s="6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6" t="s">
        <v>494</v>
      </c>
      <c r="I3988" s="6" t="s">
        <v>526</v>
      </c>
      <c r="J3988" s="6" t="s">
        <v>394</v>
      </c>
      <c r="K3988" s="10">
        <v>33.6</v>
      </c>
      <c r="L3988" s="10">
        <v>70</v>
      </c>
      <c r="M3988" s="6" t="s">
        <v>421</v>
      </c>
      <c r="N3988" s="6" t="str">
        <f>IF(OR($G3988="FCC",$G3988="Hydrocracker",$G3988="Reformer"),IF(COUNTIFS($D:$D,$D3988,$A:$A,$A3988,$B:$B,$B3988,$G:$G,"CDU",$J:$J,"PLANNED")&gt;0,"tied","standalone"),"")</f>
        <v>standalone</v>
      </c>
    </row>
    <row r="3989" spans="1:14">
      <c r="A3989" s="6">
        <v>2024</v>
      </c>
      <c r="B3989" s="6">
        <v>7</v>
      </c>
      <c r="C3989" s="6" t="s">
        <v>66</v>
      </c>
      <c r="D3989" s="6" t="s">
        <v>437</v>
      </c>
      <c r="E3989" s="6" t="s">
        <v>438</v>
      </c>
      <c r="F3989" s="6" t="str">
        <f>IF($M3989="PADD I","PADD 1",IF($M3989="PADD II","PADD 2",IF($M3989="PADD III","PADD 3",IF($M3989="PADD IV","PADD 4",IF($M3989="PADD V","PADD 5","")))))</f>
        <v>PADD 3</v>
      </c>
      <c r="G3989" s="6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6" t="s">
        <v>428</v>
      </c>
      <c r="I3989" s="6" t="s">
        <v>492</v>
      </c>
      <c r="J3989" s="6" t="s">
        <v>394</v>
      </c>
      <c r="K3989" s="10">
        <v>33.28</v>
      </c>
      <c r="L3989" s="10">
        <v>128</v>
      </c>
      <c r="M3989" s="6" t="s">
        <v>421</v>
      </c>
      <c r="N3989" s="6">
        <f>IF(OR($G3989="FCC",$G3989="Hydrocracker",$G3989="Reformer"),IF(COUNTIFS($D:$D,$D3989,$A:$A,$A3989,$B:$B,$B3989,$G:$G,"CDU",$J:$J,"PLANNED")&gt;0,"tied","standalone"),"")</f>
        <v/>
      </c>
    </row>
    <row r="3990" spans="1:14">
      <c r="A3990" s="6">
        <v>2024</v>
      </c>
      <c r="B3990" s="6">
        <v>7</v>
      </c>
      <c r="C3990" s="6" t="s">
        <v>66</v>
      </c>
      <c r="D3990" s="6" t="s">
        <v>370</v>
      </c>
      <c r="E3990" s="6" t="s">
        <v>431</v>
      </c>
      <c r="F3990" s="6" t="str">
        <f>IF($M3990="PADD I","PADD 1",IF($M3990="PADD II","PADD 2",IF($M3990="PADD III","PADD 3",IF($M3990="PADD IV","PADD 4",IF($M3990="PADD V","PADD 5","")))))</f>
        <v>PADD 2</v>
      </c>
      <c r="G3990" s="6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6" t="s">
        <v>485</v>
      </c>
      <c r="I3990" s="6" t="s">
        <v>491</v>
      </c>
      <c r="J3990" s="6" t="s">
        <v>394</v>
      </c>
      <c r="K3990" s="10">
        <v>30.8</v>
      </c>
      <c r="L3990" s="10">
        <v>56</v>
      </c>
      <c r="M3990" s="6" t="s">
        <v>425</v>
      </c>
      <c r="N3990" s="6">
        <f>IF(OR($G3990="FCC",$G3990="Hydrocracker",$G3990="Reformer"),IF(COUNTIFS($D:$D,$D3990,$A:$A,$A3990,$B:$B,$B3990,$G:$G,"CDU",$J:$J,"PLANNED")&gt;0,"tied","standalone"),"")</f>
        <v/>
      </c>
    </row>
    <row r="3991" spans="1:14">
      <c r="A3991" s="6">
        <v>2024</v>
      </c>
      <c r="B3991" s="6">
        <v>7</v>
      </c>
      <c r="C3991" s="6" t="s">
        <v>66</v>
      </c>
      <c r="D3991" s="6" t="s">
        <v>496</v>
      </c>
      <c r="E3991" s="6" t="s">
        <v>441</v>
      </c>
      <c r="F3991" s="6" t="str">
        <f>IF($M3991="PADD I","PADD 1",IF($M3991="PADD II","PADD 2",IF($M3991="PADD III","PADD 3",IF($M3991="PADD IV","PADD 4",IF($M3991="PADD V","PADD 5","")))))</f>
        <v>PADD 3</v>
      </c>
      <c r="G3991" s="6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6" t="s">
        <v>39</v>
      </c>
      <c r="I3991" s="6" t="s">
        <v>82</v>
      </c>
      <c r="J3991" s="6" t="s">
        <v>398</v>
      </c>
      <c r="K3991" s="10">
        <v>29</v>
      </c>
      <c r="L3991" s="10">
        <v>100</v>
      </c>
      <c r="M3991" s="6" t="s">
        <v>421</v>
      </c>
      <c r="N3991" s="6">
        <f>IF(OR($G3991="FCC",$G3991="Hydrocracker",$G3991="Reformer"),IF(COUNTIFS($D:$D,$D3991,$A:$A,$A3991,$B:$B,$B3991,$G:$G,"CDU",$J:$J,"PLANNED")&gt;0,"tied","standalone"),"")</f>
        <v/>
      </c>
    </row>
    <row r="3992" spans="1:14">
      <c r="A3992" s="6">
        <v>2024</v>
      </c>
      <c r="B3992" s="6">
        <v>7</v>
      </c>
      <c r="C3992" s="6" t="s">
        <v>66</v>
      </c>
      <c r="D3992" s="6" t="s">
        <v>370</v>
      </c>
      <c r="E3992" s="6" t="s">
        <v>431</v>
      </c>
      <c r="F3992" s="6" t="str">
        <f>IF($M3992="PADD I","PADD 1",IF($M3992="PADD II","PADD 2",IF($M3992="PADD III","PADD 3",IF($M3992="PADD IV","PADD 4",IF($M3992="PADD V","PADD 5","")))))</f>
        <v>PADD 2</v>
      </c>
      <c r="G3992" s="6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6" t="s">
        <v>44</v>
      </c>
      <c r="I3992" s="6" t="s">
        <v>794</v>
      </c>
      <c r="J3992" s="6" t="s">
        <v>394</v>
      </c>
      <c r="K3992" s="10">
        <v>27.5</v>
      </c>
      <c r="L3992" s="10">
        <v>50</v>
      </c>
      <c r="M3992" s="6" t="s">
        <v>425</v>
      </c>
      <c r="N3992" s="6">
        <f>IF(OR($G3992="FCC",$G3992="Hydrocracker",$G3992="Reformer"),IF(COUNTIFS($D:$D,$D3992,$A:$A,$A3992,$B:$B,$B3992,$G:$G,"CDU",$J:$J,"PLANNED")&gt;0,"tied","standalone"),"")</f>
        <v/>
      </c>
    </row>
    <row r="3993" spans="1:14">
      <c r="A3993" s="6">
        <v>2024</v>
      </c>
      <c r="B3993" s="6">
        <v>7</v>
      </c>
      <c r="C3993" s="6" t="s">
        <v>66</v>
      </c>
      <c r="D3993" s="6" t="s">
        <v>370</v>
      </c>
      <c r="E3993" s="6" t="s">
        <v>431</v>
      </c>
      <c r="F3993" s="6" t="str">
        <f>IF($M3993="PADD I","PADD 1",IF($M3993="PADD II","PADD 2",IF($M3993="PADD III","PADD 3",IF($M3993="PADD IV","PADD 4",IF($M3993="PADD V","PADD 5","")))))</f>
        <v>PADD 2</v>
      </c>
      <c r="G3993" s="6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6" t="s">
        <v>471</v>
      </c>
      <c r="I3993" s="6" t="s">
        <v>240</v>
      </c>
      <c r="J3993" s="6" t="s">
        <v>394</v>
      </c>
      <c r="K3993" s="10">
        <v>27.5</v>
      </c>
      <c r="L3993" s="10">
        <v>50</v>
      </c>
      <c r="M3993" s="6" t="s">
        <v>425</v>
      </c>
      <c r="N3993" s="6" t="str">
        <f>IF(OR($G3993="FCC",$G3993="Hydrocracker",$G3993="Reformer"),IF(COUNTIFS($D:$D,$D3993,$A:$A,$A3993,$B:$B,$B3993,$G:$G,"CDU",$J:$J,"PLANNED")&gt;0,"tied","standalone"),"")</f>
        <v>standalone</v>
      </c>
    </row>
    <row r="3994" spans="1:14">
      <c r="A3994" s="6">
        <v>2024</v>
      </c>
      <c r="B3994" s="6">
        <v>7</v>
      </c>
      <c r="C3994" s="6" t="s">
        <v>66</v>
      </c>
      <c r="D3994" s="6" t="s">
        <v>1093</v>
      </c>
      <c r="E3994" s="6" t="s">
        <v>438</v>
      </c>
      <c r="F3994" s="6" t="str">
        <f>IF($M3994="PADD I","PADD 1",IF($M3994="PADD II","PADD 2",IF($M3994="PADD III","PADD 3",IF($M3994="PADD IV","PADD 4",IF($M3994="PADD V","PADD 5","")))))</f>
        <v>PADD 2</v>
      </c>
      <c r="G3994" s="6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6" t="s">
        <v>426</v>
      </c>
      <c r="I3994" s="6" t="s">
        <v>106</v>
      </c>
      <c r="J3994" s="6" t="s">
        <v>398</v>
      </c>
      <c r="K3994" s="10">
        <v>26</v>
      </c>
      <c r="L3994" s="10">
        <v>26</v>
      </c>
      <c r="M3994" s="6" t="s">
        <v>425</v>
      </c>
      <c r="N3994" s="6" t="str">
        <f>IF(OR($G3994="FCC",$G3994="Hydrocracker",$G3994="Reformer"),IF(COUNTIFS($D:$D,$D3994,$A:$A,$A3994,$B:$B,$B3994,$G:$G,"CDU",$J:$J,"PLANNED")&gt;0,"tied","standalone"),"")</f>
        <v>tied</v>
      </c>
    </row>
    <row r="3995" spans="1:14">
      <c r="A3995" s="6">
        <v>2024</v>
      </c>
      <c r="B3995" s="6">
        <v>7</v>
      </c>
      <c r="C3995" s="6" t="s">
        <v>66</v>
      </c>
      <c r="D3995" s="6" t="s">
        <v>496</v>
      </c>
      <c r="E3995" s="6" t="s">
        <v>441</v>
      </c>
      <c r="F3995" s="6" t="str">
        <f>IF($M3995="PADD I","PADD 1",IF($M3995="PADD II","PADD 2",IF($M3995="PADD III","PADD 3",IF($M3995="PADD IV","PADD 4",IF($M3995="PADD V","PADD 5","")))))</f>
        <v>PADD 3</v>
      </c>
      <c r="G3995" s="6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6" t="s">
        <v>39</v>
      </c>
      <c r="I3995" s="6" t="s">
        <v>82</v>
      </c>
      <c r="J3995" s="6" t="s">
        <v>394</v>
      </c>
      <c r="K3995" s="10">
        <v>26</v>
      </c>
      <c r="L3995" s="10">
        <v>100</v>
      </c>
      <c r="M3995" s="6" t="s">
        <v>421</v>
      </c>
      <c r="N3995" s="6">
        <f>IF(OR($G3995="FCC",$G3995="Hydrocracker",$G3995="Reformer"),IF(COUNTIFS($D:$D,$D3995,$A:$A,$A3995,$B:$B,$B3995,$G:$G,"CDU",$J:$J,"PLANNED")&gt;0,"tied","standalone"),"")</f>
        <v/>
      </c>
    </row>
    <row r="3996" spans="1:14">
      <c r="A3996" s="6">
        <v>2024</v>
      </c>
      <c r="B3996" s="6">
        <v>7</v>
      </c>
      <c r="C3996" s="6" t="s">
        <v>66</v>
      </c>
      <c r="D3996" s="6" t="s">
        <v>1093</v>
      </c>
      <c r="E3996" s="6" t="s">
        <v>438</v>
      </c>
      <c r="F3996" s="6" t="str">
        <f>IF($M3996="PADD I","PADD 1",IF($M3996="PADD II","PADD 2",IF($M3996="PADD III","PADD 3",IF($M3996="PADD IV","PADD 4",IF($M3996="PADD V","PADD 5","")))))</f>
        <v>PADD 2</v>
      </c>
      <c r="G3996" s="6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6" t="s">
        <v>44</v>
      </c>
      <c r="I3996" s="6" t="s">
        <v>1101</v>
      </c>
      <c r="J3996" s="6" t="s">
        <v>398</v>
      </c>
      <c r="K3996" s="10">
        <v>25.4</v>
      </c>
      <c r="L3996" s="10">
        <v>25.4</v>
      </c>
      <c r="M3996" s="6" t="s">
        <v>425</v>
      </c>
      <c r="N3996" s="6">
        <f>IF(OR($G3996="FCC",$G3996="Hydrocracker",$G3996="Reformer"),IF(COUNTIFS($D:$D,$D3996,$A:$A,$A3996,$B:$B,$B3996,$G:$G,"CDU",$J:$J,"PLANNED")&gt;0,"tied","standalone"),"")</f>
        <v/>
      </c>
    </row>
    <row r="3997" spans="1:14">
      <c r="A3997" s="6">
        <v>2024</v>
      </c>
      <c r="B3997" s="6">
        <v>7</v>
      </c>
      <c r="C3997" s="6" t="s">
        <v>66</v>
      </c>
      <c r="D3997" s="6" t="s">
        <v>1093</v>
      </c>
      <c r="E3997" s="6" t="s">
        <v>438</v>
      </c>
      <c r="F3997" s="6" t="str">
        <f>IF($M3997="PADD I","PADD 1",IF($M3997="PADD II","PADD 2",IF($M3997="PADD III","PADD 3",IF($M3997="PADD IV","PADD 4",IF($M3997="PADD V","PADD 5","")))))</f>
        <v>PADD 2</v>
      </c>
      <c r="G3997" s="6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6" t="s">
        <v>44</v>
      </c>
      <c r="I3997" s="6" t="s">
        <v>1102</v>
      </c>
      <c r="J3997" s="6" t="s">
        <v>398</v>
      </c>
      <c r="K3997" s="10">
        <v>24.2</v>
      </c>
      <c r="L3997" s="10">
        <v>24.2</v>
      </c>
      <c r="M3997" s="6" t="s">
        <v>425</v>
      </c>
      <c r="N3997" s="6">
        <f>IF(OR($G3997="FCC",$G3997="Hydrocracker",$G3997="Reformer"),IF(COUNTIFS($D:$D,$D3997,$A:$A,$A3997,$B:$B,$B3997,$G:$G,"CDU",$J:$J,"PLANNED")&gt;0,"tied","standalone"),"")</f>
        <v/>
      </c>
    </row>
    <row r="3998" spans="1:14">
      <c r="A3998" s="6">
        <v>2024</v>
      </c>
      <c r="B3998" s="6">
        <v>7</v>
      </c>
      <c r="C3998" s="6" t="s">
        <v>66</v>
      </c>
      <c r="D3998" s="6" t="s">
        <v>382</v>
      </c>
      <c r="E3998" s="6" t="s">
        <v>431</v>
      </c>
      <c r="F3998" s="6" t="str">
        <f>IF($M3998="PADD I","PADD 1",IF($M3998="PADD II","PADD 2",IF($M3998="PADD III","PADD 3",IF($M3998="PADD IV","PADD 4",IF($M3998="PADD V","PADD 5","")))))</f>
        <v>PADD 3</v>
      </c>
      <c r="G3998" s="6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6" t="s">
        <v>485</v>
      </c>
      <c r="I3998" s="6" t="s">
        <v>491</v>
      </c>
      <c r="J3998" s="6" t="s">
        <v>398</v>
      </c>
      <c r="K3998" s="10">
        <v>23.1</v>
      </c>
      <c r="L3998" s="10">
        <v>30</v>
      </c>
      <c r="M3998" s="6" t="s">
        <v>421</v>
      </c>
      <c r="N3998" s="6">
        <f>IF(OR($G3998="FCC",$G3998="Hydrocracker",$G3998="Reformer"),IF(COUNTIFS($D:$D,$D3998,$A:$A,$A3998,$B:$B,$B3998,$G:$G,"CDU",$J:$J,"PLANNED")&gt;0,"tied","standalone"),"")</f>
        <v/>
      </c>
    </row>
    <row r="3999" spans="1:14">
      <c r="A3999" s="6">
        <v>2024</v>
      </c>
      <c r="B3999" s="6">
        <v>7</v>
      </c>
      <c r="C3999" s="6" t="s">
        <v>66</v>
      </c>
      <c r="D3999" s="6" t="s">
        <v>540</v>
      </c>
      <c r="E3999" s="6" t="s">
        <v>541</v>
      </c>
      <c r="F3999" s="6" t="str">
        <f>IF($M3999="PADD I","PADD 1",IF($M3999="PADD II","PADD 2",IF($M3999="PADD III","PADD 3",IF($M3999="PADD IV","PADD 4",IF($M3999="PADD V","PADD 5","")))))</f>
        <v>PADD 3</v>
      </c>
      <c r="G3999" s="6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6" t="s">
        <v>426</v>
      </c>
      <c r="I3999" s="6" t="s">
        <v>522</v>
      </c>
      <c r="J3999" s="6" t="s">
        <v>394</v>
      </c>
      <c r="K3999" s="10">
        <v>21.06</v>
      </c>
      <c r="L3999" s="10">
        <v>81</v>
      </c>
      <c r="M3999" s="6" t="s">
        <v>421</v>
      </c>
      <c r="N3999" s="6" t="str">
        <f>IF(OR($G3999="FCC",$G3999="Hydrocracker",$G3999="Reformer"),IF(COUNTIFS($D:$D,$D3999,$A:$A,$A3999,$B:$B,$B3999,$G:$G,"CDU",$J:$J,"PLANNED")&gt;0,"tied","standalone"),"")</f>
        <v>standalone</v>
      </c>
    </row>
    <row r="4000" spans="1:14">
      <c r="A4000" s="6">
        <v>2024</v>
      </c>
      <c r="B4000" s="6">
        <v>7</v>
      </c>
      <c r="C4000" s="6" t="s">
        <v>66</v>
      </c>
      <c r="D4000" s="6" t="s">
        <v>422</v>
      </c>
      <c r="E4000" s="6" t="s">
        <v>423</v>
      </c>
      <c r="F4000" s="6" t="str">
        <f>IF($M4000="PADD I","PADD 1",IF($M4000="PADD II","PADD 2",IF($M4000="PADD III","PADD 3",IF($M4000="PADD IV","PADD 4",IF($M4000="PADD V","PADD 5","")))))</f>
        <v>PADD 2</v>
      </c>
      <c r="G4000" s="6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6" t="s">
        <v>39</v>
      </c>
      <c r="I4000" s="6" t="s">
        <v>464</v>
      </c>
      <c r="J4000" s="6" t="s">
        <v>394</v>
      </c>
      <c r="K4000" s="10">
        <v>19.2</v>
      </c>
      <c r="L4000" s="10">
        <v>40</v>
      </c>
      <c r="M4000" s="6" t="s">
        <v>425</v>
      </c>
      <c r="N4000" s="6">
        <f>IF(OR($G4000="FCC",$G4000="Hydrocracker",$G4000="Reformer"),IF(COUNTIFS($D:$D,$D4000,$A:$A,$A4000,$B:$B,$B4000,$G:$G,"CDU",$J:$J,"PLANNED")&gt;0,"tied","standalone"),"")</f>
        <v/>
      </c>
    </row>
    <row r="4001" spans="1:14">
      <c r="A4001" s="6">
        <v>2024</v>
      </c>
      <c r="B4001" s="6">
        <v>7</v>
      </c>
      <c r="C4001" s="6" t="s">
        <v>66</v>
      </c>
      <c r="D4001" s="6" t="s">
        <v>662</v>
      </c>
      <c r="E4001" s="6" t="s">
        <v>466</v>
      </c>
      <c r="F4001" s="6" t="str">
        <f>IF($M4001="PADD I","PADD 1",IF($M4001="PADD II","PADD 2",IF($M4001="PADD III","PADD 3",IF($M4001="PADD IV","PADD 4",IF($M4001="PADD V","PADD 5","")))))</f>
        <v>PADD 3</v>
      </c>
      <c r="G4001" s="6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6" t="s">
        <v>39</v>
      </c>
      <c r="I4001" s="6" t="s">
        <v>82</v>
      </c>
      <c r="J4001" s="6" t="s">
        <v>394</v>
      </c>
      <c r="K4001" s="10">
        <v>18.2</v>
      </c>
      <c r="L4001" s="10">
        <v>140</v>
      </c>
      <c r="M4001" s="6" t="s">
        <v>421</v>
      </c>
      <c r="N4001" s="6">
        <f>IF(OR($G4001="FCC",$G4001="Hydrocracker",$G4001="Reformer"),IF(COUNTIFS($D:$D,$D4001,$A:$A,$A4001,$B:$B,$B4001,$G:$G,"CDU",$J:$J,"PLANNED")&gt;0,"tied","standalone"),"")</f>
        <v/>
      </c>
    </row>
    <row r="4002" spans="1:14">
      <c r="A4002" s="6">
        <v>2024</v>
      </c>
      <c r="B4002" s="6">
        <v>7</v>
      </c>
      <c r="C4002" s="6" t="s">
        <v>66</v>
      </c>
      <c r="D4002" s="6" t="s">
        <v>496</v>
      </c>
      <c r="E4002" s="6" t="s">
        <v>441</v>
      </c>
      <c r="F4002" s="6" t="str">
        <f>IF($M4002="PADD I","PADD 1",IF($M4002="PADD II","PADD 2",IF($M4002="PADD III","PADD 3",IF($M4002="PADD IV","PADD 4",IF($M4002="PADD V","PADD 5","")))))</f>
        <v>PADD 3</v>
      </c>
      <c r="G4002" s="6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6" t="s">
        <v>428</v>
      </c>
      <c r="I4002" s="6" t="s">
        <v>1091</v>
      </c>
      <c r="J4002" s="6" t="s">
        <v>394</v>
      </c>
      <c r="K4002" s="10">
        <v>17.22</v>
      </c>
      <c r="L4002" s="10">
        <v>41</v>
      </c>
      <c r="M4002" s="6" t="s">
        <v>421</v>
      </c>
      <c r="N4002" s="6">
        <f>IF(OR($G4002="FCC",$G4002="Hydrocracker",$G4002="Reformer"),IF(COUNTIFS($D:$D,$D4002,$A:$A,$A4002,$B:$B,$B4002,$G:$G,"CDU",$J:$J,"PLANNED")&gt;0,"tied","standalone"),"")</f>
        <v/>
      </c>
    </row>
    <row r="4003" spans="1:14">
      <c r="A4003" s="6">
        <v>2024</v>
      </c>
      <c r="B4003" s="6">
        <v>7</v>
      </c>
      <c r="C4003" s="6" t="s">
        <v>66</v>
      </c>
      <c r="D4003" s="6" t="s">
        <v>597</v>
      </c>
      <c r="E4003" s="6" t="s">
        <v>441</v>
      </c>
      <c r="F4003" s="6" t="str">
        <f>IF($M4003="PADD I","PADD 1",IF($M4003="PADD II","PADD 2",IF($M4003="PADD III","PADD 3",IF($M4003="PADD IV","PADD 4",IF($M4003="PADD V","PADD 5","")))))</f>
        <v>PADD 5</v>
      </c>
      <c r="G4003" s="6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6" t="s">
        <v>426</v>
      </c>
      <c r="I4003" s="6" t="s">
        <v>106</v>
      </c>
      <c r="J4003" s="6" t="s">
        <v>398</v>
      </c>
      <c r="K4003" s="10">
        <v>15.2</v>
      </c>
      <c r="L4003" s="10">
        <v>80</v>
      </c>
      <c r="M4003" s="6" t="s">
        <v>436</v>
      </c>
      <c r="N4003" s="6" t="str">
        <f>IF(OR($G4003="FCC",$G4003="Hydrocracker",$G4003="Reformer"),IF(COUNTIFS($D:$D,$D4003,$A:$A,$A4003,$B:$B,$B4003,$G:$G,"CDU",$J:$J,"PLANNED")&gt;0,"tied","standalone"),"")</f>
        <v>standalone</v>
      </c>
    </row>
    <row r="4004" spans="1:14">
      <c r="A4004" s="6">
        <v>2024</v>
      </c>
      <c r="B4004" s="6">
        <v>7</v>
      </c>
      <c r="C4004" s="6" t="s">
        <v>66</v>
      </c>
      <c r="D4004" s="6" t="s">
        <v>1093</v>
      </c>
      <c r="E4004" s="6" t="s">
        <v>438</v>
      </c>
      <c r="F4004" s="6" t="str">
        <f>IF($M4004="PADD I","PADD 1",IF($M4004="PADD II","PADD 2",IF($M4004="PADD III","PADD 3",IF($M4004="PADD IV","PADD 4",IF($M4004="PADD V","PADD 5","")))))</f>
        <v>PADD 2</v>
      </c>
      <c r="G4004" s="6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6" t="s">
        <v>44</v>
      </c>
      <c r="I4004" s="6" t="s">
        <v>1106</v>
      </c>
      <c r="J4004" s="6" t="s">
        <v>398</v>
      </c>
      <c r="K4004" s="10">
        <v>15</v>
      </c>
      <c r="L4004" s="10">
        <v>15</v>
      </c>
      <c r="M4004" s="6" t="s">
        <v>425</v>
      </c>
      <c r="N4004" s="6">
        <f>IF(OR($G4004="FCC",$G4004="Hydrocracker",$G4004="Reformer"),IF(COUNTIFS($D:$D,$D4004,$A:$A,$A4004,$B:$B,$B4004,$G:$G,"CDU",$J:$J,"PLANNED")&gt;0,"tied","standalone"),"")</f>
        <v/>
      </c>
    </row>
    <row r="4005" spans="1:14">
      <c r="A4005" s="6">
        <v>2024</v>
      </c>
      <c r="B4005" s="6">
        <v>7</v>
      </c>
      <c r="C4005" s="6" t="s">
        <v>66</v>
      </c>
      <c r="D4005" s="6" t="s">
        <v>901</v>
      </c>
      <c r="E4005" s="6" t="s">
        <v>902</v>
      </c>
      <c r="F4005" s="6" t="str">
        <f>IF($M4005="PADD I","PADD 1",IF($M4005="PADD II","PADD 2",IF($M4005="PADD III","PADD 3",IF($M4005="PADD IV","PADD 4",IF($M4005="PADD V","PADD 5","")))))</f>
        <v>PADD 3</v>
      </c>
      <c r="G4005" s="6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6" t="s">
        <v>39</v>
      </c>
      <c r="I4005" s="6" t="s">
        <v>904</v>
      </c>
      <c r="J4005" s="6" t="s">
        <v>394</v>
      </c>
      <c r="K4005" s="10">
        <v>14.95</v>
      </c>
      <c r="L4005" s="10">
        <v>65</v>
      </c>
      <c r="M4005" s="6" t="s">
        <v>421</v>
      </c>
      <c r="N4005" s="6">
        <f>IF(OR($G4005="FCC",$G4005="Hydrocracker",$G4005="Reformer"),IF(COUNTIFS($D:$D,$D4005,$A:$A,$A4005,$B:$B,$B4005,$G:$G,"CDU",$J:$J,"PLANNED")&gt;0,"tied","standalone"),"")</f>
        <v/>
      </c>
    </row>
    <row r="4006" spans="1:14">
      <c r="A4006" s="6">
        <v>2024</v>
      </c>
      <c r="B4006" s="6">
        <v>7</v>
      </c>
      <c r="C4006" s="6" t="s">
        <v>66</v>
      </c>
      <c r="D4006" s="6" t="s">
        <v>901</v>
      </c>
      <c r="E4006" s="6" t="s">
        <v>902</v>
      </c>
      <c r="F4006" s="6" t="str">
        <f>IF($M4006="PADD I","PADD 1",IF($M4006="PADD II","PADD 2",IF($M4006="PADD III","PADD 3",IF($M4006="PADD IV","PADD 4",IF($M4006="PADD V","PADD 5","")))))</f>
        <v>PADD 3</v>
      </c>
      <c r="G4006" s="6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6" t="s">
        <v>39</v>
      </c>
      <c r="I4006" s="6" t="s">
        <v>903</v>
      </c>
      <c r="J4006" s="6" t="s">
        <v>394</v>
      </c>
      <c r="K4006" s="10">
        <v>14.95</v>
      </c>
      <c r="L4006" s="10">
        <v>65</v>
      </c>
      <c r="M4006" s="6" t="s">
        <v>421</v>
      </c>
      <c r="N4006" s="6">
        <f>IF(OR($G4006="FCC",$G4006="Hydrocracker",$G4006="Reformer"),IF(COUNTIFS($D:$D,$D4006,$A:$A,$A4006,$B:$B,$B4006,$G:$G,"CDU",$J:$J,"PLANNED")&gt;0,"tied","standalone"),"")</f>
        <v/>
      </c>
    </row>
    <row r="4007" spans="1:14">
      <c r="A4007" s="6">
        <v>2024</v>
      </c>
      <c r="B4007" s="6">
        <v>7</v>
      </c>
      <c r="C4007" s="6" t="s">
        <v>66</v>
      </c>
      <c r="D4007" s="6" t="s">
        <v>437</v>
      </c>
      <c r="E4007" s="6" t="s">
        <v>438</v>
      </c>
      <c r="F4007" s="6" t="str">
        <f>IF($M4007="PADD I","PADD 1",IF($M4007="PADD II","PADD 2",IF($M4007="PADD III","PADD 3",IF($M4007="PADD IV","PADD 4",IF($M4007="PADD V","PADD 5","")))))</f>
        <v>PADD 3</v>
      </c>
      <c r="G4007" s="6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6" t="s">
        <v>471</v>
      </c>
      <c r="I4007" s="6" t="s">
        <v>493</v>
      </c>
      <c r="J4007" s="6" t="s">
        <v>394</v>
      </c>
      <c r="K4007" s="10">
        <v>14.725</v>
      </c>
      <c r="L4007" s="10">
        <v>77.5</v>
      </c>
      <c r="M4007" s="6" t="s">
        <v>421</v>
      </c>
      <c r="N4007" s="6" t="str">
        <f>IF(OR($G4007="FCC",$G4007="Hydrocracker",$G4007="Reformer"),IF(COUNTIFS($D:$D,$D4007,$A:$A,$A4007,$B:$B,$B4007,$G:$G,"CDU",$J:$J,"PLANNED")&gt;0,"tied","standalone"),"")</f>
        <v>standalone</v>
      </c>
    </row>
    <row r="4008" spans="1:14">
      <c r="A4008" s="6">
        <v>2024</v>
      </c>
      <c r="B4008" s="6">
        <v>7</v>
      </c>
      <c r="C4008" s="6" t="s">
        <v>66</v>
      </c>
      <c r="D4008" s="6" t="s">
        <v>430</v>
      </c>
      <c r="E4008" s="6" t="s">
        <v>431</v>
      </c>
      <c r="F4008" s="6" t="str">
        <f>IF($M4008="PADD I","PADD 1",IF($M4008="PADD II","PADD 2",IF($M4008="PADD III","PADD 3",IF($M4008="PADD IV","PADD 4",IF($M4008="PADD V","PADD 5","")))))</f>
        <v>PADD 3</v>
      </c>
      <c r="G4008" s="6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6" t="s">
        <v>39</v>
      </c>
      <c r="I4008" s="6" t="s">
        <v>1028</v>
      </c>
      <c r="J4008" s="6" t="s">
        <v>394</v>
      </c>
      <c r="K4008" s="10">
        <v>14.4</v>
      </c>
      <c r="L4008" s="10">
        <v>90</v>
      </c>
      <c r="M4008" s="6" t="s">
        <v>421</v>
      </c>
      <c r="N4008" s="6">
        <f>IF(OR($G4008="FCC",$G4008="Hydrocracker",$G4008="Reformer"),IF(COUNTIFS($D:$D,$D4008,$A:$A,$A4008,$B:$B,$B4008,$G:$G,"CDU",$J:$J,"PLANNED")&gt;0,"tied","standalone"),"")</f>
        <v/>
      </c>
    </row>
    <row r="4009" spans="1:14">
      <c r="A4009" s="6">
        <v>2024</v>
      </c>
      <c r="B4009" s="6">
        <v>7</v>
      </c>
      <c r="C4009" s="6" t="s">
        <v>66</v>
      </c>
      <c r="D4009" s="6" t="s">
        <v>437</v>
      </c>
      <c r="E4009" s="6" t="s">
        <v>438</v>
      </c>
      <c r="F4009" s="6" t="str">
        <f>IF($M4009="PADD I","PADD 1",IF($M4009="PADD II","PADD 2",IF($M4009="PADD III","PADD 3",IF($M4009="PADD IV","PADD 4",IF($M4009="PADD V","PADD 5","")))))</f>
        <v>PADD 3</v>
      </c>
      <c r="G4009" s="6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6" t="s">
        <v>44</v>
      </c>
      <c r="I4009" s="6" t="s">
        <v>1263</v>
      </c>
      <c r="J4009" s="6" t="s">
        <v>394</v>
      </c>
      <c r="K4009" s="10">
        <v>14.26</v>
      </c>
      <c r="L4009" s="10">
        <v>62</v>
      </c>
      <c r="M4009" s="6" t="s">
        <v>421</v>
      </c>
      <c r="N4009" s="6">
        <f>IF(OR($G4009="FCC",$G4009="Hydrocracker",$G4009="Reformer"),IF(COUNTIFS($D:$D,$D4009,$A:$A,$A4009,$B:$B,$B4009,$G:$G,"CDU",$J:$J,"PLANNED")&gt;0,"tied","standalone"),"")</f>
        <v/>
      </c>
    </row>
    <row r="4010" spans="1:14">
      <c r="A4010" s="6">
        <v>2024</v>
      </c>
      <c r="B4010" s="6">
        <v>7</v>
      </c>
      <c r="C4010" s="6" t="s">
        <v>66</v>
      </c>
      <c r="D4010" s="6" t="s">
        <v>370</v>
      </c>
      <c r="E4010" s="6" t="s">
        <v>431</v>
      </c>
      <c r="F4010" s="6" t="str">
        <f>IF($M4010="PADD I","PADD 1",IF($M4010="PADD II","PADD 2",IF($M4010="PADD III","PADD 3",IF($M4010="PADD IV","PADD 4",IF($M4010="PADD V","PADD 5","")))))</f>
        <v>PADD 2</v>
      </c>
      <c r="G4010" s="6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6" t="s">
        <v>44</v>
      </c>
      <c r="I4010" s="6" t="s">
        <v>1220</v>
      </c>
      <c r="J4010" s="6" t="s">
        <v>394</v>
      </c>
      <c r="K4010" s="10">
        <v>13.75</v>
      </c>
      <c r="L4010" s="10">
        <v>25</v>
      </c>
      <c r="M4010" s="6" t="s">
        <v>425</v>
      </c>
      <c r="N4010" s="6">
        <f>IF(OR($G4010="FCC",$G4010="Hydrocracker",$G4010="Reformer"),IF(COUNTIFS($D:$D,$D4010,$A:$A,$A4010,$B:$B,$B4010,$G:$G,"CDU",$J:$J,"PLANNED")&gt;0,"tied","standalone"),"")</f>
        <v/>
      </c>
    </row>
    <row r="4011" spans="1:14">
      <c r="A4011" s="6">
        <v>2024</v>
      </c>
      <c r="B4011" s="6">
        <v>7</v>
      </c>
      <c r="C4011" s="6" t="s">
        <v>66</v>
      </c>
      <c r="D4011" s="6" t="s">
        <v>1093</v>
      </c>
      <c r="E4011" s="6" t="s">
        <v>438</v>
      </c>
      <c r="F4011" s="6" t="str">
        <f>IF($M4011="PADD I","PADD 1",IF($M4011="PADD II","PADD 2",IF($M4011="PADD III","PADD 3",IF($M4011="PADD IV","PADD 4",IF($M4011="PADD V","PADD 5","")))))</f>
        <v>PADD 2</v>
      </c>
      <c r="G4011" s="6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6" t="s">
        <v>44</v>
      </c>
      <c r="I4011" s="6" t="s">
        <v>1107</v>
      </c>
      <c r="J4011" s="6" t="s">
        <v>398</v>
      </c>
      <c r="K4011" s="10">
        <v>13.6</v>
      </c>
      <c r="L4011" s="10">
        <v>13.6</v>
      </c>
      <c r="M4011" s="6" t="s">
        <v>425</v>
      </c>
      <c r="N4011" s="6">
        <f>IF(OR($G4011="FCC",$G4011="Hydrocracker",$G4011="Reformer"),IF(COUNTIFS($D:$D,$D4011,$A:$A,$A4011,$B:$B,$B4011,$G:$G,"CDU",$J:$J,"PLANNED")&gt;0,"tied","standalone"),"")</f>
        <v/>
      </c>
    </row>
    <row r="4012" spans="1:14">
      <c r="A4012" s="6">
        <v>2024</v>
      </c>
      <c r="B4012" s="6">
        <v>7</v>
      </c>
      <c r="C4012" s="6" t="s">
        <v>66</v>
      </c>
      <c r="D4012" s="6" t="s">
        <v>1264</v>
      </c>
      <c r="E4012" s="6" t="s">
        <v>1265</v>
      </c>
      <c r="F4012" s="6" t="str">
        <f>IF($M4012="PADD I","PADD 1",IF($M4012="PADD II","PADD 2",IF($M4012="PADD III","PADD 3",IF($M4012="PADD IV","PADD 4",IF($M4012="PADD V","PADD 5","")))))</f>
        <v>PADD 1</v>
      </c>
      <c r="G4012" s="6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6" t="s">
        <v>428</v>
      </c>
      <c r="I4012" s="6" t="s">
        <v>481</v>
      </c>
      <c r="J4012" s="6" t="s">
        <v>398</v>
      </c>
      <c r="K4012" s="10">
        <v>13.5</v>
      </c>
      <c r="L4012" s="10">
        <v>30</v>
      </c>
      <c r="M4012" s="6" t="s">
        <v>463</v>
      </c>
      <c r="N4012" s="6">
        <f>IF(OR($G4012="FCC",$G4012="Hydrocracker",$G4012="Reformer"),IF(COUNTIFS($D:$D,$D4012,$A:$A,$A4012,$B:$B,$B4012,$G:$G,"CDU",$J:$J,"PLANNED")&gt;0,"tied","standalone"),"")</f>
        <v/>
      </c>
    </row>
    <row r="4013" spans="1:14">
      <c r="A4013" s="6">
        <v>2024</v>
      </c>
      <c r="B4013" s="6">
        <v>7</v>
      </c>
      <c r="C4013" s="6" t="s">
        <v>66</v>
      </c>
      <c r="D4013" s="6" t="s">
        <v>812</v>
      </c>
      <c r="E4013" s="6" t="s">
        <v>813</v>
      </c>
      <c r="F4013" s="6" t="str">
        <f>IF($M4013="PADD I","PADD 1",IF($M4013="PADD II","PADD 2",IF($M4013="PADD III","PADD 3",IF($M4013="PADD IV","PADD 4",IF($M4013="PADD V","PADD 5","")))))</f>
        <v>PADD 2</v>
      </c>
      <c r="G4013" s="6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6" t="s">
        <v>44</v>
      </c>
      <c r="I4013" s="6" t="s">
        <v>1105</v>
      </c>
      <c r="J4013" s="6" t="s">
        <v>394</v>
      </c>
      <c r="K4013" s="10">
        <v>13</v>
      </c>
      <c r="L4013" s="10">
        <v>13</v>
      </c>
      <c r="M4013" s="6" t="s">
        <v>425</v>
      </c>
      <c r="N4013" s="6">
        <f>IF(OR($G4013="FCC",$G4013="Hydrocracker",$G4013="Reformer"),IF(COUNTIFS($D:$D,$D4013,$A:$A,$A4013,$B:$B,$B4013,$G:$G,"CDU",$J:$J,"PLANNED")&gt;0,"tied","standalone"),"")</f>
        <v/>
      </c>
    </row>
    <row r="4014" spans="1:14">
      <c r="A4014" s="6">
        <v>2024</v>
      </c>
      <c r="B4014" s="6">
        <v>7</v>
      </c>
      <c r="C4014" s="6" t="s">
        <v>66</v>
      </c>
      <c r="D4014" s="6" t="s">
        <v>1093</v>
      </c>
      <c r="E4014" s="6" t="s">
        <v>438</v>
      </c>
      <c r="F4014" s="6" t="str">
        <f>IF($M4014="PADD I","PADD 1",IF($M4014="PADD II","PADD 2",IF($M4014="PADD III","PADD 3",IF($M4014="PADD IV","PADD 4",IF($M4014="PADD V","PADD 5","")))))</f>
        <v>PADD 2</v>
      </c>
      <c r="G4014" s="6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6" t="s">
        <v>471</v>
      </c>
      <c r="I4014" s="6" t="s">
        <v>966</v>
      </c>
      <c r="J4014" s="6" t="s">
        <v>398</v>
      </c>
      <c r="K4014" s="10">
        <v>13</v>
      </c>
      <c r="L4014" s="10">
        <v>13</v>
      </c>
      <c r="M4014" s="6" t="s">
        <v>425</v>
      </c>
      <c r="N4014" s="6" t="str">
        <f>IF(OR($G4014="FCC",$G4014="Hydrocracker",$G4014="Reformer"),IF(COUNTIFS($D:$D,$D4014,$A:$A,$A4014,$B:$B,$B4014,$G:$G,"CDU",$J:$J,"PLANNED")&gt;0,"tied","standalone"),"")</f>
        <v>tied</v>
      </c>
    </row>
    <row r="4015" spans="1:14">
      <c r="A4015" s="6">
        <v>2024</v>
      </c>
      <c r="B4015" s="6">
        <v>7</v>
      </c>
      <c r="C4015" s="6" t="s">
        <v>66</v>
      </c>
      <c r="D4015" s="6" t="s">
        <v>422</v>
      </c>
      <c r="E4015" s="6" t="s">
        <v>423</v>
      </c>
      <c r="F4015" s="6" t="str">
        <f>IF($M4015="PADD I","PADD 1",IF($M4015="PADD II","PADD 2",IF($M4015="PADD III","PADD 3",IF($M4015="PADD IV","PADD 4",IF($M4015="PADD V","PADD 5","")))))</f>
        <v>PADD 2</v>
      </c>
      <c r="G4015" s="6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6" t="s">
        <v>39</v>
      </c>
      <c r="I4015" s="6" t="s">
        <v>464</v>
      </c>
      <c r="J4015" s="6" t="s">
        <v>394</v>
      </c>
      <c r="K4015" s="10">
        <v>12.8</v>
      </c>
      <c r="L4015" s="10">
        <v>40</v>
      </c>
      <c r="M4015" s="6" t="s">
        <v>425</v>
      </c>
      <c r="N4015" s="6">
        <f>IF(OR($G4015="FCC",$G4015="Hydrocracker",$G4015="Reformer"),IF(COUNTIFS($D:$D,$D4015,$A:$A,$A4015,$B:$B,$B4015,$G:$G,"CDU",$J:$J,"PLANNED")&gt;0,"tied","standalone"),"")</f>
        <v/>
      </c>
    </row>
    <row r="4016" spans="1:14">
      <c r="A4016" s="6">
        <v>2024</v>
      </c>
      <c r="B4016" s="6">
        <v>7</v>
      </c>
      <c r="C4016" s="6" t="s">
        <v>66</v>
      </c>
      <c r="D4016" s="6" t="s">
        <v>430</v>
      </c>
      <c r="E4016" s="6" t="s">
        <v>431</v>
      </c>
      <c r="F4016" s="6" t="str">
        <f>IF($M4016="PADD I","PADD 1",IF($M4016="PADD II","PADD 2",IF($M4016="PADD III","PADD 3",IF($M4016="PADD IV","PADD 4",IF($M4016="PADD V","PADD 5","")))))</f>
        <v>PADD 3</v>
      </c>
      <c r="G4016" s="6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6" t="s">
        <v>426</v>
      </c>
      <c r="I4016" s="6" t="s">
        <v>900</v>
      </c>
      <c r="J4016" s="6" t="s">
        <v>394</v>
      </c>
      <c r="K4016" s="10">
        <v>12.64</v>
      </c>
      <c r="L4016" s="10">
        <v>79</v>
      </c>
      <c r="M4016" s="6" t="s">
        <v>421</v>
      </c>
      <c r="N4016" s="6" t="str">
        <f>IF(OR($G4016="FCC",$G4016="Hydrocracker",$G4016="Reformer"),IF(COUNTIFS($D:$D,$D4016,$A:$A,$A4016,$B:$B,$B4016,$G:$G,"CDU",$J:$J,"PLANNED")&gt;0,"tied","standalone"),"")</f>
        <v>standalone</v>
      </c>
    </row>
    <row r="4017" spans="1:14">
      <c r="A4017" s="6">
        <v>2024</v>
      </c>
      <c r="B4017" s="6">
        <v>7</v>
      </c>
      <c r="C4017" s="6" t="s">
        <v>66</v>
      </c>
      <c r="D4017" s="6" t="s">
        <v>576</v>
      </c>
      <c r="E4017" s="6" t="s">
        <v>455</v>
      </c>
      <c r="F4017" s="6" t="str">
        <f>IF($M4017="PADD I","PADD 1",IF($M4017="PADD II","PADD 2",IF($M4017="PADD III","PADD 3",IF($M4017="PADD IV","PADD 4",IF($M4017="PADD V","PADD 5","")))))</f>
        <v>PADD 3</v>
      </c>
      <c r="G4017" s="6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6" t="s">
        <v>39</v>
      </c>
      <c r="I4017" s="6" t="s">
        <v>399</v>
      </c>
      <c r="J4017" s="6" t="s">
        <v>394</v>
      </c>
      <c r="K4017" s="10">
        <v>12.6</v>
      </c>
      <c r="L4017" s="10">
        <v>210</v>
      </c>
      <c r="M4017" s="6" t="s">
        <v>421</v>
      </c>
      <c r="N4017" s="6">
        <f>IF(OR($G4017="FCC",$G4017="Hydrocracker",$G4017="Reformer"),IF(COUNTIFS($D:$D,$D4017,$A:$A,$A4017,$B:$B,$B4017,$G:$G,"CDU",$J:$J,"PLANNED")&gt;0,"tied","standalone"),"")</f>
        <v/>
      </c>
    </row>
    <row r="4018" spans="1:14">
      <c r="A4018" s="6">
        <v>2024</v>
      </c>
      <c r="B4018" s="6">
        <v>7</v>
      </c>
      <c r="C4018" s="6" t="s">
        <v>66</v>
      </c>
      <c r="D4018" s="6" t="s">
        <v>437</v>
      </c>
      <c r="E4018" s="6" t="s">
        <v>438</v>
      </c>
      <c r="F4018" s="6" t="str">
        <f>IF($M4018="PADD I","PADD 1",IF($M4018="PADD II","PADD 2",IF($M4018="PADD III","PADD 3",IF($M4018="PADD IV","PADD 4",IF($M4018="PADD V","PADD 5","")))))</f>
        <v>PADD 3</v>
      </c>
      <c r="G4018" s="6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6" t="s">
        <v>471</v>
      </c>
      <c r="I4018" s="6" t="s">
        <v>633</v>
      </c>
      <c r="J4018" s="6" t="s">
        <v>394</v>
      </c>
      <c r="K4018" s="10">
        <v>12.445</v>
      </c>
      <c r="L4018" s="10">
        <v>65.5</v>
      </c>
      <c r="M4018" s="6" t="s">
        <v>421</v>
      </c>
      <c r="N4018" s="6" t="str">
        <f>IF(OR($G4018="FCC",$G4018="Hydrocracker",$G4018="Reformer"),IF(COUNTIFS($D:$D,$D4018,$A:$A,$A4018,$B:$B,$B4018,$G:$G,"CDU",$J:$J,"PLANNED")&gt;0,"tied","standalone"),"")</f>
        <v>standalone</v>
      </c>
    </row>
    <row r="4019" spans="1:14">
      <c r="A4019" s="6">
        <v>2024</v>
      </c>
      <c r="B4019" s="6">
        <v>7</v>
      </c>
      <c r="C4019" s="6" t="s">
        <v>66</v>
      </c>
      <c r="D4019" s="6" t="s">
        <v>597</v>
      </c>
      <c r="E4019" s="6" t="s">
        <v>441</v>
      </c>
      <c r="F4019" s="6" t="str">
        <f>IF($M4019="PADD I","PADD 1",IF($M4019="PADD II","PADD 2",IF($M4019="PADD III","PADD 3",IF($M4019="PADD IV","PADD 4",IF($M4019="PADD V","PADD 5","")))))</f>
        <v>PADD 5</v>
      </c>
      <c r="G4019" s="6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6" t="s">
        <v>44</v>
      </c>
      <c r="I4019" s="6" t="s">
        <v>979</v>
      </c>
      <c r="J4019" s="6" t="s">
        <v>398</v>
      </c>
      <c r="K4019" s="10">
        <v>12.312</v>
      </c>
      <c r="L4019" s="10">
        <v>64.8</v>
      </c>
      <c r="M4019" s="6" t="s">
        <v>436</v>
      </c>
      <c r="N4019" s="6">
        <f>IF(OR($G4019="FCC",$G4019="Hydrocracker",$G4019="Reformer"),IF(COUNTIFS($D:$D,$D4019,$A:$A,$A4019,$B:$B,$B4019,$G:$G,"CDU",$J:$J,"PLANNED")&gt;0,"tied","standalone"),"")</f>
        <v/>
      </c>
    </row>
    <row r="4020" spans="1:14">
      <c r="A4020" s="6">
        <v>2024</v>
      </c>
      <c r="B4020" s="6">
        <v>7</v>
      </c>
      <c r="C4020" s="6" t="s">
        <v>66</v>
      </c>
      <c r="D4020" s="6" t="s">
        <v>52</v>
      </c>
      <c r="E4020" s="6" t="s">
        <v>441</v>
      </c>
      <c r="F4020" s="6" t="str">
        <f>IF($M4020="PADD I","PADD 1",IF($M4020="PADD II","PADD 2",IF($M4020="PADD III","PADD 3",IF($M4020="PADD IV","PADD 4",IF($M4020="PADD V","PADD 5","")))))</f>
        <v>PADD 5</v>
      </c>
      <c r="G4020" s="6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6" t="s">
        <v>44</v>
      </c>
      <c r="I4020" s="6" t="s">
        <v>909</v>
      </c>
      <c r="J4020" s="6" t="s">
        <v>394</v>
      </c>
      <c r="K4020" s="10">
        <v>12.25</v>
      </c>
      <c r="L4020" s="10">
        <v>35</v>
      </c>
      <c r="M4020" s="6" t="s">
        <v>436</v>
      </c>
      <c r="N4020" s="6">
        <f>IF(OR($G4020="FCC",$G4020="Hydrocracker",$G4020="Reformer"),IF(COUNTIFS($D:$D,$D4020,$A:$A,$A4020,$B:$B,$B4020,$G:$G,"CDU",$J:$J,"PLANNED")&gt;0,"tied","standalone"),"")</f>
        <v/>
      </c>
    </row>
    <row r="4021" spans="1:14">
      <c r="A4021" s="6">
        <v>2024</v>
      </c>
      <c r="B4021" s="6">
        <v>7</v>
      </c>
      <c r="C4021" s="6" t="s">
        <v>66</v>
      </c>
      <c r="D4021" s="6" t="s">
        <v>1264</v>
      </c>
      <c r="E4021" s="6" t="s">
        <v>1265</v>
      </c>
      <c r="F4021" s="6" t="str">
        <f>IF($M4021="PADD I","PADD 1",IF($M4021="PADD II","PADD 2",IF($M4021="PADD III","PADD 3",IF($M4021="PADD IV","PADD 4",IF($M4021="PADD V","PADD 5","")))))</f>
        <v>PADD 1</v>
      </c>
      <c r="G4021" s="6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6" t="s">
        <v>39</v>
      </c>
      <c r="I4021" s="6" t="s">
        <v>132</v>
      </c>
      <c r="J4021" s="6" t="s">
        <v>398</v>
      </c>
      <c r="K4021" s="10">
        <v>11.25</v>
      </c>
      <c r="L4021" s="10">
        <v>25</v>
      </c>
      <c r="M4021" s="6" t="s">
        <v>463</v>
      </c>
      <c r="N4021" s="6">
        <f>IF(OR($G4021="FCC",$G4021="Hydrocracker",$G4021="Reformer"),IF(COUNTIFS($D:$D,$D4021,$A:$A,$A4021,$B:$B,$B4021,$G:$G,"CDU",$J:$J,"PLANNED")&gt;0,"tied","standalone"),"")</f>
        <v/>
      </c>
    </row>
    <row r="4022" spans="1:14">
      <c r="A4022" s="6">
        <v>2024</v>
      </c>
      <c r="B4022" s="6">
        <v>7</v>
      </c>
      <c r="C4022" s="6" t="s">
        <v>66</v>
      </c>
      <c r="D4022" s="6" t="s">
        <v>437</v>
      </c>
      <c r="E4022" s="6" t="s">
        <v>438</v>
      </c>
      <c r="F4022" s="6" t="str">
        <f>IF($M4022="PADD I","PADD 1",IF($M4022="PADD II","PADD 2",IF($M4022="PADD III","PADD 3",IF($M4022="PADD IV","PADD 4",IF($M4022="PADD V","PADD 5","")))))</f>
        <v>PADD 3</v>
      </c>
      <c r="G4022" s="6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6" t="s">
        <v>44</v>
      </c>
      <c r="I4022" s="6" t="s">
        <v>1266</v>
      </c>
      <c r="J4022" s="6" t="s">
        <v>394</v>
      </c>
      <c r="K4022" s="10">
        <v>10.4</v>
      </c>
      <c r="L4022" s="10">
        <v>40</v>
      </c>
      <c r="M4022" s="6" t="s">
        <v>421</v>
      </c>
      <c r="N4022" s="6">
        <f>IF(OR($G4022="FCC",$G4022="Hydrocracker",$G4022="Reformer"),IF(COUNTIFS($D:$D,$D4022,$A:$A,$A4022,$B:$B,$B4022,$G:$G,"CDU",$J:$J,"PLANNED")&gt;0,"tied","standalone"),"")</f>
        <v/>
      </c>
    </row>
    <row r="4023" spans="1:14">
      <c r="A4023" s="6">
        <v>2024</v>
      </c>
      <c r="B4023" s="6">
        <v>7</v>
      </c>
      <c r="C4023" s="6" t="s">
        <v>66</v>
      </c>
      <c r="D4023" s="6" t="s">
        <v>496</v>
      </c>
      <c r="E4023" s="6" t="s">
        <v>441</v>
      </c>
      <c r="F4023" s="6" t="str">
        <f>IF($M4023="PADD I","PADD 1",IF($M4023="PADD II","PADD 2",IF($M4023="PADD III","PADD 3",IF($M4023="PADD IV","PADD 4",IF($M4023="PADD V","PADD 5","")))))</f>
        <v>PADD 3</v>
      </c>
      <c r="G4023" s="6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6" t="s">
        <v>471</v>
      </c>
      <c r="I4023" s="6" t="s">
        <v>533</v>
      </c>
      <c r="J4023" s="6" t="s">
        <v>394</v>
      </c>
      <c r="K4023" s="10">
        <v>10.35</v>
      </c>
      <c r="L4023" s="10">
        <v>23</v>
      </c>
      <c r="M4023" s="6" t="s">
        <v>421</v>
      </c>
      <c r="N4023" s="6" t="str">
        <f>IF(OR($G4023="FCC",$G4023="Hydrocracker",$G4023="Reformer"),IF(COUNTIFS($D:$D,$D4023,$A:$A,$A4023,$B:$B,$B4023,$G:$G,"CDU",$J:$J,"PLANNED")&gt;0,"tied","standalone"),"")</f>
        <v>tied</v>
      </c>
    </row>
    <row r="4024" spans="1:14">
      <c r="A4024" s="6">
        <v>2024</v>
      </c>
      <c r="B4024" s="6">
        <v>7</v>
      </c>
      <c r="C4024" s="6" t="s">
        <v>66</v>
      </c>
      <c r="D4024" s="6" t="s">
        <v>380</v>
      </c>
      <c r="E4024" s="6" t="s">
        <v>423</v>
      </c>
      <c r="F4024" s="6" t="str">
        <f>IF($M4024="PADD I","PADD 1",IF($M4024="PADD II","PADD 2",IF($M4024="PADD III","PADD 3",IF($M4024="PADD IV","PADD 4",IF($M4024="PADD V","PADD 5","")))))</f>
        <v>PADD 2</v>
      </c>
      <c r="G4024" s="6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6" t="s">
        <v>39</v>
      </c>
      <c r="I4024" s="6" t="s">
        <v>381</v>
      </c>
      <c r="J4024" s="6" t="s">
        <v>394</v>
      </c>
      <c r="K4024" s="10">
        <v>10.32</v>
      </c>
      <c r="L4024" s="10">
        <v>172</v>
      </c>
      <c r="M4024" s="6" t="s">
        <v>425</v>
      </c>
      <c r="N4024" s="6">
        <f>IF(OR($G4024="FCC",$G4024="Hydrocracker",$G4024="Reformer"),IF(COUNTIFS($D:$D,$D4024,$A:$A,$A4024,$B:$B,$B4024,$G:$G,"CDU",$J:$J,"PLANNED")&gt;0,"tied","standalone"),"")</f>
        <v/>
      </c>
    </row>
    <row r="4025" spans="1:14">
      <c r="A4025" s="6">
        <v>2024</v>
      </c>
      <c r="B4025" s="6">
        <v>7</v>
      </c>
      <c r="C4025" s="6" t="s">
        <v>66</v>
      </c>
      <c r="D4025" s="6" t="s">
        <v>383</v>
      </c>
      <c r="E4025" s="6" t="s">
        <v>602</v>
      </c>
      <c r="F4025" s="6" t="str">
        <f>IF($M4025="PADD I","PADD 1",IF($M4025="PADD II","PADD 2",IF($M4025="PADD III","PADD 3",IF($M4025="PADD IV","PADD 4",IF($M4025="PADD V","PADD 5","")))))</f>
        <v>PADD 3</v>
      </c>
      <c r="G4025" s="6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6" t="s">
        <v>426</v>
      </c>
      <c r="I4025" s="6" t="s">
        <v>663</v>
      </c>
      <c r="J4025" s="6" t="s">
        <v>394</v>
      </c>
      <c r="K4025" s="10">
        <v>9.6</v>
      </c>
      <c r="L4025" s="10">
        <v>20</v>
      </c>
      <c r="M4025" s="6" t="s">
        <v>421</v>
      </c>
      <c r="N4025" s="6" t="str">
        <f>IF(OR($G4025="FCC",$G4025="Hydrocracker",$G4025="Reformer"),IF(COUNTIFS($D:$D,$D4025,$A:$A,$A4025,$B:$B,$B4025,$G:$G,"CDU",$J:$J,"PLANNED")&gt;0,"tied","standalone"),"")</f>
        <v>standalone</v>
      </c>
    </row>
    <row r="4026" spans="1:14">
      <c r="A4026" s="6">
        <v>2024</v>
      </c>
      <c r="B4026" s="6">
        <v>7</v>
      </c>
      <c r="C4026" s="6" t="s">
        <v>66</v>
      </c>
      <c r="D4026" s="6" t="s">
        <v>479</v>
      </c>
      <c r="E4026" s="6" t="s">
        <v>438</v>
      </c>
      <c r="F4026" s="6" t="str">
        <f>IF($M4026="PADD I","PADD 1",IF($M4026="PADD II","PADD 2",IF($M4026="PADD III","PADD 3",IF($M4026="PADD IV","PADD 4",IF($M4026="PADD V","PADD 5","")))))</f>
        <v>PADD 4</v>
      </c>
      <c r="G4026" s="6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6" t="s">
        <v>44</v>
      </c>
      <c r="I4026" s="6" t="s">
        <v>564</v>
      </c>
      <c r="J4026" s="6" t="s">
        <v>394</v>
      </c>
      <c r="K4026" s="10">
        <v>9.404999999999999</v>
      </c>
      <c r="L4026" s="10">
        <v>17.1</v>
      </c>
      <c r="M4026" s="6" t="s">
        <v>480</v>
      </c>
      <c r="N4026" s="6">
        <f>IF(OR($G4026="FCC",$G4026="Hydrocracker",$G4026="Reformer"),IF(COUNTIFS($D:$D,$D4026,$A:$A,$A4026,$B:$B,$B4026,$G:$G,"CDU",$J:$J,"PLANNED")&gt;0,"tied","standalone"),"")</f>
        <v/>
      </c>
    </row>
    <row r="4027" spans="1:14">
      <c r="A4027" s="6">
        <v>2024</v>
      </c>
      <c r="B4027" s="6">
        <v>7</v>
      </c>
      <c r="C4027" s="6" t="s">
        <v>66</v>
      </c>
      <c r="D4027" s="6" t="s">
        <v>437</v>
      </c>
      <c r="E4027" s="6" t="s">
        <v>438</v>
      </c>
      <c r="F4027" s="6" t="str">
        <f>IF($M4027="PADD I","PADD 1",IF($M4027="PADD II","PADD 2",IF($M4027="PADD III","PADD 3",IF($M4027="PADD IV","PADD 4",IF($M4027="PADD V","PADD 5","")))))</f>
        <v>PADD 3</v>
      </c>
      <c r="G4027" s="6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6" t="s">
        <v>44</v>
      </c>
      <c r="I4027" s="6" t="s">
        <v>1267</v>
      </c>
      <c r="J4027" s="6" t="s">
        <v>394</v>
      </c>
      <c r="K4027" s="10">
        <v>9.199999999999999</v>
      </c>
      <c r="L4027" s="10">
        <v>40</v>
      </c>
      <c r="M4027" s="6" t="s">
        <v>421</v>
      </c>
      <c r="N4027" s="6">
        <f>IF(OR($G4027="FCC",$G4027="Hydrocracker",$G4027="Reformer"),IF(COUNTIFS($D:$D,$D4027,$A:$A,$A4027,$B:$B,$B4027,$G:$G,"CDU",$J:$J,"PLANNED")&gt;0,"tied","standalone"),"")</f>
        <v/>
      </c>
    </row>
    <row r="4028" spans="1:14">
      <c r="A4028" s="6">
        <v>2024</v>
      </c>
      <c r="B4028" s="6">
        <v>7</v>
      </c>
      <c r="C4028" s="6" t="s">
        <v>66</v>
      </c>
      <c r="D4028" s="6" t="s">
        <v>422</v>
      </c>
      <c r="E4028" s="6" t="s">
        <v>423</v>
      </c>
      <c r="F4028" s="6" t="str">
        <f>IF($M4028="PADD I","PADD 1",IF($M4028="PADD II","PADD 2",IF($M4028="PADD III","PADD 3",IF($M4028="PADD IV","PADD 4",IF($M4028="PADD V","PADD 5","")))))</f>
        <v>PADD 2</v>
      </c>
      <c r="G4028" s="6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6" t="s">
        <v>428</v>
      </c>
      <c r="I4028" s="6" t="s">
        <v>751</v>
      </c>
      <c r="J4028" s="6" t="s">
        <v>394</v>
      </c>
      <c r="K4028" s="10">
        <v>8.640000000000001</v>
      </c>
      <c r="L4028" s="10">
        <v>18</v>
      </c>
      <c r="M4028" s="6" t="s">
        <v>425</v>
      </c>
      <c r="N4028" s="6">
        <f>IF(OR($G4028="FCC",$G4028="Hydrocracker",$G4028="Reformer"),IF(COUNTIFS($D:$D,$D4028,$A:$A,$A4028,$B:$B,$B4028,$G:$G,"CDU",$J:$J,"PLANNED")&gt;0,"tied","standalone"),"")</f>
        <v/>
      </c>
    </row>
    <row r="4029" spans="1:14">
      <c r="A4029" s="6">
        <v>2024</v>
      </c>
      <c r="B4029" s="6">
        <v>7</v>
      </c>
      <c r="C4029" s="6" t="s">
        <v>66</v>
      </c>
      <c r="D4029" s="6" t="s">
        <v>901</v>
      </c>
      <c r="E4029" s="6" t="s">
        <v>902</v>
      </c>
      <c r="F4029" s="6" t="str">
        <f>IF($M4029="PADD I","PADD 1",IF($M4029="PADD II","PADD 2",IF($M4029="PADD III","PADD 3",IF($M4029="PADD IV","PADD 4",IF($M4029="PADD V","PADD 5","")))))</f>
        <v>PADD 3</v>
      </c>
      <c r="G4029" s="6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6" t="s">
        <v>428</v>
      </c>
      <c r="I4029" s="6" t="s">
        <v>910</v>
      </c>
      <c r="J4029" s="6" t="s">
        <v>394</v>
      </c>
      <c r="K4029" s="10">
        <v>8.279999999999999</v>
      </c>
      <c r="L4029" s="10">
        <v>36</v>
      </c>
      <c r="M4029" s="6" t="s">
        <v>421</v>
      </c>
      <c r="N4029" s="6">
        <f>IF(OR($G4029="FCC",$G4029="Hydrocracker",$G4029="Reformer"),IF(COUNTIFS($D:$D,$D4029,$A:$A,$A4029,$B:$B,$B4029,$G:$G,"CDU",$J:$J,"PLANNED")&gt;0,"tied","standalone"),"")</f>
        <v/>
      </c>
    </row>
    <row r="4030" spans="1:14">
      <c r="A4030" s="6">
        <v>2024</v>
      </c>
      <c r="B4030" s="6">
        <v>7</v>
      </c>
      <c r="C4030" s="6" t="s">
        <v>66</v>
      </c>
      <c r="D4030" s="6" t="s">
        <v>479</v>
      </c>
      <c r="E4030" s="6" t="s">
        <v>438</v>
      </c>
      <c r="F4030" s="6" t="str">
        <f>IF($M4030="PADD I","PADD 1",IF($M4030="PADD II","PADD 2",IF($M4030="PADD III","PADD 3",IF($M4030="PADD IV","PADD 4",IF($M4030="PADD V","PADD 5","")))))</f>
        <v>PADD 4</v>
      </c>
      <c r="G4030" s="6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6" t="s">
        <v>426</v>
      </c>
      <c r="I4030" s="6" t="s">
        <v>106</v>
      </c>
      <c r="J4030" s="6" t="s">
        <v>394</v>
      </c>
      <c r="K4030" s="10">
        <v>7.656</v>
      </c>
      <c r="L4030" s="10">
        <v>26.4</v>
      </c>
      <c r="M4030" s="6" t="s">
        <v>480</v>
      </c>
      <c r="N4030" s="6" t="str">
        <f>IF(OR($G4030="FCC",$G4030="Hydrocracker",$G4030="Reformer"),IF(COUNTIFS($D:$D,$D4030,$A:$A,$A4030,$B:$B,$B4030,$G:$G,"CDU",$J:$J,"PLANNED")&gt;0,"tied","standalone"),"")</f>
        <v>standalone</v>
      </c>
    </row>
    <row r="4031" spans="1:14">
      <c r="A4031" s="6">
        <v>2024</v>
      </c>
      <c r="B4031" s="6">
        <v>7</v>
      </c>
      <c r="C4031" s="6" t="s">
        <v>66</v>
      </c>
      <c r="D4031" s="6" t="s">
        <v>458</v>
      </c>
      <c r="E4031" s="6" t="s">
        <v>459</v>
      </c>
      <c r="F4031" s="6" t="str">
        <f>IF($M4031="PADD I","PADD 1",IF($M4031="PADD II","PADD 2",IF($M4031="PADD III","PADD 3",IF($M4031="PADD IV","PADD 4",IF($M4031="PADD V","PADD 5","")))))</f>
        <v>PADD 3</v>
      </c>
      <c r="G4031" s="6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6" t="s">
        <v>426</v>
      </c>
      <c r="I4031" s="6" t="s">
        <v>476</v>
      </c>
      <c r="J4031" s="6" t="s">
        <v>394</v>
      </c>
      <c r="K4031" s="10">
        <v>7.6</v>
      </c>
      <c r="L4031" s="10">
        <v>76</v>
      </c>
      <c r="M4031" s="6" t="s">
        <v>421</v>
      </c>
      <c r="N4031" s="6" t="str">
        <f>IF(OR($G4031="FCC",$G4031="Hydrocracker",$G4031="Reformer"),IF(COUNTIFS($D:$D,$D4031,$A:$A,$A4031,$B:$B,$B4031,$G:$G,"CDU",$J:$J,"PLANNED")&gt;0,"tied","standalone"),"")</f>
        <v>standalone</v>
      </c>
    </row>
    <row r="4032" spans="1:14">
      <c r="A4032" s="6">
        <v>2024</v>
      </c>
      <c r="B4032" s="6">
        <v>7</v>
      </c>
      <c r="C4032" s="6" t="s">
        <v>66</v>
      </c>
      <c r="D4032" s="6" t="s">
        <v>576</v>
      </c>
      <c r="E4032" s="6" t="s">
        <v>455</v>
      </c>
      <c r="F4032" s="6" t="str">
        <f>IF($M4032="PADD I","PADD 1",IF($M4032="PADD II","PADD 2",IF($M4032="PADD III","PADD 3",IF($M4032="PADD IV","PADD 4",IF($M4032="PADD V","PADD 5","")))))</f>
        <v>PADD 3</v>
      </c>
      <c r="G4032" s="6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6" t="s">
        <v>426</v>
      </c>
      <c r="I4032" s="6" t="s">
        <v>393</v>
      </c>
      <c r="J4032" s="6" t="s">
        <v>394</v>
      </c>
      <c r="K4032" s="10">
        <v>7.5</v>
      </c>
      <c r="L4032" s="10">
        <v>75</v>
      </c>
      <c r="M4032" s="6" t="s">
        <v>421</v>
      </c>
      <c r="N4032" s="6" t="str">
        <f>IF(OR($G4032="FCC",$G4032="Hydrocracker",$G4032="Reformer"),IF(COUNTIFS($D:$D,$D4032,$A:$A,$A4032,$B:$B,$B4032,$G:$G,"CDU",$J:$J,"PLANNED")&gt;0,"tied","standalone"),"")</f>
        <v>standalone</v>
      </c>
    </row>
    <row r="4033" spans="1:14">
      <c r="A4033" s="6">
        <v>2024</v>
      </c>
      <c r="B4033" s="6">
        <v>7</v>
      </c>
      <c r="C4033" s="6" t="s">
        <v>66</v>
      </c>
      <c r="D4033" s="6" t="s">
        <v>458</v>
      </c>
      <c r="E4033" s="6" t="s">
        <v>459</v>
      </c>
      <c r="F4033" s="6" t="str">
        <f>IF($M4033="PADD I","PADD 1",IF($M4033="PADD II","PADD 2",IF($M4033="PADD III","PADD 3",IF($M4033="PADD IV","PADD 4",IF($M4033="PADD V","PADD 5","")))))</f>
        <v>PADD 3</v>
      </c>
      <c r="G4033" s="6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6" t="s">
        <v>39</v>
      </c>
      <c r="I4033" s="6" t="s">
        <v>1268</v>
      </c>
      <c r="J4033" s="6" t="s">
        <v>394</v>
      </c>
      <c r="K4033" s="10">
        <v>7.5</v>
      </c>
      <c r="L4033" s="10">
        <v>75</v>
      </c>
      <c r="M4033" s="6" t="s">
        <v>421</v>
      </c>
      <c r="N4033" s="6">
        <f>IF(OR($G4033="FCC",$G4033="Hydrocracker",$G4033="Reformer"),IF(COUNTIFS($D:$D,$D4033,$A:$A,$A4033,$B:$B,$B4033,$G:$G,"CDU",$J:$J,"PLANNED")&gt;0,"tied","standalone"),"")</f>
        <v/>
      </c>
    </row>
    <row r="4034" spans="1:14">
      <c r="A4034" s="6">
        <v>2024</v>
      </c>
      <c r="B4034" s="6">
        <v>7</v>
      </c>
      <c r="C4034" s="6" t="s">
        <v>66</v>
      </c>
      <c r="D4034" s="6" t="s">
        <v>496</v>
      </c>
      <c r="E4034" s="6" t="s">
        <v>441</v>
      </c>
      <c r="F4034" s="6" t="str">
        <f>IF($M4034="PADD I","PADD 1",IF($M4034="PADD II","PADD 2",IF($M4034="PADD III","PADD 3",IF($M4034="PADD IV","PADD 4",IF($M4034="PADD V","PADD 5","")))))</f>
        <v>PADD 3</v>
      </c>
      <c r="G4034" s="6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6" t="s">
        <v>428</v>
      </c>
      <c r="I4034" s="6" t="s">
        <v>1091</v>
      </c>
      <c r="J4034" s="6" t="s">
        <v>394</v>
      </c>
      <c r="K4034" s="10">
        <v>7.22</v>
      </c>
      <c r="L4034" s="10">
        <v>38</v>
      </c>
      <c r="M4034" s="6" t="s">
        <v>421</v>
      </c>
      <c r="N4034" s="6">
        <f>IF(OR($G4034="FCC",$G4034="Hydrocracker",$G4034="Reformer"),IF(COUNTIFS($D:$D,$D4034,$A:$A,$A4034,$B:$B,$B4034,$G:$G,"CDU",$J:$J,"PLANNED")&gt;0,"tied","standalone"),"")</f>
        <v/>
      </c>
    </row>
    <row r="4035" spans="1:14">
      <c r="A4035" s="6">
        <v>2024</v>
      </c>
      <c r="B4035" s="6">
        <v>7</v>
      </c>
      <c r="C4035" s="6" t="s">
        <v>66</v>
      </c>
      <c r="D4035" s="6" t="s">
        <v>725</v>
      </c>
      <c r="E4035" s="6" t="s">
        <v>502</v>
      </c>
      <c r="F4035" s="6" t="str">
        <f>IF($M4035="PADD I","PADD 1",IF($M4035="PADD II","PADD 2",IF($M4035="PADD III","PADD 3",IF($M4035="PADD IV","PADD 4",IF($M4035="PADD V","PADD 5","")))))</f>
        <v>PADD 2</v>
      </c>
      <c r="G4035" s="6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6" t="s">
        <v>44</v>
      </c>
      <c r="I4035" s="6" t="s">
        <v>1192</v>
      </c>
      <c r="J4035" s="6" t="s">
        <v>398</v>
      </c>
      <c r="K4035" s="10">
        <v>7.2</v>
      </c>
      <c r="L4035" s="10">
        <v>45</v>
      </c>
      <c r="M4035" s="6" t="s">
        <v>425</v>
      </c>
      <c r="N4035" s="6">
        <f>IF(OR($G4035="FCC",$G4035="Hydrocracker",$G4035="Reformer"),IF(COUNTIFS($D:$D,$D4035,$A:$A,$A4035,$B:$B,$B4035,$G:$G,"CDU",$J:$J,"PLANNED")&gt;0,"tied","standalone"),"")</f>
        <v/>
      </c>
    </row>
    <row r="4036" spans="1:14">
      <c r="A4036" s="6">
        <v>2024</v>
      </c>
      <c r="B4036" s="6">
        <v>7</v>
      </c>
      <c r="C4036" s="6" t="s">
        <v>66</v>
      </c>
      <c r="D4036" s="6" t="s">
        <v>496</v>
      </c>
      <c r="E4036" s="6" t="s">
        <v>441</v>
      </c>
      <c r="F4036" s="6" t="str">
        <f>IF($M4036="PADD I","PADD 1",IF($M4036="PADD II","PADD 2",IF($M4036="PADD III","PADD 3",IF($M4036="PADD IV","PADD 4",IF($M4036="PADD V","PADD 5","")))))</f>
        <v>PADD 3</v>
      </c>
      <c r="G4036" s="6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6" t="s">
        <v>510</v>
      </c>
      <c r="I4036" s="6" t="s">
        <v>1125</v>
      </c>
      <c r="J4036" s="6" t="s">
        <v>394</v>
      </c>
      <c r="K4036" s="10">
        <v>7.2</v>
      </c>
      <c r="L4036" s="10">
        <v>7.2</v>
      </c>
      <c r="M4036" s="6" t="s">
        <v>421</v>
      </c>
      <c r="N4036" s="6">
        <f>IF(OR($G4036="FCC",$G4036="Hydrocracker",$G4036="Reformer"),IF(COUNTIFS($D:$D,$D4036,$A:$A,$A4036,$B:$B,$B4036,$G:$G,"CDU",$J:$J,"PLANNED")&gt;0,"tied","standalone"),"")</f>
        <v/>
      </c>
    </row>
    <row r="4037" spans="1:14">
      <c r="A4037" s="6">
        <v>2024</v>
      </c>
      <c r="B4037" s="6">
        <v>7</v>
      </c>
      <c r="C4037" s="6" t="s">
        <v>66</v>
      </c>
      <c r="D4037" s="6" t="s">
        <v>696</v>
      </c>
      <c r="E4037" s="6" t="s">
        <v>455</v>
      </c>
      <c r="F4037" s="6" t="str">
        <f>IF($M4037="PADD I","PADD 1",IF($M4037="PADD II","PADD 2",IF($M4037="PADD III","PADD 3",IF($M4037="PADD IV","PADD 4",IF($M4037="PADD V","PADD 5","")))))</f>
        <v>PADD 3</v>
      </c>
      <c r="G4037" s="6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6" t="s">
        <v>471</v>
      </c>
      <c r="I4037" s="6" t="s">
        <v>1182</v>
      </c>
      <c r="J4037" s="6" t="s">
        <v>398</v>
      </c>
      <c r="K4037" s="10">
        <v>6.65</v>
      </c>
      <c r="L4037" s="10">
        <v>19</v>
      </c>
      <c r="M4037" s="6" t="s">
        <v>421</v>
      </c>
      <c r="N4037" s="6" t="str">
        <f>IF(OR($G4037="FCC",$G4037="Hydrocracker",$G4037="Reformer"),IF(COUNTIFS($D:$D,$D4037,$A:$A,$A4037,$B:$B,$B4037,$G:$G,"CDU",$J:$J,"PLANNED")&gt;0,"tied","standalone"),"")</f>
        <v>standalone</v>
      </c>
    </row>
    <row r="4038" spans="1:14">
      <c r="A4038" s="6">
        <v>2024</v>
      </c>
      <c r="B4038" s="6">
        <v>7</v>
      </c>
      <c r="C4038" s="6" t="s">
        <v>66</v>
      </c>
      <c r="D4038" s="6" t="s">
        <v>812</v>
      </c>
      <c r="E4038" s="6" t="s">
        <v>813</v>
      </c>
      <c r="F4038" s="6" t="str">
        <f>IF($M4038="PADD I","PADD 1",IF($M4038="PADD II","PADD 2",IF($M4038="PADD III","PADD 3",IF($M4038="PADD IV","PADD 4",IF($M4038="PADD V","PADD 5","")))))</f>
        <v>PADD 2</v>
      </c>
      <c r="G4038" s="6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6" t="s">
        <v>426</v>
      </c>
      <c r="I4038" s="6" t="s">
        <v>106</v>
      </c>
      <c r="J4038" s="6" t="s">
        <v>394</v>
      </c>
      <c r="K4038" s="10">
        <v>6.56</v>
      </c>
      <c r="L4038" s="10">
        <v>20.5</v>
      </c>
      <c r="M4038" s="6" t="s">
        <v>425</v>
      </c>
      <c r="N4038" s="6" t="str">
        <f>IF(OR($G4038="FCC",$G4038="Hydrocracker",$G4038="Reformer"),IF(COUNTIFS($D:$D,$D4038,$A:$A,$A4038,$B:$B,$B4038,$G:$G,"CDU",$J:$J,"PLANNED")&gt;0,"tied","standalone"),"")</f>
        <v>standalone</v>
      </c>
    </row>
    <row r="4039" spans="1:14">
      <c r="A4039" s="6">
        <v>2024</v>
      </c>
      <c r="B4039" s="6">
        <v>7</v>
      </c>
      <c r="C4039" s="6" t="s">
        <v>66</v>
      </c>
      <c r="D4039" s="6" t="s">
        <v>370</v>
      </c>
      <c r="E4039" s="6" t="s">
        <v>431</v>
      </c>
      <c r="F4039" s="6" t="str">
        <f>IF($M4039="PADD I","PADD 1",IF($M4039="PADD II","PADD 2",IF($M4039="PADD III","PADD 3",IF($M4039="PADD IV","PADD 4",IF($M4039="PADD V","PADD 5","")))))</f>
        <v>PADD 2</v>
      </c>
      <c r="G4039" s="6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6" t="s">
        <v>510</v>
      </c>
      <c r="I4039" s="6" t="s">
        <v>666</v>
      </c>
      <c r="J4039" s="6" t="s">
        <v>394</v>
      </c>
      <c r="K4039" s="10">
        <v>6.545</v>
      </c>
      <c r="L4039" s="10">
        <v>11.9</v>
      </c>
      <c r="M4039" s="6" t="s">
        <v>425</v>
      </c>
      <c r="N4039" s="6">
        <f>IF(OR($G4039="FCC",$G4039="Hydrocracker",$G4039="Reformer"),IF(COUNTIFS($D:$D,$D4039,$A:$A,$A4039,$B:$B,$B4039,$G:$G,"CDU",$J:$J,"PLANNED")&gt;0,"tied","standalone"),"")</f>
        <v/>
      </c>
    </row>
    <row r="4040" spans="1:14">
      <c r="A4040" s="6">
        <v>2024</v>
      </c>
      <c r="B4040" s="6">
        <v>7</v>
      </c>
      <c r="C4040" s="6" t="s">
        <v>66</v>
      </c>
      <c r="D4040" s="6" t="s">
        <v>622</v>
      </c>
      <c r="E4040" s="6" t="s">
        <v>623</v>
      </c>
      <c r="F4040" s="6" t="str">
        <f>IF($M4040="PADD I","PADD 1",IF($M4040="PADD II","PADD 2",IF($M4040="PADD III","PADD 3",IF($M4040="PADD IV","PADD 4",IF($M4040="PADD V","PADD 5","")))))</f>
        <v>PADD 3</v>
      </c>
      <c r="G4040" s="6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6" t="s">
        <v>39</v>
      </c>
      <c r="I4040" s="6" t="s">
        <v>624</v>
      </c>
      <c r="J4040" s="6" t="s">
        <v>394</v>
      </c>
      <c r="K4040" s="10">
        <v>6.5</v>
      </c>
      <c r="L4040" s="10">
        <v>50</v>
      </c>
      <c r="M4040" s="6" t="s">
        <v>421</v>
      </c>
      <c r="N4040" s="6">
        <f>IF(OR($G4040="FCC",$G4040="Hydrocracker",$G4040="Reformer"),IF(COUNTIFS($D:$D,$D4040,$A:$A,$A4040,$B:$B,$B4040,$G:$G,"CDU",$J:$J,"PLANNED")&gt;0,"tied","standalone"),"")</f>
        <v/>
      </c>
    </row>
    <row r="4041" spans="1:14">
      <c r="A4041" s="6">
        <v>2024</v>
      </c>
      <c r="B4041" s="6">
        <v>7</v>
      </c>
      <c r="C4041" s="6" t="s">
        <v>66</v>
      </c>
      <c r="D4041" s="6" t="s">
        <v>820</v>
      </c>
      <c r="E4041" s="6" t="s">
        <v>710</v>
      </c>
      <c r="F4041" s="6" t="str">
        <f>IF($M4041="PADD I","PADD 1",IF($M4041="PADD II","PADD 2",IF($M4041="PADD III","PADD 3",IF($M4041="PADD IV","PADD 4",IF($M4041="PADD V","PADD 5","")))))</f>
        <v>PADD 3</v>
      </c>
      <c r="G4041" s="6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6" t="s">
        <v>44</v>
      </c>
      <c r="I4041" s="6" t="s">
        <v>676</v>
      </c>
      <c r="J4041" s="6" t="s">
        <v>398</v>
      </c>
      <c r="K4041" s="10">
        <v>6.38</v>
      </c>
      <c r="L4041" s="10">
        <v>22</v>
      </c>
      <c r="M4041" s="6" t="s">
        <v>421</v>
      </c>
      <c r="N4041" s="6">
        <f>IF(OR($G4041="FCC",$G4041="Hydrocracker",$G4041="Reformer"),IF(COUNTIFS($D:$D,$D4041,$A:$A,$A4041,$B:$B,$B4041,$G:$G,"CDU",$J:$J,"PLANNED")&gt;0,"tied","standalone"),"")</f>
        <v/>
      </c>
    </row>
    <row r="4042" spans="1:14">
      <c r="A4042" s="6">
        <v>2024</v>
      </c>
      <c r="B4042" s="6">
        <v>7</v>
      </c>
      <c r="C4042" s="6" t="s">
        <v>66</v>
      </c>
      <c r="D4042" s="6" t="s">
        <v>430</v>
      </c>
      <c r="E4042" s="6" t="s">
        <v>431</v>
      </c>
      <c r="F4042" s="6" t="str">
        <f>IF($M4042="PADD I","PADD 1",IF($M4042="PADD II","PADD 2",IF($M4042="PADD III","PADD 3",IF($M4042="PADD IV","PADD 4",IF($M4042="PADD V","PADD 5","")))))</f>
        <v>PADD 3</v>
      </c>
      <c r="G4042" s="6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6" t="s">
        <v>471</v>
      </c>
      <c r="I4042" s="6" t="s">
        <v>1175</v>
      </c>
      <c r="J4042" s="6" t="s">
        <v>394</v>
      </c>
      <c r="K4042" s="10">
        <v>6.24</v>
      </c>
      <c r="L4042" s="10">
        <v>39</v>
      </c>
      <c r="M4042" s="6" t="s">
        <v>421</v>
      </c>
      <c r="N4042" s="6" t="str">
        <f>IF(OR($G4042="FCC",$G4042="Hydrocracker",$G4042="Reformer"),IF(COUNTIFS($D:$D,$D4042,$A:$A,$A4042,$B:$B,$B4042,$G:$G,"CDU",$J:$J,"PLANNED")&gt;0,"tied","standalone"),"")</f>
        <v>standalone</v>
      </c>
    </row>
    <row r="4043" spans="1:14">
      <c r="A4043" s="6">
        <v>2024</v>
      </c>
      <c r="B4043" s="6">
        <v>7</v>
      </c>
      <c r="C4043" s="6" t="s">
        <v>66</v>
      </c>
      <c r="D4043" s="6" t="s">
        <v>430</v>
      </c>
      <c r="E4043" s="6" t="s">
        <v>431</v>
      </c>
      <c r="F4043" s="6" t="str">
        <f>IF($M4043="PADD I","PADD 1",IF($M4043="PADD II","PADD 2",IF($M4043="PADD III","PADD 3",IF($M4043="PADD IV","PADD 4",IF($M4043="PADD V","PADD 5","")))))</f>
        <v>PADD 3</v>
      </c>
      <c r="G4043" s="6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6" t="s">
        <v>471</v>
      </c>
      <c r="I4043" s="6" t="s">
        <v>1176</v>
      </c>
      <c r="J4043" s="6" t="s">
        <v>394</v>
      </c>
      <c r="K4043" s="10">
        <v>6.24</v>
      </c>
      <c r="L4043" s="10">
        <v>39</v>
      </c>
      <c r="M4043" s="6" t="s">
        <v>421</v>
      </c>
      <c r="N4043" s="6" t="str">
        <f>IF(OR($G4043="FCC",$G4043="Hydrocracker",$G4043="Reformer"),IF(COUNTIFS($D:$D,$D4043,$A:$A,$A4043,$B:$B,$B4043,$G:$G,"CDU",$J:$J,"PLANNED")&gt;0,"tied","standalone"),"")</f>
        <v>standalone</v>
      </c>
    </row>
    <row r="4044" spans="1:14">
      <c r="A4044" s="6">
        <v>2024</v>
      </c>
      <c r="B4044" s="6">
        <v>7</v>
      </c>
      <c r="C4044" s="6" t="s">
        <v>66</v>
      </c>
      <c r="D4044" s="6" t="s">
        <v>437</v>
      </c>
      <c r="E4044" s="6" t="s">
        <v>438</v>
      </c>
      <c r="F4044" s="6" t="str">
        <f>IF($M4044="PADD I","PADD 1",IF($M4044="PADD II","PADD 2",IF($M4044="PADD III","PADD 3",IF($M4044="PADD IV","PADD 4",IF($M4044="PADD V","PADD 5","")))))</f>
        <v>PADD 3</v>
      </c>
      <c r="G4044" s="6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6" t="s">
        <v>44</v>
      </c>
      <c r="I4044" s="6" t="s">
        <v>1269</v>
      </c>
      <c r="J4044" s="6" t="s">
        <v>394</v>
      </c>
      <c r="K4044" s="10">
        <v>6</v>
      </c>
      <c r="L4044" s="10">
        <v>60</v>
      </c>
      <c r="M4044" s="6" t="s">
        <v>421</v>
      </c>
      <c r="N4044" s="6">
        <f>IF(OR($G4044="FCC",$G4044="Hydrocracker",$G4044="Reformer"),IF(COUNTIFS($D:$D,$D4044,$A:$A,$A4044,$B:$B,$B4044,$G:$G,"CDU",$J:$J,"PLANNED")&gt;0,"tied","standalone"),"")</f>
        <v/>
      </c>
    </row>
    <row r="4045" spans="1:14">
      <c r="A4045" s="6">
        <v>2024</v>
      </c>
      <c r="B4045" s="6">
        <v>7</v>
      </c>
      <c r="C4045" s="6" t="s">
        <v>66</v>
      </c>
      <c r="D4045" s="6" t="s">
        <v>458</v>
      </c>
      <c r="E4045" s="6" t="s">
        <v>459</v>
      </c>
      <c r="F4045" s="6" t="str">
        <f>IF($M4045="PADD I","PADD 1",IF($M4045="PADD II","PADD 2",IF($M4045="PADD III","PADD 3",IF($M4045="PADD IV","PADD 4",IF($M4045="PADD V","PADD 5","")))))</f>
        <v>PADD 3</v>
      </c>
      <c r="G4045" s="6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6" t="s">
        <v>485</v>
      </c>
      <c r="I4045" s="6" t="s">
        <v>509</v>
      </c>
      <c r="J4045" s="6" t="s">
        <v>394</v>
      </c>
      <c r="K4045" s="10">
        <v>6</v>
      </c>
      <c r="L4045" s="10">
        <v>60</v>
      </c>
      <c r="M4045" s="6" t="s">
        <v>421</v>
      </c>
      <c r="N4045" s="6">
        <f>IF(OR($G4045="FCC",$G4045="Hydrocracker",$G4045="Reformer"),IF(COUNTIFS($D:$D,$D4045,$A:$A,$A4045,$B:$B,$B4045,$G:$G,"CDU",$J:$J,"PLANNED")&gt;0,"tied","standalone"),"")</f>
        <v/>
      </c>
    </row>
    <row r="4046" spans="1:14">
      <c r="A4046" s="6">
        <v>2024</v>
      </c>
      <c r="B4046" s="6">
        <v>7</v>
      </c>
      <c r="C4046" s="6" t="s">
        <v>66</v>
      </c>
      <c r="D4046" s="6" t="s">
        <v>496</v>
      </c>
      <c r="E4046" s="6" t="s">
        <v>441</v>
      </c>
      <c r="F4046" s="6" t="str">
        <f>IF($M4046="PADD I","PADD 1",IF($M4046="PADD II","PADD 2",IF($M4046="PADD III","PADD 3",IF($M4046="PADD IV","PADD 4",IF($M4046="PADD V","PADD 5","")))))</f>
        <v>PADD 3</v>
      </c>
      <c r="G4046" s="6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6" t="s">
        <v>471</v>
      </c>
      <c r="I4046" s="6" t="s">
        <v>533</v>
      </c>
      <c r="J4046" s="6" t="s">
        <v>394</v>
      </c>
      <c r="K4046" s="10">
        <v>5.98</v>
      </c>
      <c r="L4046" s="10">
        <v>23</v>
      </c>
      <c r="M4046" s="6" t="s">
        <v>421</v>
      </c>
      <c r="N4046" s="6" t="str">
        <f>IF(OR($G4046="FCC",$G4046="Hydrocracker",$G4046="Reformer"),IF(COUNTIFS($D:$D,$D4046,$A:$A,$A4046,$B:$B,$B4046,$G:$G,"CDU",$J:$J,"PLANNED")&gt;0,"tied","standalone"),"")</f>
        <v>tied</v>
      </c>
    </row>
    <row r="4047" spans="1:14">
      <c r="A4047" s="6">
        <v>2024</v>
      </c>
      <c r="B4047" s="6">
        <v>7</v>
      </c>
      <c r="C4047" s="6" t="s">
        <v>66</v>
      </c>
      <c r="D4047" s="6" t="s">
        <v>52</v>
      </c>
      <c r="E4047" s="6" t="s">
        <v>441</v>
      </c>
      <c r="F4047" s="6" t="str">
        <f>IF($M4047="PADD I","PADD 1",IF($M4047="PADD II","PADD 2",IF($M4047="PADD III","PADD 3",IF($M4047="PADD IV","PADD 4",IF($M4047="PADD V","PADD 5","")))))</f>
        <v>PADD 5</v>
      </c>
      <c r="G4047" s="6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6" t="s">
        <v>44</v>
      </c>
      <c r="I4047" s="6" t="s">
        <v>1270</v>
      </c>
      <c r="J4047" s="6" t="s">
        <v>394</v>
      </c>
      <c r="K4047" s="10">
        <v>5.6</v>
      </c>
      <c r="L4047" s="10">
        <v>35</v>
      </c>
      <c r="M4047" s="6" t="s">
        <v>436</v>
      </c>
      <c r="N4047" s="6">
        <f>IF(OR($G4047="FCC",$G4047="Hydrocracker",$G4047="Reformer"),IF(COUNTIFS($D:$D,$D4047,$A:$A,$A4047,$B:$B,$B4047,$G:$G,"CDU",$J:$J,"PLANNED")&gt;0,"tied","standalone"),"")</f>
        <v/>
      </c>
    </row>
    <row r="4048" spans="1:14">
      <c r="A4048" s="6">
        <v>2024</v>
      </c>
      <c r="B4048" s="6">
        <v>7</v>
      </c>
      <c r="C4048" s="6" t="s">
        <v>66</v>
      </c>
      <c r="D4048" s="6" t="s">
        <v>422</v>
      </c>
      <c r="E4048" s="6" t="s">
        <v>423</v>
      </c>
      <c r="F4048" s="6" t="str">
        <f>IF($M4048="PADD I","PADD 1",IF($M4048="PADD II","PADD 2",IF($M4048="PADD III","PADD 3",IF($M4048="PADD IV","PADD 4",IF($M4048="PADD V","PADD 5","")))))</f>
        <v>PADD 2</v>
      </c>
      <c r="G4048" s="6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6" t="s">
        <v>426</v>
      </c>
      <c r="I4048" s="6" t="s">
        <v>457</v>
      </c>
      <c r="J4048" s="6" t="s">
        <v>394</v>
      </c>
      <c r="K4048" s="10">
        <v>5.5</v>
      </c>
      <c r="L4048" s="10">
        <v>55</v>
      </c>
      <c r="M4048" s="6" t="s">
        <v>425</v>
      </c>
      <c r="N4048" s="6" t="str">
        <f>IF(OR($G4048="FCC",$G4048="Hydrocracker",$G4048="Reformer"),IF(COUNTIFS($D:$D,$D4048,$A:$A,$A4048,$B:$B,$B4048,$G:$G,"CDU",$J:$J,"PLANNED")&gt;0,"tied","standalone"),"")</f>
        <v>standalone</v>
      </c>
    </row>
    <row r="4049" spans="1:14">
      <c r="A4049" s="6">
        <v>2024</v>
      </c>
      <c r="B4049" s="6">
        <v>7</v>
      </c>
      <c r="C4049" s="6" t="s">
        <v>66</v>
      </c>
      <c r="D4049" s="6" t="s">
        <v>448</v>
      </c>
      <c r="E4049" s="6" t="s">
        <v>449</v>
      </c>
      <c r="F4049" s="6" t="str">
        <f>IF($M4049="PADD I","PADD 1",IF($M4049="PADD II","PADD 2",IF($M4049="PADD III","PADD 3",IF($M4049="PADD IV","PADD 4",IF($M4049="PADD V","PADD 5","")))))</f>
        <v>PADD 3</v>
      </c>
      <c r="G4049" s="6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6" t="s">
        <v>426</v>
      </c>
      <c r="I4049" s="6" t="s">
        <v>1086</v>
      </c>
      <c r="J4049" s="6" t="s">
        <v>394</v>
      </c>
      <c r="K4049" s="10">
        <v>5.4</v>
      </c>
      <c r="L4049" s="10">
        <v>90</v>
      </c>
      <c r="M4049" s="6" t="s">
        <v>421</v>
      </c>
      <c r="N4049" s="6" t="str">
        <f>IF(OR($G4049="FCC",$G4049="Hydrocracker",$G4049="Reformer"),IF(COUNTIFS($D:$D,$D4049,$A:$A,$A4049,$B:$B,$B4049,$G:$G,"CDU",$J:$J,"PLANNED")&gt;0,"tied","standalone"),"")</f>
        <v>standalone</v>
      </c>
    </row>
    <row r="4050" spans="1:14">
      <c r="A4050" s="6">
        <v>2024</v>
      </c>
      <c r="B4050" s="6">
        <v>7</v>
      </c>
      <c r="C4050" s="6" t="s">
        <v>66</v>
      </c>
      <c r="D4050" s="6" t="s">
        <v>448</v>
      </c>
      <c r="E4050" s="6" t="s">
        <v>449</v>
      </c>
      <c r="F4050" s="6" t="str">
        <f>IF($M4050="PADD I","PADD 1",IF($M4050="PADD II","PADD 2",IF($M4050="PADD III","PADD 3",IF($M4050="PADD IV","PADD 4",IF($M4050="PADD V","PADD 5","")))))</f>
        <v>PADD 3</v>
      </c>
      <c r="G4050" s="6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6" t="s">
        <v>426</v>
      </c>
      <c r="I4050" s="6" t="s">
        <v>1086</v>
      </c>
      <c r="J4050" s="6" t="s">
        <v>394</v>
      </c>
      <c r="K4050" s="10">
        <v>5.4</v>
      </c>
      <c r="L4050" s="10">
        <v>90</v>
      </c>
      <c r="M4050" s="6" t="s">
        <v>421</v>
      </c>
      <c r="N4050" s="6" t="str">
        <f>IF(OR($G4050="FCC",$G4050="Hydrocracker",$G4050="Reformer"),IF(COUNTIFS($D:$D,$D4050,$A:$A,$A4050,$B:$B,$B4050,$G:$G,"CDU",$J:$J,"PLANNED")&gt;0,"tied","standalone"),"")</f>
        <v>standalone</v>
      </c>
    </row>
    <row r="4051" spans="1:14">
      <c r="A4051" s="6">
        <v>2024</v>
      </c>
      <c r="B4051" s="6">
        <v>7</v>
      </c>
      <c r="C4051" s="6" t="s">
        <v>66</v>
      </c>
      <c r="D4051" s="6" t="s">
        <v>820</v>
      </c>
      <c r="E4051" s="6" t="s">
        <v>710</v>
      </c>
      <c r="F4051" s="6" t="str">
        <f>IF($M4051="PADD I","PADD 1",IF($M4051="PADD II","PADD 2",IF($M4051="PADD III","PADD 3",IF($M4051="PADD IV","PADD 4",IF($M4051="PADD V","PADD 5","")))))</f>
        <v>PADD 3</v>
      </c>
      <c r="G4051" s="6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6" t="s">
        <v>494</v>
      </c>
      <c r="I4051" s="6" t="s">
        <v>14</v>
      </c>
      <c r="J4051" s="6" t="s">
        <v>398</v>
      </c>
      <c r="K4051" s="10">
        <v>5.365</v>
      </c>
      <c r="L4051" s="10">
        <v>18.5</v>
      </c>
      <c r="M4051" s="6" t="s">
        <v>421</v>
      </c>
      <c r="N4051" s="6" t="str">
        <f>IF(OR($G4051="FCC",$G4051="Hydrocracker",$G4051="Reformer"),IF(COUNTIFS($D:$D,$D4051,$A:$A,$A4051,$B:$B,$B4051,$G:$G,"CDU",$J:$J,"PLANNED")&gt;0,"tied","standalone"),"")</f>
        <v>standalone</v>
      </c>
    </row>
    <row r="4052" spans="1:14">
      <c r="A4052" s="6">
        <v>2024</v>
      </c>
      <c r="B4052" s="6">
        <v>7</v>
      </c>
      <c r="C4052" s="6" t="s">
        <v>66</v>
      </c>
      <c r="D4052" s="6" t="s">
        <v>41</v>
      </c>
      <c r="E4052" s="6" t="s">
        <v>786</v>
      </c>
      <c r="F4052" s="6" t="str">
        <f>IF($M4052="PADD I","PADD 1",IF($M4052="PADD II","PADD 2",IF($M4052="PADD III","PADD 3",IF($M4052="PADD IV","PADD 4",IF($M4052="PADD V","PADD 5","")))))</f>
        <v>PADD 1</v>
      </c>
      <c r="G4052" s="6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6" t="s">
        <v>426</v>
      </c>
      <c r="I4052" s="6" t="s">
        <v>787</v>
      </c>
      <c r="J4052" s="6" t="s">
        <v>394</v>
      </c>
      <c r="K4052" s="10">
        <v>5.3</v>
      </c>
      <c r="L4052" s="10">
        <v>53</v>
      </c>
      <c r="M4052" s="6" t="s">
        <v>463</v>
      </c>
      <c r="N4052" s="6" t="str">
        <f>IF(OR($G4052="FCC",$G4052="Hydrocracker",$G4052="Reformer"),IF(COUNTIFS($D:$D,$D4052,$A:$A,$A4052,$B:$B,$B4052,$G:$G,"CDU",$J:$J,"PLANNED")&gt;0,"tied","standalone"),"")</f>
        <v>standalone</v>
      </c>
    </row>
    <row r="4053" spans="1:14">
      <c r="A4053" s="6">
        <v>2024</v>
      </c>
      <c r="B4053" s="6">
        <v>7</v>
      </c>
      <c r="C4053" s="6" t="s">
        <v>66</v>
      </c>
      <c r="D4053" s="6" t="s">
        <v>437</v>
      </c>
      <c r="E4053" s="6" t="s">
        <v>438</v>
      </c>
      <c r="F4053" s="6" t="str">
        <f>IF($M4053="PADD I","PADD 1",IF($M4053="PADD II","PADD 2",IF($M4053="PADD III","PADD 3",IF($M4053="PADD IV","PADD 4",IF($M4053="PADD V","PADD 5","")))))</f>
        <v>PADD 3</v>
      </c>
      <c r="G4053" s="6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6" t="s">
        <v>485</v>
      </c>
      <c r="I4053" s="6" t="s">
        <v>640</v>
      </c>
      <c r="J4053" s="6" t="s">
        <v>394</v>
      </c>
      <c r="K4053" s="10">
        <v>5.28</v>
      </c>
      <c r="L4053" s="10">
        <v>33</v>
      </c>
      <c r="M4053" s="6" t="s">
        <v>421</v>
      </c>
      <c r="N4053" s="6">
        <f>IF(OR($G4053="FCC",$G4053="Hydrocracker",$G4053="Reformer"),IF(COUNTIFS($D:$D,$D4053,$A:$A,$A4053,$B:$B,$B4053,$G:$G,"CDU",$J:$J,"PLANNED")&gt;0,"tied","standalone"),"")</f>
        <v/>
      </c>
    </row>
    <row r="4054" spans="1:14">
      <c r="A4054" s="6">
        <v>2024</v>
      </c>
      <c r="B4054" s="6">
        <v>7</v>
      </c>
      <c r="C4054" s="6" t="s">
        <v>66</v>
      </c>
      <c r="D4054" s="6" t="s">
        <v>1093</v>
      </c>
      <c r="E4054" s="6" t="s">
        <v>438</v>
      </c>
      <c r="F4054" s="6" t="str">
        <f>IF($M4054="PADD I","PADD 1",IF($M4054="PADD II","PADD 2",IF($M4054="PADD III","PADD 3",IF($M4054="PADD IV","PADD 4",IF($M4054="PADD V","PADD 5","")))))</f>
        <v>PADD 2</v>
      </c>
      <c r="G4054" s="6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6" t="s">
        <v>618</v>
      </c>
      <c r="I4054" s="6" t="s">
        <v>654</v>
      </c>
      <c r="J4054" s="6" t="s">
        <v>398</v>
      </c>
      <c r="K4054" s="10">
        <v>5.1</v>
      </c>
      <c r="L4054" s="10">
        <v>5.1</v>
      </c>
      <c r="M4054" s="6" t="s">
        <v>425</v>
      </c>
      <c r="N4054" s="6">
        <f>IF(OR($G4054="FCC",$G4054="Hydrocracker",$G4054="Reformer"),IF(COUNTIFS($D:$D,$D4054,$A:$A,$A4054,$B:$B,$B4054,$G:$G,"CDU",$J:$J,"PLANNED")&gt;0,"tied","standalone"),"")</f>
        <v/>
      </c>
    </row>
    <row r="4055" spans="1:14">
      <c r="A4055" s="6">
        <v>2024</v>
      </c>
      <c r="B4055" s="6">
        <v>7</v>
      </c>
      <c r="C4055" s="6" t="s">
        <v>66</v>
      </c>
      <c r="D4055" s="6" t="s">
        <v>458</v>
      </c>
      <c r="E4055" s="6" t="s">
        <v>459</v>
      </c>
      <c r="F4055" s="6" t="str">
        <f>IF($M4055="PADD I","PADD 1",IF($M4055="PADD II","PADD 2",IF($M4055="PADD III","PADD 3",IF($M4055="PADD IV","PADD 4",IF($M4055="PADD V","PADD 5","")))))</f>
        <v>PADD 3</v>
      </c>
      <c r="G4055" s="6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6" t="s">
        <v>44</v>
      </c>
      <c r="I4055" s="6" t="s">
        <v>514</v>
      </c>
      <c r="J4055" s="6" t="s">
        <v>394</v>
      </c>
      <c r="K4055" s="10">
        <v>5</v>
      </c>
      <c r="L4055" s="10">
        <v>50</v>
      </c>
      <c r="M4055" s="6" t="s">
        <v>421</v>
      </c>
      <c r="N4055" s="6">
        <f>IF(OR($G4055="FCC",$G4055="Hydrocracker",$G4055="Reformer"),IF(COUNTIFS($D:$D,$D4055,$A:$A,$A4055,$B:$B,$B4055,$G:$G,"CDU",$J:$J,"PLANNED")&gt;0,"tied","standalone"),"")</f>
        <v/>
      </c>
    </row>
    <row r="4056" spans="1:14">
      <c r="A4056" s="6">
        <v>2024</v>
      </c>
      <c r="B4056" s="6">
        <v>7</v>
      </c>
      <c r="C4056" s="6" t="s">
        <v>66</v>
      </c>
      <c r="D4056" s="6" t="s">
        <v>430</v>
      </c>
      <c r="E4056" s="6" t="s">
        <v>431</v>
      </c>
      <c r="F4056" s="6" t="str">
        <f>IF($M4056="PADD I","PADD 1",IF($M4056="PADD II","PADD 2",IF($M4056="PADD III","PADD 3",IF($M4056="PADD IV","PADD 4",IF($M4056="PADD V","PADD 5","")))))</f>
        <v>PADD 3</v>
      </c>
      <c r="G4056" s="6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6" t="s">
        <v>485</v>
      </c>
      <c r="I4056" s="6" t="s">
        <v>1036</v>
      </c>
      <c r="J4056" s="6" t="s">
        <v>394</v>
      </c>
      <c r="K4056" s="10">
        <v>4.8</v>
      </c>
      <c r="L4056" s="10">
        <v>30</v>
      </c>
      <c r="M4056" s="6" t="s">
        <v>421</v>
      </c>
      <c r="N4056" s="6">
        <f>IF(OR($G4056="FCC",$G4056="Hydrocracker",$G4056="Reformer"),IF(COUNTIFS($D:$D,$D4056,$A:$A,$A4056,$B:$B,$B4056,$G:$G,"CDU",$J:$J,"PLANNED")&gt;0,"tied","standalone"),"")</f>
        <v/>
      </c>
    </row>
    <row r="4057" spans="1:14">
      <c r="A4057" s="6">
        <v>2024</v>
      </c>
      <c r="B4057" s="6">
        <v>7</v>
      </c>
      <c r="C4057" s="6" t="s">
        <v>66</v>
      </c>
      <c r="D4057" s="6" t="s">
        <v>458</v>
      </c>
      <c r="E4057" s="6" t="s">
        <v>459</v>
      </c>
      <c r="F4057" s="6" t="str">
        <f>IF($M4057="PADD I","PADD 1",IF($M4057="PADD II","PADD 2",IF($M4057="PADD III","PADD 3",IF($M4057="PADD IV","PADD 4",IF($M4057="PADD V","PADD 5","")))))</f>
        <v>PADD 3</v>
      </c>
      <c r="G4057" s="6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6" t="s">
        <v>39</v>
      </c>
      <c r="I4057" s="6" t="s">
        <v>460</v>
      </c>
      <c r="J4057" s="6" t="s">
        <v>394</v>
      </c>
      <c r="K4057" s="10">
        <v>4.5</v>
      </c>
      <c r="L4057" s="10">
        <v>150</v>
      </c>
      <c r="M4057" s="6" t="s">
        <v>421</v>
      </c>
      <c r="N4057" s="6">
        <f>IF(OR($G4057="FCC",$G4057="Hydrocracker",$G4057="Reformer"),IF(COUNTIFS($D:$D,$D4057,$A:$A,$A4057,$B:$B,$B4057,$G:$G,"CDU",$J:$J,"PLANNED")&gt;0,"tied","standalone"),"")</f>
        <v/>
      </c>
    </row>
    <row r="4058" spans="1:14">
      <c r="A4058" s="6">
        <v>2024</v>
      </c>
      <c r="B4058" s="6">
        <v>7</v>
      </c>
      <c r="C4058" s="6" t="s">
        <v>66</v>
      </c>
      <c r="D4058" s="6" t="s">
        <v>550</v>
      </c>
      <c r="E4058" s="6" t="s">
        <v>438</v>
      </c>
      <c r="F4058" s="6" t="str">
        <f>IF($M4058="PADD I","PADD 1",IF($M4058="PADD II","PADD 2",IF($M4058="PADD III","PADD 3",IF($M4058="PADD IV","PADD 4",IF($M4058="PADD V","PADD 5","")))))</f>
        <v>PADD 2</v>
      </c>
      <c r="G4058" s="6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6" t="s">
        <v>39</v>
      </c>
      <c r="I4058" s="6" t="s">
        <v>580</v>
      </c>
      <c r="J4058" s="6" t="s">
        <v>394</v>
      </c>
      <c r="K4058" s="10">
        <v>4.5</v>
      </c>
      <c r="L4058" s="10">
        <v>75</v>
      </c>
      <c r="M4058" s="6" t="s">
        <v>425</v>
      </c>
      <c r="N4058" s="6">
        <f>IF(OR($G4058="FCC",$G4058="Hydrocracker",$G4058="Reformer"),IF(COUNTIFS($D:$D,$D4058,$A:$A,$A4058,$B:$B,$B4058,$G:$G,"CDU",$J:$J,"PLANNED")&gt;0,"tied","standalone"),"")</f>
        <v/>
      </c>
    </row>
    <row r="4059" spans="1:14">
      <c r="A4059" s="6">
        <v>2024</v>
      </c>
      <c r="B4059" s="6">
        <v>7</v>
      </c>
      <c r="C4059" s="6" t="s">
        <v>66</v>
      </c>
      <c r="D4059" s="6" t="s">
        <v>1093</v>
      </c>
      <c r="E4059" s="6" t="s">
        <v>438</v>
      </c>
      <c r="F4059" s="6" t="str">
        <f>IF($M4059="PADD I","PADD 1",IF($M4059="PADD II","PADD 2",IF($M4059="PADD III","PADD 3",IF($M4059="PADD IV","PADD 4",IF($M4059="PADD V","PADD 5","")))))</f>
        <v>PADD 2</v>
      </c>
      <c r="G4059" s="6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6" t="s">
        <v>510</v>
      </c>
      <c r="I4059" s="6" t="s">
        <v>666</v>
      </c>
      <c r="J4059" s="6" t="s">
        <v>394</v>
      </c>
      <c r="K4059" s="10">
        <v>4.4</v>
      </c>
      <c r="L4059" s="10">
        <v>4.4</v>
      </c>
      <c r="M4059" s="6" t="s">
        <v>425</v>
      </c>
      <c r="N4059" s="6">
        <f>IF(OR($G4059="FCC",$G4059="Hydrocracker",$G4059="Reformer"),IF(COUNTIFS($D:$D,$D4059,$A:$A,$A4059,$B:$B,$B4059,$G:$G,"CDU",$J:$J,"PLANNED")&gt;0,"tied","standalone"),"")</f>
        <v/>
      </c>
    </row>
    <row r="4060" spans="1:14">
      <c r="A4060" s="6">
        <v>2024</v>
      </c>
      <c r="B4060" s="6">
        <v>7</v>
      </c>
      <c r="C4060" s="6" t="s">
        <v>66</v>
      </c>
      <c r="D4060" s="6" t="s">
        <v>901</v>
      </c>
      <c r="E4060" s="6" t="s">
        <v>902</v>
      </c>
      <c r="F4060" s="6" t="str">
        <f>IF($M4060="PADD I","PADD 1",IF($M4060="PADD II","PADD 2",IF($M4060="PADD III","PADD 3",IF($M4060="PADD IV","PADD 4",IF($M4060="PADD V","PADD 5","")))))</f>
        <v>PADD 3</v>
      </c>
      <c r="G4060" s="6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6" t="s">
        <v>39</v>
      </c>
      <c r="I4060" s="6" t="s">
        <v>904</v>
      </c>
      <c r="J4060" s="6" t="s">
        <v>394</v>
      </c>
      <c r="K4060" s="10">
        <v>4.38</v>
      </c>
      <c r="L4060" s="10">
        <v>73</v>
      </c>
      <c r="M4060" s="6" t="s">
        <v>421</v>
      </c>
      <c r="N4060" s="6">
        <f>IF(OR($G4060="FCC",$G4060="Hydrocracker",$G4060="Reformer"),IF(COUNTIFS($D:$D,$D4060,$A:$A,$A4060,$B:$B,$B4060,$G:$G,"CDU",$J:$J,"PLANNED")&gt;0,"tied","standalone"),"")</f>
        <v/>
      </c>
    </row>
    <row r="4061" spans="1:14">
      <c r="A4061" s="6">
        <v>2024</v>
      </c>
      <c r="B4061" s="6">
        <v>7</v>
      </c>
      <c r="C4061" s="6" t="s">
        <v>66</v>
      </c>
      <c r="D4061" s="6" t="s">
        <v>1093</v>
      </c>
      <c r="E4061" s="6" t="s">
        <v>438</v>
      </c>
      <c r="F4061" s="6" t="str">
        <f>IF($M4061="PADD I","PADD 1",IF($M4061="PADD II","PADD 2",IF($M4061="PADD III","PADD 3",IF($M4061="PADD IV","PADD 4",IF($M4061="PADD V","PADD 5","")))))</f>
        <v>PADD 2</v>
      </c>
      <c r="G4061" s="6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6" t="s">
        <v>44</v>
      </c>
      <c r="I4061" s="6" t="s">
        <v>514</v>
      </c>
      <c r="J4061" s="6" t="s">
        <v>394</v>
      </c>
      <c r="K4061" s="10">
        <v>4.3</v>
      </c>
      <c r="L4061" s="10">
        <v>4.3</v>
      </c>
      <c r="M4061" s="6" t="s">
        <v>425</v>
      </c>
      <c r="N4061" s="6">
        <f>IF(OR($G4061="FCC",$G4061="Hydrocracker",$G4061="Reformer"),IF(COUNTIFS($D:$D,$D4061,$A:$A,$A4061,$B:$B,$B4061,$G:$G,"CDU",$J:$J,"PLANNED")&gt;0,"tied","standalone"),"")</f>
        <v/>
      </c>
    </row>
    <row r="4062" spans="1:14">
      <c r="A4062" s="6">
        <v>2024</v>
      </c>
      <c r="B4062" s="6">
        <v>7</v>
      </c>
      <c r="C4062" s="6" t="s">
        <v>66</v>
      </c>
      <c r="D4062" s="6" t="s">
        <v>458</v>
      </c>
      <c r="E4062" s="6" t="s">
        <v>459</v>
      </c>
      <c r="F4062" s="6" t="str">
        <f>IF($M4062="PADD I","PADD 1",IF($M4062="PADD II","PADD 2",IF($M4062="PADD III","PADD 3",IF($M4062="PADD IV","PADD 4",IF($M4062="PADD V","PADD 5","")))))</f>
        <v>PADD 3</v>
      </c>
      <c r="G4062" s="6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6" t="s">
        <v>44</v>
      </c>
      <c r="I4062" s="6" t="s">
        <v>528</v>
      </c>
      <c r="J4062" s="6" t="s">
        <v>394</v>
      </c>
      <c r="K4062" s="10">
        <v>4.2</v>
      </c>
      <c r="L4062" s="10">
        <v>42</v>
      </c>
      <c r="M4062" s="6" t="s">
        <v>421</v>
      </c>
      <c r="N4062" s="6">
        <f>IF(OR($G4062="FCC",$G4062="Hydrocracker",$G4062="Reformer"),IF(COUNTIFS($D:$D,$D4062,$A:$A,$A4062,$B:$B,$B4062,$G:$G,"CDU",$J:$J,"PLANNED")&gt;0,"tied","standalone"),"")</f>
        <v/>
      </c>
    </row>
    <row r="4063" spans="1:14">
      <c r="A4063" s="6">
        <v>2024</v>
      </c>
      <c r="B4063" s="6">
        <v>7</v>
      </c>
      <c r="C4063" s="6" t="s">
        <v>66</v>
      </c>
      <c r="D4063" s="6" t="s">
        <v>928</v>
      </c>
      <c r="E4063" s="6" t="s">
        <v>502</v>
      </c>
      <c r="F4063" s="6" t="str">
        <f>IF($M4063="PADD I","PADD 1",IF($M4063="PADD II","PADD 2",IF($M4063="PADD III","PADD 3",IF($M4063="PADD IV","PADD 4",IF($M4063="PADD V","PADD 5","")))))</f>
        <v>PADD 2</v>
      </c>
      <c r="G4063" s="6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6" t="s">
        <v>485</v>
      </c>
      <c r="I4063" s="6" t="s">
        <v>491</v>
      </c>
      <c r="J4063" s="6" t="s">
        <v>394</v>
      </c>
      <c r="K4063" s="10">
        <v>4.08</v>
      </c>
      <c r="L4063" s="10">
        <v>8.5</v>
      </c>
      <c r="M4063" s="6" t="s">
        <v>425</v>
      </c>
      <c r="N4063" s="6">
        <f>IF(OR($G4063="FCC",$G4063="Hydrocracker",$G4063="Reformer"),IF(COUNTIFS($D:$D,$D4063,$A:$A,$A4063,$B:$B,$B4063,$G:$G,"CDU",$J:$J,"PLANNED")&gt;0,"tied","standalone"),"")</f>
        <v/>
      </c>
    </row>
    <row r="4064" spans="1:14">
      <c r="A4064" s="6">
        <v>2024</v>
      </c>
      <c r="B4064" s="6">
        <v>7</v>
      </c>
      <c r="C4064" s="6" t="s">
        <v>66</v>
      </c>
      <c r="D4064" s="6" t="s">
        <v>479</v>
      </c>
      <c r="E4064" s="6" t="s">
        <v>438</v>
      </c>
      <c r="F4064" s="6" t="str">
        <f>IF($M4064="PADD I","PADD 1",IF($M4064="PADD II","PADD 2",IF($M4064="PADD III","PADD 3",IF($M4064="PADD IV","PADD 4",IF($M4064="PADD V","PADD 5","")))))</f>
        <v>PADD 4</v>
      </c>
      <c r="G4064" s="6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6" t="s">
        <v>39</v>
      </c>
      <c r="I4064" s="6" t="s">
        <v>82</v>
      </c>
      <c r="J4064" s="6" t="s">
        <v>394</v>
      </c>
      <c r="K4064" s="10">
        <v>3.99</v>
      </c>
      <c r="L4064" s="10">
        <v>66.5</v>
      </c>
      <c r="M4064" s="6" t="s">
        <v>480</v>
      </c>
      <c r="N4064" s="6">
        <f>IF(OR($G4064="FCC",$G4064="Hydrocracker",$G4064="Reformer"),IF(COUNTIFS($D:$D,$D4064,$A:$A,$A4064,$B:$B,$B4064,$G:$G,"CDU",$J:$J,"PLANNED")&gt;0,"tied","standalone"),"")</f>
        <v/>
      </c>
    </row>
    <row r="4065" spans="1:14">
      <c r="A4065" s="6">
        <v>2024</v>
      </c>
      <c r="B4065" s="6">
        <v>7</v>
      </c>
      <c r="C4065" s="6" t="s">
        <v>66</v>
      </c>
      <c r="D4065" s="6" t="s">
        <v>696</v>
      </c>
      <c r="E4065" s="6" t="s">
        <v>455</v>
      </c>
      <c r="F4065" s="6" t="str">
        <f>IF($M4065="PADD I","PADD 1",IF($M4065="PADD II","PADD 2",IF($M4065="PADD III","PADD 3",IF($M4065="PADD IV","PADD 4",IF($M4065="PADD V","PADD 5","")))))</f>
        <v>PADD 3</v>
      </c>
      <c r="G4065" s="6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6" t="s">
        <v>471</v>
      </c>
      <c r="I4065" s="6" t="s">
        <v>1210</v>
      </c>
      <c r="J4065" s="6" t="s">
        <v>394</v>
      </c>
      <c r="K4065" s="10">
        <v>3.9</v>
      </c>
      <c r="L4065" s="10">
        <v>10</v>
      </c>
      <c r="M4065" s="6" t="s">
        <v>421</v>
      </c>
      <c r="N4065" s="6" t="str">
        <f>IF(OR($G4065="FCC",$G4065="Hydrocracker",$G4065="Reformer"),IF(COUNTIFS($D:$D,$D4065,$A:$A,$A4065,$B:$B,$B4065,$G:$G,"CDU",$J:$J,"PLANNED")&gt;0,"tied","standalone"),"")</f>
        <v>standalone</v>
      </c>
    </row>
    <row r="4066" spans="1:14">
      <c r="A4066" s="6">
        <v>2024</v>
      </c>
      <c r="B4066" s="6">
        <v>7</v>
      </c>
      <c r="C4066" s="6" t="s">
        <v>66</v>
      </c>
      <c r="D4066" s="6" t="s">
        <v>375</v>
      </c>
      <c r="E4066" s="6" t="s">
        <v>435</v>
      </c>
      <c r="F4066" s="6" t="str">
        <f>IF($M4066="PADD I","PADD 1",IF($M4066="PADD II","PADD 2",IF($M4066="PADD III","PADD 3",IF($M4066="PADD IV","PADD 4",IF($M4066="PADD V","PADD 5","")))))</f>
        <v>PADD 5</v>
      </c>
      <c r="G4066" s="6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6" t="s">
        <v>485</v>
      </c>
      <c r="I4066" s="6" t="s">
        <v>491</v>
      </c>
      <c r="J4066" s="6" t="s">
        <v>394</v>
      </c>
      <c r="K4066" s="10">
        <v>3.52</v>
      </c>
      <c r="L4066" s="10">
        <v>22</v>
      </c>
      <c r="M4066" s="6" t="s">
        <v>436</v>
      </c>
      <c r="N4066" s="6">
        <f>IF(OR($G4066="FCC",$G4066="Hydrocracker",$G4066="Reformer"),IF(COUNTIFS($D:$D,$D4066,$A:$A,$A4066,$B:$B,$B4066,$G:$G,"CDU",$J:$J,"PLANNED")&gt;0,"tied","standalone"),"")</f>
        <v/>
      </c>
    </row>
    <row r="4067" spans="1:14">
      <c r="A4067" s="6">
        <v>2024</v>
      </c>
      <c r="B4067" s="6">
        <v>7</v>
      </c>
      <c r="C4067" s="6" t="s">
        <v>66</v>
      </c>
      <c r="D4067" s="6" t="s">
        <v>437</v>
      </c>
      <c r="E4067" s="6" t="s">
        <v>438</v>
      </c>
      <c r="F4067" s="6" t="str">
        <f>IF($M4067="PADD I","PADD 1",IF($M4067="PADD II","PADD 2",IF($M4067="PADD III","PADD 3",IF($M4067="PADD IV","PADD 4",IF($M4067="PADD V","PADD 5","")))))</f>
        <v>PADD 3</v>
      </c>
      <c r="G4067" s="6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6" t="s">
        <v>485</v>
      </c>
      <c r="I4067" s="6" t="s">
        <v>645</v>
      </c>
      <c r="J4067" s="6" t="s">
        <v>394</v>
      </c>
      <c r="K4067" s="10">
        <v>3.51</v>
      </c>
      <c r="L4067" s="10">
        <v>13.5</v>
      </c>
      <c r="M4067" s="6" t="s">
        <v>421</v>
      </c>
      <c r="N4067" s="6">
        <f>IF(OR($G4067="FCC",$G4067="Hydrocracker",$G4067="Reformer"),IF(COUNTIFS($D:$D,$D4067,$A:$A,$A4067,$B:$B,$B4067,$G:$G,"CDU",$J:$J,"PLANNED")&gt;0,"tied","standalone"),"")</f>
        <v/>
      </c>
    </row>
    <row r="4068" spans="1:14">
      <c r="A4068" s="6">
        <v>2024</v>
      </c>
      <c r="B4068" s="6">
        <v>7</v>
      </c>
      <c r="C4068" s="6" t="s">
        <v>66</v>
      </c>
      <c r="D4068" s="6" t="s">
        <v>812</v>
      </c>
      <c r="E4068" s="6" t="s">
        <v>813</v>
      </c>
      <c r="F4068" s="6" t="str">
        <f>IF($M4068="PADD I","PADD 1",IF($M4068="PADD II","PADD 2",IF($M4068="PADD III","PADD 3",IF($M4068="PADD IV","PADD 4",IF($M4068="PADD V","PADD 5","")))))</f>
        <v>PADD 2</v>
      </c>
      <c r="G4068" s="6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6" t="s">
        <v>39</v>
      </c>
      <c r="I4068" s="6" t="s">
        <v>379</v>
      </c>
      <c r="J4068" s="6" t="s">
        <v>394</v>
      </c>
      <c r="K4068" s="10">
        <v>3.5</v>
      </c>
      <c r="L4068" s="10">
        <v>3.5</v>
      </c>
      <c r="M4068" s="6" t="s">
        <v>425</v>
      </c>
      <c r="N4068" s="6">
        <f>IF(OR($G4068="FCC",$G4068="Hydrocracker",$G4068="Reformer"),IF(COUNTIFS($D:$D,$D4068,$A:$A,$A4068,$B:$B,$B4068,$G:$G,"CDU",$J:$J,"PLANNED")&gt;0,"tied","standalone"),"")</f>
        <v/>
      </c>
    </row>
    <row r="4069" spans="1:14">
      <c r="A4069" s="6">
        <v>2024</v>
      </c>
      <c r="B4069" s="6">
        <v>7</v>
      </c>
      <c r="C4069" s="6" t="s">
        <v>66</v>
      </c>
      <c r="D4069" s="6" t="s">
        <v>375</v>
      </c>
      <c r="E4069" s="6" t="s">
        <v>435</v>
      </c>
      <c r="F4069" s="6" t="str">
        <f>IF($M4069="PADD I","PADD 1",IF($M4069="PADD II","PADD 2",IF($M4069="PADD III","PADD 3",IF($M4069="PADD IV","PADD 4",IF($M4069="PADD V","PADD 5","")))))</f>
        <v>PADD 5</v>
      </c>
      <c r="G4069" s="6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6" t="s">
        <v>485</v>
      </c>
      <c r="I4069" s="6" t="s">
        <v>863</v>
      </c>
      <c r="J4069" s="6" t="s">
        <v>394</v>
      </c>
      <c r="K4069" s="10">
        <v>3.25</v>
      </c>
      <c r="L4069" s="10">
        <v>25</v>
      </c>
      <c r="M4069" s="6" t="s">
        <v>436</v>
      </c>
      <c r="N4069" s="6">
        <f>IF(OR($G4069="FCC",$G4069="Hydrocracker",$G4069="Reformer"),IF(COUNTIFS($D:$D,$D4069,$A:$A,$A4069,$B:$B,$B4069,$G:$G,"CDU",$J:$J,"PLANNED")&gt;0,"tied","standalone"),"")</f>
        <v/>
      </c>
    </row>
    <row r="4070" spans="1:14">
      <c r="A4070" s="6">
        <v>2024</v>
      </c>
      <c r="B4070" s="6">
        <v>7</v>
      </c>
      <c r="C4070" s="6" t="s">
        <v>66</v>
      </c>
      <c r="D4070" s="6" t="s">
        <v>49</v>
      </c>
      <c r="E4070" s="6" t="s">
        <v>438</v>
      </c>
      <c r="F4070" s="6" t="str">
        <f>IF($M4070="PADD I","PADD 1",IF($M4070="PADD II","PADD 2",IF($M4070="PADD III","PADD 3",IF($M4070="PADD IV","PADD 4",IF($M4070="PADD V","PADD 5","")))))</f>
        <v>PADD 2</v>
      </c>
      <c r="G4070" s="6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6" t="s">
        <v>618</v>
      </c>
      <c r="I4070" s="6" t="s">
        <v>815</v>
      </c>
      <c r="J4070" s="6" t="s">
        <v>394</v>
      </c>
      <c r="K4070" s="10">
        <v>3.22</v>
      </c>
      <c r="L4070" s="10">
        <v>14</v>
      </c>
      <c r="M4070" s="6" t="s">
        <v>425</v>
      </c>
      <c r="N4070" s="6">
        <f>IF(OR($G4070="FCC",$G4070="Hydrocracker",$G4070="Reformer"),IF(COUNTIFS($D:$D,$D4070,$A:$A,$A4070,$B:$B,$B4070,$G:$G,"CDU",$J:$J,"PLANNED")&gt;0,"tied","standalone"),"")</f>
        <v/>
      </c>
    </row>
    <row r="4071" spans="1:14">
      <c r="A4071" s="6">
        <v>2024</v>
      </c>
      <c r="B4071" s="6">
        <v>7</v>
      </c>
      <c r="C4071" s="6" t="s">
        <v>66</v>
      </c>
      <c r="D4071" s="6" t="s">
        <v>430</v>
      </c>
      <c r="E4071" s="6" t="s">
        <v>431</v>
      </c>
      <c r="F4071" s="6" t="str">
        <f>IF($M4071="PADD I","PADD 1",IF($M4071="PADD II","PADD 2",IF($M4071="PADD III","PADD 3",IF($M4071="PADD IV","PADD 4",IF($M4071="PADD V","PADD 5","")))))</f>
        <v>PADD 3</v>
      </c>
      <c r="G4071" s="6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6" t="s">
        <v>494</v>
      </c>
      <c r="I4071" s="6" t="s">
        <v>1271</v>
      </c>
      <c r="J4071" s="6" t="s">
        <v>394</v>
      </c>
      <c r="K4071" s="10">
        <v>3.2</v>
      </c>
      <c r="L4071" s="10">
        <v>20</v>
      </c>
      <c r="M4071" s="6" t="s">
        <v>421</v>
      </c>
      <c r="N4071" s="6" t="str">
        <f>IF(OR($G4071="FCC",$G4071="Hydrocracker",$G4071="Reformer"),IF(COUNTIFS($D:$D,$D4071,$A:$A,$A4071,$B:$B,$B4071,$G:$G,"CDU",$J:$J,"PLANNED")&gt;0,"tied","standalone"),"")</f>
        <v>standalone</v>
      </c>
    </row>
    <row r="4072" spans="1:14">
      <c r="A4072" s="6">
        <v>2024</v>
      </c>
      <c r="B4072" s="6">
        <v>7</v>
      </c>
      <c r="C4072" s="6" t="s">
        <v>66</v>
      </c>
      <c r="D4072" s="6" t="s">
        <v>383</v>
      </c>
      <c r="E4072" s="6" t="s">
        <v>602</v>
      </c>
      <c r="F4072" s="6" t="str">
        <f>IF($M4072="PADD I","PADD 1",IF($M4072="PADD II","PADD 2",IF($M4072="PADD III","PADD 3",IF($M4072="PADD IV","PADD 4",IF($M4072="PADD V","PADD 5","")))))</f>
        <v>PADD 3</v>
      </c>
      <c r="G4072" s="6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6" t="s">
        <v>426</v>
      </c>
      <c r="I4072" s="6" t="s">
        <v>663</v>
      </c>
      <c r="J4072" s="6" t="s">
        <v>394</v>
      </c>
      <c r="K4072" s="10">
        <v>3.2</v>
      </c>
      <c r="L4072" s="10">
        <v>20</v>
      </c>
      <c r="M4072" s="6" t="s">
        <v>421</v>
      </c>
      <c r="N4072" s="6" t="str">
        <f>IF(OR($G4072="FCC",$G4072="Hydrocracker",$G4072="Reformer"),IF(COUNTIFS($D:$D,$D4072,$A:$A,$A4072,$B:$B,$B4072,$G:$G,"CDU",$J:$J,"PLANNED")&gt;0,"tied","standalone"),"")</f>
        <v>standalone</v>
      </c>
    </row>
    <row r="4073" spans="1:14">
      <c r="A4073" s="6">
        <v>2024</v>
      </c>
      <c r="B4073" s="6">
        <v>7</v>
      </c>
      <c r="C4073" s="6" t="s">
        <v>66</v>
      </c>
      <c r="D4073" s="6" t="s">
        <v>576</v>
      </c>
      <c r="E4073" s="6" t="s">
        <v>455</v>
      </c>
      <c r="F4073" s="6" t="str">
        <f>IF($M4073="PADD I","PADD 1",IF($M4073="PADD II","PADD 2",IF($M4073="PADD III","PADD 3",IF($M4073="PADD IV","PADD 4",IF($M4073="PADD V","PADD 5","")))))</f>
        <v>PADD 3</v>
      </c>
      <c r="G4073" s="6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6" t="s">
        <v>471</v>
      </c>
      <c r="I4073" s="6" t="s">
        <v>647</v>
      </c>
      <c r="J4073" s="6" t="s">
        <v>394</v>
      </c>
      <c r="K4073" s="10">
        <v>3.18</v>
      </c>
      <c r="L4073" s="10">
        <v>53</v>
      </c>
      <c r="M4073" s="6" t="s">
        <v>421</v>
      </c>
      <c r="N4073" s="6" t="str">
        <f>IF(OR($G4073="FCC",$G4073="Hydrocracker",$G4073="Reformer"),IF(COUNTIFS($D:$D,$D4073,$A:$A,$A4073,$B:$B,$B4073,$G:$G,"CDU",$J:$J,"PLANNED")&gt;0,"tied","standalone"),"")</f>
        <v>standalone</v>
      </c>
    </row>
    <row r="4074" spans="1:14">
      <c r="A4074" s="6">
        <v>2024</v>
      </c>
      <c r="B4074" s="6">
        <v>7</v>
      </c>
      <c r="C4074" s="6" t="s">
        <v>66</v>
      </c>
      <c r="D4074" s="6" t="s">
        <v>380</v>
      </c>
      <c r="E4074" s="6" t="s">
        <v>423</v>
      </c>
      <c r="F4074" s="6" t="str">
        <f>IF($M4074="PADD I","PADD 1",IF($M4074="PADD II","PADD 2",IF($M4074="PADD III","PADD 3",IF($M4074="PADD IV","PADD 4",IF($M4074="PADD V","PADD 5","")))))</f>
        <v>PADD 2</v>
      </c>
      <c r="G4074" s="6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6" t="s">
        <v>428</v>
      </c>
      <c r="I4074" s="6" t="s">
        <v>481</v>
      </c>
      <c r="J4074" s="6" t="s">
        <v>394</v>
      </c>
      <c r="K4074" s="10">
        <v>3.12</v>
      </c>
      <c r="L4074" s="10">
        <v>52</v>
      </c>
      <c r="M4074" s="6" t="s">
        <v>425</v>
      </c>
      <c r="N4074" s="6">
        <f>IF(OR($G4074="FCC",$G4074="Hydrocracker",$G4074="Reformer"),IF(COUNTIFS($D:$D,$D4074,$A:$A,$A4074,$B:$B,$B4074,$G:$G,"CDU",$J:$J,"PLANNED")&gt;0,"tied","standalone"),"")</f>
        <v/>
      </c>
    </row>
    <row r="4075" spans="1:14">
      <c r="A4075" s="6">
        <v>2024</v>
      </c>
      <c r="B4075" s="6">
        <v>7</v>
      </c>
      <c r="C4075" s="6" t="s">
        <v>66</v>
      </c>
      <c r="D4075" s="6" t="s">
        <v>680</v>
      </c>
      <c r="E4075" s="6" t="s">
        <v>541</v>
      </c>
      <c r="F4075" s="6" t="str">
        <f>IF($M4075="PADD I","PADD 1",IF($M4075="PADD II","PADD 2",IF($M4075="PADD III","PADD 3",IF($M4075="PADD IV","PADD 4",IF($M4075="PADD V","PADD 5","")))))</f>
        <v>PADD 3</v>
      </c>
      <c r="G4075" s="6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6" t="s">
        <v>44</v>
      </c>
      <c r="I4075" s="6" t="s">
        <v>514</v>
      </c>
      <c r="J4075" s="6" t="s">
        <v>394</v>
      </c>
      <c r="K4075" s="10">
        <v>3.12</v>
      </c>
      <c r="L4075" s="10">
        <v>12</v>
      </c>
      <c r="M4075" s="6" t="s">
        <v>421</v>
      </c>
      <c r="N4075" s="6">
        <f>IF(OR($G4075="FCC",$G4075="Hydrocracker",$G4075="Reformer"),IF(COUNTIFS($D:$D,$D4075,$A:$A,$A4075,$B:$B,$B4075,$G:$G,"CDU",$J:$J,"PLANNED")&gt;0,"tied","standalone"),"")</f>
        <v/>
      </c>
    </row>
    <row r="4076" spans="1:14">
      <c r="A4076" s="6">
        <v>2024</v>
      </c>
      <c r="B4076" s="6">
        <v>7</v>
      </c>
      <c r="C4076" s="6" t="s">
        <v>66</v>
      </c>
      <c r="D4076" s="6" t="s">
        <v>458</v>
      </c>
      <c r="E4076" s="6" t="s">
        <v>459</v>
      </c>
      <c r="F4076" s="6" t="str">
        <f>IF($M4076="PADD I","PADD 1",IF($M4076="PADD II","PADD 2",IF($M4076="PADD III","PADD 3",IF($M4076="PADD IV","PADD 4",IF($M4076="PADD V","PADD 5","")))))</f>
        <v>PADD 3</v>
      </c>
      <c r="G4076" s="6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6" t="s">
        <v>44</v>
      </c>
      <c r="I4076" s="6" t="s">
        <v>547</v>
      </c>
      <c r="J4076" s="6" t="s">
        <v>394</v>
      </c>
      <c r="K4076" s="10">
        <v>3.1</v>
      </c>
      <c r="L4076" s="10">
        <v>31</v>
      </c>
      <c r="M4076" s="6" t="s">
        <v>421</v>
      </c>
      <c r="N4076" s="6">
        <f>IF(OR($G4076="FCC",$G4076="Hydrocracker",$G4076="Reformer"),IF(COUNTIFS($D:$D,$D4076,$A:$A,$A4076,$B:$B,$B4076,$G:$G,"CDU",$J:$J,"PLANNED")&gt;0,"tied","standalone"),"")</f>
        <v/>
      </c>
    </row>
    <row r="4077" spans="1:14">
      <c r="A4077" s="6">
        <v>2024</v>
      </c>
      <c r="B4077" s="6">
        <v>7</v>
      </c>
      <c r="C4077" s="6" t="s">
        <v>66</v>
      </c>
      <c r="D4077" s="6" t="s">
        <v>851</v>
      </c>
      <c r="E4077" s="6" t="s">
        <v>829</v>
      </c>
      <c r="F4077" s="6" t="str">
        <f>IF($M4077="PADD I","PADD 1",IF($M4077="PADD II","PADD 2",IF($M4077="PADD III","PADD 3",IF($M4077="PADD IV","PADD 4",IF($M4077="PADD V","PADD 5","")))))</f>
        <v>PADD 2</v>
      </c>
      <c r="G4077" s="6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6" t="s">
        <v>485</v>
      </c>
      <c r="I4077" s="6" t="s">
        <v>1229</v>
      </c>
      <c r="J4077" s="6" t="s">
        <v>398</v>
      </c>
      <c r="K4077" s="10">
        <v>3.0888</v>
      </c>
      <c r="L4077" s="10">
        <v>11.88</v>
      </c>
      <c r="M4077" s="6" t="s">
        <v>425</v>
      </c>
      <c r="N4077" s="6">
        <f>IF(OR($G4077="FCC",$G4077="Hydrocracker",$G4077="Reformer"),IF(COUNTIFS($D:$D,$D4077,$A:$A,$A4077,$B:$B,$B4077,$G:$G,"CDU",$J:$J,"PLANNED")&gt;0,"tied","standalone"),"")</f>
        <v/>
      </c>
    </row>
    <row r="4078" spans="1:14">
      <c r="A4078" s="6">
        <v>2024</v>
      </c>
      <c r="B4078" s="6">
        <v>7</v>
      </c>
      <c r="C4078" s="6" t="s">
        <v>66</v>
      </c>
      <c r="D4078" s="6" t="s">
        <v>49</v>
      </c>
      <c r="E4078" s="6" t="s">
        <v>438</v>
      </c>
      <c r="F4078" s="6" t="str">
        <f>IF($M4078="PADD I","PADD 1",IF($M4078="PADD II","PADD 2",IF($M4078="PADD III","PADD 3",IF($M4078="PADD IV","PADD 4",IF($M4078="PADD V","PADD 5","")))))</f>
        <v>PADD 2</v>
      </c>
      <c r="G4078" s="6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6" t="s">
        <v>687</v>
      </c>
      <c r="I4078" s="6" t="s">
        <v>654</v>
      </c>
      <c r="J4078" s="6" t="s">
        <v>394</v>
      </c>
      <c r="K4078" s="10">
        <v>3.04</v>
      </c>
      <c r="L4078" s="10">
        <v>16</v>
      </c>
      <c r="M4078" s="6" t="s">
        <v>425</v>
      </c>
      <c r="N4078" s="6">
        <f>IF(OR($G4078="FCC",$G4078="Hydrocracker",$G4078="Reformer"),IF(COUNTIFS($D:$D,$D4078,$A:$A,$A4078,$B:$B,$B4078,$G:$G,"CDU",$J:$J,"PLANNED")&gt;0,"tied","standalone"),"")</f>
        <v/>
      </c>
    </row>
    <row r="4079" spans="1:14">
      <c r="A4079" s="6">
        <v>2024</v>
      </c>
      <c r="B4079" s="6">
        <v>7</v>
      </c>
      <c r="C4079" s="6" t="s">
        <v>66</v>
      </c>
      <c r="D4079" s="6" t="s">
        <v>458</v>
      </c>
      <c r="E4079" s="6" t="s">
        <v>459</v>
      </c>
      <c r="F4079" s="6" t="str">
        <f>IF($M4079="PADD I","PADD 1",IF($M4079="PADD II","PADD 2",IF($M4079="PADD III","PADD 3",IF($M4079="PADD IV","PADD 4",IF($M4079="PADD V","PADD 5","")))))</f>
        <v>PADD 3</v>
      </c>
      <c r="G4079" s="6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6" t="s">
        <v>44</v>
      </c>
      <c r="I4079" s="6" t="s">
        <v>552</v>
      </c>
      <c r="J4079" s="6" t="s">
        <v>394</v>
      </c>
      <c r="K4079" s="10">
        <v>3</v>
      </c>
      <c r="L4079" s="10">
        <v>30</v>
      </c>
      <c r="M4079" s="6" t="s">
        <v>421</v>
      </c>
      <c r="N4079" s="6">
        <f>IF(OR($G4079="FCC",$G4079="Hydrocracker",$G4079="Reformer"),IF(COUNTIFS($D:$D,$D4079,$A:$A,$A4079,$B:$B,$B4079,$G:$G,"CDU",$J:$J,"PLANNED")&gt;0,"tied","standalone"),"")</f>
        <v/>
      </c>
    </row>
    <row r="4080" spans="1:14">
      <c r="A4080" s="6">
        <v>2024</v>
      </c>
      <c r="B4080" s="6">
        <v>7</v>
      </c>
      <c r="C4080" s="6" t="s">
        <v>66</v>
      </c>
      <c r="D4080" s="6" t="s">
        <v>458</v>
      </c>
      <c r="E4080" s="6" t="s">
        <v>459</v>
      </c>
      <c r="F4080" s="6" t="str">
        <f>IF($M4080="PADD I","PADD 1",IF($M4080="PADD II","PADD 2",IF($M4080="PADD III","PADD 3",IF($M4080="PADD IV","PADD 4",IF($M4080="PADD V","PADD 5","")))))</f>
        <v>PADD 3</v>
      </c>
      <c r="G4080" s="6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6" t="s">
        <v>44</v>
      </c>
      <c r="I4080" s="6" t="s">
        <v>553</v>
      </c>
      <c r="J4080" s="6" t="s">
        <v>394</v>
      </c>
      <c r="K4080" s="10">
        <v>3</v>
      </c>
      <c r="L4080" s="10">
        <v>30</v>
      </c>
      <c r="M4080" s="6" t="s">
        <v>421</v>
      </c>
      <c r="N4080" s="6">
        <f>IF(OR($G4080="FCC",$G4080="Hydrocracker",$G4080="Reformer"),IF(COUNTIFS($D:$D,$D4080,$A:$A,$A4080,$B:$B,$B4080,$G:$G,"CDU",$J:$J,"PLANNED")&gt;0,"tied","standalone"),"")</f>
        <v/>
      </c>
    </row>
    <row r="4081" spans="1:14">
      <c r="A4081" s="6">
        <v>2024</v>
      </c>
      <c r="B4081" s="6">
        <v>7</v>
      </c>
      <c r="C4081" s="6" t="s">
        <v>66</v>
      </c>
      <c r="D4081" s="6" t="s">
        <v>384</v>
      </c>
      <c r="E4081" s="6" t="s">
        <v>419</v>
      </c>
      <c r="F4081" s="6" t="str">
        <f>IF($M4081="PADD I","PADD 1",IF($M4081="PADD II","PADD 2",IF($M4081="PADD III","PADD 3",IF($M4081="PADD IV","PADD 4",IF($M4081="PADD V","PADD 5","")))))</f>
        <v>PADD 3</v>
      </c>
      <c r="G4081" s="6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6" t="s">
        <v>426</v>
      </c>
      <c r="I4081" s="6" t="s">
        <v>522</v>
      </c>
      <c r="J4081" s="6" t="s">
        <v>398</v>
      </c>
      <c r="K4081" s="10">
        <v>3</v>
      </c>
      <c r="L4081" s="10">
        <v>30</v>
      </c>
      <c r="M4081" s="6" t="s">
        <v>421</v>
      </c>
      <c r="N4081" s="6" t="str">
        <f>IF(OR($G4081="FCC",$G4081="Hydrocracker",$G4081="Reformer"),IF(COUNTIFS($D:$D,$D4081,$A:$A,$A4081,$B:$B,$B4081,$G:$G,"CDU",$J:$J,"PLANNED")&gt;0,"tied","standalone"),"")</f>
        <v>standalone</v>
      </c>
    </row>
    <row r="4082" spans="1:14">
      <c r="A4082" s="6">
        <v>2024</v>
      </c>
      <c r="B4082" s="6">
        <v>7</v>
      </c>
      <c r="C4082" s="6" t="s">
        <v>66</v>
      </c>
      <c r="D4082" s="6" t="s">
        <v>561</v>
      </c>
      <c r="E4082" s="6" t="s">
        <v>455</v>
      </c>
      <c r="F4082" s="6" t="str">
        <f>IF($M4082="PADD I","PADD 1",IF($M4082="PADD II","PADD 2",IF($M4082="PADD III","PADD 3",IF($M4082="PADD IV","PADD 4",IF($M4082="PADD V","PADD 5","")))))</f>
        <v>PADD 3</v>
      </c>
      <c r="G4082" s="6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6" t="s">
        <v>426</v>
      </c>
      <c r="I4082" s="6" t="s">
        <v>106</v>
      </c>
      <c r="J4082" s="6" t="s">
        <v>398</v>
      </c>
      <c r="K4082" s="10">
        <v>2.91</v>
      </c>
      <c r="L4082" s="10">
        <v>97</v>
      </c>
      <c r="M4082" s="6" t="s">
        <v>421</v>
      </c>
      <c r="N4082" s="6" t="str">
        <f>IF(OR($G4082="FCC",$G4082="Hydrocracker",$G4082="Reformer"),IF(COUNTIFS($D:$D,$D4082,$A:$A,$A4082,$B:$B,$B4082,$G:$G,"CDU",$J:$J,"PLANNED")&gt;0,"tied","standalone"),"")</f>
        <v>standalone</v>
      </c>
    </row>
    <row r="4083" spans="1:14">
      <c r="A4083" s="6">
        <v>2024</v>
      </c>
      <c r="B4083" s="6">
        <v>7</v>
      </c>
      <c r="C4083" s="6" t="s">
        <v>66</v>
      </c>
      <c r="D4083" s="6" t="s">
        <v>377</v>
      </c>
      <c r="E4083" s="6" t="s">
        <v>466</v>
      </c>
      <c r="F4083" s="6" t="str">
        <f>IF($M4083="PADD I","PADD 1",IF($M4083="PADD II","PADD 2",IF($M4083="PADD III","PADD 3",IF($M4083="PADD IV","PADD 4",IF($M4083="PADD V","PADD 5","")))))</f>
        <v>PADD 2</v>
      </c>
      <c r="G4083" s="6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6" t="s">
        <v>485</v>
      </c>
      <c r="I4083" s="6" t="s">
        <v>1109</v>
      </c>
      <c r="J4083" s="6" t="s">
        <v>398</v>
      </c>
      <c r="K4083" s="10">
        <v>2.8842</v>
      </c>
      <c r="L4083" s="10">
        <v>12.54</v>
      </c>
      <c r="M4083" s="6" t="s">
        <v>425</v>
      </c>
      <c r="N4083" s="6">
        <f>IF(OR($G4083="FCC",$G4083="Hydrocracker",$G4083="Reformer"),IF(COUNTIFS($D:$D,$D4083,$A:$A,$A4083,$B:$B,$B4083,$G:$G,"CDU",$J:$J,"PLANNED")&gt;0,"tied","standalone"),"")</f>
        <v/>
      </c>
    </row>
    <row r="4084" spans="1:14">
      <c r="A4084" s="6">
        <v>2024</v>
      </c>
      <c r="B4084" s="6">
        <v>7</v>
      </c>
      <c r="C4084" s="6" t="s">
        <v>66</v>
      </c>
      <c r="D4084" s="6" t="s">
        <v>507</v>
      </c>
      <c r="E4084" s="6" t="s">
        <v>438</v>
      </c>
      <c r="F4084" s="6" t="str">
        <f>IF($M4084="PADD I","PADD 1",IF($M4084="PADD II","PADD 2",IF($M4084="PADD III","PADD 3",IF($M4084="PADD IV","PADD 4",IF($M4084="PADD V","PADD 5","")))))</f>
        <v>PADD 5</v>
      </c>
      <c r="G4084" s="6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6" t="s">
        <v>471</v>
      </c>
      <c r="I4084" s="6" t="s">
        <v>609</v>
      </c>
      <c r="J4084" s="6" t="s">
        <v>394</v>
      </c>
      <c r="K4084" s="10">
        <v>2.6</v>
      </c>
      <c r="L4084" s="10">
        <v>20</v>
      </c>
      <c r="M4084" s="6" t="s">
        <v>436</v>
      </c>
      <c r="N4084" s="6" t="str">
        <f>IF(OR($G4084="FCC",$G4084="Hydrocracker",$G4084="Reformer"),IF(COUNTIFS($D:$D,$D4084,$A:$A,$A4084,$B:$B,$B4084,$G:$G,"CDU",$J:$J,"PLANNED")&gt;0,"tied","standalone"),"")</f>
        <v>standalone</v>
      </c>
    </row>
    <row r="4085" spans="1:14">
      <c r="A4085" s="6">
        <v>2024</v>
      </c>
      <c r="B4085" s="6">
        <v>7</v>
      </c>
      <c r="C4085" s="6" t="s">
        <v>66</v>
      </c>
      <c r="D4085" s="6" t="s">
        <v>507</v>
      </c>
      <c r="E4085" s="6" t="s">
        <v>438</v>
      </c>
      <c r="F4085" s="6" t="str">
        <f>IF($M4085="PADD I","PADD 1",IF($M4085="PADD II","PADD 2",IF($M4085="PADD III","PADD 3",IF($M4085="PADD IV","PADD 4",IF($M4085="PADD V","PADD 5","")))))</f>
        <v>PADD 5</v>
      </c>
      <c r="G4085" s="6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6" t="s">
        <v>471</v>
      </c>
      <c r="I4085" s="6" t="s">
        <v>609</v>
      </c>
      <c r="J4085" s="6" t="s">
        <v>394</v>
      </c>
      <c r="K4085" s="10">
        <v>2.6</v>
      </c>
      <c r="L4085" s="10">
        <v>20</v>
      </c>
      <c r="M4085" s="6" t="s">
        <v>436</v>
      </c>
      <c r="N4085" s="6" t="str">
        <f>IF(OR($G4085="FCC",$G4085="Hydrocracker",$G4085="Reformer"),IF(COUNTIFS($D:$D,$D4085,$A:$A,$A4085,$B:$B,$B4085,$G:$G,"CDU",$J:$J,"PLANNED")&gt;0,"tied","standalone"),"")</f>
        <v>standalone</v>
      </c>
    </row>
    <row r="4086" spans="1:14">
      <c r="A4086" s="6">
        <v>2024</v>
      </c>
      <c r="B4086" s="6">
        <v>7</v>
      </c>
      <c r="C4086" s="6" t="s">
        <v>66</v>
      </c>
      <c r="D4086" s="6" t="s">
        <v>458</v>
      </c>
      <c r="E4086" s="6" t="s">
        <v>459</v>
      </c>
      <c r="F4086" s="6" t="str">
        <f>IF($M4086="PADD I","PADD 1",IF($M4086="PADD II","PADD 2",IF($M4086="PADD III","PADD 3",IF($M4086="PADD IV","PADD 4",IF($M4086="PADD V","PADD 5","")))))</f>
        <v>PADD 3</v>
      </c>
      <c r="G4086" s="6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6" t="s">
        <v>44</v>
      </c>
      <c r="I4086" s="6" t="s">
        <v>567</v>
      </c>
      <c r="J4086" s="6" t="s">
        <v>394</v>
      </c>
      <c r="K4086" s="10">
        <v>2.4</v>
      </c>
      <c r="L4086" s="10">
        <v>24</v>
      </c>
      <c r="M4086" s="6" t="s">
        <v>421</v>
      </c>
      <c r="N4086" s="6">
        <f>IF(OR($G4086="FCC",$G4086="Hydrocracker",$G4086="Reformer"),IF(COUNTIFS($D:$D,$D4086,$A:$A,$A4086,$B:$B,$B4086,$G:$G,"CDU",$J:$J,"PLANNED")&gt;0,"tied","standalone"),"")</f>
        <v/>
      </c>
    </row>
    <row r="4087" spans="1:14">
      <c r="A4087" s="6">
        <v>2024</v>
      </c>
      <c r="B4087" s="6">
        <v>7</v>
      </c>
      <c r="C4087" s="6" t="s">
        <v>66</v>
      </c>
      <c r="D4087" s="6" t="s">
        <v>380</v>
      </c>
      <c r="E4087" s="6" t="s">
        <v>423</v>
      </c>
      <c r="F4087" s="6" t="str">
        <f>IF($M4087="PADD I","PADD 1",IF($M4087="PADD II","PADD 2",IF($M4087="PADD III","PADD 3",IF($M4087="PADD IV","PADD 4",IF($M4087="PADD V","PADD 5","")))))</f>
        <v>PADD 2</v>
      </c>
      <c r="G4087" s="6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6" t="s">
        <v>471</v>
      </c>
      <c r="I4087" s="6" t="s">
        <v>966</v>
      </c>
      <c r="J4087" s="6" t="s">
        <v>394</v>
      </c>
      <c r="K4087" s="10">
        <v>2.4</v>
      </c>
      <c r="L4087" s="10">
        <v>40</v>
      </c>
      <c r="M4087" s="6" t="s">
        <v>425</v>
      </c>
      <c r="N4087" s="6" t="str">
        <f>IF(OR($G4087="FCC",$G4087="Hydrocracker",$G4087="Reformer"),IF(COUNTIFS($D:$D,$D4087,$A:$A,$A4087,$B:$B,$B4087,$G:$G,"CDU",$J:$J,"PLANNED")&gt;0,"tied","standalone"),"")</f>
        <v>standalone</v>
      </c>
    </row>
    <row r="4088" spans="1:14">
      <c r="A4088" s="6">
        <v>2024</v>
      </c>
      <c r="B4088" s="6">
        <v>7</v>
      </c>
      <c r="C4088" s="6" t="s">
        <v>66</v>
      </c>
      <c r="D4088" s="6" t="s">
        <v>484</v>
      </c>
      <c r="E4088" s="6" t="s">
        <v>438</v>
      </c>
      <c r="F4088" s="6" t="str">
        <f>IF($M4088="PADD I","PADD 1",IF($M4088="PADD II","PADD 2",IF($M4088="PADD III","PADD 3",IF($M4088="PADD IV","PADD 4",IF($M4088="PADD V","PADD 5","")))))</f>
        <v>PADD 5</v>
      </c>
      <c r="G4088" s="6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6" t="s">
        <v>471</v>
      </c>
      <c r="I4088" s="6" t="s">
        <v>721</v>
      </c>
      <c r="J4088" s="6" t="s">
        <v>394</v>
      </c>
      <c r="K4088" s="10">
        <v>2.4</v>
      </c>
      <c r="L4088" s="10">
        <v>15</v>
      </c>
      <c r="M4088" s="6" t="s">
        <v>436</v>
      </c>
      <c r="N4088" s="6" t="str">
        <f>IF(OR($G4088="FCC",$G4088="Hydrocracker",$G4088="Reformer"),IF(COUNTIFS($D:$D,$D4088,$A:$A,$A4088,$B:$B,$B4088,$G:$G,"CDU",$J:$J,"PLANNED")&gt;0,"tied","standalone"),"")</f>
        <v>standalone</v>
      </c>
    </row>
    <row r="4089" spans="1:14">
      <c r="A4089" s="6">
        <v>2024</v>
      </c>
      <c r="B4089" s="6">
        <v>7</v>
      </c>
      <c r="C4089" s="6" t="s">
        <v>66</v>
      </c>
      <c r="D4089" s="6" t="s">
        <v>380</v>
      </c>
      <c r="E4089" s="6" t="s">
        <v>423</v>
      </c>
      <c r="F4089" s="6" t="str">
        <f>IF($M4089="PADD I","PADD 1",IF($M4089="PADD II","PADD 2",IF($M4089="PADD III","PADD 3",IF($M4089="PADD IV","PADD 4",IF($M4089="PADD V","PADD 5","")))))</f>
        <v>PADD 2</v>
      </c>
      <c r="G4089" s="6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6" t="s">
        <v>471</v>
      </c>
      <c r="I4089" s="6" t="s">
        <v>966</v>
      </c>
      <c r="J4089" s="6" t="s">
        <v>394</v>
      </c>
      <c r="K4089" s="10">
        <v>2.4</v>
      </c>
      <c r="L4089" s="10">
        <v>40</v>
      </c>
      <c r="M4089" s="6" t="s">
        <v>425</v>
      </c>
      <c r="N4089" s="6" t="str">
        <f>IF(OR($G4089="FCC",$G4089="Hydrocracker",$G4089="Reformer"),IF(COUNTIFS($D:$D,$D4089,$A:$A,$A4089,$B:$B,$B4089,$G:$G,"CDU",$J:$J,"PLANNED")&gt;0,"tied","standalone"),"")</f>
        <v>standalone</v>
      </c>
    </row>
    <row r="4090" spans="1:14">
      <c r="A4090" s="6">
        <v>2024</v>
      </c>
      <c r="B4090" s="6">
        <v>7</v>
      </c>
      <c r="C4090" s="6" t="s">
        <v>66</v>
      </c>
      <c r="D4090" s="6" t="s">
        <v>496</v>
      </c>
      <c r="E4090" s="6" t="s">
        <v>441</v>
      </c>
      <c r="F4090" s="6" t="str">
        <f>IF($M4090="PADD I","PADD 1",IF($M4090="PADD II","PADD 2",IF($M4090="PADD III","PADD 3",IF($M4090="PADD IV","PADD 4",IF($M4090="PADD V","PADD 5","")))))</f>
        <v>PADD 3</v>
      </c>
      <c r="G4090" s="6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6" t="s">
        <v>510</v>
      </c>
      <c r="I4090" s="6" t="s">
        <v>630</v>
      </c>
      <c r="J4090" s="6" t="s">
        <v>394</v>
      </c>
      <c r="K4090" s="10">
        <v>2.25</v>
      </c>
      <c r="L4090" s="10">
        <v>5</v>
      </c>
      <c r="M4090" s="6" t="s">
        <v>421</v>
      </c>
      <c r="N4090" s="6">
        <f>IF(OR($G4090="FCC",$G4090="Hydrocracker",$G4090="Reformer"),IF(COUNTIFS($D:$D,$D4090,$A:$A,$A4090,$B:$B,$B4090,$G:$G,"CDU",$J:$J,"PLANNED")&gt;0,"tied","standalone"),"")</f>
        <v/>
      </c>
    </row>
    <row r="4091" spans="1:14">
      <c r="A4091" s="6">
        <v>2024</v>
      </c>
      <c r="B4091" s="6">
        <v>7</v>
      </c>
      <c r="C4091" s="6" t="s">
        <v>66</v>
      </c>
      <c r="D4091" s="6" t="s">
        <v>422</v>
      </c>
      <c r="E4091" s="6" t="s">
        <v>423</v>
      </c>
      <c r="F4091" s="6" t="str">
        <f>IF($M4091="PADD I","PADD 1",IF($M4091="PADD II","PADD 2",IF($M4091="PADD III","PADD 3",IF($M4091="PADD IV","PADD 4",IF($M4091="PADD V","PADD 5","")))))</f>
        <v>PADD 2</v>
      </c>
      <c r="G4091" s="6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6" t="s">
        <v>485</v>
      </c>
      <c r="I4091" s="6" t="s">
        <v>634</v>
      </c>
      <c r="J4091" s="6" t="s">
        <v>394</v>
      </c>
      <c r="K4091" s="10">
        <v>2.175</v>
      </c>
      <c r="L4091" s="10">
        <v>7.5</v>
      </c>
      <c r="M4091" s="6" t="s">
        <v>425</v>
      </c>
      <c r="N4091" s="6">
        <f>IF(OR($G4091="FCC",$G4091="Hydrocracker",$G4091="Reformer"),IF(COUNTIFS($D:$D,$D4091,$A:$A,$A4091,$B:$B,$B4091,$G:$G,"CDU",$J:$J,"PLANNED")&gt;0,"tied","standalone"),"")</f>
        <v/>
      </c>
    </row>
    <row r="4092" spans="1:14">
      <c r="A4092" s="6">
        <v>2024</v>
      </c>
      <c r="B4092" s="6">
        <v>7</v>
      </c>
      <c r="C4092" s="6" t="s">
        <v>66</v>
      </c>
      <c r="D4092" s="6" t="s">
        <v>901</v>
      </c>
      <c r="E4092" s="6" t="s">
        <v>902</v>
      </c>
      <c r="F4092" s="6" t="str">
        <f>IF($M4092="PADD I","PADD 1",IF($M4092="PADD II","PADD 2",IF($M4092="PADD III","PADD 3",IF($M4092="PADD IV","PADD 4",IF($M4092="PADD V","PADD 5","")))))</f>
        <v>PADD 3</v>
      </c>
      <c r="G4092" s="6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6" t="s">
        <v>428</v>
      </c>
      <c r="I4092" s="6" t="s">
        <v>910</v>
      </c>
      <c r="J4092" s="6" t="s">
        <v>394</v>
      </c>
      <c r="K4092" s="10">
        <v>2.16</v>
      </c>
      <c r="L4092" s="10">
        <v>36</v>
      </c>
      <c r="M4092" s="6" t="s">
        <v>421</v>
      </c>
      <c r="N4092" s="6">
        <f>IF(OR($G4092="FCC",$G4092="Hydrocracker",$G4092="Reformer"),IF(COUNTIFS($D:$D,$D4092,$A:$A,$A4092,$B:$B,$B4092,$G:$G,"CDU",$J:$J,"PLANNED")&gt;0,"tied","standalone"),"")</f>
        <v/>
      </c>
    </row>
    <row r="4093" spans="1:14">
      <c r="A4093" s="6">
        <v>2024</v>
      </c>
      <c r="B4093" s="6">
        <v>7</v>
      </c>
      <c r="C4093" s="6" t="s">
        <v>66</v>
      </c>
      <c r="D4093" s="6" t="s">
        <v>812</v>
      </c>
      <c r="E4093" s="6" t="s">
        <v>813</v>
      </c>
      <c r="F4093" s="6" t="str">
        <f>IF($M4093="PADD I","PADD 1",IF($M4093="PADD II","PADD 2",IF($M4093="PADD III","PADD 3",IF($M4093="PADD IV","PADD 4",IF($M4093="PADD V","PADD 5","")))))</f>
        <v>PADD 2</v>
      </c>
      <c r="G4093" s="6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6" t="s">
        <v>39</v>
      </c>
      <c r="I4093" s="6" t="s">
        <v>132</v>
      </c>
      <c r="J4093" s="6" t="s">
        <v>394</v>
      </c>
      <c r="K4093" s="10">
        <v>2.1</v>
      </c>
      <c r="L4093" s="10">
        <v>35</v>
      </c>
      <c r="M4093" s="6" t="s">
        <v>425</v>
      </c>
      <c r="N4093" s="6">
        <f>IF(OR($G4093="FCC",$G4093="Hydrocracker",$G4093="Reformer"),IF(COUNTIFS($D:$D,$D4093,$A:$A,$A4093,$B:$B,$B4093,$G:$G,"CDU",$J:$J,"PLANNED")&gt;0,"tied","standalone"),"")</f>
        <v/>
      </c>
    </row>
    <row r="4094" spans="1:14">
      <c r="A4094" s="6">
        <v>2024</v>
      </c>
      <c r="B4094" s="6">
        <v>7</v>
      </c>
      <c r="C4094" s="6" t="s">
        <v>66</v>
      </c>
      <c r="D4094" s="6" t="s">
        <v>479</v>
      </c>
      <c r="E4094" s="6" t="s">
        <v>438</v>
      </c>
      <c r="F4094" s="6" t="str">
        <f>IF($M4094="PADD I","PADD 1",IF($M4094="PADD II","PADD 2",IF($M4094="PADD III","PADD 3",IF($M4094="PADD IV","PADD 4",IF($M4094="PADD V","PADD 5","")))))</f>
        <v>PADD 4</v>
      </c>
      <c r="G4094" s="6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6" t="s">
        <v>44</v>
      </c>
      <c r="I4094" s="6" t="s">
        <v>1183</v>
      </c>
      <c r="J4094" s="6" t="s">
        <v>394</v>
      </c>
      <c r="K4094" s="10">
        <v>2.08</v>
      </c>
      <c r="L4094" s="10">
        <v>8</v>
      </c>
      <c r="M4094" s="6" t="s">
        <v>480</v>
      </c>
      <c r="N4094" s="6">
        <f>IF(OR($G4094="FCC",$G4094="Hydrocracker",$G4094="Reformer"),IF(COUNTIFS($D:$D,$D4094,$A:$A,$A4094,$B:$B,$B4094,$G:$G,"CDU",$J:$J,"PLANNED")&gt;0,"tied","standalone"),"")</f>
        <v/>
      </c>
    </row>
    <row r="4095" spans="1:14">
      <c r="A4095" s="6">
        <v>2024</v>
      </c>
      <c r="B4095" s="6">
        <v>7</v>
      </c>
      <c r="C4095" s="6" t="s">
        <v>66</v>
      </c>
      <c r="D4095" s="6" t="s">
        <v>507</v>
      </c>
      <c r="E4095" s="6" t="s">
        <v>438</v>
      </c>
      <c r="F4095" s="6" t="str">
        <f>IF($M4095="PADD I","PADD 1",IF($M4095="PADD II","PADD 2",IF($M4095="PADD III","PADD 3",IF($M4095="PADD IV","PADD 4",IF($M4095="PADD V","PADD 5","")))))</f>
        <v>PADD 5</v>
      </c>
      <c r="G4095" s="6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6" t="s">
        <v>471</v>
      </c>
      <c r="I4095" s="6" t="s">
        <v>607</v>
      </c>
      <c r="J4095" s="6" t="s">
        <v>394</v>
      </c>
      <c r="K4095" s="10">
        <v>2</v>
      </c>
      <c r="L4095" s="10">
        <v>20</v>
      </c>
      <c r="M4095" s="6" t="s">
        <v>436</v>
      </c>
      <c r="N4095" s="6" t="str">
        <f>IF(OR($G4095="FCC",$G4095="Hydrocracker",$G4095="Reformer"),IF(COUNTIFS($D:$D,$D4095,$A:$A,$A4095,$B:$B,$B4095,$G:$G,"CDU",$J:$J,"PLANNED")&gt;0,"tied","standalone"),"")</f>
        <v>standalone</v>
      </c>
    </row>
    <row r="4096" spans="1:14">
      <c r="A4096" s="6">
        <v>2024</v>
      </c>
      <c r="B4096" s="6">
        <v>7</v>
      </c>
      <c r="C4096" s="6" t="s">
        <v>66</v>
      </c>
      <c r="D4096" s="6" t="s">
        <v>534</v>
      </c>
      <c r="E4096" s="6" t="s">
        <v>459</v>
      </c>
      <c r="F4096" s="6" t="str">
        <f>IF($M4096="PADD I","PADD 1",IF($M4096="PADD II","PADD 2",IF($M4096="PADD III","PADD 3",IF($M4096="PADD IV","PADD 4",IF($M4096="PADD V","PADD 5","")))))</f>
        <v>PADD 3</v>
      </c>
      <c r="G4096" s="6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6" t="s">
        <v>44</v>
      </c>
      <c r="I4096" s="6" t="s">
        <v>535</v>
      </c>
      <c r="J4096" s="6" t="s">
        <v>394</v>
      </c>
      <c r="K4096" s="10">
        <v>1.98</v>
      </c>
      <c r="L4096" s="10">
        <v>66</v>
      </c>
      <c r="M4096" s="6" t="s">
        <v>421</v>
      </c>
      <c r="N4096" s="6">
        <f>IF(OR($G4096="FCC",$G4096="Hydrocracker",$G4096="Reformer"),IF(COUNTIFS($D:$D,$D4096,$A:$A,$A4096,$B:$B,$B4096,$G:$G,"CDU",$J:$J,"PLANNED")&gt;0,"tied","standalone"),"")</f>
        <v/>
      </c>
    </row>
    <row r="4097" spans="1:14">
      <c r="A4097" s="6">
        <v>2024</v>
      </c>
      <c r="B4097" s="6">
        <v>7</v>
      </c>
      <c r="C4097" s="6" t="s">
        <v>66</v>
      </c>
      <c r="D4097" s="6" t="s">
        <v>382</v>
      </c>
      <c r="E4097" s="6" t="s">
        <v>431</v>
      </c>
      <c r="F4097" s="6" t="str">
        <f>IF($M4097="PADD I","PADD 1",IF($M4097="PADD II","PADD 2",IF($M4097="PADD III","PADD 3",IF($M4097="PADD IV","PADD 4",IF($M4097="PADD V","PADD 5","")))))</f>
        <v>PADD 3</v>
      </c>
      <c r="G4097" s="6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6" t="s">
        <v>494</v>
      </c>
      <c r="I4097" s="6" t="s">
        <v>14</v>
      </c>
      <c r="J4097" s="6" t="s">
        <v>394</v>
      </c>
      <c r="K4097" s="10">
        <v>1.95</v>
      </c>
      <c r="L4097" s="10">
        <v>65</v>
      </c>
      <c r="M4097" s="6" t="s">
        <v>421</v>
      </c>
      <c r="N4097" s="6" t="str">
        <f>IF(OR($G4097="FCC",$G4097="Hydrocracker",$G4097="Reformer"),IF(COUNTIFS($D:$D,$D4097,$A:$A,$A4097,$B:$B,$B4097,$G:$G,"CDU",$J:$J,"PLANNED")&gt;0,"tied","standalone"),"")</f>
        <v>tied</v>
      </c>
    </row>
    <row r="4098" spans="1:14">
      <c r="A4098" s="6">
        <v>2024</v>
      </c>
      <c r="B4098" s="6">
        <v>7</v>
      </c>
      <c r="C4098" s="6" t="s">
        <v>66</v>
      </c>
      <c r="D4098" s="6" t="s">
        <v>792</v>
      </c>
      <c r="E4098" s="6" t="s">
        <v>438</v>
      </c>
      <c r="F4098" s="6" t="str">
        <f>IF($M4098="PADD I","PADD 1",IF($M4098="PADD II","PADD 2",IF($M4098="PADD III","PADD 3",IF($M4098="PADD IV","PADD 4",IF($M4098="PADD V","PADD 5","")))))</f>
        <v>PADD 5</v>
      </c>
      <c r="G4098" s="6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6" t="s">
        <v>44</v>
      </c>
      <c r="I4098" s="6" t="s">
        <v>962</v>
      </c>
      <c r="J4098" s="6" t="s">
        <v>394</v>
      </c>
      <c r="K4098" s="10">
        <v>1.92</v>
      </c>
      <c r="L4098" s="10">
        <v>32</v>
      </c>
      <c r="M4098" s="6" t="s">
        <v>436</v>
      </c>
      <c r="N4098" s="6">
        <f>IF(OR($G4098="FCC",$G4098="Hydrocracker",$G4098="Reformer"),IF(COUNTIFS($D:$D,$D4098,$A:$A,$A4098,$B:$B,$B4098,$G:$G,"CDU",$J:$J,"PLANNED")&gt;0,"tied","standalone"),"")</f>
        <v/>
      </c>
    </row>
    <row r="4099" spans="1:14">
      <c r="A4099" s="6">
        <v>2024</v>
      </c>
      <c r="B4099" s="6">
        <v>7</v>
      </c>
      <c r="C4099" s="6" t="s">
        <v>66</v>
      </c>
      <c r="D4099" s="6" t="s">
        <v>901</v>
      </c>
      <c r="E4099" s="6" t="s">
        <v>902</v>
      </c>
      <c r="F4099" s="6" t="str">
        <f>IF($M4099="PADD I","PADD 1",IF($M4099="PADD II","PADD 2",IF($M4099="PADD III","PADD 3",IF($M4099="PADD IV","PADD 4",IF($M4099="PADD V","PADD 5","")))))</f>
        <v>PADD 3</v>
      </c>
      <c r="G4099" s="6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6" t="s">
        <v>39</v>
      </c>
      <c r="I4099" s="6" t="s">
        <v>903</v>
      </c>
      <c r="J4099" s="6" t="s">
        <v>394</v>
      </c>
      <c r="K4099" s="10">
        <v>1.92</v>
      </c>
      <c r="L4099" s="10">
        <v>64</v>
      </c>
      <c r="M4099" s="6" t="s">
        <v>421</v>
      </c>
      <c r="N4099" s="6">
        <f>IF(OR($G4099="FCC",$G4099="Hydrocracker",$G4099="Reformer"),IF(COUNTIFS($D:$D,$D4099,$A:$A,$A4099,$B:$B,$B4099,$G:$G,"CDU",$J:$J,"PLANNED")&gt;0,"tied","standalone"),"")</f>
        <v/>
      </c>
    </row>
    <row r="4100" spans="1:14">
      <c r="A4100" s="6">
        <v>2024</v>
      </c>
      <c r="B4100" s="6">
        <v>7</v>
      </c>
      <c r="C4100" s="6" t="s">
        <v>66</v>
      </c>
      <c r="D4100" s="6" t="s">
        <v>496</v>
      </c>
      <c r="E4100" s="6" t="s">
        <v>441</v>
      </c>
      <c r="F4100" s="6" t="str">
        <f>IF($M4100="PADD I","PADD 1",IF($M4100="PADD II","PADD 2",IF($M4100="PADD III","PADD 3",IF($M4100="PADD IV","PADD 4",IF($M4100="PADD V","PADD 5","")))))</f>
        <v>PADD 3</v>
      </c>
      <c r="G4100" s="6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6" t="s">
        <v>510</v>
      </c>
      <c r="I4100" s="6" t="s">
        <v>630</v>
      </c>
      <c r="J4100" s="6" t="s">
        <v>394</v>
      </c>
      <c r="K4100" s="10">
        <v>1.872</v>
      </c>
      <c r="L4100" s="10">
        <v>7.2</v>
      </c>
      <c r="M4100" s="6" t="s">
        <v>421</v>
      </c>
      <c r="N4100" s="6">
        <f>IF(OR($G4100="FCC",$G4100="Hydrocracker",$G4100="Reformer"),IF(COUNTIFS($D:$D,$D4100,$A:$A,$A4100,$B:$B,$B4100,$G:$G,"CDU",$J:$J,"PLANNED")&gt;0,"tied","standalone"),"")</f>
        <v/>
      </c>
    </row>
    <row r="4101" spans="1:14">
      <c r="A4101" s="6">
        <v>2024</v>
      </c>
      <c r="B4101" s="6">
        <v>7</v>
      </c>
      <c r="C4101" s="6" t="s">
        <v>66</v>
      </c>
      <c r="D4101" s="6" t="s">
        <v>458</v>
      </c>
      <c r="E4101" s="6" t="s">
        <v>459</v>
      </c>
      <c r="F4101" s="6" t="str">
        <f>IF($M4101="PADD I","PADD 1",IF($M4101="PADD II","PADD 2",IF($M4101="PADD III","PADD 3",IF($M4101="PADD IV","PADD 4",IF($M4101="PADD V","PADD 5","")))))</f>
        <v>PADD 3</v>
      </c>
      <c r="G4101" s="6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6" t="s">
        <v>428</v>
      </c>
      <c r="I4101" s="6" t="s">
        <v>539</v>
      </c>
      <c r="J4101" s="6" t="s">
        <v>394</v>
      </c>
      <c r="K4101" s="10">
        <v>1.8</v>
      </c>
      <c r="L4101" s="10">
        <v>60</v>
      </c>
      <c r="M4101" s="6" t="s">
        <v>421</v>
      </c>
      <c r="N4101" s="6">
        <f>IF(OR($G4101="FCC",$G4101="Hydrocracker",$G4101="Reformer"),IF(COUNTIFS($D:$D,$D4101,$A:$A,$A4101,$B:$B,$B4101,$G:$G,"CDU",$J:$J,"PLANNED")&gt;0,"tied","standalone"),"")</f>
        <v/>
      </c>
    </row>
    <row r="4102" spans="1:14">
      <c r="A4102" s="6">
        <v>2024</v>
      </c>
      <c r="B4102" s="6">
        <v>7</v>
      </c>
      <c r="C4102" s="6" t="s">
        <v>66</v>
      </c>
      <c r="D4102" s="6" t="s">
        <v>380</v>
      </c>
      <c r="E4102" s="6" t="s">
        <v>423</v>
      </c>
      <c r="F4102" s="6" t="str">
        <f>IF($M4102="PADD I","PADD 1",IF($M4102="PADD II","PADD 2",IF($M4102="PADD III","PADD 3",IF($M4102="PADD IV","PADD 4",IF($M4102="PADD V","PADD 5","")))))</f>
        <v>PADD 2</v>
      </c>
      <c r="G4102" s="6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6" t="s">
        <v>44</v>
      </c>
      <c r="I4102" s="6" t="s">
        <v>970</v>
      </c>
      <c r="J4102" s="6" t="s">
        <v>394</v>
      </c>
      <c r="K4102" s="10">
        <v>1.8</v>
      </c>
      <c r="L4102" s="10">
        <v>30</v>
      </c>
      <c r="M4102" s="6" t="s">
        <v>425</v>
      </c>
      <c r="N4102" s="6">
        <f>IF(OR($G4102="FCC",$G4102="Hydrocracker",$G4102="Reformer"),IF(COUNTIFS($D:$D,$D4102,$A:$A,$A4102,$B:$B,$B4102,$G:$G,"CDU",$J:$J,"PLANNED")&gt;0,"tied","standalone"),"")</f>
        <v/>
      </c>
    </row>
    <row r="4103" spans="1:14">
      <c r="A4103" s="6">
        <v>2024</v>
      </c>
      <c r="B4103" s="6">
        <v>7</v>
      </c>
      <c r="C4103" s="6" t="s">
        <v>66</v>
      </c>
      <c r="D4103" s="6" t="s">
        <v>660</v>
      </c>
      <c r="E4103" s="6" t="s">
        <v>661</v>
      </c>
      <c r="F4103" s="6" t="str">
        <f>IF($M4103="PADD I","PADD 1",IF($M4103="PADD II","PADD 2",IF($M4103="PADD III","PADD 3",IF($M4103="PADD IV","PADD 4",IF($M4103="PADD V","PADD 5","")))))</f>
        <v>PADD 2</v>
      </c>
      <c r="G4103" s="6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6" t="s">
        <v>39</v>
      </c>
      <c r="I4103" s="6" t="s">
        <v>381</v>
      </c>
      <c r="J4103" s="6" t="s">
        <v>394</v>
      </c>
      <c r="K4103" s="10">
        <v>1.8</v>
      </c>
      <c r="L4103" s="10">
        <v>60</v>
      </c>
      <c r="M4103" s="6" t="s">
        <v>425</v>
      </c>
      <c r="N4103" s="6">
        <f>IF(OR($G4103="FCC",$G4103="Hydrocracker",$G4103="Reformer"),IF(COUNTIFS($D:$D,$D4103,$A:$A,$A4103,$B:$B,$B4103,$G:$G,"CDU",$J:$J,"PLANNED")&gt;0,"tied","standalone"),"")</f>
        <v/>
      </c>
    </row>
    <row r="4104" spans="1:14">
      <c r="A4104" s="6">
        <v>2024</v>
      </c>
      <c r="B4104" s="6">
        <v>7</v>
      </c>
      <c r="C4104" s="6" t="s">
        <v>66</v>
      </c>
      <c r="D4104" s="6" t="s">
        <v>518</v>
      </c>
      <c r="E4104" s="6" t="s">
        <v>419</v>
      </c>
      <c r="F4104" s="6" t="str">
        <f>IF($M4104="PADD I","PADD 1",IF($M4104="PADD II","PADD 2",IF($M4104="PADD III","PADD 3",IF($M4104="PADD IV","PADD 4",IF($M4104="PADD V","PADD 5","")))))</f>
        <v>PADD 3</v>
      </c>
      <c r="G4104" s="6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6" t="s">
        <v>426</v>
      </c>
      <c r="I4104" s="6" t="s">
        <v>519</v>
      </c>
      <c r="J4104" s="6" t="s">
        <v>394</v>
      </c>
      <c r="K4104" s="10">
        <v>1.8</v>
      </c>
      <c r="L4104" s="10">
        <v>30</v>
      </c>
      <c r="M4104" s="6" t="s">
        <v>421</v>
      </c>
      <c r="N4104" s="6" t="str">
        <f>IF(OR($G4104="FCC",$G4104="Hydrocracker",$G4104="Reformer"),IF(COUNTIFS($D:$D,$D4104,$A:$A,$A4104,$B:$B,$B4104,$G:$G,"CDU",$J:$J,"PLANNED")&gt;0,"tied","standalone"),"")</f>
        <v>standalone</v>
      </c>
    </row>
    <row r="4105" spans="1:14">
      <c r="A4105" s="6">
        <v>2024</v>
      </c>
      <c r="B4105" s="6">
        <v>7</v>
      </c>
      <c r="C4105" s="6" t="s">
        <v>66</v>
      </c>
      <c r="D4105" s="6" t="s">
        <v>820</v>
      </c>
      <c r="E4105" s="6" t="s">
        <v>710</v>
      </c>
      <c r="F4105" s="6" t="str">
        <f>IF($M4105="PADD I","PADD 1",IF($M4105="PADD II","PADD 2",IF($M4105="PADD III","PADD 3",IF($M4105="PADD IV","PADD 4",IF($M4105="PADD V","PADD 5","")))))</f>
        <v>PADD 3</v>
      </c>
      <c r="G4105" s="6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6" t="s">
        <v>44</v>
      </c>
      <c r="I4105" s="6" t="s">
        <v>846</v>
      </c>
      <c r="J4105" s="6" t="s">
        <v>398</v>
      </c>
      <c r="K4105" s="10">
        <v>1.76</v>
      </c>
      <c r="L4105" s="10">
        <v>11</v>
      </c>
      <c r="M4105" s="6" t="s">
        <v>421</v>
      </c>
      <c r="N4105" s="6">
        <f>IF(OR($G4105="FCC",$G4105="Hydrocracker",$G4105="Reformer"),IF(COUNTIFS($D:$D,$D4105,$A:$A,$A4105,$B:$B,$B4105,$G:$G,"CDU",$J:$J,"PLANNED")&gt;0,"tied","standalone"),"")</f>
        <v/>
      </c>
    </row>
    <row r="4106" spans="1:14">
      <c r="A4106" s="6">
        <v>2024</v>
      </c>
      <c r="B4106" s="6">
        <v>7</v>
      </c>
      <c r="C4106" s="6" t="s">
        <v>66</v>
      </c>
      <c r="D4106" s="6" t="s">
        <v>851</v>
      </c>
      <c r="E4106" s="6" t="s">
        <v>829</v>
      </c>
      <c r="F4106" s="6" t="str">
        <f>IF($M4106="PADD I","PADD 1",IF($M4106="PADD II","PADD 2",IF($M4106="PADD III","PADD 3",IF($M4106="PADD IV","PADD 4",IF($M4106="PADD V","PADD 5","")))))</f>
        <v>PADD 2</v>
      </c>
      <c r="G4106" s="6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6" t="s">
        <v>485</v>
      </c>
      <c r="I4106" s="6" t="s">
        <v>852</v>
      </c>
      <c r="J4106" s="6" t="s">
        <v>398</v>
      </c>
      <c r="K4106" s="10">
        <v>1.744</v>
      </c>
      <c r="L4106" s="10">
        <v>5.45</v>
      </c>
      <c r="M4106" s="6" t="s">
        <v>425</v>
      </c>
      <c r="N4106" s="6">
        <f>IF(OR($G4106="FCC",$G4106="Hydrocracker",$G4106="Reformer"),IF(COUNTIFS($D:$D,$D4106,$A:$A,$A4106,$B:$B,$B4106,$G:$G,"CDU",$J:$J,"PLANNED")&gt;0,"tied","standalone"),"")</f>
        <v/>
      </c>
    </row>
    <row r="4107" spans="1:14">
      <c r="A4107" s="6">
        <v>2024</v>
      </c>
      <c r="B4107" s="6">
        <v>7</v>
      </c>
      <c r="C4107" s="6" t="s">
        <v>66</v>
      </c>
      <c r="D4107" s="6" t="s">
        <v>730</v>
      </c>
      <c r="E4107" s="6" t="s">
        <v>731</v>
      </c>
      <c r="F4107" s="6" t="str">
        <f>IF($M4107="PADD I","PADD 1",IF($M4107="PADD II","PADD 2",IF($M4107="PADD III","PADD 3",IF($M4107="PADD IV","PADD 4",IF($M4107="PADD V","PADD 5","")))))</f>
        <v>PADD 3</v>
      </c>
      <c r="G4107" s="6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6" t="s">
        <v>471</v>
      </c>
      <c r="I4107" s="6" t="s">
        <v>589</v>
      </c>
      <c r="J4107" s="6" t="s">
        <v>394</v>
      </c>
      <c r="K4107" s="10">
        <v>1.7</v>
      </c>
      <c r="L4107" s="10">
        <v>17</v>
      </c>
      <c r="M4107" s="6" t="s">
        <v>421</v>
      </c>
      <c r="N4107" s="6" t="str">
        <f>IF(OR($G4107="FCC",$G4107="Hydrocracker",$G4107="Reformer"),IF(COUNTIFS($D:$D,$D4107,$A:$A,$A4107,$B:$B,$B4107,$G:$G,"CDU",$J:$J,"PLANNED")&gt;0,"tied","standalone"),"")</f>
        <v>standalone</v>
      </c>
    </row>
    <row r="4108" spans="1:14">
      <c r="A4108" s="6">
        <v>2024</v>
      </c>
      <c r="B4108" s="6">
        <v>7</v>
      </c>
      <c r="C4108" s="6" t="s">
        <v>66</v>
      </c>
      <c r="D4108" s="6" t="s">
        <v>51</v>
      </c>
      <c r="E4108" s="6" t="s">
        <v>431</v>
      </c>
      <c r="F4108" s="6" t="str">
        <f>IF($M4108="PADD I","PADD 1",IF($M4108="PADD II","PADD 2",IF($M4108="PADD III","PADD 3",IF($M4108="PADD IV","PADD 4",IF($M4108="PADD V","PADD 5","")))))</f>
        <v>PADD 3</v>
      </c>
      <c r="G4108" s="6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6" t="s">
        <v>39</v>
      </c>
      <c r="I4108" s="6" t="s">
        <v>819</v>
      </c>
      <c r="J4108" s="6" t="s">
        <v>394</v>
      </c>
      <c r="K4108" s="10">
        <v>1.68</v>
      </c>
      <c r="L4108" s="10">
        <v>28</v>
      </c>
      <c r="M4108" s="6" t="s">
        <v>421</v>
      </c>
      <c r="N4108" s="6">
        <f>IF(OR($G4108="FCC",$G4108="Hydrocracker",$G4108="Reformer"),IF(COUNTIFS($D:$D,$D4108,$A:$A,$A4108,$B:$B,$B4108,$G:$G,"CDU",$J:$J,"PLANNED")&gt;0,"tied","standalone"),"")</f>
        <v/>
      </c>
    </row>
    <row r="4109" spans="1:14">
      <c r="A4109" s="6">
        <v>2024</v>
      </c>
      <c r="B4109" s="6">
        <v>7</v>
      </c>
      <c r="C4109" s="6" t="s">
        <v>66</v>
      </c>
      <c r="D4109" s="6" t="s">
        <v>996</v>
      </c>
      <c r="E4109" s="6" t="s">
        <v>455</v>
      </c>
      <c r="F4109" s="6" t="str">
        <f>IF($M4109="PADD I","PADD 1",IF($M4109="PADD II","PADD 2",IF($M4109="PADD III","PADD 3",IF($M4109="PADD IV","PADD 4",IF($M4109="PADD V","PADD 5","")))))</f>
        <v>PADD 5</v>
      </c>
      <c r="G4109" s="6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6" t="s">
        <v>426</v>
      </c>
      <c r="I4109" s="6" t="s">
        <v>997</v>
      </c>
      <c r="J4109" s="6" t="s">
        <v>394</v>
      </c>
      <c r="K4109" s="10">
        <v>1.62</v>
      </c>
      <c r="L4109" s="10">
        <v>54</v>
      </c>
      <c r="M4109" s="6" t="s">
        <v>436</v>
      </c>
      <c r="N4109" s="6" t="str">
        <f>IF(OR($G4109="FCC",$G4109="Hydrocracker",$G4109="Reformer"),IF(COUNTIFS($D:$D,$D4109,$A:$A,$A4109,$B:$B,$B4109,$G:$G,"CDU",$J:$J,"PLANNED")&gt;0,"tied","standalone"),"")</f>
        <v>standalone</v>
      </c>
    </row>
    <row r="4110" spans="1:14">
      <c r="A4110" s="6">
        <v>2024</v>
      </c>
      <c r="B4110" s="6">
        <v>7</v>
      </c>
      <c r="C4110" s="6" t="s">
        <v>66</v>
      </c>
      <c r="D4110" s="6" t="s">
        <v>550</v>
      </c>
      <c r="E4110" s="6" t="s">
        <v>438</v>
      </c>
      <c r="F4110" s="6" t="str">
        <f>IF($M4110="PADD I","PADD 1",IF($M4110="PADD II","PADD 2",IF($M4110="PADD III","PADD 3",IF($M4110="PADD IV","PADD 4",IF($M4110="PADD V","PADD 5","")))))</f>
        <v>PADD 2</v>
      </c>
      <c r="G4110" s="6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6" t="s">
        <v>426</v>
      </c>
      <c r="I4110" s="6" t="s">
        <v>106</v>
      </c>
      <c r="J4110" s="6" t="s">
        <v>394</v>
      </c>
      <c r="K4110" s="10">
        <v>1.56</v>
      </c>
      <c r="L4110" s="10">
        <v>26</v>
      </c>
      <c r="M4110" s="6" t="s">
        <v>425</v>
      </c>
      <c r="N4110" s="6" t="str">
        <f>IF(OR($G4110="FCC",$G4110="Hydrocracker",$G4110="Reformer"),IF(COUNTIFS($D:$D,$D4110,$A:$A,$A4110,$B:$B,$B4110,$G:$G,"CDU",$J:$J,"PLANNED")&gt;0,"tied","standalone"),"")</f>
        <v>standalone</v>
      </c>
    </row>
    <row r="4111" spans="1:14">
      <c r="A4111" s="6">
        <v>2024</v>
      </c>
      <c r="B4111" s="6">
        <v>7</v>
      </c>
      <c r="C4111" s="6" t="s">
        <v>66</v>
      </c>
      <c r="D4111" s="6" t="s">
        <v>458</v>
      </c>
      <c r="E4111" s="6" t="s">
        <v>459</v>
      </c>
      <c r="F4111" s="6" t="str">
        <f>IF($M4111="PADD I","PADD 1",IF($M4111="PADD II","PADD 2",IF($M4111="PADD III","PADD 3",IF($M4111="PADD IV","PADD 4",IF($M4111="PADD V","PADD 5","")))))</f>
        <v>PADD 3</v>
      </c>
      <c r="G4111" s="6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6" t="s">
        <v>428</v>
      </c>
      <c r="I4111" s="6" t="s">
        <v>556</v>
      </c>
      <c r="J4111" s="6" t="s">
        <v>394</v>
      </c>
      <c r="K4111" s="10">
        <v>1.53</v>
      </c>
      <c r="L4111" s="10">
        <v>51</v>
      </c>
      <c r="M4111" s="6" t="s">
        <v>421</v>
      </c>
      <c r="N4111" s="6">
        <f>IF(OR($G4111="FCC",$G4111="Hydrocracker",$G4111="Reformer"),IF(COUNTIFS($D:$D,$D4111,$A:$A,$A4111,$B:$B,$B4111,$G:$G,"CDU",$J:$J,"PLANNED")&gt;0,"tied","standalone"),"")</f>
        <v/>
      </c>
    </row>
    <row r="4112" spans="1:14">
      <c r="A4112" s="6">
        <v>2024</v>
      </c>
      <c r="B4112" s="6">
        <v>7</v>
      </c>
      <c r="C4112" s="6" t="s">
        <v>66</v>
      </c>
      <c r="D4112" s="6" t="s">
        <v>576</v>
      </c>
      <c r="E4112" s="6" t="s">
        <v>455</v>
      </c>
      <c r="F4112" s="6" t="str">
        <f>IF($M4112="PADD I","PADD 1",IF($M4112="PADD II","PADD 2",IF($M4112="PADD III","PADD 3",IF($M4112="PADD IV","PADD 4",IF($M4112="PADD V","PADD 5","")))))</f>
        <v>PADD 3</v>
      </c>
      <c r="G4112" s="6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6" t="s">
        <v>44</v>
      </c>
      <c r="I4112" s="6" t="s">
        <v>1272</v>
      </c>
      <c r="J4112" s="6" t="s">
        <v>394</v>
      </c>
      <c r="K4112" s="10">
        <v>1.35</v>
      </c>
      <c r="L4112" s="10">
        <v>45</v>
      </c>
      <c r="M4112" s="6" t="s">
        <v>421</v>
      </c>
      <c r="N4112" s="6">
        <f>IF(OR($G4112="FCC",$G4112="Hydrocracker",$G4112="Reformer"),IF(COUNTIFS($D:$D,$D4112,$A:$A,$A4112,$B:$B,$B4112,$G:$G,"CDU",$J:$J,"PLANNED")&gt;0,"tied","standalone"),"")</f>
        <v/>
      </c>
    </row>
    <row r="4113" spans="1:14">
      <c r="A4113" s="6">
        <v>2024</v>
      </c>
      <c r="B4113" s="6">
        <v>7</v>
      </c>
      <c r="C4113" s="6" t="s">
        <v>66</v>
      </c>
      <c r="D4113" s="6" t="s">
        <v>725</v>
      </c>
      <c r="E4113" s="6" t="s">
        <v>502</v>
      </c>
      <c r="F4113" s="6" t="str">
        <f>IF($M4113="PADD I","PADD 1",IF($M4113="PADD II","PADD 2",IF($M4113="PADD III","PADD 3",IF($M4113="PADD IV","PADD 4",IF($M4113="PADD V","PADD 5","")))))</f>
        <v>PADD 2</v>
      </c>
      <c r="G4113" s="6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6" t="s">
        <v>44</v>
      </c>
      <c r="I4113" s="6" t="s">
        <v>1192</v>
      </c>
      <c r="J4113" s="6" t="s">
        <v>394</v>
      </c>
      <c r="K4113" s="10">
        <v>1.35</v>
      </c>
      <c r="L4113" s="10">
        <v>45</v>
      </c>
      <c r="M4113" s="6" t="s">
        <v>425</v>
      </c>
      <c r="N4113" s="6">
        <f>IF(OR($G4113="FCC",$G4113="Hydrocracker",$G4113="Reformer"),IF(COUNTIFS($D:$D,$D4113,$A:$A,$A4113,$B:$B,$B4113,$G:$G,"CDU",$J:$J,"PLANNED")&gt;0,"tied","standalone"),"")</f>
        <v/>
      </c>
    </row>
    <row r="4114" spans="1:14">
      <c r="A4114" s="6">
        <v>2024</v>
      </c>
      <c r="B4114" s="6">
        <v>7</v>
      </c>
      <c r="C4114" s="6" t="s">
        <v>66</v>
      </c>
      <c r="D4114" s="6" t="s">
        <v>458</v>
      </c>
      <c r="E4114" s="6" t="s">
        <v>459</v>
      </c>
      <c r="F4114" s="6" t="str">
        <f>IF($M4114="PADD I","PADD 1",IF($M4114="PADD II","PADD 2",IF($M4114="PADD III","PADD 3",IF($M4114="PADD IV","PADD 4",IF($M4114="PADD V","PADD 5","")))))</f>
        <v>PADD 3</v>
      </c>
      <c r="G4114" s="6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6" t="s">
        <v>39</v>
      </c>
      <c r="I4114" s="6" t="s">
        <v>572</v>
      </c>
      <c r="J4114" s="6" t="s">
        <v>394</v>
      </c>
      <c r="K4114" s="10">
        <v>1.2</v>
      </c>
      <c r="L4114" s="10">
        <v>40</v>
      </c>
      <c r="M4114" s="6" t="s">
        <v>421</v>
      </c>
      <c r="N4114" s="6">
        <f>IF(OR($G4114="FCC",$G4114="Hydrocracker",$G4114="Reformer"),IF(COUNTIFS($D:$D,$D4114,$A:$A,$A4114,$B:$B,$B4114,$G:$G,"CDU",$J:$J,"PLANNED")&gt;0,"tied","standalone"),"")</f>
        <v/>
      </c>
    </row>
    <row r="4115" spans="1:14">
      <c r="A4115" s="6">
        <v>2024</v>
      </c>
      <c r="B4115" s="6">
        <v>7</v>
      </c>
      <c r="C4115" s="6" t="s">
        <v>66</v>
      </c>
      <c r="D4115" s="6" t="s">
        <v>49</v>
      </c>
      <c r="E4115" s="6" t="s">
        <v>438</v>
      </c>
      <c r="F4115" s="6" t="str">
        <f>IF($M4115="PADD I","PADD 1",IF($M4115="PADD II","PADD 2",IF($M4115="PADD III","PADD 3",IF($M4115="PADD IV","PADD 4",IF($M4115="PADD V","PADD 5","")))))</f>
        <v>PADD 2</v>
      </c>
      <c r="G4115" s="6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6" t="s">
        <v>485</v>
      </c>
      <c r="I4115" s="6" t="s">
        <v>681</v>
      </c>
      <c r="J4115" s="6" t="s">
        <v>394</v>
      </c>
      <c r="K4115" s="10">
        <v>1.2</v>
      </c>
      <c r="L4115" s="10">
        <v>12</v>
      </c>
      <c r="M4115" s="6" t="s">
        <v>425</v>
      </c>
      <c r="N4115" s="6">
        <f>IF(OR($G4115="FCC",$G4115="Hydrocracker",$G4115="Reformer"),IF(COUNTIFS($D:$D,$D4115,$A:$A,$A4115,$B:$B,$B4115,$G:$G,"CDU",$J:$J,"PLANNED")&gt;0,"tied","standalone"),"")</f>
        <v/>
      </c>
    </row>
    <row r="4116" spans="1:14">
      <c r="A4116" s="6">
        <v>2024</v>
      </c>
      <c r="B4116" s="6">
        <v>7</v>
      </c>
      <c r="C4116" s="6" t="s">
        <v>66</v>
      </c>
      <c r="D4116" s="6" t="s">
        <v>812</v>
      </c>
      <c r="E4116" s="6" t="s">
        <v>813</v>
      </c>
      <c r="F4116" s="6" t="str">
        <f>IF($M4116="PADD I","PADD 1",IF($M4116="PADD II","PADD 2",IF($M4116="PADD III","PADD 3",IF($M4116="PADD IV","PADD 4",IF($M4116="PADD V","PADD 5","")))))</f>
        <v>PADD 2</v>
      </c>
      <c r="G4116" s="6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6" t="s">
        <v>428</v>
      </c>
      <c r="I4116" s="6" t="s">
        <v>1014</v>
      </c>
      <c r="J4116" s="6" t="s">
        <v>394</v>
      </c>
      <c r="K4116" s="10">
        <v>1.128</v>
      </c>
      <c r="L4116" s="10">
        <v>1.2</v>
      </c>
      <c r="M4116" s="6" t="s">
        <v>425</v>
      </c>
      <c r="N4116" s="6">
        <f>IF(OR($G4116="FCC",$G4116="Hydrocracker",$G4116="Reformer"),IF(COUNTIFS($D:$D,$D4116,$A:$A,$A4116,$B:$B,$B4116,$G:$G,"CDU",$J:$J,"PLANNED")&gt;0,"tied","standalone"),"")</f>
        <v/>
      </c>
    </row>
    <row r="4117" spans="1:14">
      <c r="A4117" s="6">
        <v>2024</v>
      </c>
      <c r="B4117" s="6">
        <v>7</v>
      </c>
      <c r="C4117" s="6" t="s">
        <v>66</v>
      </c>
      <c r="D4117" s="6" t="s">
        <v>1273</v>
      </c>
      <c r="E4117" s="6" t="s">
        <v>1089</v>
      </c>
      <c r="F4117" s="6" t="str">
        <f>IF($M4117="PADD I","PADD 1",IF($M4117="PADD II","PADD 2",IF($M4117="PADD III","PADD 3",IF($M4117="PADD IV","PADD 4",IF($M4117="PADD V","PADD 5","")))))</f>
        <v>PADD 2</v>
      </c>
      <c r="G4117" s="6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6" t="s">
        <v>471</v>
      </c>
      <c r="I4117" s="6" t="s">
        <v>15</v>
      </c>
      <c r="J4117" s="6" t="s">
        <v>394</v>
      </c>
      <c r="K4117" s="10">
        <v>1.0725</v>
      </c>
      <c r="L4117" s="10">
        <v>8.25</v>
      </c>
      <c r="M4117" s="6" t="s">
        <v>425</v>
      </c>
      <c r="N4117" s="6" t="str">
        <f>IF(OR($G4117="FCC",$G4117="Hydrocracker",$G4117="Reformer"),IF(COUNTIFS($D:$D,$D4117,$A:$A,$A4117,$B:$B,$B4117,$G:$G,"CDU",$J:$J,"PLANNED")&gt;0,"tied","standalone"),"")</f>
        <v>standalone</v>
      </c>
    </row>
    <row r="4118" spans="1:14">
      <c r="A4118" s="6">
        <v>2024</v>
      </c>
      <c r="B4118" s="6">
        <v>7</v>
      </c>
      <c r="C4118" s="6" t="s">
        <v>66</v>
      </c>
      <c r="D4118" s="6" t="s">
        <v>458</v>
      </c>
      <c r="E4118" s="6" t="s">
        <v>459</v>
      </c>
      <c r="F4118" s="6" t="str">
        <f>IF($M4118="PADD I","PADD 1",IF($M4118="PADD II","PADD 2",IF($M4118="PADD III","PADD 3",IF($M4118="PADD IV","PADD 4",IF($M4118="PADD V","PADD 5","")))))</f>
        <v>PADD 3</v>
      </c>
      <c r="G4118" s="6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6" t="s">
        <v>471</v>
      </c>
      <c r="I4118" s="6" t="s">
        <v>583</v>
      </c>
      <c r="J4118" s="6" t="s">
        <v>394</v>
      </c>
      <c r="K4118" s="10">
        <v>1.05</v>
      </c>
      <c r="L4118" s="10">
        <v>35</v>
      </c>
      <c r="M4118" s="6" t="s">
        <v>421</v>
      </c>
      <c r="N4118" s="6" t="str">
        <f>IF(OR($G4118="FCC",$G4118="Hydrocracker",$G4118="Reformer"),IF(COUNTIFS($D:$D,$D4118,$A:$A,$A4118,$B:$B,$B4118,$G:$G,"CDU",$J:$J,"PLANNED")&gt;0,"tied","standalone"),"")</f>
        <v>standalone</v>
      </c>
    </row>
    <row r="4119" spans="1:14">
      <c r="A4119" s="6">
        <v>2024</v>
      </c>
      <c r="B4119" s="6">
        <v>7</v>
      </c>
      <c r="C4119" s="6" t="s">
        <v>66</v>
      </c>
      <c r="D4119" s="6" t="s">
        <v>851</v>
      </c>
      <c r="E4119" s="6" t="s">
        <v>829</v>
      </c>
      <c r="F4119" s="6" t="str">
        <f>IF($M4119="PADD I","PADD 1",IF($M4119="PADD II","PADD 2",IF($M4119="PADD III","PADD 3",IF($M4119="PADD IV","PADD 4",IF($M4119="PADD V","PADD 5","")))))</f>
        <v>PADD 2</v>
      </c>
      <c r="G4119" s="6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6" t="s">
        <v>485</v>
      </c>
      <c r="I4119" s="6" t="s">
        <v>944</v>
      </c>
      <c r="J4119" s="6" t="s">
        <v>398</v>
      </c>
      <c r="K4119" s="10">
        <v>1.0355</v>
      </c>
      <c r="L4119" s="10">
        <v>5.45</v>
      </c>
      <c r="M4119" s="6" t="s">
        <v>425</v>
      </c>
      <c r="N4119" s="6">
        <f>IF(OR($G4119="FCC",$G4119="Hydrocracker",$G4119="Reformer"),IF(COUNTIFS($D:$D,$D4119,$A:$A,$A4119,$B:$B,$B4119,$G:$G,"CDU",$J:$J,"PLANNED")&gt;0,"tied","standalone"),"")</f>
        <v/>
      </c>
    </row>
    <row r="4120" spans="1:14">
      <c r="A4120" s="6">
        <v>2024</v>
      </c>
      <c r="B4120" s="6">
        <v>7</v>
      </c>
      <c r="C4120" s="6" t="s">
        <v>66</v>
      </c>
      <c r="D4120" s="6" t="s">
        <v>928</v>
      </c>
      <c r="E4120" s="6" t="s">
        <v>502</v>
      </c>
      <c r="F4120" s="6" t="str">
        <f>IF($M4120="PADD I","PADD 1",IF($M4120="PADD II","PADD 2",IF($M4120="PADD III","PADD 3",IF($M4120="PADD IV","PADD 4",IF($M4120="PADD V","PADD 5","")))))</f>
        <v>PADD 2</v>
      </c>
      <c r="G4120" s="6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6" t="s">
        <v>485</v>
      </c>
      <c r="I4120" s="6" t="s">
        <v>491</v>
      </c>
      <c r="J4120" s="6" t="s">
        <v>394</v>
      </c>
      <c r="K4120" s="10">
        <v>0.85</v>
      </c>
      <c r="L4120" s="10">
        <v>8.5</v>
      </c>
      <c r="M4120" s="6" t="s">
        <v>425</v>
      </c>
      <c r="N4120" s="6">
        <f>IF(OR($G4120="FCC",$G4120="Hydrocracker",$G4120="Reformer"),IF(COUNTIFS($D:$D,$D4120,$A:$A,$A4120,$B:$B,$B4120,$G:$G,"CDU",$J:$J,"PLANNED")&gt;0,"tied","standalone"),"")</f>
        <v/>
      </c>
    </row>
    <row r="4121" spans="1:14">
      <c r="A4121" s="6">
        <v>2024</v>
      </c>
      <c r="B4121" s="6">
        <v>7</v>
      </c>
      <c r="C4121" s="6" t="s">
        <v>66</v>
      </c>
      <c r="D4121" s="6" t="s">
        <v>812</v>
      </c>
      <c r="E4121" s="6" t="s">
        <v>813</v>
      </c>
      <c r="F4121" s="6" t="str">
        <f>IF($M4121="PADD I","PADD 1",IF($M4121="PADD II","PADD 2",IF($M4121="PADD III","PADD 3",IF($M4121="PADD IV","PADD 4",IF($M4121="PADD V","PADD 5","")))))</f>
        <v>PADD 2</v>
      </c>
      <c r="G4121" s="6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6" t="s">
        <v>428</v>
      </c>
      <c r="I4121" s="6" t="s">
        <v>1014</v>
      </c>
      <c r="J4121" s="6" t="s">
        <v>394</v>
      </c>
      <c r="K4121" s="10">
        <v>0.72</v>
      </c>
      <c r="L4121" s="10">
        <v>12</v>
      </c>
      <c r="M4121" s="6" t="s">
        <v>425</v>
      </c>
      <c r="N4121" s="6">
        <f>IF(OR($G4121="FCC",$G4121="Hydrocracker",$G4121="Reformer"),IF(COUNTIFS($D:$D,$D4121,$A:$A,$A4121,$B:$B,$B4121,$G:$G,"CDU",$J:$J,"PLANNED")&gt;0,"tied","standalone"),"")</f>
        <v/>
      </c>
    </row>
    <row r="4122" spans="1:14">
      <c r="A4122" s="6">
        <v>2024</v>
      </c>
      <c r="B4122" s="6">
        <v>7</v>
      </c>
      <c r="C4122" s="6" t="s">
        <v>66</v>
      </c>
      <c r="D4122" s="6" t="s">
        <v>1274</v>
      </c>
      <c r="E4122" s="6" t="s">
        <v>731</v>
      </c>
      <c r="F4122" s="6" t="str">
        <f>IF($M4122="PADD I","PADD 1",IF($M4122="PADD II","PADD 2",IF($M4122="PADD III","PADD 3",IF($M4122="PADD IV","PADD 4",IF($M4122="PADD V","PADD 5","")))))</f>
        <v>PADD 3</v>
      </c>
      <c r="G4122" s="6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6" t="s">
        <v>471</v>
      </c>
      <c r="I4122" s="6" t="s">
        <v>15</v>
      </c>
      <c r="J4122" s="6" t="s">
        <v>394</v>
      </c>
      <c r="K4122" s="10">
        <v>0.72</v>
      </c>
      <c r="L4122" s="10">
        <v>24</v>
      </c>
      <c r="M4122" s="6" t="s">
        <v>421</v>
      </c>
      <c r="N4122" s="6" t="str">
        <f>IF(OR($G4122="FCC",$G4122="Hydrocracker",$G4122="Reformer"),IF(COUNTIFS($D:$D,$D4122,$A:$A,$A4122,$B:$B,$B4122,$G:$G,"CDU",$J:$J,"PLANNED")&gt;0,"tied","standalone"),"")</f>
        <v>standalone</v>
      </c>
    </row>
    <row r="4123" spans="1:14">
      <c r="A4123" s="6">
        <v>2024</v>
      </c>
      <c r="B4123" s="6">
        <v>7</v>
      </c>
      <c r="C4123" s="6" t="s">
        <v>66</v>
      </c>
      <c r="D4123" s="6" t="s">
        <v>660</v>
      </c>
      <c r="E4123" s="6" t="s">
        <v>661</v>
      </c>
      <c r="F4123" s="6" t="str">
        <f>IF($M4123="PADD I","PADD 1",IF($M4123="PADD II","PADD 2",IF($M4123="PADD III","PADD 3",IF($M4123="PADD IV","PADD 4",IF($M4123="PADD V","PADD 5","")))))</f>
        <v>PADD 2</v>
      </c>
      <c r="G4123" s="6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6" t="s">
        <v>428</v>
      </c>
      <c r="I4123" s="6" t="s">
        <v>544</v>
      </c>
      <c r="J4123" s="6" t="s">
        <v>394</v>
      </c>
      <c r="K4123" s="10">
        <v>0.63</v>
      </c>
      <c r="L4123" s="10">
        <v>21</v>
      </c>
      <c r="M4123" s="6" t="s">
        <v>425</v>
      </c>
      <c r="N4123" s="6">
        <f>IF(OR($G4123="FCC",$G4123="Hydrocracker",$G4123="Reformer"),IF(COUNTIFS($D:$D,$D4123,$A:$A,$A4123,$B:$B,$B4123,$G:$G,"CDU",$J:$J,"PLANNED")&gt;0,"tied","standalone"),"")</f>
        <v/>
      </c>
    </row>
    <row r="4124" spans="1:14">
      <c r="A4124" s="6">
        <v>2024</v>
      </c>
      <c r="B4124" s="6">
        <v>7</v>
      </c>
      <c r="C4124" s="6" t="s">
        <v>66</v>
      </c>
      <c r="D4124" s="6" t="s">
        <v>534</v>
      </c>
      <c r="E4124" s="6" t="s">
        <v>459</v>
      </c>
      <c r="F4124" s="6" t="str">
        <f>IF($M4124="PADD I","PADD 1",IF($M4124="PADD II","PADD 2",IF($M4124="PADD III","PADD 3",IF($M4124="PADD IV","PADD 4",IF($M4124="PADD V","PADD 5","")))))</f>
        <v>PADD 3</v>
      </c>
      <c r="G4124" s="6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6" t="s">
        <v>44</v>
      </c>
      <c r="I4124" s="6" t="s">
        <v>543</v>
      </c>
      <c r="J4124" s="6" t="s">
        <v>394</v>
      </c>
      <c r="K4124" s="10">
        <v>0.6</v>
      </c>
      <c r="L4124" s="10">
        <v>10</v>
      </c>
      <c r="M4124" s="6" t="s">
        <v>421</v>
      </c>
      <c r="N4124" s="6">
        <f>IF(OR($G4124="FCC",$G4124="Hydrocracker",$G4124="Reformer"),IF(COUNTIFS($D:$D,$D4124,$A:$A,$A4124,$B:$B,$B4124,$G:$G,"CDU",$J:$J,"PLANNED")&gt;0,"tied","standalone"),"")</f>
        <v/>
      </c>
    </row>
    <row r="4125" spans="1:14">
      <c r="A4125" s="6">
        <v>2024</v>
      </c>
      <c r="B4125" s="6">
        <v>7</v>
      </c>
      <c r="C4125" s="6" t="s">
        <v>66</v>
      </c>
      <c r="D4125" s="6" t="s">
        <v>458</v>
      </c>
      <c r="E4125" s="6" t="s">
        <v>459</v>
      </c>
      <c r="F4125" s="6" t="str">
        <f>IF($M4125="PADD I","PADD 1",IF($M4125="PADD II","PADD 2",IF($M4125="PADD III","PADD 3",IF($M4125="PADD IV","PADD 4",IF($M4125="PADD V","PADD 5","")))))</f>
        <v>PADD 3</v>
      </c>
      <c r="G4125" s="6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6" t="s">
        <v>510</v>
      </c>
      <c r="I4125" s="6" t="s">
        <v>656</v>
      </c>
      <c r="J4125" s="6" t="s">
        <v>394</v>
      </c>
      <c r="K4125" s="10">
        <v>0.5</v>
      </c>
      <c r="L4125" s="10">
        <v>5</v>
      </c>
      <c r="M4125" s="6" t="s">
        <v>421</v>
      </c>
      <c r="N4125" s="6">
        <f>IF(OR($G4125="FCC",$G4125="Hydrocracker",$G4125="Reformer"),IF(COUNTIFS($D:$D,$D4125,$A:$A,$A4125,$B:$B,$B4125,$G:$G,"CDU",$J:$J,"PLANNED")&gt;0,"tied","standalone"),"")</f>
        <v/>
      </c>
    </row>
    <row r="4126" spans="1:14">
      <c r="A4126" s="6">
        <v>2024</v>
      </c>
      <c r="B4126" s="6">
        <v>7</v>
      </c>
      <c r="C4126" s="6" t="s">
        <v>66</v>
      </c>
      <c r="D4126" s="6" t="s">
        <v>518</v>
      </c>
      <c r="E4126" s="6" t="s">
        <v>419</v>
      </c>
      <c r="F4126" s="6" t="str">
        <f>IF($M4126="PADD I","PADD 1",IF($M4126="PADD II","PADD 2",IF($M4126="PADD III","PADD 3",IF($M4126="PADD IV","PADD 4",IF($M4126="PADD V","PADD 5","")))))</f>
        <v>PADD 3</v>
      </c>
      <c r="G4126" s="6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6" t="s">
        <v>471</v>
      </c>
      <c r="I4126" s="6" t="s">
        <v>685</v>
      </c>
      <c r="J4126" s="6" t="s">
        <v>394</v>
      </c>
      <c r="K4126" s="10">
        <v>0.42</v>
      </c>
      <c r="L4126" s="10">
        <v>7</v>
      </c>
      <c r="M4126" s="6" t="s">
        <v>421</v>
      </c>
      <c r="N4126" s="6" t="str">
        <f>IF(OR($G4126="FCC",$G4126="Hydrocracker",$G4126="Reformer"),IF(COUNTIFS($D:$D,$D4126,$A:$A,$A4126,$B:$B,$B4126,$G:$G,"CDU",$J:$J,"PLANNED")&gt;0,"tied","standalone"),"")</f>
        <v>standalone</v>
      </c>
    </row>
    <row r="4127" spans="1:14">
      <c r="A4127" s="6">
        <v>2024</v>
      </c>
      <c r="B4127" s="6">
        <v>7</v>
      </c>
      <c r="C4127" s="6" t="s">
        <v>66</v>
      </c>
      <c r="D4127" s="6" t="s">
        <v>760</v>
      </c>
      <c r="E4127" s="6" t="s">
        <v>761</v>
      </c>
      <c r="F4127" s="6" t="str">
        <f>IF($M4127="PADD I","PADD 1",IF($M4127="PADD II","PADD 2",IF($M4127="PADD III","PADD 3",IF($M4127="PADD IV","PADD 4",IF($M4127="PADD V","PADD 5","")))))</f>
        <v>PADD 3</v>
      </c>
      <c r="G4127" s="6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6" t="s">
        <v>39</v>
      </c>
      <c r="I4127" s="6" t="s">
        <v>762</v>
      </c>
      <c r="J4127" s="6" t="s">
        <v>394</v>
      </c>
      <c r="K4127" s="10">
        <v>0.09</v>
      </c>
      <c r="L4127" s="10">
        <v>1.5</v>
      </c>
      <c r="M4127" s="6" t="s">
        <v>421</v>
      </c>
      <c r="N4127" s="6">
        <f>IF(OR($G4127="FCC",$G4127="Hydrocracker",$G4127="Reformer"),IF(COUNTIFS($D:$D,$D4127,$A:$A,$A4127,$B:$B,$B4127,$G:$G,"CDU",$J:$J,"PLANNED")&gt;0,"tied","standalone"),"")</f>
        <v/>
      </c>
    </row>
    <row r="4128" spans="1:14">
      <c r="A4128" s="6">
        <v>2024</v>
      </c>
      <c r="B4128" s="6">
        <v>7</v>
      </c>
      <c r="C4128" s="6" t="s">
        <v>66</v>
      </c>
      <c r="D4128" s="6" t="s">
        <v>470</v>
      </c>
      <c r="E4128" s="6" t="s">
        <v>423</v>
      </c>
      <c r="F4128" s="6" t="str">
        <f>IF($M4128="PADD I","PADD 1",IF($M4128="PADD II","PADD 2",IF($M4128="PADD III","PADD 3",IF($M4128="PADD IV","PADD 4",IF($M4128="PADD V","PADD 5","")))))</f>
        <v>PADD 2</v>
      </c>
      <c r="G4128" s="6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6" t="s">
        <v>510</v>
      </c>
      <c r="I4128" s="6" t="s">
        <v>666</v>
      </c>
      <c r="J4128" s="6" t="s">
        <v>394</v>
      </c>
      <c r="K4128" s="10">
        <v>0.045</v>
      </c>
      <c r="L4128" s="10">
        <v>1.5</v>
      </c>
      <c r="M4128" s="6" t="s">
        <v>425</v>
      </c>
      <c r="N4128" s="6">
        <f>IF(OR($G4128="FCC",$G4128="Hydrocracker",$G4128="Reformer"),IF(COUNTIFS($D:$D,$D4128,$A:$A,$A4128,$B:$B,$B4128,$G:$G,"CDU",$J:$J,"PLANNED")&gt;0,"tied","standalone"),"")</f>
        <v/>
      </c>
    </row>
    <row r="4129" spans="1:14">
      <c r="A4129" s="6">
        <v>2024</v>
      </c>
      <c r="B4129" s="6">
        <v>8</v>
      </c>
      <c r="C4129" s="6" t="s">
        <v>67</v>
      </c>
      <c r="D4129" s="6" t="s">
        <v>576</v>
      </c>
      <c r="E4129" s="6" t="s">
        <v>455</v>
      </c>
      <c r="F4129" s="6" t="str">
        <f>IF($M4129="PADD I","PADD 1",IF($M4129="PADD II","PADD 2",IF($M4129="PADD III","PADD 3",IF($M4129="PADD IV","PADD 4",IF($M4129="PADD V","PADD 5","")))))</f>
        <v>PADD 3</v>
      </c>
      <c r="G4129" s="6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6" t="s">
        <v>39</v>
      </c>
      <c r="I4129" s="6" t="s">
        <v>399</v>
      </c>
      <c r="J4129" s="6" t="s">
        <v>394</v>
      </c>
      <c r="K4129" s="10">
        <v>136.5</v>
      </c>
      <c r="L4129" s="10">
        <v>210</v>
      </c>
      <c r="M4129" s="6" t="s">
        <v>421</v>
      </c>
      <c r="N4129" s="6">
        <f>IF(OR($G4129="FCC",$G4129="Hydrocracker",$G4129="Reformer"),IF(COUNTIFS($D:$D,$D4129,$A:$A,$A4129,$B:$B,$B4129,$G:$G,"CDU",$J:$J,"PLANNED")&gt;0,"tied","standalone"),"")</f>
        <v/>
      </c>
    </row>
    <row r="4130" spans="1:14">
      <c r="A4130" s="6">
        <v>2024</v>
      </c>
      <c r="B4130" s="6">
        <v>8</v>
      </c>
      <c r="C4130" s="6" t="s">
        <v>67</v>
      </c>
      <c r="D4130" s="6" t="s">
        <v>576</v>
      </c>
      <c r="E4130" s="6" t="s">
        <v>455</v>
      </c>
      <c r="F4130" s="6" t="str">
        <f>IF($M4130="PADD I","PADD 1",IF($M4130="PADD II","PADD 2",IF($M4130="PADD III","PADD 3",IF($M4130="PADD IV","PADD 4",IF($M4130="PADD V","PADD 5","")))))</f>
        <v>PADD 3</v>
      </c>
      <c r="G4130" s="6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6" t="s">
        <v>428</v>
      </c>
      <c r="I4130" s="6" t="s">
        <v>699</v>
      </c>
      <c r="J4130" s="6" t="s">
        <v>394</v>
      </c>
      <c r="K4130" s="10">
        <v>111.8</v>
      </c>
      <c r="L4130" s="10">
        <v>172</v>
      </c>
      <c r="M4130" s="6" t="s">
        <v>421</v>
      </c>
      <c r="N4130" s="6">
        <f>IF(OR($G4130="FCC",$G4130="Hydrocracker",$G4130="Reformer"),IF(COUNTIFS($D:$D,$D4130,$A:$A,$A4130,$B:$B,$B4130,$G:$G,"CDU",$J:$J,"PLANNED")&gt;0,"tied","standalone"),"")</f>
        <v/>
      </c>
    </row>
    <row r="4131" spans="1:14">
      <c r="A4131" s="6">
        <v>2024</v>
      </c>
      <c r="B4131" s="6">
        <v>8</v>
      </c>
      <c r="C4131" s="6" t="s">
        <v>67</v>
      </c>
      <c r="D4131" s="6" t="s">
        <v>764</v>
      </c>
      <c r="E4131" s="6" t="s">
        <v>455</v>
      </c>
      <c r="F4131" s="6" t="str">
        <f>IF($M4131="PADD I","PADD 1",IF($M4131="PADD II","PADD 2",IF($M4131="PADD III","PADD 3",IF($M4131="PADD IV","PADD 4",IF($M4131="PADD V","PADD 5","")))))</f>
        <v>PADD 3</v>
      </c>
      <c r="G4131" s="6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6" t="s">
        <v>39</v>
      </c>
      <c r="I4131" s="6" t="s">
        <v>136</v>
      </c>
      <c r="J4131" s="6" t="s">
        <v>398</v>
      </c>
      <c r="K4131" s="10">
        <v>100.05</v>
      </c>
      <c r="L4131" s="10">
        <v>115</v>
      </c>
      <c r="M4131" s="6" t="s">
        <v>421</v>
      </c>
      <c r="N4131" s="6">
        <f>IF(OR($G4131="FCC",$G4131="Hydrocracker",$G4131="Reformer"),IF(COUNTIFS($D:$D,$D4131,$A:$A,$A4131,$B:$B,$B4131,$G:$G,"CDU",$J:$J,"PLANNED")&gt;0,"tied","standalone"),"")</f>
        <v/>
      </c>
    </row>
    <row r="4132" spans="1:14">
      <c r="A4132" s="6">
        <v>2024</v>
      </c>
      <c r="B4132" s="6">
        <v>8</v>
      </c>
      <c r="C4132" s="6" t="s">
        <v>67</v>
      </c>
      <c r="D4132" s="6" t="s">
        <v>496</v>
      </c>
      <c r="E4132" s="6" t="s">
        <v>441</v>
      </c>
      <c r="F4132" s="6" t="str">
        <f>IF($M4132="PADD I","PADD 1",IF($M4132="PADD II","PADD 2",IF($M4132="PADD III","PADD 3",IF($M4132="PADD IV","PADD 4",IF($M4132="PADD V","PADD 5","")))))</f>
        <v>PADD 3</v>
      </c>
      <c r="G4132" s="6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6" t="s">
        <v>39</v>
      </c>
      <c r="I4132" s="6" t="s">
        <v>82</v>
      </c>
      <c r="J4132" s="6" t="s">
        <v>398</v>
      </c>
      <c r="K4132" s="10">
        <v>100</v>
      </c>
      <c r="L4132" s="10">
        <v>100</v>
      </c>
      <c r="M4132" s="6" t="s">
        <v>421</v>
      </c>
      <c r="N4132" s="6">
        <f>IF(OR($G4132="FCC",$G4132="Hydrocracker",$G4132="Reformer"),IF(COUNTIFS($D:$D,$D4132,$A:$A,$A4132,$B:$B,$B4132,$G:$G,"CDU",$J:$J,"PLANNED")&gt;0,"tied","standalone"),"")</f>
        <v/>
      </c>
    </row>
    <row r="4133" spans="1:14">
      <c r="A4133" s="6">
        <v>2024</v>
      </c>
      <c r="B4133" s="6">
        <v>8</v>
      </c>
      <c r="C4133" s="6" t="s">
        <v>67</v>
      </c>
      <c r="D4133" s="6" t="s">
        <v>370</v>
      </c>
      <c r="E4133" s="6" t="s">
        <v>431</v>
      </c>
      <c r="F4133" s="6" t="str">
        <f>IF($M4133="PADD I","PADD 1",IF($M4133="PADD II","PADD 2",IF($M4133="PADD III","PADD 3",IF($M4133="PADD IV","PADD 4",IF($M4133="PADD V","PADD 5","")))))</f>
        <v>PADD 2</v>
      </c>
      <c r="G4133" s="6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6" t="s">
        <v>39</v>
      </c>
      <c r="I4133" s="6" t="s">
        <v>82</v>
      </c>
      <c r="J4133" s="6" t="s">
        <v>394</v>
      </c>
      <c r="K4133" s="10">
        <v>80</v>
      </c>
      <c r="L4133" s="10">
        <v>250</v>
      </c>
      <c r="M4133" s="6" t="s">
        <v>425</v>
      </c>
      <c r="N4133" s="6">
        <f>IF(OR($G4133="FCC",$G4133="Hydrocracker",$G4133="Reformer"),IF(COUNTIFS($D:$D,$D4133,$A:$A,$A4133,$B:$B,$B4133,$G:$G,"CDU",$J:$J,"PLANNED")&gt;0,"tied","standalone"),"")</f>
        <v/>
      </c>
    </row>
    <row r="4134" spans="1:14">
      <c r="A4134" s="6">
        <v>2024</v>
      </c>
      <c r="B4134" s="6">
        <v>8</v>
      </c>
      <c r="C4134" s="6" t="s">
        <v>67</v>
      </c>
      <c r="D4134" s="6" t="s">
        <v>764</v>
      </c>
      <c r="E4134" s="6" t="s">
        <v>455</v>
      </c>
      <c r="F4134" s="6" t="str">
        <f>IF($M4134="PADD I","PADD 1",IF($M4134="PADD II","PADD 2",IF($M4134="PADD III","PADD 3",IF($M4134="PADD IV","PADD 4",IF($M4134="PADD V","PADD 5","")))))</f>
        <v>PADD 3</v>
      </c>
      <c r="G4134" s="6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6" t="s">
        <v>426</v>
      </c>
      <c r="I4134" s="6" t="s">
        <v>106</v>
      </c>
      <c r="J4134" s="6" t="s">
        <v>398</v>
      </c>
      <c r="K4134" s="10">
        <v>73.72</v>
      </c>
      <c r="L4134" s="10">
        <v>76</v>
      </c>
      <c r="M4134" s="6" t="s">
        <v>421</v>
      </c>
      <c r="N4134" s="6" t="str">
        <f>IF(OR($G4134="FCC",$G4134="Hydrocracker",$G4134="Reformer"),IF(COUNTIFS($D:$D,$D4134,$A:$A,$A4134,$B:$B,$B4134,$G:$G,"CDU",$J:$J,"PLANNED")&gt;0,"tied","standalone"),"")</f>
        <v>tied</v>
      </c>
    </row>
    <row r="4135" spans="1:14">
      <c r="A4135" s="6">
        <v>2024</v>
      </c>
      <c r="B4135" s="6">
        <v>8</v>
      </c>
      <c r="C4135" s="6" t="s">
        <v>67</v>
      </c>
      <c r="D4135" s="6" t="s">
        <v>373</v>
      </c>
      <c r="E4135" s="6" t="s">
        <v>438</v>
      </c>
      <c r="F4135" s="6" t="str">
        <f>IF($M4135="PADD I","PADD 1",IF($M4135="PADD II","PADD 2",IF($M4135="PADD III","PADD 3",IF($M4135="PADD IV","PADD 4",IF($M4135="PADD V","PADD 5","")))))</f>
        <v>PADD 3</v>
      </c>
      <c r="G4135" s="6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6" t="s">
        <v>44</v>
      </c>
      <c r="I4135" s="6" t="s">
        <v>732</v>
      </c>
      <c r="J4135" s="6" t="s">
        <v>394</v>
      </c>
      <c r="K4135" s="10">
        <v>44.52</v>
      </c>
      <c r="L4135" s="10">
        <v>106</v>
      </c>
      <c r="M4135" s="6" t="s">
        <v>421</v>
      </c>
      <c r="N4135" s="6">
        <f>IF(OR($G4135="FCC",$G4135="Hydrocracker",$G4135="Reformer"),IF(COUNTIFS($D:$D,$D4135,$A:$A,$A4135,$B:$B,$B4135,$G:$G,"CDU",$J:$J,"PLANNED")&gt;0,"tied","standalone"),"")</f>
        <v/>
      </c>
    </row>
    <row r="4136" spans="1:14">
      <c r="A4136" s="6">
        <v>2024</v>
      </c>
      <c r="B4136" s="6">
        <v>8</v>
      </c>
      <c r="C4136" s="6" t="s">
        <v>67</v>
      </c>
      <c r="D4136" s="6" t="s">
        <v>370</v>
      </c>
      <c r="E4136" s="6" t="s">
        <v>431</v>
      </c>
      <c r="F4136" s="6" t="str">
        <f>IF($M4136="PADD I","PADD 1",IF($M4136="PADD II","PADD 2",IF($M4136="PADD III","PADD 3",IF($M4136="PADD IV","PADD 4",IF($M4136="PADD V","PADD 5","")))))</f>
        <v>PADD 2</v>
      </c>
      <c r="G4136" s="6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6" t="s">
        <v>428</v>
      </c>
      <c r="I4136" s="6" t="s">
        <v>481</v>
      </c>
      <c r="J4136" s="6" t="s">
        <v>394</v>
      </c>
      <c r="K4136" s="10">
        <v>44.45</v>
      </c>
      <c r="L4136" s="10">
        <v>127</v>
      </c>
      <c r="M4136" s="6" t="s">
        <v>425</v>
      </c>
      <c r="N4136" s="6">
        <f>IF(OR($G4136="FCC",$G4136="Hydrocracker",$G4136="Reformer"),IF(COUNTIFS($D:$D,$D4136,$A:$A,$A4136,$B:$B,$B4136,$G:$G,"CDU",$J:$J,"PLANNED")&gt;0,"tied","standalone"),"")</f>
        <v/>
      </c>
    </row>
    <row r="4137" spans="1:14">
      <c r="A4137" s="6">
        <v>2024</v>
      </c>
      <c r="B4137" s="6">
        <v>8</v>
      </c>
      <c r="C4137" s="6" t="s">
        <v>67</v>
      </c>
      <c r="D4137" s="6" t="s">
        <v>496</v>
      </c>
      <c r="E4137" s="6" t="s">
        <v>441</v>
      </c>
      <c r="F4137" s="6" t="str">
        <f>IF($M4137="PADD I","PADD 1",IF($M4137="PADD II","PADD 2",IF($M4137="PADD III","PADD 3",IF($M4137="PADD IV","PADD 4",IF($M4137="PADD V","PADD 5","")))))</f>
        <v>PADD 3</v>
      </c>
      <c r="G4137" s="6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6" t="s">
        <v>428</v>
      </c>
      <c r="I4137" s="6" t="s">
        <v>1091</v>
      </c>
      <c r="J4137" s="6" t="s">
        <v>394</v>
      </c>
      <c r="K4137" s="10">
        <v>41</v>
      </c>
      <c r="L4137" s="10">
        <v>41</v>
      </c>
      <c r="M4137" s="6" t="s">
        <v>421</v>
      </c>
      <c r="N4137" s="6">
        <f>IF(OR($G4137="FCC",$G4137="Hydrocracker",$G4137="Reformer"),IF(COUNTIFS($D:$D,$D4137,$A:$A,$A4137,$B:$B,$B4137,$G:$G,"CDU",$J:$J,"PLANNED")&gt;0,"tied","standalone"),"")</f>
        <v/>
      </c>
    </row>
    <row r="4138" spans="1:14">
      <c r="A4138" s="6">
        <v>2024</v>
      </c>
      <c r="B4138" s="6">
        <v>8</v>
      </c>
      <c r="C4138" s="6" t="s">
        <v>67</v>
      </c>
      <c r="D4138" s="6" t="s">
        <v>380</v>
      </c>
      <c r="E4138" s="6" t="s">
        <v>423</v>
      </c>
      <c r="F4138" s="6" t="str">
        <f>IF($M4138="PADD I","PADD 1",IF($M4138="PADD II","PADD 2",IF($M4138="PADD III","PADD 3",IF($M4138="PADD IV","PADD 4",IF($M4138="PADD V","PADD 5","")))))</f>
        <v>PADD 2</v>
      </c>
      <c r="G4138" s="6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6" t="s">
        <v>39</v>
      </c>
      <c r="I4138" s="6" t="s">
        <v>381</v>
      </c>
      <c r="J4138" s="6" t="s">
        <v>394</v>
      </c>
      <c r="K4138" s="10">
        <v>39.56</v>
      </c>
      <c r="L4138" s="10">
        <v>172</v>
      </c>
      <c r="M4138" s="6" t="s">
        <v>425</v>
      </c>
      <c r="N4138" s="6">
        <f>IF(OR($G4138="FCC",$G4138="Hydrocracker",$G4138="Reformer"),IF(COUNTIFS($D:$D,$D4138,$A:$A,$A4138,$B:$B,$B4138,$G:$G,"CDU",$J:$J,"PLANNED")&gt;0,"tied","standalone"),"")</f>
        <v/>
      </c>
    </row>
    <row r="4139" spans="1:14">
      <c r="A4139" s="6">
        <v>2024</v>
      </c>
      <c r="B4139" s="6">
        <v>8</v>
      </c>
      <c r="C4139" s="6" t="s">
        <v>67</v>
      </c>
      <c r="D4139" s="6" t="s">
        <v>540</v>
      </c>
      <c r="E4139" s="6" t="s">
        <v>541</v>
      </c>
      <c r="F4139" s="6" t="str">
        <f>IF($M4139="PADD I","PADD 1",IF($M4139="PADD II","PADD 2",IF($M4139="PADD III","PADD 3",IF($M4139="PADD IV","PADD 4",IF($M4139="PADD V","PADD 5","")))))</f>
        <v>PADD 3</v>
      </c>
      <c r="G4139" s="6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6" t="s">
        <v>426</v>
      </c>
      <c r="I4139" s="6" t="s">
        <v>522</v>
      </c>
      <c r="J4139" s="6" t="s">
        <v>394</v>
      </c>
      <c r="K4139" s="10">
        <v>36.45</v>
      </c>
      <c r="L4139" s="10">
        <v>81</v>
      </c>
      <c r="M4139" s="6" t="s">
        <v>421</v>
      </c>
      <c r="N4139" s="6" t="str">
        <f>IF(OR($G4139="FCC",$G4139="Hydrocracker",$G4139="Reformer"),IF(COUNTIFS($D:$D,$D4139,$A:$A,$A4139,$B:$B,$B4139,$G:$G,"CDU",$J:$J,"PLANNED")&gt;0,"tied","standalone"),"")</f>
        <v>standalone</v>
      </c>
    </row>
    <row r="4140" spans="1:14">
      <c r="A4140" s="6">
        <v>2024</v>
      </c>
      <c r="B4140" s="6">
        <v>8</v>
      </c>
      <c r="C4140" s="6" t="s">
        <v>67</v>
      </c>
      <c r="D4140" s="6" t="s">
        <v>496</v>
      </c>
      <c r="E4140" s="6" t="s">
        <v>441</v>
      </c>
      <c r="F4140" s="6" t="str">
        <f>IF($M4140="PADD I","PADD 1",IF($M4140="PADD II","PADD 2",IF($M4140="PADD III","PADD 3",IF($M4140="PADD IV","PADD 4",IF($M4140="PADD V","PADD 5","")))))</f>
        <v>PADD 3</v>
      </c>
      <c r="G4140" s="6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6" t="s">
        <v>44</v>
      </c>
      <c r="I4140" s="6" t="s">
        <v>497</v>
      </c>
      <c r="J4140" s="6" t="s">
        <v>398</v>
      </c>
      <c r="K4140" s="10">
        <v>35</v>
      </c>
      <c r="L4140" s="10">
        <v>35</v>
      </c>
      <c r="M4140" s="6" t="s">
        <v>421</v>
      </c>
      <c r="N4140" s="6">
        <f>IF(OR($G4140="FCC",$G4140="Hydrocracker",$G4140="Reformer"),IF(COUNTIFS($D:$D,$D4140,$A:$A,$A4140,$B:$B,$B4140,$G:$G,"CDU",$J:$J,"PLANNED")&gt;0,"tied","standalone"),"")</f>
        <v/>
      </c>
    </row>
    <row r="4141" spans="1:14">
      <c r="A4141" s="6">
        <v>2024</v>
      </c>
      <c r="B4141" s="6">
        <v>8</v>
      </c>
      <c r="C4141" s="6" t="s">
        <v>67</v>
      </c>
      <c r="D4141" s="6" t="s">
        <v>498</v>
      </c>
      <c r="E4141" s="6" t="s">
        <v>441</v>
      </c>
      <c r="F4141" s="6" t="str">
        <f>IF($M4141="PADD I","PADD 1",IF($M4141="PADD II","PADD 2",IF($M4141="PADD III","PADD 3",IF($M4141="PADD IV","PADD 4",IF($M4141="PADD V","PADD 5","")))))</f>
        <v>PADD 3</v>
      </c>
      <c r="G4141" s="6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6" t="s">
        <v>44</v>
      </c>
      <c r="I4141" s="6" t="s">
        <v>499</v>
      </c>
      <c r="J4141" s="6" t="s">
        <v>394</v>
      </c>
      <c r="K4141" s="10">
        <v>35</v>
      </c>
      <c r="L4141" s="10">
        <v>35</v>
      </c>
      <c r="M4141" s="6" t="s">
        <v>421</v>
      </c>
      <c r="N4141" s="6">
        <f>IF(OR($G4141="FCC",$G4141="Hydrocracker",$G4141="Reformer"),IF(COUNTIFS($D:$D,$D4141,$A:$A,$A4141,$B:$B,$B4141,$G:$G,"CDU",$J:$J,"PLANNED")&gt;0,"tied","standalone"),"")</f>
        <v/>
      </c>
    </row>
    <row r="4142" spans="1:14">
      <c r="A4142" s="6">
        <v>2024</v>
      </c>
      <c r="B4142" s="6">
        <v>8</v>
      </c>
      <c r="C4142" s="6" t="s">
        <v>67</v>
      </c>
      <c r="D4142" s="6" t="s">
        <v>52</v>
      </c>
      <c r="E4142" s="6" t="s">
        <v>441</v>
      </c>
      <c r="F4142" s="6" t="str">
        <f>IF($M4142="PADD I","PADD 1",IF($M4142="PADD II","PADD 2",IF($M4142="PADD III","PADD 3",IF($M4142="PADD IV","PADD 4",IF($M4142="PADD V","PADD 5","")))))</f>
        <v>PADD 5</v>
      </c>
      <c r="G4142" s="6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6" t="s">
        <v>426</v>
      </c>
      <c r="I4142" s="6" t="s">
        <v>106</v>
      </c>
      <c r="J4142" s="6" t="s">
        <v>398</v>
      </c>
      <c r="K4142" s="10">
        <v>32.625</v>
      </c>
      <c r="L4142" s="10">
        <v>72.5</v>
      </c>
      <c r="M4142" s="6" t="s">
        <v>436</v>
      </c>
      <c r="N4142" s="6" t="str">
        <f>IF(OR($G4142="FCC",$G4142="Hydrocracker",$G4142="Reformer"),IF(COUNTIFS($D:$D,$D4142,$A:$A,$A4142,$B:$B,$B4142,$G:$G,"CDU",$J:$J,"PLANNED")&gt;0,"tied","standalone"),"")</f>
        <v>standalone</v>
      </c>
    </row>
    <row r="4143" spans="1:14">
      <c r="A4143" s="6">
        <v>2024</v>
      </c>
      <c r="B4143" s="6">
        <v>8</v>
      </c>
      <c r="C4143" s="6" t="s">
        <v>67</v>
      </c>
      <c r="D4143" s="6" t="s">
        <v>370</v>
      </c>
      <c r="E4143" s="6" t="s">
        <v>431</v>
      </c>
      <c r="F4143" s="6" t="str">
        <f>IF($M4143="PADD I","PADD 1",IF($M4143="PADD II","PADD 2",IF($M4143="PADD III","PADD 3",IF($M4143="PADD IV","PADD 4",IF($M4143="PADD V","PADD 5","")))))</f>
        <v>PADD 2</v>
      </c>
      <c r="G4143" s="6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6" t="s">
        <v>44</v>
      </c>
      <c r="I4143" s="6" t="s">
        <v>1214</v>
      </c>
      <c r="J4143" s="6" t="s">
        <v>394</v>
      </c>
      <c r="K4143" s="10">
        <v>31.5</v>
      </c>
      <c r="L4143" s="10">
        <v>90</v>
      </c>
      <c r="M4143" s="6" t="s">
        <v>425</v>
      </c>
      <c r="N4143" s="6">
        <f>IF(OR($G4143="FCC",$G4143="Hydrocracker",$G4143="Reformer"),IF(COUNTIFS($D:$D,$D4143,$A:$A,$A4143,$B:$B,$B4143,$G:$G,"CDU",$J:$J,"PLANNED")&gt;0,"tied","standalone"),"")</f>
        <v/>
      </c>
    </row>
    <row r="4144" spans="1:14">
      <c r="A4144" s="6">
        <v>2024</v>
      </c>
      <c r="B4144" s="6">
        <v>8</v>
      </c>
      <c r="C4144" s="6" t="s">
        <v>67</v>
      </c>
      <c r="D4144" s="6" t="s">
        <v>370</v>
      </c>
      <c r="E4144" s="6" t="s">
        <v>431</v>
      </c>
      <c r="F4144" s="6" t="str">
        <f>IF($M4144="PADD I","PADD 1",IF($M4144="PADD II","PADD 2",IF($M4144="PADD III","PADD 3",IF($M4144="PADD IV","PADD 4",IF($M4144="PADD V","PADD 5","")))))</f>
        <v>PADD 2</v>
      </c>
      <c r="G4144" s="6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6" t="s">
        <v>426</v>
      </c>
      <c r="I4144" s="6" t="s">
        <v>106</v>
      </c>
      <c r="J4144" s="6" t="s">
        <v>394</v>
      </c>
      <c r="K4144" s="10">
        <v>31.36</v>
      </c>
      <c r="L4144" s="10">
        <v>98</v>
      </c>
      <c r="M4144" s="6" t="s">
        <v>425</v>
      </c>
      <c r="N4144" s="6" t="str">
        <f>IF(OR($G4144="FCC",$G4144="Hydrocracker",$G4144="Reformer"),IF(COUNTIFS($D:$D,$D4144,$A:$A,$A4144,$B:$B,$B4144,$G:$G,"CDU",$J:$J,"PLANNED")&gt;0,"tied","standalone"),"")</f>
        <v>standalone</v>
      </c>
    </row>
    <row r="4145" spans="1:14">
      <c r="A4145" s="6">
        <v>2024</v>
      </c>
      <c r="B4145" s="6">
        <v>8</v>
      </c>
      <c r="C4145" s="6" t="s">
        <v>67</v>
      </c>
      <c r="D4145" s="6" t="s">
        <v>576</v>
      </c>
      <c r="E4145" s="6" t="s">
        <v>455</v>
      </c>
      <c r="F4145" s="6" t="str">
        <f>IF($M4145="PADD I","PADD 1",IF($M4145="PADD II","PADD 2",IF($M4145="PADD III","PADD 3",IF($M4145="PADD IV","PADD 4",IF($M4145="PADD V","PADD 5","")))))</f>
        <v>PADD 3</v>
      </c>
      <c r="G4145" s="6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6" t="s">
        <v>44</v>
      </c>
      <c r="I4145" s="6" t="s">
        <v>1126</v>
      </c>
      <c r="J4145" s="6" t="s">
        <v>394</v>
      </c>
      <c r="K4145" s="10">
        <v>30.55</v>
      </c>
      <c r="L4145" s="10">
        <v>47</v>
      </c>
      <c r="M4145" s="6" t="s">
        <v>421</v>
      </c>
      <c r="N4145" s="6">
        <f>IF(OR($G4145="FCC",$G4145="Hydrocracker",$G4145="Reformer"),IF(COUNTIFS($D:$D,$D4145,$A:$A,$A4145,$B:$B,$B4145,$G:$G,"CDU",$J:$J,"PLANNED")&gt;0,"tied","standalone"),"")</f>
        <v/>
      </c>
    </row>
    <row r="4146" spans="1:14">
      <c r="A4146" s="6">
        <v>2024</v>
      </c>
      <c r="B4146" s="6">
        <v>8</v>
      </c>
      <c r="C4146" s="6" t="s">
        <v>67</v>
      </c>
      <c r="D4146" s="6" t="s">
        <v>764</v>
      </c>
      <c r="E4146" s="6" t="s">
        <v>455</v>
      </c>
      <c r="F4146" s="6" t="str">
        <f>IF($M4146="PADD I","PADD 1",IF($M4146="PADD II","PADD 2",IF($M4146="PADD III","PADD 3",IF($M4146="PADD IV","PADD 4",IF($M4146="PADD V","PADD 5","")))))</f>
        <v>PADD 3</v>
      </c>
      <c r="G4146" s="6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6" t="s">
        <v>428</v>
      </c>
      <c r="I4146" s="6" t="s">
        <v>544</v>
      </c>
      <c r="J4146" s="6" t="s">
        <v>398</v>
      </c>
      <c r="K4146" s="10">
        <v>29.1</v>
      </c>
      <c r="L4146" s="10">
        <v>30</v>
      </c>
      <c r="M4146" s="6" t="s">
        <v>421</v>
      </c>
      <c r="N4146" s="6">
        <f>IF(OR($G4146="FCC",$G4146="Hydrocracker",$G4146="Reformer"),IF(COUNTIFS($D:$D,$D4146,$A:$A,$A4146,$B:$B,$B4146,$G:$G,"CDU",$J:$J,"PLANNED")&gt;0,"tied","standalone"),"")</f>
        <v/>
      </c>
    </row>
    <row r="4147" spans="1:14">
      <c r="A4147" s="6">
        <v>2024</v>
      </c>
      <c r="B4147" s="6">
        <v>8</v>
      </c>
      <c r="C4147" s="6" t="s">
        <v>67</v>
      </c>
      <c r="D4147" s="6" t="s">
        <v>370</v>
      </c>
      <c r="E4147" s="6" t="s">
        <v>431</v>
      </c>
      <c r="F4147" s="6" t="str">
        <f>IF($M4147="PADD I","PADD 1",IF($M4147="PADD II","PADD 2",IF($M4147="PADD III","PADD 3",IF($M4147="PADD IV","PADD 4",IF($M4147="PADD V","PADD 5","")))))</f>
        <v>PADD 2</v>
      </c>
      <c r="G4147" s="6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6" t="s">
        <v>44</v>
      </c>
      <c r="I4147" s="6" t="s">
        <v>1215</v>
      </c>
      <c r="J4147" s="6" t="s">
        <v>394</v>
      </c>
      <c r="K4147" s="10">
        <v>28</v>
      </c>
      <c r="L4147" s="10">
        <v>80</v>
      </c>
      <c r="M4147" s="6" t="s">
        <v>425</v>
      </c>
      <c r="N4147" s="6">
        <f>IF(OR($G4147="FCC",$G4147="Hydrocracker",$G4147="Reformer"),IF(COUNTIFS($D:$D,$D4147,$A:$A,$A4147,$B:$B,$B4147,$G:$G,"CDU",$J:$J,"PLANNED")&gt;0,"tied","standalone"),"")</f>
        <v/>
      </c>
    </row>
    <row r="4148" spans="1:14">
      <c r="A4148" s="6">
        <v>2024</v>
      </c>
      <c r="B4148" s="6">
        <v>8</v>
      </c>
      <c r="C4148" s="6" t="s">
        <v>67</v>
      </c>
      <c r="D4148" s="6" t="s">
        <v>764</v>
      </c>
      <c r="E4148" s="6" t="s">
        <v>455</v>
      </c>
      <c r="F4148" s="6" t="str">
        <f>IF($M4148="PADD I","PADD 1",IF($M4148="PADD II","PADD 2",IF($M4148="PADD III","PADD 3",IF($M4148="PADD IV","PADD 4",IF($M4148="PADD V","PADD 5","")))))</f>
        <v>PADD 3</v>
      </c>
      <c r="G4148" s="6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6" t="s">
        <v>471</v>
      </c>
      <c r="I4148" s="6" t="s">
        <v>914</v>
      </c>
      <c r="J4148" s="6" t="s">
        <v>398</v>
      </c>
      <c r="K4148" s="10">
        <v>27.16</v>
      </c>
      <c r="L4148" s="10">
        <v>28</v>
      </c>
      <c r="M4148" s="6" t="s">
        <v>421</v>
      </c>
      <c r="N4148" s="6" t="str">
        <f>IF(OR($G4148="FCC",$G4148="Hydrocracker",$G4148="Reformer"),IF(COUNTIFS($D:$D,$D4148,$A:$A,$A4148,$B:$B,$B4148,$G:$G,"CDU",$J:$J,"PLANNED")&gt;0,"tied","standalone"),"")</f>
        <v>tied</v>
      </c>
    </row>
    <row r="4149" spans="1:14">
      <c r="A4149" s="6">
        <v>2024</v>
      </c>
      <c r="B4149" s="6">
        <v>8</v>
      </c>
      <c r="C4149" s="6" t="s">
        <v>67</v>
      </c>
      <c r="D4149" s="6" t="s">
        <v>665</v>
      </c>
      <c r="E4149" s="6" t="s">
        <v>455</v>
      </c>
      <c r="F4149" s="6" t="str">
        <f>IF($M4149="PADD I","PADD 1",IF($M4149="PADD II","PADD 2",IF($M4149="PADD III","PADD 3",IF($M4149="PADD IV","PADD 4",IF($M4149="PADD V","PADD 5","")))))</f>
        <v>PADD 5</v>
      </c>
      <c r="G4149" s="6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6" t="s">
        <v>426</v>
      </c>
      <c r="I4149" s="6" t="s">
        <v>106</v>
      </c>
      <c r="J4149" s="6" t="s">
        <v>394</v>
      </c>
      <c r="K4149" s="10">
        <v>26.95</v>
      </c>
      <c r="L4149" s="10">
        <v>77</v>
      </c>
      <c r="M4149" s="6" t="s">
        <v>436</v>
      </c>
      <c r="N4149" s="6" t="str">
        <f>IF(OR($G4149="FCC",$G4149="Hydrocracker",$G4149="Reformer"),IF(COUNTIFS($D:$D,$D4149,$A:$A,$A4149,$B:$B,$B4149,$G:$G,"CDU",$J:$J,"PLANNED")&gt;0,"tied","standalone"),"")</f>
        <v>standalone</v>
      </c>
    </row>
    <row r="4150" spans="1:14">
      <c r="A4150" s="6">
        <v>2024</v>
      </c>
      <c r="B4150" s="6">
        <v>8</v>
      </c>
      <c r="C4150" s="6" t="s">
        <v>67</v>
      </c>
      <c r="D4150" s="6" t="s">
        <v>665</v>
      </c>
      <c r="E4150" s="6" t="s">
        <v>455</v>
      </c>
      <c r="F4150" s="6" t="str">
        <f>IF($M4150="PADD I","PADD 1",IF($M4150="PADD II","PADD 2",IF($M4150="PADD III","PADD 3",IF($M4150="PADD IV","PADD 4",IF($M4150="PADD V","PADD 5","")))))</f>
        <v>PADD 5</v>
      </c>
      <c r="G4150" s="6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6" t="s">
        <v>426</v>
      </c>
      <c r="I4150" s="6" t="s">
        <v>106</v>
      </c>
      <c r="J4150" s="6" t="s">
        <v>398</v>
      </c>
      <c r="K4150" s="10">
        <v>26.95</v>
      </c>
      <c r="L4150" s="10">
        <v>77</v>
      </c>
      <c r="M4150" s="6" t="s">
        <v>436</v>
      </c>
      <c r="N4150" s="6" t="str">
        <f>IF(OR($G4150="FCC",$G4150="Hydrocracker",$G4150="Reformer"),IF(COUNTIFS($D:$D,$D4150,$A:$A,$A4150,$B:$B,$B4150,$G:$G,"CDU",$J:$J,"PLANNED")&gt;0,"tied","standalone"),"")</f>
        <v>standalone</v>
      </c>
    </row>
    <row r="4151" spans="1:14">
      <c r="A4151" s="6">
        <v>2024</v>
      </c>
      <c r="B4151" s="6">
        <v>8</v>
      </c>
      <c r="C4151" s="6" t="s">
        <v>67</v>
      </c>
      <c r="D4151" s="6" t="s">
        <v>437</v>
      </c>
      <c r="E4151" s="6" t="s">
        <v>438</v>
      </c>
      <c r="F4151" s="6" t="str">
        <f>IF($M4151="PADD I","PADD 1",IF($M4151="PADD II","PADD 2",IF($M4151="PADD III","PADD 3",IF($M4151="PADD IV","PADD 4",IF($M4151="PADD V","PADD 5","")))))</f>
        <v>PADD 3</v>
      </c>
      <c r="G4151" s="6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6" t="s">
        <v>426</v>
      </c>
      <c r="I4151" s="6" t="s">
        <v>522</v>
      </c>
      <c r="J4151" s="6" t="s">
        <v>394</v>
      </c>
      <c r="K4151" s="10">
        <v>22.4</v>
      </c>
      <c r="L4151" s="10">
        <v>140</v>
      </c>
      <c r="M4151" s="6" t="s">
        <v>421</v>
      </c>
      <c r="N4151" s="6" t="str">
        <f>IF(OR($G4151="FCC",$G4151="Hydrocracker",$G4151="Reformer"),IF(COUNTIFS($D:$D,$D4151,$A:$A,$A4151,$B:$B,$B4151,$G:$G,"CDU",$J:$J,"PLANNED")&gt;0,"tied","standalone"),"")</f>
        <v>standalone</v>
      </c>
    </row>
    <row r="4152" spans="1:14">
      <c r="A4152" s="6">
        <v>2024</v>
      </c>
      <c r="B4152" s="6">
        <v>8</v>
      </c>
      <c r="C4152" s="6" t="s">
        <v>67</v>
      </c>
      <c r="D4152" s="6" t="s">
        <v>380</v>
      </c>
      <c r="E4152" s="6" t="s">
        <v>423</v>
      </c>
      <c r="F4152" s="6" t="str">
        <f>IF($M4152="PADD I","PADD 1",IF($M4152="PADD II","PADD 2",IF($M4152="PADD III","PADD 3",IF($M4152="PADD IV","PADD 4",IF($M4152="PADD V","PADD 5","")))))</f>
        <v>PADD 2</v>
      </c>
      <c r="G4152" s="6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6" t="s">
        <v>471</v>
      </c>
      <c r="I4152" s="6" t="s">
        <v>966</v>
      </c>
      <c r="J4152" s="6" t="s">
        <v>394</v>
      </c>
      <c r="K4152" s="10">
        <v>20.8</v>
      </c>
      <c r="L4152" s="10">
        <v>40</v>
      </c>
      <c r="M4152" s="6" t="s">
        <v>425</v>
      </c>
      <c r="N4152" s="6" t="str">
        <f>IF(OR($G4152="FCC",$G4152="Hydrocracker",$G4152="Reformer"),IF(COUNTIFS($D:$D,$D4152,$A:$A,$A4152,$B:$B,$B4152,$G:$G,"CDU",$J:$J,"PLANNED")&gt;0,"tied","standalone"),"")</f>
        <v>standalone</v>
      </c>
    </row>
    <row r="4153" spans="1:14">
      <c r="A4153" s="6">
        <v>2024</v>
      </c>
      <c r="B4153" s="6">
        <v>8</v>
      </c>
      <c r="C4153" s="6" t="s">
        <v>67</v>
      </c>
      <c r="D4153" s="6" t="s">
        <v>382</v>
      </c>
      <c r="E4153" s="6" t="s">
        <v>431</v>
      </c>
      <c r="F4153" s="6" t="str">
        <f>IF($M4153="PADD I","PADD 1",IF($M4153="PADD II","PADD 2",IF($M4153="PADD III","PADD 3",IF($M4153="PADD IV","PADD 4",IF($M4153="PADD V","PADD 5","")))))</f>
        <v>PADD 3</v>
      </c>
      <c r="G4153" s="6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6" t="s">
        <v>494</v>
      </c>
      <c r="I4153" s="6" t="s">
        <v>14</v>
      </c>
      <c r="J4153" s="6" t="s">
        <v>394</v>
      </c>
      <c r="K4153" s="10">
        <v>20.8</v>
      </c>
      <c r="L4153" s="10">
        <v>65</v>
      </c>
      <c r="M4153" s="6" t="s">
        <v>421</v>
      </c>
      <c r="N4153" s="6" t="str">
        <f>IF(OR($G4153="FCC",$G4153="Hydrocracker",$G4153="Reformer"),IF(COUNTIFS($D:$D,$D4153,$A:$A,$A4153,$B:$B,$B4153,$G:$G,"CDU",$J:$J,"PLANNED")&gt;0,"tied","standalone"),"")</f>
        <v>standalone</v>
      </c>
    </row>
    <row r="4154" spans="1:14">
      <c r="A4154" s="6">
        <v>2024</v>
      </c>
      <c r="B4154" s="6">
        <v>8</v>
      </c>
      <c r="C4154" s="6" t="s">
        <v>67</v>
      </c>
      <c r="D4154" s="6" t="s">
        <v>773</v>
      </c>
      <c r="E4154" s="6" t="s">
        <v>774</v>
      </c>
      <c r="F4154" s="6" t="str">
        <f>IF($M4154="PADD I","PADD 1",IF($M4154="PADD II","PADD 2",IF($M4154="PADD III","PADD 3",IF($M4154="PADD IV","PADD 4",IF($M4154="PADD V","PADD 5","")))))</f>
        <v>PADD 4</v>
      </c>
      <c r="G4154" s="6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6" t="s">
        <v>426</v>
      </c>
      <c r="I4154" s="6" t="s">
        <v>106</v>
      </c>
      <c r="J4154" s="6" t="s">
        <v>394</v>
      </c>
      <c r="K4154" s="10">
        <v>19.8744</v>
      </c>
      <c r="L4154" s="10">
        <v>23.66</v>
      </c>
      <c r="M4154" s="6" t="s">
        <v>480</v>
      </c>
      <c r="N4154" s="6" t="str">
        <f>IF(OR($G4154="FCC",$G4154="Hydrocracker",$G4154="Reformer"),IF(COUNTIFS($D:$D,$D4154,$A:$A,$A4154,$B:$B,$B4154,$G:$G,"CDU",$J:$J,"PLANNED")&gt;0,"tied","standalone"),"")</f>
        <v>standalone</v>
      </c>
    </row>
    <row r="4155" spans="1:14">
      <c r="A4155" s="6">
        <v>2024</v>
      </c>
      <c r="B4155" s="6">
        <v>8</v>
      </c>
      <c r="C4155" s="6" t="s">
        <v>67</v>
      </c>
      <c r="D4155" s="6" t="s">
        <v>496</v>
      </c>
      <c r="E4155" s="6" t="s">
        <v>441</v>
      </c>
      <c r="F4155" s="6" t="str">
        <f>IF($M4155="PADD I","PADD 1",IF($M4155="PADD II","PADD 2",IF($M4155="PADD III","PADD 3",IF($M4155="PADD IV","PADD 4",IF($M4155="PADD V","PADD 5","")))))</f>
        <v>PADD 3</v>
      </c>
      <c r="G4155" s="6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6" t="s">
        <v>471</v>
      </c>
      <c r="I4155" s="6" t="s">
        <v>533</v>
      </c>
      <c r="J4155" s="6" t="s">
        <v>394</v>
      </c>
      <c r="K4155" s="10">
        <v>19.32</v>
      </c>
      <c r="L4155" s="10">
        <v>23</v>
      </c>
      <c r="M4155" s="6" t="s">
        <v>421</v>
      </c>
      <c r="N4155" s="6" t="str">
        <f>IF(OR($G4155="FCC",$G4155="Hydrocracker",$G4155="Reformer"),IF(COUNTIFS($D:$D,$D4155,$A:$A,$A4155,$B:$B,$B4155,$G:$G,"CDU",$J:$J,"PLANNED")&gt;0,"tied","standalone"),"")</f>
        <v>tied</v>
      </c>
    </row>
    <row r="4156" spans="1:14">
      <c r="A4156" s="6">
        <v>2024</v>
      </c>
      <c r="B4156" s="6">
        <v>8</v>
      </c>
      <c r="C4156" s="6" t="s">
        <v>67</v>
      </c>
      <c r="D4156" s="6" t="s">
        <v>370</v>
      </c>
      <c r="E4156" s="6" t="s">
        <v>431</v>
      </c>
      <c r="F4156" s="6" t="str">
        <f>IF($M4156="PADD I","PADD 1",IF($M4156="PADD II","PADD 2",IF($M4156="PADD III","PADD 3",IF($M4156="PADD IV","PADD 4",IF($M4156="PADD V","PADD 5","")))))</f>
        <v>PADD 2</v>
      </c>
      <c r="G4156" s="6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6" t="s">
        <v>485</v>
      </c>
      <c r="I4156" s="6" t="s">
        <v>491</v>
      </c>
      <c r="J4156" s="6" t="s">
        <v>394</v>
      </c>
      <c r="K4156" s="10">
        <v>17.92</v>
      </c>
      <c r="L4156" s="10">
        <v>56</v>
      </c>
      <c r="M4156" s="6" t="s">
        <v>425</v>
      </c>
      <c r="N4156" s="6">
        <f>IF(OR($G4156="FCC",$G4156="Hydrocracker",$G4156="Reformer"),IF(COUNTIFS($D:$D,$D4156,$A:$A,$A4156,$B:$B,$B4156,$G:$G,"CDU",$J:$J,"PLANNED")&gt;0,"tied","standalone"),"")</f>
        <v/>
      </c>
    </row>
    <row r="4157" spans="1:14">
      <c r="A4157" s="6">
        <v>2024</v>
      </c>
      <c r="B4157" s="6">
        <v>8</v>
      </c>
      <c r="C4157" s="6" t="s">
        <v>67</v>
      </c>
      <c r="D4157" s="6" t="s">
        <v>370</v>
      </c>
      <c r="E4157" s="6" t="s">
        <v>431</v>
      </c>
      <c r="F4157" s="6" t="str">
        <f>IF($M4157="PADD I","PADD 1",IF($M4157="PADD II","PADD 2",IF($M4157="PADD III","PADD 3",IF($M4157="PADD IV","PADD 4",IF($M4157="PADD V","PADD 5","")))))</f>
        <v>PADD 2</v>
      </c>
      <c r="G4157" s="6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6" t="s">
        <v>44</v>
      </c>
      <c r="I4157" s="6" t="s">
        <v>794</v>
      </c>
      <c r="J4157" s="6" t="s">
        <v>394</v>
      </c>
      <c r="K4157" s="10">
        <v>17.5</v>
      </c>
      <c r="L4157" s="10">
        <v>50</v>
      </c>
      <c r="M4157" s="6" t="s">
        <v>425</v>
      </c>
      <c r="N4157" s="6">
        <f>IF(OR($G4157="FCC",$G4157="Hydrocracker",$G4157="Reformer"),IF(COUNTIFS($D:$D,$D4157,$A:$A,$A4157,$B:$B,$B4157,$G:$G,"CDU",$J:$J,"PLANNED")&gt;0,"tied","standalone"),"")</f>
        <v/>
      </c>
    </row>
    <row r="4158" spans="1:14">
      <c r="A4158" s="6">
        <v>2024</v>
      </c>
      <c r="B4158" s="6">
        <v>8</v>
      </c>
      <c r="C4158" s="6" t="s">
        <v>67</v>
      </c>
      <c r="D4158" s="6" t="s">
        <v>622</v>
      </c>
      <c r="E4158" s="6" t="s">
        <v>623</v>
      </c>
      <c r="F4158" s="6" t="str">
        <f>IF($M4158="PADD I","PADD 1",IF($M4158="PADD II","PADD 2",IF($M4158="PADD III","PADD 3",IF($M4158="PADD IV","PADD 4",IF($M4158="PADD V","PADD 5","")))))</f>
        <v>PADD 3</v>
      </c>
      <c r="G4158" s="6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6" t="s">
        <v>39</v>
      </c>
      <c r="I4158" s="6" t="s">
        <v>624</v>
      </c>
      <c r="J4158" s="6" t="s">
        <v>394</v>
      </c>
      <c r="K4158" s="10">
        <v>17.5</v>
      </c>
      <c r="L4158" s="10">
        <v>50</v>
      </c>
      <c r="M4158" s="6" t="s">
        <v>421</v>
      </c>
      <c r="N4158" s="6">
        <f>IF(OR($G4158="FCC",$G4158="Hydrocracker",$G4158="Reformer"),IF(COUNTIFS($D:$D,$D4158,$A:$A,$A4158,$B:$B,$B4158,$G:$G,"CDU",$J:$J,"PLANNED")&gt;0,"tied","standalone"),"")</f>
        <v/>
      </c>
    </row>
    <row r="4159" spans="1:14">
      <c r="A4159" s="6">
        <v>2024</v>
      </c>
      <c r="B4159" s="6">
        <v>8</v>
      </c>
      <c r="C4159" s="6" t="s">
        <v>67</v>
      </c>
      <c r="D4159" s="6" t="s">
        <v>422</v>
      </c>
      <c r="E4159" s="6" t="s">
        <v>423</v>
      </c>
      <c r="F4159" s="6" t="str">
        <f>IF($M4159="PADD I","PADD 1",IF($M4159="PADD II","PADD 2",IF($M4159="PADD III","PADD 3",IF($M4159="PADD IV","PADD 4",IF($M4159="PADD V","PADD 5","")))))</f>
        <v>PADD 2</v>
      </c>
      <c r="G4159" s="6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6" t="s">
        <v>39</v>
      </c>
      <c r="I4159" s="6" t="s">
        <v>464</v>
      </c>
      <c r="J4159" s="6" t="s">
        <v>394</v>
      </c>
      <c r="K4159" s="10">
        <v>16.8</v>
      </c>
      <c r="L4159" s="10">
        <v>40</v>
      </c>
      <c r="M4159" s="6" t="s">
        <v>425</v>
      </c>
      <c r="N4159" s="6">
        <f>IF(OR($G4159="FCC",$G4159="Hydrocracker",$G4159="Reformer"),IF(COUNTIFS($D:$D,$D4159,$A:$A,$A4159,$B:$B,$B4159,$G:$G,"CDU",$J:$J,"PLANNED")&gt;0,"tied","standalone"),"")</f>
        <v/>
      </c>
    </row>
    <row r="4160" spans="1:14">
      <c r="A4160" s="6">
        <v>2024</v>
      </c>
      <c r="B4160" s="6">
        <v>8</v>
      </c>
      <c r="C4160" s="6" t="s">
        <v>67</v>
      </c>
      <c r="D4160" s="6" t="s">
        <v>370</v>
      </c>
      <c r="E4160" s="6" t="s">
        <v>431</v>
      </c>
      <c r="F4160" s="6" t="str">
        <f>IF($M4160="PADD I","PADD 1",IF($M4160="PADD II","PADD 2",IF($M4160="PADD III","PADD 3",IF($M4160="PADD IV","PADD 4",IF($M4160="PADD V","PADD 5","")))))</f>
        <v>PADD 2</v>
      </c>
      <c r="G4160" s="6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6" t="s">
        <v>471</v>
      </c>
      <c r="I4160" s="6" t="s">
        <v>240</v>
      </c>
      <c r="J4160" s="6" t="s">
        <v>394</v>
      </c>
      <c r="K4160" s="10">
        <v>16</v>
      </c>
      <c r="L4160" s="10">
        <v>50</v>
      </c>
      <c r="M4160" s="6" t="s">
        <v>425</v>
      </c>
      <c r="N4160" s="6" t="str">
        <f>IF(OR($G4160="FCC",$G4160="Hydrocracker",$G4160="Reformer"),IF(COUNTIFS($D:$D,$D4160,$A:$A,$A4160,$B:$B,$B4160,$G:$G,"CDU",$J:$J,"PLANNED")&gt;0,"tied","standalone"),"")</f>
        <v>standalone</v>
      </c>
    </row>
    <row r="4161" spans="1:14">
      <c r="A4161" s="6">
        <v>2024</v>
      </c>
      <c r="B4161" s="6">
        <v>8</v>
      </c>
      <c r="C4161" s="6" t="s">
        <v>67</v>
      </c>
      <c r="D4161" s="6" t="s">
        <v>773</v>
      </c>
      <c r="E4161" s="6" t="s">
        <v>774</v>
      </c>
      <c r="F4161" s="6" t="str">
        <f>IF($M4161="PADD I","PADD 1",IF($M4161="PADD II","PADD 2",IF($M4161="PADD III","PADD 3",IF($M4161="PADD IV","PADD 4",IF($M4161="PADD V","PADD 5","")))))</f>
        <v>PADD 4</v>
      </c>
      <c r="G4161" s="6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6" t="s">
        <v>44</v>
      </c>
      <c r="I4161" s="6" t="s">
        <v>1275</v>
      </c>
      <c r="J4161" s="6" t="s">
        <v>398</v>
      </c>
      <c r="K4161" s="10">
        <v>15</v>
      </c>
      <c r="L4161" s="10">
        <v>15</v>
      </c>
      <c r="M4161" s="6" t="s">
        <v>480</v>
      </c>
      <c r="N4161" s="6">
        <f>IF(OR($G4161="FCC",$G4161="Hydrocracker",$G4161="Reformer"),IF(COUNTIFS($D:$D,$D4161,$A:$A,$A4161,$B:$B,$B4161,$G:$G,"CDU",$J:$J,"PLANNED")&gt;0,"tied","standalone"),"")</f>
        <v/>
      </c>
    </row>
    <row r="4162" spans="1:14">
      <c r="A4162" s="6">
        <v>2024</v>
      </c>
      <c r="B4162" s="6">
        <v>8</v>
      </c>
      <c r="C4162" s="6" t="s">
        <v>67</v>
      </c>
      <c r="D4162" s="6" t="s">
        <v>518</v>
      </c>
      <c r="E4162" s="6" t="s">
        <v>419</v>
      </c>
      <c r="F4162" s="6" t="str">
        <f>IF($M4162="PADD I","PADD 1",IF($M4162="PADD II","PADD 2",IF($M4162="PADD III","PADD 3",IF($M4162="PADD IV","PADD 4",IF($M4162="PADD V","PADD 5","")))))</f>
        <v>PADD 3</v>
      </c>
      <c r="G4162" s="6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6" t="s">
        <v>44</v>
      </c>
      <c r="I4162" s="6" t="s">
        <v>1078</v>
      </c>
      <c r="J4162" s="6" t="s">
        <v>394</v>
      </c>
      <c r="K4162" s="10">
        <v>14.28</v>
      </c>
      <c r="L4162" s="10">
        <v>34</v>
      </c>
      <c r="M4162" s="6" t="s">
        <v>421</v>
      </c>
      <c r="N4162" s="6">
        <f>IF(OR($G4162="FCC",$G4162="Hydrocracker",$G4162="Reformer"),IF(COUNTIFS($D:$D,$D4162,$A:$A,$A4162,$B:$B,$B4162,$G:$G,"CDU",$J:$J,"PLANNED")&gt;0,"tied","standalone"),"")</f>
        <v/>
      </c>
    </row>
    <row r="4163" spans="1:14">
      <c r="A4163" s="6">
        <v>2024</v>
      </c>
      <c r="B4163" s="6">
        <v>8</v>
      </c>
      <c r="C4163" s="6" t="s">
        <v>67</v>
      </c>
      <c r="D4163" s="6" t="s">
        <v>422</v>
      </c>
      <c r="E4163" s="6" t="s">
        <v>423</v>
      </c>
      <c r="F4163" s="6" t="str">
        <f>IF($M4163="PADD I","PADD 1",IF($M4163="PADD II","PADD 2",IF($M4163="PADD III","PADD 3",IF($M4163="PADD IV","PADD 4",IF($M4163="PADD V","PADD 5","")))))</f>
        <v>PADD 2</v>
      </c>
      <c r="G4163" s="6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6" t="s">
        <v>39</v>
      </c>
      <c r="I4163" s="6" t="s">
        <v>464</v>
      </c>
      <c r="J4163" s="6" t="s">
        <v>394</v>
      </c>
      <c r="K4163" s="10">
        <v>12.8</v>
      </c>
      <c r="L4163" s="10">
        <v>40</v>
      </c>
      <c r="M4163" s="6" t="s">
        <v>425</v>
      </c>
      <c r="N4163" s="6">
        <f>IF(OR($G4163="FCC",$G4163="Hydrocracker",$G4163="Reformer"),IF(COUNTIFS($D:$D,$D4163,$A:$A,$A4163,$B:$B,$B4163,$G:$G,"CDU",$J:$J,"PLANNED")&gt;0,"tied","standalone"),"")</f>
        <v/>
      </c>
    </row>
    <row r="4164" spans="1:14">
      <c r="A4164" s="6">
        <v>2024</v>
      </c>
      <c r="B4164" s="6">
        <v>8</v>
      </c>
      <c r="C4164" s="6" t="s">
        <v>67</v>
      </c>
      <c r="D4164" s="6" t="s">
        <v>576</v>
      </c>
      <c r="E4164" s="6" t="s">
        <v>455</v>
      </c>
      <c r="F4164" s="6" t="str">
        <f>IF($M4164="PADD I","PADD 1",IF($M4164="PADD II","PADD 2",IF($M4164="PADD III","PADD 3",IF($M4164="PADD IV","PADD 4",IF($M4164="PADD V","PADD 5","")))))</f>
        <v>PADD 3</v>
      </c>
      <c r="G4164" s="6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6" t="s">
        <v>44</v>
      </c>
      <c r="I4164" s="6" t="s">
        <v>1276</v>
      </c>
      <c r="J4164" s="6" t="s">
        <v>394</v>
      </c>
      <c r="K4164" s="10">
        <v>12.025</v>
      </c>
      <c r="L4164" s="10">
        <v>18.5</v>
      </c>
      <c r="M4164" s="6" t="s">
        <v>421</v>
      </c>
      <c r="N4164" s="6">
        <f>IF(OR($G4164="FCC",$G4164="Hydrocracker",$G4164="Reformer"),IF(COUNTIFS($D:$D,$D4164,$A:$A,$A4164,$B:$B,$B4164,$G:$G,"CDU",$J:$J,"PLANNED")&gt;0,"tied","standalone"),"")</f>
        <v/>
      </c>
    </row>
    <row r="4165" spans="1:14">
      <c r="A4165" s="6">
        <v>2024</v>
      </c>
      <c r="B4165" s="6">
        <v>8</v>
      </c>
      <c r="C4165" s="6" t="s">
        <v>67</v>
      </c>
      <c r="D4165" s="6" t="s">
        <v>380</v>
      </c>
      <c r="E4165" s="6" t="s">
        <v>423</v>
      </c>
      <c r="F4165" s="6" t="str">
        <f>IF($M4165="PADD I","PADD 1",IF($M4165="PADD II","PADD 2",IF($M4165="PADD III","PADD 3",IF($M4165="PADD IV","PADD 4",IF($M4165="PADD V","PADD 5","")))))</f>
        <v>PADD 2</v>
      </c>
      <c r="G4165" s="6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6" t="s">
        <v>428</v>
      </c>
      <c r="I4165" s="6" t="s">
        <v>481</v>
      </c>
      <c r="J4165" s="6" t="s">
        <v>394</v>
      </c>
      <c r="K4165" s="10">
        <v>11.96</v>
      </c>
      <c r="L4165" s="10">
        <v>52</v>
      </c>
      <c r="M4165" s="6" t="s">
        <v>425</v>
      </c>
      <c r="N4165" s="6">
        <f>IF(OR($G4165="FCC",$G4165="Hydrocracker",$G4165="Reformer"),IF(COUNTIFS($D:$D,$D4165,$A:$A,$A4165,$B:$B,$B4165,$G:$G,"CDU",$J:$J,"PLANNED")&gt;0,"tied","standalone"),"")</f>
        <v/>
      </c>
    </row>
    <row r="4166" spans="1:14">
      <c r="A4166" s="6">
        <v>2024</v>
      </c>
      <c r="B4166" s="6">
        <v>8</v>
      </c>
      <c r="C4166" s="6" t="s">
        <v>67</v>
      </c>
      <c r="D4166" s="6" t="s">
        <v>380</v>
      </c>
      <c r="E4166" s="6" t="s">
        <v>423</v>
      </c>
      <c r="F4166" s="6" t="str">
        <f>IF($M4166="PADD I","PADD 1",IF($M4166="PADD II","PADD 2",IF($M4166="PADD III","PADD 3",IF($M4166="PADD IV","PADD 4",IF($M4166="PADD V","PADD 5","")))))</f>
        <v>PADD 2</v>
      </c>
      <c r="G4166" s="6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6" t="s">
        <v>471</v>
      </c>
      <c r="I4166" s="6" t="s">
        <v>966</v>
      </c>
      <c r="J4166" s="6" t="s">
        <v>394</v>
      </c>
      <c r="K4166" s="10">
        <v>11.6</v>
      </c>
      <c r="L4166" s="10">
        <v>40</v>
      </c>
      <c r="M4166" s="6" t="s">
        <v>425</v>
      </c>
      <c r="N4166" s="6" t="str">
        <f>IF(OR($G4166="FCC",$G4166="Hydrocracker",$G4166="Reformer"),IF(COUNTIFS($D:$D,$D4166,$A:$A,$A4166,$B:$B,$B4166,$G:$G,"CDU",$J:$J,"PLANNED")&gt;0,"tied","standalone"),"")</f>
        <v>standalone</v>
      </c>
    </row>
    <row r="4167" spans="1:14">
      <c r="A4167" s="6">
        <v>2024</v>
      </c>
      <c r="B4167" s="6">
        <v>8</v>
      </c>
      <c r="C4167" s="6" t="s">
        <v>67</v>
      </c>
      <c r="D4167" s="6" t="s">
        <v>597</v>
      </c>
      <c r="E4167" s="6" t="s">
        <v>441</v>
      </c>
      <c r="F4167" s="6" t="str">
        <f>IF($M4167="PADD I","PADD 1",IF($M4167="PADD II","PADD 2",IF($M4167="PADD III","PADD 3",IF($M4167="PADD IV","PADD 4",IF($M4167="PADD V","PADD 5","")))))</f>
        <v>PADD 5</v>
      </c>
      <c r="G4167" s="6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6" t="s">
        <v>494</v>
      </c>
      <c r="I4167" s="6" t="s">
        <v>784</v>
      </c>
      <c r="J4167" s="6" t="s">
        <v>394</v>
      </c>
      <c r="K4167" s="10">
        <v>11.4</v>
      </c>
      <c r="L4167" s="10">
        <v>60</v>
      </c>
      <c r="M4167" s="6" t="s">
        <v>436</v>
      </c>
      <c r="N4167" s="6" t="str">
        <f>IF(OR($G4167="FCC",$G4167="Hydrocracker",$G4167="Reformer"),IF(COUNTIFS($D:$D,$D4167,$A:$A,$A4167,$B:$B,$B4167,$G:$G,"CDU",$J:$J,"PLANNED")&gt;0,"tied","standalone"),"")</f>
        <v>standalone</v>
      </c>
    </row>
    <row r="4168" spans="1:14">
      <c r="A4168" s="6">
        <v>2024</v>
      </c>
      <c r="B4168" s="6">
        <v>8</v>
      </c>
      <c r="C4168" s="6" t="s">
        <v>67</v>
      </c>
      <c r="D4168" s="6" t="s">
        <v>662</v>
      </c>
      <c r="E4168" s="6" t="s">
        <v>466</v>
      </c>
      <c r="F4168" s="6" t="str">
        <f>IF($M4168="PADD I","PADD 1",IF($M4168="PADD II","PADD 2",IF($M4168="PADD III","PADD 3",IF($M4168="PADD IV","PADD 4",IF($M4168="PADD V","PADD 5","")))))</f>
        <v>PADD 3</v>
      </c>
      <c r="G4168" s="6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6" t="s">
        <v>471</v>
      </c>
      <c r="I4168" s="6" t="s">
        <v>805</v>
      </c>
      <c r="J4168" s="6" t="s">
        <v>394</v>
      </c>
      <c r="K4168" s="10">
        <v>10.5</v>
      </c>
      <c r="L4168" s="10">
        <v>30</v>
      </c>
      <c r="M4168" s="6" t="s">
        <v>421</v>
      </c>
      <c r="N4168" s="6" t="str">
        <f>IF(OR($G4168="FCC",$G4168="Hydrocracker",$G4168="Reformer"),IF(COUNTIFS($D:$D,$D4168,$A:$A,$A4168,$B:$B,$B4168,$G:$G,"CDU",$J:$J,"PLANNED")&gt;0,"tied","standalone"),"")</f>
        <v>standalone</v>
      </c>
    </row>
    <row r="4169" spans="1:14">
      <c r="A4169" s="6">
        <v>2024</v>
      </c>
      <c r="B4169" s="6">
        <v>8</v>
      </c>
      <c r="C4169" s="6" t="s">
        <v>67</v>
      </c>
      <c r="D4169" s="6" t="s">
        <v>764</v>
      </c>
      <c r="E4169" s="6" t="s">
        <v>455</v>
      </c>
      <c r="F4169" s="6" t="str">
        <f>IF($M4169="PADD I","PADD 1",IF($M4169="PADD II","PADD 2",IF($M4169="PADD III","PADD 3",IF($M4169="PADD IV","PADD 4",IF($M4169="PADD V","PADD 5","")))))</f>
        <v>PADD 3</v>
      </c>
      <c r="G4169" s="6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6" t="s">
        <v>510</v>
      </c>
      <c r="I4169" s="6" t="s">
        <v>511</v>
      </c>
      <c r="J4169" s="6" t="s">
        <v>398</v>
      </c>
      <c r="K4169" s="10">
        <v>9.215</v>
      </c>
      <c r="L4169" s="10">
        <v>9.5</v>
      </c>
      <c r="M4169" s="6" t="s">
        <v>421</v>
      </c>
      <c r="N4169" s="6">
        <f>IF(OR($G4169="FCC",$G4169="Hydrocracker",$G4169="Reformer"),IF(COUNTIFS($D:$D,$D4169,$A:$A,$A4169,$B:$B,$B4169,$G:$G,"CDU",$J:$J,"PLANNED")&gt;0,"tied","standalone"),"")</f>
        <v/>
      </c>
    </row>
    <row r="4170" spans="1:14">
      <c r="A4170" s="6">
        <v>2024</v>
      </c>
      <c r="B4170" s="6">
        <v>8</v>
      </c>
      <c r="C4170" s="6" t="s">
        <v>67</v>
      </c>
      <c r="D4170" s="6" t="s">
        <v>550</v>
      </c>
      <c r="E4170" s="6" t="s">
        <v>438</v>
      </c>
      <c r="F4170" s="6" t="str">
        <f>IF($M4170="PADD I","PADD 1",IF($M4170="PADD II","PADD 2",IF($M4170="PADD III","PADD 3",IF($M4170="PADD IV","PADD 4",IF($M4170="PADD V","PADD 5","")))))</f>
        <v>PADD 2</v>
      </c>
      <c r="G4170" s="6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6" t="s">
        <v>39</v>
      </c>
      <c r="I4170" s="6" t="s">
        <v>580</v>
      </c>
      <c r="J4170" s="6" t="s">
        <v>394</v>
      </c>
      <c r="K4170" s="10">
        <v>9.199999999999999</v>
      </c>
      <c r="L4170" s="10">
        <v>92</v>
      </c>
      <c r="M4170" s="6" t="s">
        <v>425</v>
      </c>
      <c r="N4170" s="6">
        <f>IF(OR($G4170="FCC",$G4170="Hydrocracker",$G4170="Reformer"),IF(COUNTIFS($D:$D,$D4170,$A:$A,$A4170,$B:$B,$B4170,$G:$G,"CDU",$J:$J,"PLANNED")&gt;0,"tied","standalone"),"")</f>
        <v/>
      </c>
    </row>
    <row r="4171" spans="1:14">
      <c r="A4171" s="6">
        <v>2024</v>
      </c>
      <c r="B4171" s="6">
        <v>8</v>
      </c>
      <c r="C4171" s="6" t="s">
        <v>67</v>
      </c>
      <c r="D4171" s="6" t="s">
        <v>448</v>
      </c>
      <c r="E4171" s="6" t="s">
        <v>449</v>
      </c>
      <c r="F4171" s="6" t="str">
        <f>IF($M4171="PADD I","PADD 1",IF($M4171="PADD II","PADD 2",IF($M4171="PADD III","PADD 3",IF($M4171="PADD IV","PADD 4",IF($M4171="PADD V","PADD 5","")))))</f>
        <v>PADD 3</v>
      </c>
      <c r="G4171" s="6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6" t="s">
        <v>426</v>
      </c>
      <c r="I4171" s="6" t="s">
        <v>1086</v>
      </c>
      <c r="J4171" s="6" t="s">
        <v>394</v>
      </c>
      <c r="K4171" s="10">
        <v>9</v>
      </c>
      <c r="L4171" s="10">
        <v>90</v>
      </c>
      <c r="M4171" s="6" t="s">
        <v>421</v>
      </c>
      <c r="N4171" s="6" t="str">
        <f>IF(OR($G4171="FCC",$G4171="Hydrocracker",$G4171="Reformer"),IF(COUNTIFS($D:$D,$D4171,$A:$A,$A4171,$B:$B,$B4171,$G:$G,"CDU",$J:$J,"PLANNED")&gt;0,"tied","standalone"),"")</f>
        <v>standalone</v>
      </c>
    </row>
    <row r="4172" spans="1:14">
      <c r="A4172" s="6">
        <v>2024</v>
      </c>
      <c r="B4172" s="6">
        <v>8</v>
      </c>
      <c r="C4172" s="6" t="s">
        <v>67</v>
      </c>
      <c r="D4172" s="6" t="s">
        <v>370</v>
      </c>
      <c r="E4172" s="6" t="s">
        <v>431</v>
      </c>
      <c r="F4172" s="6" t="str">
        <f>IF($M4172="PADD I","PADD 1",IF($M4172="PADD II","PADD 2",IF($M4172="PADD III","PADD 3",IF($M4172="PADD IV","PADD 4",IF($M4172="PADD V","PADD 5","")))))</f>
        <v>PADD 2</v>
      </c>
      <c r="G4172" s="6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6" t="s">
        <v>44</v>
      </c>
      <c r="I4172" s="6" t="s">
        <v>1220</v>
      </c>
      <c r="J4172" s="6" t="s">
        <v>394</v>
      </c>
      <c r="K4172" s="10">
        <v>8.75</v>
      </c>
      <c r="L4172" s="10">
        <v>25</v>
      </c>
      <c r="M4172" s="6" t="s">
        <v>425</v>
      </c>
      <c r="N4172" s="6">
        <f>IF(OR($G4172="FCC",$G4172="Hydrocracker",$G4172="Reformer"),IF(COUNTIFS($D:$D,$D4172,$A:$A,$A4172,$B:$B,$B4172,$G:$G,"CDU",$J:$J,"PLANNED")&gt;0,"tied","standalone"),"")</f>
        <v/>
      </c>
    </row>
    <row r="4173" spans="1:14">
      <c r="A4173" s="6">
        <v>2024</v>
      </c>
      <c r="B4173" s="6">
        <v>8</v>
      </c>
      <c r="C4173" s="6" t="s">
        <v>67</v>
      </c>
      <c r="D4173" s="6" t="s">
        <v>928</v>
      </c>
      <c r="E4173" s="6" t="s">
        <v>502</v>
      </c>
      <c r="F4173" s="6" t="str">
        <f>IF($M4173="PADD I","PADD 1",IF($M4173="PADD II","PADD 2",IF($M4173="PADD III","PADD 3",IF($M4173="PADD IV","PADD 4",IF($M4173="PADD V","PADD 5","")))))</f>
        <v>PADD 2</v>
      </c>
      <c r="G4173" s="6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6" t="s">
        <v>485</v>
      </c>
      <c r="I4173" s="6" t="s">
        <v>491</v>
      </c>
      <c r="J4173" s="6" t="s">
        <v>394</v>
      </c>
      <c r="K4173" s="10">
        <v>8.5</v>
      </c>
      <c r="L4173" s="10">
        <v>8.5</v>
      </c>
      <c r="M4173" s="6" t="s">
        <v>425</v>
      </c>
      <c r="N4173" s="6">
        <f>IF(OR($G4173="FCC",$G4173="Hydrocracker",$G4173="Reformer"),IF(COUNTIFS($D:$D,$D4173,$A:$A,$A4173,$B:$B,$B4173,$G:$G,"CDU",$J:$J,"PLANNED")&gt;0,"tied","standalone"),"")</f>
        <v/>
      </c>
    </row>
    <row r="4174" spans="1:14">
      <c r="A4174" s="6">
        <v>2024</v>
      </c>
      <c r="B4174" s="6">
        <v>8</v>
      </c>
      <c r="C4174" s="6" t="s">
        <v>67</v>
      </c>
      <c r="D4174" s="6" t="s">
        <v>518</v>
      </c>
      <c r="E4174" s="6" t="s">
        <v>419</v>
      </c>
      <c r="F4174" s="6" t="str">
        <f>IF($M4174="PADD I","PADD 1",IF($M4174="PADD II","PADD 2",IF($M4174="PADD III","PADD 3",IF($M4174="PADD IV","PADD 4",IF($M4174="PADD V","PADD 5","")))))</f>
        <v>PADD 3</v>
      </c>
      <c r="G4174" s="6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6" t="s">
        <v>471</v>
      </c>
      <c r="I4174" s="6" t="s">
        <v>908</v>
      </c>
      <c r="J4174" s="6" t="s">
        <v>394</v>
      </c>
      <c r="K4174" s="10">
        <v>8.4</v>
      </c>
      <c r="L4174" s="10">
        <v>20</v>
      </c>
      <c r="M4174" s="6" t="s">
        <v>421</v>
      </c>
      <c r="N4174" s="6" t="str">
        <f>IF(OR($G4174="FCC",$G4174="Hydrocracker",$G4174="Reformer"),IF(COUNTIFS($D:$D,$D4174,$A:$A,$A4174,$B:$B,$B4174,$G:$G,"CDU",$J:$J,"PLANNED")&gt;0,"tied","standalone"),"")</f>
        <v>standalone</v>
      </c>
    </row>
    <row r="4175" spans="1:14">
      <c r="A4175" s="6">
        <v>2024</v>
      </c>
      <c r="B4175" s="6">
        <v>8</v>
      </c>
      <c r="C4175" s="6" t="s">
        <v>67</v>
      </c>
      <c r="D4175" s="6" t="s">
        <v>824</v>
      </c>
      <c r="E4175" s="6" t="s">
        <v>825</v>
      </c>
      <c r="F4175" s="6" t="str">
        <f>IF($M4175="PADD I","PADD 1",IF($M4175="PADD II","PADD 2",IF($M4175="PADD III","PADD 3",IF($M4175="PADD IV","PADD 4",IF($M4175="PADD V","PADD 5","")))))</f>
        <v>PADD 1</v>
      </c>
      <c r="G4175" s="6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6" t="s">
        <v>426</v>
      </c>
      <c r="I4175" s="6" t="s">
        <v>106</v>
      </c>
      <c r="J4175" s="6" t="s">
        <v>394</v>
      </c>
      <c r="K4175" s="10">
        <v>8.199999999999999</v>
      </c>
      <c r="L4175" s="10">
        <v>82</v>
      </c>
      <c r="M4175" s="6" t="s">
        <v>463</v>
      </c>
      <c r="N4175" s="6" t="str">
        <f>IF(OR($G4175="FCC",$G4175="Hydrocracker",$G4175="Reformer"),IF(COUNTIFS($D:$D,$D4175,$A:$A,$A4175,$B:$B,$B4175,$G:$G,"CDU",$J:$J,"PLANNED")&gt;0,"tied","standalone"),"")</f>
        <v>standalone</v>
      </c>
    </row>
    <row r="4176" spans="1:14">
      <c r="A4176" s="6">
        <v>2024</v>
      </c>
      <c r="B4176" s="6">
        <v>8</v>
      </c>
      <c r="C4176" s="6" t="s">
        <v>67</v>
      </c>
      <c r="D4176" s="6" t="s">
        <v>380</v>
      </c>
      <c r="E4176" s="6" t="s">
        <v>423</v>
      </c>
      <c r="F4176" s="6" t="str">
        <f>IF($M4176="PADD I","PADD 1",IF($M4176="PADD II","PADD 2",IF($M4176="PADD III","PADD 3",IF($M4176="PADD IV","PADD 4",IF($M4176="PADD V","PADD 5","")))))</f>
        <v>PADD 2</v>
      </c>
      <c r="G4176" s="6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6" t="s">
        <v>44</v>
      </c>
      <c r="I4176" s="6" t="s">
        <v>970</v>
      </c>
      <c r="J4176" s="6" t="s">
        <v>394</v>
      </c>
      <c r="K4176" s="10">
        <v>7.8</v>
      </c>
      <c r="L4176" s="10">
        <v>30</v>
      </c>
      <c r="M4176" s="6" t="s">
        <v>425</v>
      </c>
      <c r="N4176" s="6">
        <f>IF(OR($G4176="FCC",$G4176="Hydrocracker",$G4176="Reformer"),IF(COUNTIFS($D:$D,$D4176,$A:$A,$A4176,$B:$B,$B4176,$G:$G,"CDU",$J:$J,"PLANNED")&gt;0,"tied","standalone"),"")</f>
        <v/>
      </c>
    </row>
    <row r="4177" spans="1:14">
      <c r="A4177" s="6">
        <v>2024</v>
      </c>
      <c r="B4177" s="6">
        <v>8</v>
      </c>
      <c r="C4177" s="6" t="s">
        <v>67</v>
      </c>
      <c r="D4177" s="6" t="s">
        <v>1093</v>
      </c>
      <c r="E4177" s="6" t="s">
        <v>438</v>
      </c>
      <c r="F4177" s="6" t="str">
        <f>IF($M4177="PADD I","PADD 1",IF($M4177="PADD II","PADD 2",IF($M4177="PADD III","PADD 3",IF($M4177="PADD IV","PADD 4",IF($M4177="PADD V","PADD 5","")))))</f>
        <v>PADD 2</v>
      </c>
      <c r="G4177" s="6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6" t="s">
        <v>39</v>
      </c>
      <c r="I4177" s="6" t="s">
        <v>929</v>
      </c>
      <c r="J4177" s="6" t="s">
        <v>398</v>
      </c>
      <c r="K4177" s="10">
        <v>7.6</v>
      </c>
      <c r="L4177" s="10">
        <v>76</v>
      </c>
      <c r="M4177" s="6" t="s">
        <v>425</v>
      </c>
      <c r="N4177" s="6">
        <f>IF(OR($G4177="FCC",$G4177="Hydrocracker",$G4177="Reformer"),IF(COUNTIFS($D:$D,$D4177,$A:$A,$A4177,$B:$B,$B4177,$G:$G,"CDU",$J:$J,"PLANNED")&gt;0,"tied","standalone"),"")</f>
        <v/>
      </c>
    </row>
    <row r="4178" spans="1:14">
      <c r="A4178" s="6">
        <v>2024</v>
      </c>
      <c r="B4178" s="6">
        <v>8</v>
      </c>
      <c r="C4178" s="6" t="s">
        <v>67</v>
      </c>
      <c r="D4178" s="6" t="s">
        <v>660</v>
      </c>
      <c r="E4178" s="6" t="s">
        <v>661</v>
      </c>
      <c r="F4178" s="6" t="str">
        <f>IF($M4178="PADD I","PADD 1",IF($M4178="PADD II","PADD 2",IF($M4178="PADD III","PADD 3",IF($M4178="PADD IV","PADD 4",IF($M4178="PADD V","PADD 5","")))))</f>
        <v>PADD 2</v>
      </c>
      <c r="G4178" s="6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6" t="s">
        <v>39</v>
      </c>
      <c r="I4178" s="6" t="s">
        <v>424</v>
      </c>
      <c r="J4178" s="6" t="s">
        <v>394</v>
      </c>
      <c r="K4178" s="10">
        <v>7.5</v>
      </c>
      <c r="L4178" s="10">
        <v>75</v>
      </c>
      <c r="M4178" s="6" t="s">
        <v>425</v>
      </c>
      <c r="N4178" s="6">
        <f>IF(OR($G4178="FCC",$G4178="Hydrocracker",$G4178="Reformer"),IF(COUNTIFS($D:$D,$D4178,$A:$A,$A4178,$B:$B,$B4178,$G:$G,"CDU",$J:$J,"PLANNED")&gt;0,"tied","standalone"),"")</f>
        <v/>
      </c>
    </row>
    <row r="4179" spans="1:14">
      <c r="A4179" s="6">
        <v>2024</v>
      </c>
      <c r="B4179" s="6">
        <v>8</v>
      </c>
      <c r="C4179" s="6" t="s">
        <v>67</v>
      </c>
      <c r="D4179" s="6" t="s">
        <v>440</v>
      </c>
      <c r="E4179" s="6" t="s">
        <v>441</v>
      </c>
      <c r="F4179" s="6" t="str">
        <f>IF($M4179="PADD I","PADD 1",IF($M4179="PADD II","PADD 2",IF($M4179="PADD III","PADD 3",IF($M4179="PADD IV","PADD 4",IF($M4179="PADD V","PADD 5","")))))</f>
        <v>PADD 3</v>
      </c>
      <c r="G4179" s="6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6" t="s">
        <v>44</v>
      </c>
      <c r="I4179" s="6" t="s">
        <v>1277</v>
      </c>
      <c r="J4179" s="6" t="s">
        <v>398</v>
      </c>
      <c r="K4179" s="10">
        <v>7.2</v>
      </c>
      <c r="L4179" s="10">
        <v>45</v>
      </c>
      <c r="M4179" s="6" t="s">
        <v>421</v>
      </c>
      <c r="N4179" s="6">
        <f>IF(OR($G4179="FCC",$G4179="Hydrocracker",$G4179="Reformer"),IF(COUNTIFS($D:$D,$D4179,$A:$A,$A4179,$B:$B,$B4179,$G:$G,"CDU",$J:$J,"PLANNED")&gt;0,"tied","standalone"),"")</f>
        <v/>
      </c>
    </row>
    <row r="4180" spans="1:14">
      <c r="A4180" s="6">
        <v>2024</v>
      </c>
      <c r="B4180" s="6">
        <v>8</v>
      </c>
      <c r="C4180" s="6" t="s">
        <v>67</v>
      </c>
      <c r="D4180" s="6" t="s">
        <v>496</v>
      </c>
      <c r="E4180" s="6" t="s">
        <v>441</v>
      </c>
      <c r="F4180" s="6" t="str">
        <f>IF($M4180="PADD I","PADD 1",IF($M4180="PADD II","PADD 2",IF($M4180="PADD III","PADD 3",IF($M4180="PADD IV","PADD 4",IF($M4180="PADD V","PADD 5","")))))</f>
        <v>PADD 3</v>
      </c>
      <c r="G4180" s="6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6" t="s">
        <v>510</v>
      </c>
      <c r="I4180" s="6" t="s">
        <v>1125</v>
      </c>
      <c r="J4180" s="6" t="s">
        <v>394</v>
      </c>
      <c r="K4180" s="10">
        <v>7.2</v>
      </c>
      <c r="L4180" s="10">
        <v>7.2</v>
      </c>
      <c r="M4180" s="6" t="s">
        <v>421</v>
      </c>
      <c r="N4180" s="6">
        <f>IF(OR($G4180="FCC",$G4180="Hydrocracker",$G4180="Reformer"),IF(COUNTIFS($D:$D,$D4180,$A:$A,$A4180,$B:$B,$B4180,$G:$G,"CDU",$J:$J,"PLANNED")&gt;0,"tied","standalone"),"")</f>
        <v/>
      </c>
    </row>
    <row r="4181" spans="1:14">
      <c r="A4181" s="6">
        <v>2024</v>
      </c>
      <c r="B4181" s="6">
        <v>8</v>
      </c>
      <c r="C4181" s="6" t="s">
        <v>67</v>
      </c>
      <c r="D4181" s="6" t="s">
        <v>597</v>
      </c>
      <c r="E4181" s="6" t="s">
        <v>441</v>
      </c>
      <c r="F4181" s="6" t="str">
        <f>IF($M4181="PADD I","PADD 1",IF($M4181="PADD II","PADD 2",IF($M4181="PADD III","PADD 3",IF($M4181="PADD IV","PADD 4",IF($M4181="PADD V","PADD 5","")))))</f>
        <v>PADD 5</v>
      </c>
      <c r="G4181" s="6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6" t="s">
        <v>494</v>
      </c>
      <c r="I4181" s="6" t="s">
        <v>784</v>
      </c>
      <c r="J4181" s="6" t="s">
        <v>394</v>
      </c>
      <c r="K4181" s="10">
        <v>7.04</v>
      </c>
      <c r="L4181" s="10">
        <v>44</v>
      </c>
      <c r="M4181" s="6" t="s">
        <v>436</v>
      </c>
      <c r="N4181" s="6" t="str">
        <f>IF(OR($G4181="FCC",$G4181="Hydrocracker",$G4181="Reformer"),IF(COUNTIFS($D:$D,$D4181,$A:$A,$A4181,$B:$B,$B4181,$G:$G,"CDU",$J:$J,"PLANNED")&gt;0,"tied","standalone"),"")</f>
        <v>standalone</v>
      </c>
    </row>
    <row r="4182" spans="1:14">
      <c r="A4182" s="6">
        <v>2024</v>
      </c>
      <c r="B4182" s="6">
        <v>8</v>
      </c>
      <c r="C4182" s="6" t="s">
        <v>67</v>
      </c>
      <c r="D4182" s="6" t="s">
        <v>368</v>
      </c>
      <c r="E4182" s="6" t="s">
        <v>715</v>
      </c>
      <c r="F4182" s="6" t="str">
        <f>IF($M4182="PADD I","PADD 1",IF($M4182="PADD II","PADD 2",IF($M4182="PADD III","PADD 3",IF($M4182="PADD IV","PADD 4",IF($M4182="PADD V","PADD 5","")))))</f>
        <v>PADD 3</v>
      </c>
      <c r="G4182" s="6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6" t="s">
        <v>485</v>
      </c>
      <c r="I4182" s="6" t="s">
        <v>491</v>
      </c>
      <c r="J4182" s="6" t="s">
        <v>394</v>
      </c>
      <c r="K4182" s="10">
        <v>6.2002</v>
      </c>
      <c r="L4182" s="10">
        <v>21.38</v>
      </c>
      <c r="M4182" s="6" t="s">
        <v>421</v>
      </c>
      <c r="N4182" s="6">
        <f>IF(OR($G4182="FCC",$G4182="Hydrocracker",$G4182="Reformer"),IF(COUNTIFS($D:$D,$D4182,$A:$A,$A4182,$B:$B,$B4182,$G:$G,"CDU",$J:$J,"PLANNED")&gt;0,"tied","standalone"),"")</f>
        <v/>
      </c>
    </row>
    <row r="4183" spans="1:14">
      <c r="A4183" s="6">
        <v>2024</v>
      </c>
      <c r="B4183" s="6">
        <v>8</v>
      </c>
      <c r="C4183" s="6" t="s">
        <v>67</v>
      </c>
      <c r="D4183" s="6" t="s">
        <v>696</v>
      </c>
      <c r="E4183" s="6" t="s">
        <v>455</v>
      </c>
      <c r="F4183" s="6" t="str">
        <f>IF($M4183="PADD I","PADD 1",IF($M4183="PADD II","PADD 2",IF($M4183="PADD III","PADD 3",IF($M4183="PADD IV","PADD 4",IF($M4183="PADD V","PADD 5","")))))</f>
        <v>PADD 3</v>
      </c>
      <c r="G4183" s="6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6" t="s">
        <v>471</v>
      </c>
      <c r="I4183" s="6" t="s">
        <v>1182</v>
      </c>
      <c r="J4183" s="6" t="s">
        <v>398</v>
      </c>
      <c r="K4183" s="10">
        <v>6.08</v>
      </c>
      <c r="L4183" s="10">
        <v>19</v>
      </c>
      <c r="M4183" s="6" t="s">
        <v>421</v>
      </c>
      <c r="N4183" s="6" t="str">
        <f>IF(OR($G4183="FCC",$G4183="Hydrocracker",$G4183="Reformer"),IF(COUNTIFS($D:$D,$D4183,$A:$A,$A4183,$B:$B,$B4183,$G:$G,"CDU",$J:$J,"PLANNED")&gt;0,"tied","standalone"),"")</f>
        <v>standalone</v>
      </c>
    </row>
    <row r="4184" spans="1:14">
      <c r="A4184" s="6">
        <v>2024</v>
      </c>
      <c r="B4184" s="6">
        <v>8</v>
      </c>
      <c r="C4184" s="6" t="s">
        <v>67</v>
      </c>
      <c r="D4184" s="6" t="s">
        <v>660</v>
      </c>
      <c r="E4184" s="6" t="s">
        <v>661</v>
      </c>
      <c r="F4184" s="6" t="str">
        <f>IF($M4184="PADD I","PADD 1",IF($M4184="PADD II","PADD 2",IF($M4184="PADD III","PADD 3",IF($M4184="PADD IV","PADD 4",IF($M4184="PADD V","PADD 5","")))))</f>
        <v>PADD 2</v>
      </c>
      <c r="G4184" s="6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6" t="s">
        <v>39</v>
      </c>
      <c r="I4184" s="6" t="s">
        <v>381</v>
      </c>
      <c r="J4184" s="6" t="s">
        <v>394</v>
      </c>
      <c r="K4184" s="10">
        <v>6</v>
      </c>
      <c r="L4184" s="10">
        <v>60</v>
      </c>
      <c r="M4184" s="6" t="s">
        <v>425</v>
      </c>
      <c r="N4184" s="6">
        <f>IF(OR($G4184="FCC",$G4184="Hydrocracker",$G4184="Reformer"),IF(COUNTIFS($D:$D,$D4184,$A:$A,$A4184,$B:$B,$B4184,$G:$G,"CDU",$J:$J,"PLANNED")&gt;0,"tied","standalone"),"")</f>
        <v/>
      </c>
    </row>
    <row r="4185" spans="1:14">
      <c r="A4185" s="6">
        <v>2024</v>
      </c>
      <c r="B4185" s="6">
        <v>8</v>
      </c>
      <c r="C4185" s="6" t="s">
        <v>67</v>
      </c>
      <c r="D4185" s="6" t="s">
        <v>422</v>
      </c>
      <c r="E4185" s="6" t="s">
        <v>423</v>
      </c>
      <c r="F4185" s="6" t="str">
        <f>IF($M4185="PADD I","PADD 1",IF($M4185="PADD II","PADD 2",IF($M4185="PADD III","PADD 3",IF($M4185="PADD IV","PADD 4",IF($M4185="PADD V","PADD 5","")))))</f>
        <v>PADD 2</v>
      </c>
      <c r="G4185" s="6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6" t="s">
        <v>428</v>
      </c>
      <c r="I4185" s="6" t="s">
        <v>751</v>
      </c>
      <c r="J4185" s="6" t="s">
        <v>394</v>
      </c>
      <c r="K4185" s="10">
        <v>5.76</v>
      </c>
      <c r="L4185" s="10">
        <v>18</v>
      </c>
      <c r="M4185" s="6" t="s">
        <v>425</v>
      </c>
      <c r="N4185" s="6">
        <f>IF(OR($G4185="FCC",$G4185="Hydrocracker",$G4185="Reformer"),IF(COUNTIFS($D:$D,$D4185,$A:$A,$A4185,$B:$B,$B4185,$G:$G,"CDU",$J:$J,"PLANNED")&gt;0,"tied","standalone"),"")</f>
        <v/>
      </c>
    </row>
    <row r="4186" spans="1:14">
      <c r="A4186" s="6">
        <v>2024</v>
      </c>
      <c r="B4186" s="6">
        <v>8</v>
      </c>
      <c r="C4186" s="6" t="s">
        <v>67</v>
      </c>
      <c r="D4186" s="6" t="s">
        <v>680</v>
      </c>
      <c r="E4186" s="6" t="s">
        <v>541</v>
      </c>
      <c r="F4186" s="6" t="str">
        <f>IF($M4186="PADD I","PADD 1",IF($M4186="PADD II","PADD 2",IF($M4186="PADD III","PADD 3",IF($M4186="PADD IV","PADD 4",IF($M4186="PADD V","PADD 5","")))))</f>
        <v>PADD 3</v>
      </c>
      <c r="G4186" s="6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6" t="s">
        <v>44</v>
      </c>
      <c r="I4186" s="6" t="s">
        <v>514</v>
      </c>
      <c r="J4186" s="6" t="s">
        <v>394</v>
      </c>
      <c r="K4186" s="10">
        <v>5.4</v>
      </c>
      <c r="L4186" s="10">
        <v>12</v>
      </c>
      <c r="M4186" s="6" t="s">
        <v>421</v>
      </c>
      <c r="N4186" s="6">
        <f>IF(OR($G4186="FCC",$G4186="Hydrocracker",$G4186="Reformer"),IF(COUNTIFS($D:$D,$D4186,$A:$A,$A4186,$B:$B,$B4186,$G:$G,"CDU",$J:$J,"PLANNED")&gt;0,"tied","standalone"),"")</f>
        <v/>
      </c>
    </row>
    <row r="4187" spans="1:14">
      <c r="A4187" s="6">
        <v>2024</v>
      </c>
      <c r="B4187" s="6">
        <v>8</v>
      </c>
      <c r="C4187" s="6" t="s">
        <v>67</v>
      </c>
      <c r="D4187" s="6" t="s">
        <v>597</v>
      </c>
      <c r="E4187" s="6" t="s">
        <v>441</v>
      </c>
      <c r="F4187" s="6" t="str">
        <f>IF($M4187="PADD I","PADD 1",IF($M4187="PADD II","PADD 2",IF($M4187="PADD III","PADD 3",IF($M4187="PADD IV","PADD 4",IF($M4187="PADD V","PADD 5","")))))</f>
        <v>PADD 5</v>
      </c>
      <c r="G4187" s="6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6" t="s">
        <v>426</v>
      </c>
      <c r="I4187" s="6" t="s">
        <v>106</v>
      </c>
      <c r="J4187" s="6" t="s">
        <v>394</v>
      </c>
      <c r="K4187" s="10">
        <v>5.4</v>
      </c>
      <c r="L4187" s="10">
        <v>90</v>
      </c>
      <c r="M4187" s="6" t="s">
        <v>436</v>
      </c>
      <c r="N4187" s="6" t="str">
        <f>IF(OR($G4187="FCC",$G4187="Hydrocracker",$G4187="Reformer"),IF(COUNTIFS($D:$D,$D4187,$A:$A,$A4187,$B:$B,$B4187,$G:$G,"CDU",$J:$J,"PLANNED")&gt;0,"tied","standalone"),"")</f>
        <v>standalone</v>
      </c>
    </row>
    <row r="4188" spans="1:14">
      <c r="A4188" s="6">
        <v>2024</v>
      </c>
      <c r="B4188" s="6">
        <v>8</v>
      </c>
      <c r="C4188" s="6" t="s">
        <v>67</v>
      </c>
      <c r="D4188" s="6" t="s">
        <v>1278</v>
      </c>
      <c r="E4188" s="6" t="s">
        <v>661</v>
      </c>
      <c r="F4188" s="6" t="str">
        <f>IF($M4188="PADD I","PADD 1",IF($M4188="PADD II","PADD 2",IF($M4188="PADD III","PADD 3",IF($M4188="PADD IV","PADD 4",IF($M4188="PADD V","PADD 5","")))))</f>
        <v>PADD 2</v>
      </c>
      <c r="G4188" s="6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6" t="s">
        <v>471</v>
      </c>
      <c r="I4188" s="6" t="s">
        <v>15</v>
      </c>
      <c r="J4188" s="6" t="s">
        <v>394</v>
      </c>
      <c r="K4188" s="10">
        <v>5.035</v>
      </c>
      <c r="L4188" s="10">
        <v>26.5</v>
      </c>
      <c r="M4188" s="6" t="s">
        <v>425</v>
      </c>
      <c r="N4188" s="6" t="str">
        <f>IF(OR($G4188="FCC",$G4188="Hydrocracker",$G4188="Reformer"),IF(COUNTIFS($D:$D,$D4188,$A:$A,$A4188,$B:$B,$B4188,$G:$G,"CDU",$J:$J,"PLANNED")&gt;0,"tied","standalone"),"")</f>
        <v>standalone</v>
      </c>
    </row>
    <row r="4189" spans="1:14">
      <c r="A4189" s="6">
        <v>2024</v>
      </c>
      <c r="B4189" s="6">
        <v>8</v>
      </c>
      <c r="C4189" s="6" t="s">
        <v>67</v>
      </c>
      <c r="D4189" s="6" t="s">
        <v>626</v>
      </c>
      <c r="E4189" s="6" t="s">
        <v>419</v>
      </c>
      <c r="F4189" s="6" t="str">
        <f>IF($M4189="PADD I","PADD 1",IF($M4189="PADD II","PADD 2",IF($M4189="PADD III","PADD 3",IF($M4189="PADD IV","PADD 4",IF($M4189="PADD V","PADD 5","")))))</f>
        <v>PADD 3</v>
      </c>
      <c r="G4189" s="6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6" t="s">
        <v>426</v>
      </c>
      <c r="I4189" s="6" t="s">
        <v>106</v>
      </c>
      <c r="J4189" s="6" t="s">
        <v>394</v>
      </c>
      <c r="K4189" s="10">
        <v>4.62</v>
      </c>
      <c r="L4189" s="10">
        <v>46.2</v>
      </c>
      <c r="M4189" s="6" t="s">
        <v>421</v>
      </c>
      <c r="N4189" s="6" t="str">
        <f>IF(OR($G4189="FCC",$G4189="Hydrocracker",$G4189="Reformer"),IF(COUNTIFS($D:$D,$D4189,$A:$A,$A4189,$B:$B,$B4189,$G:$G,"CDU",$J:$J,"PLANNED")&gt;0,"tied","standalone"),"")</f>
        <v>standalone</v>
      </c>
    </row>
    <row r="4190" spans="1:14">
      <c r="A4190" s="6">
        <v>2024</v>
      </c>
      <c r="B4190" s="6">
        <v>8</v>
      </c>
      <c r="C4190" s="6" t="s">
        <v>67</v>
      </c>
      <c r="D4190" s="6" t="s">
        <v>518</v>
      </c>
      <c r="E4190" s="6" t="s">
        <v>419</v>
      </c>
      <c r="F4190" s="6" t="str">
        <f>IF($M4190="PADD I","PADD 1",IF($M4190="PADD II","PADD 2",IF($M4190="PADD III","PADD 3",IF($M4190="PADD IV","PADD 4",IF($M4190="PADD V","PADD 5","")))))</f>
        <v>PADD 3</v>
      </c>
      <c r="G4190" s="6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6" t="s">
        <v>471</v>
      </c>
      <c r="I4190" s="6" t="s">
        <v>908</v>
      </c>
      <c r="J4190" s="6" t="s">
        <v>394</v>
      </c>
      <c r="K4190" s="10">
        <v>4.6</v>
      </c>
      <c r="L4190" s="10">
        <v>20</v>
      </c>
      <c r="M4190" s="6" t="s">
        <v>421</v>
      </c>
      <c r="N4190" s="6" t="str">
        <f>IF(OR($G4190="FCC",$G4190="Hydrocracker",$G4190="Reformer"),IF(COUNTIFS($D:$D,$D4190,$A:$A,$A4190,$B:$B,$B4190,$G:$G,"CDU",$J:$J,"PLANNED")&gt;0,"tied","standalone"),"")</f>
        <v>standalone</v>
      </c>
    </row>
    <row r="4191" spans="1:14">
      <c r="A4191" s="6">
        <v>2024</v>
      </c>
      <c r="B4191" s="6">
        <v>8</v>
      </c>
      <c r="C4191" s="6" t="s">
        <v>67</v>
      </c>
      <c r="D4191" s="6" t="s">
        <v>901</v>
      </c>
      <c r="E4191" s="6" t="s">
        <v>902</v>
      </c>
      <c r="F4191" s="6" t="str">
        <f>IF($M4191="PADD I","PADD 1",IF($M4191="PADD II","PADD 2",IF($M4191="PADD III","PADD 3",IF($M4191="PADD IV","PADD 4",IF($M4191="PADD V","PADD 5","")))))</f>
        <v>PADD 3</v>
      </c>
      <c r="G4191" s="6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6" t="s">
        <v>39</v>
      </c>
      <c r="I4191" s="6" t="s">
        <v>904</v>
      </c>
      <c r="J4191" s="6" t="s">
        <v>394</v>
      </c>
      <c r="K4191" s="10">
        <v>4.38</v>
      </c>
      <c r="L4191" s="10">
        <v>73</v>
      </c>
      <c r="M4191" s="6" t="s">
        <v>421</v>
      </c>
      <c r="N4191" s="6">
        <f>IF(OR($G4191="FCC",$G4191="Hydrocracker",$G4191="Reformer"),IF(COUNTIFS($D:$D,$D4191,$A:$A,$A4191,$B:$B,$B4191,$G:$G,"CDU",$J:$J,"PLANNED")&gt;0,"tied","standalone"),"")</f>
        <v/>
      </c>
    </row>
    <row r="4192" spans="1:14">
      <c r="A4192" s="6">
        <v>2024</v>
      </c>
      <c r="B4192" s="6">
        <v>8</v>
      </c>
      <c r="C4192" s="6" t="s">
        <v>67</v>
      </c>
      <c r="D4192" s="6" t="s">
        <v>696</v>
      </c>
      <c r="E4192" s="6" t="s">
        <v>455</v>
      </c>
      <c r="F4192" s="6" t="str">
        <f>IF($M4192="PADD I","PADD 1",IF($M4192="PADD II","PADD 2",IF($M4192="PADD III","PADD 3",IF($M4192="PADD IV","PADD 4",IF($M4192="PADD V","PADD 5","")))))</f>
        <v>PADD 3</v>
      </c>
      <c r="G4192" s="6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6" t="s">
        <v>471</v>
      </c>
      <c r="I4192" s="6" t="s">
        <v>1210</v>
      </c>
      <c r="J4192" s="6" t="s">
        <v>394</v>
      </c>
      <c r="K4192" s="10">
        <v>4.2</v>
      </c>
      <c r="L4192" s="10">
        <v>10</v>
      </c>
      <c r="M4192" s="6" t="s">
        <v>421</v>
      </c>
      <c r="N4192" s="6" t="str">
        <f>IF(OR($G4192="FCC",$G4192="Hydrocracker",$G4192="Reformer"),IF(COUNTIFS($D:$D,$D4192,$A:$A,$A4192,$B:$B,$B4192,$G:$G,"CDU",$J:$J,"PLANNED")&gt;0,"tied","standalone"),"")</f>
        <v>standalone</v>
      </c>
    </row>
    <row r="4193" spans="1:14">
      <c r="A4193" s="6">
        <v>2024</v>
      </c>
      <c r="B4193" s="6">
        <v>8</v>
      </c>
      <c r="C4193" s="6" t="s">
        <v>67</v>
      </c>
      <c r="D4193" s="6" t="s">
        <v>496</v>
      </c>
      <c r="E4193" s="6" t="s">
        <v>441</v>
      </c>
      <c r="F4193" s="6" t="str">
        <f>IF($M4193="PADD I","PADD 1",IF($M4193="PADD II","PADD 2",IF($M4193="PADD III","PADD 3",IF($M4193="PADD IV","PADD 4",IF($M4193="PADD V","PADD 5","")))))</f>
        <v>PADD 3</v>
      </c>
      <c r="G4193" s="6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6" t="s">
        <v>510</v>
      </c>
      <c r="I4193" s="6" t="s">
        <v>630</v>
      </c>
      <c r="J4193" s="6" t="s">
        <v>394</v>
      </c>
      <c r="K4193" s="10">
        <v>4.2</v>
      </c>
      <c r="L4193" s="10">
        <v>5</v>
      </c>
      <c r="M4193" s="6" t="s">
        <v>421</v>
      </c>
      <c r="N4193" s="6">
        <f>IF(OR($G4193="FCC",$G4193="Hydrocracker",$G4193="Reformer"),IF(COUNTIFS($D:$D,$D4193,$A:$A,$A4193,$B:$B,$B4193,$G:$G,"CDU",$J:$J,"PLANNED")&gt;0,"tied","standalone"),"")</f>
        <v/>
      </c>
    </row>
    <row r="4194" spans="1:14">
      <c r="A4194" s="6">
        <v>2024</v>
      </c>
      <c r="B4194" s="6">
        <v>8</v>
      </c>
      <c r="C4194" s="6" t="s">
        <v>67</v>
      </c>
      <c r="D4194" s="6" t="s">
        <v>370</v>
      </c>
      <c r="E4194" s="6" t="s">
        <v>431</v>
      </c>
      <c r="F4194" s="6" t="str">
        <f>IF($M4194="PADD I","PADD 1",IF($M4194="PADD II","PADD 2",IF($M4194="PADD III","PADD 3",IF($M4194="PADD IV","PADD 4",IF($M4194="PADD V","PADD 5","")))))</f>
        <v>PADD 2</v>
      </c>
      <c r="G4194" s="6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6" t="s">
        <v>510</v>
      </c>
      <c r="I4194" s="6" t="s">
        <v>666</v>
      </c>
      <c r="J4194" s="6" t="s">
        <v>394</v>
      </c>
      <c r="K4194" s="10">
        <v>3.808</v>
      </c>
      <c r="L4194" s="10">
        <v>11.9</v>
      </c>
      <c r="M4194" s="6" t="s">
        <v>425</v>
      </c>
      <c r="N4194" s="6">
        <f>IF(OR($G4194="FCC",$G4194="Hydrocracker",$G4194="Reformer"),IF(COUNTIFS($D:$D,$D4194,$A:$A,$A4194,$B:$B,$B4194,$G:$G,"CDU",$J:$J,"PLANNED")&gt;0,"tied","standalone"),"")</f>
        <v/>
      </c>
    </row>
    <row r="4195" spans="1:14">
      <c r="A4195" s="6">
        <v>2024</v>
      </c>
      <c r="B4195" s="6">
        <v>8</v>
      </c>
      <c r="C4195" s="6" t="s">
        <v>67</v>
      </c>
      <c r="D4195" s="6" t="s">
        <v>1278</v>
      </c>
      <c r="E4195" s="6" t="s">
        <v>661</v>
      </c>
      <c r="F4195" s="6" t="str">
        <f>IF($M4195="PADD I","PADD 1",IF($M4195="PADD II","PADD 2",IF($M4195="PADD III","PADD 3",IF($M4195="PADD IV","PADD 4",IF($M4195="PADD V","PADD 5","")))))</f>
        <v>PADD 2</v>
      </c>
      <c r="G4195" s="6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6" t="s">
        <v>44</v>
      </c>
      <c r="I4195" s="6" t="s">
        <v>551</v>
      </c>
      <c r="J4195" s="6" t="s">
        <v>394</v>
      </c>
      <c r="K4195" s="10">
        <v>3.75</v>
      </c>
      <c r="L4195" s="10">
        <v>37.5</v>
      </c>
      <c r="M4195" s="6" t="s">
        <v>425</v>
      </c>
      <c r="N4195" s="6">
        <f>IF(OR($G4195="FCC",$G4195="Hydrocracker",$G4195="Reformer"),IF(COUNTIFS($D:$D,$D4195,$A:$A,$A4195,$B:$B,$B4195,$G:$G,"CDU",$J:$J,"PLANNED")&gt;0,"tied","standalone"),"")</f>
        <v/>
      </c>
    </row>
    <row r="4196" spans="1:14">
      <c r="A4196" s="6">
        <v>2024</v>
      </c>
      <c r="B4196" s="6">
        <v>8</v>
      </c>
      <c r="C4196" s="6" t="s">
        <v>67</v>
      </c>
      <c r="D4196" s="6" t="s">
        <v>660</v>
      </c>
      <c r="E4196" s="6" t="s">
        <v>661</v>
      </c>
      <c r="F4196" s="6" t="str">
        <f>IF($M4196="PADD I","PADD 1",IF($M4196="PADD II","PADD 2",IF($M4196="PADD III","PADD 3",IF($M4196="PADD IV","PADD 4",IF($M4196="PADD V","PADD 5","")))))</f>
        <v>PADD 2</v>
      </c>
      <c r="G4196" s="6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6" t="s">
        <v>39</v>
      </c>
      <c r="I4196" s="6" t="s">
        <v>381</v>
      </c>
      <c r="J4196" s="6" t="s">
        <v>394</v>
      </c>
      <c r="K4196" s="10">
        <v>3.6</v>
      </c>
      <c r="L4196" s="10">
        <v>60</v>
      </c>
      <c r="M4196" s="6" t="s">
        <v>425</v>
      </c>
      <c r="N4196" s="6">
        <f>IF(OR($G4196="FCC",$G4196="Hydrocracker",$G4196="Reformer"),IF(COUNTIFS($D:$D,$D4196,$A:$A,$A4196,$B:$B,$B4196,$G:$G,"CDU",$J:$J,"PLANNED")&gt;0,"tied","standalone"),"")</f>
        <v/>
      </c>
    </row>
    <row r="4197" spans="1:14">
      <c r="A4197" s="6">
        <v>2024</v>
      </c>
      <c r="B4197" s="6">
        <v>8</v>
      </c>
      <c r="C4197" s="6" t="s">
        <v>67</v>
      </c>
      <c r="D4197" s="6" t="s">
        <v>1273</v>
      </c>
      <c r="E4197" s="6" t="s">
        <v>1089</v>
      </c>
      <c r="F4197" s="6" t="str">
        <f>IF($M4197="PADD I","PADD 1",IF($M4197="PADD II","PADD 2",IF($M4197="PADD III","PADD 3",IF($M4197="PADD IV","PADD 4",IF($M4197="PADD V","PADD 5","")))))</f>
        <v>PADD 2</v>
      </c>
      <c r="G4197" s="6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6" t="s">
        <v>471</v>
      </c>
      <c r="I4197" s="6" t="s">
        <v>15</v>
      </c>
      <c r="J4197" s="6" t="s">
        <v>394</v>
      </c>
      <c r="K4197" s="10">
        <v>3.465</v>
      </c>
      <c r="L4197" s="10">
        <v>8.25</v>
      </c>
      <c r="M4197" s="6" t="s">
        <v>425</v>
      </c>
      <c r="N4197" s="6" t="str">
        <f>IF(OR($G4197="FCC",$G4197="Hydrocracker",$G4197="Reformer"),IF(COUNTIFS($D:$D,$D4197,$A:$A,$A4197,$B:$B,$B4197,$G:$G,"CDU",$J:$J,"PLANNED")&gt;0,"tied","standalone"),"")</f>
        <v>standalone</v>
      </c>
    </row>
    <row r="4198" spans="1:14">
      <c r="A4198" s="6">
        <v>2024</v>
      </c>
      <c r="B4198" s="6">
        <v>8</v>
      </c>
      <c r="C4198" s="6" t="s">
        <v>67</v>
      </c>
      <c r="D4198" s="6" t="s">
        <v>660</v>
      </c>
      <c r="E4198" s="6" t="s">
        <v>661</v>
      </c>
      <c r="F4198" s="6" t="str">
        <f>IF($M4198="PADD I","PADD 1",IF($M4198="PADD II","PADD 2",IF($M4198="PADD III","PADD 3",IF($M4198="PADD IV","PADD 4",IF($M4198="PADD V","PADD 5","")))))</f>
        <v>PADD 2</v>
      </c>
      <c r="G4198" s="6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6" t="s">
        <v>426</v>
      </c>
      <c r="I4198" s="6" t="s">
        <v>106</v>
      </c>
      <c r="J4198" s="6" t="s">
        <v>394</v>
      </c>
      <c r="K4198" s="10">
        <v>3.2</v>
      </c>
      <c r="L4198" s="10">
        <v>32</v>
      </c>
      <c r="M4198" s="6" t="s">
        <v>425</v>
      </c>
      <c r="N4198" s="6" t="str">
        <f>IF(OR($G4198="FCC",$G4198="Hydrocracker",$G4198="Reformer"),IF(COUNTIFS($D:$D,$D4198,$A:$A,$A4198,$B:$B,$B4198,$G:$G,"CDU",$J:$J,"PLANNED")&gt;0,"tied","standalone"),"")</f>
        <v>standalone</v>
      </c>
    </row>
    <row r="4199" spans="1:14">
      <c r="A4199" s="6">
        <v>2024</v>
      </c>
      <c r="B4199" s="6">
        <v>8</v>
      </c>
      <c r="C4199" s="6" t="s">
        <v>67</v>
      </c>
      <c r="D4199" s="6" t="s">
        <v>550</v>
      </c>
      <c r="E4199" s="6" t="s">
        <v>438</v>
      </c>
      <c r="F4199" s="6" t="str">
        <f>IF($M4199="PADD I","PADD 1",IF($M4199="PADD II","PADD 2",IF($M4199="PADD III","PADD 3",IF($M4199="PADD IV","PADD 4",IF($M4199="PADD V","PADD 5","")))))</f>
        <v>PADD 2</v>
      </c>
      <c r="G4199" s="6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6" t="s">
        <v>428</v>
      </c>
      <c r="I4199" s="6" t="s">
        <v>481</v>
      </c>
      <c r="J4199" s="6" t="s">
        <v>394</v>
      </c>
      <c r="K4199" s="10">
        <v>3.2</v>
      </c>
      <c r="L4199" s="10">
        <v>32</v>
      </c>
      <c r="M4199" s="6" t="s">
        <v>425</v>
      </c>
      <c r="N4199" s="6">
        <f>IF(OR($G4199="FCC",$G4199="Hydrocracker",$G4199="Reformer"),IF(COUNTIFS($D:$D,$D4199,$A:$A,$A4199,$B:$B,$B4199,$G:$G,"CDU",$J:$J,"PLANNED")&gt;0,"tied","standalone"),"")</f>
        <v/>
      </c>
    </row>
    <row r="4200" spans="1:14">
      <c r="A4200" s="6">
        <v>2024</v>
      </c>
      <c r="B4200" s="6">
        <v>8</v>
      </c>
      <c r="C4200" s="6" t="s">
        <v>67</v>
      </c>
      <c r="D4200" s="6" t="s">
        <v>576</v>
      </c>
      <c r="E4200" s="6" t="s">
        <v>455</v>
      </c>
      <c r="F4200" s="6" t="str">
        <f>IF($M4200="PADD I","PADD 1",IF($M4200="PADD II","PADD 2",IF($M4200="PADD III","PADD 3",IF($M4200="PADD IV","PADD 4",IF($M4200="PADD V","PADD 5","")))))</f>
        <v>PADD 3</v>
      </c>
      <c r="G4200" s="6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6" t="s">
        <v>471</v>
      </c>
      <c r="I4200" s="6" t="s">
        <v>647</v>
      </c>
      <c r="J4200" s="6" t="s">
        <v>394</v>
      </c>
      <c r="K4200" s="10">
        <v>3.18</v>
      </c>
      <c r="L4200" s="10">
        <v>53</v>
      </c>
      <c r="M4200" s="6" t="s">
        <v>421</v>
      </c>
      <c r="N4200" s="6" t="str">
        <f>IF(OR($G4200="FCC",$G4200="Hydrocracker",$G4200="Reformer"),IF(COUNTIFS($D:$D,$D4200,$A:$A,$A4200,$B:$B,$B4200,$G:$G,"CDU",$J:$J,"PLANNED")&gt;0,"tied","standalone"),"")</f>
        <v>standalone</v>
      </c>
    </row>
    <row r="4201" spans="1:14">
      <c r="A4201" s="6">
        <v>2024</v>
      </c>
      <c r="B4201" s="6">
        <v>8</v>
      </c>
      <c r="C4201" s="6" t="s">
        <v>67</v>
      </c>
      <c r="D4201" s="6" t="s">
        <v>422</v>
      </c>
      <c r="E4201" s="6" t="s">
        <v>423</v>
      </c>
      <c r="F4201" s="6" t="str">
        <f>IF($M4201="PADD I","PADD 1",IF($M4201="PADD II","PADD 2",IF($M4201="PADD III","PADD 3",IF($M4201="PADD IV","PADD 4",IF($M4201="PADD V","PADD 5","")))))</f>
        <v>PADD 2</v>
      </c>
      <c r="G4201" s="6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6" t="s">
        <v>485</v>
      </c>
      <c r="I4201" s="6" t="s">
        <v>634</v>
      </c>
      <c r="J4201" s="6" t="s">
        <v>394</v>
      </c>
      <c r="K4201" s="10">
        <v>2.925</v>
      </c>
      <c r="L4201" s="10">
        <v>7.5</v>
      </c>
      <c r="M4201" s="6" t="s">
        <v>425</v>
      </c>
      <c r="N4201" s="6">
        <f>IF(OR($G4201="FCC",$G4201="Hydrocracker",$G4201="Reformer"),IF(COUNTIFS($D:$D,$D4201,$A:$A,$A4201,$B:$B,$B4201,$G:$G,"CDU",$J:$J,"PLANNED")&gt;0,"tied","standalone"),"")</f>
        <v/>
      </c>
    </row>
    <row r="4202" spans="1:14">
      <c r="A4202" s="6">
        <v>2024</v>
      </c>
      <c r="B4202" s="6">
        <v>8</v>
      </c>
      <c r="C4202" s="6" t="s">
        <v>67</v>
      </c>
      <c r="D4202" s="6" t="s">
        <v>824</v>
      </c>
      <c r="E4202" s="6" t="s">
        <v>825</v>
      </c>
      <c r="F4202" s="6" t="str">
        <f>IF($M4202="PADD I","PADD 1",IF($M4202="PADD II","PADD 2",IF($M4202="PADD III","PADD 3",IF($M4202="PADD IV","PADD 4",IF($M4202="PADD V","PADD 5","")))))</f>
        <v>PADD 1</v>
      </c>
      <c r="G4202" s="6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6" t="s">
        <v>426</v>
      </c>
      <c r="I4202" s="6" t="s">
        <v>106</v>
      </c>
      <c r="J4202" s="6" t="s">
        <v>394</v>
      </c>
      <c r="K4202" s="10">
        <v>2.7</v>
      </c>
      <c r="L4202" s="10">
        <v>45</v>
      </c>
      <c r="M4202" s="6" t="s">
        <v>463</v>
      </c>
      <c r="N4202" s="6" t="str">
        <f>IF(OR($G4202="FCC",$G4202="Hydrocracker",$G4202="Reformer"),IF(COUNTIFS($D:$D,$D4202,$A:$A,$A4202,$B:$B,$B4202,$G:$G,"CDU",$J:$J,"PLANNED")&gt;0,"tied","standalone"),"")</f>
        <v>standalone</v>
      </c>
    </row>
    <row r="4203" spans="1:14">
      <c r="A4203" s="6">
        <v>2024</v>
      </c>
      <c r="B4203" s="6">
        <v>8</v>
      </c>
      <c r="C4203" s="6" t="s">
        <v>67</v>
      </c>
      <c r="D4203" s="6" t="s">
        <v>682</v>
      </c>
      <c r="E4203" s="6" t="s">
        <v>683</v>
      </c>
      <c r="F4203" s="6" t="str">
        <f>IF($M4203="PADD I","PADD 1",IF($M4203="PADD II","PADD 2",IF($M4203="PADD III","PADD 3",IF($M4203="PADD IV","PADD 4",IF($M4203="PADD V","PADD 5","")))))</f>
        <v>PADD 4</v>
      </c>
      <c r="G4203" s="6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6" t="s">
        <v>44</v>
      </c>
      <c r="I4203" s="6" t="s">
        <v>724</v>
      </c>
      <c r="J4203" s="6" t="s">
        <v>394</v>
      </c>
      <c r="K4203" s="10">
        <v>2.645</v>
      </c>
      <c r="L4203" s="10">
        <v>11.5</v>
      </c>
      <c r="M4203" s="6" t="s">
        <v>480</v>
      </c>
      <c r="N4203" s="6">
        <f>IF(OR($G4203="FCC",$G4203="Hydrocracker",$G4203="Reformer"),IF(COUNTIFS($D:$D,$D4203,$A:$A,$A4203,$B:$B,$B4203,$G:$G,"CDU",$J:$J,"PLANNED")&gt;0,"tied","standalone"),"")</f>
        <v/>
      </c>
    </row>
    <row r="4204" spans="1:14">
      <c r="A4204" s="6">
        <v>2024</v>
      </c>
      <c r="B4204" s="6">
        <v>8</v>
      </c>
      <c r="C4204" s="6" t="s">
        <v>67</v>
      </c>
      <c r="D4204" s="6" t="s">
        <v>1093</v>
      </c>
      <c r="E4204" s="6" t="s">
        <v>438</v>
      </c>
      <c r="F4204" s="6" t="str">
        <f>IF($M4204="PADD I","PADD 1",IF($M4204="PADD II","PADD 2",IF($M4204="PADD III","PADD 3",IF($M4204="PADD IV","PADD 4",IF($M4204="PADD V","PADD 5","")))))</f>
        <v>PADD 2</v>
      </c>
      <c r="G4204" s="6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6" t="s">
        <v>426</v>
      </c>
      <c r="I4204" s="6" t="s">
        <v>106</v>
      </c>
      <c r="J4204" s="6" t="s">
        <v>398</v>
      </c>
      <c r="K4204" s="10">
        <v>2.6</v>
      </c>
      <c r="L4204" s="10">
        <v>26</v>
      </c>
      <c r="M4204" s="6" t="s">
        <v>425</v>
      </c>
      <c r="N4204" s="6" t="str">
        <f>IF(OR($G4204="FCC",$G4204="Hydrocracker",$G4204="Reformer"),IF(COUNTIFS($D:$D,$D4204,$A:$A,$A4204,$B:$B,$B4204,$G:$G,"CDU",$J:$J,"PLANNED")&gt;0,"tied","standalone"),"")</f>
        <v>tied</v>
      </c>
    </row>
    <row r="4205" spans="1:14">
      <c r="A4205" s="6">
        <v>2024</v>
      </c>
      <c r="B4205" s="6">
        <v>8</v>
      </c>
      <c r="C4205" s="6" t="s">
        <v>67</v>
      </c>
      <c r="D4205" s="6" t="s">
        <v>382</v>
      </c>
      <c r="E4205" s="6" t="s">
        <v>431</v>
      </c>
      <c r="F4205" s="6" t="str">
        <f>IF($M4205="PADD I","PADD 1",IF($M4205="PADD II","PADD 2",IF($M4205="PADD III","PADD 3",IF($M4205="PADD IV","PADD 4",IF($M4205="PADD V","PADD 5","")))))</f>
        <v>PADD 3</v>
      </c>
      <c r="G4205" s="6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6" t="s">
        <v>471</v>
      </c>
      <c r="I4205" s="6" t="s">
        <v>1092</v>
      </c>
      <c r="J4205" s="6" t="s">
        <v>394</v>
      </c>
      <c r="K4205" s="10">
        <v>2.6</v>
      </c>
      <c r="L4205" s="10">
        <v>10</v>
      </c>
      <c r="M4205" s="6" t="s">
        <v>421</v>
      </c>
      <c r="N4205" s="6" t="str">
        <f>IF(OR($G4205="FCC",$G4205="Hydrocracker",$G4205="Reformer"),IF(COUNTIFS($D:$D,$D4205,$A:$A,$A4205,$B:$B,$B4205,$G:$G,"CDU",$J:$J,"PLANNED")&gt;0,"tied","standalone"),"")</f>
        <v>standalone</v>
      </c>
    </row>
    <row r="4206" spans="1:14">
      <c r="A4206" s="6">
        <v>2024</v>
      </c>
      <c r="B4206" s="6">
        <v>8</v>
      </c>
      <c r="C4206" s="6" t="s">
        <v>67</v>
      </c>
      <c r="D4206" s="6" t="s">
        <v>1093</v>
      </c>
      <c r="E4206" s="6" t="s">
        <v>438</v>
      </c>
      <c r="F4206" s="6" t="str">
        <f>IF($M4206="PADD I","PADD 1",IF($M4206="PADD II","PADD 2",IF($M4206="PADD III","PADD 3",IF($M4206="PADD IV","PADD 4",IF($M4206="PADD V","PADD 5","")))))</f>
        <v>PADD 2</v>
      </c>
      <c r="G4206" s="6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6" t="s">
        <v>44</v>
      </c>
      <c r="I4206" s="6" t="s">
        <v>1101</v>
      </c>
      <c r="J4206" s="6" t="s">
        <v>398</v>
      </c>
      <c r="K4206" s="10">
        <v>2.54</v>
      </c>
      <c r="L4206" s="10">
        <v>25.4</v>
      </c>
      <c r="M4206" s="6" t="s">
        <v>425</v>
      </c>
      <c r="N4206" s="6">
        <f>IF(OR($G4206="FCC",$G4206="Hydrocracker",$G4206="Reformer"),IF(COUNTIFS($D:$D,$D4206,$A:$A,$A4206,$B:$B,$B4206,$G:$G,"CDU",$J:$J,"PLANNED")&gt;0,"tied","standalone"),"")</f>
        <v/>
      </c>
    </row>
    <row r="4207" spans="1:14">
      <c r="A4207" s="6">
        <v>2024</v>
      </c>
      <c r="B4207" s="6">
        <v>8</v>
      </c>
      <c r="C4207" s="6" t="s">
        <v>67</v>
      </c>
      <c r="D4207" s="6" t="s">
        <v>550</v>
      </c>
      <c r="E4207" s="6" t="s">
        <v>438</v>
      </c>
      <c r="F4207" s="6" t="str">
        <f>IF($M4207="PADD I","PADD 1",IF($M4207="PADD II","PADD 2",IF($M4207="PADD III","PADD 3",IF($M4207="PADD IV","PADD 4",IF($M4207="PADD V","PADD 5","")))))</f>
        <v>PADD 2</v>
      </c>
      <c r="G4207" s="6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6" t="s">
        <v>39</v>
      </c>
      <c r="I4207" s="6" t="s">
        <v>967</v>
      </c>
      <c r="J4207" s="6" t="s">
        <v>394</v>
      </c>
      <c r="K4207" s="10">
        <v>2.5</v>
      </c>
      <c r="L4207" s="10">
        <v>25</v>
      </c>
      <c r="M4207" s="6" t="s">
        <v>425</v>
      </c>
      <c r="N4207" s="6">
        <f>IF(OR($G4207="FCC",$G4207="Hydrocracker",$G4207="Reformer"),IF(COUNTIFS($D:$D,$D4207,$A:$A,$A4207,$B:$B,$B4207,$G:$G,"CDU",$J:$J,"PLANNED")&gt;0,"tied","standalone"),"")</f>
        <v/>
      </c>
    </row>
    <row r="4208" spans="1:14">
      <c r="A4208" s="6">
        <v>2024</v>
      </c>
      <c r="B4208" s="6">
        <v>8</v>
      </c>
      <c r="C4208" s="6" t="s">
        <v>67</v>
      </c>
      <c r="D4208" s="6" t="s">
        <v>1093</v>
      </c>
      <c r="E4208" s="6" t="s">
        <v>438</v>
      </c>
      <c r="F4208" s="6" t="str">
        <f>IF($M4208="PADD I","PADD 1",IF($M4208="PADD II","PADD 2",IF($M4208="PADD III","PADD 3",IF($M4208="PADD IV","PADD 4",IF($M4208="PADD V","PADD 5","")))))</f>
        <v>PADD 2</v>
      </c>
      <c r="G4208" s="6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6" t="s">
        <v>44</v>
      </c>
      <c r="I4208" s="6" t="s">
        <v>1102</v>
      </c>
      <c r="J4208" s="6" t="s">
        <v>398</v>
      </c>
      <c r="K4208" s="10">
        <v>2.42</v>
      </c>
      <c r="L4208" s="10">
        <v>24.2</v>
      </c>
      <c r="M4208" s="6" t="s">
        <v>425</v>
      </c>
      <c r="N4208" s="6">
        <f>IF(OR($G4208="FCC",$G4208="Hydrocracker",$G4208="Reformer"),IF(COUNTIFS($D:$D,$D4208,$A:$A,$A4208,$B:$B,$B4208,$G:$G,"CDU",$J:$J,"PLANNED")&gt;0,"tied","standalone"),"")</f>
        <v/>
      </c>
    </row>
    <row r="4209" spans="1:14">
      <c r="A4209" s="6">
        <v>2024</v>
      </c>
      <c r="B4209" s="6">
        <v>8</v>
      </c>
      <c r="C4209" s="6" t="s">
        <v>67</v>
      </c>
      <c r="D4209" s="6" t="s">
        <v>458</v>
      </c>
      <c r="E4209" s="6" t="s">
        <v>459</v>
      </c>
      <c r="F4209" s="6" t="str">
        <f>IF($M4209="PADD I","PADD 1",IF($M4209="PADD II","PADD 2",IF($M4209="PADD III","PADD 3",IF($M4209="PADD IV","PADD 4",IF($M4209="PADD V","PADD 5","")))))</f>
        <v>PADD 3</v>
      </c>
      <c r="G4209" s="6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6" t="s">
        <v>39</v>
      </c>
      <c r="I4209" s="6" t="s">
        <v>460</v>
      </c>
      <c r="J4209" s="6" t="s">
        <v>394</v>
      </c>
      <c r="K4209" s="10">
        <v>2.4</v>
      </c>
      <c r="L4209" s="10">
        <v>80</v>
      </c>
      <c r="M4209" s="6" t="s">
        <v>421</v>
      </c>
      <c r="N4209" s="6">
        <f>IF(OR($G4209="FCC",$G4209="Hydrocracker",$G4209="Reformer"),IF(COUNTIFS($D:$D,$D4209,$A:$A,$A4209,$B:$B,$B4209,$G:$G,"CDU",$J:$J,"PLANNED")&gt;0,"tied","standalone"),"")</f>
        <v/>
      </c>
    </row>
    <row r="4210" spans="1:14">
      <c r="A4210" s="6">
        <v>2024</v>
      </c>
      <c r="B4210" s="6">
        <v>8</v>
      </c>
      <c r="C4210" s="6" t="s">
        <v>67</v>
      </c>
      <c r="D4210" s="6" t="s">
        <v>851</v>
      </c>
      <c r="E4210" s="6" t="s">
        <v>829</v>
      </c>
      <c r="F4210" s="6" t="str">
        <f>IF($M4210="PADD I","PADD 1",IF($M4210="PADD II","PADD 2",IF($M4210="PADD III","PADD 3",IF($M4210="PADD IV","PADD 4",IF($M4210="PADD V","PADD 5","")))))</f>
        <v>PADD 2</v>
      </c>
      <c r="G4210" s="6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6" t="s">
        <v>485</v>
      </c>
      <c r="I4210" s="6" t="s">
        <v>1229</v>
      </c>
      <c r="J4210" s="6" t="s">
        <v>398</v>
      </c>
      <c r="K4210" s="10">
        <v>2.2572</v>
      </c>
      <c r="L4210" s="10">
        <v>11.88</v>
      </c>
      <c r="M4210" s="6" t="s">
        <v>425</v>
      </c>
      <c r="N4210" s="6">
        <f>IF(OR($G4210="FCC",$G4210="Hydrocracker",$G4210="Reformer"),IF(COUNTIFS($D:$D,$D4210,$A:$A,$A4210,$B:$B,$B4210,$G:$G,"CDU",$J:$J,"PLANNED")&gt;0,"tied","standalone"),"")</f>
        <v/>
      </c>
    </row>
    <row r="4211" spans="1:14">
      <c r="A4211" s="6">
        <v>2024</v>
      </c>
      <c r="B4211" s="6">
        <v>8</v>
      </c>
      <c r="C4211" s="6" t="s">
        <v>67</v>
      </c>
      <c r="D4211" s="6" t="s">
        <v>383</v>
      </c>
      <c r="E4211" s="6" t="s">
        <v>602</v>
      </c>
      <c r="F4211" s="6" t="str">
        <f>IF($M4211="PADD I","PADD 1",IF($M4211="PADD II","PADD 2",IF($M4211="PADD III","PADD 3",IF($M4211="PADD IV","PADD 4",IF($M4211="PADD V","PADD 5","")))))</f>
        <v>PADD 3</v>
      </c>
      <c r="G4211" s="6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6" t="s">
        <v>39</v>
      </c>
      <c r="I4211" s="6" t="s">
        <v>138</v>
      </c>
      <c r="J4211" s="6" t="s">
        <v>394</v>
      </c>
      <c r="K4211" s="10">
        <v>2.208</v>
      </c>
      <c r="L4211" s="10">
        <v>9.6</v>
      </c>
      <c r="M4211" s="6" t="s">
        <v>421</v>
      </c>
      <c r="N4211" s="6">
        <f>IF(OR($G4211="FCC",$G4211="Hydrocracker",$G4211="Reformer"),IF(COUNTIFS($D:$D,$D4211,$A:$A,$A4211,$B:$B,$B4211,$G:$G,"CDU",$J:$J,"PLANNED")&gt;0,"tied","standalone"),"")</f>
        <v/>
      </c>
    </row>
    <row r="4212" spans="1:14">
      <c r="A4212" s="6">
        <v>2024</v>
      </c>
      <c r="B4212" s="6">
        <v>8</v>
      </c>
      <c r="C4212" s="6" t="s">
        <v>67</v>
      </c>
      <c r="D4212" s="6" t="s">
        <v>660</v>
      </c>
      <c r="E4212" s="6" t="s">
        <v>661</v>
      </c>
      <c r="F4212" s="6" t="str">
        <f>IF($M4212="PADD I","PADD 1",IF($M4212="PADD II","PADD 2",IF($M4212="PADD III","PADD 3",IF($M4212="PADD IV","PADD 4",IF($M4212="PADD V","PADD 5","")))))</f>
        <v>PADD 2</v>
      </c>
      <c r="G4212" s="6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6" t="s">
        <v>428</v>
      </c>
      <c r="I4212" s="6" t="s">
        <v>677</v>
      </c>
      <c r="J4212" s="6" t="s">
        <v>394</v>
      </c>
      <c r="K4212" s="10">
        <v>2.2</v>
      </c>
      <c r="L4212" s="10">
        <v>22</v>
      </c>
      <c r="M4212" s="6" t="s">
        <v>425</v>
      </c>
      <c r="N4212" s="6">
        <f>IF(OR($G4212="FCC",$G4212="Hydrocracker",$G4212="Reformer"),IF(COUNTIFS($D:$D,$D4212,$A:$A,$A4212,$B:$B,$B4212,$G:$G,"CDU",$J:$J,"PLANNED")&gt;0,"tied","standalone"),"")</f>
        <v/>
      </c>
    </row>
    <row r="4213" spans="1:14">
      <c r="A4213" s="6">
        <v>2024</v>
      </c>
      <c r="B4213" s="6">
        <v>8</v>
      </c>
      <c r="C4213" s="6" t="s">
        <v>67</v>
      </c>
      <c r="D4213" s="6" t="s">
        <v>660</v>
      </c>
      <c r="E4213" s="6" t="s">
        <v>661</v>
      </c>
      <c r="F4213" s="6" t="str">
        <f>IF($M4213="PADD I","PADD 1",IF($M4213="PADD II","PADD 2",IF($M4213="PADD III","PADD 3",IF($M4213="PADD IV","PADD 4",IF($M4213="PADD V","PADD 5","")))))</f>
        <v>PADD 2</v>
      </c>
      <c r="G4213" s="6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6" t="s">
        <v>428</v>
      </c>
      <c r="I4213" s="6" t="s">
        <v>544</v>
      </c>
      <c r="J4213" s="6" t="s">
        <v>394</v>
      </c>
      <c r="K4213" s="10">
        <v>2</v>
      </c>
      <c r="L4213" s="10">
        <v>20</v>
      </c>
      <c r="M4213" s="6" t="s">
        <v>425</v>
      </c>
      <c r="N4213" s="6">
        <f>IF(OR($G4213="FCC",$G4213="Hydrocracker",$G4213="Reformer"),IF(COUNTIFS($D:$D,$D4213,$A:$A,$A4213,$B:$B,$B4213,$G:$G,"CDU",$J:$J,"PLANNED")&gt;0,"tied","standalone"),"")</f>
        <v/>
      </c>
    </row>
    <row r="4214" spans="1:14">
      <c r="A4214" s="6">
        <v>2024</v>
      </c>
      <c r="B4214" s="6">
        <v>8</v>
      </c>
      <c r="C4214" s="6" t="s">
        <v>67</v>
      </c>
      <c r="D4214" s="6" t="s">
        <v>550</v>
      </c>
      <c r="E4214" s="6" t="s">
        <v>438</v>
      </c>
      <c r="F4214" s="6" t="str">
        <f>IF($M4214="PADD I","PADD 1",IF($M4214="PADD II","PADD 2",IF($M4214="PADD III","PADD 3",IF($M4214="PADD IV","PADD 4",IF($M4214="PADD V","PADD 5","")))))</f>
        <v>PADD 2</v>
      </c>
      <c r="G4214" s="6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6" t="s">
        <v>44</v>
      </c>
      <c r="I4214" s="6" t="s">
        <v>971</v>
      </c>
      <c r="J4214" s="6" t="s">
        <v>394</v>
      </c>
      <c r="K4214" s="10">
        <v>2</v>
      </c>
      <c r="L4214" s="10">
        <v>20</v>
      </c>
      <c r="M4214" s="6" t="s">
        <v>425</v>
      </c>
      <c r="N4214" s="6">
        <f>IF(OR($G4214="FCC",$G4214="Hydrocracker",$G4214="Reformer"),IF(COUNTIFS($D:$D,$D4214,$A:$A,$A4214,$B:$B,$B4214,$G:$G,"CDU",$J:$J,"PLANNED")&gt;0,"tied","standalone"),"")</f>
        <v/>
      </c>
    </row>
    <row r="4215" spans="1:14">
      <c r="A4215" s="6">
        <v>2024</v>
      </c>
      <c r="B4215" s="6">
        <v>8</v>
      </c>
      <c r="C4215" s="6" t="s">
        <v>67</v>
      </c>
      <c r="D4215" s="6" t="s">
        <v>550</v>
      </c>
      <c r="E4215" s="6" t="s">
        <v>438</v>
      </c>
      <c r="F4215" s="6" t="str">
        <f>IF($M4215="PADD I","PADD 1",IF($M4215="PADD II","PADD 2",IF($M4215="PADD III","PADD 3",IF($M4215="PADD IV","PADD 4",IF($M4215="PADD V","PADD 5","")))))</f>
        <v>PADD 2</v>
      </c>
      <c r="G4215" s="6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6" t="s">
        <v>44</v>
      </c>
      <c r="I4215" s="6" t="s">
        <v>570</v>
      </c>
      <c r="J4215" s="6" t="s">
        <v>394</v>
      </c>
      <c r="K4215" s="10">
        <v>2</v>
      </c>
      <c r="L4215" s="10">
        <v>20</v>
      </c>
      <c r="M4215" s="6" t="s">
        <v>425</v>
      </c>
      <c r="N4215" s="6">
        <f>IF(OR($G4215="FCC",$G4215="Hydrocracker",$G4215="Reformer"),IF(COUNTIFS($D:$D,$D4215,$A:$A,$A4215,$B:$B,$B4215,$G:$G,"CDU",$J:$J,"PLANNED")&gt;0,"tied","standalone"),"")</f>
        <v/>
      </c>
    </row>
    <row r="4216" spans="1:14">
      <c r="A4216" s="6">
        <v>2024</v>
      </c>
      <c r="B4216" s="6">
        <v>8</v>
      </c>
      <c r="C4216" s="6" t="s">
        <v>67</v>
      </c>
      <c r="D4216" s="6" t="s">
        <v>660</v>
      </c>
      <c r="E4216" s="6" t="s">
        <v>661</v>
      </c>
      <c r="F4216" s="6" t="str">
        <f>IF($M4216="PADD I","PADD 1",IF($M4216="PADD II","PADD 2",IF($M4216="PADD III","PADD 3",IF($M4216="PADD IV","PADD 4",IF($M4216="PADD V","PADD 5","")))))</f>
        <v>PADD 2</v>
      </c>
      <c r="G4216" s="6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6" t="s">
        <v>485</v>
      </c>
      <c r="I4216" s="6" t="s">
        <v>491</v>
      </c>
      <c r="J4216" s="6" t="s">
        <v>394</v>
      </c>
      <c r="K4216" s="10">
        <v>1.95</v>
      </c>
      <c r="L4216" s="10">
        <v>19.5</v>
      </c>
      <c r="M4216" s="6" t="s">
        <v>425</v>
      </c>
      <c r="N4216" s="6">
        <f>IF(OR($G4216="FCC",$G4216="Hydrocracker",$G4216="Reformer"),IF(COUNTIFS($D:$D,$D4216,$A:$A,$A4216,$B:$B,$B4216,$G:$G,"CDU",$J:$J,"PLANNED")&gt;0,"tied","standalone"),"")</f>
        <v/>
      </c>
    </row>
    <row r="4217" spans="1:14">
      <c r="A4217" s="6">
        <v>2024</v>
      </c>
      <c r="B4217" s="6">
        <v>8</v>
      </c>
      <c r="C4217" s="6" t="s">
        <v>67</v>
      </c>
      <c r="D4217" s="6" t="s">
        <v>49</v>
      </c>
      <c r="E4217" s="6" t="s">
        <v>438</v>
      </c>
      <c r="F4217" s="6" t="str">
        <f>IF($M4217="PADD I","PADD 1",IF($M4217="PADD II","PADD 2",IF($M4217="PADD III","PADD 3",IF($M4217="PADD IV","PADD 4",IF($M4217="PADD V","PADD 5","")))))</f>
        <v>PADD 2</v>
      </c>
      <c r="G4217" s="6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6" t="s">
        <v>485</v>
      </c>
      <c r="I4217" s="6" t="s">
        <v>681</v>
      </c>
      <c r="J4217" s="6" t="s">
        <v>394</v>
      </c>
      <c r="K4217" s="10">
        <v>1.92</v>
      </c>
      <c r="L4217" s="10">
        <v>12</v>
      </c>
      <c r="M4217" s="6" t="s">
        <v>425</v>
      </c>
      <c r="N4217" s="6">
        <f>IF(OR($G4217="FCC",$G4217="Hydrocracker",$G4217="Reformer"),IF(COUNTIFS($D:$D,$D4217,$A:$A,$A4217,$B:$B,$B4217,$G:$G,"CDU",$J:$J,"PLANNED")&gt;0,"tied","standalone"),"")</f>
        <v/>
      </c>
    </row>
    <row r="4218" spans="1:14">
      <c r="A4218" s="6">
        <v>2024</v>
      </c>
      <c r="B4218" s="6">
        <v>8</v>
      </c>
      <c r="C4218" s="6" t="s">
        <v>67</v>
      </c>
      <c r="D4218" s="6" t="s">
        <v>550</v>
      </c>
      <c r="E4218" s="6" t="s">
        <v>438</v>
      </c>
      <c r="F4218" s="6" t="str">
        <f>IF($M4218="PADD I","PADD 1",IF($M4218="PADD II","PADD 2",IF($M4218="PADD III","PADD 3",IF($M4218="PADD IV","PADD 4",IF($M4218="PADD V","PADD 5","")))))</f>
        <v>PADD 2</v>
      </c>
      <c r="G4218" s="6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6" t="s">
        <v>471</v>
      </c>
      <c r="I4218" s="6" t="s">
        <v>589</v>
      </c>
      <c r="J4218" s="6" t="s">
        <v>394</v>
      </c>
      <c r="K4218" s="10">
        <v>1.9</v>
      </c>
      <c r="L4218" s="10">
        <v>19</v>
      </c>
      <c r="M4218" s="6" t="s">
        <v>425</v>
      </c>
      <c r="N4218" s="6" t="str">
        <f>IF(OR($G4218="FCC",$G4218="Hydrocracker",$G4218="Reformer"),IF(COUNTIFS($D:$D,$D4218,$A:$A,$A4218,$B:$B,$B4218,$G:$G,"CDU",$J:$J,"PLANNED")&gt;0,"tied","standalone"),"")</f>
        <v>standalone</v>
      </c>
    </row>
    <row r="4219" spans="1:14">
      <c r="A4219" s="6">
        <v>2024</v>
      </c>
      <c r="B4219" s="6">
        <v>8</v>
      </c>
      <c r="C4219" s="6" t="s">
        <v>67</v>
      </c>
      <c r="D4219" s="6" t="s">
        <v>660</v>
      </c>
      <c r="E4219" s="6" t="s">
        <v>661</v>
      </c>
      <c r="F4219" s="6" t="str">
        <f>IF($M4219="PADD I","PADD 1",IF($M4219="PADD II","PADD 2",IF($M4219="PADD III","PADD 3",IF($M4219="PADD IV","PADD 4",IF($M4219="PADD V","PADD 5","")))))</f>
        <v>PADD 2</v>
      </c>
      <c r="G4219" s="6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6" t="s">
        <v>44</v>
      </c>
      <c r="I4219" s="6" t="s">
        <v>672</v>
      </c>
      <c r="J4219" s="6" t="s">
        <v>394</v>
      </c>
      <c r="K4219" s="10">
        <v>1.8</v>
      </c>
      <c r="L4219" s="10">
        <v>30</v>
      </c>
      <c r="M4219" s="6" t="s">
        <v>425</v>
      </c>
      <c r="N4219" s="6">
        <f>IF(OR($G4219="FCC",$G4219="Hydrocracker",$G4219="Reformer"),IF(COUNTIFS($D:$D,$D4219,$A:$A,$A4219,$B:$B,$B4219,$G:$G,"CDU",$J:$J,"PLANNED")&gt;0,"tied","standalone"),"")</f>
        <v/>
      </c>
    </row>
    <row r="4220" spans="1:14">
      <c r="A4220" s="6">
        <v>2024</v>
      </c>
      <c r="B4220" s="6">
        <v>8</v>
      </c>
      <c r="C4220" s="6" t="s">
        <v>67</v>
      </c>
      <c r="D4220" s="6" t="s">
        <v>458</v>
      </c>
      <c r="E4220" s="6" t="s">
        <v>459</v>
      </c>
      <c r="F4220" s="6" t="str">
        <f>IF($M4220="PADD I","PADD 1",IF($M4220="PADD II","PADD 2",IF($M4220="PADD III","PADD 3",IF($M4220="PADD IV","PADD 4",IF($M4220="PADD V","PADD 5","")))))</f>
        <v>PADD 3</v>
      </c>
      <c r="G4220" s="6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6" t="s">
        <v>428</v>
      </c>
      <c r="I4220" s="6" t="s">
        <v>556</v>
      </c>
      <c r="J4220" s="6" t="s">
        <v>394</v>
      </c>
      <c r="K4220" s="10">
        <v>1.56</v>
      </c>
      <c r="L4220" s="10">
        <v>52</v>
      </c>
      <c r="M4220" s="6" t="s">
        <v>421</v>
      </c>
      <c r="N4220" s="6">
        <f>IF(OR($G4220="FCC",$G4220="Hydrocracker",$G4220="Reformer"),IF(COUNTIFS($D:$D,$D4220,$A:$A,$A4220,$B:$B,$B4220,$G:$G,"CDU",$J:$J,"PLANNED")&gt;0,"tied","standalone"),"")</f>
        <v/>
      </c>
    </row>
    <row r="4221" spans="1:14">
      <c r="A4221" s="6">
        <v>2024</v>
      </c>
      <c r="B4221" s="6">
        <v>8</v>
      </c>
      <c r="C4221" s="6" t="s">
        <v>67</v>
      </c>
      <c r="D4221" s="6" t="s">
        <v>1093</v>
      </c>
      <c r="E4221" s="6" t="s">
        <v>438</v>
      </c>
      <c r="F4221" s="6" t="str">
        <f>IF($M4221="PADD I","PADD 1",IF($M4221="PADD II","PADD 2",IF($M4221="PADD III","PADD 3",IF($M4221="PADD IV","PADD 4",IF($M4221="PADD V","PADD 5","")))))</f>
        <v>PADD 2</v>
      </c>
      <c r="G4221" s="6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6" t="s">
        <v>44</v>
      </c>
      <c r="I4221" s="6" t="s">
        <v>1106</v>
      </c>
      <c r="J4221" s="6" t="s">
        <v>398</v>
      </c>
      <c r="K4221" s="10">
        <v>1.5</v>
      </c>
      <c r="L4221" s="10">
        <v>15</v>
      </c>
      <c r="M4221" s="6" t="s">
        <v>425</v>
      </c>
      <c r="N4221" s="6">
        <f>IF(OR($G4221="FCC",$G4221="Hydrocracker",$G4221="Reformer"),IF(COUNTIFS($D:$D,$D4221,$A:$A,$A4221,$B:$B,$B4221,$G:$G,"CDU",$J:$J,"PLANNED")&gt;0,"tied","standalone"),"")</f>
        <v/>
      </c>
    </row>
    <row r="4222" spans="1:14">
      <c r="A4222" s="6">
        <v>2024</v>
      </c>
      <c r="B4222" s="6">
        <v>8</v>
      </c>
      <c r="C4222" s="6" t="s">
        <v>67</v>
      </c>
      <c r="D4222" s="6" t="s">
        <v>622</v>
      </c>
      <c r="E4222" s="6" t="s">
        <v>623</v>
      </c>
      <c r="F4222" s="6" t="str">
        <f>IF($M4222="PADD I","PADD 1",IF($M4222="PADD II","PADD 2",IF($M4222="PADD III","PADD 3",IF($M4222="PADD IV","PADD 4",IF($M4222="PADD V","PADD 5","")))))</f>
        <v>PADD 3</v>
      </c>
      <c r="G4222" s="6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6" t="s">
        <v>39</v>
      </c>
      <c r="I4222" s="6" t="s">
        <v>624</v>
      </c>
      <c r="J4222" s="6" t="s">
        <v>394</v>
      </c>
      <c r="K4222" s="10">
        <v>1.5</v>
      </c>
      <c r="L4222" s="10">
        <v>50</v>
      </c>
      <c r="M4222" s="6" t="s">
        <v>421</v>
      </c>
      <c r="N4222" s="6">
        <f>IF(OR($G4222="FCC",$G4222="Hydrocracker",$G4222="Reformer"),IF(COUNTIFS($D:$D,$D4222,$A:$A,$A4222,$B:$B,$B4222,$G:$G,"CDU",$J:$J,"PLANNED")&gt;0,"tied","standalone"),"")</f>
        <v/>
      </c>
    </row>
    <row r="4223" spans="1:14">
      <c r="A4223" s="6">
        <v>2024</v>
      </c>
      <c r="B4223" s="6">
        <v>8</v>
      </c>
      <c r="C4223" s="6" t="s">
        <v>67</v>
      </c>
      <c r="D4223" s="6" t="s">
        <v>660</v>
      </c>
      <c r="E4223" s="6" t="s">
        <v>661</v>
      </c>
      <c r="F4223" s="6" t="str">
        <f>IF($M4223="PADD I","PADD 1",IF($M4223="PADD II","PADD 2",IF($M4223="PADD III","PADD 3",IF($M4223="PADD IV","PADD 4",IF($M4223="PADD V","PADD 5","")))))</f>
        <v>PADD 2</v>
      </c>
      <c r="G4223" s="6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6" t="s">
        <v>44</v>
      </c>
      <c r="I4223" s="6" t="s">
        <v>674</v>
      </c>
      <c r="J4223" s="6" t="s">
        <v>394</v>
      </c>
      <c r="K4223" s="10">
        <v>1.5</v>
      </c>
      <c r="L4223" s="10">
        <v>25</v>
      </c>
      <c r="M4223" s="6" t="s">
        <v>425</v>
      </c>
      <c r="N4223" s="6">
        <f>IF(OR($G4223="FCC",$G4223="Hydrocracker",$G4223="Reformer"),IF(COUNTIFS($D:$D,$D4223,$A:$A,$A4223,$B:$B,$B4223,$G:$G,"CDU",$J:$J,"PLANNED")&gt;0,"tied","standalone"),"")</f>
        <v/>
      </c>
    </row>
    <row r="4224" spans="1:14">
      <c r="A4224" s="6">
        <v>2024</v>
      </c>
      <c r="B4224" s="6">
        <v>8</v>
      </c>
      <c r="C4224" s="6" t="s">
        <v>67</v>
      </c>
      <c r="D4224" s="6" t="s">
        <v>660</v>
      </c>
      <c r="E4224" s="6" t="s">
        <v>661</v>
      </c>
      <c r="F4224" s="6" t="str">
        <f>IF($M4224="PADD I","PADD 1",IF($M4224="PADD II","PADD 2",IF($M4224="PADD III","PADD 3",IF($M4224="PADD IV","PADD 4",IF($M4224="PADD V","PADD 5","")))))</f>
        <v>PADD 2</v>
      </c>
      <c r="G4224" s="6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6" t="s">
        <v>44</v>
      </c>
      <c r="I4224" s="6" t="s">
        <v>508</v>
      </c>
      <c r="J4224" s="6" t="s">
        <v>394</v>
      </c>
      <c r="K4224" s="10">
        <v>1.5</v>
      </c>
      <c r="L4224" s="10">
        <v>25</v>
      </c>
      <c r="M4224" s="6" t="s">
        <v>425</v>
      </c>
      <c r="N4224" s="6">
        <f>IF(OR($G4224="FCC",$G4224="Hydrocracker",$G4224="Reformer"),IF(COUNTIFS($D:$D,$D4224,$A:$A,$A4224,$B:$B,$B4224,$G:$G,"CDU",$J:$J,"PLANNED")&gt;0,"tied","standalone"),"")</f>
        <v/>
      </c>
    </row>
    <row r="4225" spans="1:14">
      <c r="A4225" s="6">
        <v>2024</v>
      </c>
      <c r="B4225" s="6">
        <v>8</v>
      </c>
      <c r="C4225" s="6" t="s">
        <v>67</v>
      </c>
      <c r="D4225" s="6" t="s">
        <v>550</v>
      </c>
      <c r="E4225" s="6" t="s">
        <v>438</v>
      </c>
      <c r="F4225" s="6" t="str">
        <f>IF($M4225="PADD I","PADD 1",IF($M4225="PADD II","PADD 2",IF($M4225="PADD III","PADD 3",IF($M4225="PADD IV","PADD 4",IF($M4225="PADD V","PADD 5","")))))</f>
        <v>PADD 2</v>
      </c>
      <c r="G4225" s="6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6" t="s">
        <v>44</v>
      </c>
      <c r="I4225" s="6" t="s">
        <v>974</v>
      </c>
      <c r="J4225" s="6" t="s">
        <v>394</v>
      </c>
      <c r="K4225" s="10">
        <v>1.5</v>
      </c>
      <c r="L4225" s="10">
        <v>15</v>
      </c>
      <c r="M4225" s="6" t="s">
        <v>425</v>
      </c>
      <c r="N4225" s="6">
        <f>IF(OR($G4225="FCC",$G4225="Hydrocracker",$G4225="Reformer"),IF(COUNTIFS($D:$D,$D4225,$A:$A,$A4225,$B:$B,$B4225,$G:$G,"CDU",$J:$J,"PLANNED")&gt;0,"tied","standalone"),"")</f>
        <v/>
      </c>
    </row>
    <row r="4226" spans="1:14">
      <c r="A4226" s="6">
        <v>2024</v>
      </c>
      <c r="B4226" s="6">
        <v>8</v>
      </c>
      <c r="C4226" s="6" t="s">
        <v>67</v>
      </c>
      <c r="D4226" s="6" t="s">
        <v>484</v>
      </c>
      <c r="E4226" s="6" t="s">
        <v>438</v>
      </c>
      <c r="F4226" s="6" t="str">
        <f>IF($M4226="PADD I","PADD 1",IF($M4226="PADD II","PADD 2",IF($M4226="PADD III","PADD 3",IF($M4226="PADD IV","PADD 4",IF($M4226="PADD V","PADD 5","")))))</f>
        <v>PADD 5</v>
      </c>
      <c r="G4226" s="6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6" t="s">
        <v>471</v>
      </c>
      <c r="I4226" s="6" t="s">
        <v>721</v>
      </c>
      <c r="J4226" s="6" t="s">
        <v>394</v>
      </c>
      <c r="K4226" s="10">
        <v>1.5</v>
      </c>
      <c r="L4226" s="10">
        <v>15</v>
      </c>
      <c r="M4226" s="6" t="s">
        <v>436</v>
      </c>
      <c r="N4226" s="6" t="str">
        <f>IF(OR($G4226="FCC",$G4226="Hydrocracker",$G4226="Reformer"),IF(COUNTIFS($D:$D,$D4226,$A:$A,$A4226,$B:$B,$B4226,$G:$G,"CDU",$J:$J,"PLANNED")&gt;0,"tied","standalone"),"")</f>
        <v>standalone</v>
      </c>
    </row>
    <row r="4227" spans="1:14">
      <c r="A4227" s="6">
        <v>2024</v>
      </c>
      <c r="B4227" s="6">
        <v>8</v>
      </c>
      <c r="C4227" s="6" t="s">
        <v>67</v>
      </c>
      <c r="D4227" s="6" t="s">
        <v>383</v>
      </c>
      <c r="E4227" s="6" t="s">
        <v>602</v>
      </c>
      <c r="F4227" s="6" t="str">
        <f>IF($M4227="PADD I","PADD 1",IF($M4227="PADD II","PADD 2",IF($M4227="PADD III","PADD 3",IF($M4227="PADD IV","PADD 4",IF($M4227="PADD V","PADD 5","")))))</f>
        <v>PADD 3</v>
      </c>
      <c r="G4227" s="6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6" t="s">
        <v>618</v>
      </c>
      <c r="I4227" s="6" t="s">
        <v>673</v>
      </c>
      <c r="J4227" s="6" t="s">
        <v>394</v>
      </c>
      <c r="K4227" s="10">
        <v>1.38</v>
      </c>
      <c r="L4227" s="10">
        <v>6</v>
      </c>
      <c r="M4227" s="6" t="s">
        <v>421</v>
      </c>
      <c r="N4227" s="6">
        <f>IF(OR($G4227="FCC",$G4227="Hydrocracker",$G4227="Reformer"),IF(COUNTIFS($D:$D,$D4227,$A:$A,$A4227,$B:$B,$B4227,$G:$G,"CDU",$J:$J,"PLANNED")&gt;0,"tied","standalone"),"")</f>
        <v/>
      </c>
    </row>
    <row r="4228" spans="1:14">
      <c r="A4228" s="6">
        <v>2024</v>
      </c>
      <c r="B4228" s="6">
        <v>8</v>
      </c>
      <c r="C4228" s="6" t="s">
        <v>67</v>
      </c>
      <c r="D4228" s="6" t="s">
        <v>1093</v>
      </c>
      <c r="E4228" s="6" t="s">
        <v>438</v>
      </c>
      <c r="F4228" s="6" t="str">
        <f>IF($M4228="PADD I","PADD 1",IF($M4228="PADD II","PADD 2",IF($M4228="PADD III","PADD 3",IF($M4228="PADD IV","PADD 4",IF($M4228="PADD V","PADD 5","")))))</f>
        <v>PADD 2</v>
      </c>
      <c r="G4228" s="6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6" t="s">
        <v>44</v>
      </c>
      <c r="I4228" s="6" t="s">
        <v>1107</v>
      </c>
      <c r="J4228" s="6" t="s">
        <v>398</v>
      </c>
      <c r="K4228" s="10">
        <v>1.36</v>
      </c>
      <c r="L4228" s="10">
        <v>13.6</v>
      </c>
      <c r="M4228" s="6" t="s">
        <v>425</v>
      </c>
      <c r="N4228" s="6">
        <f>IF(OR($G4228="FCC",$G4228="Hydrocracker",$G4228="Reformer"),IF(COUNTIFS($D:$D,$D4228,$A:$A,$A4228,$B:$B,$B4228,$G:$G,"CDU",$J:$J,"PLANNED")&gt;0,"tied","standalone"),"")</f>
        <v/>
      </c>
    </row>
    <row r="4229" spans="1:14">
      <c r="A4229" s="6">
        <v>2024</v>
      </c>
      <c r="B4229" s="6">
        <v>8</v>
      </c>
      <c r="C4229" s="6" t="s">
        <v>67</v>
      </c>
      <c r="D4229" s="6" t="s">
        <v>660</v>
      </c>
      <c r="E4229" s="6" t="s">
        <v>661</v>
      </c>
      <c r="F4229" s="6" t="str">
        <f>IF($M4229="PADD I","PADD 1",IF($M4229="PADD II","PADD 2",IF($M4229="PADD III","PADD 3",IF($M4229="PADD IV","PADD 4",IF($M4229="PADD V","PADD 5","")))))</f>
        <v>PADD 2</v>
      </c>
      <c r="G4229" s="6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6" t="s">
        <v>618</v>
      </c>
      <c r="I4229" s="6" t="s">
        <v>654</v>
      </c>
      <c r="J4229" s="6" t="s">
        <v>394</v>
      </c>
      <c r="K4229" s="10">
        <v>1.332</v>
      </c>
      <c r="L4229" s="10">
        <v>22.2</v>
      </c>
      <c r="M4229" s="6" t="s">
        <v>425</v>
      </c>
      <c r="N4229" s="6">
        <f>IF(OR($G4229="FCC",$G4229="Hydrocracker",$G4229="Reformer"),IF(COUNTIFS($D:$D,$D4229,$A:$A,$A4229,$B:$B,$B4229,$G:$G,"CDU",$J:$J,"PLANNED")&gt;0,"tied","standalone"),"")</f>
        <v/>
      </c>
    </row>
    <row r="4230" spans="1:14">
      <c r="A4230" s="6">
        <v>2024</v>
      </c>
      <c r="B4230" s="6">
        <v>8</v>
      </c>
      <c r="C4230" s="6" t="s">
        <v>67</v>
      </c>
      <c r="D4230" s="6" t="s">
        <v>1093</v>
      </c>
      <c r="E4230" s="6" t="s">
        <v>438</v>
      </c>
      <c r="F4230" s="6" t="str">
        <f>IF($M4230="PADD I","PADD 1",IF($M4230="PADD II","PADD 2",IF($M4230="PADD III","PADD 3",IF($M4230="PADD IV","PADD 4",IF($M4230="PADD V","PADD 5","")))))</f>
        <v>PADD 2</v>
      </c>
      <c r="G4230" s="6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6" t="s">
        <v>471</v>
      </c>
      <c r="I4230" s="6" t="s">
        <v>966</v>
      </c>
      <c r="J4230" s="6" t="s">
        <v>398</v>
      </c>
      <c r="K4230" s="10">
        <v>1.3</v>
      </c>
      <c r="L4230" s="10">
        <v>13</v>
      </c>
      <c r="M4230" s="6" t="s">
        <v>425</v>
      </c>
      <c r="N4230" s="6" t="str">
        <f>IF(OR($G4230="FCC",$G4230="Hydrocracker",$G4230="Reformer"),IF(COUNTIFS($D:$D,$D4230,$A:$A,$A4230,$B:$B,$B4230,$G:$G,"CDU",$J:$J,"PLANNED")&gt;0,"tied","standalone"),"")</f>
        <v>tied</v>
      </c>
    </row>
    <row r="4231" spans="1:14">
      <c r="A4231" s="6">
        <v>2024</v>
      </c>
      <c r="B4231" s="6">
        <v>8</v>
      </c>
      <c r="C4231" s="6" t="s">
        <v>67</v>
      </c>
      <c r="D4231" s="6" t="s">
        <v>660</v>
      </c>
      <c r="E4231" s="6" t="s">
        <v>661</v>
      </c>
      <c r="F4231" s="6" t="str">
        <f>IF($M4231="PADD I","PADD 1",IF($M4231="PADD II","PADD 2",IF($M4231="PADD III","PADD 3",IF($M4231="PADD IV","PADD 4",IF($M4231="PADD V","PADD 5","")))))</f>
        <v>PADD 2</v>
      </c>
      <c r="G4231" s="6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6" t="s">
        <v>44</v>
      </c>
      <c r="I4231" s="6" t="s">
        <v>679</v>
      </c>
      <c r="J4231" s="6" t="s">
        <v>394</v>
      </c>
      <c r="K4231" s="10">
        <v>1.2</v>
      </c>
      <c r="L4231" s="10">
        <v>20</v>
      </c>
      <c r="M4231" s="6" t="s">
        <v>425</v>
      </c>
      <c r="N4231" s="6">
        <f>IF(OR($G4231="FCC",$G4231="Hydrocracker",$G4231="Reformer"),IF(COUNTIFS($D:$D,$D4231,$A:$A,$A4231,$B:$B,$B4231,$G:$G,"CDU",$J:$J,"PLANNED")&gt;0,"tied","standalone"),"")</f>
        <v/>
      </c>
    </row>
    <row r="4232" spans="1:14">
      <c r="A4232" s="6">
        <v>2024</v>
      </c>
      <c r="B4232" s="6">
        <v>8</v>
      </c>
      <c r="C4232" s="6" t="s">
        <v>67</v>
      </c>
      <c r="D4232" s="6" t="s">
        <v>383</v>
      </c>
      <c r="E4232" s="6" t="s">
        <v>602</v>
      </c>
      <c r="F4232" s="6" t="str">
        <f>IF($M4232="PADD I","PADD 1",IF($M4232="PADD II","PADD 2",IF($M4232="PADD III","PADD 3",IF($M4232="PADD IV","PADD 4",IF($M4232="PADD V","PADD 5","")))))</f>
        <v>PADD 3</v>
      </c>
      <c r="G4232" s="6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6" t="s">
        <v>426</v>
      </c>
      <c r="I4232" s="6" t="s">
        <v>663</v>
      </c>
      <c r="J4232" s="6" t="s">
        <v>394</v>
      </c>
      <c r="K4232" s="10">
        <v>1.2</v>
      </c>
      <c r="L4232" s="10">
        <v>20</v>
      </c>
      <c r="M4232" s="6" t="s">
        <v>421</v>
      </c>
      <c r="N4232" s="6" t="str">
        <f>IF(OR($G4232="FCC",$G4232="Hydrocracker",$G4232="Reformer"),IF(COUNTIFS($D:$D,$D4232,$A:$A,$A4232,$B:$B,$B4232,$G:$G,"CDU",$J:$J,"PLANNED")&gt;0,"tied","standalone"),"")</f>
        <v>standalone</v>
      </c>
    </row>
    <row r="4233" spans="1:14">
      <c r="A4233" s="6">
        <v>2024</v>
      </c>
      <c r="B4233" s="6">
        <v>8</v>
      </c>
      <c r="C4233" s="6" t="s">
        <v>67</v>
      </c>
      <c r="D4233" s="6" t="s">
        <v>851</v>
      </c>
      <c r="E4233" s="6" t="s">
        <v>829</v>
      </c>
      <c r="F4233" s="6" t="str">
        <f>IF($M4233="PADD I","PADD 1",IF($M4233="PADD II","PADD 2",IF($M4233="PADD III","PADD 3",IF($M4233="PADD IV","PADD 4",IF($M4233="PADD V","PADD 5","")))))</f>
        <v>PADD 2</v>
      </c>
      <c r="G4233" s="6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6" t="s">
        <v>485</v>
      </c>
      <c r="I4233" s="6" t="s">
        <v>944</v>
      </c>
      <c r="J4233" s="6" t="s">
        <v>398</v>
      </c>
      <c r="K4233" s="10">
        <v>1.0355</v>
      </c>
      <c r="L4233" s="10">
        <v>5.45</v>
      </c>
      <c r="M4233" s="6" t="s">
        <v>425</v>
      </c>
      <c r="N4233" s="6">
        <f>IF(OR($G4233="FCC",$G4233="Hydrocracker",$G4233="Reformer"),IF(COUNTIFS($D:$D,$D4233,$A:$A,$A4233,$B:$B,$B4233,$G:$G,"CDU",$J:$J,"PLANNED")&gt;0,"tied","standalone"),"")</f>
        <v/>
      </c>
    </row>
    <row r="4234" spans="1:14">
      <c r="A4234" s="6">
        <v>2024</v>
      </c>
      <c r="B4234" s="6">
        <v>8</v>
      </c>
      <c r="C4234" s="6" t="s">
        <v>67</v>
      </c>
      <c r="D4234" s="6" t="s">
        <v>851</v>
      </c>
      <c r="E4234" s="6" t="s">
        <v>829</v>
      </c>
      <c r="F4234" s="6" t="str">
        <f>IF($M4234="PADD I","PADD 1",IF($M4234="PADD II","PADD 2",IF($M4234="PADD III","PADD 3",IF($M4234="PADD IV","PADD 4",IF($M4234="PADD V","PADD 5","")))))</f>
        <v>PADD 2</v>
      </c>
      <c r="G4234" s="6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6" t="s">
        <v>485</v>
      </c>
      <c r="I4234" s="6" t="s">
        <v>852</v>
      </c>
      <c r="J4234" s="6" t="s">
        <v>398</v>
      </c>
      <c r="K4234" s="10">
        <v>1.0355</v>
      </c>
      <c r="L4234" s="10">
        <v>5.45</v>
      </c>
      <c r="M4234" s="6" t="s">
        <v>425</v>
      </c>
      <c r="N4234" s="6">
        <f>IF(OR($G4234="FCC",$G4234="Hydrocracker",$G4234="Reformer"),IF(COUNTIFS($D:$D,$D4234,$A:$A,$A4234,$B:$B,$B4234,$G:$G,"CDU",$J:$J,"PLANNED")&gt;0,"tied","standalone"),"")</f>
        <v/>
      </c>
    </row>
    <row r="4235" spans="1:14">
      <c r="A4235" s="6">
        <v>2024</v>
      </c>
      <c r="B4235" s="6">
        <v>8</v>
      </c>
      <c r="C4235" s="6" t="s">
        <v>67</v>
      </c>
      <c r="D4235" s="6" t="s">
        <v>518</v>
      </c>
      <c r="E4235" s="6" t="s">
        <v>419</v>
      </c>
      <c r="F4235" s="6" t="str">
        <f>IF($M4235="PADD I","PADD 1",IF($M4235="PADD II","PADD 2",IF($M4235="PADD III","PADD 3",IF($M4235="PADD IV","PADD 4",IF($M4235="PADD V","PADD 5","")))))</f>
        <v>PADD 3</v>
      </c>
      <c r="G4235" s="6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6" t="s">
        <v>44</v>
      </c>
      <c r="I4235" s="6" t="s">
        <v>1078</v>
      </c>
      <c r="J4235" s="6" t="s">
        <v>394</v>
      </c>
      <c r="K4235" s="10">
        <v>1.02</v>
      </c>
      <c r="L4235" s="10">
        <v>34</v>
      </c>
      <c r="M4235" s="6" t="s">
        <v>421</v>
      </c>
      <c r="N4235" s="6">
        <f>IF(OR($G4235="FCC",$G4235="Hydrocracker",$G4235="Reformer"),IF(COUNTIFS($D:$D,$D4235,$A:$A,$A4235,$B:$B,$B4235,$G:$G,"CDU",$J:$J,"PLANNED")&gt;0,"tied","standalone"),"")</f>
        <v/>
      </c>
    </row>
    <row r="4236" spans="1:14">
      <c r="A4236" s="6">
        <v>2024</v>
      </c>
      <c r="B4236" s="6">
        <v>8</v>
      </c>
      <c r="C4236" s="6" t="s">
        <v>67</v>
      </c>
      <c r="D4236" s="6" t="s">
        <v>626</v>
      </c>
      <c r="E4236" s="6" t="s">
        <v>419</v>
      </c>
      <c r="F4236" s="6" t="str">
        <f>IF($M4236="PADD I","PADD 1",IF($M4236="PADD II","PADD 2",IF($M4236="PADD III","PADD 3",IF($M4236="PADD IV","PADD 4",IF($M4236="PADD V","PADD 5","")))))</f>
        <v>PADD 3</v>
      </c>
      <c r="G4236" s="6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6" t="s">
        <v>471</v>
      </c>
      <c r="I4236" s="6" t="s">
        <v>926</v>
      </c>
      <c r="J4236" s="6" t="s">
        <v>394</v>
      </c>
      <c r="K4236" s="10">
        <v>1.02</v>
      </c>
      <c r="L4236" s="10">
        <v>34</v>
      </c>
      <c r="M4236" s="6" t="s">
        <v>421</v>
      </c>
      <c r="N4236" s="6" t="str">
        <f>IF(OR($G4236="FCC",$G4236="Hydrocracker",$G4236="Reformer"),IF(COUNTIFS($D:$D,$D4236,$A:$A,$A4236,$B:$B,$B4236,$G:$G,"CDU",$J:$J,"PLANNED")&gt;0,"tied","standalone"),"")</f>
        <v>standalone</v>
      </c>
    </row>
    <row r="4237" spans="1:14">
      <c r="A4237" s="6">
        <v>2024</v>
      </c>
      <c r="B4237" s="6">
        <v>8</v>
      </c>
      <c r="C4237" s="6" t="s">
        <v>67</v>
      </c>
      <c r="D4237" s="6" t="s">
        <v>996</v>
      </c>
      <c r="E4237" s="6" t="s">
        <v>455</v>
      </c>
      <c r="F4237" s="6" t="str">
        <f>IF($M4237="PADD I","PADD 1",IF($M4237="PADD II","PADD 2",IF($M4237="PADD III","PADD 3",IF($M4237="PADD IV","PADD 4",IF($M4237="PADD V","PADD 5","")))))</f>
        <v>PADD 5</v>
      </c>
      <c r="G4237" s="6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6" t="s">
        <v>485</v>
      </c>
      <c r="I4237" s="6" t="s">
        <v>1025</v>
      </c>
      <c r="J4237" s="6" t="s">
        <v>394</v>
      </c>
      <c r="K4237" s="10">
        <v>0.9</v>
      </c>
      <c r="L4237" s="10">
        <v>15</v>
      </c>
      <c r="M4237" s="6" t="s">
        <v>436</v>
      </c>
      <c r="N4237" s="6">
        <f>IF(OR($G4237="FCC",$G4237="Hydrocracker",$G4237="Reformer"),IF(COUNTIFS($D:$D,$D4237,$A:$A,$A4237,$B:$B,$B4237,$G:$G,"CDU",$J:$J,"PLANNED")&gt;0,"tied","standalone"),"")</f>
        <v/>
      </c>
    </row>
    <row r="4238" spans="1:14">
      <c r="A4238" s="6">
        <v>2024</v>
      </c>
      <c r="B4238" s="6">
        <v>8</v>
      </c>
      <c r="C4238" s="6" t="s">
        <v>67</v>
      </c>
      <c r="D4238" s="6" t="s">
        <v>730</v>
      </c>
      <c r="E4238" s="6" t="s">
        <v>731</v>
      </c>
      <c r="F4238" s="6" t="str">
        <f>IF($M4238="PADD I","PADD 1",IF($M4238="PADD II","PADD 2",IF($M4238="PADD III","PADD 3",IF($M4238="PADD IV","PADD 4",IF($M4238="PADD V","PADD 5","")))))</f>
        <v>PADD 3</v>
      </c>
      <c r="G4238" s="6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6" t="s">
        <v>426</v>
      </c>
      <c r="I4238" s="6" t="s">
        <v>106</v>
      </c>
      <c r="J4238" s="6" t="s">
        <v>394</v>
      </c>
      <c r="K4238" s="10">
        <v>0.8100000000000001</v>
      </c>
      <c r="L4238" s="10">
        <v>27</v>
      </c>
      <c r="M4238" s="6" t="s">
        <v>421</v>
      </c>
      <c r="N4238" s="6" t="str">
        <f>IF(OR($G4238="FCC",$G4238="Hydrocracker",$G4238="Reformer"),IF(COUNTIFS($D:$D,$D4238,$A:$A,$A4238,$B:$B,$B4238,$G:$G,"CDU",$J:$J,"PLANNED")&gt;0,"tied","standalone"),"")</f>
        <v>standalone</v>
      </c>
    </row>
    <row r="4239" spans="1:14">
      <c r="A4239" s="6">
        <v>2024</v>
      </c>
      <c r="B4239" s="6">
        <v>8</v>
      </c>
      <c r="C4239" s="6" t="s">
        <v>67</v>
      </c>
      <c r="D4239" s="6" t="s">
        <v>682</v>
      </c>
      <c r="E4239" s="6" t="s">
        <v>683</v>
      </c>
      <c r="F4239" s="6" t="str">
        <f>IF($M4239="PADD I","PADD 1",IF($M4239="PADD II","PADD 2",IF($M4239="PADD III","PADD 3",IF($M4239="PADD IV","PADD 4",IF($M4239="PADD V","PADD 5","")))))</f>
        <v>PADD 4</v>
      </c>
      <c r="G4239" s="6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6" t="s">
        <v>510</v>
      </c>
      <c r="I4239" s="6" t="s">
        <v>666</v>
      </c>
      <c r="J4239" s="6" t="s">
        <v>394</v>
      </c>
      <c r="K4239" s="10">
        <v>0.806</v>
      </c>
      <c r="L4239" s="10">
        <v>3.1</v>
      </c>
      <c r="M4239" s="6" t="s">
        <v>480</v>
      </c>
      <c r="N4239" s="6">
        <f>IF(OR($G4239="FCC",$G4239="Hydrocracker",$G4239="Reformer"),IF(COUNTIFS($D:$D,$D4239,$A:$A,$A4239,$B:$B,$B4239,$G:$G,"CDU",$J:$J,"PLANNED")&gt;0,"tied","standalone"),"")</f>
        <v/>
      </c>
    </row>
    <row r="4240" spans="1:14">
      <c r="A4240" s="6">
        <v>2024</v>
      </c>
      <c r="B4240" s="6">
        <v>8</v>
      </c>
      <c r="C4240" s="6" t="s">
        <v>67</v>
      </c>
      <c r="D4240" s="6" t="s">
        <v>550</v>
      </c>
      <c r="E4240" s="6" t="s">
        <v>438</v>
      </c>
      <c r="F4240" s="6" t="str">
        <f>IF($M4240="PADD I","PADD 1",IF($M4240="PADD II","PADD 2",IF($M4240="PADD III","PADD 3",IF($M4240="PADD IV","PADD 4",IF($M4240="PADD V","PADD 5","")))))</f>
        <v>PADD 2</v>
      </c>
      <c r="G4240" s="6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6" t="s">
        <v>426</v>
      </c>
      <c r="I4240" s="6" t="s">
        <v>106</v>
      </c>
      <c r="J4240" s="6" t="s">
        <v>394</v>
      </c>
      <c r="K4240" s="10">
        <v>0.78</v>
      </c>
      <c r="L4240" s="10">
        <v>26</v>
      </c>
      <c r="M4240" s="6" t="s">
        <v>425</v>
      </c>
      <c r="N4240" s="6" t="str">
        <f>IF(OR($G4240="FCC",$G4240="Hydrocracker",$G4240="Reformer"),IF(COUNTIFS($D:$D,$D4240,$A:$A,$A4240,$B:$B,$B4240,$G:$G,"CDU",$J:$J,"PLANNED")&gt;0,"tied","standalone"),"")</f>
        <v>standalone</v>
      </c>
    </row>
    <row r="4241" spans="1:14">
      <c r="A4241" s="6">
        <v>2024</v>
      </c>
      <c r="B4241" s="6">
        <v>8</v>
      </c>
      <c r="C4241" s="6" t="s">
        <v>67</v>
      </c>
      <c r="D4241" s="6" t="s">
        <v>626</v>
      </c>
      <c r="E4241" s="6" t="s">
        <v>419</v>
      </c>
      <c r="F4241" s="6" t="str">
        <f>IF($M4241="PADD I","PADD 1",IF($M4241="PADD II","PADD 2",IF($M4241="PADD III","PADD 3",IF($M4241="PADD IV","PADD 4",IF($M4241="PADD V","PADD 5","")))))</f>
        <v>PADD 3</v>
      </c>
      <c r="G4241" s="6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6" t="s">
        <v>618</v>
      </c>
      <c r="I4241" s="6" t="s">
        <v>654</v>
      </c>
      <c r="J4241" s="6" t="s">
        <v>394</v>
      </c>
      <c r="K4241" s="10">
        <v>0.75</v>
      </c>
      <c r="L4241" s="10">
        <v>25</v>
      </c>
      <c r="M4241" s="6" t="s">
        <v>421</v>
      </c>
      <c r="N4241" s="6">
        <f>IF(OR($G4241="FCC",$G4241="Hydrocracker",$G4241="Reformer"),IF(COUNTIFS($D:$D,$D4241,$A:$A,$A4241,$B:$B,$B4241,$G:$G,"CDU",$J:$J,"PLANNED")&gt;0,"tied","standalone"),"")</f>
        <v/>
      </c>
    </row>
    <row r="4242" spans="1:14">
      <c r="A4242" s="6">
        <v>2024</v>
      </c>
      <c r="B4242" s="6">
        <v>8</v>
      </c>
      <c r="C4242" s="6" t="s">
        <v>67</v>
      </c>
      <c r="D4242" s="6" t="s">
        <v>1274</v>
      </c>
      <c r="E4242" s="6" t="s">
        <v>731</v>
      </c>
      <c r="F4242" s="6" t="str">
        <f>IF($M4242="PADD I","PADD 1",IF($M4242="PADD II","PADD 2",IF($M4242="PADD III","PADD 3",IF($M4242="PADD IV","PADD 4",IF($M4242="PADD V","PADD 5","")))))</f>
        <v>PADD 3</v>
      </c>
      <c r="G4242" s="6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6" t="s">
        <v>471</v>
      </c>
      <c r="I4242" s="6" t="s">
        <v>15</v>
      </c>
      <c r="J4242" s="6" t="s">
        <v>394</v>
      </c>
      <c r="K4242" s="10">
        <v>0.72</v>
      </c>
      <c r="L4242" s="10">
        <v>24</v>
      </c>
      <c r="M4242" s="6" t="s">
        <v>421</v>
      </c>
      <c r="N4242" s="6" t="str">
        <f>IF(OR($G4242="FCC",$G4242="Hydrocracker",$G4242="Reformer"),IF(COUNTIFS($D:$D,$D4242,$A:$A,$A4242,$B:$B,$B4242,$G:$G,"CDU",$J:$J,"PLANNED")&gt;0,"tied","standalone"),"")</f>
        <v>standalone</v>
      </c>
    </row>
    <row r="4243" spans="1:14">
      <c r="A4243" s="6">
        <v>2024</v>
      </c>
      <c r="B4243" s="6">
        <v>8</v>
      </c>
      <c r="C4243" s="6" t="s">
        <v>67</v>
      </c>
      <c r="D4243" s="6" t="s">
        <v>550</v>
      </c>
      <c r="E4243" s="6" t="s">
        <v>438</v>
      </c>
      <c r="F4243" s="6" t="str">
        <f>IF($M4243="PADD I","PADD 1",IF($M4243="PADD II","PADD 2",IF($M4243="PADD III","PADD 3",IF($M4243="PADD IV","PADD 4",IF($M4243="PADD V","PADD 5","")))))</f>
        <v>PADD 2</v>
      </c>
      <c r="G4243" s="6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6" t="s">
        <v>510</v>
      </c>
      <c r="I4243" s="6" t="s">
        <v>666</v>
      </c>
      <c r="J4243" s="6" t="s">
        <v>394</v>
      </c>
      <c r="K4243" s="10">
        <v>0.6</v>
      </c>
      <c r="L4243" s="10">
        <v>6</v>
      </c>
      <c r="M4243" s="6" t="s">
        <v>425</v>
      </c>
      <c r="N4243" s="6">
        <f>IF(OR($G4243="FCC",$G4243="Hydrocracker",$G4243="Reformer"),IF(COUNTIFS($D:$D,$D4243,$A:$A,$A4243,$B:$B,$B4243,$G:$G,"CDU",$J:$J,"PLANNED")&gt;0,"tied","standalone"),"")</f>
        <v/>
      </c>
    </row>
    <row r="4244" spans="1:14">
      <c r="A4244" s="6">
        <v>2024</v>
      </c>
      <c r="B4244" s="6">
        <v>8</v>
      </c>
      <c r="C4244" s="6" t="s">
        <v>67</v>
      </c>
      <c r="D4244" s="6" t="s">
        <v>550</v>
      </c>
      <c r="E4244" s="6" t="s">
        <v>438</v>
      </c>
      <c r="F4244" s="6" t="str">
        <f>IF($M4244="PADD I","PADD 1",IF($M4244="PADD II","PADD 2",IF($M4244="PADD III","PADD 3",IF($M4244="PADD IV","PADD 4",IF($M4244="PADD V","PADD 5","")))))</f>
        <v>PADD 2</v>
      </c>
      <c r="G4244" s="6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6" t="s">
        <v>44</v>
      </c>
      <c r="I4244" s="6" t="s">
        <v>551</v>
      </c>
      <c r="J4244" s="6" t="s">
        <v>394</v>
      </c>
      <c r="K4244" s="10">
        <v>0.6</v>
      </c>
      <c r="L4244" s="10">
        <v>20</v>
      </c>
      <c r="M4244" s="6" t="s">
        <v>425</v>
      </c>
      <c r="N4244" s="6">
        <f>IF(OR($G4244="FCC",$G4244="Hydrocracker",$G4244="Reformer"),IF(COUNTIFS($D:$D,$D4244,$A:$A,$A4244,$B:$B,$B4244,$G:$G,"CDU",$J:$J,"PLANNED")&gt;0,"tied","standalone"),"")</f>
        <v/>
      </c>
    </row>
    <row r="4245" spans="1:14">
      <c r="A4245" s="6">
        <v>2024</v>
      </c>
      <c r="B4245" s="6">
        <v>8</v>
      </c>
      <c r="C4245" s="6" t="s">
        <v>67</v>
      </c>
      <c r="D4245" s="6" t="s">
        <v>383</v>
      </c>
      <c r="E4245" s="6" t="s">
        <v>602</v>
      </c>
      <c r="F4245" s="6" t="str">
        <f>IF($M4245="PADD I","PADD 1",IF($M4245="PADD II","PADD 2",IF($M4245="PADD III","PADD 3",IF($M4245="PADD IV","PADD 4",IF($M4245="PADD V","PADD 5","")))))</f>
        <v>PADD 3</v>
      </c>
      <c r="G4245" s="6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6" t="s">
        <v>426</v>
      </c>
      <c r="I4245" s="6" t="s">
        <v>663</v>
      </c>
      <c r="J4245" s="6" t="s">
        <v>394</v>
      </c>
      <c r="K4245" s="10">
        <v>0.6</v>
      </c>
      <c r="L4245" s="10">
        <v>20</v>
      </c>
      <c r="M4245" s="6" t="s">
        <v>421</v>
      </c>
      <c r="N4245" s="6" t="str">
        <f>IF(OR($G4245="FCC",$G4245="Hydrocracker",$G4245="Reformer"),IF(COUNTIFS($D:$D,$D4245,$A:$A,$A4245,$B:$B,$B4245,$G:$G,"CDU",$J:$J,"PLANNED")&gt;0,"tied","standalone"),"")</f>
        <v>standalone</v>
      </c>
    </row>
    <row r="4246" spans="1:14">
      <c r="A4246" s="6">
        <v>2024</v>
      </c>
      <c r="B4246" s="6">
        <v>8</v>
      </c>
      <c r="C4246" s="6" t="s">
        <v>67</v>
      </c>
      <c r="D4246" s="6" t="s">
        <v>534</v>
      </c>
      <c r="E4246" s="6" t="s">
        <v>459</v>
      </c>
      <c r="F4246" s="6" t="str">
        <f>IF($M4246="PADD I","PADD 1",IF($M4246="PADD II","PADD 2",IF($M4246="PADD III","PADD 3",IF($M4246="PADD IV","PADD 4",IF($M4246="PADD V","PADD 5","")))))</f>
        <v>PADD 3</v>
      </c>
      <c r="G4246" s="6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6" t="s">
        <v>44</v>
      </c>
      <c r="I4246" s="6" t="s">
        <v>543</v>
      </c>
      <c r="J4246" s="6" t="s">
        <v>394</v>
      </c>
      <c r="K4246" s="10">
        <v>0.6</v>
      </c>
      <c r="L4246" s="10">
        <v>10</v>
      </c>
      <c r="M4246" s="6" t="s">
        <v>421</v>
      </c>
      <c r="N4246" s="6">
        <f>IF(OR($G4246="FCC",$G4246="Hydrocracker",$G4246="Reformer"),IF(COUNTIFS($D:$D,$D4246,$A:$A,$A4246,$B:$B,$B4246,$G:$G,"CDU",$J:$J,"PLANNED")&gt;0,"tied","standalone"),"")</f>
        <v/>
      </c>
    </row>
    <row r="4247" spans="1:14">
      <c r="A4247" s="6">
        <v>2024</v>
      </c>
      <c r="B4247" s="6">
        <v>8</v>
      </c>
      <c r="C4247" s="6" t="s">
        <v>67</v>
      </c>
      <c r="D4247" s="6" t="s">
        <v>1093</v>
      </c>
      <c r="E4247" s="6" t="s">
        <v>438</v>
      </c>
      <c r="F4247" s="6" t="str">
        <f>IF($M4247="PADD I","PADD 1",IF($M4247="PADD II","PADD 2",IF($M4247="PADD III","PADD 3",IF($M4247="PADD IV","PADD 4",IF($M4247="PADD V","PADD 5","")))))</f>
        <v>PADD 2</v>
      </c>
      <c r="G4247" s="6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6" t="s">
        <v>510</v>
      </c>
      <c r="I4247" s="6" t="s">
        <v>666</v>
      </c>
      <c r="J4247" s="6" t="s">
        <v>394</v>
      </c>
      <c r="K4247" s="10">
        <v>0.572</v>
      </c>
      <c r="L4247" s="10">
        <v>4.4</v>
      </c>
      <c r="M4247" s="6" t="s">
        <v>425</v>
      </c>
      <c r="N4247" s="6">
        <f>IF(OR($G4247="FCC",$G4247="Hydrocracker",$G4247="Reformer"),IF(COUNTIFS($D:$D,$D4247,$A:$A,$A4247,$B:$B,$B4247,$G:$G,"CDU",$J:$J,"PLANNED")&gt;0,"tied","standalone"),"")</f>
        <v/>
      </c>
    </row>
    <row r="4248" spans="1:14">
      <c r="A4248" s="6">
        <v>2024</v>
      </c>
      <c r="B4248" s="6">
        <v>8</v>
      </c>
      <c r="C4248" s="6" t="s">
        <v>67</v>
      </c>
      <c r="D4248" s="6" t="s">
        <v>1093</v>
      </c>
      <c r="E4248" s="6" t="s">
        <v>438</v>
      </c>
      <c r="F4248" s="6" t="str">
        <f>IF($M4248="PADD I","PADD 1",IF($M4248="PADD II","PADD 2",IF($M4248="PADD III","PADD 3",IF($M4248="PADD IV","PADD 4",IF($M4248="PADD V","PADD 5","")))))</f>
        <v>PADD 2</v>
      </c>
      <c r="G4248" s="6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6" t="s">
        <v>44</v>
      </c>
      <c r="I4248" s="6" t="s">
        <v>514</v>
      </c>
      <c r="J4248" s="6" t="s">
        <v>394</v>
      </c>
      <c r="K4248" s="10">
        <v>0.5590000000000001</v>
      </c>
      <c r="L4248" s="10">
        <v>4.3</v>
      </c>
      <c r="M4248" s="6" t="s">
        <v>425</v>
      </c>
      <c r="N4248" s="6">
        <f>IF(OR($G4248="FCC",$G4248="Hydrocracker",$G4248="Reformer"),IF(COUNTIFS($D:$D,$D4248,$A:$A,$A4248,$B:$B,$B4248,$G:$G,"CDU",$J:$J,"PLANNED")&gt;0,"tied","standalone"),"")</f>
        <v/>
      </c>
    </row>
    <row r="4249" spans="1:14">
      <c r="A4249" s="6">
        <v>2024</v>
      </c>
      <c r="B4249" s="6">
        <v>8</v>
      </c>
      <c r="C4249" s="6" t="s">
        <v>67</v>
      </c>
      <c r="D4249" s="6" t="s">
        <v>371</v>
      </c>
      <c r="E4249" s="6" t="s">
        <v>419</v>
      </c>
      <c r="F4249" s="6" t="str">
        <f>IF($M4249="PADD I","PADD 1",IF($M4249="PADD II","PADD 2",IF($M4249="PADD III","PADD 3",IF($M4249="PADD IV","PADD 4",IF($M4249="PADD V","PADD 5","")))))</f>
        <v>PADD 2</v>
      </c>
      <c r="G4249" s="6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6" t="s">
        <v>471</v>
      </c>
      <c r="I4249" s="6" t="s">
        <v>756</v>
      </c>
      <c r="J4249" s="6" t="s">
        <v>394</v>
      </c>
      <c r="K4249" s="10">
        <v>0.555</v>
      </c>
      <c r="L4249" s="10">
        <v>18.5</v>
      </c>
      <c r="M4249" s="6" t="s">
        <v>425</v>
      </c>
      <c r="N4249" s="6" t="str">
        <f>IF(OR($G4249="FCC",$G4249="Hydrocracker",$G4249="Reformer"),IF(COUNTIFS($D:$D,$D4249,$A:$A,$A4249,$B:$B,$B4249,$G:$G,"CDU",$J:$J,"PLANNED")&gt;0,"tied","standalone"),"")</f>
        <v>standalone</v>
      </c>
    </row>
    <row r="4250" spans="1:14">
      <c r="A4250" s="6">
        <v>2024</v>
      </c>
      <c r="B4250" s="6">
        <v>8</v>
      </c>
      <c r="C4250" s="6" t="s">
        <v>67</v>
      </c>
      <c r="D4250" s="6" t="s">
        <v>1093</v>
      </c>
      <c r="E4250" s="6" t="s">
        <v>438</v>
      </c>
      <c r="F4250" s="6" t="str">
        <f>IF($M4250="PADD I","PADD 1",IF($M4250="PADD II","PADD 2",IF($M4250="PADD III","PADD 3",IF($M4250="PADD IV","PADD 4",IF($M4250="PADD V","PADD 5","")))))</f>
        <v>PADD 2</v>
      </c>
      <c r="G4250" s="6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6" t="s">
        <v>618</v>
      </c>
      <c r="I4250" s="6" t="s">
        <v>654</v>
      </c>
      <c r="J4250" s="6" t="s">
        <v>398</v>
      </c>
      <c r="K4250" s="10">
        <v>0.51</v>
      </c>
      <c r="L4250" s="10">
        <v>5.1</v>
      </c>
      <c r="M4250" s="6" t="s">
        <v>425</v>
      </c>
      <c r="N4250" s="6">
        <f>IF(OR($G4250="FCC",$G4250="Hydrocracker",$G4250="Reformer"),IF(COUNTIFS($D:$D,$D4250,$A:$A,$A4250,$B:$B,$B4250,$G:$G,"CDU",$J:$J,"PLANNED")&gt;0,"tied","standalone"),"")</f>
        <v/>
      </c>
    </row>
    <row r="4251" spans="1:14">
      <c r="A4251" s="6">
        <v>2024</v>
      </c>
      <c r="B4251" s="6">
        <v>8</v>
      </c>
      <c r="C4251" s="6" t="s">
        <v>67</v>
      </c>
      <c r="D4251" s="6" t="s">
        <v>660</v>
      </c>
      <c r="E4251" s="6" t="s">
        <v>661</v>
      </c>
      <c r="F4251" s="6" t="str">
        <f>IF($M4251="PADD I","PADD 1",IF($M4251="PADD II","PADD 2",IF($M4251="PADD III","PADD 3",IF($M4251="PADD IV","PADD 4",IF($M4251="PADD V","PADD 5","")))))</f>
        <v>PADD 2</v>
      </c>
      <c r="G4251" s="6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6" t="s">
        <v>510</v>
      </c>
      <c r="I4251" s="6" t="s">
        <v>666</v>
      </c>
      <c r="J4251" s="6" t="s">
        <v>394</v>
      </c>
      <c r="K4251" s="10">
        <v>0.48</v>
      </c>
      <c r="L4251" s="10">
        <v>8</v>
      </c>
      <c r="M4251" s="6" t="s">
        <v>425</v>
      </c>
      <c r="N4251" s="6">
        <f>IF(OR($G4251="FCC",$G4251="Hydrocracker",$G4251="Reformer"),IF(COUNTIFS($D:$D,$D4251,$A:$A,$A4251,$B:$B,$B4251,$G:$G,"CDU",$J:$J,"PLANNED")&gt;0,"tied","standalone"),"")</f>
        <v/>
      </c>
    </row>
    <row r="4252" spans="1:14">
      <c r="A4252" s="6">
        <v>2024</v>
      </c>
      <c r="B4252" s="6">
        <v>8</v>
      </c>
      <c r="C4252" s="6" t="s">
        <v>67</v>
      </c>
      <c r="D4252" s="6" t="s">
        <v>772</v>
      </c>
      <c r="E4252" s="6" t="s">
        <v>502</v>
      </c>
      <c r="F4252" s="6" t="str">
        <f>IF($M4252="PADD I","PADD 1",IF($M4252="PADD II","PADD 2",IF($M4252="PADD III","PADD 3",IF($M4252="PADD IV","PADD 4",IF($M4252="PADD V","PADD 5","")))))</f>
        <v>PADD 4</v>
      </c>
      <c r="G4252" s="6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6" t="s">
        <v>510</v>
      </c>
      <c r="I4252" s="6" t="s">
        <v>1159</v>
      </c>
      <c r="J4252" s="6" t="s">
        <v>398</v>
      </c>
      <c r="K4252" s="10">
        <v>0.159</v>
      </c>
      <c r="L4252" s="10">
        <v>5.3</v>
      </c>
      <c r="M4252" s="6" t="s">
        <v>480</v>
      </c>
      <c r="N4252" s="6">
        <f>IF(OR($G4252="FCC",$G4252="Hydrocracker",$G4252="Reformer"),IF(COUNTIFS($D:$D,$D4252,$A:$A,$A4252,$B:$B,$B4252,$G:$G,"CDU",$J:$J,"PLANNED")&gt;0,"tied","standalone"),"")</f>
        <v/>
      </c>
    </row>
    <row r="4253" spans="1:14">
      <c r="A4253" s="6">
        <v>2024</v>
      </c>
      <c r="B4253" s="6">
        <v>9</v>
      </c>
      <c r="C4253" s="6" t="s">
        <v>68</v>
      </c>
      <c r="D4253" s="6" t="s">
        <v>496</v>
      </c>
      <c r="E4253" s="6" t="s">
        <v>441</v>
      </c>
      <c r="F4253" s="6" t="str">
        <f>IF($M4253="PADD I","PADD 1",IF($M4253="PADD II","PADD 2",IF($M4253="PADD III","PADD 3",IF($M4253="PADD IV","PADD 4",IF($M4253="PADD V","PADD 5","")))))</f>
        <v>PADD 3</v>
      </c>
      <c r="G4253" s="6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6" t="s">
        <v>39</v>
      </c>
      <c r="I4253" s="6" t="s">
        <v>82</v>
      </c>
      <c r="J4253" s="6" t="s">
        <v>398</v>
      </c>
      <c r="K4253" s="10">
        <v>100</v>
      </c>
      <c r="L4253" s="10">
        <v>100</v>
      </c>
      <c r="M4253" s="6" t="s">
        <v>421</v>
      </c>
      <c r="N4253" s="6">
        <f>IF(OR($G4253="FCC",$G4253="Hydrocracker",$G4253="Reformer"),IF(COUNTIFS($D:$D,$D4253,$A:$A,$A4253,$B:$B,$B4253,$G:$G,"CDU",$J:$J,"PLANNED")&gt;0,"tied","standalone"),"")</f>
        <v/>
      </c>
    </row>
    <row r="4254" spans="1:14">
      <c r="A4254" s="6">
        <v>2024</v>
      </c>
      <c r="B4254" s="6">
        <v>9</v>
      </c>
      <c r="C4254" s="6" t="s">
        <v>68</v>
      </c>
      <c r="D4254" s="6" t="s">
        <v>592</v>
      </c>
      <c r="E4254" s="6" t="s">
        <v>593</v>
      </c>
      <c r="F4254" s="6" t="str">
        <f>IF($M4254="PADD I","PADD 1",IF($M4254="PADD II","PADD 2",IF($M4254="PADD III","PADD 3",IF($M4254="PADD IV","PADD 4",IF($M4254="PADD V","PADD 5","")))))</f>
        <v>PADD 2</v>
      </c>
      <c r="G4254" s="6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6" t="s">
        <v>44</v>
      </c>
      <c r="I4254" s="6" t="s">
        <v>601</v>
      </c>
      <c r="J4254" s="6" t="s">
        <v>398</v>
      </c>
      <c r="K4254" s="10">
        <v>93</v>
      </c>
      <c r="L4254" s="10">
        <v>100</v>
      </c>
      <c r="M4254" s="6" t="s">
        <v>425</v>
      </c>
      <c r="N4254" s="6">
        <f>IF(OR($G4254="FCC",$G4254="Hydrocracker",$G4254="Reformer"),IF(COUNTIFS($D:$D,$D4254,$A:$A,$A4254,$B:$B,$B4254,$G:$G,"CDU",$J:$J,"PLANNED")&gt;0,"tied","standalone"),"")</f>
        <v/>
      </c>
    </row>
    <row r="4255" spans="1:14">
      <c r="A4255" s="6">
        <v>2024</v>
      </c>
      <c r="B4255" s="6">
        <v>9</v>
      </c>
      <c r="C4255" s="6" t="s">
        <v>68</v>
      </c>
      <c r="D4255" s="6" t="s">
        <v>380</v>
      </c>
      <c r="E4255" s="6" t="s">
        <v>423</v>
      </c>
      <c r="F4255" s="6" t="str">
        <f>IF($M4255="PADD I","PADD 1",IF($M4255="PADD II","PADD 2",IF($M4255="PADD III","PADD 3",IF($M4255="PADD IV","PADD 4",IF($M4255="PADD V","PADD 5","")))))</f>
        <v>PADD 2</v>
      </c>
      <c r="G4255" s="6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6" t="s">
        <v>39</v>
      </c>
      <c r="I4255" s="6" t="s">
        <v>381</v>
      </c>
      <c r="J4255" s="6" t="s">
        <v>398</v>
      </c>
      <c r="K4255" s="10">
        <v>91.16</v>
      </c>
      <c r="L4255" s="10">
        <v>172</v>
      </c>
      <c r="M4255" s="6" t="s">
        <v>425</v>
      </c>
      <c r="N4255" s="6">
        <f>IF(OR($G4255="FCC",$G4255="Hydrocracker",$G4255="Reformer"),IF(COUNTIFS($D:$D,$D4255,$A:$A,$A4255,$B:$B,$B4255,$G:$G,"CDU",$J:$J,"PLANNED")&gt;0,"tied","standalone"),"")</f>
        <v/>
      </c>
    </row>
    <row r="4256" spans="1:14">
      <c r="A4256" s="6">
        <v>2024</v>
      </c>
      <c r="B4256" s="6">
        <v>9</v>
      </c>
      <c r="C4256" s="6" t="s">
        <v>68</v>
      </c>
      <c r="D4256" s="6" t="s">
        <v>597</v>
      </c>
      <c r="E4256" s="6" t="s">
        <v>441</v>
      </c>
      <c r="F4256" s="6" t="str">
        <f>IF($M4256="PADD I","PADD 1",IF($M4256="PADD II","PADD 2",IF($M4256="PADD III","PADD 3",IF($M4256="PADD IV","PADD 4",IF($M4256="PADD V","PADD 5","")))))</f>
        <v>PADD 5</v>
      </c>
      <c r="G4256" s="6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6" t="s">
        <v>426</v>
      </c>
      <c r="I4256" s="6" t="s">
        <v>106</v>
      </c>
      <c r="J4256" s="6" t="s">
        <v>394</v>
      </c>
      <c r="K4256" s="10">
        <v>90</v>
      </c>
      <c r="L4256" s="10">
        <v>90</v>
      </c>
      <c r="M4256" s="6" t="s">
        <v>436</v>
      </c>
      <c r="N4256" s="6" t="str">
        <f>IF(OR($G4256="FCC",$G4256="Hydrocracker",$G4256="Reformer"),IF(COUNTIFS($D:$D,$D4256,$A:$A,$A4256,$B:$B,$B4256,$G:$G,"CDU",$J:$J,"PLANNED")&gt;0,"tied","standalone"),"")</f>
        <v>standalone</v>
      </c>
    </row>
    <row r="4257" spans="1:14">
      <c r="A4257" s="6">
        <v>2024</v>
      </c>
      <c r="B4257" s="6">
        <v>9</v>
      </c>
      <c r="C4257" s="6" t="s">
        <v>68</v>
      </c>
      <c r="D4257" s="6" t="s">
        <v>665</v>
      </c>
      <c r="E4257" s="6" t="s">
        <v>455</v>
      </c>
      <c r="F4257" s="6" t="str">
        <f>IF($M4257="PADD I","PADD 1",IF($M4257="PADD II","PADD 2",IF($M4257="PADD III","PADD 3",IF($M4257="PADD IV","PADD 4",IF($M4257="PADD V","PADD 5","")))))</f>
        <v>PADD 5</v>
      </c>
      <c r="G4257" s="6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6" t="s">
        <v>426</v>
      </c>
      <c r="I4257" s="6" t="s">
        <v>106</v>
      </c>
      <c r="J4257" s="6" t="s">
        <v>398</v>
      </c>
      <c r="K4257" s="10">
        <v>77</v>
      </c>
      <c r="L4257" s="10">
        <v>77</v>
      </c>
      <c r="M4257" s="6" t="s">
        <v>436</v>
      </c>
      <c r="N4257" s="6" t="str">
        <f>IF(OR($G4257="FCC",$G4257="Hydrocracker",$G4257="Reformer"),IF(COUNTIFS($D:$D,$D4257,$A:$A,$A4257,$B:$B,$B4257,$G:$G,"CDU",$J:$J,"PLANNED")&gt;0,"tied","standalone"),"")</f>
        <v>standalone</v>
      </c>
    </row>
    <row r="4258" spans="1:14">
      <c r="A4258" s="6">
        <v>2024</v>
      </c>
      <c r="B4258" s="6">
        <v>9</v>
      </c>
      <c r="C4258" s="6" t="s">
        <v>68</v>
      </c>
      <c r="D4258" s="6" t="s">
        <v>373</v>
      </c>
      <c r="E4258" s="6" t="s">
        <v>438</v>
      </c>
      <c r="F4258" s="6" t="str">
        <f>IF($M4258="PADD I","PADD 1",IF($M4258="PADD II","PADD 2",IF($M4258="PADD III","PADD 3",IF($M4258="PADD IV","PADD 4",IF($M4258="PADD V","PADD 5","")))))</f>
        <v>PADD 3</v>
      </c>
      <c r="G4258" s="6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6" t="s">
        <v>428</v>
      </c>
      <c r="I4258" s="6" t="s">
        <v>992</v>
      </c>
      <c r="J4258" s="6" t="s">
        <v>394</v>
      </c>
      <c r="K4258" s="10">
        <v>74.25</v>
      </c>
      <c r="L4258" s="10">
        <v>148.5</v>
      </c>
      <c r="M4258" s="6" t="s">
        <v>421</v>
      </c>
      <c r="N4258" s="6">
        <f>IF(OR($G4258="FCC",$G4258="Hydrocracker",$G4258="Reformer"),IF(COUNTIFS($D:$D,$D4258,$A:$A,$A4258,$B:$B,$B4258,$G:$G,"CDU",$J:$J,"PLANNED")&gt;0,"tied","standalone"),"")</f>
        <v/>
      </c>
    </row>
    <row r="4259" spans="1:14">
      <c r="A4259" s="6">
        <v>2024</v>
      </c>
      <c r="B4259" s="6">
        <v>9</v>
      </c>
      <c r="C4259" s="6" t="s">
        <v>68</v>
      </c>
      <c r="D4259" s="6" t="s">
        <v>764</v>
      </c>
      <c r="E4259" s="6" t="s">
        <v>455</v>
      </c>
      <c r="F4259" s="6" t="str">
        <f>IF($M4259="PADD I","PADD 1",IF($M4259="PADD II","PADD 2",IF($M4259="PADD III","PADD 3",IF($M4259="PADD IV","PADD 4",IF($M4259="PADD V","PADD 5","")))))</f>
        <v>PADD 3</v>
      </c>
      <c r="G4259" s="6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6" t="s">
        <v>426</v>
      </c>
      <c r="I4259" s="6" t="s">
        <v>106</v>
      </c>
      <c r="J4259" s="6" t="s">
        <v>398</v>
      </c>
      <c r="K4259" s="10">
        <v>73.72</v>
      </c>
      <c r="L4259" s="10">
        <v>76</v>
      </c>
      <c r="M4259" s="6" t="s">
        <v>421</v>
      </c>
      <c r="N4259" s="6" t="str">
        <f>IF(OR($G4259="FCC",$G4259="Hydrocracker",$G4259="Reformer"),IF(COUNTIFS($D:$D,$D4259,$A:$A,$A4259,$B:$B,$B4259,$G:$G,"CDU",$J:$J,"PLANNED")&gt;0,"tied","standalone"),"")</f>
        <v>tied</v>
      </c>
    </row>
    <row r="4260" spans="1:14">
      <c r="A4260" s="6">
        <v>2024</v>
      </c>
      <c r="B4260" s="6">
        <v>9</v>
      </c>
      <c r="C4260" s="6" t="s">
        <v>68</v>
      </c>
      <c r="D4260" s="6" t="s">
        <v>373</v>
      </c>
      <c r="E4260" s="6" t="s">
        <v>438</v>
      </c>
      <c r="F4260" s="6" t="str">
        <f>IF($M4260="PADD I","PADD 1",IF($M4260="PADD II","PADD 2",IF($M4260="PADD III","PADD 3",IF($M4260="PADD IV","PADD 4",IF($M4260="PADD V","PADD 5","")))))</f>
        <v>PADD 3</v>
      </c>
      <c r="G4260" s="6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6" t="s">
        <v>39</v>
      </c>
      <c r="I4260" s="6" t="s">
        <v>97</v>
      </c>
      <c r="J4260" s="6" t="s">
        <v>398</v>
      </c>
      <c r="K4260" s="10">
        <v>72.5</v>
      </c>
      <c r="L4260" s="10">
        <v>145</v>
      </c>
      <c r="M4260" s="6" t="s">
        <v>421</v>
      </c>
      <c r="N4260" s="6">
        <f>IF(OR($G4260="FCC",$G4260="Hydrocracker",$G4260="Reformer"),IF(COUNTIFS($D:$D,$D4260,$A:$A,$A4260,$B:$B,$B4260,$G:$G,"CDU",$J:$J,"PLANNED")&gt;0,"tied","standalone"),"")</f>
        <v/>
      </c>
    </row>
    <row r="4261" spans="1:14">
      <c r="A4261" s="6">
        <v>2024</v>
      </c>
      <c r="B4261" s="6">
        <v>9</v>
      </c>
      <c r="C4261" s="6" t="s">
        <v>68</v>
      </c>
      <c r="D4261" s="6" t="s">
        <v>1113</v>
      </c>
      <c r="E4261" s="6" t="s">
        <v>438</v>
      </c>
      <c r="F4261" s="6" t="str">
        <f>IF($M4261="PADD I","PADD 1",IF($M4261="PADD II","PADD 2",IF($M4261="PADD III","PADD 3",IF($M4261="PADD IV","PADD 4",IF($M4261="PADD V","PADD 5","")))))</f>
        <v>PADD 2</v>
      </c>
      <c r="G4261" s="6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6" t="s">
        <v>39</v>
      </c>
      <c r="I4261" s="6" t="s">
        <v>82</v>
      </c>
      <c r="J4261" s="6" t="s">
        <v>398</v>
      </c>
      <c r="K4261" s="10">
        <v>67.5</v>
      </c>
      <c r="L4261" s="10">
        <v>135</v>
      </c>
      <c r="M4261" s="6" t="s">
        <v>425</v>
      </c>
      <c r="N4261" s="6">
        <f>IF(OR($G4261="FCC",$G4261="Hydrocracker",$G4261="Reformer"),IF(COUNTIFS($D:$D,$D4261,$A:$A,$A4261,$B:$B,$B4261,$G:$G,"CDU",$J:$J,"PLANNED")&gt;0,"tied","standalone"),"")</f>
        <v/>
      </c>
    </row>
    <row r="4262" spans="1:14">
      <c r="A4262" s="6">
        <v>2024</v>
      </c>
      <c r="B4262" s="6">
        <v>9</v>
      </c>
      <c r="C4262" s="6" t="s">
        <v>68</v>
      </c>
      <c r="D4262" s="6" t="s">
        <v>448</v>
      </c>
      <c r="E4262" s="6" t="s">
        <v>449</v>
      </c>
      <c r="F4262" s="6" t="str">
        <f>IF($M4262="PADD I","PADD 1",IF($M4262="PADD II","PADD 2",IF($M4262="PADD III","PADD 3",IF($M4262="PADD IV","PADD 4",IF($M4262="PADD V","PADD 5","")))))</f>
        <v>PADD 3</v>
      </c>
      <c r="G4262" s="6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6" t="s">
        <v>426</v>
      </c>
      <c r="I4262" s="6" t="s">
        <v>1086</v>
      </c>
      <c r="J4262" s="6" t="s">
        <v>394</v>
      </c>
      <c r="K4262" s="10">
        <v>63</v>
      </c>
      <c r="L4262" s="10">
        <v>90</v>
      </c>
      <c r="M4262" s="6" t="s">
        <v>421</v>
      </c>
      <c r="N4262" s="6" t="str">
        <f>IF(OR($G4262="FCC",$G4262="Hydrocracker",$G4262="Reformer"),IF(COUNTIFS($D:$D,$D4262,$A:$A,$A4262,$B:$B,$B4262,$G:$G,"CDU",$J:$J,"PLANNED")&gt;0,"tied","standalone"),"")</f>
        <v>standalone</v>
      </c>
    </row>
    <row r="4263" spans="1:14">
      <c r="A4263" s="6">
        <v>2024</v>
      </c>
      <c r="B4263" s="6">
        <v>9</v>
      </c>
      <c r="C4263" s="6" t="s">
        <v>68</v>
      </c>
      <c r="D4263" s="6" t="s">
        <v>592</v>
      </c>
      <c r="E4263" s="6" t="s">
        <v>593</v>
      </c>
      <c r="F4263" s="6" t="str">
        <f>IF($M4263="PADD I","PADD 1",IF($M4263="PADD II","PADD 2",IF($M4263="PADD III","PADD 3",IF($M4263="PADD IV","PADD 4",IF($M4263="PADD V","PADD 5","")))))</f>
        <v>PADD 2</v>
      </c>
      <c r="G4263" s="6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6" t="s">
        <v>39</v>
      </c>
      <c r="I4263" s="6" t="s">
        <v>924</v>
      </c>
      <c r="J4263" s="6" t="s">
        <v>398</v>
      </c>
      <c r="K4263" s="10">
        <v>57.5</v>
      </c>
      <c r="L4263" s="10">
        <v>250</v>
      </c>
      <c r="M4263" s="6" t="s">
        <v>425</v>
      </c>
      <c r="N4263" s="6">
        <f>IF(OR($G4263="FCC",$G4263="Hydrocracker",$G4263="Reformer"),IF(COUNTIFS($D:$D,$D4263,$A:$A,$A4263,$B:$B,$B4263,$G:$G,"CDU",$J:$J,"PLANNED")&gt;0,"tied","standalone"),"")</f>
        <v/>
      </c>
    </row>
    <row r="4264" spans="1:14">
      <c r="A4264" s="6">
        <v>2024</v>
      </c>
      <c r="B4264" s="6">
        <v>9</v>
      </c>
      <c r="C4264" s="6" t="s">
        <v>68</v>
      </c>
      <c r="D4264" s="6" t="s">
        <v>665</v>
      </c>
      <c r="E4264" s="6" t="s">
        <v>455</v>
      </c>
      <c r="F4264" s="6" t="str">
        <f>IF($M4264="PADD I","PADD 1",IF($M4264="PADD II","PADD 2",IF($M4264="PADD III","PADD 3",IF($M4264="PADD IV","PADD 4",IF($M4264="PADD V","PADD 5","")))))</f>
        <v>PADD 5</v>
      </c>
      <c r="G4264" s="6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6" t="s">
        <v>426</v>
      </c>
      <c r="I4264" s="6" t="s">
        <v>106</v>
      </c>
      <c r="J4264" s="6" t="s">
        <v>394</v>
      </c>
      <c r="K4264" s="10">
        <v>56.21</v>
      </c>
      <c r="L4264" s="10">
        <v>77</v>
      </c>
      <c r="M4264" s="6" t="s">
        <v>436</v>
      </c>
      <c r="N4264" s="6" t="str">
        <f>IF(OR($G4264="FCC",$G4264="Hydrocracker",$G4264="Reformer"),IF(COUNTIFS($D:$D,$D4264,$A:$A,$A4264,$B:$B,$B4264,$G:$G,"CDU",$J:$J,"PLANNED")&gt;0,"tied","standalone"),"")</f>
        <v>standalone</v>
      </c>
    </row>
    <row r="4265" spans="1:14">
      <c r="A4265" s="6">
        <v>2024</v>
      </c>
      <c r="B4265" s="6">
        <v>9</v>
      </c>
      <c r="C4265" s="6" t="s">
        <v>68</v>
      </c>
      <c r="D4265" s="6" t="s">
        <v>1279</v>
      </c>
      <c r="E4265" s="6" t="s">
        <v>466</v>
      </c>
      <c r="F4265" s="6" t="str">
        <f>IF($M4265="PADD I","PADD 1",IF($M4265="PADD II","PADD 2",IF($M4265="PADD III","PADD 3",IF($M4265="PADD IV","PADD 4",IF($M4265="PADD V","PADD 5","")))))</f>
        <v>PADD 3</v>
      </c>
      <c r="G4265" s="6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6" t="s">
        <v>471</v>
      </c>
      <c r="I4265" s="6" t="s">
        <v>15</v>
      </c>
      <c r="J4265" s="6" t="s">
        <v>394</v>
      </c>
      <c r="K4265" s="10">
        <v>55.8</v>
      </c>
      <c r="L4265" s="10">
        <v>60</v>
      </c>
      <c r="M4265" s="6" t="s">
        <v>421</v>
      </c>
      <c r="N4265" s="6" t="str">
        <f>IF(OR($G4265="FCC",$G4265="Hydrocracker",$G4265="Reformer"),IF(COUNTIFS($D:$D,$D4265,$A:$A,$A4265,$B:$B,$B4265,$G:$G,"CDU",$J:$J,"PLANNED")&gt;0,"tied","standalone"),"")</f>
        <v>standalone</v>
      </c>
    </row>
    <row r="4266" spans="1:14">
      <c r="A4266" s="6">
        <v>2024</v>
      </c>
      <c r="B4266" s="6">
        <v>9</v>
      </c>
      <c r="C4266" s="6" t="s">
        <v>68</v>
      </c>
      <c r="D4266" s="6" t="s">
        <v>52</v>
      </c>
      <c r="E4266" s="6" t="s">
        <v>441</v>
      </c>
      <c r="F4266" s="6" t="str">
        <f>IF($M4266="PADD I","PADD 1",IF($M4266="PADD II","PADD 2",IF($M4266="PADD III","PADD 3",IF($M4266="PADD IV","PADD 4",IF($M4266="PADD V","PADD 5","")))))</f>
        <v>PADD 5</v>
      </c>
      <c r="G4266" s="6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6" t="s">
        <v>44</v>
      </c>
      <c r="I4266" s="6" t="s">
        <v>1280</v>
      </c>
      <c r="J4266" s="6" t="s">
        <v>398</v>
      </c>
      <c r="K4266" s="10">
        <v>54.4</v>
      </c>
      <c r="L4266" s="10">
        <v>68</v>
      </c>
      <c r="M4266" s="6" t="s">
        <v>436</v>
      </c>
      <c r="N4266" s="6">
        <f>IF(OR($G4266="FCC",$G4266="Hydrocracker",$G4266="Reformer"),IF(COUNTIFS($D:$D,$D4266,$A:$A,$A4266,$B:$B,$B4266,$G:$G,"CDU",$J:$J,"PLANNED")&gt;0,"tied","standalone"),"")</f>
        <v/>
      </c>
    </row>
    <row r="4267" spans="1:14">
      <c r="A4267" s="6">
        <v>2024</v>
      </c>
      <c r="B4267" s="6">
        <v>9</v>
      </c>
      <c r="C4267" s="6" t="s">
        <v>68</v>
      </c>
      <c r="D4267" s="6" t="s">
        <v>901</v>
      </c>
      <c r="E4267" s="6" t="s">
        <v>902</v>
      </c>
      <c r="F4267" s="6" t="str">
        <f>IF($M4267="PADD I","PADD 1",IF($M4267="PADD II","PADD 2",IF($M4267="PADD III","PADD 3",IF($M4267="PADD IV","PADD 4",IF($M4267="PADD V","PADD 5","")))))</f>
        <v>PADD 3</v>
      </c>
      <c r="G4267" s="6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6" t="s">
        <v>39</v>
      </c>
      <c r="I4267" s="6" t="s">
        <v>904</v>
      </c>
      <c r="J4267" s="6" t="s">
        <v>394</v>
      </c>
      <c r="K4267" s="10">
        <v>53.29</v>
      </c>
      <c r="L4267" s="10">
        <v>73</v>
      </c>
      <c r="M4267" s="6" t="s">
        <v>421</v>
      </c>
      <c r="N4267" s="6">
        <f>IF(OR($G4267="FCC",$G4267="Hydrocracker",$G4267="Reformer"),IF(COUNTIFS($D:$D,$D4267,$A:$A,$A4267,$B:$B,$B4267,$G:$G,"CDU",$J:$J,"PLANNED")&gt;0,"tied","standalone"),"")</f>
        <v/>
      </c>
    </row>
    <row r="4268" spans="1:14">
      <c r="A4268" s="6">
        <v>2024</v>
      </c>
      <c r="B4268" s="6">
        <v>9</v>
      </c>
      <c r="C4268" s="6" t="s">
        <v>68</v>
      </c>
      <c r="D4268" s="6" t="s">
        <v>41</v>
      </c>
      <c r="E4268" s="6" t="s">
        <v>786</v>
      </c>
      <c r="F4268" s="6" t="str">
        <f>IF($M4268="PADD I","PADD 1",IF($M4268="PADD II","PADD 2",IF($M4268="PADD III","PADD 3",IF($M4268="PADD IV","PADD 4",IF($M4268="PADD V","PADD 5","")))))</f>
        <v>PADD 1</v>
      </c>
      <c r="G4268" s="6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6" t="s">
        <v>426</v>
      </c>
      <c r="I4268" s="6" t="s">
        <v>787</v>
      </c>
      <c r="J4268" s="6" t="s">
        <v>398</v>
      </c>
      <c r="K4268" s="10">
        <v>53</v>
      </c>
      <c r="L4268" s="10">
        <v>53</v>
      </c>
      <c r="M4268" s="6" t="s">
        <v>463</v>
      </c>
      <c r="N4268" s="6" t="str">
        <f>IF(OR($G4268="FCC",$G4268="Hydrocracker",$G4268="Reformer"),IF(COUNTIFS($D:$D,$D4268,$A:$A,$A4268,$B:$B,$B4268,$G:$G,"CDU",$J:$J,"PLANNED")&gt;0,"tied","standalone"),"")</f>
        <v>standalone</v>
      </c>
    </row>
    <row r="4269" spans="1:14">
      <c r="A4269" s="6">
        <v>2024</v>
      </c>
      <c r="B4269" s="6">
        <v>9</v>
      </c>
      <c r="C4269" s="6" t="s">
        <v>68</v>
      </c>
      <c r="D4269" s="6" t="s">
        <v>865</v>
      </c>
      <c r="E4269" s="6" t="s">
        <v>502</v>
      </c>
      <c r="F4269" s="6" t="str">
        <f>IF($M4269="PADD I","PADD 1",IF($M4269="PADD II","PADD 2",IF($M4269="PADD III","PADD 3",IF($M4269="PADD IV","PADD 4",IF($M4269="PADD V","PADD 5","")))))</f>
        <v>PADD 4</v>
      </c>
      <c r="G4269" s="6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6" t="s">
        <v>39</v>
      </c>
      <c r="I4269" s="6" t="s">
        <v>1281</v>
      </c>
      <c r="J4269" s="6" t="s">
        <v>398</v>
      </c>
      <c r="K4269" s="10">
        <v>51.46</v>
      </c>
      <c r="L4269" s="10">
        <v>62</v>
      </c>
      <c r="M4269" s="6" t="s">
        <v>480</v>
      </c>
      <c r="N4269" s="6">
        <f>IF(OR($G4269="FCC",$G4269="Hydrocracker",$G4269="Reformer"),IF(COUNTIFS($D:$D,$D4269,$A:$A,$A4269,$B:$B,$B4269,$G:$G,"CDU",$J:$J,"PLANNED")&gt;0,"tied","standalone"),"")</f>
        <v/>
      </c>
    </row>
    <row r="4270" spans="1:14">
      <c r="A4270" s="6">
        <v>2024</v>
      </c>
      <c r="B4270" s="6">
        <v>9</v>
      </c>
      <c r="C4270" s="6" t="s">
        <v>68</v>
      </c>
      <c r="D4270" s="6" t="s">
        <v>622</v>
      </c>
      <c r="E4270" s="6" t="s">
        <v>623</v>
      </c>
      <c r="F4270" s="6" t="str">
        <f>IF($M4270="PADD I","PADD 1",IF($M4270="PADD II","PADD 2",IF($M4270="PADD III","PADD 3",IF($M4270="PADD IV","PADD 4",IF($M4270="PADD V","PADD 5","")))))</f>
        <v>PADD 3</v>
      </c>
      <c r="G4270" s="6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6" t="s">
        <v>39</v>
      </c>
      <c r="I4270" s="6" t="s">
        <v>624</v>
      </c>
      <c r="J4270" s="6" t="s">
        <v>394</v>
      </c>
      <c r="K4270" s="10">
        <v>50</v>
      </c>
      <c r="L4270" s="10">
        <v>50</v>
      </c>
      <c r="M4270" s="6" t="s">
        <v>421</v>
      </c>
      <c r="N4270" s="6">
        <f>IF(OR($G4270="FCC",$G4270="Hydrocracker",$G4270="Reformer"),IF(COUNTIFS($D:$D,$D4270,$A:$A,$A4270,$B:$B,$B4270,$G:$G,"CDU",$J:$J,"PLANNED")&gt;0,"tied","standalone"),"")</f>
        <v/>
      </c>
    </row>
    <row r="4271" spans="1:14">
      <c r="A4271" s="6">
        <v>2024</v>
      </c>
      <c r="B4271" s="6">
        <v>9</v>
      </c>
      <c r="C4271" s="6" t="s">
        <v>68</v>
      </c>
      <c r="D4271" s="6" t="s">
        <v>43</v>
      </c>
      <c r="E4271" s="6" t="s">
        <v>455</v>
      </c>
      <c r="F4271" s="6" t="str">
        <f>IF($M4271="PADD I","PADD 1",IF($M4271="PADD II","PADD 2",IF($M4271="PADD III","PADD 3",IF($M4271="PADD IV","PADD 4",IF($M4271="PADD V","PADD 5","")))))</f>
        <v>PADD 3</v>
      </c>
      <c r="G4271" s="6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6" t="s">
        <v>44</v>
      </c>
      <c r="I4271" s="6" t="s">
        <v>1282</v>
      </c>
      <c r="J4271" s="6" t="s">
        <v>398</v>
      </c>
      <c r="K4271" s="10">
        <v>48</v>
      </c>
      <c r="L4271" s="10">
        <v>48</v>
      </c>
      <c r="M4271" s="6" t="s">
        <v>421</v>
      </c>
      <c r="N4271" s="6">
        <f>IF(OR($G4271="FCC",$G4271="Hydrocracker",$G4271="Reformer"),IF(COUNTIFS($D:$D,$D4271,$A:$A,$A4271,$B:$B,$B4271,$G:$G,"CDU",$J:$J,"PLANNED")&gt;0,"tied","standalone"),"")</f>
        <v/>
      </c>
    </row>
    <row r="4272" spans="1:14">
      <c r="A4272" s="6">
        <v>2024</v>
      </c>
      <c r="B4272" s="6">
        <v>9</v>
      </c>
      <c r="C4272" s="6" t="s">
        <v>68</v>
      </c>
      <c r="D4272" s="6" t="s">
        <v>437</v>
      </c>
      <c r="E4272" s="6" t="s">
        <v>438</v>
      </c>
      <c r="F4272" s="6" t="str">
        <f>IF($M4272="PADD I","PADD 1",IF($M4272="PADD II","PADD 2",IF($M4272="PADD III","PADD 3",IF($M4272="PADD IV","PADD 4",IF($M4272="PADD V","PADD 5","")))))</f>
        <v>PADD 3</v>
      </c>
      <c r="G4272" s="6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6" t="s">
        <v>471</v>
      </c>
      <c r="I4272" s="6" t="s">
        <v>633</v>
      </c>
      <c r="J4272" s="6" t="s">
        <v>394</v>
      </c>
      <c r="K4272" s="10">
        <v>47.815</v>
      </c>
      <c r="L4272" s="10">
        <v>65.5</v>
      </c>
      <c r="M4272" s="6" t="s">
        <v>421</v>
      </c>
      <c r="N4272" s="6" t="str">
        <f>IF(OR($G4272="FCC",$G4272="Hydrocracker",$G4272="Reformer"),IF(COUNTIFS($D:$D,$D4272,$A:$A,$A4272,$B:$B,$B4272,$G:$G,"CDU",$J:$J,"PLANNED")&gt;0,"tied","standalone"),"")</f>
        <v>standalone</v>
      </c>
    </row>
    <row r="4273" spans="1:14">
      <c r="A4273" s="6">
        <v>2024</v>
      </c>
      <c r="B4273" s="6">
        <v>9</v>
      </c>
      <c r="C4273" s="6" t="s">
        <v>68</v>
      </c>
      <c r="D4273" s="6" t="s">
        <v>597</v>
      </c>
      <c r="E4273" s="6" t="s">
        <v>441</v>
      </c>
      <c r="F4273" s="6" t="str">
        <f>IF($M4273="PADD I","PADD 1",IF($M4273="PADD II","PADD 2",IF($M4273="PADD III","PADD 3",IF($M4273="PADD IV","PADD 4",IF($M4273="PADD V","PADD 5","")))))</f>
        <v>PADD 5</v>
      </c>
      <c r="G4273" s="6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6" t="s">
        <v>44</v>
      </c>
      <c r="I4273" s="6" t="s">
        <v>979</v>
      </c>
      <c r="J4273" s="6" t="s">
        <v>394</v>
      </c>
      <c r="K4273" s="10">
        <v>47.304</v>
      </c>
      <c r="L4273" s="10">
        <v>64.8</v>
      </c>
      <c r="M4273" s="6" t="s">
        <v>436</v>
      </c>
      <c r="N4273" s="6">
        <f>IF(OR($G4273="FCC",$G4273="Hydrocracker",$G4273="Reformer"),IF(COUNTIFS($D:$D,$D4273,$A:$A,$A4273,$B:$B,$B4273,$G:$G,"CDU",$J:$J,"PLANNED")&gt;0,"tied","standalone"),"")</f>
        <v/>
      </c>
    </row>
    <row r="4274" spans="1:14">
      <c r="A4274" s="6">
        <v>2024</v>
      </c>
      <c r="B4274" s="6">
        <v>9</v>
      </c>
      <c r="C4274" s="6" t="s">
        <v>68</v>
      </c>
      <c r="D4274" s="6" t="s">
        <v>52</v>
      </c>
      <c r="E4274" s="6" t="s">
        <v>441</v>
      </c>
      <c r="F4274" s="6" t="str">
        <f>IF($M4274="PADD I","PADD 1",IF($M4274="PADD II","PADD 2",IF($M4274="PADD III","PADD 3",IF($M4274="PADD IV","PADD 4",IF($M4274="PADD V","PADD 5","")))))</f>
        <v>PADD 5</v>
      </c>
      <c r="G4274" s="6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6" t="s">
        <v>471</v>
      </c>
      <c r="I4274" s="6" t="s">
        <v>589</v>
      </c>
      <c r="J4274" s="6" t="s">
        <v>394</v>
      </c>
      <c r="K4274" s="10">
        <v>46.2</v>
      </c>
      <c r="L4274" s="10">
        <v>60</v>
      </c>
      <c r="M4274" s="6" t="s">
        <v>436</v>
      </c>
      <c r="N4274" s="6" t="str">
        <f>IF(OR($G4274="FCC",$G4274="Hydrocracker",$G4274="Reformer"),IF(COUNTIFS($D:$D,$D4274,$A:$A,$A4274,$B:$B,$B4274,$G:$G,"CDU",$J:$J,"PLANNED")&gt;0,"tied","standalone"),"")</f>
        <v>standalone</v>
      </c>
    </row>
    <row r="4275" spans="1:14">
      <c r="A4275" s="6">
        <v>2024</v>
      </c>
      <c r="B4275" s="6">
        <v>9</v>
      </c>
      <c r="C4275" s="6" t="s">
        <v>68</v>
      </c>
      <c r="D4275" s="6" t="s">
        <v>437</v>
      </c>
      <c r="E4275" s="6" t="s">
        <v>438</v>
      </c>
      <c r="F4275" s="6" t="str">
        <f>IF($M4275="PADD I","PADD 1",IF($M4275="PADD II","PADD 2",IF($M4275="PADD III","PADD 3",IF($M4275="PADD IV","PADD 4",IF($M4275="PADD V","PADD 5","")))))</f>
        <v>PADD 3</v>
      </c>
      <c r="G4275" s="6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6" t="s">
        <v>494</v>
      </c>
      <c r="I4275" s="6" t="s">
        <v>526</v>
      </c>
      <c r="J4275" s="6" t="s">
        <v>398</v>
      </c>
      <c r="K4275" s="10">
        <v>42</v>
      </c>
      <c r="L4275" s="10">
        <v>60</v>
      </c>
      <c r="M4275" s="6" t="s">
        <v>421</v>
      </c>
      <c r="N4275" s="6" t="str">
        <f>IF(OR($G4275="FCC",$G4275="Hydrocracker",$G4275="Reformer"),IF(COUNTIFS($D:$D,$D4275,$A:$A,$A4275,$B:$B,$B4275,$G:$G,"CDU",$J:$J,"PLANNED")&gt;0,"tied","standalone"),"")</f>
        <v>standalone</v>
      </c>
    </row>
    <row r="4276" spans="1:14">
      <c r="A4276" s="6">
        <v>2024</v>
      </c>
      <c r="B4276" s="6">
        <v>9</v>
      </c>
      <c r="C4276" s="6" t="s">
        <v>68</v>
      </c>
      <c r="D4276" s="6" t="s">
        <v>496</v>
      </c>
      <c r="E4276" s="6" t="s">
        <v>441</v>
      </c>
      <c r="F4276" s="6" t="str">
        <f>IF($M4276="PADD I","PADD 1",IF($M4276="PADD II","PADD 2",IF($M4276="PADD III","PADD 3",IF($M4276="PADD IV","PADD 4",IF($M4276="PADD V","PADD 5","")))))</f>
        <v>PADD 3</v>
      </c>
      <c r="G4276" s="6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6" t="s">
        <v>428</v>
      </c>
      <c r="I4276" s="6" t="s">
        <v>1091</v>
      </c>
      <c r="J4276" s="6" t="s">
        <v>394</v>
      </c>
      <c r="K4276" s="10">
        <v>41</v>
      </c>
      <c r="L4276" s="10">
        <v>41</v>
      </c>
      <c r="M4276" s="6" t="s">
        <v>421</v>
      </c>
      <c r="N4276" s="6">
        <f>IF(OR($G4276="FCC",$G4276="Hydrocracker",$G4276="Reformer"),IF(COUNTIFS($D:$D,$D4276,$A:$A,$A4276,$B:$B,$B4276,$G:$G,"CDU",$J:$J,"PLANNED")&gt;0,"tied","standalone"),"")</f>
        <v/>
      </c>
    </row>
    <row r="4277" spans="1:14">
      <c r="A4277" s="6">
        <v>2024</v>
      </c>
      <c r="B4277" s="6">
        <v>9</v>
      </c>
      <c r="C4277" s="6" t="s">
        <v>68</v>
      </c>
      <c r="D4277" s="6" t="s">
        <v>368</v>
      </c>
      <c r="E4277" s="6" t="s">
        <v>715</v>
      </c>
      <c r="F4277" s="6" t="str">
        <f>IF($M4277="PADD I","PADD 1",IF($M4277="PADD II","PADD 2",IF($M4277="PADD III","PADD 3",IF($M4277="PADD IV","PADD 4",IF($M4277="PADD V","PADD 5","")))))</f>
        <v>PADD 3</v>
      </c>
      <c r="G4277" s="6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6" t="s">
        <v>39</v>
      </c>
      <c r="I4277" s="6" t="s">
        <v>87</v>
      </c>
      <c r="J4277" s="6" t="s">
        <v>394</v>
      </c>
      <c r="K4277" s="10">
        <v>40.8</v>
      </c>
      <c r="L4277" s="10">
        <v>240</v>
      </c>
      <c r="M4277" s="6" t="s">
        <v>421</v>
      </c>
      <c r="N4277" s="6">
        <f>IF(OR($G4277="FCC",$G4277="Hydrocracker",$G4277="Reformer"),IF(COUNTIFS($D:$D,$D4277,$A:$A,$A4277,$B:$B,$B4277,$G:$G,"CDU",$J:$J,"PLANNED")&gt;0,"tied","standalone"),"")</f>
        <v/>
      </c>
    </row>
    <row r="4278" spans="1:14">
      <c r="A4278" s="6">
        <v>2024</v>
      </c>
      <c r="B4278" s="6">
        <v>9</v>
      </c>
      <c r="C4278" s="6" t="s">
        <v>68</v>
      </c>
      <c r="D4278" s="6" t="s">
        <v>592</v>
      </c>
      <c r="E4278" s="6" t="s">
        <v>593</v>
      </c>
      <c r="F4278" s="6" t="str">
        <f>IF($M4278="PADD I","PADD 1",IF($M4278="PADD II","PADD 2",IF($M4278="PADD III","PADD 3",IF($M4278="PADD IV","PADD 4",IF($M4278="PADD V","PADD 5","")))))</f>
        <v>PADD 2</v>
      </c>
      <c r="G4278" s="6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6" t="s">
        <v>485</v>
      </c>
      <c r="I4278" s="6" t="s">
        <v>491</v>
      </c>
      <c r="J4278" s="6" t="s">
        <v>394</v>
      </c>
      <c r="K4278" s="10">
        <v>40.8</v>
      </c>
      <c r="L4278" s="10">
        <v>102</v>
      </c>
      <c r="M4278" s="6" t="s">
        <v>425</v>
      </c>
      <c r="N4278" s="6">
        <f>IF(OR($G4278="FCC",$G4278="Hydrocracker",$G4278="Reformer"),IF(COUNTIFS($D:$D,$D4278,$A:$A,$A4278,$B:$B,$B4278,$G:$G,"CDU",$J:$J,"PLANNED")&gt;0,"tied","standalone"),"")</f>
        <v/>
      </c>
    </row>
    <row r="4279" spans="1:14">
      <c r="A4279" s="6">
        <v>2024</v>
      </c>
      <c r="B4279" s="6">
        <v>9</v>
      </c>
      <c r="C4279" s="6" t="s">
        <v>68</v>
      </c>
      <c r="D4279" s="6" t="s">
        <v>626</v>
      </c>
      <c r="E4279" s="6" t="s">
        <v>419</v>
      </c>
      <c r="F4279" s="6" t="str">
        <f>IF($M4279="PADD I","PADD 1",IF($M4279="PADD II","PADD 2",IF($M4279="PADD III","PADD 3",IF($M4279="PADD IV","PADD 4",IF($M4279="PADD V","PADD 5","")))))</f>
        <v>PADD 3</v>
      </c>
      <c r="G4279" s="6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6" t="s">
        <v>44</v>
      </c>
      <c r="I4279" s="6" t="s">
        <v>1283</v>
      </c>
      <c r="J4279" s="6" t="s">
        <v>398</v>
      </c>
      <c r="K4279" s="10">
        <v>40.67</v>
      </c>
      <c r="L4279" s="10">
        <v>49</v>
      </c>
      <c r="M4279" s="6" t="s">
        <v>421</v>
      </c>
      <c r="N4279" s="6">
        <f>IF(OR($G4279="FCC",$G4279="Hydrocracker",$G4279="Reformer"),IF(COUNTIFS($D:$D,$D4279,$A:$A,$A4279,$B:$B,$B4279,$G:$G,"CDU",$J:$J,"PLANNED")&gt;0,"tied","standalone"),"")</f>
        <v/>
      </c>
    </row>
    <row r="4280" spans="1:14">
      <c r="A4280" s="6">
        <v>2024</v>
      </c>
      <c r="B4280" s="6">
        <v>9</v>
      </c>
      <c r="C4280" s="6" t="s">
        <v>68</v>
      </c>
      <c r="D4280" s="6" t="s">
        <v>626</v>
      </c>
      <c r="E4280" s="6" t="s">
        <v>419</v>
      </c>
      <c r="F4280" s="6" t="str">
        <f>IF($M4280="PADD I","PADD 1",IF($M4280="PADD II","PADD 2",IF($M4280="PADD III","PADD 3",IF($M4280="PADD IV","PADD 4",IF($M4280="PADD V","PADD 5","")))))</f>
        <v>PADD 3</v>
      </c>
      <c r="G4280" s="6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6" t="s">
        <v>426</v>
      </c>
      <c r="I4280" s="6" t="s">
        <v>106</v>
      </c>
      <c r="J4280" s="6" t="s">
        <v>398</v>
      </c>
      <c r="K4280" s="10">
        <v>40.194</v>
      </c>
      <c r="L4280" s="10">
        <v>46.2</v>
      </c>
      <c r="M4280" s="6" t="s">
        <v>421</v>
      </c>
      <c r="N4280" s="6" t="str">
        <f>IF(OR($G4280="FCC",$G4280="Hydrocracker",$G4280="Reformer"),IF(COUNTIFS($D:$D,$D4280,$A:$A,$A4280,$B:$B,$B4280,$G:$G,"CDU",$J:$J,"PLANNED")&gt;0,"tied","standalone"),"")</f>
        <v>standalone</v>
      </c>
    </row>
    <row r="4281" spans="1:14">
      <c r="A4281" s="6">
        <v>2024</v>
      </c>
      <c r="B4281" s="6">
        <v>9</v>
      </c>
      <c r="C4281" s="6" t="s">
        <v>68</v>
      </c>
      <c r="D4281" s="6" t="s">
        <v>838</v>
      </c>
      <c r="E4281" s="6" t="s">
        <v>455</v>
      </c>
      <c r="F4281" s="6" t="str">
        <f>IF($M4281="PADD I","PADD 1",IF($M4281="PADD II","PADD 2",IF($M4281="PADD III","PADD 3",IF($M4281="PADD IV","PADD 4",IF($M4281="PADD V","PADD 5","")))))</f>
        <v>PADD 3</v>
      </c>
      <c r="G4281" s="6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6" t="s">
        <v>494</v>
      </c>
      <c r="I4281" s="6" t="s">
        <v>881</v>
      </c>
      <c r="J4281" s="6" t="s">
        <v>394</v>
      </c>
      <c r="K4281" s="10">
        <v>38.5</v>
      </c>
      <c r="L4281" s="10">
        <v>55</v>
      </c>
      <c r="M4281" s="6" t="s">
        <v>421</v>
      </c>
      <c r="N4281" s="6" t="str">
        <f>IF(OR($G4281="FCC",$G4281="Hydrocracker",$G4281="Reformer"),IF(COUNTIFS($D:$D,$D4281,$A:$A,$A4281,$B:$B,$B4281,$G:$G,"CDU",$J:$J,"PLANNED")&gt;0,"tied","standalone"),"")</f>
        <v>standalone</v>
      </c>
    </row>
    <row r="4282" spans="1:14">
      <c r="A4282" s="6">
        <v>2024</v>
      </c>
      <c r="B4282" s="6">
        <v>9</v>
      </c>
      <c r="C4282" s="6" t="s">
        <v>68</v>
      </c>
      <c r="D4282" s="6" t="s">
        <v>380</v>
      </c>
      <c r="E4282" s="6" t="s">
        <v>423</v>
      </c>
      <c r="F4282" s="6" t="str">
        <f>IF($M4282="PADD I","PADD 1",IF($M4282="PADD II","PADD 2",IF($M4282="PADD III","PADD 3",IF($M4282="PADD IV","PADD 4",IF($M4282="PADD V","PADD 5","")))))</f>
        <v>PADD 2</v>
      </c>
      <c r="G4282" s="6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6" t="s">
        <v>426</v>
      </c>
      <c r="I4282" s="6" t="s">
        <v>106</v>
      </c>
      <c r="J4282" s="6" t="s">
        <v>398</v>
      </c>
      <c r="K4282" s="10">
        <v>37.2</v>
      </c>
      <c r="L4282" s="10">
        <v>40</v>
      </c>
      <c r="M4282" s="6" t="s">
        <v>425</v>
      </c>
      <c r="N4282" s="6" t="str">
        <f>IF(OR($G4282="FCC",$G4282="Hydrocracker",$G4282="Reformer"),IF(COUNTIFS($D:$D,$D4282,$A:$A,$A4282,$B:$B,$B4282,$G:$G,"CDU",$J:$J,"PLANNED")&gt;0,"tied","standalone"),"")</f>
        <v>tied</v>
      </c>
    </row>
    <row r="4283" spans="1:14">
      <c r="A4283" s="6">
        <v>2024</v>
      </c>
      <c r="B4283" s="6">
        <v>9</v>
      </c>
      <c r="C4283" s="6" t="s">
        <v>68</v>
      </c>
      <c r="D4283" s="6" t="s">
        <v>901</v>
      </c>
      <c r="E4283" s="6" t="s">
        <v>902</v>
      </c>
      <c r="F4283" s="6" t="str">
        <f>IF($M4283="PADD I","PADD 1",IF($M4283="PADD II","PADD 2",IF($M4283="PADD III","PADD 3",IF($M4283="PADD IV","PADD 4",IF($M4283="PADD V","PADD 5","")))))</f>
        <v>PADD 3</v>
      </c>
      <c r="G4283" s="6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6" t="s">
        <v>39</v>
      </c>
      <c r="I4283" s="6" t="s">
        <v>904</v>
      </c>
      <c r="J4283" s="6" t="s">
        <v>394</v>
      </c>
      <c r="K4283" s="10">
        <v>37.05</v>
      </c>
      <c r="L4283" s="10">
        <v>65</v>
      </c>
      <c r="M4283" s="6" t="s">
        <v>421</v>
      </c>
      <c r="N4283" s="6">
        <f>IF(OR($G4283="FCC",$G4283="Hydrocracker",$G4283="Reformer"),IF(COUNTIFS($D:$D,$D4283,$A:$A,$A4283,$B:$B,$B4283,$G:$G,"CDU",$J:$J,"PLANNED")&gt;0,"tied","standalone"),"")</f>
        <v/>
      </c>
    </row>
    <row r="4284" spans="1:14">
      <c r="A4284" s="6">
        <v>2024</v>
      </c>
      <c r="B4284" s="6">
        <v>9</v>
      </c>
      <c r="C4284" s="6" t="s">
        <v>68</v>
      </c>
      <c r="D4284" s="6" t="s">
        <v>465</v>
      </c>
      <c r="E4284" s="6" t="s">
        <v>466</v>
      </c>
      <c r="F4284" s="6" t="str">
        <f>IF($M4284="PADD I","PADD 1",IF($M4284="PADD II","PADD 2",IF($M4284="PADD III","PADD 3",IF($M4284="PADD IV","PADD 4",IF($M4284="PADD V","PADD 5","")))))</f>
        <v>PADD 3</v>
      </c>
      <c r="G4284" s="6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6" t="s">
        <v>494</v>
      </c>
      <c r="I4284" s="6" t="s">
        <v>990</v>
      </c>
      <c r="J4284" s="6" t="s">
        <v>398</v>
      </c>
      <c r="K4284" s="10">
        <v>35.34</v>
      </c>
      <c r="L4284" s="10">
        <v>38</v>
      </c>
      <c r="M4284" s="6" t="s">
        <v>421</v>
      </c>
      <c r="N4284" s="6" t="str">
        <f>IF(OR($G4284="FCC",$G4284="Hydrocracker",$G4284="Reformer"),IF(COUNTIFS($D:$D,$D4284,$A:$A,$A4284,$B:$B,$B4284,$G:$G,"CDU",$J:$J,"PLANNED")&gt;0,"tied","standalone"),"")</f>
        <v>standalone</v>
      </c>
    </row>
    <row r="4285" spans="1:14">
      <c r="A4285" s="6">
        <v>2024</v>
      </c>
      <c r="B4285" s="6">
        <v>9</v>
      </c>
      <c r="C4285" s="6" t="s">
        <v>68</v>
      </c>
      <c r="D4285" s="6" t="s">
        <v>652</v>
      </c>
      <c r="E4285" s="6" t="s">
        <v>419</v>
      </c>
      <c r="F4285" s="6" t="str">
        <f>IF($M4285="PADD I","PADD 1",IF($M4285="PADD II","PADD 2",IF($M4285="PADD III","PADD 3",IF($M4285="PADD IV","PADD 4",IF($M4285="PADD V","PADD 5","")))))</f>
        <v>PADD 2</v>
      </c>
      <c r="G4285" s="6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6" t="s">
        <v>39</v>
      </c>
      <c r="I4285" s="6" t="s">
        <v>130</v>
      </c>
      <c r="J4285" s="6" t="s">
        <v>398</v>
      </c>
      <c r="K4285" s="10">
        <v>35.15</v>
      </c>
      <c r="L4285" s="10">
        <v>95</v>
      </c>
      <c r="M4285" s="6" t="s">
        <v>425</v>
      </c>
      <c r="N4285" s="6">
        <f>IF(OR($G4285="FCC",$G4285="Hydrocracker",$G4285="Reformer"),IF(COUNTIFS($D:$D,$D4285,$A:$A,$A4285,$B:$B,$B4285,$G:$G,"CDU",$J:$J,"PLANNED")&gt;0,"tied","standalone"),"")</f>
        <v/>
      </c>
    </row>
    <row r="4286" spans="1:14">
      <c r="A4286" s="6">
        <v>2024</v>
      </c>
      <c r="B4286" s="6">
        <v>9</v>
      </c>
      <c r="C4286" s="6" t="s">
        <v>68</v>
      </c>
      <c r="D4286" s="6" t="s">
        <v>496</v>
      </c>
      <c r="E4286" s="6" t="s">
        <v>441</v>
      </c>
      <c r="F4286" s="6" t="str">
        <f>IF($M4286="PADD I","PADD 1",IF($M4286="PADD II","PADD 2",IF($M4286="PADD III","PADD 3",IF($M4286="PADD IV","PADD 4",IF($M4286="PADD V","PADD 5","")))))</f>
        <v>PADD 3</v>
      </c>
      <c r="G4286" s="6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6" t="s">
        <v>44</v>
      </c>
      <c r="I4286" s="6" t="s">
        <v>497</v>
      </c>
      <c r="J4286" s="6" t="s">
        <v>398</v>
      </c>
      <c r="K4286" s="10">
        <v>35</v>
      </c>
      <c r="L4286" s="10">
        <v>35</v>
      </c>
      <c r="M4286" s="6" t="s">
        <v>421</v>
      </c>
      <c r="N4286" s="6">
        <f>IF(OR($G4286="FCC",$G4286="Hydrocracker",$G4286="Reformer"),IF(COUNTIFS($D:$D,$D4286,$A:$A,$A4286,$B:$B,$B4286,$G:$G,"CDU",$J:$J,"PLANNED")&gt;0,"tied","standalone"),"")</f>
        <v/>
      </c>
    </row>
    <row r="4287" spans="1:14">
      <c r="A4287" s="6">
        <v>2024</v>
      </c>
      <c r="B4287" s="6">
        <v>9</v>
      </c>
      <c r="C4287" s="6" t="s">
        <v>68</v>
      </c>
      <c r="D4287" s="6" t="s">
        <v>498</v>
      </c>
      <c r="E4287" s="6" t="s">
        <v>441</v>
      </c>
      <c r="F4287" s="6" t="str">
        <f>IF($M4287="PADD I","PADD 1",IF($M4287="PADD II","PADD 2",IF($M4287="PADD III","PADD 3",IF($M4287="PADD IV","PADD 4",IF($M4287="PADD V","PADD 5","")))))</f>
        <v>PADD 3</v>
      </c>
      <c r="G4287" s="6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6" t="s">
        <v>44</v>
      </c>
      <c r="I4287" s="6" t="s">
        <v>499</v>
      </c>
      <c r="J4287" s="6" t="s">
        <v>394</v>
      </c>
      <c r="K4287" s="10">
        <v>35</v>
      </c>
      <c r="L4287" s="10">
        <v>35</v>
      </c>
      <c r="M4287" s="6" t="s">
        <v>421</v>
      </c>
      <c r="N4287" s="6">
        <f>IF(OR($G4287="FCC",$G4287="Hydrocracker",$G4287="Reformer"),IF(COUNTIFS($D:$D,$D4287,$A:$A,$A4287,$B:$B,$B4287,$G:$G,"CDU",$J:$J,"PLANNED")&gt;0,"tied","standalone"),"")</f>
        <v/>
      </c>
    </row>
    <row r="4288" spans="1:14">
      <c r="A4288" s="6">
        <v>2024</v>
      </c>
      <c r="B4288" s="6">
        <v>9</v>
      </c>
      <c r="C4288" s="6" t="s">
        <v>68</v>
      </c>
      <c r="D4288" s="6" t="s">
        <v>458</v>
      </c>
      <c r="E4288" s="6" t="s">
        <v>459</v>
      </c>
      <c r="F4288" s="6" t="str">
        <f>IF($M4288="PADD I","PADD 1",IF($M4288="PADD II","PADD 2",IF($M4288="PADD III","PADD 3",IF($M4288="PADD IV","PADD 4",IF($M4288="PADD V","PADD 5","")))))</f>
        <v>PADD 3</v>
      </c>
      <c r="G4288" s="6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6" t="s">
        <v>39</v>
      </c>
      <c r="I4288" s="6" t="s">
        <v>460</v>
      </c>
      <c r="J4288" s="6" t="s">
        <v>394</v>
      </c>
      <c r="K4288" s="10">
        <v>34.5</v>
      </c>
      <c r="L4288" s="10">
        <v>150</v>
      </c>
      <c r="M4288" s="6" t="s">
        <v>421</v>
      </c>
      <c r="N4288" s="6">
        <f>IF(OR($G4288="FCC",$G4288="Hydrocracker",$G4288="Reformer"),IF(COUNTIFS($D:$D,$D4288,$A:$A,$A4288,$B:$B,$B4288,$G:$G,"CDU",$J:$J,"PLANNED")&gt;0,"tied","standalone"),"")</f>
        <v/>
      </c>
    </row>
    <row r="4289" spans="1:14">
      <c r="A4289" s="6">
        <v>2024</v>
      </c>
      <c r="B4289" s="6">
        <v>9</v>
      </c>
      <c r="C4289" s="6" t="s">
        <v>68</v>
      </c>
      <c r="D4289" s="6" t="s">
        <v>626</v>
      </c>
      <c r="E4289" s="6" t="s">
        <v>419</v>
      </c>
      <c r="F4289" s="6" t="str">
        <f>IF($M4289="PADD I","PADD 1",IF($M4289="PADD II","PADD 2",IF($M4289="PADD III","PADD 3",IF($M4289="PADD IV","PADD 4",IF($M4289="PADD V","PADD 5","")))))</f>
        <v>PADD 3</v>
      </c>
      <c r="G4289" s="6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6" t="s">
        <v>44</v>
      </c>
      <c r="I4289" s="6" t="s">
        <v>1284</v>
      </c>
      <c r="J4289" s="6" t="s">
        <v>398</v>
      </c>
      <c r="K4289" s="10">
        <v>33.2</v>
      </c>
      <c r="L4289" s="10">
        <v>40</v>
      </c>
      <c r="M4289" s="6" t="s">
        <v>421</v>
      </c>
      <c r="N4289" s="6">
        <f>IF(OR($G4289="FCC",$G4289="Hydrocracker",$G4289="Reformer"),IF(COUNTIFS($D:$D,$D4289,$A:$A,$A4289,$B:$B,$B4289,$G:$G,"CDU",$J:$J,"PLANNED")&gt;0,"tied","standalone"),"")</f>
        <v/>
      </c>
    </row>
    <row r="4290" spans="1:14">
      <c r="A4290" s="6">
        <v>2024</v>
      </c>
      <c r="B4290" s="6">
        <v>9</v>
      </c>
      <c r="C4290" s="6" t="s">
        <v>68</v>
      </c>
      <c r="D4290" s="6" t="s">
        <v>52</v>
      </c>
      <c r="E4290" s="6" t="s">
        <v>441</v>
      </c>
      <c r="F4290" s="6" t="str">
        <f>IF($M4290="PADD I","PADD 1",IF($M4290="PADD II","PADD 2",IF($M4290="PADD III","PADD 3",IF($M4290="PADD IV","PADD 4",IF($M4290="PADD V","PADD 5","")))))</f>
        <v>PADD 5</v>
      </c>
      <c r="G4290" s="6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6" t="s">
        <v>494</v>
      </c>
      <c r="I4290" s="6" t="s">
        <v>1124</v>
      </c>
      <c r="J4290" s="6" t="s">
        <v>394</v>
      </c>
      <c r="K4290" s="10">
        <v>32.85</v>
      </c>
      <c r="L4290" s="10">
        <v>45</v>
      </c>
      <c r="M4290" s="6" t="s">
        <v>436</v>
      </c>
      <c r="N4290" s="6" t="str">
        <f>IF(OR($G4290="FCC",$G4290="Hydrocracker",$G4290="Reformer"),IF(COUNTIFS($D:$D,$D4290,$A:$A,$A4290,$B:$B,$B4290,$G:$G,"CDU",$J:$J,"PLANNED")&gt;0,"tied","standalone"),"")</f>
        <v>standalone</v>
      </c>
    </row>
    <row r="4291" spans="1:14">
      <c r="A4291" s="6">
        <v>2024</v>
      </c>
      <c r="B4291" s="6">
        <v>9</v>
      </c>
      <c r="C4291" s="6" t="s">
        <v>68</v>
      </c>
      <c r="D4291" s="6" t="s">
        <v>652</v>
      </c>
      <c r="E4291" s="6" t="s">
        <v>419</v>
      </c>
      <c r="F4291" s="6" t="str">
        <f>IF($M4291="PADD I","PADD 1",IF($M4291="PADD II","PADD 2",IF($M4291="PADD III","PADD 3",IF($M4291="PADD IV","PADD 4",IF($M4291="PADD V","PADD 5","")))))</f>
        <v>PADD 2</v>
      </c>
      <c r="G4291" s="6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6" t="s">
        <v>39</v>
      </c>
      <c r="I4291" s="6" t="s">
        <v>1285</v>
      </c>
      <c r="J4291" s="6" t="s">
        <v>394</v>
      </c>
      <c r="K4291" s="10">
        <v>31.45</v>
      </c>
      <c r="L4291" s="10">
        <v>85</v>
      </c>
      <c r="M4291" s="6" t="s">
        <v>425</v>
      </c>
      <c r="N4291" s="6">
        <f>IF(OR($G4291="FCC",$G4291="Hydrocracker",$G4291="Reformer"),IF(COUNTIFS($D:$D,$D4291,$A:$A,$A4291,$B:$B,$B4291,$G:$G,"CDU",$J:$J,"PLANNED")&gt;0,"tied","standalone"),"")</f>
        <v/>
      </c>
    </row>
    <row r="4292" spans="1:14">
      <c r="A4292" s="6">
        <v>2024</v>
      </c>
      <c r="B4292" s="6">
        <v>9</v>
      </c>
      <c r="C4292" s="6" t="s">
        <v>68</v>
      </c>
      <c r="D4292" s="6" t="s">
        <v>465</v>
      </c>
      <c r="E4292" s="6" t="s">
        <v>466</v>
      </c>
      <c r="F4292" s="6" t="str">
        <f>IF($M4292="PADD I","PADD 1",IF($M4292="PADD II","PADD 2",IF($M4292="PADD III","PADD 3",IF($M4292="PADD IV","PADD 4",IF($M4292="PADD V","PADD 5","")))))</f>
        <v>PADD 3</v>
      </c>
      <c r="G4292" s="6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6" t="s">
        <v>471</v>
      </c>
      <c r="I4292" s="6" t="s">
        <v>504</v>
      </c>
      <c r="J4292" s="6" t="s">
        <v>398</v>
      </c>
      <c r="K4292" s="10">
        <v>31.2</v>
      </c>
      <c r="L4292" s="10">
        <v>52</v>
      </c>
      <c r="M4292" s="6" t="s">
        <v>421</v>
      </c>
      <c r="N4292" s="6" t="str">
        <f>IF(OR($G4292="FCC",$G4292="Hydrocracker",$G4292="Reformer"),IF(COUNTIFS($D:$D,$D4292,$A:$A,$A4292,$B:$B,$B4292,$G:$G,"CDU",$J:$J,"PLANNED")&gt;0,"tied","standalone"),"")</f>
        <v>standalone</v>
      </c>
    </row>
    <row r="4293" spans="1:14">
      <c r="A4293" s="6">
        <v>2024</v>
      </c>
      <c r="B4293" s="6">
        <v>9</v>
      </c>
      <c r="C4293" s="6" t="s">
        <v>68</v>
      </c>
      <c r="D4293" s="6" t="s">
        <v>576</v>
      </c>
      <c r="E4293" s="6" t="s">
        <v>455</v>
      </c>
      <c r="F4293" s="6" t="str">
        <f>IF($M4293="PADD I","PADD 1",IF($M4293="PADD II","PADD 2",IF($M4293="PADD III","PADD 3",IF($M4293="PADD IV","PADD 4",IF($M4293="PADD V","PADD 5","")))))</f>
        <v>PADD 3</v>
      </c>
      <c r="G4293" s="6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6" t="s">
        <v>485</v>
      </c>
      <c r="I4293" s="6" t="s">
        <v>1004</v>
      </c>
      <c r="J4293" s="6" t="s">
        <v>394</v>
      </c>
      <c r="K4293" s="10">
        <v>30</v>
      </c>
      <c r="L4293" s="10">
        <v>30</v>
      </c>
      <c r="M4293" s="6" t="s">
        <v>421</v>
      </c>
      <c r="N4293" s="6">
        <f>IF(OR($G4293="FCC",$G4293="Hydrocracker",$G4293="Reformer"),IF(COUNTIFS($D:$D,$D4293,$A:$A,$A4293,$B:$B,$B4293,$G:$G,"CDU",$J:$J,"PLANNED")&gt;0,"tied","standalone"),"")</f>
        <v/>
      </c>
    </row>
    <row r="4294" spans="1:14">
      <c r="A4294" s="6">
        <v>2024</v>
      </c>
      <c r="B4294" s="6">
        <v>9</v>
      </c>
      <c r="C4294" s="6" t="s">
        <v>68</v>
      </c>
      <c r="D4294" s="6" t="s">
        <v>368</v>
      </c>
      <c r="E4294" s="6" t="s">
        <v>715</v>
      </c>
      <c r="F4294" s="6" t="str">
        <f>IF($M4294="PADD I","PADD 1",IF($M4294="PADD II","PADD 2",IF($M4294="PADD III","PADD 3",IF($M4294="PADD IV","PADD 4",IF($M4294="PADD V","PADD 5","")))))</f>
        <v>PADD 3</v>
      </c>
      <c r="G4294" s="6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6" t="s">
        <v>494</v>
      </c>
      <c r="I4294" s="6" t="s">
        <v>14</v>
      </c>
      <c r="J4294" s="6" t="s">
        <v>394</v>
      </c>
      <c r="K4294" s="10">
        <v>29.48</v>
      </c>
      <c r="L4294" s="10">
        <v>44</v>
      </c>
      <c r="M4294" s="6" t="s">
        <v>421</v>
      </c>
      <c r="N4294" s="6" t="str">
        <f>IF(OR($G4294="FCC",$G4294="Hydrocracker",$G4294="Reformer"),IF(COUNTIFS($D:$D,$D4294,$A:$A,$A4294,$B:$B,$B4294,$G:$G,"CDU",$J:$J,"PLANNED")&gt;0,"tied","standalone"),"")</f>
        <v>standalone</v>
      </c>
    </row>
    <row r="4295" spans="1:14">
      <c r="A4295" s="6">
        <v>2024</v>
      </c>
      <c r="B4295" s="6">
        <v>9</v>
      </c>
      <c r="C4295" s="6" t="s">
        <v>68</v>
      </c>
      <c r="D4295" s="6" t="s">
        <v>1110</v>
      </c>
      <c r="E4295" s="6" t="s">
        <v>1089</v>
      </c>
      <c r="F4295" s="6" t="str">
        <f>IF($M4295="PADD I","PADD 1",IF($M4295="PADD II","PADD 2",IF($M4295="PADD III","PADD 3",IF($M4295="PADD IV","PADD 4",IF($M4295="PADD V","PADD 5","")))))</f>
        <v>PADD 2</v>
      </c>
      <c r="G4295" s="6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6" t="s">
        <v>44</v>
      </c>
      <c r="I4295" s="6" t="s">
        <v>1237</v>
      </c>
      <c r="J4295" s="6" t="s">
        <v>398</v>
      </c>
      <c r="K4295" s="10">
        <v>29.05</v>
      </c>
      <c r="L4295" s="10">
        <v>35</v>
      </c>
      <c r="M4295" s="6" t="s">
        <v>425</v>
      </c>
      <c r="N4295" s="6">
        <f>IF(OR($G4295="FCC",$G4295="Hydrocracker",$G4295="Reformer"),IF(COUNTIFS($D:$D,$D4295,$A:$A,$A4295,$B:$B,$B4295,$G:$G,"CDU",$J:$J,"PLANNED")&gt;0,"tied","standalone"),"")</f>
        <v/>
      </c>
    </row>
    <row r="4296" spans="1:14">
      <c r="A4296" s="6">
        <v>2024</v>
      </c>
      <c r="B4296" s="6">
        <v>9</v>
      </c>
      <c r="C4296" s="6" t="s">
        <v>68</v>
      </c>
      <c r="D4296" s="6" t="s">
        <v>52</v>
      </c>
      <c r="E4296" s="6" t="s">
        <v>441</v>
      </c>
      <c r="F4296" s="6" t="str">
        <f>IF($M4296="PADD I","PADD 1",IF($M4296="PADD II","PADD 2",IF($M4296="PADD III","PADD 3",IF($M4296="PADD IV","PADD 4",IF($M4296="PADD V","PADD 5","")))))</f>
        <v>PADD 5</v>
      </c>
      <c r="G4296" s="6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6" t="s">
        <v>44</v>
      </c>
      <c r="I4296" s="6" t="s">
        <v>1270</v>
      </c>
      <c r="J4296" s="6" t="s">
        <v>398</v>
      </c>
      <c r="K4296" s="10">
        <v>28</v>
      </c>
      <c r="L4296" s="10">
        <v>35</v>
      </c>
      <c r="M4296" s="6" t="s">
        <v>436</v>
      </c>
      <c r="N4296" s="6">
        <f>IF(OR($G4296="FCC",$G4296="Hydrocracker",$G4296="Reformer"),IF(COUNTIFS($D:$D,$D4296,$A:$A,$A4296,$B:$B,$B4296,$G:$G,"CDU",$J:$J,"PLANNED")&gt;0,"tied","standalone"),"")</f>
        <v/>
      </c>
    </row>
    <row r="4297" spans="1:14">
      <c r="A4297" s="6">
        <v>2024</v>
      </c>
      <c r="B4297" s="6">
        <v>9</v>
      </c>
      <c r="C4297" s="6" t="s">
        <v>68</v>
      </c>
      <c r="D4297" s="6" t="s">
        <v>52</v>
      </c>
      <c r="E4297" s="6" t="s">
        <v>441</v>
      </c>
      <c r="F4297" s="6" t="str">
        <f>IF($M4297="PADD I","PADD 1",IF($M4297="PADD II","PADD 2",IF($M4297="PADD III","PADD 3",IF($M4297="PADD IV","PADD 4",IF($M4297="PADD V","PADD 5","")))))</f>
        <v>PADD 5</v>
      </c>
      <c r="G4297" s="6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6" t="s">
        <v>44</v>
      </c>
      <c r="I4297" s="6" t="s">
        <v>909</v>
      </c>
      <c r="J4297" s="6" t="s">
        <v>394</v>
      </c>
      <c r="K4297" s="10">
        <v>28</v>
      </c>
      <c r="L4297" s="10">
        <v>35</v>
      </c>
      <c r="M4297" s="6" t="s">
        <v>436</v>
      </c>
      <c r="N4297" s="6">
        <f>IF(OR($G4297="FCC",$G4297="Hydrocracker",$G4297="Reformer"),IF(COUNTIFS($D:$D,$D4297,$A:$A,$A4297,$B:$B,$B4297,$G:$G,"CDU",$J:$J,"PLANNED")&gt;0,"tied","standalone"),"")</f>
        <v/>
      </c>
    </row>
    <row r="4298" spans="1:14">
      <c r="A4298" s="6">
        <v>2024</v>
      </c>
      <c r="B4298" s="6">
        <v>9</v>
      </c>
      <c r="C4298" s="6" t="s">
        <v>68</v>
      </c>
      <c r="D4298" s="6" t="s">
        <v>576</v>
      </c>
      <c r="E4298" s="6" t="s">
        <v>455</v>
      </c>
      <c r="F4298" s="6" t="str">
        <f>IF($M4298="PADD I","PADD 1",IF($M4298="PADD II","PADD 2",IF($M4298="PADD III","PADD 3",IF($M4298="PADD IV","PADD 4",IF($M4298="PADD V","PADD 5","")))))</f>
        <v>PADD 3</v>
      </c>
      <c r="G4298" s="6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6" t="s">
        <v>39</v>
      </c>
      <c r="I4298" s="6" t="s">
        <v>399</v>
      </c>
      <c r="J4298" s="6" t="s">
        <v>394</v>
      </c>
      <c r="K4298" s="10">
        <v>27.3</v>
      </c>
      <c r="L4298" s="10">
        <v>210</v>
      </c>
      <c r="M4298" s="6" t="s">
        <v>421</v>
      </c>
      <c r="N4298" s="6">
        <f>IF(OR($G4298="FCC",$G4298="Hydrocracker",$G4298="Reformer"),IF(COUNTIFS($D:$D,$D4298,$A:$A,$A4298,$B:$B,$B4298,$G:$G,"CDU",$J:$J,"PLANNED")&gt;0,"tied","standalone"),"")</f>
        <v/>
      </c>
    </row>
    <row r="4299" spans="1:14">
      <c r="A4299" s="6">
        <v>2024</v>
      </c>
      <c r="B4299" s="6">
        <v>9</v>
      </c>
      <c r="C4299" s="6" t="s">
        <v>68</v>
      </c>
      <c r="D4299" s="6" t="s">
        <v>1113</v>
      </c>
      <c r="E4299" s="6" t="s">
        <v>438</v>
      </c>
      <c r="F4299" s="6" t="str">
        <f>IF($M4299="PADD I","PADD 1",IF($M4299="PADD II","PADD 2",IF($M4299="PADD III","PADD 3",IF($M4299="PADD IV","PADD 4",IF($M4299="PADD V","PADD 5","")))))</f>
        <v>PADD 2</v>
      </c>
      <c r="G4299" s="6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6" t="s">
        <v>426</v>
      </c>
      <c r="I4299" s="6" t="s">
        <v>106</v>
      </c>
      <c r="J4299" s="6" t="s">
        <v>398</v>
      </c>
      <c r="K4299" s="10">
        <v>26.5</v>
      </c>
      <c r="L4299" s="10">
        <v>50</v>
      </c>
      <c r="M4299" s="6" t="s">
        <v>425</v>
      </c>
      <c r="N4299" s="6" t="str">
        <f>IF(OR($G4299="FCC",$G4299="Hydrocracker",$G4299="Reformer"),IF(COUNTIFS($D:$D,$D4299,$A:$A,$A4299,$B:$B,$B4299,$G:$G,"CDU",$J:$J,"PLANNED")&gt;0,"tied","standalone"),"")</f>
        <v>tied</v>
      </c>
    </row>
    <row r="4300" spans="1:14">
      <c r="A4300" s="6">
        <v>2024</v>
      </c>
      <c r="B4300" s="6">
        <v>9</v>
      </c>
      <c r="C4300" s="6" t="s">
        <v>68</v>
      </c>
      <c r="D4300" s="6" t="s">
        <v>592</v>
      </c>
      <c r="E4300" s="6" t="s">
        <v>593</v>
      </c>
      <c r="F4300" s="6" t="str">
        <f>IF($M4300="PADD I","PADD 1",IF($M4300="PADD II","PADD 2",IF($M4300="PADD III","PADD 3",IF($M4300="PADD IV","PADD 4",IF($M4300="PADD V","PADD 5","")))))</f>
        <v>PADD 2</v>
      </c>
      <c r="G4300" s="6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6" t="s">
        <v>39</v>
      </c>
      <c r="I4300" s="6" t="s">
        <v>924</v>
      </c>
      <c r="J4300" s="6" t="s">
        <v>398</v>
      </c>
      <c r="K4300" s="10">
        <v>25</v>
      </c>
      <c r="L4300" s="10">
        <v>125</v>
      </c>
      <c r="M4300" s="6" t="s">
        <v>425</v>
      </c>
      <c r="N4300" s="6">
        <f>IF(OR($G4300="FCC",$G4300="Hydrocracker",$G4300="Reformer"),IF(COUNTIFS($D:$D,$D4300,$A:$A,$A4300,$B:$B,$B4300,$G:$G,"CDU",$J:$J,"PLANNED")&gt;0,"tied","standalone"),"")</f>
        <v/>
      </c>
    </row>
    <row r="4301" spans="1:14">
      <c r="A4301" s="6">
        <v>2024</v>
      </c>
      <c r="B4301" s="6">
        <v>9</v>
      </c>
      <c r="C4301" s="6" t="s">
        <v>68</v>
      </c>
      <c r="D4301" s="6" t="s">
        <v>865</v>
      </c>
      <c r="E4301" s="6" t="s">
        <v>502</v>
      </c>
      <c r="F4301" s="6" t="str">
        <f>IF($M4301="PADD I","PADD 1",IF($M4301="PADD II","PADD 2",IF($M4301="PADD III","PADD 3",IF($M4301="PADD IV","PADD 4",IF($M4301="PADD V","PADD 5","")))))</f>
        <v>PADD 4</v>
      </c>
      <c r="G4301" s="6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6" t="s">
        <v>428</v>
      </c>
      <c r="I4301" s="6" t="s">
        <v>1286</v>
      </c>
      <c r="J4301" s="6" t="s">
        <v>398</v>
      </c>
      <c r="K4301" s="10">
        <v>24.9</v>
      </c>
      <c r="L4301" s="10">
        <v>30</v>
      </c>
      <c r="M4301" s="6" t="s">
        <v>480</v>
      </c>
      <c r="N4301" s="6">
        <f>IF(OR($G4301="FCC",$G4301="Hydrocracker",$G4301="Reformer"),IF(COUNTIFS($D:$D,$D4301,$A:$A,$A4301,$B:$B,$B4301,$G:$G,"CDU",$J:$J,"PLANNED")&gt;0,"tied","standalone"),"")</f>
        <v/>
      </c>
    </row>
    <row r="4302" spans="1:14">
      <c r="A4302" s="6">
        <v>2024</v>
      </c>
      <c r="B4302" s="6">
        <v>9</v>
      </c>
      <c r="C4302" s="6" t="s">
        <v>68</v>
      </c>
      <c r="D4302" s="6" t="s">
        <v>660</v>
      </c>
      <c r="E4302" s="6" t="s">
        <v>661</v>
      </c>
      <c r="F4302" s="6" t="str">
        <f>IF($M4302="PADD I","PADD 1",IF($M4302="PADD II","PADD 2",IF($M4302="PADD III","PADD 3",IF($M4302="PADD IV","PADD 4",IF($M4302="PADD V","PADD 5","")))))</f>
        <v>PADD 2</v>
      </c>
      <c r="G4302" s="6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6" t="s">
        <v>39</v>
      </c>
      <c r="I4302" s="6" t="s">
        <v>381</v>
      </c>
      <c r="J4302" s="6" t="s">
        <v>394</v>
      </c>
      <c r="K4302" s="10">
        <v>24</v>
      </c>
      <c r="L4302" s="10">
        <v>60</v>
      </c>
      <c r="M4302" s="6" t="s">
        <v>425</v>
      </c>
      <c r="N4302" s="6">
        <f>IF(OR($G4302="FCC",$G4302="Hydrocracker",$G4302="Reformer"),IF(COUNTIFS($D:$D,$D4302,$A:$A,$A4302,$B:$B,$B4302,$G:$G,"CDU",$J:$J,"PLANNED")&gt;0,"tied","standalone"),"")</f>
        <v/>
      </c>
    </row>
    <row r="4303" spans="1:14">
      <c r="A4303" s="6">
        <v>2024</v>
      </c>
      <c r="B4303" s="6">
        <v>9</v>
      </c>
      <c r="C4303" s="6" t="s">
        <v>68</v>
      </c>
      <c r="D4303" s="6" t="s">
        <v>576</v>
      </c>
      <c r="E4303" s="6" t="s">
        <v>455</v>
      </c>
      <c r="F4303" s="6" t="str">
        <f>IF($M4303="PADD I","PADD 1",IF($M4303="PADD II","PADD 2",IF($M4303="PADD III","PADD 3",IF($M4303="PADD IV","PADD 4",IF($M4303="PADD V","PADD 5","")))))</f>
        <v>PADD 3</v>
      </c>
      <c r="G4303" s="6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6" t="s">
        <v>428</v>
      </c>
      <c r="I4303" s="6" t="s">
        <v>699</v>
      </c>
      <c r="J4303" s="6" t="s">
        <v>394</v>
      </c>
      <c r="K4303" s="10">
        <v>22.36</v>
      </c>
      <c r="L4303" s="10">
        <v>172</v>
      </c>
      <c r="M4303" s="6" t="s">
        <v>421</v>
      </c>
      <c r="N4303" s="6">
        <f>IF(OR($G4303="FCC",$G4303="Hydrocracker",$G4303="Reformer"),IF(COUNTIFS($D:$D,$D4303,$A:$A,$A4303,$B:$B,$B4303,$G:$G,"CDU",$J:$J,"PLANNED")&gt;0,"tied","standalone"),"")</f>
        <v/>
      </c>
    </row>
    <row r="4304" spans="1:14">
      <c r="A4304" s="6">
        <v>2024</v>
      </c>
      <c r="B4304" s="6">
        <v>9</v>
      </c>
      <c r="C4304" s="6" t="s">
        <v>68</v>
      </c>
      <c r="D4304" s="6" t="s">
        <v>652</v>
      </c>
      <c r="E4304" s="6" t="s">
        <v>419</v>
      </c>
      <c r="F4304" s="6" t="str">
        <f>IF($M4304="PADD I","PADD 1",IF($M4304="PADD II","PADD 2",IF($M4304="PADD III","PADD 3",IF($M4304="PADD IV","PADD 4",IF($M4304="PADD V","PADD 5","")))))</f>
        <v>PADD 2</v>
      </c>
      <c r="G4304" s="6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6" t="s">
        <v>426</v>
      </c>
      <c r="I4304" s="6" t="s">
        <v>704</v>
      </c>
      <c r="J4304" s="6" t="s">
        <v>394</v>
      </c>
      <c r="K4304" s="10">
        <v>21.58</v>
      </c>
      <c r="L4304" s="10">
        <v>26</v>
      </c>
      <c r="M4304" s="6" t="s">
        <v>425</v>
      </c>
      <c r="N4304" s="6" t="str">
        <f>IF(OR($G4304="FCC",$G4304="Hydrocracker",$G4304="Reformer"),IF(COUNTIFS($D:$D,$D4304,$A:$A,$A4304,$B:$B,$B4304,$G:$G,"CDU",$J:$J,"PLANNED")&gt;0,"tied","standalone"),"")</f>
        <v>tied</v>
      </c>
    </row>
    <row r="4305" spans="1:14">
      <c r="A4305" s="6">
        <v>2024</v>
      </c>
      <c r="B4305" s="6">
        <v>9</v>
      </c>
      <c r="C4305" s="6" t="s">
        <v>68</v>
      </c>
      <c r="D4305" s="6" t="s">
        <v>380</v>
      </c>
      <c r="E4305" s="6" t="s">
        <v>423</v>
      </c>
      <c r="F4305" s="6" t="str">
        <f>IF($M4305="PADD I","PADD 1",IF($M4305="PADD II","PADD 2",IF($M4305="PADD III","PADD 3",IF($M4305="PADD IV","PADD 4",IF($M4305="PADD V","PADD 5","")))))</f>
        <v>PADD 2</v>
      </c>
      <c r="G4305" s="6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6" t="s">
        <v>485</v>
      </c>
      <c r="I4305" s="6" t="s">
        <v>491</v>
      </c>
      <c r="J4305" s="6" t="s">
        <v>394</v>
      </c>
      <c r="K4305" s="10">
        <v>21.39</v>
      </c>
      <c r="L4305" s="10">
        <v>23</v>
      </c>
      <c r="M4305" s="6" t="s">
        <v>425</v>
      </c>
      <c r="N4305" s="6">
        <f>IF(OR($G4305="FCC",$G4305="Hydrocracker",$G4305="Reformer"),IF(COUNTIFS($D:$D,$D4305,$A:$A,$A4305,$B:$B,$B4305,$G:$G,"CDU",$J:$J,"PLANNED")&gt;0,"tied","standalone"),"")</f>
        <v/>
      </c>
    </row>
    <row r="4306" spans="1:14">
      <c r="A4306" s="6">
        <v>2024</v>
      </c>
      <c r="B4306" s="6">
        <v>9</v>
      </c>
      <c r="C4306" s="6" t="s">
        <v>68</v>
      </c>
      <c r="D4306" s="6" t="s">
        <v>1113</v>
      </c>
      <c r="E4306" s="6" t="s">
        <v>438</v>
      </c>
      <c r="F4306" s="6" t="str">
        <f>IF($M4306="PADD I","PADD 1",IF($M4306="PADD II","PADD 2",IF($M4306="PADD III","PADD 3",IF($M4306="PADD IV","PADD 4",IF($M4306="PADD V","PADD 5","")))))</f>
        <v>PADD 2</v>
      </c>
      <c r="G4306" s="6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6" t="s">
        <v>44</v>
      </c>
      <c r="I4306" s="6" t="s">
        <v>499</v>
      </c>
      <c r="J4306" s="6" t="s">
        <v>398</v>
      </c>
      <c r="K4306" s="10">
        <v>20.79</v>
      </c>
      <c r="L4306" s="10">
        <v>33</v>
      </c>
      <c r="M4306" s="6" t="s">
        <v>425</v>
      </c>
      <c r="N4306" s="6">
        <f>IF(OR($G4306="FCC",$G4306="Hydrocracker",$G4306="Reformer"),IF(COUNTIFS($D:$D,$D4306,$A:$A,$A4306,$B:$B,$B4306,$G:$G,"CDU",$J:$J,"PLANNED")&gt;0,"tied","standalone"),"")</f>
        <v/>
      </c>
    </row>
    <row r="4307" spans="1:14">
      <c r="A4307" s="6">
        <v>2024</v>
      </c>
      <c r="B4307" s="6">
        <v>9</v>
      </c>
      <c r="C4307" s="6" t="s">
        <v>68</v>
      </c>
      <c r="D4307" s="6" t="s">
        <v>41</v>
      </c>
      <c r="E4307" s="6" t="s">
        <v>786</v>
      </c>
      <c r="F4307" s="6" t="str">
        <f>IF($M4307="PADD I","PADD 1",IF($M4307="PADD II","PADD 2",IF($M4307="PADD III","PADD 3",IF($M4307="PADD IV","PADD 4",IF($M4307="PADD V","PADD 5","")))))</f>
        <v>PADD 1</v>
      </c>
      <c r="G4307" s="6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6" t="s">
        <v>428</v>
      </c>
      <c r="I4307" s="6" t="s">
        <v>1013</v>
      </c>
      <c r="J4307" s="6" t="s">
        <v>398</v>
      </c>
      <c r="K4307" s="10">
        <v>20.1939</v>
      </c>
      <c r="L4307" s="10">
        <v>24.33</v>
      </c>
      <c r="M4307" s="6" t="s">
        <v>463</v>
      </c>
      <c r="N4307" s="6">
        <f>IF(OR($G4307="FCC",$G4307="Hydrocracker",$G4307="Reformer"),IF(COUNTIFS($D:$D,$D4307,$A:$A,$A4307,$B:$B,$B4307,$G:$G,"CDU",$J:$J,"PLANNED")&gt;0,"tied","standalone"),"")</f>
        <v/>
      </c>
    </row>
    <row r="4308" spans="1:14">
      <c r="A4308" s="6">
        <v>2024</v>
      </c>
      <c r="B4308" s="6">
        <v>9</v>
      </c>
      <c r="C4308" s="6" t="s">
        <v>68</v>
      </c>
      <c r="D4308" s="6" t="s">
        <v>725</v>
      </c>
      <c r="E4308" s="6" t="s">
        <v>502</v>
      </c>
      <c r="F4308" s="6" t="str">
        <f>IF($M4308="PADD I","PADD 1",IF($M4308="PADD II","PADD 2",IF($M4308="PADD III","PADD 3",IF($M4308="PADD IV","PADD 4",IF($M4308="PADD V","PADD 5","")))))</f>
        <v>PADD 2</v>
      </c>
      <c r="G4308" s="6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6" t="s">
        <v>39</v>
      </c>
      <c r="I4308" s="6" t="s">
        <v>82</v>
      </c>
      <c r="J4308" s="6" t="s">
        <v>398</v>
      </c>
      <c r="K4308" s="10">
        <v>20.1204</v>
      </c>
      <c r="L4308" s="10">
        <v>87.48</v>
      </c>
      <c r="M4308" s="6" t="s">
        <v>425</v>
      </c>
      <c r="N4308" s="6">
        <f>IF(OR($G4308="FCC",$G4308="Hydrocracker",$G4308="Reformer"),IF(COUNTIFS($D:$D,$D4308,$A:$A,$A4308,$B:$B,$B4308,$G:$G,"CDU",$J:$J,"PLANNED")&gt;0,"tied","standalone"),"")</f>
        <v/>
      </c>
    </row>
    <row r="4309" spans="1:14">
      <c r="A4309" s="6">
        <v>2024</v>
      </c>
      <c r="B4309" s="6">
        <v>9</v>
      </c>
      <c r="C4309" s="6" t="s">
        <v>68</v>
      </c>
      <c r="D4309" s="6" t="s">
        <v>370</v>
      </c>
      <c r="E4309" s="6" t="s">
        <v>431</v>
      </c>
      <c r="F4309" s="6" t="str">
        <f>IF($M4309="PADD I","PADD 1",IF($M4309="PADD II","PADD 2",IF($M4309="PADD III","PADD 3",IF($M4309="PADD IV","PADD 4",IF($M4309="PADD V","PADD 5","")))))</f>
        <v>PADD 2</v>
      </c>
      <c r="G4309" s="6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6" t="s">
        <v>39</v>
      </c>
      <c r="I4309" s="6" t="s">
        <v>82</v>
      </c>
      <c r="J4309" s="6" t="s">
        <v>394</v>
      </c>
      <c r="K4309" s="10">
        <v>19.8</v>
      </c>
      <c r="L4309" s="10">
        <v>60</v>
      </c>
      <c r="M4309" s="6" t="s">
        <v>425</v>
      </c>
      <c r="N4309" s="6">
        <f>IF(OR($G4309="FCC",$G4309="Hydrocracker",$G4309="Reformer"),IF(COUNTIFS($D:$D,$D4309,$A:$A,$A4309,$B:$B,$B4309,$G:$G,"CDU",$J:$J,"PLANNED")&gt;0,"tied","standalone"),"")</f>
        <v/>
      </c>
    </row>
    <row r="4310" spans="1:14">
      <c r="A4310" s="6">
        <v>2024</v>
      </c>
      <c r="B4310" s="6">
        <v>9</v>
      </c>
      <c r="C4310" s="6" t="s">
        <v>68</v>
      </c>
      <c r="D4310" s="6" t="s">
        <v>764</v>
      </c>
      <c r="E4310" s="6" t="s">
        <v>455</v>
      </c>
      <c r="F4310" s="6" t="str">
        <f>IF($M4310="PADD I","PADD 1",IF($M4310="PADD II","PADD 2",IF($M4310="PADD III","PADD 3",IF($M4310="PADD IV","PADD 4",IF($M4310="PADD V","PADD 5","")))))</f>
        <v>PADD 3</v>
      </c>
      <c r="G4310" s="6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6" t="s">
        <v>39</v>
      </c>
      <c r="I4310" s="6" t="s">
        <v>136</v>
      </c>
      <c r="J4310" s="6" t="s">
        <v>398</v>
      </c>
      <c r="K4310" s="10">
        <v>19.55</v>
      </c>
      <c r="L4310" s="10">
        <v>115</v>
      </c>
      <c r="M4310" s="6" t="s">
        <v>421</v>
      </c>
      <c r="N4310" s="6">
        <f>IF(OR($G4310="FCC",$G4310="Hydrocracker",$G4310="Reformer"),IF(COUNTIFS($D:$D,$D4310,$A:$A,$A4310,$B:$B,$B4310,$G:$G,"CDU",$J:$J,"PLANNED")&gt;0,"tied","standalone"),"")</f>
        <v/>
      </c>
    </row>
    <row r="4311" spans="1:14">
      <c r="A4311" s="6">
        <v>2024</v>
      </c>
      <c r="B4311" s="6">
        <v>9</v>
      </c>
      <c r="C4311" s="6" t="s">
        <v>68</v>
      </c>
      <c r="D4311" s="6" t="s">
        <v>1113</v>
      </c>
      <c r="E4311" s="6" t="s">
        <v>438</v>
      </c>
      <c r="F4311" s="6" t="str">
        <f>IF($M4311="PADD I","PADD 1",IF($M4311="PADD II","PADD 2",IF($M4311="PADD III","PADD 3",IF($M4311="PADD IV","PADD 4",IF($M4311="PADD V","PADD 5","")))))</f>
        <v>PADD 2</v>
      </c>
      <c r="G4311" s="6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6" t="s">
        <v>44</v>
      </c>
      <c r="I4311" s="6" t="s">
        <v>1118</v>
      </c>
      <c r="J4311" s="6" t="s">
        <v>398</v>
      </c>
      <c r="K4311" s="10">
        <v>19.53</v>
      </c>
      <c r="L4311" s="10">
        <v>31</v>
      </c>
      <c r="M4311" s="6" t="s">
        <v>425</v>
      </c>
      <c r="N4311" s="6">
        <f>IF(OR($G4311="FCC",$G4311="Hydrocracker",$G4311="Reformer"),IF(COUNTIFS($D:$D,$D4311,$A:$A,$A4311,$B:$B,$B4311,$G:$G,"CDU",$J:$J,"PLANNED")&gt;0,"tied","standalone"),"")</f>
        <v/>
      </c>
    </row>
    <row r="4312" spans="1:14">
      <c r="A4312" s="6">
        <v>2024</v>
      </c>
      <c r="B4312" s="6">
        <v>9</v>
      </c>
      <c r="C4312" s="6" t="s">
        <v>68</v>
      </c>
      <c r="D4312" s="6" t="s">
        <v>373</v>
      </c>
      <c r="E4312" s="6" t="s">
        <v>438</v>
      </c>
      <c r="F4312" s="6" t="str">
        <f>IF($M4312="PADD I","PADD 1",IF($M4312="PADD II","PADD 2",IF($M4312="PADD III","PADD 3",IF($M4312="PADD IV","PADD 4",IF($M4312="PADD V","PADD 5","")))))</f>
        <v>PADD 3</v>
      </c>
      <c r="G4312" s="6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6" t="s">
        <v>39</v>
      </c>
      <c r="I4312" s="6" t="s">
        <v>100</v>
      </c>
      <c r="J4312" s="6" t="s">
        <v>394</v>
      </c>
      <c r="K4312" s="10">
        <v>19.25</v>
      </c>
      <c r="L4312" s="10">
        <v>275</v>
      </c>
      <c r="M4312" s="6" t="s">
        <v>421</v>
      </c>
      <c r="N4312" s="6">
        <f>IF(OR($G4312="FCC",$G4312="Hydrocracker",$G4312="Reformer"),IF(COUNTIFS($D:$D,$D4312,$A:$A,$A4312,$B:$B,$B4312,$G:$G,"CDU",$J:$J,"PLANNED")&gt;0,"tied","standalone"),"")</f>
        <v/>
      </c>
    </row>
    <row r="4313" spans="1:14">
      <c r="A4313" s="6">
        <v>2024</v>
      </c>
      <c r="B4313" s="6">
        <v>9</v>
      </c>
      <c r="C4313" s="6" t="s">
        <v>68</v>
      </c>
      <c r="D4313" s="6" t="s">
        <v>1088</v>
      </c>
      <c r="E4313" s="6" t="s">
        <v>1089</v>
      </c>
      <c r="F4313" s="6" t="str">
        <f>IF($M4313="PADD I","PADD 1",IF($M4313="PADD II","PADD 2",IF($M4313="PADD III","PADD 3",IF($M4313="PADD IV","PADD 4",IF($M4313="PADD V","PADD 5","")))))</f>
        <v>PADD 2</v>
      </c>
      <c r="G4313" s="6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6" t="s">
        <v>39</v>
      </c>
      <c r="I4313" s="6" t="s">
        <v>1090</v>
      </c>
      <c r="J4313" s="6" t="s">
        <v>394</v>
      </c>
      <c r="K4313" s="10">
        <v>19</v>
      </c>
      <c r="L4313" s="10">
        <v>95</v>
      </c>
      <c r="M4313" s="6" t="s">
        <v>425</v>
      </c>
      <c r="N4313" s="6">
        <f>IF(OR($G4313="FCC",$G4313="Hydrocracker",$G4313="Reformer"),IF(COUNTIFS($D:$D,$D4313,$A:$A,$A4313,$B:$B,$B4313,$G:$G,"CDU",$J:$J,"PLANNED")&gt;0,"tied","standalone"),"")</f>
        <v/>
      </c>
    </row>
    <row r="4314" spans="1:14">
      <c r="A4314" s="6">
        <v>2024</v>
      </c>
      <c r="B4314" s="6">
        <v>9</v>
      </c>
      <c r="C4314" s="6" t="s">
        <v>68</v>
      </c>
      <c r="D4314" s="6" t="s">
        <v>1113</v>
      </c>
      <c r="E4314" s="6" t="s">
        <v>438</v>
      </c>
      <c r="F4314" s="6" t="str">
        <f>IF($M4314="PADD I","PADD 1",IF($M4314="PADD II","PADD 2",IF($M4314="PADD III","PADD 3",IF($M4314="PADD IV","PADD 4",IF($M4314="PADD V","PADD 5","")))))</f>
        <v>PADD 2</v>
      </c>
      <c r="G4314" s="6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6" t="s">
        <v>428</v>
      </c>
      <c r="I4314" s="6" t="s">
        <v>481</v>
      </c>
      <c r="J4314" s="6" t="s">
        <v>398</v>
      </c>
      <c r="K4314" s="10">
        <v>19</v>
      </c>
      <c r="L4314" s="10">
        <v>38</v>
      </c>
      <c r="M4314" s="6" t="s">
        <v>425</v>
      </c>
      <c r="N4314" s="6">
        <f>IF(OR($G4314="FCC",$G4314="Hydrocracker",$G4314="Reformer"),IF(COUNTIFS($D:$D,$D4314,$A:$A,$A4314,$B:$B,$B4314,$G:$G,"CDU",$J:$J,"PLANNED")&gt;0,"tied","standalone"),"")</f>
        <v/>
      </c>
    </row>
    <row r="4315" spans="1:14">
      <c r="A4315" s="6">
        <v>2024</v>
      </c>
      <c r="B4315" s="6">
        <v>9</v>
      </c>
      <c r="C4315" s="6" t="s">
        <v>68</v>
      </c>
      <c r="D4315" s="6" t="s">
        <v>1113</v>
      </c>
      <c r="E4315" s="6" t="s">
        <v>438</v>
      </c>
      <c r="F4315" s="6" t="str">
        <f>IF($M4315="PADD I","PADD 1",IF($M4315="PADD II","PADD 2",IF($M4315="PADD III","PADD 3",IF($M4315="PADD IV","PADD 4",IF($M4315="PADD V","PADD 5","")))))</f>
        <v>PADD 2</v>
      </c>
      <c r="G4315" s="6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6" t="s">
        <v>44</v>
      </c>
      <c r="I4315" s="6" t="s">
        <v>543</v>
      </c>
      <c r="J4315" s="6" t="s">
        <v>394</v>
      </c>
      <c r="K4315" s="10">
        <v>18.02</v>
      </c>
      <c r="L4315" s="10">
        <v>34</v>
      </c>
      <c r="M4315" s="6" t="s">
        <v>425</v>
      </c>
      <c r="N4315" s="6">
        <f>IF(OR($G4315="FCC",$G4315="Hydrocracker",$G4315="Reformer"),IF(COUNTIFS($D:$D,$D4315,$A:$A,$A4315,$B:$B,$B4315,$G:$G,"CDU",$J:$J,"PLANNED")&gt;0,"tied","standalone"),"")</f>
        <v/>
      </c>
    </row>
    <row r="4316" spans="1:14">
      <c r="A4316" s="6">
        <v>2024</v>
      </c>
      <c r="B4316" s="6">
        <v>9</v>
      </c>
      <c r="C4316" s="6" t="s">
        <v>68</v>
      </c>
      <c r="D4316" s="6" t="s">
        <v>373</v>
      </c>
      <c r="E4316" s="6" t="s">
        <v>438</v>
      </c>
      <c r="F4316" s="6" t="str">
        <f>IF($M4316="PADD I","PADD 1",IF($M4316="PADD II","PADD 2",IF($M4316="PADD III","PADD 3",IF($M4316="PADD IV","PADD 4",IF($M4316="PADD V","PADD 5","")))))</f>
        <v>PADD 3</v>
      </c>
      <c r="G4316" s="6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6" t="s">
        <v>44</v>
      </c>
      <c r="I4316" s="6" t="s">
        <v>743</v>
      </c>
      <c r="J4316" s="6" t="s">
        <v>394</v>
      </c>
      <c r="K4316" s="10">
        <v>17.415</v>
      </c>
      <c r="L4316" s="10">
        <v>40.5</v>
      </c>
      <c r="M4316" s="6" t="s">
        <v>421</v>
      </c>
      <c r="N4316" s="6">
        <f>IF(OR($G4316="FCC",$G4316="Hydrocracker",$G4316="Reformer"),IF(COUNTIFS($D:$D,$D4316,$A:$A,$A4316,$B:$B,$B4316,$G:$G,"CDU",$J:$J,"PLANNED")&gt;0,"tied","standalone"),"")</f>
        <v/>
      </c>
    </row>
    <row r="4317" spans="1:14">
      <c r="A4317" s="6">
        <v>2024</v>
      </c>
      <c r="B4317" s="6">
        <v>9</v>
      </c>
      <c r="C4317" s="6" t="s">
        <v>68</v>
      </c>
      <c r="D4317" s="6" t="s">
        <v>377</v>
      </c>
      <c r="E4317" s="6" t="s">
        <v>466</v>
      </c>
      <c r="F4317" s="6" t="str">
        <f>IF($M4317="PADD I","PADD 1",IF($M4317="PADD II","PADD 2",IF($M4317="PADD III","PADD 3",IF($M4317="PADD IV","PADD 4",IF($M4317="PADD V","PADD 5","")))))</f>
        <v>PADD 2</v>
      </c>
      <c r="G4317" s="6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6" t="s">
        <v>471</v>
      </c>
      <c r="I4317" s="6" t="s">
        <v>1287</v>
      </c>
      <c r="J4317" s="6" t="s">
        <v>398</v>
      </c>
      <c r="K4317" s="10">
        <v>16.6</v>
      </c>
      <c r="L4317" s="10">
        <v>20</v>
      </c>
      <c r="M4317" s="6" t="s">
        <v>425</v>
      </c>
      <c r="N4317" s="6" t="str">
        <f>IF(OR($G4317="FCC",$G4317="Hydrocracker",$G4317="Reformer"),IF(COUNTIFS($D:$D,$D4317,$A:$A,$A4317,$B:$B,$B4317,$G:$G,"CDU",$J:$J,"PLANNED")&gt;0,"tied","standalone"),"")</f>
        <v>standalone</v>
      </c>
    </row>
    <row r="4318" spans="1:14">
      <c r="A4318" s="6">
        <v>2024</v>
      </c>
      <c r="B4318" s="6">
        <v>9</v>
      </c>
      <c r="C4318" s="6" t="s">
        <v>68</v>
      </c>
      <c r="D4318" s="6" t="s">
        <v>383</v>
      </c>
      <c r="E4318" s="6" t="s">
        <v>602</v>
      </c>
      <c r="F4318" s="6" t="str">
        <f>IF($M4318="PADD I","PADD 1",IF($M4318="PADD II","PADD 2",IF($M4318="PADD III","PADD 3",IF($M4318="PADD IV","PADD 4",IF($M4318="PADD V","PADD 5","")))))</f>
        <v>PADD 3</v>
      </c>
      <c r="G4318" s="6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6" t="s">
        <v>426</v>
      </c>
      <c r="I4318" s="6" t="s">
        <v>663</v>
      </c>
      <c r="J4318" s="6" t="s">
        <v>398</v>
      </c>
      <c r="K4318" s="10">
        <v>16.6</v>
      </c>
      <c r="L4318" s="10">
        <v>20</v>
      </c>
      <c r="M4318" s="6" t="s">
        <v>421</v>
      </c>
      <c r="N4318" s="6" t="str">
        <f>IF(OR($G4318="FCC",$G4318="Hydrocracker",$G4318="Reformer"),IF(COUNTIFS($D:$D,$D4318,$A:$A,$A4318,$B:$B,$B4318,$G:$G,"CDU",$J:$J,"PLANNED")&gt;0,"tied","standalone"),"")</f>
        <v>tied</v>
      </c>
    </row>
    <row r="4319" spans="1:14">
      <c r="A4319" s="6">
        <v>2024</v>
      </c>
      <c r="B4319" s="6">
        <v>9</v>
      </c>
      <c r="C4319" s="6" t="s">
        <v>68</v>
      </c>
      <c r="D4319" s="6" t="s">
        <v>592</v>
      </c>
      <c r="E4319" s="6" t="s">
        <v>593</v>
      </c>
      <c r="F4319" s="6" t="str">
        <f>IF($M4319="PADD I","PADD 1",IF($M4319="PADD II","PADD 2",IF($M4319="PADD III","PADD 3",IF($M4319="PADD IV","PADD 4",IF($M4319="PADD V","PADD 5","")))))</f>
        <v>PADD 2</v>
      </c>
      <c r="G4319" s="6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6" t="s">
        <v>471</v>
      </c>
      <c r="I4319" s="6" t="s">
        <v>1162</v>
      </c>
      <c r="J4319" s="6" t="s">
        <v>394</v>
      </c>
      <c r="K4319" s="10">
        <v>16.1</v>
      </c>
      <c r="L4319" s="10">
        <v>70</v>
      </c>
      <c r="M4319" s="6" t="s">
        <v>425</v>
      </c>
      <c r="N4319" s="6" t="str">
        <f>IF(OR($G4319="FCC",$G4319="Hydrocracker",$G4319="Reformer"),IF(COUNTIFS($D:$D,$D4319,$A:$A,$A4319,$B:$B,$B4319,$G:$G,"CDU",$J:$J,"PLANNED")&gt;0,"tied","standalone"),"")</f>
        <v>tied</v>
      </c>
    </row>
    <row r="4320" spans="1:14">
      <c r="A4320" s="6">
        <v>2024</v>
      </c>
      <c r="B4320" s="6">
        <v>9</v>
      </c>
      <c r="C4320" s="6" t="s">
        <v>68</v>
      </c>
      <c r="D4320" s="6" t="s">
        <v>853</v>
      </c>
      <c r="E4320" s="6" t="s">
        <v>438</v>
      </c>
      <c r="F4320" s="6" t="str">
        <f>IF($M4320="PADD I","PADD 1",IF($M4320="PADD II","PADD 2",IF($M4320="PADD III","PADD 3",IF($M4320="PADD IV","PADD 4",IF($M4320="PADD V","PADD 5","")))))</f>
        <v>PADD 2</v>
      </c>
      <c r="G4320" s="6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6" t="s">
        <v>44</v>
      </c>
      <c r="I4320" s="6" t="s">
        <v>968</v>
      </c>
      <c r="J4320" s="6" t="s">
        <v>394</v>
      </c>
      <c r="K4320" s="10">
        <v>15.04</v>
      </c>
      <c r="L4320" s="10">
        <v>32</v>
      </c>
      <c r="M4320" s="6" t="s">
        <v>425</v>
      </c>
      <c r="N4320" s="6">
        <f>IF(OR($G4320="FCC",$G4320="Hydrocracker",$G4320="Reformer"),IF(COUNTIFS($D:$D,$D4320,$A:$A,$A4320,$B:$B,$B4320,$G:$G,"CDU",$J:$J,"PLANNED")&gt;0,"tied","standalone"),"")</f>
        <v/>
      </c>
    </row>
    <row r="4321" spans="1:14">
      <c r="A4321" s="6">
        <v>2024</v>
      </c>
      <c r="B4321" s="6">
        <v>9</v>
      </c>
      <c r="C4321" s="6" t="s">
        <v>68</v>
      </c>
      <c r="D4321" s="6" t="s">
        <v>458</v>
      </c>
      <c r="E4321" s="6" t="s">
        <v>459</v>
      </c>
      <c r="F4321" s="6" t="str">
        <f>IF($M4321="PADD I","PADD 1",IF($M4321="PADD II","PADD 2",IF($M4321="PADD III","PADD 3",IF($M4321="PADD IV","PADD 4",IF($M4321="PADD V","PADD 5","")))))</f>
        <v>PADD 3</v>
      </c>
      <c r="G4321" s="6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6" t="s">
        <v>39</v>
      </c>
      <c r="I4321" s="6" t="s">
        <v>460</v>
      </c>
      <c r="J4321" s="6" t="s">
        <v>398</v>
      </c>
      <c r="K4321" s="10">
        <v>15</v>
      </c>
      <c r="L4321" s="10">
        <v>150</v>
      </c>
      <c r="M4321" s="6" t="s">
        <v>421</v>
      </c>
      <c r="N4321" s="6">
        <f>IF(OR($G4321="FCC",$G4321="Hydrocracker",$G4321="Reformer"),IF(COUNTIFS($D:$D,$D4321,$A:$A,$A4321,$B:$B,$B4321,$G:$G,"CDU",$J:$J,"PLANNED")&gt;0,"tied","standalone"),"")</f>
        <v/>
      </c>
    </row>
    <row r="4322" spans="1:14">
      <c r="A4322" s="6">
        <v>2024</v>
      </c>
      <c r="B4322" s="6">
        <v>9</v>
      </c>
      <c r="C4322" s="6" t="s">
        <v>68</v>
      </c>
      <c r="D4322" s="6" t="s">
        <v>773</v>
      </c>
      <c r="E4322" s="6" t="s">
        <v>774</v>
      </c>
      <c r="F4322" s="6" t="str">
        <f>IF($M4322="PADD I","PADD 1",IF($M4322="PADD II","PADD 2",IF($M4322="PADD III","PADD 3",IF($M4322="PADD IV","PADD 4",IF($M4322="PADD V","PADD 5","")))))</f>
        <v>PADD 4</v>
      </c>
      <c r="G4322" s="6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6" t="s">
        <v>44</v>
      </c>
      <c r="I4322" s="6" t="s">
        <v>1275</v>
      </c>
      <c r="J4322" s="6" t="s">
        <v>398</v>
      </c>
      <c r="K4322" s="10">
        <v>15</v>
      </c>
      <c r="L4322" s="10">
        <v>15</v>
      </c>
      <c r="M4322" s="6" t="s">
        <v>480</v>
      </c>
      <c r="N4322" s="6">
        <f>IF(OR($G4322="FCC",$G4322="Hydrocracker",$G4322="Reformer"),IF(COUNTIFS($D:$D,$D4322,$A:$A,$A4322,$B:$B,$B4322,$G:$G,"CDU",$J:$J,"PLANNED")&gt;0,"tied","standalone"),"")</f>
        <v/>
      </c>
    </row>
    <row r="4323" spans="1:14">
      <c r="A4323" s="6">
        <v>2024</v>
      </c>
      <c r="B4323" s="6">
        <v>9</v>
      </c>
      <c r="C4323" s="6" t="s">
        <v>68</v>
      </c>
      <c r="D4323" s="6" t="s">
        <v>382</v>
      </c>
      <c r="E4323" s="6" t="s">
        <v>431</v>
      </c>
      <c r="F4323" s="6" t="str">
        <f>IF($M4323="PADD I","PADD 1",IF($M4323="PADD II","PADD 2",IF($M4323="PADD III","PADD 3",IF($M4323="PADD IV","PADD 4",IF($M4323="PADD V","PADD 5","")))))</f>
        <v>PADD 3</v>
      </c>
      <c r="G4323" s="6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6" t="s">
        <v>494</v>
      </c>
      <c r="I4323" s="6" t="s">
        <v>14</v>
      </c>
      <c r="J4323" s="6" t="s">
        <v>394</v>
      </c>
      <c r="K4323" s="10">
        <v>14.95</v>
      </c>
      <c r="L4323" s="10">
        <v>65</v>
      </c>
      <c r="M4323" s="6" t="s">
        <v>421</v>
      </c>
      <c r="N4323" s="6" t="str">
        <f>IF(OR($G4323="FCC",$G4323="Hydrocracker",$G4323="Reformer"),IF(COUNTIFS($D:$D,$D4323,$A:$A,$A4323,$B:$B,$B4323,$G:$G,"CDU",$J:$J,"PLANNED")&gt;0,"tied","standalone"),"")</f>
        <v>standalone</v>
      </c>
    </row>
    <row r="4324" spans="1:14">
      <c r="A4324" s="6">
        <v>2024</v>
      </c>
      <c r="B4324" s="6">
        <v>9</v>
      </c>
      <c r="C4324" s="6" t="s">
        <v>68</v>
      </c>
      <c r="D4324" s="6" t="s">
        <v>382</v>
      </c>
      <c r="E4324" s="6" t="s">
        <v>431</v>
      </c>
      <c r="F4324" s="6" t="str">
        <f>IF($M4324="PADD I","PADD 1",IF($M4324="PADD II","PADD 2",IF($M4324="PADD III","PADD 3",IF($M4324="PADD IV","PADD 4",IF($M4324="PADD V","PADD 5","")))))</f>
        <v>PADD 3</v>
      </c>
      <c r="G4324" s="6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6" t="s">
        <v>494</v>
      </c>
      <c r="I4324" s="6" t="s">
        <v>14</v>
      </c>
      <c r="J4324" s="6" t="s">
        <v>394</v>
      </c>
      <c r="K4324" s="10">
        <v>14.95</v>
      </c>
      <c r="L4324" s="10">
        <v>65</v>
      </c>
      <c r="M4324" s="6" t="s">
        <v>421</v>
      </c>
      <c r="N4324" s="6" t="str">
        <f>IF(OR($G4324="FCC",$G4324="Hydrocracker",$G4324="Reformer"),IF(COUNTIFS($D:$D,$D4324,$A:$A,$A4324,$B:$B,$B4324,$G:$G,"CDU",$J:$J,"PLANNED")&gt;0,"tied","standalone"),"")</f>
        <v>standalone</v>
      </c>
    </row>
    <row r="4325" spans="1:14">
      <c r="A4325" s="6">
        <v>2024</v>
      </c>
      <c r="B4325" s="6">
        <v>9</v>
      </c>
      <c r="C4325" s="6" t="s">
        <v>68</v>
      </c>
      <c r="D4325" s="6" t="s">
        <v>865</v>
      </c>
      <c r="E4325" s="6" t="s">
        <v>502</v>
      </c>
      <c r="F4325" s="6" t="str">
        <f>IF($M4325="PADD I","PADD 1",IF($M4325="PADD II","PADD 2",IF($M4325="PADD III","PADD 3",IF($M4325="PADD IV","PADD 4",IF($M4325="PADD V","PADD 5","")))))</f>
        <v>PADD 4</v>
      </c>
      <c r="G4325" s="6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6" t="s">
        <v>485</v>
      </c>
      <c r="I4325" s="6" t="s">
        <v>491</v>
      </c>
      <c r="J4325" s="6" t="s">
        <v>398</v>
      </c>
      <c r="K4325" s="10">
        <v>14.88</v>
      </c>
      <c r="L4325" s="10">
        <v>16</v>
      </c>
      <c r="M4325" s="6" t="s">
        <v>480</v>
      </c>
      <c r="N4325" s="6">
        <f>IF(OR($G4325="FCC",$G4325="Hydrocracker",$G4325="Reformer"),IF(COUNTIFS($D:$D,$D4325,$A:$A,$A4325,$B:$B,$B4325,$G:$G,"CDU",$J:$J,"PLANNED")&gt;0,"tied","standalone"),"")</f>
        <v/>
      </c>
    </row>
    <row r="4326" spans="1:14">
      <c r="A4326" s="6">
        <v>2024</v>
      </c>
      <c r="B4326" s="6">
        <v>9</v>
      </c>
      <c r="C4326" s="6" t="s">
        <v>68</v>
      </c>
      <c r="D4326" s="6" t="s">
        <v>373</v>
      </c>
      <c r="E4326" s="6" t="s">
        <v>438</v>
      </c>
      <c r="F4326" s="6" t="str">
        <f>IF($M4326="PADD I","PADD 1",IF($M4326="PADD II","PADD 2",IF($M4326="PADD III","PADD 3",IF($M4326="PADD IV","PADD 4",IF($M4326="PADD V","PADD 5","")))))</f>
        <v>PADD 3</v>
      </c>
      <c r="G4326" s="6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6" t="s">
        <v>39</v>
      </c>
      <c r="I4326" s="6" t="s">
        <v>97</v>
      </c>
      <c r="J4326" s="6" t="s">
        <v>394</v>
      </c>
      <c r="K4326" s="10">
        <v>14.5</v>
      </c>
      <c r="L4326" s="10">
        <v>145</v>
      </c>
      <c r="M4326" s="6" t="s">
        <v>421</v>
      </c>
      <c r="N4326" s="6">
        <f>IF(OR($G4326="FCC",$G4326="Hydrocracker",$G4326="Reformer"),IF(COUNTIFS($D:$D,$D4326,$A:$A,$A4326,$B:$B,$B4326,$G:$G,"CDU",$J:$J,"PLANNED")&gt;0,"tied","standalone"),"")</f>
        <v/>
      </c>
    </row>
    <row r="4327" spans="1:14">
      <c r="A4327" s="6">
        <v>2024</v>
      </c>
      <c r="B4327" s="6">
        <v>9</v>
      </c>
      <c r="C4327" s="6" t="s">
        <v>68</v>
      </c>
      <c r="D4327" s="6" t="s">
        <v>373</v>
      </c>
      <c r="E4327" s="6" t="s">
        <v>438</v>
      </c>
      <c r="F4327" s="6" t="str">
        <f>IF($M4327="PADD I","PADD 1",IF($M4327="PADD II","PADD 2",IF($M4327="PADD III","PADD 3",IF($M4327="PADD IV","PADD 4",IF($M4327="PADD V","PADD 5","")))))</f>
        <v>PADD 3</v>
      </c>
      <c r="G4327" s="6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6" t="s">
        <v>39</v>
      </c>
      <c r="I4327" s="6" t="s">
        <v>99</v>
      </c>
      <c r="J4327" s="6" t="s">
        <v>394</v>
      </c>
      <c r="K4327" s="10">
        <v>14.5</v>
      </c>
      <c r="L4327" s="10">
        <v>145</v>
      </c>
      <c r="M4327" s="6" t="s">
        <v>421</v>
      </c>
      <c r="N4327" s="6">
        <f>IF(OR($G4327="FCC",$G4327="Hydrocracker",$G4327="Reformer"),IF(COUNTIFS($D:$D,$D4327,$A:$A,$A4327,$B:$B,$B4327,$G:$G,"CDU",$J:$J,"PLANNED")&gt;0,"tied","standalone"),"")</f>
        <v/>
      </c>
    </row>
    <row r="4328" spans="1:14">
      <c r="A4328" s="6">
        <v>2024</v>
      </c>
      <c r="B4328" s="6">
        <v>9</v>
      </c>
      <c r="C4328" s="6" t="s">
        <v>68</v>
      </c>
      <c r="D4328" s="6" t="s">
        <v>496</v>
      </c>
      <c r="E4328" s="6" t="s">
        <v>441</v>
      </c>
      <c r="F4328" s="6" t="str">
        <f>IF($M4328="PADD I","PADD 1",IF($M4328="PADD II","PADD 2",IF($M4328="PADD III","PADD 3",IF($M4328="PADD IV","PADD 4",IF($M4328="PADD V","PADD 5","")))))</f>
        <v>PADD 3</v>
      </c>
      <c r="G4328" s="6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6" t="s">
        <v>428</v>
      </c>
      <c r="I4328" s="6" t="s">
        <v>1091</v>
      </c>
      <c r="J4328" s="6" t="s">
        <v>398</v>
      </c>
      <c r="K4328" s="10">
        <v>14.06</v>
      </c>
      <c r="L4328" s="10">
        <v>38</v>
      </c>
      <c r="M4328" s="6" t="s">
        <v>421</v>
      </c>
      <c r="N4328" s="6">
        <f>IF(OR($G4328="FCC",$G4328="Hydrocracker",$G4328="Reformer"),IF(COUNTIFS($D:$D,$D4328,$A:$A,$A4328,$B:$B,$B4328,$G:$G,"CDU",$J:$J,"PLANNED")&gt;0,"tied","standalone"),"")</f>
        <v/>
      </c>
    </row>
    <row r="4329" spans="1:14">
      <c r="A4329" s="6">
        <v>2024</v>
      </c>
      <c r="B4329" s="6">
        <v>9</v>
      </c>
      <c r="C4329" s="6" t="s">
        <v>68</v>
      </c>
      <c r="D4329" s="6" t="s">
        <v>1035</v>
      </c>
      <c r="E4329" s="6" t="s">
        <v>593</v>
      </c>
      <c r="F4329" s="6" t="str">
        <f>IF($M4329="PADD I","PADD 1",IF($M4329="PADD II","PADD 2",IF($M4329="PADD III","PADD 3",IF($M4329="PADD IV","PADD 4",IF($M4329="PADD V","PADD 5","")))))</f>
        <v>PADD 2</v>
      </c>
      <c r="G4329" s="6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6" t="s">
        <v>428</v>
      </c>
      <c r="I4329" s="6" t="s">
        <v>836</v>
      </c>
      <c r="J4329" s="6" t="s">
        <v>394</v>
      </c>
      <c r="K4329" s="10">
        <v>13.8759</v>
      </c>
      <c r="L4329" s="10">
        <v>60.33</v>
      </c>
      <c r="M4329" s="6" t="s">
        <v>425</v>
      </c>
      <c r="N4329" s="6">
        <f>IF(OR($G4329="FCC",$G4329="Hydrocracker",$G4329="Reformer"),IF(COUNTIFS($D:$D,$D4329,$A:$A,$A4329,$B:$B,$B4329,$G:$G,"CDU",$J:$J,"PLANNED")&gt;0,"tied","standalone"),"")</f>
        <v/>
      </c>
    </row>
    <row r="4330" spans="1:14">
      <c r="A4330" s="6">
        <v>2024</v>
      </c>
      <c r="B4330" s="6">
        <v>9</v>
      </c>
      <c r="C4330" s="6" t="s">
        <v>68</v>
      </c>
      <c r="D4330" s="6" t="s">
        <v>592</v>
      </c>
      <c r="E4330" s="6" t="s">
        <v>593</v>
      </c>
      <c r="F4330" s="6" t="str">
        <f>IF($M4330="PADD I","PADD 1",IF($M4330="PADD II","PADD 2",IF($M4330="PADD III","PADD 3",IF($M4330="PADD IV","PADD 4",IF($M4330="PADD V","PADD 5","")))))</f>
        <v>PADD 2</v>
      </c>
      <c r="G4330" s="6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6" t="s">
        <v>471</v>
      </c>
      <c r="I4330" s="6" t="s">
        <v>1164</v>
      </c>
      <c r="J4330" s="6" t="s">
        <v>398</v>
      </c>
      <c r="K4330" s="10">
        <v>13.8</v>
      </c>
      <c r="L4330" s="10">
        <v>60</v>
      </c>
      <c r="M4330" s="6" t="s">
        <v>425</v>
      </c>
      <c r="N4330" s="6" t="str">
        <f>IF(OR($G4330="FCC",$G4330="Hydrocracker",$G4330="Reformer"),IF(COUNTIFS($D:$D,$D4330,$A:$A,$A4330,$B:$B,$B4330,$G:$G,"CDU",$J:$J,"PLANNED")&gt;0,"tied","standalone"),"")</f>
        <v>tied</v>
      </c>
    </row>
    <row r="4331" spans="1:14">
      <c r="A4331" s="6">
        <v>2024</v>
      </c>
      <c r="B4331" s="6">
        <v>9</v>
      </c>
      <c r="C4331" s="6" t="s">
        <v>68</v>
      </c>
      <c r="D4331" s="6" t="s">
        <v>373</v>
      </c>
      <c r="E4331" s="6" t="s">
        <v>438</v>
      </c>
      <c r="F4331" s="6" t="str">
        <f>IF($M4331="PADD I","PADD 1",IF($M4331="PADD II","PADD 2",IF($M4331="PADD III","PADD 3",IF($M4331="PADD IV","PADD 4",IF($M4331="PADD V","PADD 5","")))))</f>
        <v>PADD 3</v>
      </c>
      <c r="G4331" s="6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6" t="s">
        <v>44</v>
      </c>
      <c r="I4331" s="6" t="s">
        <v>732</v>
      </c>
      <c r="J4331" s="6" t="s">
        <v>394</v>
      </c>
      <c r="K4331" s="10">
        <v>13.78</v>
      </c>
      <c r="L4331" s="10">
        <v>106</v>
      </c>
      <c r="M4331" s="6" t="s">
        <v>421</v>
      </c>
      <c r="N4331" s="6">
        <f>IF(OR($G4331="FCC",$G4331="Hydrocracker",$G4331="Reformer"),IF(COUNTIFS($D:$D,$D4331,$A:$A,$A4331,$B:$B,$B4331,$G:$G,"CDU",$J:$J,"PLANNED")&gt;0,"tied","standalone"),"")</f>
        <v/>
      </c>
    </row>
    <row r="4332" spans="1:14">
      <c r="A4332" s="6">
        <v>2024</v>
      </c>
      <c r="B4332" s="6">
        <v>9</v>
      </c>
      <c r="C4332" s="6" t="s">
        <v>68</v>
      </c>
      <c r="D4332" s="6" t="s">
        <v>51</v>
      </c>
      <c r="E4332" s="6" t="s">
        <v>431</v>
      </c>
      <c r="F4332" s="6" t="str">
        <f>IF($M4332="PADD I","PADD 1",IF($M4332="PADD II","PADD 2",IF($M4332="PADD III","PADD 3",IF($M4332="PADD IV","PADD 4",IF($M4332="PADD V","PADD 5","")))))</f>
        <v>PADD 3</v>
      </c>
      <c r="G4332" s="6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6" t="s">
        <v>471</v>
      </c>
      <c r="I4332" s="6" t="s">
        <v>942</v>
      </c>
      <c r="J4332" s="6" t="s">
        <v>398</v>
      </c>
      <c r="K4332" s="10">
        <v>13.4</v>
      </c>
      <c r="L4332" s="10">
        <v>20</v>
      </c>
      <c r="M4332" s="6" t="s">
        <v>421</v>
      </c>
      <c r="N4332" s="6" t="str">
        <f>IF(OR($G4332="FCC",$G4332="Hydrocracker",$G4332="Reformer"),IF(COUNTIFS($D:$D,$D4332,$A:$A,$A4332,$B:$B,$B4332,$G:$G,"CDU",$J:$J,"PLANNED")&gt;0,"tied","standalone"),"")</f>
        <v>standalone</v>
      </c>
    </row>
    <row r="4333" spans="1:14">
      <c r="A4333" s="6">
        <v>2024</v>
      </c>
      <c r="B4333" s="6">
        <v>9</v>
      </c>
      <c r="C4333" s="6" t="s">
        <v>68</v>
      </c>
      <c r="D4333" s="6" t="s">
        <v>1113</v>
      </c>
      <c r="E4333" s="6" t="s">
        <v>438</v>
      </c>
      <c r="F4333" s="6" t="str">
        <f>IF($M4333="PADD I","PADD 1",IF($M4333="PADD II","PADD 2",IF($M4333="PADD III","PADD 3",IF($M4333="PADD IV","PADD 4",IF($M4333="PADD V","PADD 5","")))))</f>
        <v>PADD 2</v>
      </c>
      <c r="G4333" s="6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6" t="s">
        <v>485</v>
      </c>
      <c r="I4333" s="6" t="s">
        <v>491</v>
      </c>
      <c r="J4333" s="6" t="s">
        <v>398</v>
      </c>
      <c r="K4333" s="10">
        <v>13.16</v>
      </c>
      <c r="L4333" s="10">
        <v>28</v>
      </c>
      <c r="M4333" s="6" t="s">
        <v>425</v>
      </c>
      <c r="N4333" s="6">
        <f>IF(OR($G4333="FCC",$G4333="Hydrocracker",$G4333="Reformer"),IF(COUNTIFS($D:$D,$D4333,$A:$A,$A4333,$B:$B,$B4333,$G:$G,"CDU",$J:$J,"PLANNED")&gt;0,"tied","standalone"),"")</f>
        <v/>
      </c>
    </row>
    <row r="4334" spans="1:14">
      <c r="A4334" s="6">
        <v>2024</v>
      </c>
      <c r="B4334" s="6">
        <v>9</v>
      </c>
      <c r="C4334" s="6" t="s">
        <v>68</v>
      </c>
      <c r="D4334" s="6" t="s">
        <v>1113</v>
      </c>
      <c r="E4334" s="6" t="s">
        <v>438</v>
      </c>
      <c r="F4334" s="6" t="str">
        <f>IF($M4334="PADD I","PADD 1",IF($M4334="PADD II","PADD 2",IF($M4334="PADD III","PADD 3",IF($M4334="PADD IV","PADD 4",IF($M4334="PADD V","PADD 5","")))))</f>
        <v>PADD 2</v>
      </c>
      <c r="G4334" s="6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6" t="s">
        <v>471</v>
      </c>
      <c r="I4334" s="6" t="s">
        <v>1119</v>
      </c>
      <c r="J4334" s="6" t="s">
        <v>394</v>
      </c>
      <c r="K4334" s="10">
        <v>12.9</v>
      </c>
      <c r="L4334" s="10">
        <v>21.5</v>
      </c>
      <c r="M4334" s="6" t="s">
        <v>425</v>
      </c>
      <c r="N4334" s="6" t="str">
        <f>IF(OR($G4334="FCC",$G4334="Hydrocracker",$G4334="Reformer"),IF(COUNTIFS($D:$D,$D4334,$A:$A,$A4334,$B:$B,$B4334,$G:$G,"CDU",$J:$J,"PLANNED")&gt;0,"tied","standalone"),"")</f>
        <v>tied</v>
      </c>
    </row>
    <row r="4335" spans="1:14">
      <c r="A4335" s="6">
        <v>2024</v>
      </c>
      <c r="B4335" s="6">
        <v>9</v>
      </c>
      <c r="C4335" s="6" t="s">
        <v>68</v>
      </c>
      <c r="D4335" s="6" t="s">
        <v>1110</v>
      </c>
      <c r="E4335" s="6" t="s">
        <v>1089</v>
      </c>
      <c r="F4335" s="6" t="str">
        <f>IF($M4335="PADD I","PADD 1",IF($M4335="PADD II","PADD 2",IF($M4335="PADD III","PADD 3",IF($M4335="PADD IV","PADD 4",IF($M4335="PADD V","PADD 5","")))))</f>
        <v>PADD 2</v>
      </c>
      <c r="G4335" s="6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6" t="s">
        <v>426</v>
      </c>
      <c r="I4335" s="6" t="s">
        <v>106</v>
      </c>
      <c r="J4335" s="6" t="s">
        <v>394</v>
      </c>
      <c r="K4335" s="10">
        <v>12.74</v>
      </c>
      <c r="L4335" s="10">
        <v>98</v>
      </c>
      <c r="M4335" s="6" t="s">
        <v>425</v>
      </c>
      <c r="N4335" s="6" t="str">
        <f>IF(OR($G4335="FCC",$G4335="Hydrocracker",$G4335="Reformer"),IF(COUNTIFS($D:$D,$D4335,$A:$A,$A4335,$B:$B,$B4335,$G:$G,"CDU",$J:$J,"PLANNED")&gt;0,"tied","standalone"),"")</f>
        <v>standalone</v>
      </c>
    </row>
    <row r="4336" spans="1:14">
      <c r="A4336" s="6">
        <v>2024</v>
      </c>
      <c r="B4336" s="6">
        <v>9</v>
      </c>
      <c r="C4336" s="6" t="s">
        <v>68</v>
      </c>
      <c r="D4336" s="6" t="s">
        <v>52</v>
      </c>
      <c r="E4336" s="6" t="s">
        <v>441</v>
      </c>
      <c r="F4336" s="6" t="str">
        <f>IF($M4336="PADD I","PADD 1",IF($M4336="PADD II","PADD 2",IF($M4336="PADD III","PADD 3",IF($M4336="PADD IV","PADD 4",IF($M4336="PADD V","PADD 5","")))))</f>
        <v>PADD 5</v>
      </c>
      <c r="G4336" s="6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6" t="s">
        <v>426</v>
      </c>
      <c r="I4336" s="6" t="s">
        <v>106</v>
      </c>
      <c r="J4336" s="6" t="s">
        <v>394</v>
      </c>
      <c r="K4336" s="10">
        <v>12.325</v>
      </c>
      <c r="L4336" s="10">
        <v>72.5</v>
      </c>
      <c r="M4336" s="6" t="s">
        <v>436</v>
      </c>
      <c r="N4336" s="6" t="str">
        <f>IF(OR($G4336="FCC",$G4336="Hydrocracker",$G4336="Reformer"),IF(COUNTIFS($D:$D,$D4336,$A:$A,$A4336,$B:$B,$B4336,$G:$G,"CDU",$J:$J,"PLANNED")&gt;0,"tied","standalone"),"")</f>
        <v>standalone</v>
      </c>
    </row>
    <row r="4337" spans="1:14">
      <c r="A4337" s="6">
        <v>2024</v>
      </c>
      <c r="B4337" s="6">
        <v>9</v>
      </c>
      <c r="C4337" s="6" t="s">
        <v>68</v>
      </c>
      <c r="D4337" s="6" t="s">
        <v>764</v>
      </c>
      <c r="E4337" s="6" t="s">
        <v>455</v>
      </c>
      <c r="F4337" s="6" t="str">
        <f>IF($M4337="PADD I","PADD 1",IF($M4337="PADD II","PADD 2",IF($M4337="PADD III","PADD 3",IF($M4337="PADD IV","PADD 4",IF($M4337="PADD V","PADD 5","")))))</f>
        <v>PADD 3</v>
      </c>
      <c r="G4337" s="6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6" t="s">
        <v>471</v>
      </c>
      <c r="I4337" s="6" t="s">
        <v>914</v>
      </c>
      <c r="J4337" s="6" t="s">
        <v>398</v>
      </c>
      <c r="K4337" s="10">
        <v>12.04</v>
      </c>
      <c r="L4337" s="10">
        <v>28</v>
      </c>
      <c r="M4337" s="6" t="s">
        <v>421</v>
      </c>
      <c r="N4337" s="6" t="str">
        <f>IF(OR($G4337="FCC",$G4337="Hydrocracker",$G4337="Reformer"),IF(COUNTIFS($D:$D,$D4337,$A:$A,$A4337,$B:$B,$B4337,$G:$G,"CDU",$J:$J,"PLANNED")&gt;0,"tied","standalone"),"")</f>
        <v>tied</v>
      </c>
    </row>
    <row r="4338" spans="1:14">
      <c r="A4338" s="6">
        <v>2024</v>
      </c>
      <c r="B4338" s="6">
        <v>9</v>
      </c>
      <c r="C4338" s="6" t="s">
        <v>68</v>
      </c>
      <c r="D4338" s="6" t="s">
        <v>662</v>
      </c>
      <c r="E4338" s="6" t="s">
        <v>466</v>
      </c>
      <c r="F4338" s="6" t="str">
        <f>IF($M4338="PADD I","PADD 1",IF($M4338="PADD II","PADD 2",IF($M4338="PADD III","PADD 3",IF($M4338="PADD IV","PADD 4",IF($M4338="PADD V","PADD 5","")))))</f>
        <v>PADD 3</v>
      </c>
      <c r="G4338" s="6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6" t="s">
        <v>39</v>
      </c>
      <c r="I4338" s="6" t="s">
        <v>82</v>
      </c>
      <c r="J4338" s="6" t="s">
        <v>394</v>
      </c>
      <c r="K4338" s="10">
        <v>11.55</v>
      </c>
      <c r="L4338" s="10">
        <v>165</v>
      </c>
      <c r="M4338" s="6" t="s">
        <v>421</v>
      </c>
      <c r="N4338" s="6">
        <f>IF(OR($G4338="FCC",$G4338="Hydrocracker",$G4338="Reformer"),IF(COUNTIFS($D:$D,$D4338,$A:$A,$A4338,$B:$B,$B4338,$G:$G,"CDU",$J:$J,"PLANNED")&gt;0,"tied","standalone"),"")</f>
        <v/>
      </c>
    </row>
    <row r="4339" spans="1:14">
      <c r="A4339" s="6">
        <v>2024</v>
      </c>
      <c r="B4339" s="6">
        <v>9</v>
      </c>
      <c r="C4339" s="6" t="s">
        <v>68</v>
      </c>
      <c r="D4339" s="6" t="s">
        <v>465</v>
      </c>
      <c r="E4339" s="6" t="s">
        <v>466</v>
      </c>
      <c r="F4339" s="6" t="str">
        <f>IF($M4339="PADD I","PADD 1",IF($M4339="PADD II","PADD 2",IF($M4339="PADD III","PADD 3",IF($M4339="PADD IV","PADD 4",IF($M4339="PADD V","PADD 5","")))))</f>
        <v>PADD 3</v>
      </c>
      <c r="G4339" s="6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6" t="s">
        <v>428</v>
      </c>
      <c r="I4339" s="6" t="s">
        <v>467</v>
      </c>
      <c r="J4339" s="6" t="s">
        <v>394</v>
      </c>
      <c r="K4339" s="10">
        <v>11.5</v>
      </c>
      <c r="L4339" s="10">
        <v>50</v>
      </c>
      <c r="M4339" s="6" t="s">
        <v>421</v>
      </c>
      <c r="N4339" s="6">
        <f>IF(OR($G4339="FCC",$G4339="Hydrocracker",$G4339="Reformer"),IF(COUNTIFS($D:$D,$D4339,$A:$A,$A4339,$B:$B,$B4339,$G:$G,"CDU",$J:$J,"PLANNED")&gt;0,"tied","standalone"),"")</f>
        <v/>
      </c>
    </row>
    <row r="4340" spans="1:14">
      <c r="A4340" s="6">
        <v>2024</v>
      </c>
      <c r="B4340" s="6">
        <v>9</v>
      </c>
      <c r="C4340" s="6" t="s">
        <v>68</v>
      </c>
      <c r="D4340" s="6" t="s">
        <v>592</v>
      </c>
      <c r="E4340" s="6" t="s">
        <v>593</v>
      </c>
      <c r="F4340" s="6" t="str">
        <f>IF($M4340="PADD I","PADD 1",IF($M4340="PADD II","PADD 2",IF($M4340="PADD III","PADD 3",IF($M4340="PADD IV","PADD 4",IF($M4340="PADD V","PADD 5","")))))</f>
        <v>PADD 2</v>
      </c>
      <c r="G4340" s="6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6" t="s">
        <v>44</v>
      </c>
      <c r="I4340" s="6" t="s">
        <v>963</v>
      </c>
      <c r="J4340" s="6" t="s">
        <v>394</v>
      </c>
      <c r="K4340" s="10">
        <v>11.1</v>
      </c>
      <c r="L4340" s="10">
        <v>55.5</v>
      </c>
      <c r="M4340" s="6" t="s">
        <v>425</v>
      </c>
      <c r="N4340" s="6">
        <f>IF(OR($G4340="FCC",$G4340="Hydrocracker",$G4340="Reformer"),IF(COUNTIFS($D:$D,$D4340,$A:$A,$A4340,$B:$B,$B4340,$G:$G,"CDU",$J:$J,"PLANNED")&gt;0,"tied","standalone"),"")</f>
        <v/>
      </c>
    </row>
    <row r="4341" spans="1:14">
      <c r="A4341" s="6">
        <v>2024</v>
      </c>
      <c r="B4341" s="6">
        <v>9</v>
      </c>
      <c r="C4341" s="6" t="s">
        <v>68</v>
      </c>
      <c r="D4341" s="6" t="s">
        <v>430</v>
      </c>
      <c r="E4341" s="6" t="s">
        <v>431</v>
      </c>
      <c r="F4341" s="6" t="str">
        <f>IF($M4341="PADD I","PADD 1",IF($M4341="PADD II","PADD 2",IF($M4341="PADD III","PADD 3",IF($M4341="PADD IV","PADD 4",IF($M4341="PADD V","PADD 5","")))))</f>
        <v>PADD 3</v>
      </c>
      <c r="G4341" s="6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6" t="s">
        <v>39</v>
      </c>
      <c r="I4341" s="6" t="s">
        <v>432</v>
      </c>
      <c r="J4341" s="6" t="s">
        <v>394</v>
      </c>
      <c r="K4341" s="10">
        <v>10.5</v>
      </c>
      <c r="L4341" s="10">
        <v>105</v>
      </c>
      <c r="M4341" s="6" t="s">
        <v>421</v>
      </c>
      <c r="N4341" s="6">
        <f>IF(OR($G4341="FCC",$G4341="Hydrocracker",$G4341="Reformer"),IF(COUNTIFS($D:$D,$D4341,$A:$A,$A4341,$B:$B,$B4341,$G:$G,"CDU",$J:$J,"PLANNED")&gt;0,"tied","standalone"),"")</f>
        <v/>
      </c>
    </row>
    <row r="4342" spans="1:14">
      <c r="A4342" s="6">
        <v>2024</v>
      </c>
      <c r="B4342" s="6">
        <v>9</v>
      </c>
      <c r="C4342" s="6" t="s">
        <v>68</v>
      </c>
      <c r="D4342" s="6" t="s">
        <v>853</v>
      </c>
      <c r="E4342" s="6" t="s">
        <v>438</v>
      </c>
      <c r="F4342" s="6" t="str">
        <f>IF($M4342="PADD I","PADD 1",IF($M4342="PADD II","PADD 2",IF($M4342="PADD III","PADD 3",IF($M4342="PADD IV","PADD 4",IF($M4342="PADD V","PADD 5","")))))</f>
        <v>PADD 2</v>
      </c>
      <c r="G4342" s="6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6" t="s">
        <v>39</v>
      </c>
      <c r="I4342" s="6" t="s">
        <v>136</v>
      </c>
      <c r="J4342" s="6" t="s">
        <v>394</v>
      </c>
      <c r="K4342" s="10">
        <v>10.4</v>
      </c>
      <c r="L4342" s="10">
        <v>52</v>
      </c>
      <c r="M4342" s="6" t="s">
        <v>425</v>
      </c>
      <c r="N4342" s="6">
        <f>IF(OR($G4342="FCC",$G4342="Hydrocracker",$G4342="Reformer"),IF(COUNTIFS($D:$D,$D4342,$A:$A,$A4342,$B:$B,$B4342,$G:$G,"CDU",$J:$J,"PLANNED")&gt;0,"tied","standalone"),"")</f>
        <v/>
      </c>
    </row>
    <row r="4343" spans="1:14">
      <c r="A4343" s="6">
        <v>2024</v>
      </c>
      <c r="B4343" s="6">
        <v>9</v>
      </c>
      <c r="C4343" s="6" t="s">
        <v>68</v>
      </c>
      <c r="D4343" s="6" t="s">
        <v>458</v>
      </c>
      <c r="E4343" s="6" t="s">
        <v>459</v>
      </c>
      <c r="F4343" s="6" t="str">
        <f>IF($M4343="PADD I","PADD 1",IF($M4343="PADD II","PADD 2",IF($M4343="PADD III","PADD 3",IF($M4343="PADD IV","PADD 4",IF($M4343="PADD V","PADD 5","")))))</f>
        <v>PADD 3</v>
      </c>
      <c r="G4343" s="6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6" t="s">
        <v>39</v>
      </c>
      <c r="I4343" s="6" t="s">
        <v>460</v>
      </c>
      <c r="J4343" s="6" t="s">
        <v>394</v>
      </c>
      <c r="K4343" s="10">
        <v>10.4</v>
      </c>
      <c r="L4343" s="10">
        <v>80</v>
      </c>
      <c r="M4343" s="6" t="s">
        <v>421</v>
      </c>
      <c r="N4343" s="6">
        <f>IF(OR($G4343="FCC",$G4343="Hydrocracker",$G4343="Reformer"),IF(COUNTIFS($D:$D,$D4343,$A:$A,$A4343,$B:$B,$B4343,$G:$G,"CDU",$J:$J,"PLANNED")&gt;0,"tied","standalone"),"")</f>
        <v/>
      </c>
    </row>
    <row r="4344" spans="1:14">
      <c r="A4344" s="6">
        <v>2024</v>
      </c>
      <c r="B4344" s="6">
        <v>9</v>
      </c>
      <c r="C4344" s="6" t="s">
        <v>68</v>
      </c>
      <c r="D4344" s="6" t="s">
        <v>373</v>
      </c>
      <c r="E4344" s="6" t="s">
        <v>438</v>
      </c>
      <c r="F4344" s="6" t="str">
        <f>IF($M4344="PADD I","PADD 1",IF($M4344="PADD II","PADD 2",IF($M4344="PADD III","PADD 3",IF($M4344="PADD IV","PADD 4",IF($M4344="PADD V","PADD 5","")))))</f>
        <v>PADD 3</v>
      </c>
      <c r="G4344" s="6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6" t="s">
        <v>428</v>
      </c>
      <c r="I4344" s="6" t="s">
        <v>992</v>
      </c>
      <c r="J4344" s="6" t="s">
        <v>394</v>
      </c>
      <c r="K4344" s="10">
        <v>10.395</v>
      </c>
      <c r="L4344" s="10">
        <v>148.5</v>
      </c>
      <c r="M4344" s="6" t="s">
        <v>421</v>
      </c>
      <c r="N4344" s="6">
        <f>IF(OR($G4344="FCC",$G4344="Hydrocracker",$G4344="Reformer"),IF(COUNTIFS($D:$D,$D4344,$A:$A,$A4344,$B:$B,$B4344,$G:$G,"CDU",$J:$J,"PLANNED")&gt;0,"tied","standalone"),"")</f>
        <v/>
      </c>
    </row>
    <row r="4345" spans="1:14">
      <c r="A4345" s="6">
        <v>2024</v>
      </c>
      <c r="B4345" s="6">
        <v>9</v>
      </c>
      <c r="C4345" s="6" t="s">
        <v>68</v>
      </c>
      <c r="D4345" s="6" t="s">
        <v>901</v>
      </c>
      <c r="E4345" s="6" t="s">
        <v>902</v>
      </c>
      <c r="F4345" s="6" t="str">
        <f>IF($M4345="PADD I","PADD 1",IF($M4345="PADD II","PADD 2",IF($M4345="PADD III","PADD 3",IF($M4345="PADD IV","PADD 4",IF($M4345="PADD V","PADD 5","")))))</f>
        <v>PADD 3</v>
      </c>
      <c r="G4345" s="6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6" t="s">
        <v>428</v>
      </c>
      <c r="I4345" s="6" t="s">
        <v>910</v>
      </c>
      <c r="J4345" s="6" t="s">
        <v>394</v>
      </c>
      <c r="K4345" s="10">
        <v>9.720000000000001</v>
      </c>
      <c r="L4345" s="10">
        <v>36</v>
      </c>
      <c r="M4345" s="6" t="s">
        <v>421</v>
      </c>
      <c r="N4345" s="6">
        <f>IF(OR($G4345="FCC",$G4345="Hydrocracker",$G4345="Reformer"),IF(COUNTIFS($D:$D,$D4345,$A:$A,$A4345,$B:$B,$B4345,$G:$G,"CDU",$J:$J,"PLANNED")&gt;0,"tied","standalone"),"")</f>
        <v/>
      </c>
    </row>
    <row r="4346" spans="1:14">
      <c r="A4346" s="6">
        <v>2024</v>
      </c>
      <c r="B4346" s="6">
        <v>9</v>
      </c>
      <c r="C4346" s="6" t="s">
        <v>68</v>
      </c>
      <c r="D4346" s="6" t="s">
        <v>561</v>
      </c>
      <c r="E4346" s="6" t="s">
        <v>455</v>
      </c>
      <c r="F4346" s="6" t="str">
        <f>IF($M4346="PADD I","PADD 1",IF($M4346="PADD II","PADD 2",IF($M4346="PADD III","PADD 3",IF($M4346="PADD IV","PADD 4",IF($M4346="PADD V","PADD 5","")))))</f>
        <v>PADD 3</v>
      </c>
      <c r="G4346" s="6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6" t="s">
        <v>426</v>
      </c>
      <c r="I4346" s="6" t="s">
        <v>106</v>
      </c>
      <c r="J4346" s="6" t="s">
        <v>398</v>
      </c>
      <c r="K4346" s="10">
        <v>9.699999999999999</v>
      </c>
      <c r="L4346" s="10">
        <v>97</v>
      </c>
      <c r="M4346" s="6" t="s">
        <v>421</v>
      </c>
      <c r="N4346" s="6" t="str">
        <f>IF(OR($G4346="FCC",$G4346="Hydrocracker",$G4346="Reformer"),IF(COUNTIFS($D:$D,$D4346,$A:$A,$A4346,$B:$B,$B4346,$G:$G,"CDU",$J:$J,"PLANNED")&gt;0,"tied","standalone"),"")</f>
        <v>standalone</v>
      </c>
    </row>
    <row r="4347" spans="1:14">
      <c r="A4347" s="6">
        <v>2024</v>
      </c>
      <c r="B4347" s="6">
        <v>9</v>
      </c>
      <c r="C4347" s="6" t="s">
        <v>68</v>
      </c>
      <c r="D4347" s="6" t="s">
        <v>853</v>
      </c>
      <c r="E4347" s="6" t="s">
        <v>438</v>
      </c>
      <c r="F4347" s="6" t="str">
        <f>IF($M4347="PADD I","PADD 1",IF($M4347="PADD II","PADD 2",IF($M4347="PADD III","PADD 3",IF($M4347="PADD IV","PADD 4",IF($M4347="PADD V","PADD 5","")))))</f>
        <v>PADD 2</v>
      </c>
      <c r="G4347" s="6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6" t="s">
        <v>39</v>
      </c>
      <c r="I4347" s="6" t="s">
        <v>136</v>
      </c>
      <c r="J4347" s="6" t="s">
        <v>394</v>
      </c>
      <c r="K4347" s="10">
        <v>9.35</v>
      </c>
      <c r="L4347" s="10">
        <v>55</v>
      </c>
      <c r="M4347" s="6" t="s">
        <v>425</v>
      </c>
      <c r="N4347" s="6">
        <f>IF(OR($G4347="FCC",$G4347="Hydrocracker",$G4347="Reformer"),IF(COUNTIFS($D:$D,$D4347,$A:$A,$A4347,$B:$B,$B4347,$G:$G,"CDU",$J:$J,"PLANNED")&gt;0,"tied","standalone"),"")</f>
        <v/>
      </c>
    </row>
    <row r="4348" spans="1:14">
      <c r="A4348" s="6">
        <v>2024</v>
      </c>
      <c r="B4348" s="6">
        <v>9</v>
      </c>
      <c r="C4348" s="6" t="s">
        <v>68</v>
      </c>
      <c r="D4348" s="6" t="s">
        <v>458</v>
      </c>
      <c r="E4348" s="6" t="s">
        <v>459</v>
      </c>
      <c r="F4348" s="6" t="str">
        <f>IF($M4348="PADD I","PADD 1",IF($M4348="PADD II","PADD 2",IF($M4348="PADD III","PADD 3",IF($M4348="PADD IV","PADD 4",IF($M4348="PADD V","PADD 5","")))))</f>
        <v>PADD 3</v>
      </c>
      <c r="G4348" s="6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6" t="s">
        <v>39</v>
      </c>
      <c r="I4348" s="6" t="s">
        <v>572</v>
      </c>
      <c r="J4348" s="6" t="s">
        <v>394</v>
      </c>
      <c r="K4348" s="10">
        <v>9.199999999999999</v>
      </c>
      <c r="L4348" s="10">
        <v>40</v>
      </c>
      <c r="M4348" s="6" t="s">
        <v>421</v>
      </c>
      <c r="N4348" s="6">
        <f>IF(OR($G4348="FCC",$G4348="Hydrocracker",$G4348="Reformer"),IF(COUNTIFS($D:$D,$D4348,$A:$A,$A4348,$B:$B,$B4348,$G:$G,"CDU",$J:$J,"PLANNED")&gt;0,"tied","standalone"),"")</f>
        <v/>
      </c>
    </row>
    <row r="4349" spans="1:14">
      <c r="A4349" s="6">
        <v>2024</v>
      </c>
      <c r="B4349" s="6">
        <v>9</v>
      </c>
      <c r="C4349" s="6" t="s">
        <v>68</v>
      </c>
      <c r="D4349" s="6" t="s">
        <v>592</v>
      </c>
      <c r="E4349" s="6" t="s">
        <v>593</v>
      </c>
      <c r="F4349" s="6" t="str">
        <f>IF($M4349="PADD I","PADD 1",IF($M4349="PADD II","PADD 2",IF($M4349="PADD III","PADD 3",IF($M4349="PADD IV","PADD 4",IF($M4349="PADD V","PADD 5","")))))</f>
        <v>PADD 2</v>
      </c>
      <c r="G4349" s="6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6" t="s">
        <v>44</v>
      </c>
      <c r="I4349" s="6" t="s">
        <v>965</v>
      </c>
      <c r="J4349" s="6" t="s">
        <v>398</v>
      </c>
      <c r="K4349" s="10">
        <v>9.199999999999999</v>
      </c>
      <c r="L4349" s="10">
        <v>40</v>
      </c>
      <c r="M4349" s="6" t="s">
        <v>425</v>
      </c>
      <c r="N4349" s="6">
        <f>IF(OR($G4349="FCC",$G4349="Hydrocracker",$G4349="Reformer"),IF(COUNTIFS($D:$D,$D4349,$A:$A,$A4349,$B:$B,$B4349,$G:$G,"CDU",$J:$J,"PLANNED")&gt;0,"tied","standalone"),"")</f>
        <v/>
      </c>
    </row>
    <row r="4350" spans="1:14">
      <c r="A4350" s="6">
        <v>2024</v>
      </c>
      <c r="B4350" s="6">
        <v>9</v>
      </c>
      <c r="C4350" s="6" t="s">
        <v>68</v>
      </c>
      <c r="D4350" s="6" t="s">
        <v>378</v>
      </c>
      <c r="E4350" s="6" t="s">
        <v>477</v>
      </c>
      <c r="F4350" s="6" t="str">
        <f>IF($M4350="PADD I","PADD 1",IF($M4350="PADD II","PADD 2",IF($M4350="PADD III","PADD 3",IF($M4350="PADD IV","PADD 4",IF($M4350="PADD V","PADD 5","")))))</f>
        <v>PADD 3</v>
      </c>
      <c r="G4350" s="6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6" t="s">
        <v>426</v>
      </c>
      <c r="I4350" s="6" t="s">
        <v>478</v>
      </c>
      <c r="J4350" s="6" t="s">
        <v>398</v>
      </c>
      <c r="K4350" s="10">
        <v>8.84</v>
      </c>
      <c r="L4350" s="10">
        <v>68</v>
      </c>
      <c r="M4350" s="6" t="s">
        <v>421</v>
      </c>
      <c r="N4350" s="6" t="str">
        <f>IF(OR($G4350="FCC",$G4350="Hydrocracker",$G4350="Reformer"),IF(COUNTIFS($D:$D,$D4350,$A:$A,$A4350,$B:$B,$B4350,$G:$G,"CDU",$J:$J,"PLANNED")&gt;0,"tied","standalone"),"")</f>
        <v>tied</v>
      </c>
    </row>
    <row r="4351" spans="1:14">
      <c r="A4351" s="6">
        <v>2024</v>
      </c>
      <c r="B4351" s="6">
        <v>9</v>
      </c>
      <c r="C4351" s="6" t="s">
        <v>68</v>
      </c>
      <c r="D4351" s="6" t="s">
        <v>626</v>
      </c>
      <c r="E4351" s="6" t="s">
        <v>419</v>
      </c>
      <c r="F4351" s="6" t="str">
        <f>IF($M4351="PADD I","PADD 1",IF($M4351="PADD II","PADD 2",IF($M4351="PADD III","PADD 3",IF($M4351="PADD IV","PADD 4",IF($M4351="PADD V","PADD 5","")))))</f>
        <v>PADD 3</v>
      </c>
      <c r="G4351" s="6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6" t="s">
        <v>510</v>
      </c>
      <c r="I4351" s="6" t="s">
        <v>511</v>
      </c>
      <c r="J4351" s="6" t="s">
        <v>398</v>
      </c>
      <c r="K4351" s="10">
        <v>8.715</v>
      </c>
      <c r="L4351" s="10">
        <v>10.5</v>
      </c>
      <c r="M4351" s="6" t="s">
        <v>421</v>
      </c>
      <c r="N4351" s="6">
        <f>IF(OR($G4351="FCC",$G4351="Hydrocracker",$G4351="Reformer"),IF(COUNTIFS($D:$D,$D4351,$A:$A,$A4351,$B:$B,$B4351,$G:$G,"CDU",$J:$J,"PLANNED")&gt;0,"tied","standalone"),"")</f>
        <v/>
      </c>
    </row>
    <row r="4352" spans="1:14">
      <c r="A4352" s="6">
        <v>2024</v>
      </c>
      <c r="B4352" s="6">
        <v>9</v>
      </c>
      <c r="C4352" s="6" t="s">
        <v>68</v>
      </c>
      <c r="D4352" s="6" t="s">
        <v>901</v>
      </c>
      <c r="E4352" s="6" t="s">
        <v>902</v>
      </c>
      <c r="F4352" s="6" t="str">
        <f>IF($M4352="PADD I","PADD 1",IF($M4352="PADD II","PADD 2",IF($M4352="PADD III","PADD 3",IF($M4352="PADD IV","PADD 4",IF($M4352="PADD V","PADD 5","")))))</f>
        <v>PADD 3</v>
      </c>
      <c r="G4352" s="6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6" t="s">
        <v>39</v>
      </c>
      <c r="I4352" s="6" t="s">
        <v>904</v>
      </c>
      <c r="J4352" s="6" t="s">
        <v>394</v>
      </c>
      <c r="K4352" s="10">
        <v>8.449999999999999</v>
      </c>
      <c r="L4352" s="10">
        <v>65</v>
      </c>
      <c r="M4352" s="6" t="s">
        <v>421</v>
      </c>
      <c r="N4352" s="6">
        <f>IF(OR($G4352="FCC",$G4352="Hydrocracker",$G4352="Reformer"),IF(COUNTIFS($D:$D,$D4352,$A:$A,$A4352,$B:$B,$B4352,$G:$G,"CDU",$J:$J,"PLANNED")&gt;0,"tied","standalone"),"")</f>
        <v/>
      </c>
    </row>
    <row r="4353" spans="1:14">
      <c r="A4353" s="6">
        <v>2024</v>
      </c>
      <c r="B4353" s="6">
        <v>9</v>
      </c>
      <c r="C4353" s="6" t="s">
        <v>68</v>
      </c>
      <c r="D4353" s="6" t="s">
        <v>853</v>
      </c>
      <c r="E4353" s="6" t="s">
        <v>438</v>
      </c>
      <c r="F4353" s="6" t="str">
        <f>IF($M4353="PADD I","PADD 1",IF($M4353="PADD II","PADD 2",IF($M4353="PADD III","PADD 3",IF($M4353="PADD IV","PADD 4",IF($M4353="PADD V","PADD 5","")))))</f>
        <v>PADD 2</v>
      </c>
      <c r="G4353" s="6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6" t="s">
        <v>44</v>
      </c>
      <c r="I4353" s="6" t="s">
        <v>570</v>
      </c>
      <c r="J4353" s="6" t="s">
        <v>394</v>
      </c>
      <c r="K4353" s="10">
        <v>8.4</v>
      </c>
      <c r="L4353" s="10">
        <v>28</v>
      </c>
      <c r="M4353" s="6" t="s">
        <v>425</v>
      </c>
      <c r="N4353" s="6">
        <f>IF(OR($G4353="FCC",$G4353="Hydrocracker",$G4353="Reformer"),IF(COUNTIFS($D:$D,$D4353,$A:$A,$A4353,$B:$B,$B4353,$G:$G,"CDU",$J:$J,"PLANNED")&gt;0,"tied","standalone"),"")</f>
        <v/>
      </c>
    </row>
    <row r="4354" spans="1:14">
      <c r="A4354" s="6">
        <v>2024</v>
      </c>
      <c r="B4354" s="6">
        <v>9</v>
      </c>
      <c r="C4354" s="6" t="s">
        <v>68</v>
      </c>
      <c r="D4354" s="6" t="s">
        <v>370</v>
      </c>
      <c r="E4354" s="6" t="s">
        <v>431</v>
      </c>
      <c r="F4354" s="6" t="str">
        <f>IF($M4354="PADD I","PADD 1",IF($M4354="PADD II","PADD 2",IF($M4354="PADD III","PADD 3",IF($M4354="PADD IV","PADD 4",IF($M4354="PADD V","PADD 5","")))))</f>
        <v>PADD 2</v>
      </c>
      <c r="G4354" s="6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6" t="s">
        <v>44</v>
      </c>
      <c r="I4354" s="6" t="s">
        <v>1220</v>
      </c>
      <c r="J4354" s="6" t="s">
        <v>394</v>
      </c>
      <c r="K4354" s="10">
        <v>8.25</v>
      </c>
      <c r="L4354" s="10">
        <v>25</v>
      </c>
      <c r="M4354" s="6" t="s">
        <v>425</v>
      </c>
      <c r="N4354" s="6">
        <f>IF(OR($G4354="FCC",$G4354="Hydrocracker",$G4354="Reformer"),IF(COUNTIFS($D:$D,$D4354,$A:$A,$A4354,$B:$B,$B4354,$G:$G,"CDU",$J:$J,"PLANNED")&gt;0,"tied","standalone"),"")</f>
        <v/>
      </c>
    </row>
    <row r="4355" spans="1:14">
      <c r="A4355" s="6">
        <v>2024</v>
      </c>
      <c r="B4355" s="6">
        <v>9</v>
      </c>
      <c r="C4355" s="6" t="s">
        <v>68</v>
      </c>
      <c r="D4355" s="6" t="s">
        <v>380</v>
      </c>
      <c r="E4355" s="6" t="s">
        <v>423</v>
      </c>
      <c r="F4355" s="6" t="str">
        <f>IF($M4355="PADD I","PADD 1",IF($M4355="PADD II","PADD 2",IF($M4355="PADD III","PADD 3",IF($M4355="PADD IV","PADD 4",IF($M4355="PADD V","PADD 5","")))))</f>
        <v>PADD 2</v>
      </c>
      <c r="G4355" s="6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6" t="s">
        <v>471</v>
      </c>
      <c r="I4355" s="6" t="s">
        <v>966</v>
      </c>
      <c r="J4355" s="6" t="s">
        <v>398</v>
      </c>
      <c r="K4355" s="10">
        <v>8</v>
      </c>
      <c r="L4355" s="10">
        <v>40</v>
      </c>
      <c r="M4355" s="6" t="s">
        <v>425</v>
      </c>
      <c r="N4355" s="6" t="str">
        <f>IF(OR($G4355="FCC",$G4355="Hydrocracker",$G4355="Reformer"),IF(COUNTIFS($D:$D,$D4355,$A:$A,$A4355,$B:$B,$B4355,$G:$G,"CDU",$J:$J,"PLANNED")&gt;0,"tied","standalone"),"")</f>
        <v>tied</v>
      </c>
    </row>
    <row r="4356" spans="1:14">
      <c r="A4356" s="6">
        <v>2024</v>
      </c>
      <c r="B4356" s="6">
        <v>9</v>
      </c>
      <c r="C4356" s="6" t="s">
        <v>68</v>
      </c>
      <c r="D4356" s="6" t="s">
        <v>597</v>
      </c>
      <c r="E4356" s="6" t="s">
        <v>441</v>
      </c>
      <c r="F4356" s="6" t="str">
        <f>IF($M4356="PADD I","PADD 1",IF($M4356="PADD II","PADD 2",IF($M4356="PADD III","PADD 3",IF($M4356="PADD IV","PADD 4",IF($M4356="PADD V","PADD 5","")))))</f>
        <v>PADD 5</v>
      </c>
      <c r="G4356" s="6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6" t="s">
        <v>426</v>
      </c>
      <c r="I4356" s="6" t="s">
        <v>106</v>
      </c>
      <c r="J4356" s="6" t="s">
        <v>394</v>
      </c>
      <c r="K4356" s="10">
        <v>8</v>
      </c>
      <c r="L4356" s="10">
        <v>80</v>
      </c>
      <c r="M4356" s="6" t="s">
        <v>436</v>
      </c>
      <c r="N4356" s="6" t="str">
        <f>IF(OR($G4356="FCC",$G4356="Hydrocracker",$G4356="Reformer"),IF(COUNTIFS($D:$D,$D4356,$A:$A,$A4356,$B:$B,$B4356,$G:$G,"CDU",$J:$J,"PLANNED")&gt;0,"tied","standalone"),"")</f>
        <v>standalone</v>
      </c>
    </row>
    <row r="4357" spans="1:14">
      <c r="A4357" s="6">
        <v>2024</v>
      </c>
      <c r="B4357" s="6">
        <v>9</v>
      </c>
      <c r="C4357" s="6" t="s">
        <v>68</v>
      </c>
      <c r="D4357" s="6" t="s">
        <v>458</v>
      </c>
      <c r="E4357" s="6" t="s">
        <v>459</v>
      </c>
      <c r="F4357" s="6" t="str">
        <f>IF($M4357="PADD I","PADD 1",IF($M4357="PADD II","PADD 2",IF($M4357="PADD III","PADD 3",IF($M4357="PADD IV","PADD 4",IF($M4357="PADD V","PADD 5","")))))</f>
        <v>PADD 3</v>
      </c>
      <c r="G4357" s="6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6" t="s">
        <v>39</v>
      </c>
      <c r="I4357" s="6" t="s">
        <v>572</v>
      </c>
      <c r="J4357" s="6" t="s">
        <v>394</v>
      </c>
      <c r="K4357" s="10">
        <v>8</v>
      </c>
      <c r="L4357" s="10">
        <v>40</v>
      </c>
      <c r="M4357" s="6" t="s">
        <v>421</v>
      </c>
      <c r="N4357" s="6">
        <f>IF(OR($G4357="FCC",$G4357="Hydrocracker",$G4357="Reformer"),IF(COUNTIFS($D:$D,$D4357,$A:$A,$A4357,$B:$B,$B4357,$G:$G,"CDU",$J:$J,"PLANNED")&gt;0,"tied","standalone"),"")</f>
        <v/>
      </c>
    </row>
    <row r="4358" spans="1:14">
      <c r="A4358" s="6">
        <v>2024</v>
      </c>
      <c r="B4358" s="6">
        <v>9</v>
      </c>
      <c r="C4358" s="6" t="s">
        <v>68</v>
      </c>
      <c r="D4358" s="6" t="s">
        <v>576</v>
      </c>
      <c r="E4358" s="6" t="s">
        <v>455</v>
      </c>
      <c r="F4358" s="6" t="str">
        <f>IF($M4358="PADD I","PADD 1",IF($M4358="PADD II","PADD 2",IF($M4358="PADD III","PADD 3",IF($M4358="PADD IV","PADD 4",IF($M4358="PADD V","PADD 5","")))))</f>
        <v>PADD 3</v>
      </c>
      <c r="G4358" s="6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6" t="s">
        <v>44</v>
      </c>
      <c r="I4358" s="6" t="s">
        <v>1126</v>
      </c>
      <c r="J4358" s="6" t="s">
        <v>394</v>
      </c>
      <c r="K4358" s="10">
        <v>7.99</v>
      </c>
      <c r="L4358" s="10">
        <v>47</v>
      </c>
      <c r="M4358" s="6" t="s">
        <v>421</v>
      </c>
      <c r="N4358" s="6">
        <f>IF(OR($G4358="FCC",$G4358="Hydrocracker",$G4358="Reformer"),IF(COUNTIFS($D:$D,$D4358,$A:$A,$A4358,$B:$B,$B4358,$G:$G,"CDU",$J:$J,"PLANNED")&gt;0,"tied","standalone"),"")</f>
        <v/>
      </c>
    </row>
    <row r="4359" spans="1:14">
      <c r="A4359" s="6">
        <v>2024</v>
      </c>
      <c r="B4359" s="6">
        <v>9</v>
      </c>
      <c r="C4359" s="6" t="s">
        <v>68</v>
      </c>
      <c r="D4359" s="6" t="s">
        <v>824</v>
      </c>
      <c r="E4359" s="6" t="s">
        <v>825</v>
      </c>
      <c r="F4359" s="6" t="str">
        <f>IF($M4359="PADD I","PADD 1",IF($M4359="PADD II","PADD 2",IF($M4359="PADD III","PADD 3",IF($M4359="PADD IV","PADD 4",IF($M4359="PADD V","PADD 5","")))))</f>
        <v>PADD 1</v>
      </c>
      <c r="G4359" s="6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6" t="s">
        <v>44</v>
      </c>
      <c r="I4359" s="6" t="s">
        <v>1194</v>
      </c>
      <c r="J4359" s="6" t="s">
        <v>394</v>
      </c>
      <c r="K4359" s="10">
        <v>7.31</v>
      </c>
      <c r="L4359" s="10">
        <v>43</v>
      </c>
      <c r="M4359" s="6" t="s">
        <v>463</v>
      </c>
      <c r="N4359" s="6">
        <f>IF(OR($G4359="FCC",$G4359="Hydrocracker",$G4359="Reformer"),IF(COUNTIFS($D:$D,$D4359,$A:$A,$A4359,$B:$B,$B4359,$G:$G,"CDU",$J:$J,"PLANNED")&gt;0,"tied","standalone"),"")</f>
        <v/>
      </c>
    </row>
    <row r="4360" spans="1:14">
      <c r="A4360" s="6">
        <v>2024</v>
      </c>
      <c r="B4360" s="6">
        <v>9</v>
      </c>
      <c r="C4360" s="6" t="s">
        <v>68</v>
      </c>
      <c r="D4360" s="6" t="s">
        <v>496</v>
      </c>
      <c r="E4360" s="6" t="s">
        <v>441</v>
      </c>
      <c r="F4360" s="6" t="str">
        <f>IF($M4360="PADD I","PADD 1",IF($M4360="PADD II","PADD 2",IF($M4360="PADD III","PADD 3",IF($M4360="PADD IV","PADD 4",IF($M4360="PADD V","PADD 5","")))))</f>
        <v>PADD 3</v>
      </c>
      <c r="G4360" s="6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6" t="s">
        <v>510</v>
      </c>
      <c r="I4360" s="6" t="s">
        <v>1125</v>
      </c>
      <c r="J4360" s="6" t="s">
        <v>394</v>
      </c>
      <c r="K4360" s="10">
        <v>7.2</v>
      </c>
      <c r="L4360" s="10">
        <v>7.2</v>
      </c>
      <c r="M4360" s="6" t="s">
        <v>421</v>
      </c>
      <c r="N4360" s="6">
        <f>IF(OR($G4360="FCC",$G4360="Hydrocracker",$G4360="Reformer"),IF(COUNTIFS($D:$D,$D4360,$A:$A,$A4360,$B:$B,$B4360,$G:$G,"CDU",$J:$J,"PLANNED")&gt;0,"tied","standalone"),"")</f>
        <v/>
      </c>
    </row>
    <row r="4361" spans="1:14">
      <c r="A4361" s="6">
        <v>2024</v>
      </c>
      <c r="B4361" s="6">
        <v>9</v>
      </c>
      <c r="C4361" s="6" t="s">
        <v>68</v>
      </c>
      <c r="D4361" s="6" t="s">
        <v>1088</v>
      </c>
      <c r="E4361" s="6" t="s">
        <v>1089</v>
      </c>
      <c r="F4361" s="6" t="str">
        <f>IF($M4361="PADD I","PADD 1",IF($M4361="PADD II","PADD 2",IF($M4361="PADD III","PADD 3",IF($M4361="PADD IV","PADD 4",IF($M4361="PADD V","PADD 5","")))))</f>
        <v>PADD 2</v>
      </c>
      <c r="G4361" s="6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6" t="s">
        <v>39</v>
      </c>
      <c r="I4361" s="6" t="s">
        <v>967</v>
      </c>
      <c r="J4361" s="6" t="s">
        <v>394</v>
      </c>
      <c r="K4361" s="10">
        <v>7</v>
      </c>
      <c r="L4361" s="10">
        <v>35</v>
      </c>
      <c r="M4361" s="6" t="s">
        <v>425</v>
      </c>
      <c r="N4361" s="6">
        <f>IF(OR($G4361="FCC",$G4361="Hydrocracker",$G4361="Reformer"),IF(COUNTIFS($D:$D,$D4361,$A:$A,$A4361,$B:$B,$B4361,$G:$G,"CDU",$J:$J,"PLANNED")&gt;0,"tied","standalone"),"")</f>
        <v/>
      </c>
    </row>
    <row r="4362" spans="1:14">
      <c r="A4362" s="6">
        <v>2024</v>
      </c>
      <c r="B4362" s="6">
        <v>9</v>
      </c>
      <c r="C4362" s="6" t="s">
        <v>68</v>
      </c>
      <c r="D4362" s="6" t="s">
        <v>368</v>
      </c>
      <c r="E4362" s="6" t="s">
        <v>715</v>
      </c>
      <c r="F4362" s="6" t="str">
        <f>IF($M4362="PADD I","PADD 1",IF($M4362="PADD II","PADD 2",IF($M4362="PADD III","PADD 3",IF($M4362="PADD IV","PADD 4",IF($M4362="PADD V","PADD 5","")))))</f>
        <v>PADD 3</v>
      </c>
      <c r="G4362" s="6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6" t="s">
        <v>44</v>
      </c>
      <c r="I4362" s="6" t="s">
        <v>938</v>
      </c>
      <c r="J4362" s="6" t="s">
        <v>394</v>
      </c>
      <c r="K4362" s="10">
        <v>6.8</v>
      </c>
      <c r="L4362" s="10">
        <v>40</v>
      </c>
      <c r="M4362" s="6" t="s">
        <v>421</v>
      </c>
      <c r="N4362" s="6">
        <f>IF(OR($G4362="FCC",$G4362="Hydrocracker",$G4362="Reformer"),IF(COUNTIFS($D:$D,$D4362,$A:$A,$A4362,$B:$B,$B4362,$G:$G,"CDU",$J:$J,"PLANNED")&gt;0,"tied","standalone"),"")</f>
        <v/>
      </c>
    </row>
    <row r="4363" spans="1:14">
      <c r="A4363" s="6">
        <v>2024</v>
      </c>
      <c r="B4363" s="6">
        <v>9</v>
      </c>
      <c r="C4363" s="6" t="s">
        <v>68</v>
      </c>
      <c r="D4363" s="6" t="s">
        <v>458</v>
      </c>
      <c r="E4363" s="6" t="s">
        <v>459</v>
      </c>
      <c r="F4363" s="6" t="str">
        <f>IF($M4363="PADD I","PADD 1",IF($M4363="PADD II","PADD 2",IF($M4363="PADD III","PADD 3",IF($M4363="PADD IV","PADD 4",IF($M4363="PADD V","PADD 5","")))))</f>
        <v>PADD 3</v>
      </c>
      <c r="G4363" s="6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6" t="s">
        <v>428</v>
      </c>
      <c r="I4363" s="6" t="s">
        <v>556</v>
      </c>
      <c r="J4363" s="6" t="s">
        <v>394</v>
      </c>
      <c r="K4363" s="10">
        <v>6.76</v>
      </c>
      <c r="L4363" s="10">
        <v>52</v>
      </c>
      <c r="M4363" s="6" t="s">
        <v>421</v>
      </c>
      <c r="N4363" s="6">
        <f>IF(OR($G4363="FCC",$G4363="Hydrocracker",$G4363="Reformer"),IF(COUNTIFS($D:$D,$D4363,$A:$A,$A4363,$B:$B,$B4363,$G:$G,"CDU",$J:$J,"PLANNED")&gt;0,"tied","standalone"),"")</f>
        <v/>
      </c>
    </row>
    <row r="4364" spans="1:14">
      <c r="A4364" s="6">
        <v>2024</v>
      </c>
      <c r="B4364" s="6">
        <v>9</v>
      </c>
      <c r="C4364" s="6" t="s">
        <v>68</v>
      </c>
      <c r="D4364" s="6" t="s">
        <v>383</v>
      </c>
      <c r="E4364" s="6" t="s">
        <v>602</v>
      </c>
      <c r="F4364" s="6" t="str">
        <f>IF($M4364="PADD I","PADD 1",IF($M4364="PADD II","PADD 2",IF($M4364="PADD III","PADD 3",IF($M4364="PADD IV","PADD 4",IF($M4364="PADD V","PADD 5","")))))</f>
        <v>PADD 3</v>
      </c>
      <c r="G4364" s="6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6" t="s">
        <v>39</v>
      </c>
      <c r="I4364" s="6" t="s">
        <v>138</v>
      </c>
      <c r="J4364" s="6" t="s">
        <v>398</v>
      </c>
      <c r="K4364" s="10">
        <v>6.64</v>
      </c>
      <c r="L4364" s="10">
        <v>8</v>
      </c>
      <c r="M4364" s="6" t="s">
        <v>421</v>
      </c>
      <c r="N4364" s="6">
        <f>IF(OR($G4364="FCC",$G4364="Hydrocracker",$G4364="Reformer"),IF(COUNTIFS($D:$D,$D4364,$A:$A,$A4364,$B:$B,$B4364,$G:$G,"CDU",$J:$J,"PLANNED")&gt;0,"tied","standalone"),"")</f>
        <v/>
      </c>
    </row>
    <row r="4365" spans="1:14">
      <c r="A4365" s="6">
        <v>2024</v>
      </c>
      <c r="B4365" s="6">
        <v>9</v>
      </c>
      <c r="C4365" s="6" t="s">
        <v>68</v>
      </c>
      <c r="D4365" s="6" t="s">
        <v>725</v>
      </c>
      <c r="E4365" s="6" t="s">
        <v>502</v>
      </c>
      <c r="F4365" s="6" t="str">
        <f>IF($M4365="PADD I","PADD 1",IF($M4365="PADD II","PADD 2",IF($M4365="PADD III","PADD 3",IF($M4365="PADD IV","PADD 4",IF($M4365="PADD V","PADD 5","")))))</f>
        <v>PADD 2</v>
      </c>
      <c r="G4365" s="6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6" t="s">
        <v>426</v>
      </c>
      <c r="I4365" s="6" t="s">
        <v>106</v>
      </c>
      <c r="J4365" s="6" t="s">
        <v>398</v>
      </c>
      <c r="K4365" s="10">
        <v>6.63</v>
      </c>
      <c r="L4365" s="10">
        <v>39</v>
      </c>
      <c r="M4365" s="6" t="s">
        <v>425</v>
      </c>
      <c r="N4365" s="6" t="str">
        <f>IF(OR($G4365="FCC",$G4365="Hydrocracker",$G4365="Reformer"),IF(COUNTIFS($D:$D,$D4365,$A:$A,$A4365,$B:$B,$B4365,$G:$G,"CDU",$J:$J,"PLANNED")&gt;0,"tied","standalone"),"")</f>
        <v>tied</v>
      </c>
    </row>
    <row r="4366" spans="1:14">
      <c r="A4366" s="6">
        <v>2024</v>
      </c>
      <c r="B4366" s="6">
        <v>9</v>
      </c>
      <c r="C4366" s="6" t="s">
        <v>68</v>
      </c>
      <c r="D4366" s="6" t="s">
        <v>838</v>
      </c>
      <c r="E4366" s="6" t="s">
        <v>455</v>
      </c>
      <c r="F4366" s="6" t="str">
        <f>IF($M4366="PADD I","PADD 1",IF($M4366="PADD II","PADD 2",IF($M4366="PADD III","PADD 3",IF($M4366="PADD IV","PADD 4",IF($M4366="PADD V","PADD 5","")))))</f>
        <v>PADD 3</v>
      </c>
      <c r="G4366" s="6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6" t="s">
        <v>428</v>
      </c>
      <c r="I4366" s="6" t="s">
        <v>862</v>
      </c>
      <c r="J4366" s="6" t="s">
        <v>394</v>
      </c>
      <c r="K4366" s="10">
        <v>6.5</v>
      </c>
      <c r="L4366" s="10">
        <v>50</v>
      </c>
      <c r="M4366" s="6" t="s">
        <v>421</v>
      </c>
      <c r="N4366" s="6">
        <f>IF(OR($G4366="FCC",$G4366="Hydrocracker",$G4366="Reformer"),IF(COUNTIFS($D:$D,$D4366,$A:$A,$A4366,$B:$B,$B4366,$G:$G,"CDU",$J:$J,"PLANNED")&gt;0,"tied","standalone"),"")</f>
        <v/>
      </c>
    </row>
    <row r="4367" spans="1:14">
      <c r="A4367" s="6">
        <v>2024</v>
      </c>
      <c r="B4367" s="6">
        <v>9</v>
      </c>
      <c r="C4367" s="6" t="s">
        <v>68</v>
      </c>
      <c r="D4367" s="6" t="s">
        <v>597</v>
      </c>
      <c r="E4367" s="6" t="s">
        <v>441</v>
      </c>
      <c r="F4367" s="6" t="str">
        <f>IF($M4367="PADD I","PADD 1",IF($M4367="PADD II","PADD 2",IF($M4367="PADD III","PADD 3",IF($M4367="PADD IV","PADD 4",IF($M4367="PADD V","PADD 5","")))))</f>
        <v>PADD 5</v>
      </c>
      <c r="G4367" s="6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6" t="s">
        <v>44</v>
      </c>
      <c r="I4367" s="6" t="s">
        <v>106</v>
      </c>
      <c r="J4367" s="6" t="s">
        <v>394</v>
      </c>
      <c r="K4367" s="10">
        <v>6.5</v>
      </c>
      <c r="L4367" s="10">
        <v>65</v>
      </c>
      <c r="M4367" s="6" t="s">
        <v>436</v>
      </c>
      <c r="N4367" s="6">
        <f>IF(OR($G4367="FCC",$G4367="Hydrocracker",$G4367="Reformer"),IF(COUNTIFS($D:$D,$D4367,$A:$A,$A4367,$B:$B,$B4367,$G:$G,"CDU",$J:$J,"PLANNED")&gt;0,"tied","standalone"),"")</f>
        <v/>
      </c>
    </row>
    <row r="4368" spans="1:14">
      <c r="A4368" s="6">
        <v>2024</v>
      </c>
      <c r="B4368" s="6">
        <v>9</v>
      </c>
      <c r="C4368" s="6" t="s">
        <v>68</v>
      </c>
      <c r="D4368" s="6" t="s">
        <v>1189</v>
      </c>
      <c r="E4368" s="6" t="s">
        <v>502</v>
      </c>
      <c r="F4368" s="6" t="str">
        <f>IF($M4368="PADD I","PADD 1",IF($M4368="PADD II","PADD 2",IF($M4368="PADD III","PADD 3",IF($M4368="PADD IV","PADD 4",IF($M4368="PADD V","PADD 5","")))))</f>
        <v>PADD 5</v>
      </c>
      <c r="G4368" s="6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6" t="s">
        <v>44</v>
      </c>
      <c r="I4368" s="6" t="s">
        <v>980</v>
      </c>
      <c r="J4368" s="6" t="s">
        <v>394</v>
      </c>
      <c r="K4368" s="10">
        <v>6.435</v>
      </c>
      <c r="L4368" s="10">
        <v>49.5</v>
      </c>
      <c r="M4368" s="6" t="s">
        <v>436</v>
      </c>
      <c r="N4368" s="6">
        <f>IF(OR($G4368="FCC",$G4368="Hydrocracker",$G4368="Reformer"),IF(COUNTIFS($D:$D,$D4368,$A:$A,$A4368,$B:$B,$B4368,$G:$G,"CDU",$J:$J,"PLANNED")&gt;0,"tied","standalone"),"")</f>
        <v/>
      </c>
    </row>
    <row r="4369" spans="1:14">
      <c r="A4369" s="6">
        <v>2024</v>
      </c>
      <c r="B4369" s="6">
        <v>9</v>
      </c>
      <c r="C4369" s="6" t="s">
        <v>68</v>
      </c>
      <c r="D4369" s="6" t="s">
        <v>901</v>
      </c>
      <c r="E4369" s="6" t="s">
        <v>902</v>
      </c>
      <c r="F4369" s="6" t="str">
        <f>IF($M4369="PADD I","PADD 1",IF($M4369="PADD II","PADD 2",IF($M4369="PADD III","PADD 3",IF($M4369="PADD IV","PADD 4",IF($M4369="PADD V","PADD 5","")))))</f>
        <v>PADD 3</v>
      </c>
      <c r="G4369" s="6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6" t="s">
        <v>39</v>
      </c>
      <c r="I4369" s="6" t="s">
        <v>903</v>
      </c>
      <c r="J4369" s="6" t="s">
        <v>394</v>
      </c>
      <c r="K4369" s="10">
        <v>6.4</v>
      </c>
      <c r="L4369" s="10">
        <v>64</v>
      </c>
      <c r="M4369" s="6" t="s">
        <v>421</v>
      </c>
      <c r="N4369" s="6">
        <f>IF(OR($G4369="FCC",$G4369="Hydrocracker",$G4369="Reformer"),IF(COUNTIFS($D:$D,$D4369,$A:$A,$A4369,$B:$B,$B4369,$G:$G,"CDU",$J:$J,"PLANNED")&gt;0,"tied","standalone"),"")</f>
        <v/>
      </c>
    </row>
    <row r="4370" spans="1:14">
      <c r="A4370" s="6">
        <v>2024</v>
      </c>
      <c r="B4370" s="6">
        <v>9</v>
      </c>
      <c r="C4370" s="6" t="s">
        <v>68</v>
      </c>
      <c r="D4370" s="6" t="s">
        <v>378</v>
      </c>
      <c r="E4370" s="6" t="s">
        <v>477</v>
      </c>
      <c r="F4370" s="6" t="str">
        <f>IF($M4370="PADD I","PADD 1",IF($M4370="PADD II","PADD 2",IF($M4370="PADD III","PADD 3",IF($M4370="PADD IV","PADD 4",IF($M4370="PADD V","PADD 5","")))))</f>
        <v>PADD 3</v>
      </c>
      <c r="G4370" s="6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6" t="s">
        <v>39</v>
      </c>
      <c r="I4370" s="6" t="s">
        <v>124</v>
      </c>
      <c r="J4370" s="6" t="s">
        <v>398</v>
      </c>
      <c r="K4370" s="10">
        <v>6.24</v>
      </c>
      <c r="L4370" s="10">
        <v>48</v>
      </c>
      <c r="M4370" s="6" t="s">
        <v>421</v>
      </c>
      <c r="N4370" s="6">
        <f>IF(OR($G4370="FCC",$G4370="Hydrocracker",$G4370="Reformer"),IF(COUNTIFS($D:$D,$D4370,$A:$A,$A4370,$B:$B,$B4370,$G:$G,"CDU",$J:$J,"PLANNED")&gt;0,"tied","standalone"),"")</f>
        <v/>
      </c>
    </row>
    <row r="4371" spans="1:14">
      <c r="A4371" s="6">
        <v>2024</v>
      </c>
      <c r="B4371" s="6">
        <v>9</v>
      </c>
      <c r="C4371" s="6" t="s">
        <v>68</v>
      </c>
      <c r="D4371" s="6" t="s">
        <v>378</v>
      </c>
      <c r="E4371" s="6" t="s">
        <v>477</v>
      </c>
      <c r="F4371" s="6" t="str">
        <f>IF($M4371="PADD I","PADD 1",IF($M4371="PADD II","PADD 2",IF($M4371="PADD III","PADD 3",IF($M4371="PADD IV","PADD 4",IF($M4371="PADD V","PADD 5","")))))</f>
        <v>PADD 3</v>
      </c>
      <c r="G4371" s="6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6" t="s">
        <v>39</v>
      </c>
      <c r="I4371" s="6" t="s">
        <v>379</v>
      </c>
      <c r="J4371" s="6" t="s">
        <v>398</v>
      </c>
      <c r="K4371" s="10">
        <v>6.24</v>
      </c>
      <c r="L4371" s="10">
        <v>48</v>
      </c>
      <c r="M4371" s="6" t="s">
        <v>421</v>
      </c>
      <c r="N4371" s="6">
        <f>IF(OR($G4371="FCC",$G4371="Hydrocracker",$G4371="Reformer"),IF(COUNTIFS($D:$D,$D4371,$A:$A,$A4371,$B:$B,$B4371,$G:$G,"CDU",$J:$J,"PLANNED")&gt;0,"tied","standalone"),"")</f>
        <v/>
      </c>
    </row>
    <row r="4372" spans="1:14">
      <c r="A4372" s="6">
        <v>2024</v>
      </c>
      <c r="B4372" s="6">
        <v>9</v>
      </c>
      <c r="C4372" s="6" t="s">
        <v>68</v>
      </c>
      <c r="D4372" s="6" t="s">
        <v>1110</v>
      </c>
      <c r="E4372" s="6" t="s">
        <v>1089</v>
      </c>
      <c r="F4372" s="6" t="str">
        <f>IF($M4372="PADD I","PADD 1",IF($M4372="PADD II","PADD 2",IF($M4372="PADD III","PADD 3",IF($M4372="PADD IV","PADD 4",IF($M4372="PADD V","PADD 5","")))))</f>
        <v>PADD 2</v>
      </c>
      <c r="G4372" s="6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6" t="s">
        <v>471</v>
      </c>
      <c r="I4372" s="6" t="s">
        <v>1240</v>
      </c>
      <c r="J4372" s="6" t="s">
        <v>394</v>
      </c>
      <c r="K4372" s="10">
        <v>6.2</v>
      </c>
      <c r="L4372" s="10">
        <v>31</v>
      </c>
      <c r="M4372" s="6" t="s">
        <v>425</v>
      </c>
      <c r="N4372" s="6" t="str">
        <f>IF(OR($G4372="FCC",$G4372="Hydrocracker",$G4372="Reformer"),IF(COUNTIFS($D:$D,$D4372,$A:$A,$A4372,$B:$B,$B4372,$G:$G,"CDU",$J:$J,"PLANNED")&gt;0,"tied","standalone"),"")</f>
        <v>standalone</v>
      </c>
    </row>
    <row r="4373" spans="1:14">
      <c r="A4373" s="6">
        <v>2024</v>
      </c>
      <c r="B4373" s="6">
        <v>9</v>
      </c>
      <c r="C4373" s="6" t="s">
        <v>68</v>
      </c>
      <c r="D4373" s="6" t="s">
        <v>458</v>
      </c>
      <c r="E4373" s="6" t="s">
        <v>459</v>
      </c>
      <c r="F4373" s="6" t="str">
        <f>IF($M4373="PADD I","PADD 1",IF($M4373="PADD II","PADD 2",IF($M4373="PADD III","PADD 3",IF($M4373="PADD IV","PADD 4",IF($M4373="PADD V","PADD 5","")))))</f>
        <v>PADD 3</v>
      </c>
      <c r="G4373" s="6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6" t="s">
        <v>428</v>
      </c>
      <c r="I4373" s="6" t="s">
        <v>539</v>
      </c>
      <c r="J4373" s="6" t="s">
        <v>394</v>
      </c>
      <c r="K4373" s="10">
        <v>6</v>
      </c>
      <c r="L4373" s="10">
        <v>60</v>
      </c>
      <c r="M4373" s="6" t="s">
        <v>421</v>
      </c>
      <c r="N4373" s="6">
        <f>IF(OR($G4373="FCC",$G4373="Hydrocracker",$G4373="Reformer"),IF(COUNTIFS($D:$D,$D4373,$A:$A,$A4373,$B:$B,$B4373,$G:$G,"CDU",$J:$J,"PLANNED")&gt;0,"tied","standalone"),"")</f>
        <v/>
      </c>
    </row>
    <row r="4374" spans="1:14">
      <c r="A4374" s="6">
        <v>2024</v>
      </c>
      <c r="B4374" s="6">
        <v>9</v>
      </c>
      <c r="C4374" s="6" t="s">
        <v>68</v>
      </c>
      <c r="D4374" s="6" t="s">
        <v>592</v>
      </c>
      <c r="E4374" s="6" t="s">
        <v>593</v>
      </c>
      <c r="F4374" s="6" t="str">
        <f>IF($M4374="PADD I","PADD 1",IF($M4374="PADD II","PADD 2",IF($M4374="PADD III","PADD 3",IF($M4374="PADD IV","PADD 4",IF($M4374="PADD V","PADD 5","")))))</f>
        <v>PADD 2</v>
      </c>
      <c r="G4374" s="6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6" t="s">
        <v>471</v>
      </c>
      <c r="I4374" s="6" t="s">
        <v>1164</v>
      </c>
      <c r="J4374" s="6" t="s">
        <v>398</v>
      </c>
      <c r="K4374" s="10">
        <v>6</v>
      </c>
      <c r="L4374" s="10">
        <v>30</v>
      </c>
      <c r="M4374" s="6" t="s">
        <v>425</v>
      </c>
      <c r="N4374" s="6" t="str">
        <f>IF(OR($G4374="FCC",$G4374="Hydrocracker",$G4374="Reformer"),IF(COUNTIFS($D:$D,$D4374,$A:$A,$A4374,$B:$B,$B4374,$G:$G,"CDU",$J:$J,"PLANNED")&gt;0,"tied","standalone"),"")</f>
        <v>tied</v>
      </c>
    </row>
    <row r="4375" spans="1:14">
      <c r="A4375" s="6">
        <v>2024</v>
      </c>
      <c r="B4375" s="6">
        <v>9</v>
      </c>
      <c r="C4375" s="6" t="s">
        <v>68</v>
      </c>
      <c r="D4375" s="6" t="s">
        <v>662</v>
      </c>
      <c r="E4375" s="6" t="s">
        <v>466</v>
      </c>
      <c r="F4375" s="6" t="str">
        <f>IF($M4375="PADD I","PADD 1",IF($M4375="PADD II","PADD 2",IF($M4375="PADD III","PADD 3",IF($M4375="PADD IV","PADD 4",IF($M4375="PADD V","PADD 5","")))))</f>
        <v>PADD 3</v>
      </c>
      <c r="G4375" s="6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6" t="s">
        <v>471</v>
      </c>
      <c r="I4375" s="6" t="s">
        <v>805</v>
      </c>
      <c r="J4375" s="6" t="s">
        <v>394</v>
      </c>
      <c r="K4375" s="10">
        <v>6</v>
      </c>
      <c r="L4375" s="10">
        <v>30</v>
      </c>
      <c r="M4375" s="6" t="s">
        <v>421</v>
      </c>
      <c r="N4375" s="6" t="str">
        <f>IF(OR($G4375="FCC",$G4375="Hydrocracker",$G4375="Reformer"),IF(COUNTIFS($D:$D,$D4375,$A:$A,$A4375,$B:$B,$B4375,$G:$G,"CDU",$J:$J,"PLANNED")&gt;0,"tied","standalone"),"")</f>
        <v>standalone</v>
      </c>
    </row>
    <row r="4376" spans="1:14">
      <c r="A4376" s="6">
        <v>2024</v>
      </c>
      <c r="B4376" s="6">
        <v>9</v>
      </c>
      <c r="C4376" s="6" t="s">
        <v>68</v>
      </c>
      <c r="D4376" s="6" t="s">
        <v>378</v>
      </c>
      <c r="E4376" s="6" t="s">
        <v>477</v>
      </c>
      <c r="F4376" s="6" t="str">
        <f>IF($M4376="PADD I","PADD 1",IF($M4376="PADD II","PADD 2",IF($M4376="PADD III","PADD 3",IF($M4376="PADD IV","PADD 4",IF($M4376="PADD V","PADD 5","")))))</f>
        <v>PADD 3</v>
      </c>
      <c r="G4376" s="6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6" t="s">
        <v>44</v>
      </c>
      <c r="I4376" s="6" t="s">
        <v>1258</v>
      </c>
      <c r="J4376" s="6" t="s">
        <v>398</v>
      </c>
      <c r="K4376" s="10">
        <v>5.85</v>
      </c>
      <c r="L4376" s="10">
        <v>45</v>
      </c>
      <c r="M4376" s="6" t="s">
        <v>421</v>
      </c>
      <c r="N4376" s="6">
        <f>IF(OR($G4376="FCC",$G4376="Hydrocracker",$G4376="Reformer"),IF(COUNTIFS($D:$D,$D4376,$A:$A,$A4376,$B:$B,$B4376,$G:$G,"CDU",$J:$J,"PLANNED")&gt;0,"tied","standalone"),"")</f>
        <v/>
      </c>
    </row>
    <row r="4377" spans="1:14">
      <c r="A4377" s="6">
        <v>2024</v>
      </c>
      <c r="B4377" s="6">
        <v>9</v>
      </c>
      <c r="C4377" s="6" t="s">
        <v>68</v>
      </c>
      <c r="D4377" s="6" t="s">
        <v>662</v>
      </c>
      <c r="E4377" s="6" t="s">
        <v>466</v>
      </c>
      <c r="F4377" s="6" t="str">
        <f>IF($M4377="PADD I","PADD 1",IF($M4377="PADD II","PADD 2",IF($M4377="PADD III","PADD 3",IF($M4377="PADD IV","PADD 4",IF($M4377="PADD V","PADD 5","")))))</f>
        <v>PADD 3</v>
      </c>
      <c r="G4377" s="6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6" t="s">
        <v>428</v>
      </c>
      <c r="I4377" s="6" t="s">
        <v>481</v>
      </c>
      <c r="J4377" s="6" t="s">
        <v>394</v>
      </c>
      <c r="K4377" s="10">
        <v>5.6</v>
      </c>
      <c r="L4377" s="10">
        <v>80</v>
      </c>
      <c r="M4377" s="6" t="s">
        <v>421</v>
      </c>
      <c r="N4377" s="6">
        <f>IF(OR($G4377="FCC",$G4377="Hydrocracker",$G4377="Reformer"),IF(COUNTIFS($D:$D,$D4377,$A:$A,$A4377,$B:$B,$B4377,$G:$G,"CDU",$J:$J,"PLANNED")&gt;0,"tied","standalone"),"")</f>
        <v/>
      </c>
    </row>
    <row r="4378" spans="1:14">
      <c r="A4378" s="6">
        <v>2024</v>
      </c>
      <c r="B4378" s="6">
        <v>9</v>
      </c>
      <c r="C4378" s="6" t="s">
        <v>68</v>
      </c>
      <c r="D4378" s="6" t="s">
        <v>458</v>
      </c>
      <c r="E4378" s="6" t="s">
        <v>459</v>
      </c>
      <c r="F4378" s="6" t="str">
        <f>IF($M4378="PADD I","PADD 1",IF($M4378="PADD II","PADD 2",IF($M4378="PADD III","PADD 3",IF($M4378="PADD IV","PADD 4",IF($M4378="PADD V","PADD 5","")))))</f>
        <v>PADD 3</v>
      </c>
      <c r="G4378" s="6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6" t="s">
        <v>426</v>
      </c>
      <c r="I4378" s="6" t="s">
        <v>476</v>
      </c>
      <c r="J4378" s="6" t="s">
        <v>394</v>
      </c>
      <c r="K4378" s="10">
        <v>5.6</v>
      </c>
      <c r="L4378" s="10">
        <v>80</v>
      </c>
      <c r="M4378" s="6" t="s">
        <v>421</v>
      </c>
      <c r="N4378" s="6" t="str">
        <f>IF(OR($G4378="FCC",$G4378="Hydrocracker",$G4378="Reformer"),IF(COUNTIFS($D:$D,$D4378,$A:$A,$A4378,$B:$B,$B4378,$G:$G,"CDU",$J:$J,"PLANNED")&gt;0,"tied","standalone"),"")</f>
        <v>tied</v>
      </c>
    </row>
    <row r="4379" spans="1:14">
      <c r="A4379" s="6">
        <v>2024</v>
      </c>
      <c r="B4379" s="6">
        <v>9</v>
      </c>
      <c r="C4379" s="6" t="s">
        <v>68</v>
      </c>
      <c r="D4379" s="6" t="s">
        <v>576</v>
      </c>
      <c r="E4379" s="6" t="s">
        <v>455</v>
      </c>
      <c r="F4379" s="6" t="str">
        <f>IF($M4379="PADD I","PADD 1",IF($M4379="PADD II","PADD 2",IF($M4379="PADD III","PADD 3",IF($M4379="PADD IV","PADD 4",IF($M4379="PADD V","PADD 5","")))))</f>
        <v>PADD 3</v>
      </c>
      <c r="G4379" s="6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6" t="s">
        <v>44</v>
      </c>
      <c r="I4379" s="6" t="s">
        <v>1276</v>
      </c>
      <c r="J4379" s="6" t="s">
        <v>394</v>
      </c>
      <c r="K4379" s="10">
        <v>5.55</v>
      </c>
      <c r="L4379" s="10">
        <v>18.5</v>
      </c>
      <c r="M4379" s="6" t="s">
        <v>421</v>
      </c>
      <c r="N4379" s="6">
        <f>IF(OR($G4379="FCC",$G4379="Hydrocracker",$G4379="Reformer"),IF(COUNTIFS($D:$D,$D4379,$A:$A,$A4379,$B:$B,$B4379,$G:$G,"CDU",$J:$J,"PLANNED")&gt;0,"tied","standalone"),"")</f>
        <v/>
      </c>
    </row>
    <row r="4380" spans="1:14">
      <c r="A4380" s="6">
        <v>2024</v>
      </c>
      <c r="B4380" s="6">
        <v>9</v>
      </c>
      <c r="C4380" s="6" t="s">
        <v>68</v>
      </c>
      <c r="D4380" s="6" t="s">
        <v>430</v>
      </c>
      <c r="E4380" s="6" t="s">
        <v>431</v>
      </c>
      <c r="F4380" s="6" t="str">
        <f>IF($M4380="PADD I","PADD 1",IF($M4380="PADD II","PADD 2",IF($M4380="PADD III","PADD 3",IF($M4380="PADD IV","PADD 4",IF($M4380="PADD V","PADD 5","")))))</f>
        <v>PADD 3</v>
      </c>
      <c r="G4380" s="6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6" t="s">
        <v>426</v>
      </c>
      <c r="I4380" s="6" t="s">
        <v>702</v>
      </c>
      <c r="J4380" s="6" t="s">
        <v>394</v>
      </c>
      <c r="K4380" s="10">
        <v>5.5</v>
      </c>
      <c r="L4380" s="10">
        <v>55</v>
      </c>
      <c r="M4380" s="6" t="s">
        <v>421</v>
      </c>
      <c r="N4380" s="6" t="str">
        <f>IF(OR($G4380="FCC",$G4380="Hydrocracker",$G4380="Reformer"),IF(COUNTIFS($D:$D,$D4380,$A:$A,$A4380,$B:$B,$B4380,$G:$G,"CDU",$J:$J,"PLANNED")&gt;0,"tied","standalone"),"")</f>
        <v>standalone</v>
      </c>
    </row>
    <row r="4381" spans="1:14">
      <c r="A4381" s="6">
        <v>2024</v>
      </c>
      <c r="B4381" s="6">
        <v>9</v>
      </c>
      <c r="C4381" s="6" t="s">
        <v>68</v>
      </c>
      <c r="D4381" s="6" t="s">
        <v>430</v>
      </c>
      <c r="E4381" s="6" t="s">
        <v>431</v>
      </c>
      <c r="F4381" s="6" t="str">
        <f>IF($M4381="PADD I","PADD 1",IF($M4381="PADD II","PADD 2",IF($M4381="PADD III","PADD 3",IF($M4381="PADD IV","PADD 4",IF($M4381="PADD V","PADD 5","")))))</f>
        <v>PADD 3</v>
      </c>
      <c r="G4381" s="6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6" t="s">
        <v>426</v>
      </c>
      <c r="I4381" s="6" t="s">
        <v>900</v>
      </c>
      <c r="J4381" s="6" t="s">
        <v>394</v>
      </c>
      <c r="K4381" s="10">
        <v>5.5</v>
      </c>
      <c r="L4381" s="10">
        <v>55</v>
      </c>
      <c r="M4381" s="6" t="s">
        <v>421</v>
      </c>
      <c r="N4381" s="6" t="str">
        <f>IF(OR($G4381="FCC",$G4381="Hydrocracker",$G4381="Reformer"),IF(COUNTIFS($D:$D,$D4381,$A:$A,$A4381,$B:$B,$B4381,$G:$G,"CDU",$J:$J,"PLANNED")&gt;0,"tied","standalone"),"")</f>
        <v>standalone</v>
      </c>
    </row>
    <row r="4382" spans="1:14">
      <c r="A4382" s="6">
        <v>2024</v>
      </c>
      <c r="B4382" s="6">
        <v>9</v>
      </c>
      <c r="C4382" s="6" t="s">
        <v>68</v>
      </c>
      <c r="D4382" s="6" t="s">
        <v>430</v>
      </c>
      <c r="E4382" s="6" t="s">
        <v>431</v>
      </c>
      <c r="F4382" s="6" t="str">
        <f>IF($M4382="PADD I","PADD 1",IF($M4382="PADD II","PADD 2",IF($M4382="PADD III","PADD 3",IF($M4382="PADD IV","PADD 4",IF($M4382="PADD V","PADD 5","")))))</f>
        <v>PADD 3</v>
      </c>
      <c r="G4382" s="6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6" t="s">
        <v>39</v>
      </c>
      <c r="I4382" s="6" t="s">
        <v>115</v>
      </c>
      <c r="J4382" s="6" t="s">
        <v>394</v>
      </c>
      <c r="K4382" s="10">
        <v>5.5</v>
      </c>
      <c r="L4382" s="10">
        <v>55</v>
      </c>
      <c r="M4382" s="6" t="s">
        <v>421</v>
      </c>
      <c r="N4382" s="6">
        <f>IF(OR($G4382="FCC",$G4382="Hydrocracker",$G4382="Reformer"),IF(COUNTIFS($D:$D,$D4382,$A:$A,$A4382,$B:$B,$B4382,$G:$G,"CDU",$J:$J,"PLANNED")&gt;0,"tied","standalone"),"")</f>
        <v/>
      </c>
    </row>
    <row r="4383" spans="1:14">
      <c r="A4383" s="6">
        <v>2024</v>
      </c>
      <c r="B4383" s="6">
        <v>9</v>
      </c>
      <c r="C4383" s="6" t="s">
        <v>68</v>
      </c>
      <c r="D4383" s="6" t="s">
        <v>422</v>
      </c>
      <c r="E4383" s="6" t="s">
        <v>423</v>
      </c>
      <c r="F4383" s="6" t="str">
        <f>IF($M4383="PADD I","PADD 1",IF($M4383="PADD II","PADD 2",IF($M4383="PADD III","PADD 3",IF($M4383="PADD IV","PADD 4",IF($M4383="PADD V","PADD 5","")))))</f>
        <v>PADD 2</v>
      </c>
      <c r="G4383" s="6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6" t="s">
        <v>426</v>
      </c>
      <c r="I4383" s="6" t="s">
        <v>457</v>
      </c>
      <c r="J4383" s="6" t="s">
        <v>394</v>
      </c>
      <c r="K4383" s="10">
        <v>5.5</v>
      </c>
      <c r="L4383" s="10">
        <v>55</v>
      </c>
      <c r="M4383" s="6" t="s">
        <v>425</v>
      </c>
      <c r="N4383" s="6" t="str">
        <f>IF(OR($G4383="FCC",$G4383="Hydrocracker",$G4383="Reformer"),IF(COUNTIFS($D:$D,$D4383,$A:$A,$A4383,$B:$B,$B4383,$G:$G,"CDU",$J:$J,"PLANNED")&gt;0,"tied","standalone"),"")</f>
        <v>standalone</v>
      </c>
    </row>
    <row r="4384" spans="1:14">
      <c r="A4384" s="6">
        <v>2024</v>
      </c>
      <c r="B4384" s="6">
        <v>9</v>
      </c>
      <c r="C4384" s="6" t="s">
        <v>68</v>
      </c>
      <c r="D4384" s="6" t="s">
        <v>665</v>
      </c>
      <c r="E4384" s="6" t="s">
        <v>455</v>
      </c>
      <c r="F4384" s="6" t="str">
        <f>IF($M4384="PADD I","PADD 1",IF($M4384="PADD II","PADD 2",IF($M4384="PADD III","PADD 3",IF($M4384="PADD IV","PADD 4",IF($M4384="PADD V","PADD 5","")))))</f>
        <v>PADD 5</v>
      </c>
      <c r="G4384" s="6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6" t="s">
        <v>44</v>
      </c>
      <c r="I4384" s="6" t="s">
        <v>1288</v>
      </c>
      <c r="J4384" s="6" t="s">
        <v>398</v>
      </c>
      <c r="K4384" s="10">
        <v>5.33</v>
      </c>
      <c r="L4384" s="10">
        <v>41</v>
      </c>
      <c r="M4384" s="6" t="s">
        <v>436</v>
      </c>
      <c r="N4384" s="6">
        <f>IF(OR($G4384="FCC",$G4384="Hydrocracker",$G4384="Reformer"),IF(COUNTIFS($D:$D,$D4384,$A:$A,$A4384,$B:$B,$B4384,$G:$G,"CDU",$J:$J,"PLANNED")&gt;0,"tied","standalone"),"")</f>
        <v/>
      </c>
    </row>
    <row r="4385" spans="1:14">
      <c r="A4385" s="6">
        <v>2024</v>
      </c>
      <c r="B4385" s="6">
        <v>9</v>
      </c>
      <c r="C4385" s="6" t="s">
        <v>68</v>
      </c>
      <c r="D4385" s="6" t="s">
        <v>377</v>
      </c>
      <c r="E4385" s="6" t="s">
        <v>466</v>
      </c>
      <c r="F4385" s="6" t="str">
        <f>IF($M4385="PADD I","PADD 1",IF($M4385="PADD II","PADD 2",IF($M4385="PADD III","PADD 3",IF($M4385="PADD IV","PADD 4",IF($M4385="PADD V","PADD 5","")))))</f>
        <v>PADD 2</v>
      </c>
      <c r="G4385" s="6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6" t="s">
        <v>39</v>
      </c>
      <c r="I4385" s="6" t="s">
        <v>92</v>
      </c>
      <c r="J4385" s="6" t="s">
        <v>394</v>
      </c>
      <c r="K4385" s="10">
        <v>5.25</v>
      </c>
      <c r="L4385" s="10">
        <v>175</v>
      </c>
      <c r="M4385" s="6" t="s">
        <v>425</v>
      </c>
      <c r="N4385" s="6">
        <f>IF(OR($G4385="FCC",$G4385="Hydrocracker",$G4385="Reformer"),IF(COUNTIFS($D:$D,$D4385,$A:$A,$A4385,$B:$B,$B4385,$G:$G,"CDU",$J:$J,"PLANNED")&gt;0,"tied","standalone"),"")</f>
        <v/>
      </c>
    </row>
    <row r="4386" spans="1:14">
      <c r="A4386" s="6">
        <v>2024</v>
      </c>
      <c r="B4386" s="6">
        <v>9</v>
      </c>
      <c r="C4386" s="6" t="s">
        <v>68</v>
      </c>
      <c r="D4386" s="6" t="s">
        <v>984</v>
      </c>
      <c r="E4386" s="6" t="s">
        <v>438</v>
      </c>
      <c r="F4386" s="6" t="str">
        <f>IF($M4386="PADD I","PADD 1",IF($M4386="PADD II","PADD 2",IF($M4386="PADD III","PADD 3",IF($M4386="PADD IV","PADD 4",IF($M4386="PADD V","PADD 5","")))))</f>
        <v>PADD 3</v>
      </c>
      <c r="G4386" s="6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6" t="s">
        <v>39</v>
      </c>
      <c r="I4386" s="6" t="s">
        <v>136</v>
      </c>
      <c r="J4386" s="6" t="s">
        <v>394</v>
      </c>
      <c r="K4386" s="10">
        <v>5.25</v>
      </c>
      <c r="L4386" s="10">
        <v>75</v>
      </c>
      <c r="M4386" s="6" t="s">
        <v>421</v>
      </c>
      <c r="N4386" s="6">
        <f>IF(OR($G4386="FCC",$G4386="Hydrocracker",$G4386="Reformer"),IF(COUNTIFS($D:$D,$D4386,$A:$A,$A4386,$B:$B,$B4386,$G:$G,"CDU",$J:$J,"PLANNED")&gt;0,"tied","standalone"),"")</f>
        <v/>
      </c>
    </row>
    <row r="4387" spans="1:14">
      <c r="A4387" s="6">
        <v>2024</v>
      </c>
      <c r="B4387" s="6">
        <v>9</v>
      </c>
      <c r="C4387" s="6" t="s">
        <v>68</v>
      </c>
      <c r="D4387" s="6" t="s">
        <v>518</v>
      </c>
      <c r="E4387" s="6" t="s">
        <v>419</v>
      </c>
      <c r="F4387" s="6" t="str">
        <f>IF($M4387="PADD I","PADD 1",IF($M4387="PADD II","PADD 2",IF($M4387="PADD III","PADD 3",IF($M4387="PADD IV","PADD 4",IF($M4387="PADD V","PADD 5","")))))</f>
        <v>PADD 3</v>
      </c>
      <c r="G4387" s="6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6" t="s">
        <v>510</v>
      </c>
      <c r="I4387" s="6" t="s">
        <v>940</v>
      </c>
      <c r="J4387" s="6" t="s">
        <v>394</v>
      </c>
      <c r="K4387" s="10">
        <v>5.18</v>
      </c>
      <c r="L4387" s="10">
        <v>14</v>
      </c>
      <c r="M4387" s="6" t="s">
        <v>421</v>
      </c>
      <c r="N4387" s="6">
        <f>IF(OR($G4387="FCC",$G4387="Hydrocracker",$G4387="Reformer"),IF(COUNTIFS($D:$D,$D4387,$A:$A,$A4387,$B:$B,$B4387,$G:$G,"CDU",$J:$J,"PLANNED")&gt;0,"tied","standalone"),"")</f>
        <v/>
      </c>
    </row>
    <row r="4388" spans="1:14">
      <c r="A4388" s="6">
        <v>2024</v>
      </c>
      <c r="B4388" s="6">
        <v>9</v>
      </c>
      <c r="C4388" s="6" t="s">
        <v>68</v>
      </c>
      <c r="D4388" s="6" t="s">
        <v>458</v>
      </c>
      <c r="E4388" s="6" t="s">
        <v>459</v>
      </c>
      <c r="F4388" s="6" t="str">
        <f>IF($M4388="PADD I","PADD 1",IF($M4388="PADD II","PADD 2",IF($M4388="PADD III","PADD 3",IF($M4388="PADD IV","PADD 4",IF($M4388="PADD V","PADD 5","")))))</f>
        <v>PADD 3</v>
      </c>
      <c r="G4388" s="6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6" t="s">
        <v>428</v>
      </c>
      <c r="I4388" s="6" t="s">
        <v>556</v>
      </c>
      <c r="J4388" s="6" t="s">
        <v>394</v>
      </c>
      <c r="K4388" s="10">
        <v>5.1</v>
      </c>
      <c r="L4388" s="10">
        <v>51</v>
      </c>
      <c r="M4388" s="6" t="s">
        <v>421</v>
      </c>
      <c r="N4388" s="6">
        <f>IF(OR($G4388="FCC",$G4388="Hydrocracker",$G4388="Reformer"),IF(COUNTIFS($D:$D,$D4388,$A:$A,$A4388,$B:$B,$B4388,$G:$G,"CDU",$J:$J,"PLANNED")&gt;0,"tied","standalone"),"")</f>
        <v/>
      </c>
    </row>
    <row r="4389" spans="1:14">
      <c r="A4389" s="6">
        <v>2024</v>
      </c>
      <c r="B4389" s="6">
        <v>9</v>
      </c>
      <c r="C4389" s="6" t="s">
        <v>68</v>
      </c>
      <c r="D4389" s="6" t="s">
        <v>458</v>
      </c>
      <c r="E4389" s="6" t="s">
        <v>459</v>
      </c>
      <c r="F4389" s="6" t="str">
        <f>IF($M4389="PADD I","PADD 1",IF($M4389="PADD II","PADD 2",IF($M4389="PADD III","PADD 3",IF($M4389="PADD IV","PADD 4",IF($M4389="PADD V","PADD 5","")))))</f>
        <v>PADD 3</v>
      </c>
      <c r="G4389" s="6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6" t="s">
        <v>428</v>
      </c>
      <c r="I4389" s="6" t="s">
        <v>556</v>
      </c>
      <c r="J4389" s="6" t="s">
        <v>398</v>
      </c>
      <c r="K4389" s="10">
        <v>5.1</v>
      </c>
      <c r="L4389" s="10">
        <v>51</v>
      </c>
      <c r="M4389" s="6" t="s">
        <v>421</v>
      </c>
      <c r="N4389" s="6">
        <f>IF(OR($G4389="FCC",$G4389="Hydrocracker",$G4389="Reformer"),IF(COUNTIFS($D:$D,$D4389,$A:$A,$A4389,$B:$B,$B4389,$G:$G,"CDU",$J:$J,"PLANNED")&gt;0,"tied","standalone"),"")</f>
        <v/>
      </c>
    </row>
    <row r="4390" spans="1:14">
      <c r="A4390" s="6">
        <v>2024</v>
      </c>
      <c r="B4390" s="6">
        <v>9</v>
      </c>
      <c r="C4390" s="6" t="s">
        <v>68</v>
      </c>
      <c r="D4390" s="6" t="s">
        <v>764</v>
      </c>
      <c r="E4390" s="6" t="s">
        <v>455</v>
      </c>
      <c r="F4390" s="6" t="str">
        <f>IF($M4390="PADD I","PADD 1",IF($M4390="PADD II","PADD 2",IF($M4390="PADD III","PADD 3",IF($M4390="PADD IV","PADD 4",IF($M4390="PADD V","PADD 5","")))))</f>
        <v>PADD 3</v>
      </c>
      <c r="G4390" s="6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6" t="s">
        <v>428</v>
      </c>
      <c r="I4390" s="6" t="s">
        <v>544</v>
      </c>
      <c r="J4390" s="6" t="s">
        <v>398</v>
      </c>
      <c r="K4390" s="10">
        <v>5.1</v>
      </c>
      <c r="L4390" s="10">
        <v>30</v>
      </c>
      <c r="M4390" s="6" t="s">
        <v>421</v>
      </c>
      <c r="N4390" s="6">
        <f>IF(OR($G4390="FCC",$G4390="Hydrocracker",$G4390="Reformer"),IF(COUNTIFS($D:$D,$D4390,$A:$A,$A4390,$B:$B,$B4390,$G:$G,"CDU",$J:$J,"PLANNED")&gt;0,"tied","standalone"),"")</f>
        <v/>
      </c>
    </row>
    <row r="4391" spans="1:14">
      <c r="A4391" s="6">
        <v>2024</v>
      </c>
      <c r="B4391" s="6">
        <v>9</v>
      </c>
      <c r="C4391" s="6" t="s">
        <v>68</v>
      </c>
      <c r="D4391" s="6" t="s">
        <v>1289</v>
      </c>
      <c r="E4391" s="6" t="s">
        <v>922</v>
      </c>
      <c r="F4391" s="6" t="str">
        <f>IF($M4391="PADD I","PADD 1",IF($M4391="PADD II","PADD 2",IF($M4391="PADD III","PADD 3",IF($M4391="PADD IV","PADD 4",IF($M4391="PADD V","PADD 5","")))))</f>
        <v>PADD 4</v>
      </c>
      <c r="G4391" s="6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6" t="s">
        <v>39</v>
      </c>
      <c r="I4391" s="6" t="s">
        <v>82</v>
      </c>
      <c r="J4391" s="6" t="s">
        <v>398</v>
      </c>
      <c r="K4391" s="10">
        <v>5</v>
      </c>
      <c r="L4391" s="10">
        <v>12.5</v>
      </c>
      <c r="M4391" s="6" t="s">
        <v>480</v>
      </c>
      <c r="N4391" s="6">
        <f>IF(OR($G4391="FCC",$G4391="Hydrocracker",$G4391="Reformer"),IF(COUNTIFS($D:$D,$D4391,$A:$A,$A4391,$B:$B,$B4391,$G:$G,"CDU",$J:$J,"PLANNED")&gt;0,"tied","standalone"),"")</f>
        <v/>
      </c>
    </row>
    <row r="4392" spans="1:14">
      <c r="A4392" s="6">
        <v>2024</v>
      </c>
      <c r="B4392" s="6">
        <v>9</v>
      </c>
      <c r="C4392" s="6" t="s">
        <v>68</v>
      </c>
      <c r="D4392" s="6" t="s">
        <v>370</v>
      </c>
      <c r="E4392" s="6" t="s">
        <v>431</v>
      </c>
      <c r="F4392" s="6" t="str">
        <f>IF($M4392="PADD I","PADD 1",IF($M4392="PADD II","PADD 2",IF($M4392="PADD III","PADD 3",IF($M4392="PADD IV","PADD 4",IF($M4392="PADD V","PADD 5","")))))</f>
        <v>PADD 2</v>
      </c>
      <c r="G4392" s="6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6" t="s">
        <v>44</v>
      </c>
      <c r="I4392" s="6" t="s">
        <v>1214</v>
      </c>
      <c r="J4392" s="6" t="s">
        <v>394</v>
      </c>
      <c r="K4392" s="10">
        <v>4.95</v>
      </c>
      <c r="L4392" s="10">
        <v>15</v>
      </c>
      <c r="M4392" s="6" t="s">
        <v>425</v>
      </c>
      <c r="N4392" s="6">
        <f>IF(OR($G4392="FCC",$G4392="Hydrocracker",$G4392="Reformer"),IF(COUNTIFS($D:$D,$D4392,$A:$A,$A4392,$B:$B,$B4392,$G:$G,"CDU",$J:$J,"PLANNED")&gt;0,"tied","standalone"),"")</f>
        <v/>
      </c>
    </row>
    <row r="4393" spans="1:14">
      <c r="A4393" s="6">
        <v>2024</v>
      </c>
      <c r="B4393" s="6">
        <v>9</v>
      </c>
      <c r="C4393" s="6" t="s">
        <v>68</v>
      </c>
      <c r="D4393" s="6" t="s">
        <v>52</v>
      </c>
      <c r="E4393" s="6" t="s">
        <v>441</v>
      </c>
      <c r="F4393" s="6" t="str">
        <f>IF($M4393="PADD I","PADD 1",IF($M4393="PADD II","PADD 2",IF($M4393="PADD III","PADD 3",IF($M4393="PADD IV","PADD 4",IF($M4393="PADD V","PADD 5","")))))</f>
        <v>PADD 5</v>
      </c>
      <c r="G4393" s="6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6" t="s">
        <v>428</v>
      </c>
      <c r="I4393" s="6" t="s">
        <v>1085</v>
      </c>
      <c r="J4393" s="6" t="s">
        <v>394</v>
      </c>
      <c r="K4393" s="10">
        <v>4.83</v>
      </c>
      <c r="L4393" s="10">
        <v>161</v>
      </c>
      <c r="M4393" s="6" t="s">
        <v>436</v>
      </c>
      <c r="N4393" s="6">
        <f>IF(OR($G4393="FCC",$G4393="Hydrocracker",$G4393="Reformer"),IF(COUNTIFS($D:$D,$D4393,$A:$A,$A4393,$B:$B,$B4393,$G:$G,"CDU",$J:$J,"PLANNED")&gt;0,"tied","standalone"),"")</f>
        <v/>
      </c>
    </row>
    <row r="4394" spans="1:14">
      <c r="A4394" s="6">
        <v>2024</v>
      </c>
      <c r="B4394" s="6">
        <v>9</v>
      </c>
      <c r="C4394" s="6" t="s">
        <v>68</v>
      </c>
      <c r="D4394" s="6" t="s">
        <v>725</v>
      </c>
      <c r="E4394" s="6" t="s">
        <v>502</v>
      </c>
      <c r="F4394" s="6" t="str">
        <f>IF($M4394="PADD I","PADD 1",IF($M4394="PADD II","PADD 2",IF($M4394="PADD III","PADD 3",IF($M4394="PADD IV","PADD 4",IF($M4394="PADD V","PADD 5","")))))</f>
        <v>PADD 2</v>
      </c>
      <c r="G4394" s="6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6" t="s">
        <v>485</v>
      </c>
      <c r="I4394" s="6" t="s">
        <v>491</v>
      </c>
      <c r="J4394" s="6" t="s">
        <v>398</v>
      </c>
      <c r="K4394" s="10">
        <v>4.715</v>
      </c>
      <c r="L4394" s="10">
        <v>20.5</v>
      </c>
      <c r="M4394" s="6" t="s">
        <v>425</v>
      </c>
      <c r="N4394" s="6">
        <f>IF(OR($G4394="FCC",$G4394="Hydrocracker",$G4394="Reformer"),IF(COUNTIFS($D:$D,$D4394,$A:$A,$A4394,$B:$B,$B4394,$G:$G,"CDU",$J:$J,"PLANNED")&gt;0,"tied","standalone"),"")</f>
        <v/>
      </c>
    </row>
    <row r="4395" spans="1:14">
      <c r="A4395" s="6">
        <v>2024</v>
      </c>
      <c r="B4395" s="6">
        <v>9</v>
      </c>
      <c r="C4395" s="6" t="s">
        <v>68</v>
      </c>
      <c r="D4395" s="6" t="s">
        <v>901</v>
      </c>
      <c r="E4395" s="6" t="s">
        <v>902</v>
      </c>
      <c r="F4395" s="6" t="str">
        <f>IF($M4395="PADD I","PADD 1",IF($M4395="PADD II","PADD 2",IF($M4395="PADD III","PADD 3",IF($M4395="PADD IV","PADD 4",IF($M4395="PADD V","PADD 5","")))))</f>
        <v>PADD 3</v>
      </c>
      <c r="G4395" s="6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6" t="s">
        <v>428</v>
      </c>
      <c r="I4395" s="6" t="s">
        <v>910</v>
      </c>
      <c r="J4395" s="6" t="s">
        <v>394</v>
      </c>
      <c r="K4395" s="10">
        <v>4.68</v>
      </c>
      <c r="L4395" s="10">
        <v>36</v>
      </c>
      <c r="M4395" s="6" t="s">
        <v>421</v>
      </c>
      <c r="N4395" s="6">
        <f>IF(OR($G4395="FCC",$G4395="Hydrocracker",$G4395="Reformer"),IF(COUNTIFS($D:$D,$D4395,$A:$A,$A4395,$B:$B,$B4395,$G:$G,"CDU",$J:$J,"PLANNED")&gt;0,"tied","standalone"),"")</f>
        <v/>
      </c>
    </row>
    <row r="4396" spans="1:14">
      <c r="A4396" s="6">
        <v>2024</v>
      </c>
      <c r="B4396" s="6">
        <v>9</v>
      </c>
      <c r="C4396" s="6" t="s">
        <v>68</v>
      </c>
      <c r="D4396" s="6" t="s">
        <v>581</v>
      </c>
      <c r="E4396" s="6" t="s">
        <v>582</v>
      </c>
      <c r="F4396" s="6" t="str">
        <f>IF($M4396="PADD I","PADD 1",IF($M4396="PADD II","PADD 2",IF($M4396="PADD III","PADD 3",IF($M4396="PADD IV","PADD 4",IF($M4396="PADD V","PADD 5","")))))</f>
        <v>PADD 5</v>
      </c>
      <c r="G4396" s="6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6" t="s">
        <v>39</v>
      </c>
      <c r="I4396" s="6" t="s">
        <v>82</v>
      </c>
      <c r="J4396" s="6" t="s">
        <v>394</v>
      </c>
      <c r="K4396" s="10">
        <v>4.65</v>
      </c>
      <c r="L4396" s="10">
        <v>155</v>
      </c>
      <c r="M4396" s="6" t="s">
        <v>436</v>
      </c>
      <c r="N4396" s="6">
        <f>IF(OR($G4396="FCC",$G4396="Hydrocracker",$G4396="Reformer"),IF(COUNTIFS($D:$D,$D4396,$A:$A,$A4396,$B:$B,$B4396,$G:$G,"CDU",$J:$J,"PLANNED")&gt;0,"tied","standalone"),"")</f>
        <v/>
      </c>
    </row>
    <row r="4397" spans="1:14">
      <c r="A4397" s="6">
        <v>2024</v>
      </c>
      <c r="B4397" s="6">
        <v>9</v>
      </c>
      <c r="C4397" s="6" t="s">
        <v>68</v>
      </c>
      <c r="D4397" s="6" t="s">
        <v>430</v>
      </c>
      <c r="E4397" s="6" t="s">
        <v>431</v>
      </c>
      <c r="F4397" s="6" t="str">
        <f>IF($M4397="PADD I","PADD 1",IF($M4397="PADD II","PADD 2",IF($M4397="PADD III","PADD 3",IF($M4397="PADD IV","PADD 4",IF($M4397="PADD V","PADD 5","")))))</f>
        <v>PADD 3</v>
      </c>
      <c r="G4397" s="6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6" t="s">
        <v>39</v>
      </c>
      <c r="I4397" s="6" t="s">
        <v>1028</v>
      </c>
      <c r="J4397" s="6" t="s">
        <v>394</v>
      </c>
      <c r="K4397" s="10">
        <v>4.5</v>
      </c>
      <c r="L4397" s="10">
        <v>45</v>
      </c>
      <c r="M4397" s="6" t="s">
        <v>421</v>
      </c>
      <c r="N4397" s="6">
        <f>IF(OR($G4397="FCC",$G4397="Hydrocracker",$G4397="Reformer"),IF(COUNTIFS($D:$D,$D4397,$A:$A,$A4397,$B:$B,$B4397,$G:$G,"CDU",$J:$J,"PLANNED")&gt;0,"tied","standalone"),"")</f>
        <v/>
      </c>
    </row>
    <row r="4398" spans="1:14">
      <c r="A4398" s="6">
        <v>2024</v>
      </c>
      <c r="B4398" s="6">
        <v>9</v>
      </c>
      <c r="C4398" s="6" t="s">
        <v>68</v>
      </c>
      <c r="D4398" s="6" t="s">
        <v>430</v>
      </c>
      <c r="E4398" s="6" t="s">
        <v>431</v>
      </c>
      <c r="F4398" s="6" t="str">
        <f>IF($M4398="PADD I","PADD 1",IF($M4398="PADD II","PADD 2",IF($M4398="PADD III","PADD 3",IF($M4398="PADD IV","PADD 4",IF($M4398="PADD V","PADD 5","")))))</f>
        <v>PADD 3</v>
      </c>
      <c r="G4398" s="6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6" t="s">
        <v>39</v>
      </c>
      <c r="I4398" s="6" t="s">
        <v>896</v>
      </c>
      <c r="J4398" s="6" t="s">
        <v>394</v>
      </c>
      <c r="K4398" s="10">
        <v>4.5</v>
      </c>
      <c r="L4398" s="10">
        <v>45</v>
      </c>
      <c r="M4398" s="6" t="s">
        <v>421</v>
      </c>
      <c r="N4398" s="6">
        <f>IF(OR($G4398="FCC",$G4398="Hydrocracker",$G4398="Reformer"),IF(COUNTIFS($D:$D,$D4398,$A:$A,$A4398,$B:$B,$B4398,$G:$G,"CDU",$J:$J,"PLANNED")&gt;0,"tied","standalone"),"")</f>
        <v/>
      </c>
    </row>
    <row r="4399" spans="1:14">
      <c r="A4399" s="6">
        <v>2024</v>
      </c>
      <c r="B4399" s="6">
        <v>9</v>
      </c>
      <c r="C4399" s="6" t="s">
        <v>68</v>
      </c>
      <c r="D4399" s="6" t="s">
        <v>725</v>
      </c>
      <c r="E4399" s="6" t="s">
        <v>502</v>
      </c>
      <c r="F4399" s="6" t="str">
        <f>IF($M4399="PADD I","PADD 1",IF($M4399="PADD II","PADD 2",IF($M4399="PADD III","PADD 3",IF($M4399="PADD IV","PADD 4",IF($M4399="PADD V","PADD 5","")))))</f>
        <v>PADD 2</v>
      </c>
      <c r="G4399" s="6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6" t="s">
        <v>44</v>
      </c>
      <c r="I4399" s="6" t="s">
        <v>1192</v>
      </c>
      <c r="J4399" s="6" t="s">
        <v>394</v>
      </c>
      <c r="K4399" s="10">
        <v>4.5</v>
      </c>
      <c r="L4399" s="10">
        <v>45</v>
      </c>
      <c r="M4399" s="6" t="s">
        <v>425</v>
      </c>
      <c r="N4399" s="6">
        <f>IF(OR($G4399="FCC",$G4399="Hydrocracker",$G4399="Reformer"),IF(COUNTIFS($D:$D,$D4399,$A:$A,$A4399,$B:$B,$B4399,$G:$G,"CDU",$J:$J,"PLANNED")&gt;0,"tied","standalone"),"")</f>
        <v/>
      </c>
    </row>
    <row r="4400" spans="1:14">
      <c r="A4400" s="6">
        <v>2024</v>
      </c>
      <c r="B4400" s="6">
        <v>9</v>
      </c>
      <c r="C4400" s="6" t="s">
        <v>68</v>
      </c>
      <c r="D4400" s="6" t="s">
        <v>1113</v>
      </c>
      <c r="E4400" s="6" t="s">
        <v>438</v>
      </c>
      <c r="F4400" s="6" t="str">
        <f>IF($M4400="PADD I","PADD 1",IF($M4400="PADD II","PADD 2",IF($M4400="PADD III","PADD 3",IF($M4400="PADD IV","PADD 4",IF($M4400="PADD V","PADD 5","")))))</f>
        <v>PADD 2</v>
      </c>
      <c r="G4400" s="6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6" t="s">
        <v>44</v>
      </c>
      <c r="I4400" s="6" t="s">
        <v>1122</v>
      </c>
      <c r="J4400" s="6" t="s">
        <v>398</v>
      </c>
      <c r="K4400" s="10">
        <v>4.41</v>
      </c>
      <c r="L4400" s="10">
        <v>7</v>
      </c>
      <c r="M4400" s="6" t="s">
        <v>425</v>
      </c>
      <c r="N4400" s="6">
        <f>IF(OR($G4400="FCC",$G4400="Hydrocracker",$G4400="Reformer"),IF(COUNTIFS($D:$D,$D4400,$A:$A,$A4400,$B:$B,$B4400,$G:$G,"CDU",$J:$J,"PLANNED")&gt;0,"tied","standalone"),"")</f>
        <v/>
      </c>
    </row>
    <row r="4401" spans="1:14">
      <c r="A4401" s="6">
        <v>2024</v>
      </c>
      <c r="B4401" s="6">
        <v>9</v>
      </c>
      <c r="C4401" s="6" t="s">
        <v>68</v>
      </c>
      <c r="D4401" s="6" t="s">
        <v>824</v>
      </c>
      <c r="E4401" s="6" t="s">
        <v>825</v>
      </c>
      <c r="F4401" s="6" t="str">
        <f>IF($M4401="PADD I","PADD 1",IF($M4401="PADD II","PADD 2",IF($M4401="PADD III","PADD 3",IF($M4401="PADD IV","PADD 4",IF($M4401="PADD V","PADD 5","")))))</f>
        <v>PADD 1</v>
      </c>
      <c r="G4401" s="6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6" t="s">
        <v>471</v>
      </c>
      <c r="I4401" s="6" t="s">
        <v>1120</v>
      </c>
      <c r="J4401" s="6" t="s">
        <v>394</v>
      </c>
      <c r="K4401" s="10">
        <v>4.3</v>
      </c>
      <c r="L4401" s="10">
        <v>43</v>
      </c>
      <c r="M4401" s="6" t="s">
        <v>463</v>
      </c>
      <c r="N4401" s="6" t="str">
        <f>IF(OR($G4401="FCC",$G4401="Hydrocracker",$G4401="Reformer"),IF(COUNTIFS($D:$D,$D4401,$A:$A,$A4401,$B:$B,$B4401,$G:$G,"CDU",$J:$J,"PLANNED")&gt;0,"tied","standalone"),"")</f>
        <v>standalone</v>
      </c>
    </row>
    <row r="4402" spans="1:14">
      <c r="A4402" s="6">
        <v>2024</v>
      </c>
      <c r="B4402" s="6">
        <v>9</v>
      </c>
      <c r="C4402" s="6" t="s">
        <v>68</v>
      </c>
      <c r="D4402" s="6" t="s">
        <v>430</v>
      </c>
      <c r="E4402" s="6" t="s">
        <v>431</v>
      </c>
      <c r="F4402" s="6" t="str">
        <f>IF($M4402="PADD I","PADD 1",IF($M4402="PADD II","PADD 2",IF($M4402="PADD III","PADD 3",IF($M4402="PADD IV","PADD 4",IF($M4402="PADD V","PADD 5","")))))</f>
        <v>PADD 3</v>
      </c>
      <c r="G4402" s="6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6" t="s">
        <v>44</v>
      </c>
      <c r="I4402" s="6" t="s">
        <v>1290</v>
      </c>
      <c r="J4402" s="6" t="s">
        <v>394</v>
      </c>
      <c r="K4402" s="10">
        <v>4.241</v>
      </c>
      <c r="L4402" s="10">
        <v>42.41</v>
      </c>
      <c r="M4402" s="6" t="s">
        <v>421</v>
      </c>
      <c r="N4402" s="6">
        <f>IF(OR($G4402="FCC",$G4402="Hydrocracker",$G4402="Reformer"),IF(COUNTIFS($D:$D,$D4402,$A:$A,$A4402,$B:$B,$B4402,$G:$G,"CDU",$J:$J,"PLANNED")&gt;0,"tied","standalone"),"")</f>
        <v/>
      </c>
    </row>
    <row r="4403" spans="1:14">
      <c r="A4403" s="6">
        <v>2024</v>
      </c>
      <c r="B4403" s="6">
        <v>9</v>
      </c>
      <c r="C4403" s="6" t="s">
        <v>68</v>
      </c>
      <c r="D4403" s="6" t="s">
        <v>382</v>
      </c>
      <c r="E4403" s="6" t="s">
        <v>431</v>
      </c>
      <c r="F4403" s="6" t="str">
        <f>IF($M4403="PADD I","PADD 1",IF($M4403="PADD II","PADD 2",IF($M4403="PADD III","PADD 3",IF($M4403="PADD IV","PADD 4",IF($M4403="PADD V","PADD 5","")))))</f>
        <v>PADD 3</v>
      </c>
      <c r="G4403" s="6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6" t="s">
        <v>485</v>
      </c>
      <c r="I4403" s="6" t="s">
        <v>491</v>
      </c>
      <c r="J4403" s="6" t="s">
        <v>394</v>
      </c>
      <c r="K4403" s="10">
        <v>4.2</v>
      </c>
      <c r="L4403" s="10">
        <v>60</v>
      </c>
      <c r="M4403" s="6" t="s">
        <v>421</v>
      </c>
      <c r="N4403" s="6">
        <f>IF(OR($G4403="FCC",$G4403="Hydrocracker",$G4403="Reformer"),IF(COUNTIFS($D:$D,$D4403,$A:$A,$A4403,$B:$B,$B4403,$G:$G,"CDU",$J:$J,"PLANNED")&gt;0,"tied","standalone"),"")</f>
        <v/>
      </c>
    </row>
    <row r="4404" spans="1:14">
      <c r="A4404" s="6">
        <v>2024</v>
      </c>
      <c r="B4404" s="6">
        <v>9</v>
      </c>
      <c r="C4404" s="6" t="s">
        <v>68</v>
      </c>
      <c r="D4404" s="6" t="s">
        <v>764</v>
      </c>
      <c r="E4404" s="6" t="s">
        <v>455</v>
      </c>
      <c r="F4404" s="6" t="str">
        <f>IF($M4404="PADD I","PADD 1",IF($M4404="PADD II","PADD 2",IF($M4404="PADD III","PADD 3",IF($M4404="PADD IV","PADD 4",IF($M4404="PADD V","PADD 5","")))))</f>
        <v>PADD 3</v>
      </c>
      <c r="G4404" s="6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6" t="s">
        <v>510</v>
      </c>
      <c r="I4404" s="6" t="s">
        <v>511</v>
      </c>
      <c r="J4404" s="6" t="s">
        <v>398</v>
      </c>
      <c r="K4404" s="10">
        <v>4.085</v>
      </c>
      <c r="L4404" s="10">
        <v>9.5</v>
      </c>
      <c r="M4404" s="6" t="s">
        <v>421</v>
      </c>
      <c r="N4404" s="6">
        <f>IF(OR($G4404="FCC",$G4404="Hydrocracker",$G4404="Reformer"),IF(COUNTIFS($D:$D,$D4404,$A:$A,$A4404,$B:$B,$B4404,$G:$G,"CDU",$J:$J,"PLANNED")&gt;0,"tied","standalone"),"")</f>
        <v/>
      </c>
    </row>
    <row r="4405" spans="1:14">
      <c r="A4405" s="6">
        <v>2024</v>
      </c>
      <c r="B4405" s="6">
        <v>9</v>
      </c>
      <c r="C4405" s="6" t="s">
        <v>68</v>
      </c>
      <c r="D4405" s="6" t="s">
        <v>377</v>
      </c>
      <c r="E4405" s="6" t="s">
        <v>466</v>
      </c>
      <c r="F4405" s="6" t="str">
        <f>IF($M4405="PADD I","PADD 1",IF($M4405="PADD II","PADD 2",IF($M4405="PADD III","PADD 3",IF($M4405="PADD IV","PADD 4",IF($M4405="PADD V","PADD 5","")))))</f>
        <v>PADD 2</v>
      </c>
      <c r="G4405" s="6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6" t="s">
        <v>426</v>
      </c>
      <c r="I4405" s="6" t="s">
        <v>1291</v>
      </c>
      <c r="J4405" s="6" t="s">
        <v>394</v>
      </c>
      <c r="K4405" s="10">
        <v>4.06</v>
      </c>
      <c r="L4405" s="10">
        <v>58</v>
      </c>
      <c r="M4405" s="6" t="s">
        <v>425</v>
      </c>
      <c r="N4405" s="6" t="str">
        <f>IF(OR($G4405="FCC",$G4405="Hydrocracker",$G4405="Reformer"),IF(COUNTIFS($D:$D,$D4405,$A:$A,$A4405,$B:$B,$B4405,$G:$G,"CDU",$J:$J,"PLANNED")&gt;0,"tied","standalone"),"")</f>
        <v>standalone</v>
      </c>
    </row>
    <row r="4406" spans="1:14">
      <c r="A4406" s="6">
        <v>2024</v>
      </c>
      <c r="B4406" s="6">
        <v>9</v>
      </c>
      <c r="C4406" s="6" t="s">
        <v>68</v>
      </c>
      <c r="D4406" s="6" t="s">
        <v>592</v>
      </c>
      <c r="E4406" s="6" t="s">
        <v>593</v>
      </c>
      <c r="F4406" s="6" t="str">
        <f>IF($M4406="PADD I","PADD 1",IF($M4406="PADD II","PADD 2",IF($M4406="PADD III","PADD 3",IF($M4406="PADD IV","PADD 4",IF($M4406="PADD V","PADD 5","")))))</f>
        <v>PADD 2</v>
      </c>
      <c r="G4406" s="6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6" t="s">
        <v>44</v>
      </c>
      <c r="I4406" s="6" t="s">
        <v>965</v>
      </c>
      <c r="J4406" s="6" t="s">
        <v>398</v>
      </c>
      <c r="K4406" s="10">
        <v>4</v>
      </c>
      <c r="L4406" s="10">
        <v>20</v>
      </c>
      <c r="M4406" s="6" t="s">
        <v>425</v>
      </c>
      <c r="N4406" s="6">
        <f>IF(OR($G4406="FCC",$G4406="Hydrocracker",$G4406="Reformer"),IF(COUNTIFS($D:$D,$D4406,$A:$A,$A4406,$B:$B,$B4406,$G:$G,"CDU",$J:$J,"PLANNED")&gt;0,"tied","standalone"),"")</f>
        <v/>
      </c>
    </row>
    <row r="4407" spans="1:14">
      <c r="A4407" s="6">
        <v>2024</v>
      </c>
      <c r="B4407" s="6">
        <v>9</v>
      </c>
      <c r="C4407" s="6" t="s">
        <v>68</v>
      </c>
      <c r="D4407" s="6" t="s">
        <v>378</v>
      </c>
      <c r="E4407" s="6" t="s">
        <v>477</v>
      </c>
      <c r="F4407" s="6" t="str">
        <f>IF($M4407="PADD I","PADD 1",IF($M4407="PADD II","PADD 2",IF($M4407="PADD III","PADD 3",IF($M4407="PADD IV","PADD 4",IF($M4407="PADD V","PADD 5","")))))</f>
        <v>PADD 3</v>
      </c>
      <c r="G4407" s="6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6" t="s">
        <v>44</v>
      </c>
      <c r="I4407" s="6" t="s">
        <v>1292</v>
      </c>
      <c r="J4407" s="6" t="s">
        <v>398</v>
      </c>
      <c r="K4407" s="10">
        <v>3.9</v>
      </c>
      <c r="L4407" s="10">
        <v>30</v>
      </c>
      <c r="M4407" s="6" t="s">
        <v>421</v>
      </c>
      <c r="N4407" s="6">
        <f>IF(OR($G4407="FCC",$G4407="Hydrocracker",$G4407="Reformer"),IF(COUNTIFS($D:$D,$D4407,$A:$A,$A4407,$B:$B,$B4407,$G:$G,"CDU",$J:$J,"PLANNED")&gt;0,"tied","standalone"),"")</f>
        <v/>
      </c>
    </row>
    <row r="4408" spans="1:14">
      <c r="A4408" s="6">
        <v>2024</v>
      </c>
      <c r="B4408" s="6">
        <v>9</v>
      </c>
      <c r="C4408" s="6" t="s">
        <v>68</v>
      </c>
      <c r="D4408" s="6" t="s">
        <v>901</v>
      </c>
      <c r="E4408" s="6" t="s">
        <v>902</v>
      </c>
      <c r="F4408" s="6" t="str">
        <f>IF($M4408="PADD I","PADD 1",IF($M4408="PADD II","PADD 2",IF($M4408="PADD III","PADD 3",IF($M4408="PADD IV","PADD 4",IF($M4408="PADD V","PADD 5","")))))</f>
        <v>PADD 3</v>
      </c>
      <c r="G4408" s="6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6" t="s">
        <v>428</v>
      </c>
      <c r="I4408" s="6" t="s">
        <v>910</v>
      </c>
      <c r="J4408" s="6" t="s">
        <v>394</v>
      </c>
      <c r="K4408" s="10">
        <v>3.6</v>
      </c>
      <c r="L4408" s="10">
        <v>36</v>
      </c>
      <c r="M4408" s="6" t="s">
        <v>421</v>
      </c>
      <c r="N4408" s="6">
        <f>IF(OR($G4408="FCC",$G4408="Hydrocracker",$G4408="Reformer"),IF(COUNTIFS($D:$D,$D4408,$A:$A,$A4408,$B:$B,$B4408,$G:$G,"CDU",$J:$J,"PLANNED")&gt;0,"tied","standalone"),"")</f>
        <v/>
      </c>
    </row>
    <row r="4409" spans="1:14">
      <c r="A4409" s="6">
        <v>2024</v>
      </c>
      <c r="B4409" s="6">
        <v>9</v>
      </c>
      <c r="C4409" s="6" t="s">
        <v>68</v>
      </c>
      <c r="D4409" s="6" t="s">
        <v>1113</v>
      </c>
      <c r="E4409" s="6" t="s">
        <v>438</v>
      </c>
      <c r="F4409" s="6" t="str">
        <f>IF($M4409="PADD I","PADD 1",IF($M4409="PADD II","PADD 2",IF($M4409="PADD III","PADD 3",IF($M4409="PADD IV","PADD 4",IF($M4409="PADD V","PADD 5","")))))</f>
        <v>PADD 2</v>
      </c>
      <c r="G4409" s="6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6" t="s">
        <v>44</v>
      </c>
      <c r="I4409" s="6" t="s">
        <v>739</v>
      </c>
      <c r="J4409" s="6" t="s">
        <v>394</v>
      </c>
      <c r="K4409" s="10">
        <v>3.5</v>
      </c>
      <c r="L4409" s="10">
        <v>7</v>
      </c>
      <c r="M4409" s="6" t="s">
        <v>425</v>
      </c>
      <c r="N4409" s="6">
        <f>IF(OR($G4409="FCC",$G4409="Hydrocracker",$G4409="Reformer"),IF(COUNTIFS($D:$D,$D4409,$A:$A,$A4409,$B:$B,$B4409,$G:$G,"CDU",$J:$J,"PLANNED")&gt;0,"tied","standalone"),"")</f>
        <v/>
      </c>
    </row>
    <row r="4410" spans="1:14">
      <c r="A4410" s="6">
        <v>2024</v>
      </c>
      <c r="B4410" s="6">
        <v>9</v>
      </c>
      <c r="C4410" s="6" t="s">
        <v>68</v>
      </c>
      <c r="D4410" s="6" t="s">
        <v>928</v>
      </c>
      <c r="E4410" s="6" t="s">
        <v>502</v>
      </c>
      <c r="F4410" s="6" t="str">
        <f>IF($M4410="PADD I","PADD 1",IF($M4410="PADD II","PADD 2",IF($M4410="PADD III","PADD 3",IF($M4410="PADD IV","PADD 4",IF($M4410="PADD V","PADD 5","")))))</f>
        <v>PADD 2</v>
      </c>
      <c r="G4410" s="6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6" t="s">
        <v>485</v>
      </c>
      <c r="I4410" s="6" t="s">
        <v>491</v>
      </c>
      <c r="J4410" s="6" t="s">
        <v>394</v>
      </c>
      <c r="K4410" s="10">
        <v>3.4</v>
      </c>
      <c r="L4410" s="10">
        <v>8.5</v>
      </c>
      <c r="M4410" s="6" t="s">
        <v>425</v>
      </c>
      <c r="N4410" s="6">
        <f>IF(OR($G4410="FCC",$G4410="Hydrocracker",$G4410="Reformer"),IF(COUNTIFS($D:$D,$D4410,$A:$A,$A4410,$B:$B,$B4410,$G:$G,"CDU",$J:$J,"PLANNED")&gt;0,"tied","standalone"),"")</f>
        <v/>
      </c>
    </row>
    <row r="4411" spans="1:14">
      <c r="A4411" s="6">
        <v>2024</v>
      </c>
      <c r="B4411" s="6">
        <v>9</v>
      </c>
      <c r="C4411" s="6" t="s">
        <v>68</v>
      </c>
      <c r="D4411" s="6" t="s">
        <v>507</v>
      </c>
      <c r="E4411" s="6" t="s">
        <v>438</v>
      </c>
      <c r="F4411" s="6" t="str">
        <f>IF($M4411="PADD I","PADD 1",IF($M4411="PADD II","PADD 2",IF($M4411="PADD III","PADD 3",IF($M4411="PADD IV","PADD 4",IF($M4411="PADD V","PADD 5","")))))</f>
        <v>PADD 5</v>
      </c>
      <c r="G4411" s="6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6" t="s">
        <v>471</v>
      </c>
      <c r="I4411" s="6" t="s">
        <v>607</v>
      </c>
      <c r="J4411" s="6" t="s">
        <v>394</v>
      </c>
      <c r="K4411" s="10">
        <v>3.4</v>
      </c>
      <c r="L4411" s="10">
        <v>20</v>
      </c>
      <c r="M4411" s="6" t="s">
        <v>436</v>
      </c>
      <c r="N4411" s="6" t="str">
        <f>IF(OR($G4411="FCC",$G4411="Hydrocracker",$G4411="Reformer"),IF(COUNTIFS($D:$D,$D4411,$A:$A,$A4411,$B:$B,$B4411,$G:$G,"CDU",$J:$J,"PLANNED")&gt;0,"tied","standalone"),"")</f>
        <v>standalone</v>
      </c>
    </row>
    <row r="4412" spans="1:14">
      <c r="A4412" s="6">
        <v>2024</v>
      </c>
      <c r="B4412" s="6">
        <v>9</v>
      </c>
      <c r="C4412" s="6" t="s">
        <v>68</v>
      </c>
      <c r="D4412" s="6" t="s">
        <v>378</v>
      </c>
      <c r="E4412" s="6" t="s">
        <v>477</v>
      </c>
      <c r="F4412" s="6" t="str">
        <f>IF($M4412="PADD I","PADD 1",IF($M4412="PADD II","PADD 2",IF($M4412="PADD III","PADD 3",IF($M4412="PADD IV","PADD 4",IF($M4412="PADD V","PADD 5","")))))</f>
        <v>PADD 3</v>
      </c>
      <c r="G4412" s="6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6" t="s">
        <v>510</v>
      </c>
      <c r="I4412" s="6" t="s">
        <v>1125</v>
      </c>
      <c r="J4412" s="6" t="s">
        <v>394</v>
      </c>
      <c r="K4412" s="10">
        <v>3.375</v>
      </c>
      <c r="L4412" s="10">
        <v>12.5</v>
      </c>
      <c r="M4412" s="6" t="s">
        <v>421</v>
      </c>
      <c r="N4412" s="6">
        <f>IF(OR($G4412="FCC",$G4412="Hydrocracker",$G4412="Reformer"),IF(COUNTIFS($D:$D,$D4412,$A:$A,$A4412,$B:$B,$B4412,$G:$G,"CDU",$J:$J,"PLANNED")&gt;0,"tied","standalone"),"")</f>
        <v/>
      </c>
    </row>
    <row r="4413" spans="1:14">
      <c r="A4413" s="6">
        <v>2024</v>
      </c>
      <c r="B4413" s="6">
        <v>9</v>
      </c>
      <c r="C4413" s="6" t="s">
        <v>68</v>
      </c>
      <c r="D4413" s="6" t="s">
        <v>581</v>
      </c>
      <c r="E4413" s="6" t="s">
        <v>582</v>
      </c>
      <c r="F4413" s="6" t="str">
        <f>IF($M4413="PADD I","PADD 1",IF($M4413="PADD II","PADD 2",IF($M4413="PADD III","PADD 3",IF($M4413="PADD IV","PADD 4",IF($M4413="PADD V","PADD 5","")))))</f>
        <v>PADD 5</v>
      </c>
      <c r="G4413" s="6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6" t="s">
        <v>44</v>
      </c>
      <c r="I4413" s="6" t="s">
        <v>617</v>
      </c>
      <c r="J4413" s="6" t="s">
        <v>394</v>
      </c>
      <c r="K4413" s="10">
        <v>3.15</v>
      </c>
      <c r="L4413" s="10">
        <v>105</v>
      </c>
      <c r="M4413" s="6" t="s">
        <v>436</v>
      </c>
      <c r="N4413" s="6">
        <f>IF(OR($G4413="FCC",$G4413="Hydrocracker",$G4413="Reformer"),IF(COUNTIFS($D:$D,$D4413,$A:$A,$A4413,$B:$B,$B4413,$G:$G,"CDU",$J:$J,"PLANNED")&gt;0,"tied","standalone"),"")</f>
        <v/>
      </c>
    </row>
    <row r="4414" spans="1:14">
      <c r="A4414" s="6">
        <v>2024</v>
      </c>
      <c r="B4414" s="6">
        <v>9</v>
      </c>
      <c r="C4414" s="6" t="s">
        <v>68</v>
      </c>
      <c r="D4414" s="6" t="s">
        <v>377</v>
      </c>
      <c r="E4414" s="6" t="s">
        <v>466</v>
      </c>
      <c r="F4414" s="6" t="str">
        <f>IF($M4414="PADD I","PADD 1",IF($M4414="PADD II","PADD 2",IF($M4414="PADD III","PADD 3",IF($M4414="PADD IV","PADD 4",IF($M4414="PADD V","PADD 5","")))))</f>
        <v>PADD 2</v>
      </c>
      <c r="G4414" s="6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6" t="s">
        <v>44</v>
      </c>
      <c r="I4414" s="6" t="s">
        <v>570</v>
      </c>
      <c r="J4414" s="6" t="s">
        <v>394</v>
      </c>
      <c r="K4414" s="10">
        <v>3.15</v>
      </c>
      <c r="L4414" s="10">
        <v>45</v>
      </c>
      <c r="M4414" s="6" t="s">
        <v>425</v>
      </c>
      <c r="N4414" s="6">
        <f>IF(OR($G4414="FCC",$G4414="Hydrocracker",$G4414="Reformer"),IF(COUNTIFS($D:$D,$D4414,$A:$A,$A4414,$B:$B,$B4414,$G:$G,"CDU",$J:$J,"PLANNED")&gt;0,"tied","standalone"),"")</f>
        <v/>
      </c>
    </row>
    <row r="4415" spans="1:14">
      <c r="A4415" s="6">
        <v>2024</v>
      </c>
      <c r="B4415" s="6">
        <v>9</v>
      </c>
      <c r="C4415" s="6" t="s">
        <v>68</v>
      </c>
      <c r="D4415" s="6" t="s">
        <v>52</v>
      </c>
      <c r="E4415" s="6" t="s">
        <v>441</v>
      </c>
      <c r="F4415" s="6" t="str">
        <f>IF($M4415="PADD I","PADD 1",IF($M4415="PADD II","PADD 2",IF($M4415="PADD III","PADD 3",IF($M4415="PADD IV","PADD 4",IF($M4415="PADD V","PADD 5","")))))</f>
        <v>PADD 5</v>
      </c>
      <c r="G4415" s="6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6" t="s">
        <v>428</v>
      </c>
      <c r="I4415" s="6" t="s">
        <v>1085</v>
      </c>
      <c r="J4415" s="6" t="s">
        <v>394</v>
      </c>
      <c r="K4415" s="10">
        <v>3.15</v>
      </c>
      <c r="L4415" s="10">
        <v>105</v>
      </c>
      <c r="M4415" s="6" t="s">
        <v>436</v>
      </c>
      <c r="N4415" s="6">
        <f>IF(OR($G4415="FCC",$G4415="Hydrocracker",$G4415="Reformer"),IF(COUNTIFS($D:$D,$D4415,$A:$A,$A4415,$B:$B,$B4415,$G:$G,"CDU",$J:$J,"PLANNED")&gt;0,"tied","standalone"),"")</f>
        <v/>
      </c>
    </row>
    <row r="4416" spans="1:14">
      <c r="A4416" s="6">
        <v>2024</v>
      </c>
      <c r="B4416" s="6">
        <v>9</v>
      </c>
      <c r="C4416" s="6" t="s">
        <v>68</v>
      </c>
      <c r="D4416" s="6" t="s">
        <v>725</v>
      </c>
      <c r="E4416" s="6" t="s">
        <v>502</v>
      </c>
      <c r="F4416" s="6" t="str">
        <f>IF($M4416="PADD I","PADD 1",IF($M4416="PADD II","PADD 2",IF($M4416="PADD III","PADD 3",IF($M4416="PADD IV","PADD 4",IF($M4416="PADD V","PADD 5","")))))</f>
        <v>PADD 2</v>
      </c>
      <c r="G4416" s="6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6" t="s">
        <v>510</v>
      </c>
      <c r="I4416" s="6" t="s">
        <v>666</v>
      </c>
      <c r="J4416" s="6" t="s">
        <v>398</v>
      </c>
      <c r="K4416" s="10">
        <v>3.105</v>
      </c>
      <c r="L4416" s="10">
        <v>11.5</v>
      </c>
      <c r="M4416" s="6" t="s">
        <v>425</v>
      </c>
      <c r="N4416" s="6">
        <f>IF(OR($G4416="FCC",$G4416="Hydrocracker",$G4416="Reformer"),IF(COUNTIFS($D:$D,$D4416,$A:$A,$A4416,$B:$B,$B4416,$G:$G,"CDU",$J:$J,"PLANNED")&gt;0,"tied","standalone"),"")</f>
        <v/>
      </c>
    </row>
    <row r="4417" spans="1:14">
      <c r="A4417" s="6">
        <v>2024</v>
      </c>
      <c r="B4417" s="6">
        <v>9</v>
      </c>
      <c r="C4417" s="6" t="s">
        <v>68</v>
      </c>
      <c r="D4417" s="6" t="s">
        <v>872</v>
      </c>
      <c r="E4417" s="6" t="s">
        <v>466</v>
      </c>
      <c r="F4417" s="6" t="str">
        <f>IF($M4417="PADD I","PADD 1",IF($M4417="PADD II","PADD 2",IF($M4417="PADD III","PADD 3",IF($M4417="PADD IV","PADD 4",IF($M4417="PADD V","PADD 5","")))))</f>
        <v>PADD 3</v>
      </c>
      <c r="G4417" s="6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6" t="s">
        <v>485</v>
      </c>
      <c r="I4417" s="6" t="s">
        <v>491</v>
      </c>
      <c r="J4417" s="6" t="s">
        <v>394</v>
      </c>
      <c r="K4417" s="10">
        <v>3.08</v>
      </c>
      <c r="L4417" s="10">
        <v>44</v>
      </c>
      <c r="M4417" s="6" t="s">
        <v>421</v>
      </c>
      <c r="N4417" s="6">
        <f>IF(OR($G4417="FCC",$G4417="Hydrocracker",$G4417="Reformer"),IF(COUNTIFS($D:$D,$D4417,$A:$A,$A4417,$B:$B,$B4417,$G:$G,"CDU",$J:$J,"PLANNED")&gt;0,"tied","standalone"),"")</f>
        <v/>
      </c>
    </row>
    <row r="4418" spans="1:14">
      <c r="A4418" s="6">
        <v>2024</v>
      </c>
      <c r="B4418" s="6">
        <v>9</v>
      </c>
      <c r="C4418" s="6" t="s">
        <v>68</v>
      </c>
      <c r="D4418" s="6" t="s">
        <v>581</v>
      </c>
      <c r="E4418" s="6" t="s">
        <v>582</v>
      </c>
      <c r="F4418" s="6" t="str">
        <f>IF($M4418="PADD I","PADD 1",IF($M4418="PADD II","PADD 2",IF($M4418="PADD III","PADD 3",IF($M4418="PADD IV","PADD 4",IF($M4418="PADD V","PADD 5","")))))</f>
        <v>PADD 5</v>
      </c>
      <c r="G4418" s="6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6" t="s">
        <v>426</v>
      </c>
      <c r="I4418" s="6" t="s">
        <v>106</v>
      </c>
      <c r="J4418" s="6" t="s">
        <v>394</v>
      </c>
      <c r="K4418" s="10">
        <v>3</v>
      </c>
      <c r="L4418" s="10">
        <v>100</v>
      </c>
      <c r="M4418" s="6" t="s">
        <v>436</v>
      </c>
      <c r="N4418" s="6" t="str">
        <f>IF(OR($G4418="FCC",$G4418="Hydrocracker",$G4418="Reformer"),IF(COUNTIFS($D:$D,$D4418,$A:$A,$A4418,$B:$B,$B4418,$G:$G,"CDU",$J:$J,"PLANNED")&gt;0,"tied","standalone"),"")</f>
        <v>standalone</v>
      </c>
    </row>
    <row r="4419" spans="1:14">
      <c r="A4419" s="6">
        <v>2024</v>
      </c>
      <c r="B4419" s="6">
        <v>9</v>
      </c>
      <c r="C4419" s="6" t="s">
        <v>68</v>
      </c>
      <c r="D4419" s="6" t="s">
        <v>581</v>
      </c>
      <c r="E4419" s="6" t="s">
        <v>582</v>
      </c>
      <c r="F4419" s="6" t="str">
        <f>IF($M4419="PADD I","PADD 1",IF($M4419="PADD II","PADD 2",IF($M4419="PADD III","PADD 3",IF($M4419="PADD IV","PADD 4",IF($M4419="PADD V","PADD 5","")))))</f>
        <v>PADD 5</v>
      </c>
      <c r="G4419" s="6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6" t="s">
        <v>428</v>
      </c>
      <c r="I4419" s="6" t="s">
        <v>429</v>
      </c>
      <c r="J4419" s="6" t="s">
        <v>394</v>
      </c>
      <c r="K4419" s="10">
        <v>2.94</v>
      </c>
      <c r="L4419" s="10">
        <v>98</v>
      </c>
      <c r="M4419" s="6" t="s">
        <v>436</v>
      </c>
      <c r="N4419" s="6">
        <f>IF(OR($G4419="FCC",$G4419="Hydrocracker",$G4419="Reformer"),IF(COUNTIFS($D:$D,$D4419,$A:$A,$A4419,$B:$B,$B4419,$G:$G,"CDU",$J:$J,"PLANNED")&gt;0,"tied","standalone"),"")</f>
        <v/>
      </c>
    </row>
    <row r="4420" spans="1:14">
      <c r="A4420" s="6">
        <v>2024</v>
      </c>
      <c r="B4420" s="6">
        <v>9</v>
      </c>
      <c r="C4420" s="6" t="s">
        <v>68</v>
      </c>
      <c r="D4420" s="6" t="s">
        <v>430</v>
      </c>
      <c r="E4420" s="6" t="s">
        <v>431</v>
      </c>
      <c r="F4420" s="6" t="str">
        <f>IF($M4420="PADD I","PADD 1",IF($M4420="PADD II","PADD 2",IF($M4420="PADD III","PADD 3",IF($M4420="PADD IV","PADD 4",IF($M4420="PADD V","PADD 5","")))))</f>
        <v>PADD 3</v>
      </c>
      <c r="G4420" s="6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6" t="s">
        <v>44</v>
      </c>
      <c r="I4420" s="6" t="s">
        <v>1293</v>
      </c>
      <c r="J4420" s="6" t="s">
        <v>394</v>
      </c>
      <c r="K4420" s="10">
        <v>2.9</v>
      </c>
      <c r="L4420" s="10">
        <v>29</v>
      </c>
      <c r="M4420" s="6" t="s">
        <v>421</v>
      </c>
      <c r="N4420" s="6">
        <f>IF(OR($G4420="FCC",$G4420="Hydrocracker",$G4420="Reformer"),IF(COUNTIFS($D:$D,$D4420,$A:$A,$A4420,$B:$B,$B4420,$G:$G,"CDU",$J:$J,"PLANNED")&gt;0,"tied","standalone"),"")</f>
        <v/>
      </c>
    </row>
    <row r="4421" spans="1:14">
      <c r="A4421" s="6">
        <v>2024</v>
      </c>
      <c r="B4421" s="6">
        <v>9</v>
      </c>
      <c r="C4421" s="6" t="s">
        <v>68</v>
      </c>
      <c r="D4421" s="6" t="s">
        <v>725</v>
      </c>
      <c r="E4421" s="6" t="s">
        <v>502</v>
      </c>
      <c r="F4421" s="6" t="str">
        <f>IF($M4421="PADD I","PADD 1",IF($M4421="PADD II","PADD 2",IF($M4421="PADD III","PADD 3",IF($M4421="PADD IV","PADD 4",IF($M4421="PADD V","PADD 5","")))))</f>
        <v>PADD 2</v>
      </c>
      <c r="G4421" s="6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6" t="s">
        <v>471</v>
      </c>
      <c r="I4421" s="6" t="s">
        <v>748</v>
      </c>
      <c r="J4421" s="6" t="s">
        <v>398</v>
      </c>
      <c r="K4421" s="10">
        <v>2.86</v>
      </c>
      <c r="L4421" s="10">
        <v>22</v>
      </c>
      <c r="M4421" s="6" t="s">
        <v>425</v>
      </c>
      <c r="N4421" s="6" t="str">
        <f>IF(OR($G4421="FCC",$G4421="Hydrocracker",$G4421="Reformer"),IF(COUNTIFS($D:$D,$D4421,$A:$A,$A4421,$B:$B,$B4421,$G:$G,"CDU",$J:$J,"PLANNED")&gt;0,"tied","standalone"),"")</f>
        <v>tied</v>
      </c>
    </row>
    <row r="4422" spans="1:14">
      <c r="A4422" s="6">
        <v>2024</v>
      </c>
      <c r="B4422" s="6">
        <v>9</v>
      </c>
      <c r="C4422" s="6" t="s">
        <v>68</v>
      </c>
      <c r="D4422" s="6" t="s">
        <v>849</v>
      </c>
      <c r="E4422" s="6" t="s">
        <v>441</v>
      </c>
      <c r="F4422" s="6" t="str">
        <f>IF($M4422="PADD I","PADD 1",IF($M4422="PADD II","PADD 2",IF($M4422="PADD III","PADD 3",IF($M4422="PADD IV","PADD 4",IF($M4422="PADD V","PADD 5","")))))</f>
        <v>PADD 4</v>
      </c>
      <c r="G4422" s="6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6" t="s">
        <v>44</v>
      </c>
      <c r="I4422" s="6" t="s">
        <v>850</v>
      </c>
      <c r="J4422" s="6" t="s">
        <v>394</v>
      </c>
      <c r="K4422" s="10">
        <v>2.79</v>
      </c>
      <c r="L4422" s="10">
        <v>27.9</v>
      </c>
      <c r="M4422" s="6" t="s">
        <v>480</v>
      </c>
      <c r="N4422" s="6">
        <f>IF(OR($G4422="FCC",$G4422="Hydrocracker",$G4422="Reformer"),IF(COUNTIFS($D:$D,$D4422,$A:$A,$A4422,$B:$B,$B4422,$G:$G,"CDU",$J:$J,"PLANNED")&gt;0,"tied","standalone"),"")</f>
        <v/>
      </c>
    </row>
    <row r="4423" spans="1:14">
      <c r="A4423" s="6">
        <v>2024</v>
      </c>
      <c r="B4423" s="6">
        <v>9</v>
      </c>
      <c r="C4423" s="6" t="s">
        <v>68</v>
      </c>
      <c r="D4423" s="6" t="s">
        <v>377</v>
      </c>
      <c r="E4423" s="6" t="s">
        <v>466</v>
      </c>
      <c r="F4423" s="6" t="str">
        <f>IF($M4423="PADD I","PADD 1",IF($M4423="PADD II","PADD 2",IF($M4423="PADD III","PADD 3",IF($M4423="PADD IV","PADD 4",IF($M4423="PADD V","PADD 5","")))))</f>
        <v>PADD 2</v>
      </c>
      <c r="G4423" s="6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6" t="s">
        <v>485</v>
      </c>
      <c r="I4423" s="6" t="s">
        <v>1109</v>
      </c>
      <c r="J4423" s="6" t="s">
        <v>394</v>
      </c>
      <c r="K4423" s="10">
        <v>2.66</v>
      </c>
      <c r="L4423" s="10">
        <v>38</v>
      </c>
      <c r="M4423" s="6" t="s">
        <v>425</v>
      </c>
      <c r="N4423" s="6">
        <f>IF(OR($G4423="FCC",$G4423="Hydrocracker",$G4423="Reformer"),IF(COUNTIFS($D:$D,$D4423,$A:$A,$A4423,$B:$B,$B4423,$G:$G,"CDU",$J:$J,"PLANNED")&gt;0,"tied","standalone"),"")</f>
        <v/>
      </c>
    </row>
    <row r="4424" spans="1:14">
      <c r="A4424" s="6">
        <v>2024</v>
      </c>
      <c r="B4424" s="6">
        <v>9</v>
      </c>
      <c r="C4424" s="6" t="s">
        <v>68</v>
      </c>
      <c r="D4424" s="6" t="s">
        <v>853</v>
      </c>
      <c r="E4424" s="6" t="s">
        <v>438</v>
      </c>
      <c r="F4424" s="6" t="str">
        <f>IF($M4424="PADD I","PADD 1",IF($M4424="PADD II","PADD 2",IF($M4424="PADD III","PADD 3",IF($M4424="PADD IV","PADD 4",IF($M4424="PADD V","PADD 5","")))))</f>
        <v>PADD 2</v>
      </c>
      <c r="G4424" s="6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6" t="s">
        <v>428</v>
      </c>
      <c r="I4424" s="6" t="s">
        <v>544</v>
      </c>
      <c r="J4424" s="6" t="s">
        <v>394</v>
      </c>
      <c r="K4424" s="10">
        <v>2.635</v>
      </c>
      <c r="L4424" s="10">
        <v>15.5</v>
      </c>
      <c r="M4424" s="6" t="s">
        <v>425</v>
      </c>
      <c r="N4424" s="6">
        <f>IF(OR($G4424="FCC",$G4424="Hydrocracker",$G4424="Reformer"),IF(COUNTIFS($D:$D,$D4424,$A:$A,$A4424,$B:$B,$B4424,$G:$G,"CDU",$J:$J,"PLANNED")&gt;0,"tied","standalone"),"")</f>
        <v/>
      </c>
    </row>
    <row r="4425" spans="1:14">
      <c r="A4425" s="6">
        <v>2024</v>
      </c>
      <c r="B4425" s="6">
        <v>9</v>
      </c>
      <c r="C4425" s="6" t="s">
        <v>68</v>
      </c>
      <c r="D4425" s="6" t="s">
        <v>853</v>
      </c>
      <c r="E4425" s="6" t="s">
        <v>438</v>
      </c>
      <c r="F4425" s="6" t="str">
        <f>IF($M4425="PADD I","PADD 1",IF($M4425="PADD II","PADD 2",IF($M4425="PADD III","PADD 3",IF($M4425="PADD IV","PADD 4",IF($M4425="PADD V","PADD 5","")))))</f>
        <v>PADD 2</v>
      </c>
      <c r="G4425" s="6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6" t="s">
        <v>44</v>
      </c>
      <c r="I4425" s="6" t="s">
        <v>1227</v>
      </c>
      <c r="J4425" s="6" t="s">
        <v>398</v>
      </c>
      <c r="K4425" s="10">
        <v>2.6</v>
      </c>
      <c r="L4425" s="10">
        <v>20</v>
      </c>
      <c r="M4425" s="6" t="s">
        <v>425</v>
      </c>
      <c r="N4425" s="6">
        <f>IF(OR($G4425="FCC",$G4425="Hydrocracker",$G4425="Reformer"),IF(COUNTIFS($D:$D,$D4425,$A:$A,$A4425,$B:$B,$B4425,$G:$G,"CDU",$J:$J,"PLANNED")&gt;0,"tied","standalone"),"")</f>
        <v/>
      </c>
    </row>
    <row r="4426" spans="1:14">
      <c r="A4426" s="6">
        <v>2024</v>
      </c>
      <c r="B4426" s="6">
        <v>9</v>
      </c>
      <c r="C4426" s="6" t="s">
        <v>68</v>
      </c>
      <c r="D4426" s="6" t="s">
        <v>853</v>
      </c>
      <c r="E4426" s="6" t="s">
        <v>438</v>
      </c>
      <c r="F4426" s="6" t="str">
        <f>IF($M4426="PADD I","PADD 1",IF($M4426="PADD II","PADD 2",IF($M4426="PADD III","PADD 3",IF($M4426="PADD IV","PADD 4",IF($M4426="PADD V","PADD 5","")))))</f>
        <v>PADD 2</v>
      </c>
      <c r="G4426" s="6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6" t="s">
        <v>471</v>
      </c>
      <c r="I4426" s="6" t="s">
        <v>609</v>
      </c>
      <c r="J4426" s="6" t="s">
        <v>394</v>
      </c>
      <c r="K4426" s="10">
        <v>2.5875</v>
      </c>
      <c r="L4426" s="10">
        <v>11.25</v>
      </c>
      <c r="M4426" s="6" t="s">
        <v>425</v>
      </c>
      <c r="N4426" s="6" t="str">
        <f>IF(OR($G4426="FCC",$G4426="Hydrocracker",$G4426="Reformer"),IF(COUNTIFS($D:$D,$D4426,$A:$A,$A4426,$B:$B,$B4426,$G:$G,"CDU",$J:$J,"PLANNED")&gt;0,"tied","standalone"),"")</f>
        <v>standalone</v>
      </c>
    </row>
    <row r="4427" spans="1:14">
      <c r="A4427" s="6">
        <v>2024</v>
      </c>
      <c r="B4427" s="6">
        <v>9</v>
      </c>
      <c r="C4427" s="6" t="s">
        <v>68</v>
      </c>
      <c r="D4427" s="6" t="s">
        <v>1113</v>
      </c>
      <c r="E4427" s="6" t="s">
        <v>438</v>
      </c>
      <c r="F4427" s="6" t="str">
        <f>IF($M4427="PADD I","PADD 1",IF($M4427="PADD II","PADD 2",IF($M4427="PADD III","PADD 3",IF($M4427="PADD IV","PADD 4",IF($M4427="PADD V","PADD 5","")))))</f>
        <v>PADD 2</v>
      </c>
      <c r="G4427" s="6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6" t="s">
        <v>510</v>
      </c>
      <c r="I4427" s="6" t="s">
        <v>511</v>
      </c>
      <c r="J4427" s="6" t="s">
        <v>398</v>
      </c>
      <c r="K4427" s="10">
        <v>2.52</v>
      </c>
      <c r="L4427" s="10">
        <v>4</v>
      </c>
      <c r="M4427" s="6" t="s">
        <v>425</v>
      </c>
      <c r="N4427" s="6">
        <f>IF(OR($G4427="FCC",$G4427="Hydrocracker",$G4427="Reformer"),IF(COUNTIFS($D:$D,$D4427,$A:$A,$A4427,$B:$B,$B4427,$G:$G,"CDU",$J:$J,"PLANNED")&gt;0,"tied","standalone"),"")</f>
        <v/>
      </c>
    </row>
    <row r="4428" spans="1:14">
      <c r="A4428" s="6">
        <v>2024</v>
      </c>
      <c r="B4428" s="6">
        <v>9</v>
      </c>
      <c r="C4428" s="6" t="s">
        <v>68</v>
      </c>
      <c r="D4428" s="6" t="s">
        <v>368</v>
      </c>
      <c r="E4428" s="6" t="s">
        <v>715</v>
      </c>
      <c r="F4428" s="6" t="str">
        <f>IF($M4428="PADD I","PADD 1",IF($M4428="PADD II","PADD 2",IF($M4428="PADD III","PADD 3",IF($M4428="PADD IV","PADD 4",IF($M4428="PADD V","PADD 5","")))))</f>
        <v>PADD 3</v>
      </c>
      <c r="G4428" s="6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6" t="s">
        <v>510</v>
      </c>
      <c r="I4428" s="6" t="s">
        <v>511</v>
      </c>
      <c r="J4428" s="6" t="s">
        <v>394</v>
      </c>
      <c r="K4428" s="10">
        <v>2.516</v>
      </c>
      <c r="L4428" s="10">
        <v>14.8</v>
      </c>
      <c r="M4428" s="6" t="s">
        <v>421</v>
      </c>
      <c r="N4428" s="6">
        <f>IF(OR($G4428="FCC",$G4428="Hydrocracker",$G4428="Reformer"),IF(COUNTIFS($D:$D,$D4428,$A:$A,$A4428,$B:$B,$B4428,$G:$G,"CDU",$J:$J,"PLANNED")&gt;0,"tied","standalone"),"")</f>
        <v/>
      </c>
    </row>
    <row r="4429" spans="1:14">
      <c r="A4429" s="6">
        <v>2024</v>
      </c>
      <c r="B4429" s="6">
        <v>9</v>
      </c>
      <c r="C4429" s="6" t="s">
        <v>68</v>
      </c>
      <c r="D4429" s="6" t="s">
        <v>430</v>
      </c>
      <c r="E4429" s="6" t="s">
        <v>431</v>
      </c>
      <c r="F4429" s="6" t="str">
        <f>IF($M4429="PADD I","PADD 1",IF($M4429="PADD II","PADD 2",IF($M4429="PADD III","PADD 3",IF($M4429="PADD IV","PADD 4",IF($M4429="PADD V","PADD 5","")))))</f>
        <v>PADD 3</v>
      </c>
      <c r="G4429" s="6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6" t="s">
        <v>485</v>
      </c>
      <c r="I4429" s="6" t="s">
        <v>527</v>
      </c>
      <c r="J4429" s="6" t="s">
        <v>394</v>
      </c>
      <c r="K4429" s="10">
        <v>2.5</v>
      </c>
      <c r="L4429" s="10">
        <v>25</v>
      </c>
      <c r="M4429" s="6" t="s">
        <v>421</v>
      </c>
      <c r="N4429" s="6">
        <f>IF(OR($G4429="FCC",$G4429="Hydrocracker",$G4429="Reformer"),IF(COUNTIFS($D:$D,$D4429,$A:$A,$A4429,$B:$B,$B4429,$G:$G,"CDU",$J:$J,"PLANNED")&gt;0,"tied","standalone"),"")</f>
        <v/>
      </c>
    </row>
    <row r="4430" spans="1:14">
      <c r="A4430" s="6">
        <v>2024</v>
      </c>
      <c r="B4430" s="6">
        <v>9</v>
      </c>
      <c r="C4430" s="6" t="s">
        <v>68</v>
      </c>
      <c r="D4430" s="6" t="s">
        <v>430</v>
      </c>
      <c r="E4430" s="6" t="s">
        <v>431</v>
      </c>
      <c r="F4430" s="6" t="str">
        <f>IF($M4430="PADD I","PADD 1",IF($M4430="PADD II","PADD 2",IF($M4430="PADD III","PADD 3",IF($M4430="PADD IV","PADD 4",IF($M4430="PADD V","PADD 5","")))))</f>
        <v>PADD 3</v>
      </c>
      <c r="G4430" s="6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6" t="s">
        <v>44</v>
      </c>
      <c r="I4430" s="6" t="s">
        <v>1178</v>
      </c>
      <c r="J4430" s="6" t="s">
        <v>394</v>
      </c>
      <c r="K4430" s="10">
        <v>2.5</v>
      </c>
      <c r="L4430" s="10">
        <v>25</v>
      </c>
      <c r="M4430" s="6" t="s">
        <v>421</v>
      </c>
      <c r="N4430" s="6">
        <f>IF(OR($G4430="FCC",$G4430="Hydrocracker",$G4430="Reformer"),IF(COUNTIFS($D:$D,$D4430,$A:$A,$A4430,$B:$B,$B4430,$G:$G,"CDU",$J:$J,"PLANNED")&gt;0,"tied","standalone"),"")</f>
        <v/>
      </c>
    </row>
    <row r="4431" spans="1:14">
      <c r="A4431" s="6">
        <v>2024</v>
      </c>
      <c r="B4431" s="6">
        <v>9</v>
      </c>
      <c r="C4431" s="6" t="s">
        <v>68</v>
      </c>
      <c r="D4431" s="6" t="s">
        <v>824</v>
      </c>
      <c r="E4431" s="6" t="s">
        <v>825</v>
      </c>
      <c r="F4431" s="6" t="str">
        <f>IF($M4431="PADD I","PADD 1",IF($M4431="PADD II","PADD 2",IF($M4431="PADD III","PADD 3",IF($M4431="PADD IV","PADD 4",IF($M4431="PADD V","PADD 5","")))))</f>
        <v>PADD 1</v>
      </c>
      <c r="G4431" s="6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6" t="s">
        <v>426</v>
      </c>
      <c r="I4431" s="6" t="s">
        <v>106</v>
      </c>
      <c r="J4431" s="6" t="s">
        <v>394</v>
      </c>
      <c r="K4431" s="10">
        <v>2.46</v>
      </c>
      <c r="L4431" s="10">
        <v>82</v>
      </c>
      <c r="M4431" s="6" t="s">
        <v>463</v>
      </c>
      <c r="N4431" s="6" t="str">
        <f>IF(OR($G4431="FCC",$G4431="Hydrocracker",$G4431="Reformer"),IF(COUNTIFS($D:$D,$D4431,$A:$A,$A4431,$B:$B,$B4431,$G:$G,"CDU",$J:$J,"PLANNED")&gt;0,"tied","standalone"),"")</f>
        <v>standalone</v>
      </c>
    </row>
    <row r="4432" spans="1:14">
      <c r="A4432" s="6">
        <v>2024</v>
      </c>
      <c r="B4432" s="6">
        <v>9</v>
      </c>
      <c r="C4432" s="6" t="s">
        <v>68</v>
      </c>
      <c r="D4432" s="6" t="s">
        <v>377</v>
      </c>
      <c r="E4432" s="6" t="s">
        <v>466</v>
      </c>
      <c r="F4432" s="6" t="str">
        <f>IF($M4432="PADD I","PADD 1",IF($M4432="PADD II","PADD 2",IF($M4432="PADD III","PADD 3",IF($M4432="PADD IV","PADD 4",IF($M4432="PADD V","PADD 5","")))))</f>
        <v>PADD 2</v>
      </c>
      <c r="G4432" s="6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6" t="s">
        <v>44</v>
      </c>
      <c r="I4432" s="6" t="s">
        <v>1068</v>
      </c>
      <c r="J4432" s="6" t="s">
        <v>394</v>
      </c>
      <c r="K4432" s="10">
        <v>2.45</v>
      </c>
      <c r="L4432" s="10">
        <v>35</v>
      </c>
      <c r="M4432" s="6" t="s">
        <v>425</v>
      </c>
      <c r="N4432" s="6">
        <f>IF(OR($G4432="FCC",$G4432="Hydrocracker",$G4432="Reformer"),IF(COUNTIFS($D:$D,$D4432,$A:$A,$A4432,$B:$B,$B4432,$G:$G,"CDU",$J:$J,"PLANNED")&gt;0,"tied","standalone"),"")</f>
        <v/>
      </c>
    </row>
    <row r="4433" spans="1:14">
      <c r="A4433" s="6">
        <v>2024</v>
      </c>
      <c r="B4433" s="6">
        <v>9</v>
      </c>
      <c r="C4433" s="6" t="s">
        <v>68</v>
      </c>
      <c r="D4433" s="6" t="s">
        <v>1289</v>
      </c>
      <c r="E4433" s="6" t="s">
        <v>922</v>
      </c>
      <c r="F4433" s="6" t="str">
        <f>IF($M4433="PADD I","PADD 1",IF($M4433="PADD II","PADD 2",IF($M4433="PADD III","PADD 3",IF($M4433="PADD IV","PADD 4",IF($M4433="PADD V","PADD 5","")))))</f>
        <v>PADD 4</v>
      </c>
      <c r="G4433" s="6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6" t="s">
        <v>428</v>
      </c>
      <c r="I4433" s="6" t="s">
        <v>481</v>
      </c>
      <c r="J4433" s="6" t="s">
        <v>398</v>
      </c>
      <c r="K4433" s="10">
        <v>2.4</v>
      </c>
      <c r="L4433" s="10">
        <v>6</v>
      </c>
      <c r="M4433" s="6" t="s">
        <v>480</v>
      </c>
      <c r="N4433" s="6">
        <f>IF(OR($G4433="FCC",$G4433="Hydrocracker",$G4433="Reformer"),IF(COUNTIFS($D:$D,$D4433,$A:$A,$A4433,$B:$B,$B4433,$G:$G,"CDU",$J:$J,"PLANNED")&gt;0,"tied","standalone"),"")</f>
        <v/>
      </c>
    </row>
    <row r="4434" spans="1:14">
      <c r="A4434" s="6">
        <v>2024</v>
      </c>
      <c r="B4434" s="6">
        <v>9</v>
      </c>
      <c r="C4434" s="6" t="s">
        <v>68</v>
      </c>
      <c r="D4434" s="6" t="s">
        <v>851</v>
      </c>
      <c r="E4434" s="6" t="s">
        <v>829</v>
      </c>
      <c r="F4434" s="6" t="str">
        <f>IF($M4434="PADD I","PADD 1",IF($M4434="PADD II","PADD 2",IF($M4434="PADD III","PADD 3",IF($M4434="PADD IV","PADD 4",IF($M4434="PADD V","PADD 5","")))))</f>
        <v>PADD 2</v>
      </c>
      <c r="G4434" s="6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6" t="s">
        <v>485</v>
      </c>
      <c r="I4434" s="6" t="s">
        <v>852</v>
      </c>
      <c r="J4434" s="6" t="s">
        <v>394</v>
      </c>
      <c r="K4434" s="10">
        <v>2.4</v>
      </c>
      <c r="L4434" s="10">
        <v>24</v>
      </c>
      <c r="M4434" s="6" t="s">
        <v>425</v>
      </c>
      <c r="N4434" s="6">
        <f>IF(OR($G4434="FCC",$G4434="Hydrocracker",$G4434="Reformer"),IF(COUNTIFS($D:$D,$D4434,$A:$A,$A4434,$B:$B,$B4434,$G:$G,"CDU",$J:$J,"PLANNED")&gt;0,"tied","standalone"),"")</f>
        <v/>
      </c>
    </row>
    <row r="4435" spans="1:14">
      <c r="A4435" s="6">
        <v>2024</v>
      </c>
      <c r="B4435" s="6">
        <v>9</v>
      </c>
      <c r="C4435" s="6" t="s">
        <v>68</v>
      </c>
      <c r="D4435" s="6" t="s">
        <v>851</v>
      </c>
      <c r="E4435" s="6" t="s">
        <v>829</v>
      </c>
      <c r="F4435" s="6" t="str">
        <f>IF($M4435="PADD I","PADD 1",IF($M4435="PADD II","PADD 2",IF($M4435="PADD III","PADD 3",IF($M4435="PADD IV","PADD 4",IF($M4435="PADD V","PADD 5","")))))</f>
        <v>PADD 2</v>
      </c>
      <c r="G4435" s="6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6" t="s">
        <v>485</v>
      </c>
      <c r="I4435" s="6" t="s">
        <v>944</v>
      </c>
      <c r="J4435" s="6" t="s">
        <v>394</v>
      </c>
      <c r="K4435" s="10">
        <v>2.4</v>
      </c>
      <c r="L4435" s="10">
        <v>24</v>
      </c>
      <c r="M4435" s="6" t="s">
        <v>425</v>
      </c>
      <c r="N4435" s="6">
        <f>IF(OR($G4435="FCC",$G4435="Hydrocracker",$G4435="Reformer"),IF(COUNTIFS($D:$D,$D4435,$A:$A,$A4435,$B:$B,$B4435,$G:$G,"CDU",$J:$J,"PLANNED")&gt;0,"tied","standalone"),"")</f>
        <v/>
      </c>
    </row>
    <row r="4436" spans="1:14">
      <c r="A4436" s="6">
        <v>2024</v>
      </c>
      <c r="B4436" s="6">
        <v>9</v>
      </c>
      <c r="C4436" s="6" t="s">
        <v>68</v>
      </c>
      <c r="D4436" s="6" t="s">
        <v>430</v>
      </c>
      <c r="E4436" s="6" t="s">
        <v>431</v>
      </c>
      <c r="F4436" s="6" t="str">
        <f>IF($M4436="PADD I","PADD 1",IF($M4436="PADD II","PADD 2",IF($M4436="PADD III","PADD 3",IF($M4436="PADD IV","PADD 4",IF($M4436="PADD V","PADD 5","")))))</f>
        <v>PADD 3</v>
      </c>
      <c r="G4436" s="6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6" t="s">
        <v>485</v>
      </c>
      <c r="I4436" s="6" t="s">
        <v>1036</v>
      </c>
      <c r="J4436" s="6" t="s">
        <v>394</v>
      </c>
      <c r="K4436" s="10">
        <v>2.25</v>
      </c>
      <c r="L4436" s="10">
        <v>22.5</v>
      </c>
      <c r="M4436" s="6" t="s">
        <v>421</v>
      </c>
      <c r="N4436" s="6">
        <f>IF(OR($G4436="FCC",$G4436="Hydrocracker",$G4436="Reformer"),IF(COUNTIFS($D:$D,$D4436,$A:$A,$A4436,$B:$B,$B4436,$G:$G,"CDU",$J:$J,"PLANNED")&gt;0,"tied","standalone"),"")</f>
        <v/>
      </c>
    </row>
    <row r="4437" spans="1:14">
      <c r="A4437" s="6">
        <v>2024</v>
      </c>
      <c r="B4437" s="6">
        <v>9</v>
      </c>
      <c r="C4437" s="6" t="s">
        <v>68</v>
      </c>
      <c r="D4437" s="6" t="s">
        <v>430</v>
      </c>
      <c r="E4437" s="6" t="s">
        <v>431</v>
      </c>
      <c r="F4437" s="6" t="str">
        <f>IF($M4437="PADD I","PADD 1",IF($M4437="PADD II","PADD 2",IF($M4437="PADD III","PADD 3",IF($M4437="PADD IV","PADD 4",IF($M4437="PADD V","PADD 5","")))))</f>
        <v>PADD 3</v>
      </c>
      <c r="G4437" s="6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6" t="s">
        <v>44</v>
      </c>
      <c r="I4437" s="6" t="s">
        <v>1253</v>
      </c>
      <c r="J4437" s="6" t="s">
        <v>394</v>
      </c>
      <c r="K4437" s="10">
        <v>2.25</v>
      </c>
      <c r="L4437" s="10">
        <v>22.5</v>
      </c>
      <c r="M4437" s="6" t="s">
        <v>421</v>
      </c>
      <c r="N4437" s="6">
        <f>IF(OR($G4437="FCC",$G4437="Hydrocracker",$G4437="Reformer"),IF(COUNTIFS($D:$D,$D4437,$A:$A,$A4437,$B:$B,$B4437,$G:$G,"CDU",$J:$J,"PLANNED")&gt;0,"tied","standalone"),"")</f>
        <v/>
      </c>
    </row>
    <row r="4438" spans="1:14">
      <c r="A4438" s="6">
        <v>2024</v>
      </c>
      <c r="B4438" s="6">
        <v>9</v>
      </c>
      <c r="C4438" s="6" t="s">
        <v>68</v>
      </c>
      <c r="D4438" s="6" t="s">
        <v>377</v>
      </c>
      <c r="E4438" s="6" t="s">
        <v>466</v>
      </c>
      <c r="F4438" s="6" t="str">
        <f>IF($M4438="PADD I","PADD 1",IF($M4438="PADD II","PADD 2",IF($M4438="PADD III","PADD 3",IF($M4438="PADD IV","PADD 4",IF($M4438="PADD V","PADD 5","")))))</f>
        <v>PADD 2</v>
      </c>
      <c r="G4438" s="6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6" t="s">
        <v>428</v>
      </c>
      <c r="I4438" s="6" t="s">
        <v>1294</v>
      </c>
      <c r="J4438" s="6" t="s">
        <v>394</v>
      </c>
      <c r="K4438" s="10">
        <v>2.25</v>
      </c>
      <c r="L4438" s="10">
        <v>75</v>
      </c>
      <c r="M4438" s="6" t="s">
        <v>425</v>
      </c>
      <c r="N4438" s="6">
        <f>IF(OR($G4438="FCC",$G4438="Hydrocracker",$G4438="Reformer"),IF(COUNTIFS($D:$D,$D4438,$A:$A,$A4438,$B:$B,$B4438,$G:$G,"CDU",$J:$J,"PLANNED")&gt;0,"tied","standalone"),"")</f>
        <v/>
      </c>
    </row>
    <row r="4439" spans="1:14">
      <c r="A4439" s="6">
        <v>2024</v>
      </c>
      <c r="B4439" s="6">
        <v>9</v>
      </c>
      <c r="C4439" s="6" t="s">
        <v>68</v>
      </c>
      <c r="D4439" s="6" t="s">
        <v>857</v>
      </c>
      <c r="E4439" s="6" t="s">
        <v>829</v>
      </c>
      <c r="F4439" s="6" t="str">
        <f>IF($M4439="PADD I","PADD 1",IF($M4439="PADD II","PADD 2",IF($M4439="PADD III","PADD 3",IF($M4439="PADD IV","PADD 4",IF($M4439="PADD V","PADD 5","")))))</f>
        <v>PADD 3</v>
      </c>
      <c r="G4439" s="6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6" t="s">
        <v>39</v>
      </c>
      <c r="I4439" s="6" t="s">
        <v>136</v>
      </c>
      <c r="J4439" s="6" t="s">
        <v>394</v>
      </c>
      <c r="K4439" s="10">
        <v>2.25</v>
      </c>
      <c r="L4439" s="10">
        <v>75</v>
      </c>
      <c r="M4439" s="6" t="s">
        <v>421</v>
      </c>
      <c r="N4439" s="6">
        <f>IF(OR($G4439="FCC",$G4439="Hydrocracker",$G4439="Reformer"),IF(COUNTIFS($D:$D,$D4439,$A:$A,$A4439,$B:$B,$B4439,$G:$G,"CDU",$J:$J,"PLANNED")&gt;0,"tied","standalone"),"")</f>
        <v/>
      </c>
    </row>
    <row r="4440" spans="1:14">
      <c r="A4440" s="6">
        <v>2024</v>
      </c>
      <c r="B4440" s="6">
        <v>9</v>
      </c>
      <c r="C4440" s="6" t="s">
        <v>68</v>
      </c>
      <c r="D4440" s="6" t="s">
        <v>853</v>
      </c>
      <c r="E4440" s="6" t="s">
        <v>438</v>
      </c>
      <c r="F4440" s="6" t="str">
        <f>IF($M4440="PADD I","PADD 1",IF($M4440="PADD II","PADD 2",IF($M4440="PADD III","PADD 3",IF($M4440="PADD IV","PADD 4",IF($M4440="PADD V","PADD 5","")))))</f>
        <v>PADD 2</v>
      </c>
      <c r="G4440" s="6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6" t="s">
        <v>471</v>
      </c>
      <c r="I4440" s="6" t="s">
        <v>607</v>
      </c>
      <c r="J4440" s="6" t="s">
        <v>394</v>
      </c>
      <c r="K4440" s="10">
        <v>2.25</v>
      </c>
      <c r="L4440" s="10">
        <v>11.25</v>
      </c>
      <c r="M4440" s="6" t="s">
        <v>425</v>
      </c>
      <c r="N4440" s="6" t="str">
        <f>IF(OR($G4440="FCC",$G4440="Hydrocracker",$G4440="Reformer"),IF(COUNTIFS($D:$D,$D4440,$A:$A,$A4440,$B:$B,$B4440,$G:$G,"CDU",$J:$J,"PLANNED")&gt;0,"tied","standalone"),"")</f>
        <v>standalone</v>
      </c>
    </row>
    <row r="4441" spans="1:14">
      <c r="A4441" s="6">
        <v>2024</v>
      </c>
      <c r="B4441" s="6">
        <v>9</v>
      </c>
      <c r="C4441" s="6" t="s">
        <v>68</v>
      </c>
      <c r="D4441" s="6" t="s">
        <v>518</v>
      </c>
      <c r="E4441" s="6" t="s">
        <v>419</v>
      </c>
      <c r="F4441" s="6" t="str">
        <f>IF($M4441="PADD I","PADD 1",IF($M4441="PADD II","PADD 2",IF($M4441="PADD III","PADD 3",IF($M4441="PADD IV","PADD 4",IF($M4441="PADD V","PADD 5","")))))</f>
        <v>PADD 3</v>
      </c>
      <c r="G4441" s="6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6" t="s">
        <v>426</v>
      </c>
      <c r="I4441" s="6" t="s">
        <v>523</v>
      </c>
      <c r="J4441" s="6" t="s">
        <v>394</v>
      </c>
      <c r="K4441" s="10">
        <v>2.1</v>
      </c>
      <c r="L4441" s="10">
        <v>30</v>
      </c>
      <c r="M4441" s="6" t="s">
        <v>421</v>
      </c>
      <c r="N4441" s="6" t="str">
        <f>IF(OR($G4441="FCC",$G4441="Hydrocracker",$G4441="Reformer"),IF(COUNTIFS($D:$D,$D4441,$A:$A,$A4441,$B:$B,$B4441,$G:$G,"CDU",$J:$J,"PLANNED")&gt;0,"tied","standalone"),"")</f>
        <v>standalone</v>
      </c>
    </row>
    <row r="4442" spans="1:14">
      <c r="A4442" s="6">
        <v>2024</v>
      </c>
      <c r="B4442" s="6">
        <v>9</v>
      </c>
      <c r="C4442" s="6" t="s">
        <v>68</v>
      </c>
      <c r="D4442" s="6" t="s">
        <v>1289</v>
      </c>
      <c r="E4442" s="6" t="s">
        <v>922</v>
      </c>
      <c r="F4442" s="6" t="str">
        <f>IF($M4442="PADD I","PADD 1",IF($M4442="PADD II","PADD 2",IF($M4442="PADD III","PADD 3",IF($M4442="PADD IV","PADD 4",IF($M4442="PADD V","PADD 5","")))))</f>
        <v>PADD 4</v>
      </c>
      <c r="G4442" s="6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6" t="s">
        <v>494</v>
      </c>
      <c r="I4442" s="6" t="s">
        <v>1295</v>
      </c>
      <c r="J4442" s="6" t="s">
        <v>398</v>
      </c>
      <c r="K4442" s="10">
        <v>2</v>
      </c>
      <c r="L4442" s="10">
        <v>5</v>
      </c>
      <c r="M4442" s="6" t="s">
        <v>480</v>
      </c>
      <c r="N4442" s="6" t="str">
        <f>IF(OR($G4442="FCC",$G4442="Hydrocracker",$G4442="Reformer"),IF(COUNTIFS($D:$D,$D4442,$A:$A,$A4442,$B:$B,$B4442,$G:$G,"CDU",$J:$J,"PLANNED")&gt;0,"tied","standalone"),"")</f>
        <v>tied</v>
      </c>
    </row>
    <row r="4443" spans="1:14">
      <c r="A4443" s="6">
        <v>2024</v>
      </c>
      <c r="B4443" s="6">
        <v>9</v>
      </c>
      <c r="C4443" s="6" t="s">
        <v>68</v>
      </c>
      <c r="D4443" s="6" t="s">
        <v>430</v>
      </c>
      <c r="E4443" s="6" t="s">
        <v>431</v>
      </c>
      <c r="F4443" s="6" t="str">
        <f>IF($M4443="PADD I","PADD 1",IF($M4443="PADD II","PADD 2",IF($M4443="PADD III","PADD 3",IF($M4443="PADD IV","PADD 4",IF($M4443="PADD V","PADD 5","")))))</f>
        <v>PADD 3</v>
      </c>
      <c r="G4443" s="6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6" t="s">
        <v>44</v>
      </c>
      <c r="I4443" s="6" t="s">
        <v>1296</v>
      </c>
      <c r="J4443" s="6" t="s">
        <v>394</v>
      </c>
      <c r="K4443" s="10">
        <v>2</v>
      </c>
      <c r="L4443" s="10">
        <v>20</v>
      </c>
      <c r="M4443" s="6" t="s">
        <v>421</v>
      </c>
      <c r="N4443" s="6">
        <f>IF(OR($G4443="FCC",$G4443="Hydrocracker",$G4443="Reformer"),IF(COUNTIFS($D:$D,$D4443,$A:$A,$A4443,$B:$B,$B4443,$G:$G,"CDU",$J:$J,"PLANNED")&gt;0,"tied","standalone"),"")</f>
        <v/>
      </c>
    </row>
    <row r="4444" spans="1:14">
      <c r="A4444" s="6">
        <v>2024</v>
      </c>
      <c r="B4444" s="6">
        <v>9</v>
      </c>
      <c r="C4444" s="6" t="s">
        <v>68</v>
      </c>
      <c r="D4444" s="6" t="s">
        <v>430</v>
      </c>
      <c r="E4444" s="6" t="s">
        <v>431</v>
      </c>
      <c r="F4444" s="6" t="str">
        <f>IF($M4444="PADD I","PADD 1",IF($M4444="PADD II","PADD 2",IF($M4444="PADD III","PADD 3",IF($M4444="PADD IV","PADD 4",IF($M4444="PADD V","PADD 5","")))))</f>
        <v>PADD 3</v>
      </c>
      <c r="G4444" s="6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6" t="s">
        <v>44</v>
      </c>
      <c r="I4444" s="6" t="s">
        <v>1297</v>
      </c>
      <c r="J4444" s="6" t="s">
        <v>394</v>
      </c>
      <c r="K4444" s="10">
        <v>2</v>
      </c>
      <c r="L4444" s="10">
        <v>20</v>
      </c>
      <c r="M4444" s="6" t="s">
        <v>421</v>
      </c>
      <c r="N4444" s="6">
        <f>IF(OR($G4444="FCC",$G4444="Hydrocracker",$G4444="Reformer"),IF(COUNTIFS($D:$D,$D4444,$A:$A,$A4444,$B:$B,$B4444,$G:$G,"CDU",$J:$J,"PLANNED")&gt;0,"tied","standalone"),"")</f>
        <v/>
      </c>
    </row>
    <row r="4445" spans="1:14">
      <c r="A4445" s="6">
        <v>2024</v>
      </c>
      <c r="B4445" s="6">
        <v>9</v>
      </c>
      <c r="C4445" s="6" t="s">
        <v>68</v>
      </c>
      <c r="D4445" s="6" t="s">
        <v>430</v>
      </c>
      <c r="E4445" s="6" t="s">
        <v>431</v>
      </c>
      <c r="F4445" s="6" t="str">
        <f>IF($M4445="PADD I","PADD 1",IF($M4445="PADD II","PADD 2",IF($M4445="PADD III","PADD 3",IF($M4445="PADD IV","PADD 4",IF($M4445="PADD V","PADD 5","")))))</f>
        <v>PADD 3</v>
      </c>
      <c r="G4445" s="6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6" t="s">
        <v>471</v>
      </c>
      <c r="I4445" s="6" t="s">
        <v>1176</v>
      </c>
      <c r="J4445" s="6" t="s">
        <v>394</v>
      </c>
      <c r="K4445" s="10">
        <v>1.95</v>
      </c>
      <c r="L4445" s="10">
        <v>19.5</v>
      </c>
      <c r="M4445" s="6" t="s">
        <v>421</v>
      </c>
      <c r="N4445" s="6" t="str">
        <f>IF(OR($G4445="FCC",$G4445="Hydrocracker",$G4445="Reformer"),IF(COUNTIFS($D:$D,$D4445,$A:$A,$A4445,$B:$B,$B4445,$G:$G,"CDU",$J:$J,"PLANNED")&gt;0,"tied","standalone"),"")</f>
        <v>standalone</v>
      </c>
    </row>
    <row r="4446" spans="1:14">
      <c r="A4446" s="6">
        <v>2024</v>
      </c>
      <c r="B4446" s="6">
        <v>9</v>
      </c>
      <c r="C4446" s="6" t="s">
        <v>68</v>
      </c>
      <c r="D4446" s="6" t="s">
        <v>430</v>
      </c>
      <c r="E4446" s="6" t="s">
        <v>431</v>
      </c>
      <c r="F4446" s="6" t="str">
        <f>IF($M4446="PADD I","PADD 1",IF($M4446="PADD II","PADD 2",IF($M4446="PADD III","PADD 3",IF($M4446="PADD IV","PADD 4",IF($M4446="PADD V","PADD 5","")))))</f>
        <v>PADD 3</v>
      </c>
      <c r="G4446" s="6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6" t="s">
        <v>471</v>
      </c>
      <c r="I4446" s="6" t="s">
        <v>1175</v>
      </c>
      <c r="J4446" s="6" t="s">
        <v>394</v>
      </c>
      <c r="K4446" s="10">
        <v>1.95</v>
      </c>
      <c r="L4446" s="10">
        <v>19.5</v>
      </c>
      <c r="M4446" s="6" t="s">
        <v>421</v>
      </c>
      <c r="N4446" s="6" t="str">
        <f>IF(OR($G4446="FCC",$G4446="Hydrocracker",$G4446="Reformer"),IF(COUNTIFS($D:$D,$D4446,$A:$A,$A4446,$B:$B,$B4446,$G:$G,"CDU",$J:$J,"PLANNED")&gt;0,"tied","standalone"),"")</f>
        <v>standalone</v>
      </c>
    </row>
    <row r="4447" spans="1:14">
      <c r="A4447" s="6">
        <v>2024</v>
      </c>
      <c r="B4447" s="6">
        <v>9</v>
      </c>
      <c r="C4447" s="6" t="s">
        <v>68</v>
      </c>
      <c r="D4447" s="6" t="s">
        <v>378</v>
      </c>
      <c r="E4447" s="6" t="s">
        <v>477</v>
      </c>
      <c r="F4447" s="6" t="str">
        <f>IF($M4447="PADD I","PADD 1",IF($M4447="PADD II","PADD 2",IF($M4447="PADD III","PADD 3",IF($M4447="PADD IV","PADD 4",IF($M4447="PADD V","PADD 5","")))))</f>
        <v>PADD 3</v>
      </c>
      <c r="G4447" s="6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6" t="s">
        <v>485</v>
      </c>
      <c r="I4447" s="6" t="s">
        <v>1298</v>
      </c>
      <c r="J4447" s="6" t="s">
        <v>398</v>
      </c>
      <c r="K4447" s="10">
        <v>1.95</v>
      </c>
      <c r="L4447" s="10">
        <v>15</v>
      </c>
      <c r="M4447" s="6" t="s">
        <v>421</v>
      </c>
      <c r="N4447" s="6">
        <f>IF(OR($G4447="FCC",$G4447="Hydrocracker",$G4447="Reformer"),IF(COUNTIFS($D:$D,$D4447,$A:$A,$A4447,$B:$B,$B4447,$G:$G,"CDU",$J:$J,"PLANNED")&gt;0,"tied","standalone"),"")</f>
        <v/>
      </c>
    </row>
    <row r="4448" spans="1:14">
      <c r="A4448" s="6">
        <v>2024</v>
      </c>
      <c r="B4448" s="6">
        <v>9</v>
      </c>
      <c r="C4448" s="6" t="s">
        <v>68</v>
      </c>
      <c r="D4448" s="6" t="s">
        <v>849</v>
      </c>
      <c r="E4448" s="6" t="s">
        <v>441</v>
      </c>
      <c r="F4448" s="6" t="str">
        <f>IF($M4448="PADD I","PADD 1",IF($M4448="PADD II","PADD 2",IF($M4448="PADD III","PADD 3",IF($M4448="PADD IV","PADD 4",IF($M4448="PADD V","PADD 5","")))))</f>
        <v>PADD 4</v>
      </c>
      <c r="G4448" s="6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6" t="s">
        <v>44</v>
      </c>
      <c r="I4448" s="6" t="s">
        <v>1117</v>
      </c>
      <c r="J4448" s="6" t="s">
        <v>394</v>
      </c>
      <c r="K4448" s="10">
        <v>1.95</v>
      </c>
      <c r="L4448" s="10">
        <v>15</v>
      </c>
      <c r="M4448" s="6" t="s">
        <v>480</v>
      </c>
      <c r="N4448" s="6">
        <f>IF(OR($G4448="FCC",$G4448="Hydrocracker",$G4448="Reformer"),IF(COUNTIFS($D:$D,$D4448,$A:$A,$A4448,$B:$B,$B4448,$G:$G,"CDU",$J:$J,"PLANNED")&gt;0,"tied","standalone"),"")</f>
        <v/>
      </c>
    </row>
    <row r="4449" spans="1:14">
      <c r="A4449" s="6">
        <v>2024</v>
      </c>
      <c r="B4449" s="6">
        <v>9</v>
      </c>
      <c r="C4449" s="6" t="s">
        <v>68</v>
      </c>
      <c r="D4449" s="6" t="s">
        <v>652</v>
      </c>
      <c r="E4449" s="6" t="s">
        <v>419</v>
      </c>
      <c r="F4449" s="6" t="str">
        <f>IF($M4449="PADD I","PADD 1",IF($M4449="PADD II","PADD 2",IF($M4449="PADD III","PADD 3",IF($M4449="PADD IV","PADD 4",IF($M4449="PADD V","PADD 5","")))))</f>
        <v>PADD 2</v>
      </c>
      <c r="G4449" s="6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6" t="s">
        <v>471</v>
      </c>
      <c r="I4449" s="6" t="s">
        <v>747</v>
      </c>
      <c r="J4449" s="6" t="s">
        <v>394</v>
      </c>
      <c r="K4449" s="10">
        <v>1.89</v>
      </c>
      <c r="L4449" s="10">
        <v>27</v>
      </c>
      <c r="M4449" s="6" t="s">
        <v>425</v>
      </c>
      <c r="N4449" s="6" t="str">
        <f>IF(OR($G4449="FCC",$G4449="Hydrocracker",$G4449="Reformer"),IF(COUNTIFS($D:$D,$D4449,$A:$A,$A4449,$B:$B,$B4449,$G:$G,"CDU",$J:$J,"PLANNED")&gt;0,"tied","standalone"),"")</f>
        <v>tied</v>
      </c>
    </row>
    <row r="4450" spans="1:14">
      <c r="A4450" s="6">
        <v>2024</v>
      </c>
      <c r="B4450" s="6">
        <v>9</v>
      </c>
      <c r="C4450" s="6" t="s">
        <v>68</v>
      </c>
      <c r="D4450" s="6" t="s">
        <v>378</v>
      </c>
      <c r="E4450" s="6" t="s">
        <v>477</v>
      </c>
      <c r="F4450" s="6" t="str">
        <f>IF($M4450="PADD I","PADD 1",IF($M4450="PADD II","PADD 2",IF($M4450="PADD III","PADD 3",IF($M4450="PADD IV","PADD 4",IF($M4450="PADD V","PADD 5","")))))</f>
        <v>PADD 3</v>
      </c>
      <c r="G4450" s="6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6" t="s">
        <v>44</v>
      </c>
      <c r="I4450" s="6" t="s">
        <v>612</v>
      </c>
      <c r="J4450" s="6" t="s">
        <v>398</v>
      </c>
      <c r="K4450" s="10">
        <v>1.755</v>
      </c>
      <c r="L4450" s="10">
        <v>13.5</v>
      </c>
      <c r="M4450" s="6" t="s">
        <v>421</v>
      </c>
      <c r="N4450" s="6">
        <f>IF(OR($G4450="FCC",$G4450="Hydrocracker",$G4450="Reformer"),IF(COUNTIFS($D:$D,$D4450,$A:$A,$A4450,$B:$B,$B4450,$G:$G,"CDU",$J:$J,"PLANNED")&gt;0,"tied","standalone"),"")</f>
        <v/>
      </c>
    </row>
    <row r="4451" spans="1:14">
      <c r="A4451" s="6">
        <v>2024</v>
      </c>
      <c r="B4451" s="6">
        <v>9</v>
      </c>
      <c r="C4451" s="6" t="s">
        <v>68</v>
      </c>
      <c r="D4451" s="6" t="s">
        <v>377</v>
      </c>
      <c r="E4451" s="6" t="s">
        <v>466</v>
      </c>
      <c r="F4451" s="6" t="str">
        <f>IF($M4451="PADD I","PADD 1",IF($M4451="PADD II","PADD 2",IF($M4451="PADD III","PADD 3",IF($M4451="PADD IV","PADD 4",IF($M4451="PADD V","PADD 5","")))))</f>
        <v>PADD 2</v>
      </c>
      <c r="G4451" s="6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6" t="s">
        <v>44</v>
      </c>
      <c r="I4451" s="6" t="s">
        <v>1299</v>
      </c>
      <c r="J4451" s="6" t="s">
        <v>394</v>
      </c>
      <c r="K4451" s="10">
        <v>1.75</v>
      </c>
      <c r="L4451" s="10">
        <v>25</v>
      </c>
      <c r="M4451" s="6" t="s">
        <v>425</v>
      </c>
      <c r="N4451" s="6">
        <f>IF(OR($G4451="FCC",$G4451="Hydrocracker",$G4451="Reformer"),IF(COUNTIFS($D:$D,$D4451,$A:$A,$A4451,$B:$B,$B4451,$G:$G,"CDU",$J:$J,"PLANNED")&gt;0,"tied","standalone"),"")</f>
        <v/>
      </c>
    </row>
    <row r="4452" spans="1:14">
      <c r="A4452" s="6">
        <v>2024</v>
      </c>
      <c r="B4452" s="6">
        <v>9</v>
      </c>
      <c r="C4452" s="6" t="s">
        <v>68</v>
      </c>
      <c r="D4452" s="6" t="s">
        <v>984</v>
      </c>
      <c r="E4452" s="6" t="s">
        <v>438</v>
      </c>
      <c r="F4452" s="6" t="str">
        <f>IF($M4452="PADD I","PADD 1",IF($M4452="PADD II","PADD 2",IF($M4452="PADD III","PADD 3",IF($M4452="PADD IV","PADD 4",IF($M4452="PADD V","PADD 5","")))))</f>
        <v>PADD 3</v>
      </c>
      <c r="G4452" s="6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6" t="s">
        <v>44</v>
      </c>
      <c r="I4452" s="6" t="s">
        <v>508</v>
      </c>
      <c r="J4452" s="6" t="s">
        <v>394</v>
      </c>
      <c r="K4452" s="10">
        <v>1.75</v>
      </c>
      <c r="L4452" s="10">
        <v>25</v>
      </c>
      <c r="M4452" s="6" t="s">
        <v>421</v>
      </c>
      <c r="N4452" s="6">
        <f>IF(OR($G4452="FCC",$G4452="Hydrocracker",$G4452="Reformer"),IF(COUNTIFS($D:$D,$D4452,$A:$A,$A4452,$B:$B,$B4452,$G:$G,"CDU",$J:$J,"PLANNED")&gt;0,"tied","standalone"),"")</f>
        <v/>
      </c>
    </row>
    <row r="4453" spans="1:14">
      <c r="A4453" s="6">
        <v>2024</v>
      </c>
      <c r="B4453" s="6">
        <v>9</v>
      </c>
      <c r="C4453" s="6" t="s">
        <v>68</v>
      </c>
      <c r="D4453" s="6" t="s">
        <v>484</v>
      </c>
      <c r="E4453" s="6" t="s">
        <v>438</v>
      </c>
      <c r="F4453" s="6" t="str">
        <f>IF($M4453="PADD I","PADD 1",IF($M4453="PADD II","PADD 2",IF($M4453="PADD III","PADD 3",IF($M4453="PADD IV","PADD 4",IF($M4453="PADD V","PADD 5","")))))</f>
        <v>PADD 5</v>
      </c>
      <c r="G4453" s="6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6" t="s">
        <v>44</v>
      </c>
      <c r="I4453" s="6" t="s">
        <v>955</v>
      </c>
      <c r="J4453" s="6" t="s">
        <v>394</v>
      </c>
      <c r="K4453" s="10">
        <v>1.75</v>
      </c>
      <c r="L4453" s="10">
        <v>25</v>
      </c>
      <c r="M4453" s="6" t="s">
        <v>436</v>
      </c>
      <c r="N4453" s="6">
        <f>IF(OR($G4453="FCC",$G4453="Hydrocracker",$G4453="Reformer"),IF(COUNTIFS($D:$D,$D4453,$A:$A,$A4453,$B:$B,$B4453,$G:$G,"CDU",$J:$J,"PLANNED")&gt;0,"tied","standalone"),"")</f>
        <v/>
      </c>
    </row>
    <row r="4454" spans="1:14">
      <c r="A4454" s="6">
        <v>2024</v>
      </c>
      <c r="B4454" s="6">
        <v>9</v>
      </c>
      <c r="C4454" s="6" t="s">
        <v>68</v>
      </c>
      <c r="D4454" s="6" t="s">
        <v>712</v>
      </c>
      <c r="E4454" s="6" t="s">
        <v>602</v>
      </c>
      <c r="F4454" s="6" t="str">
        <f>IF($M4454="PADD I","PADD 1",IF($M4454="PADD II","PADD 2",IF($M4454="PADD III","PADD 3",IF($M4454="PADD IV","PADD 4",IF($M4454="PADD V","PADD 5","")))))</f>
        <v>PADD 3</v>
      </c>
      <c r="G4454" s="6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6" t="s">
        <v>426</v>
      </c>
      <c r="I4454" s="6" t="s">
        <v>106</v>
      </c>
      <c r="J4454" s="6" t="s">
        <v>398</v>
      </c>
      <c r="K4454" s="10">
        <v>1.75</v>
      </c>
      <c r="L4454" s="10">
        <v>25</v>
      </c>
      <c r="M4454" s="6" t="s">
        <v>421</v>
      </c>
      <c r="N4454" s="6" t="str">
        <f>IF(OR($G4454="FCC",$G4454="Hydrocracker",$G4454="Reformer"),IF(COUNTIFS($D:$D,$D4454,$A:$A,$A4454,$B:$B,$B4454,$G:$G,"CDU",$J:$J,"PLANNED")&gt;0,"tied","standalone"),"")</f>
        <v>standalone</v>
      </c>
    </row>
    <row r="4455" spans="1:14">
      <c r="A4455" s="6">
        <v>2024</v>
      </c>
      <c r="B4455" s="6">
        <v>9</v>
      </c>
      <c r="C4455" s="6" t="s">
        <v>68</v>
      </c>
      <c r="D4455" s="6" t="s">
        <v>849</v>
      </c>
      <c r="E4455" s="6" t="s">
        <v>441</v>
      </c>
      <c r="F4455" s="6" t="str">
        <f>IF($M4455="PADD I","PADD 1",IF($M4455="PADD II","PADD 2",IF($M4455="PADD III","PADD 3",IF($M4455="PADD IV","PADD 4",IF($M4455="PADD V","PADD 5","")))))</f>
        <v>PADD 4</v>
      </c>
      <c r="G4455" s="6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6" t="s">
        <v>39</v>
      </c>
      <c r="I4455" s="6" t="s">
        <v>1154</v>
      </c>
      <c r="J4455" s="6" t="s">
        <v>394</v>
      </c>
      <c r="K4455" s="10">
        <v>1.728</v>
      </c>
      <c r="L4455" s="10">
        <v>57.6</v>
      </c>
      <c r="M4455" s="6" t="s">
        <v>480</v>
      </c>
      <c r="N4455" s="6">
        <f>IF(OR($G4455="FCC",$G4455="Hydrocracker",$G4455="Reformer"),IF(COUNTIFS($D:$D,$D4455,$A:$A,$A4455,$B:$B,$B4455,$G:$G,"CDU",$J:$J,"PLANNED")&gt;0,"tied","standalone"),"")</f>
        <v/>
      </c>
    </row>
    <row r="4456" spans="1:14">
      <c r="A4456" s="6">
        <v>2024</v>
      </c>
      <c r="B4456" s="6">
        <v>9</v>
      </c>
      <c r="C4456" s="6" t="s">
        <v>68</v>
      </c>
      <c r="D4456" s="6" t="s">
        <v>377</v>
      </c>
      <c r="E4456" s="6" t="s">
        <v>466</v>
      </c>
      <c r="F4456" s="6" t="str">
        <f>IF($M4456="PADD I","PADD 1",IF($M4456="PADD II","PADD 2",IF($M4456="PADD III","PADD 3",IF($M4456="PADD IV","PADD 4",IF($M4456="PADD V","PADD 5","")))))</f>
        <v>PADD 2</v>
      </c>
      <c r="G4456" s="6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6" t="s">
        <v>44</v>
      </c>
      <c r="I4456" s="6" t="s">
        <v>1300</v>
      </c>
      <c r="J4456" s="6" t="s">
        <v>394</v>
      </c>
      <c r="K4456" s="10">
        <v>1.638</v>
      </c>
      <c r="L4456" s="10">
        <v>23.4</v>
      </c>
      <c r="M4456" s="6" t="s">
        <v>425</v>
      </c>
      <c r="N4456" s="6">
        <f>IF(OR($G4456="FCC",$G4456="Hydrocracker",$G4456="Reformer"),IF(COUNTIFS($D:$D,$D4456,$A:$A,$A4456,$B:$B,$B4456,$G:$G,"CDU",$J:$J,"PLANNED")&gt;0,"tied","standalone"),"")</f>
        <v/>
      </c>
    </row>
    <row r="4457" spans="1:14">
      <c r="A4457" s="6">
        <v>2024</v>
      </c>
      <c r="B4457" s="6">
        <v>9</v>
      </c>
      <c r="C4457" s="6" t="s">
        <v>68</v>
      </c>
      <c r="D4457" s="6" t="s">
        <v>430</v>
      </c>
      <c r="E4457" s="6" t="s">
        <v>431</v>
      </c>
      <c r="F4457" s="6" t="str">
        <f>IF($M4457="PADD I","PADD 1",IF($M4457="PADD II","PADD 2",IF($M4457="PADD III","PADD 3",IF($M4457="PADD IV","PADD 4",IF($M4457="PADD V","PADD 5","")))))</f>
        <v>PADD 3</v>
      </c>
      <c r="G4457" s="6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6" t="s">
        <v>44</v>
      </c>
      <c r="I4457" s="6" t="s">
        <v>1301</v>
      </c>
      <c r="J4457" s="6" t="s">
        <v>394</v>
      </c>
      <c r="K4457" s="10">
        <v>1.5</v>
      </c>
      <c r="L4457" s="10">
        <v>15</v>
      </c>
      <c r="M4457" s="6" t="s">
        <v>421</v>
      </c>
      <c r="N4457" s="6">
        <f>IF(OR($G4457="FCC",$G4457="Hydrocracker",$G4457="Reformer"),IF(COUNTIFS($D:$D,$D4457,$A:$A,$A4457,$B:$B,$B4457,$G:$G,"CDU",$J:$J,"PLANNED")&gt;0,"tied","standalone"),"")</f>
        <v/>
      </c>
    </row>
    <row r="4458" spans="1:14">
      <c r="A4458" s="6">
        <v>2024</v>
      </c>
      <c r="B4458" s="6">
        <v>9</v>
      </c>
      <c r="C4458" s="6" t="s">
        <v>68</v>
      </c>
      <c r="D4458" s="6" t="s">
        <v>430</v>
      </c>
      <c r="E4458" s="6" t="s">
        <v>431</v>
      </c>
      <c r="F4458" s="6" t="str">
        <f>IF($M4458="PADD I","PADD 1",IF($M4458="PADD II","PADD 2",IF($M4458="PADD III","PADD 3",IF($M4458="PADD IV","PADD 4",IF($M4458="PADD V","PADD 5","")))))</f>
        <v>PADD 3</v>
      </c>
      <c r="G4458" s="6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6" t="s">
        <v>44</v>
      </c>
      <c r="I4458" s="6" t="s">
        <v>1302</v>
      </c>
      <c r="J4458" s="6" t="s">
        <v>394</v>
      </c>
      <c r="K4458" s="10">
        <v>1.5</v>
      </c>
      <c r="L4458" s="10">
        <v>15</v>
      </c>
      <c r="M4458" s="6" t="s">
        <v>421</v>
      </c>
      <c r="N4458" s="6">
        <f>IF(OR($G4458="FCC",$G4458="Hydrocracker",$G4458="Reformer"),IF(COUNTIFS($D:$D,$D4458,$A:$A,$A4458,$B:$B,$B4458,$G:$G,"CDU",$J:$J,"PLANNED")&gt;0,"tied","standalone"),"")</f>
        <v/>
      </c>
    </row>
    <row r="4459" spans="1:14">
      <c r="A4459" s="6">
        <v>2024</v>
      </c>
      <c r="B4459" s="6">
        <v>9</v>
      </c>
      <c r="C4459" s="6" t="s">
        <v>68</v>
      </c>
      <c r="D4459" s="6" t="s">
        <v>806</v>
      </c>
      <c r="E4459" s="6" t="s">
        <v>807</v>
      </c>
      <c r="F4459" s="6" t="str">
        <f>IF($M4459="PADD I","PADD 1",IF($M4459="PADD II","PADD 2",IF($M4459="PADD III","PADD 3",IF($M4459="PADD IV","PADD 4",IF($M4459="PADD V","PADD 5","")))))</f>
        <v>PADD 3</v>
      </c>
      <c r="G4459" s="6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6" t="s">
        <v>39</v>
      </c>
      <c r="I4459" s="6" t="s">
        <v>82</v>
      </c>
      <c r="J4459" s="6" t="s">
        <v>394</v>
      </c>
      <c r="K4459" s="10">
        <v>1.5</v>
      </c>
      <c r="L4459" s="10">
        <v>15</v>
      </c>
      <c r="M4459" s="6" t="s">
        <v>421</v>
      </c>
      <c r="N4459" s="6">
        <f>IF(OR($G4459="FCC",$G4459="Hydrocracker",$G4459="Reformer"),IF(COUNTIFS($D:$D,$D4459,$A:$A,$A4459,$B:$B,$B4459,$G:$G,"CDU",$J:$J,"PLANNED")&gt;0,"tied","standalone"),"")</f>
        <v/>
      </c>
    </row>
    <row r="4460" spans="1:14">
      <c r="A4460" s="6">
        <v>2024</v>
      </c>
      <c r="B4460" s="6">
        <v>9</v>
      </c>
      <c r="C4460" s="6" t="s">
        <v>68</v>
      </c>
      <c r="D4460" s="6" t="s">
        <v>484</v>
      </c>
      <c r="E4460" s="6" t="s">
        <v>438</v>
      </c>
      <c r="F4460" s="6" t="str">
        <f>IF($M4460="PADD I","PADD 1",IF($M4460="PADD II","PADD 2",IF($M4460="PADD III","PADD 3",IF($M4460="PADD IV","PADD 4",IF($M4460="PADD V","PADD 5","")))))</f>
        <v>PADD 5</v>
      </c>
      <c r="G4460" s="6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6" t="s">
        <v>471</v>
      </c>
      <c r="I4460" s="6" t="s">
        <v>721</v>
      </c>
      <c r="J4460" s="6" t="s">
        <v>394</v>
      </c>
      <c r="K4460" s="10">
        <v>1.5</v>
      </c>
      <c r="L4460" s="10">
        <v>15</v>
      </c>
      <c r="M4460" s="6" t="s">
        <v>436</v>
      </c>
      <c r="N4460" s="6" t="str">
        <f>IF(OR($G4460="FCC",$G4460="Hydrocracker",$G4460="Reformer"),IF(COUNTIFS($D:$D,$D4460,$A:$A,$A4460,$B:$B,$B4460,$G:$G,"CDU",$J:$J,"PLANNED")&gt;0,"tied","standalone"),"")</f>
        <v>standalone</v>
      </c>
    </row>
    <row r="4461" spans="1:14">
      <c r="A4461" s="6">
        <v>2024</v>
      </c>
      <c r="B4461" s="6">
        <v>9</v>
      </c>
      <c r="C4461" s="6" t="s">
        <v>68</v>
      </c>
      <c r="D4461" s="6" t="s">
        <v>1289</v>
      </c>
      <c r="E4461" s="6" t="s">
        <v>922</v>
      </c>
      <c r="F4461" s="6" t="str">
        <f>IF($M4461="PADD I","PADD 1",IF($M4461="PADD II","PADD 2",IF($M4461="PADD III","PADD 3",IF($M4461="PADD IV","PADD 4",IF($M4461="PADD V","PADD 5","")))))</f>
        <v>PADD 4</v>
      </c>
      <c r="G4461" s="6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6" t="s">
        <v>44</v>
      </c>
      <c r="I4461" s="6" t="s">
        <v>979</v>
      </c>
      <c r="J4461" s="6" t="s">
        <v>398</v>
      </c>
      <c r="K4461" s="10">
        <v>1.4</v>
      </c>
      <c r="L4461" s="10">
        <v>3.5</v>
      </c>
      <c r="M4461" s="6" t="s">
        <v>480</v>
      </c>
      <c r="N4461" s="6">
        <f>IF(OR($G4461="FCC",$G4461="Hydrocracker",$G4461="Reformer"),IF(COUNTIFS($D:$D,$D4461,$A:$A,$A4461,$B:$B,$B4461,$G:$G,"CDU",$J:$J,"PLANNED")&gt;0,"tied","standalone"),"")</f>
        <v/>
      </c>
    </row>
    <row r="4462" spans="1:14">
      <c r="A4462" s="6">
        <v>2024</v>
      </c>
      <c r="B4462" s="6">
        <v>9</v>
      </c>
      <c r="C4462" s="6" t="s">
        <v>68</v>
      </c>
      <c r="D4462" s="6" t="s">
        <v>430</v>
      </c>
      <c r="E4462" s="6" t="s">
        <v>431</v>
      </c>
      <c r="F4462" s="6" t="str">
        <f>IF($M4462="PADD I","PADD 1",IF($M4462="PADD II","PADD 2",IF($M4462="PADD III","PADD 3",IF($M4462="PADD IV","PADD 4",IF($M4462="PADD V","PADD 5","")))))</f>
        <v>PADD 3</v>
      </c>
      <c r="G4462" s="6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6" t="s">
        <v>485</v>
      </c>
      <c r="I4462" s="6" t="s">
        <v>565</v>
      </c>
      <c r="J4462" s="6" t="s">
        <v>394</v>
      </c>
      <c r="K4462" s="10">
        <v>1.375</v>
      </c>
      <c r="L4462" s="10">
        <v>13.75</v>
      </c>
      <c r="M4462" s="6" t="s">
        <v>421</v>
      </c>
      <c r="N4462" s="6">
        <f>IF(OR($G4462="FCC",$G4462="Hydrocracker",$G4462="Reformer"),IF(COUNTIFS($D:$D,$D4462,$A:$A,$A4462,$B:$B,$B4462,$G:$G,"CDU",$J:$J,"PLANNED")&gt;0,"tied","standalone"),"")</f>
        <v/>
      </c>
    </row>
    <row r="4463" spans="1:14">
      <c r="A4463" s="6">
        <v>2024</v>
      </c>
      <c r="B4463" s="6">
        <v>9</v>
      </c>
      <c r="C4463" s="6" t="s">
        <v>68</v>
      </c>
      <c r="D4463" s="6" t="s">
        <v>581</v>
      </c>
      <c r="E4463" s="6" t="s">
        <v>582</v>
      </c>
      <c r="F4463" s="6" t="str">
        <f>IF($M4463="PADD I","PADD 1",IF($M4463="PADD II","PADD 2",IF($M4463="PADD III","PADD 3",IF($M4463="PADD IV","PADD 4",IF($M4463="PADD V","PADD 5","")))))</f>
        <v>PADD 5</v>
      </c>
      <c r="G4463" s="6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6" t="s">
        <v>471</v>
      </c>
      <c r="I4463" s="6" t="s">
        <v>607</v>
      </c>
      <c r="J4463" s="6" t="s">
        <v>394</v>
      </c>
      <c r="K4463" s="10">
        <v>1.35</v>
      </c>
      <c r="L4463" s="10">
        <v>45</v>
      </c>
      <c r="M4463" s="6" t="s">
        <v>436</v>
      </c>
      <c r="N4463" s="6" t="str">
        <f>IF(OR($G4463="FCC",$G4463="Hydrocracker",$G4463="Reformer"),IF(COUNTIFS($D:$D,$D4463,$A:$A,$A4463,$B:$B,$B4463,$G:$G,"CDU",$J:$J,"PLANNED")&gt;0,"tied","standalone"),"")</f>
        <v>standalone</v>
      </c>
    </row>
    <row r="4464" spans="1:14">
      <c r="A4464" s="6">
        <v>2024</v>
      </c>
      <c r="B4464" s="6">
        <v>9</v>
      </c>
      <c r="C4464" s="6" t="s">
        <v>68</v>
      </c>
      <c r="D4464" s="6" t="s">
        <v>712</v>
      </c>
      <c r="E4464" s="6" t="s">
        <v>602</v>
      </c>
      <c r="F4464" s="6" t="str">
        <f>IF($M4464="PADD I","PADD 1",IF($M4464="PADD II","PADD 2",IF($M4464="PADD III","PADD 3",IF($M4464="PADD IV","PADD 4",IF($M4464="PADD V","PADD 5","")))))</f>
        <v>PADD 3</v>
      </c>
      <c r="G4464" s="6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6" t="s">
        <v>44</v>
      </c>
      <c r="I4464" s="6" t="s">
        <v>894</v>
      </c>
      <c r="J4464" s="6" t="s">
        <v>394</v>
      </c>
      <c r="K4464" s="10">
        <v>1.35</v>
      </c>
      <c r="L4464" s="10">
        <v>5</v>
      </c>
      <c r="M4464" s="6" t="s">
        <v>421</v>
      </c>
      <c r="N4464" s="6">
        <f>IF(OR($G4464="FCC",$G4464="Hydrocracker",$G4464="Reformer"),IF(COUNTIFS($D:$D,$D4464,$A:$A,$A4464,$B:$B,$B4464,$G:$G,"CDU",$J:$J,"PLANNED")&gt;0,"tied","standalone"),"")</f>
        <v/>
      </c>
    </row>
    <row r="4465" spans="1:14">
      <c r="A4465" s="6">
        <v>2024</v>
      </c>
      <c r="B4465" s="6">
        <v>9</v>
      </c>
      <c r="C4465" s="6" t="s">
        <v>68</v>
      </c>
      <c r="D4465" s="6" t="s">
        <v>662</v>
      </c>
      <c r="E4465" s="6" t="s">
        <v>466</v>
      </c>
      <c r="F4465" s="6" t="str">
        <f>IF($M4465="PADD I","PADD 1",IF($M4465="PADD II","PADD 2",IF($M4465="PADD III","PADD 3",IF($M4465="PADD IV","PADD 4",IF($M4465="PADD V","PADD 5","")))))</f>
        <v>PADD 3</v>
      </c>
      <c r="G4465" s="6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6" t="s">
        <v>485</v>
      </c>
      <c r="I4465" s="6" t="s">
        <v>491</v>
      </c>
      <c r="J4465" s="6" t="s">
        <v>394</v>
      </c>
      <c r="K4465" s="10">
        <v>1.32</v>
      </c>
      <c r="L4465" s="10">
        <v>44</v>
      </c>
      <c r="M4465" s="6" t="s">
        <v>421</v>
      </c>
      <c r="N4465" s="6">
        <f>IF(OR($G4465="FCC",$G4465="Hydrocracker",$G4465="Reformer"),IF(COUNTIFS($D:$D,$D4465,$A:$A,$A4465,$B:$B,$B4465,$G:$G,"CDU",$J:$J,"PLANNED")&gt;0,"tied","standalone"),"")</f>
        <v/>
      </c>
    </row>
    <row r="4466" spans="1:14">
      <c r="A4466" s="6">
        <v>2024</v>
      </c>
      <c r="B4466" s="6">
        <v>9</v>
      </c>
      <c r="C4466" s="6" t="s">
        <v>68</v>
      </c>
      <c r="D4466" s="6" t="s">
        <v>378</v>
      </c>
      <c r="E4466" s="6" t="s">
        <v>477</v>
      </c>
      <c r="F4466" s="6" t="str">
        <f>IF($M4466="PADD I","PADD 1",IF($M4466="PADD II","PADD 2",IF($M4466="PADD III","PADD 3",IF($M4466="PADD IV","PADD 4",IF($M4466="PADD V","PADD 5","")))))</f>
        <v>PADD 3</v>
      </c>
      <c r="G4466" s="6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6" t="s">
        <v>618</v>
      </c>
      <c r="I4466" s="6" t="s">
        <v>654</v>
      </c>
      <c r="J4466" s="6" t="s">
        <v>398</v>
      </c>
      <c r="K4466" s="10">
        <v>1.3</v>
      </c>
      <c r="L4466" s="10">
        <v>10</v>
      </c>
      <c r="M4466" s="6" t="s">
        <v>421</v>
      </c>
      <c r="N4466" s="6">
        <f>IF(OR($G4466="FCC",$G4466="Hydrocracker",$G4466="Reformer"),IF(COUNTIFS($D:$D,$D4466,$A:$A,$A4466,$B:$B,$B4466,$G:$G,"CDU",$J:$J,"PLANNED")&gt;0,"tied","standalone"),"")</f>
        <v/>
      </c>
    </row>
    <row r="4467" spans="1:14">
      <c r="A4467" s="6">
        <v>2024</v>
      </c>
      <c r="B4467" s="6">
        <v>9</v>
      </c>
      <c r="C4467" s="6" t="s">
        <v>68</v>
      </c>
      <c r="D4467" s="6" t="s">
        <v>812</v>
      </c>
      <c r="E4467" s="6" t="s">
        <v>813</v>
      </c>
      <c r="F4467" s="6" t="str">
        <f>IF($M4467="PADD I","PADD 1",IF($M4467="PADD II","PADD 2",IF($M4467="PADD III","PADD 3",IF($M4467="PADD IV","PADD 4",IF($M4467="PADD V","PADD 5","")))))</f>
        <v>PADD 2</v>
      </c>
      <c r="G4467" s="6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6" t="s">
        <v>44</v>
      </c>
      <c r="I4467" s="6" t="s">
        <v>508</v>
      </c>
      <c r="J4467" s="6" t="s">
        <v>394</v>
      </c>
      <c r="K4467" s="10">
        <v>1.3</v>
      </c>
      <c r="L4467" s="10">
        <v>13</v>
      </c>
      <c r="M4467" s="6" t="s">
        <v>425</v>
      </c>
      <c r="N4467" s="6">
        <f>IF(OR($G4467="FCC",$G4467="Hydrocracker",$G4467="Reformer"),IF(COUNTIFS($D:$D,$D4467,$A:$A,$A4467,$B:$B,$B4467,$G:$G,"CDU",$J:$J,"PLANNED")&gt;0,"tied","standalone"),"")</f>
        <v/>
      </c>
    </row>
    <row r="4468" spans="1:14">
      <c r="A4468" s="6">
        <v>2024</v>
      </c>
      <c r="B4468" s="6">
        <v>9</v>
      </c>
      <c r="C4468" s="6" t="s">
        <v>68</v>
      </c>
      <c r="D4468" s="6" t="s">
        <v>1289</v>
      </c>
      <c r="E4468" s="6" t="s">
        <v>922</v>
      </c>
      <c r="F4468" s="6" t="str">
        <f>IF($M4468="PADD I","PADD 1",IF($M4468="PADD II","PADD 2",IF($M4468="PADD III","PADD 3",IF($M4468="PADD IV","PADD 4",IF($M4468="PADD V","PADD 5","")))))</f>
        <v>PADD 4</v>
      </c>
      <c r="G4468" s="6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6" t="s">
        <v>44</v>
      </c>
      <c r="I4468" s="6" t="s">
        <v>551</v>
      </c>
      <c r="J4468" s="6" t="s">
        <v>398</v>
      </c>
      <c r="K4468" s="10">
        <v>1.2</v>
      </c>
      <c r="L4468" s="10">
        <v>3</v>
      </c>
      <c r="M4468" s="6" t="s">
        <v>480</v>
      </c>
      <c r="N4468" s="6">
        <f>IF(OR($G4468="FCC",$G4468="Hydrocracker",$G4468="Reformer"),IF(COUNTIFS($D:$D,$D4468,$A:$A,$A4468,$B:$B,$B4468,$G:$G,"CDU",$J:$J,"PLANNED")&gt;0,"tied","standalone"),"")</f>
        <v/>
      </c>
    </row>
    <row r="4469" spans="1:14">
      <c r="A4469" s="6">
        <v>2024</v>
      </c>
      <c r="B4469" s="6">
        <v>9</v>
      </c>
      <c r="C4469" s="6" t="s">
        <v>68</v>
      </c>
      <c r="D4469" s="6" t="s">
        <v>984</v>
      </c>
      <c r="E4469" s="6" t="s">
        <v>438</v>
      </c>
      <c r="F4469" s="6" t="str">
        <f>IF($M4469="PADD I","PADD 1",IF($M4469="PADD II","PADD 2",IF($M4469="PADD III","PADD 3",IF($M4469="PADD IV","PADD 4",IF($M4469="PADD V","PADD 5","")))))</f>
        <v>PADD 3</v>
      </c>
      <c r="G4469" s="6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6" t="s">
        <v>428</v>
      </c>
      <c r="I4469" s="6" t="s">
        <v>1014</v>
      </c>
      <c r="J4469" s="6" t="s">
        <v>394</v>
      </c>
      <c r="K4469" s="10">
        <v>1.19</v>
      </c>
      <c r="L4469" s="10">
        <v>17</v>
      </c>
      <c r="M4469" s="6" t="s">
        <v>421</v>
      </c>
      <c r="N4469" s="6">
        <f>IF(OR($G4469="FCC",$G4469="Hydrocracker",$G4469="Reformer"),IF(COUNTIFS($D:$D,$D4469,$A:$A,$A4469,$B:$B,$B4469,$G:$G,"CDU",$J:$J,"PLANNED")&gt;0,"tied","standalone"),"")</f>
        <v/>
      </c>
    </row>
    <row r="4470" spans="1:14">
      <c r="A4470" s="6">
        <v>2024</v>
      </c>
      <c r="B4470" s="6">
        <v>9</v>
      </c>
      <c r="C4470" s="6" t="s">
        <v>68</v>
      </c>
      <c r="D4470" s="6" t="s">
        <v>430</v>
      </c>
      <c r="E4470" s="6" t="s">
        <v>431</v>
      </c>
      <c r="F4470" s="6" t="str">
        <f>IF($M4470="PADD I","PADD 1",IF($M4470="PADD II","PADD 2",IF($M4470="PADD III","PADD 3",IF($M4470="PADD IV","PADD 4",IF($M4470="PADD V","PADD 5","")))))</f>
        <v>PADD 3</v>
      </c>
      <c r="G4470" s="6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6" t="s">
        <v>494</v>
      </c>
      <c r="I4470" s="6" t="s">
        <v>1271</v>
      </c>
      <c r="J4470" s="6" t="s">
        <v>394</v>
      </c>
      <c r="K4470" s="10">
        <v>1.15</v>
      </c>
      <c r="L4470" s="10">
        <v>11.5</v>
      </c>
      <c r="M4470" s="6" t="s">
        <v>421</v>
      </c>
      <c r="N4470" s="6" t="str">
        <f>IF(OR($G4470="FCC",$G4470="Hydrocracker",$G4470="Reformer"),IF(COUNTIFS($D:$D,$D4470,$A:$A,$A4470,$B:$B,$B4470,$G:$G,"CDU",$J:$J,"PLANNED")&gt;0,"tied","standalone"),"")</f>
        <v>standalone</v>
      </c>
    </row>
    <row r="4471" spans="1:14">
      <c r="A4471" s="6">
        <v>2024</v>
      </c>
      <c r="B4471" s="6">
        <v>9</v>
      </c>
      <c r="C4471" s="6" t="s">
        <v>68</v>
      </c>
      <c r="D4471" s="6" t="s">
        <v>712</v>
      </c>
      <c r="E4471" s="6" t="s">
        <v>602</v>
      </c>
      <c r="F4471" s="6" t="str">
        <f>IF($M4471="PADD I","PADD 1",IF($M4471="PADD II","PADD 2",IF($M4471="PADD III","PADD 3",IF($M4471="PADD IV","PADD 4",IF($M4471="PADD V","PADD 5","")))))</f>
        <v>PADD 3</v>
      </c>
      <c r="G4471" s="6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6" t="s">
        <v>44</v>
      </c>
      <c r="I4471" s="6" t="s">
        <v>894</v>
      </c>
      <c r="J4471" s="6" t="s">
        <v>398</v>
      </c>
      <c r="K4471" s="10">
        <v>1.15</v>
      </c>
      <c r="L4471" s="10">
        <v>5</v>
      </c>
      <c r="M4471" s="6" t="s">
        <v>421</v>
      </c>
      <c r="N4471" s="6">
        <f>IF(OR($G4471="FCC",$G4471="Hydrocracker",$G4471="Reformer"),IF(COUNTIFS($D:$D,$D4471,$A:$A,$A4471,$B:$B,$B4471,$G:$G,"CDU",$J:$J,"PLANNED")&gt;0,"tied","standalone"),"")</f>
        <v/>
      </c>
    </row>
    <row r="4472" spans="1:14">
      <c r="A4472" s="6">
        <v>2024</v>
      </c>
      <c r="B4472" s="6">
        <v>9</v>
      </c>
      <c r="C4472" s="6" t="s">
        <v>68</v>
      </c>
      <c r="D4472" s="6" t="s">
        <v>378</v>
      </c>
      <c r="E4472" s="6" t="s">
        <v>477</v>
      </c>
      <c r="F4472" s="6" t="str">
        <f>IF($M4472="PADD I","PADD 1",IF($M4472="PADD II","PADD 2",IF($M4472="PADD III","PADD 3",IF($M4472="PADD IV","PADD 4",IF($M4472="PADD V","PADD 5","")))))</f>
        <v>PADD 3</v>
      </c>
      <c r="G4472" s="6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6" t="s">
        <v>471</v>
      </c>
      <c r="I4472" s="6" t="s">
        <v>1212</v>
      </c>
      <c r="J4472" s="6" t="s">
        <v>398</v>
      </c>
      <c r="K4472" s="10">
        <v>1.1375</v>
      </c>
      <c r="L4472" s="10">
        <v>8.75</v>
      </c>
      <c r="M4472" s="6" t="s">
        <v>421</v>
      </c>
      <c r="N4472" s="6" t="str">
        <f>IF(OR($G4472="FCC",$G4472="Hydrocracker",$G4472="Reformer"),IF(COUNTIFS($D:$D,$D4472,$A:$A,$A4472,$B:$B,$B4472,$G:$G,"CDU",$J:$J,"PLANNED")&gt;0,"tied","standalone"),"")</f>
        <v>tied</v>
      </c>
    </row>
    <row r="4473" spans="1:14">
      <c r="A4473" s="6">
        <v>2024</v>
      </c>
      <c r="B4473" s="6">
        <v>9</v>
      </c>
      <c r="C4473" s="6" t="s">
        <v>68</v>
      </c>
      <c r="D4473" s="6" t="s">
        <v>378</v>
      </c>
      <c r="E4473" s="6" t="s">
        <v>477</v>
      </c>
      <c r="F4473" s="6" t="str">
        <f>IF($M4473="PADD I","PADD 1",IF($M4473="PADD II","PADD 2",IF($M4473="PADD III","PADD 3",IF($M4473="PADD IV","PADD 4",IF($M4473="PADD V","PADD 5","")))))</f>
        <v>PADD 3</v>
      </c>
      <c r="G4473" s="6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6" t="s">
        <v>687</v>
      </c>
      <c r="I4473" s="6" t="s">
        <v>1303</v>
      </c>
      <c r="J4473" s="6" t="s">
        <v>398</v>
      </c>
      <c r="K4473" s="10">
        <v>1.105</v>
      </c>
      <c r="L4473" s="10">
        <v>8.5</v>
      </c>
      <c r="M4473" s="6" t="s">
        <v>421</v>
      </c>
      <c r="N4473" s="6">
        <f>IF(OR($G4473="FCC",$G4473="Hydrocracker",$G4473="Reformer"),IF(COUNTIFS($D:$D,$D4473,$A:$A,$A4473,$B:$B,$B4473,$G:$G,"CDU",$J:$J,"PLANNED")&gt;0,"tied","standalone"),"")</f>
        <v/>
      </c>
    </row>
    <row r="4474" spans="1:14">
      <c r="A4474" s="6">
        <v>2024</v>
      </c>
      <c r="B4474" s="6">
        <v>9</v>
      </c>
      <c r="C4474" s="6" t="s">
        <v>68</v>
      </c>
      <c r="D4474" s="6" t="s">
        <v>430</v>
      </c>
      <c r="E4474" s="6" t="s">
        <v>431</v>
      </c>
      <c r="F4474" s="6" t="str">
        <f>IF($M4474="PADD I","PADD 1",IF($M4474="PADD II","PADD 2",IF($M4474="PADD III","PADD 3",IF($M4474="PADD IV","PADD 4",IF($M4474="PADD V","PADD 5","")))))</f>
        <v>PADD 3</v>
      </c>
      <c r="G4474" s="6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6" t="s">
        <v>44</v>
      </c>
      <c r="I4474" s="6" t="s">
        <v>1304</v>
      </c>
      <c r="J4474" s="6" t="s">
        <v>394</v>
      </c>
      <c r="K4474" s="10">
        <v>1.1</v>
      </c>
      <c r="L4474" s="10">
        <v>11</v>
      </c>
      <c r="M4474" s="6" t="s">
        <v>421</v>
      </c>
      <c r="N4474" s="6">
        <f>IF(OR($G4474="FCC",$G4474="Hydrocracker",$G4474="Reformer"),IF(COUNTIFS($D:$D,$D4474,$A:$A,$A4474,$B:$B,$B4474,$G:$G,"CDU",$J:$J,"PLANNED")&gt;0,"tied","standalone"),"")</f>
        <v/>
      </c>
    </row>
    <row r="4475" spans="1:14">
      <c r="A4475" s="6">
        <v>2024</v>
      </c>
      <c r="B4475" s="6">
        <v>9</v>
      </c>
      <c r="C4475" s="6" t="s">
        <v>68</v>
      </c>
      <c r="D4475" s="6" t="s">
        <v>377</v>
      </c>
      <c r="E4475" s="6" t="s">
        <v>466</v>
      </c>
      <c r="F4475" s="6" t="str">
        <f>IF($M4475="PADD I","PADD 1",IF($M4475="PADD II","PADD 2",IF($M4475="PADD III","PADD 3",IF($M4475="PADD IV","PADD 4",IF($M4475="PADD V","PADD 5","")))))</f>
        <v>PADD 2</v>
      </c>
      <c r="G4475" s="6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6" t="s">
        <v>44</v>
      </c>
      <c r="I4475" s="6" t="s">
        <v>1076</v>
      </c>
      <c r="J4475" s="6" t="s">
        <v>394</v>
      </c>
      <c r="K4475" s="10">
        <v>1.05</v>
      </c>
      <c r="L4475" s="10">
        <v>15</v>
      </c>
      <c r="M4475" s="6" t="s">
        <v>425</v>
      </c>
      <c r="N4475" s="6">
        <f>IF(OR($G4475="FCC",$G4475="Hydrocracker",$G4475="Reformer"),IF(COUNTIFS($D:$D,$D4475,$A:$A,$A4475,$B:$B,$B4475,$G:$G,"CDU",$J:$J,"PLANNED")&gt;0,"tied","standalone"),"")</f>
        <v/>
      </c>
    </row>
    <row r="4476" spans="1:14">
      <c r="A4476" s="6">
        <v>2024</v>
      </c>
      <c r="B4476" s="6">
        <v>9</v>
      </c>
      <c r="C4476" s="6" t="s">
        <v>68</v>
      </c>
      <c r="D4476" s="6" t="s">
        <v>772</v>
      </c>
      <c r="E4476" s="6" t="s">
        <v>502</v>
      </c>
      <c r="F4476" s="6" t="str">
        <f>IF($M4476="PADD I","PADD 1",IF($M4476="PADD II","PADD 2",IF($M4476="PADD III","PADD 3",IF($M4476="PADD IV","PADD 4",IF($M4476="PADD V","PADD 5","")))))</f>
        <v>PADD 4</v>
      </c>
      <c r="G4476" s="6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6" t="s">
        <v>494</v>
      </c>
      <c r="I4476" s="6" t="s">
        <v>1197</v>
      </c>
      <c r="J4476" s="6" t="s">
        <v>394</v>
      </c>
      <c r="K4476" s="10">
        <v>1.05</v>
      </c>
      <c r="L4476" s="10">
        <v>15</v>
      </c>
      <c r="M4476" s="6" t="s">
        <v>480</v>
      </c>
      <c r="N4476" s="6" t="str">
        <f>IF(OR($G4476="FCC",$G4476="Hydrocracker",$G4476="Reformer"),IF(COUNTIFS($D:$D,$D4476,$A:$A,$A4476,$B:$B,$B4476,$G:$G,"CDU",$J:$J,"PLANNED")&gt;0,"tied","standalone"),"")</f>
        <v>standalone</v>
      </c>
    </row>
    <row r="4477" spans="1:14">
      <c r="A4477" s="6">
        <v>2024</v>
      </c>
      <c r="B4477" s="6">
        <v>9</v>
      </c>
      <c r="C4477" s="6" t="s">
        <v>68</v>
      </c>
      <c r="D4477" s="6" t="s">
        <v>378</v>
      </c>
      <c r="E4477" s="6" t="s">
        <v>477</v>
      </c>
      <c r="F4477" s="6" t="str">
        <f>IF($M4477="PADD I","PADD 1",IF($M4477="PADD II","PADD 2",IF($M4477="PADD III","PADD 3",IF($M4477="PADD IV","PADD 4",IF($M4477="PADD V","PADD 5","")))))</f>
        <v>PADD 3</v>
      </c>
      <c r="G4477" s="6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6" t="s">
        <v>1158</v>
      </c>
      <c r="I4477" s="6" t="s">
        <v>1305</v>
      </c>
      <c r="J4477" s="6" t="s">
        <v>398</v>
      </c>
      <c r="K4477" s="10">
        <v>0.975</v>
      </c>
      <c r="L4477" s="10">
        <v>7.5</v>
      </c>
      <c r="M4477" s="6" t="s">
        <v>421</v>
      </c>
      <c r="N4477" s="6">
        <f>IF(OR($G4477="FCC",$G4477="Hydrocracker",$G4477="Reformer"),IF(COUNTIFS($D:$D,$D4477,$A:$A,$A4477,$B:$B,$B4477,$G:$G,"CDU",$J:$J,"PLANNED")&gt;0,"tied","standalone"),"")</f>
        <v/>
      </c>
    </row>
    <row r="4478" spans="1:14">
      <c r="A4478" s="6">
        <v>2024</v>
      </c>
      <c r="B4478" s="6">
        <v>9</v>
      </c>
      <c r="C4478" s="6" t="s">
        <v>68</v>
      </c>
      <c r="D4478" s="6" t="s">
        <v>430</v>
      </c>
      <c r="E4478" s="6" t="s">
        <v>431</v>
      </c>
      <c r="F4478" s="6" t="str">
        <f>IF($M4478="PADD I","PADD 1",IF($M4478="PADD II","PADD 2",IF($M4478="PADD III","PADD 3",IF($M4478="PADD IV","PADD 4",IF($M4478="PADD V","PADD 5","")))))</f>
        <v>PADD 3</v>
      </c>
      <c r="G4478" s="6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6" t="s">
        <v>510</v>
      </c>
      <c r="I4478" s="6" t="s">
        <v>1306</v>
      </c>
      <c r="J4478" s="6" t="s">
        <v>394</v>
      </c>
      <c r="K4478" s="10">
        <v>0.9379999999999999</v>
      </c>
      <c r="L4478" s="10">
        <v>9.380000000000001</v>
      </c>
      <c r="M4478" s="6" t="s">
        <v>421</v>
      </c>
      <c r="N4478" s="6">
        <f>IF(OR($G4478="FCC",$G4478="Hydrocracker",$G4478="Reformer"),IF(COUNTIFS($D:$D,$D4478,$A:$A,$A4478,$B:$B,$B4478,$G:$G,"CDU",$J:$J,"PLANNED")&gt;0,"tied","standalone"),"")</f>
        <v/>
      </c>
    </row>
    <row r="4479" spans="1:14">
      <c r="A4479" s="6">
        <v>2024</v>
      </c>
      <c r="B4479" s="6">
        <v>9</v>
      </c>
      <c r="C4479" s="6" t="s">
        <v>68</v>
      </c>
      <c r="D4479" s="6" t="s">
        <v>430</v>
      </c>
      <c r="E4479" s="6" t="s">
        <v>431</v>
      </c>
      <c r="F4479" s="6" t="str">
        <f>IF($M4479="PADD I","PADD 1",IF($M4479="PADD II","PADD 2",IF($M4479="PADD III","PADD 3",IF($M4479="PADD IV","PADD 4",IF($M4479="PADD V","PADD 5","")))))</f>
        <v>PADD 3</v>
      </c>
      <c r="G4479" s="6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6" t="s">
        <v>510</v>
      </c>
      <c r="I4479" s="6" t="s">
        <v>1307</v>
      </c>
      <c r="J4479" s="6" t="s">
        <v>394</v>
      </c>
      <c r="K4479" s="10">
        <v>0.9379999999999999</v>
      </c>
      <c r="L4479" s="10">
        <v>9.380000000000001</v>
      </c>
      <c r="M4479" s="6" t="s">
        <v>421</v>
      </c>
      <c r="N4479" s="6">
        <f>IF(OR($G4479="FCC",$G4479="Hydrocracker",$G4479="Reformer"),IF(COUNTIFS($D:$D,$D4479,$A:$A,$A4479,$B:$B,$B4479,$G:$G,"CDU",$J:$J,"PLANNED")&gt;0,"tied","standalone"),"")</f>
        <v/>
      </c>
    </row>
    <row r="4480" spans="1:14">
      <c r="A4480" s="6">
        <v>2024</v>
      </c>
      <c r="B4480" s="6">
        <v>9</v>
      </c>
      <c r="C4480" s="6" t="s">
        <v>68</v>
      </c>
      <c r="D4480" s="6" t="s">
        <v>849</v>
      </c>
      <c r="E4480" s="6" t="s">
        <v>441</v>
      </c>
      <c r="F4480" s="6" t="str">
        <f>IF($M4480="PADD I","PADD 1",IF($M4480="PADD II","PADD 2",IF($M4480="PADD III","PADD 3",IF($M4480="PADD IV","PADD 4",IF($M4480="PADD V","PADD 5","")))))</f>
        <v>PADD 4</v>
      </c>
      <c r="G4480" s="6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6" t="s">
        <v>44</v>
      </c>
      <c r="I4480" s="6" t="s">
        <v>1114</v>
      </c>
      <c r="J4480" s="6" t="s">
        <v>394</v>
      </c>
      <c r="K4480" s="10">
        <v>0.931</v>
      </c>
      <c r="L4480" s="10">
        <v>13.3</v>
      </c>
      <c r="M4480" s="6" t="s">
        <v>480</v>
      </c>
      <c r="N4480" s="6">
        <f>IF(OR($G4480="FCC",$G4480="Hydrocracker",$G4480="Reformer"),IF(COUNTIFS($D:$D,$D4480,$A:$A,$A4480,$B:$B,$B4480,$G:$G,"CDU",$J:$J,"PLANNED")&gt;0,"tied","standalone"),"")</f>
        <v/>
      </c>
    </row>
    <row r="4481" spans="1:14">
      <c r="A4481" s="6">
        <v>2024</v>
      </c>
      <c r="B4481" s="6">
        <v>9</v>
      </c>
      <c r="C4481" s="6" t="s">
        <v>68</v>
      </c>
      <c r="D4481" s="6" t="s">
        <v>484</v>
      </c>
      <c r="E4481" s="6" t="s">
        <v>438</v>
      </c>
      <c r="F4481" s="6" t="str">
        <f>IF($M4481="PADD I","PADD 1",IF($M4481="PADD II","PADD 2",IF($M4481="PADD III","PADD 3",IF($M4481="PADD IV","PADD 4",IF($M4481="PADD V","PADD 5","")))))</f>
        <v>PADD 5</v>
      </c>
      <c r="G4481" s="6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6" t="s">
        <v>471</v>
      </c>
      <c r="I4481" s="6" t="s">
        <v>721</v>
      </c>
      <c r="J4481" s="6" t="s">
        <v>394</v>
      </c>
      <c r="K4481" s="10">
        <v>0.91</v>
      </c>
      <c r="L4481" s="10">
        <v>13</v>
      </c>
      <c r="M4481" s="6" t="s">
        <v>436</v>
      </c>
      <c r="N4481" s="6" t="str">
        <f>IF(OR($G4481="FCC",$G4481="Hydrocracker",$G4481="Reformer"),IF(COUNTIFS($D:$D,$D4481,$A:$A,$A4481,$B:$B,$B4481,$G:$G,"CDU",$J:$J,"PLANNED")&gt;0,"tied","standalone"),"")</f>
        <v>standalone</v>
      </c>
    </row>
    <row r="4482" spans="1:14">
      <c r="A4482" s="6">
        <v>2024</v>
      </c>
      <c r="B4482" s="6">
        <v>9</v>
      </c>
      <c r="C4482" s="6" t="s">
        <v>68</v>
      </c>
      <c r="D4482" s="6" t="s">
        <v>518</v>
      </c>
      <c r="E4482" s="6" t="s">
        <v>419</v>
      </c>
      <c r="F4482" s="6" t="str">
        <f>IF($M4482="PADD I","PADD 1",IF($M4482="PADD II","PADD 2",IF($M4482="PADD III","PADD 3",IF($M4482="PADD IV","PADD 4",IF($M4482="PADD V","PADD 5","")))))</f>
        <v>PADD 3</v>
      </c>
      <c r="G4482" s="6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6" t="s">
        <v>426</v>
      </c>
      <c r="I4482" s="6" t="s">
        <v>519</v>
      </c>
      <c r="J4482" s="6" t="s">
        <v>394</v>
      </c>
      <c r="K4482" s="10">
        <v>0.9</v>
      </c>
      <c r="L4482" s="10">
        <v>30</v>
      </c>
      <c r="M4482" s="6" t="s">
        <v>421</v>
      </c>
      <c r="N4482" s="6" t="str">
        <f>IF(OR($G4482="FCC",$G4482="Hydrocracker",$G4482="Reformer"),IF(COUNTIFS($D:$D,$D4482,$A:$A,$A4482,$B:$B,$B4482,$G:$G,"CDU",$J:$J,"PLANNED")&gt;0,"tied","standalone"),"")</f>
        <v>standalone</v>
      </c>
    </row>
    <row r="4483" spans="1:14">
      <c r="A4483" s="6">
        <v>2024</v>
      </c>
      <c r="B4483" s="6">
        <v>9</v>
      </c>
      <c r="C4483" s="6" t="s">
        <v>68</v>
      </c>
      <c r="D4483" s="6" t="s">
        <v>518</v>
      </c>
      <c r="E4483" s="6" t="s">
        <v>419</v>
      </c>
      <c r="F4483" s="6" t="str">
        <f>IF($M4483="PADD I","PADD 1",IF($M4483="PADD II","PADD 2",IF($M4483="PADD III","PADD 3",IF($M4483="PADD IV","PADD 4",IF($M4483="PADD V","PADD 5","")))))</f>
        <v>PADD 3</v>
      </c>
      <c r="G4483" s="6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6" t="s">
        <v>426</v>
      </c>
      <c r="I4483" s="6" t="s">
        <v>523</v>
      </c>
      <c r="J4483" s="6" t="s">
        <v>394</v>
      </c>
      <c r="K4483" s="10">
        <v>0.9</v>
      </c>
      <c r="L4483" s="10">
        <v>30</v>
      </c>
      <c r="M4483" s="6" t="s">
        <v>421</v>
      </c>
      <c r="N4483" s="6" t="str">
        <f>IF(OR($G4483="FCC",$G4483="Hydrocracker",$G4483="Reformer"),IF(COUNTIFS($D:$D,$D4483,$A:$A,$A4483,$B:$B,$B4483,$G:$G,"CDU",$J:$J,"PLANNED")&gt;0,"tied","standalone"),"")</f>
        <v>standalone</v>
      </c>
    </row>
    <row r="4484" spans="1:14">
      <c r="A4484" s="6">
        <v>2024</v>
      </c>
      <c r="B4484" s="6">
        <v>9</v>
      </c>
      <c r="C4484" s="6" t="s">
        <v>68</v>
      </c>
      <c r="D4484" s="6" t="s">
        <v>581</v>
      </c>
      <c r="E4484" s="6" t="s">
        <v>582</v>
      </c>
      <c r="F4484" s="6" t="str">
        <f>IF($M4484="PADD I","PADD 1",IF($M4484="PADD II","PADD 2",IF($M4484="PADD III","PADD 3",IF($M4484="PADD IV","PADD 4",IF($M4484="PADD V","PADD 5","")))))</f>
        <v>PADD 5</v>
      </c>
      <c r="G4484" s="6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6" t="s">
        <v>44</v>
      </c>
      <c r="I4484" s="6" t="s">
        <v>1179</v>
      </c>
      <c r="J4484" s="6" t="s">
        <v>394</v>
      </c>
      <c r="K4484" s="10">
        <v>0.9</v>
      </c>
      <c r="L4484" s="10">
        <v>30</v>
      </c>
      <c r="M4484" s="6" t="s">
        <v>436</v>
      </c>
      <c r="N4484" s="6">
        <f>IF(OR($G4484="FCC",$G4484="Hydrocracker",$G4484="Reformer"),IF(COUNTIFS($D:$D,$D4484,$A:$A,$A4484,$B:$B,$B4484,$G:$G,"CDU",$J:$J,"PLANNED")&gt;0,"tied","standalone"),"")</f>
        <v/>
      </c>
    </row>
    <row r="4485" spans="1:14">
      <c r="A4485" s="6">
        <v>2024</v>
      </c>
      <c r="B4485" s="6">
        <v>9</v>
      </c>
      <c r="C4485" s="6" t="s">
        <v>68</v>
      </c>
      <c r="D4485" s="6" t="s">
        <v>1289</v>
      </c>
      <c r="E4485" s="6" t="s">
        <v>922</v>
      </c>
      <c r="F4485" s="6" t="str">
        <f>IF($M4485="PADD I","PADD 1",IF($M4485="PADD II","PADD 2",IF($M4485="PADD III","PADD 3",IF($M4485="PADD IV","PADD 4",IF($M4485="PADD V","PADD 5","")))))</f>
        <v>PADD 4</v>
      </c>
      <c r="G4485" s="6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6" t="s">
        <v>471</v>
      </c>
      <c r="I4485" s="6" t="s">
        <v>15</v>
      </c>
      <c r="J4485" s="6" t="s">
        <v>398</v>
      </c>
      <c r="K4485" s="10">
        <v>0.88</v>
      </c>
      <c r="L4485" s="10">
        <v>2.2</v>
      </c>
      <c r="M4485" s="6" t="s">
        <v>480</v>
      </c>
      <c r="N4485" s="6" t="str">
        <f>IF(OR($G4485="FCC",$G4485="Hydrocracker",$G4485="Reformer"),IF(COUNTIFS($D:$D,$D4485,$A:$A,$A4485,$B:$B,$B4485,$G:$G,"CDU",$J:$J,"PLANNED")&gt;0,"tied","standalone"),"")</f>
        <v>tied</v>
      </c>
    </row>
    <row r="4486" spans="1:14">
      <c r="A4486" s="6">
        <v>2024</v>
      </c>
      <c r="B4486" s="6">
        <v>9</v>
      </c>
      <c r="C4486" s="6" t="s">
        <v>68</v>
      </c>
      <c r="D4486" s="6" t="s">
        <v>682</v>
      </c>
      <c r="E4486" s="6" t="s">
        <v>683</v>
      </c>
      <c r="F4486" s="6" t="str">
        <f>IF($M4486="PADD I","PADD 1",IF($M4486="PADD II","PADD 2",IF($M4486="PADD III","PADD 3",IF($M4486="PADD IV","PADD 4",IF($M4486="PADD V","PADD 5","")))))</f>
        <v>PADD 4</v>
      </c>
      <c r="G4486" s="6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6" t="s">
        <v>426</v>
      </c>
      <c r="I4486" s="6" t="s">
        <v>684</v>
      </c>
      <c r="J4486" s="6" t="s">
        <v>394</v>
      </c>
      <c r="K4486" s="10">
        <v>0.875</v>
      </c>
      <c r="L4486" s="10">
        <v>12.5</v>
      </c>
      <c r="M4486" s="6" t="s">
        <v>480</v>
      </c>
      <c r="N4486" s="6" t="str">
        <f>IF(OR($G4486="FCC",$G4486="Hydrocracker",$G4486="Reformer"),IF(COUNTIFS($D:$D,$D4486,$A:$A,$A4486,$B:$B,$B4486,$G:$G,"CDU",$J:$J,"PLANNED")&gt;0,"tied","standalone"),"")</f>
        <v>standalone</v>
      </c>
    </row>
    <row r="4487" spans="1:14">
      <c r="A4487" s="6">
        <v>2024</v>
      </c>
      <c r="B4487" s="6">
        <v>9</v>
      </c>
      <c r="C4487" s="6" t="s">
        <v>68</v>
      </c>
      <c r="D4487" s="6" t="s">
        <v>928</v>
      </c>
      <c r="E4487" s="6" t="s">
        <v>502</v>
      </c>
      <c r="F4487" s="6" t="str">
        <f>IF($M4487="PADD I","PADD 1",IF($M4487="PADD II","PADD 2",IF($M4487="PADD III","PADD 3",IF($M4487="PADD IV","PADD 4",IF($M4487="PADD V","PADD 5","")))))</f>
        <v>PADD 2</v>
      </c>
      <c r="G4487" s="6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6" t="s">
        <v>485</v>
      </c>
      <c r="I4487" s="6" t="s">
        <v>491</v>
      </c>
      <c r="J4487" s="6" t="s">
        <v>394</v>
      </c>
      <c r="K4487" s="10">
        <v>0.85</v>
      </c>
      <c r="L4487" s="10">
        <v>8.5</v>
      </c>
      <c r="M4487" s="6" t="s">
        <v>425</v>
      </c>
      <c r="N4487" s="6">
        <f>IF(OR($G4487="FCC",$G4487="Hydrocracker",$G4487="Reformer"),IF(COUNTIFS($D:$D,$D4487,$A:$A,$A4487,$B:$B,$B4487,$G:$G,"CDU",$J:$J,"PLANNED")&gt;0,"tied","standalone"),"")</f>
        <v/>
      </c>
    </row>
    <row r="4488" spans="1:14">
      <c r="A4488" s="6">
        <v>2024</v>
      </c>
      <c r="B4488" s="6">
        <v>9</v>
      </c>
      <c r="C4488" s="6" t="s">
        <v>68</v>
      </c>
      <c r="D4488" s="6" t="s">
        <v>849</v>
      </c>
      <c r="E4488" s="6" t="s">
        <v>441</v>
      </c>
      <c r="F4488" s="6" t="str">
        <f>IF($M4488="PADD I","PADD 1",IF($M4488="PADD II","PADD 2",IF($M4488="PADD III","PADD 3",IF($M4488="PADD IV","PADD 4",IF($M4488="PADD V","PADD 5","")))))</f>
        <v>PADD 4</v>
      </c>
      <c r="G4488" s="6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6" t="s">
        <v>428</v>
      </c>
      <c r="I4488" s="6" t="s">
        <v>429</v>
      </c>
      <c r="J4488" s="6" t="s">
        <v>394</v>
      </c>
      <c r="K4488" s="10">
        <v>0.825</v>
      </c>
      <c r="L4488" s="10">
        <v>27.5</v>
      </c>
      <c r="M4488" s="6" t="s">
        <v>480</v>
      </c>
      <c r="N4488" s="6">
        <f>IF(OR($G4488="FCC",$G4488="Hydrocracker",$G4488="Reformer"),IF(COUNTIFS($D:$D,$D4488,$A:$A,$A4488,$B:$B,$B4488,$G:$G,"CDU",$J:$J,"PLANNED")&gt;0,"tied","standalone"),"")</f>
        <v/>
      </c>
    </row>
    <row r="4489" spans="1:14">
      <c r="A4489" s="6">
        <v>2024</v>
      </c>
      <c r="B4489" s="6">
        <v>9</v>
      </c>
      <c r="C4489" s="6" t="s">
        <v>68</v>
      </c>
      <c r="D4489" s="6" t="s">
        <v>581</v>
      </c>
      <c r="E4489" s="6" t="s">
        <v>582</v>
      </c>
      <c r="F4489" s="6" t="str">
        <f>IF($M4489="PADD I","PADD 1",IF($M4489="PADD II","PADD 2",IF($M4489="PADD III","PADD 3",IF($M4489="PADD IV","PADD 4",IF($M4489="PADD V","PADD 5","")))))</f>
        <v>PADD 5</v>
      </c>
      <c r="G4489" s="6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6" t="s">
        <v>485</v>
      </c>
      <c r="I4489" s="6" t="s">
        <v>664</v>
      </c>
      <c r="J4489" s="6" t="s">
        <v>394</v>
      </c>
      <c r="K4489" s="10">
        <v>0.8100000000000001</v>
      </c>
      <c r="L4489" s="10">
        <v>27</v>
      </c>
      <c r="M4489" s="6" t="s">
        <v>436</v>
      </c>
      <c r="N4489" s="6">
        <f>IF(OR($G4489="FCC",$G4489="Hydrocracker",$G4489="Reformer"),IF(COUNTIFS($D:$D,$D4489,$A:$A,$A4489,$B:$B,$B4489,$G:$G,"CDU",$J:$J,"PLANNED")&gt;0,"tied","standalone"),"")</f>
        <v/>
      </c>
    </row>
    <row r="4490" spans="1:14">
      <c r="A4490" s="6">
        <v>2024</v>
      </c>
      <c r="B4490" s="6">
        <v>9</v>
      </c>
      <c r="C4490" s="6" t="s">
        <v>68</v>
      </c>
      <c r="D4490" s="6" t="s">
        <v>682</v>
      </c>
      <c r="E4490" s="6" t="s">
        <v>683</v>
      </c>
      <c r="F4490" s="6" t="str">
        <f>IF($M4490="PADD I","PADD 1",IF($M4490="PADD II","PADD 2",IF($M4490="PADD III","PADD 3",IF($M4490="PADD IV","PADD 4",IF($M4490="PADD V","PADD 5","")))))</f>
        <v>PADD 4</v>
      </c>
      <c r="G4490" s="6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6" t="s">
        <v>426</v>
      </c>
      <c r="I4490" s="6" t="s">
        <v>684</v>
      </c>
      <c r="J4490" s="6" t="s">
        <v>394</v>
      </c>
      <c r="K4490" s="10">
        <v>0.805</v>
      </c>
      <c r="L4490" s="10">
        <v>11.5</v>
      </c>
      <c r="M4490" s="6" t="s">
        <v>480</v>
      </c>
      <c r="N4490" s="6" t="str">
        <f>IF(OR($G4490="FCC",$G4490="Hydrocracker",$G4490="Reformer"),IF(COUNTIFS($D:$D,$D4490,$A:$A,$A4490,$B:$B,$B4490,$G:$G,"CDU",$J:$J,"PLANNED")&gt;0,"tied","standalone"),"")</f>
        <v>standalone</v>
      </c>
    </row>
    <row r="4491" spans="1:14">
      <c r="A4491" s="6">
        <v>2024</v>
      </c>
      <c r="B4491" s="6">
        <v>9</v>
      </c>
      <c r="C4491" s="6" t="s">
        <v>68</v>
      </c>
      <c r="D4491" s="6" t="s">
        <v>682</v>
      </c>
      <c r="E4491" s="6" t="s">
        <v>683</v>
      </c>
      <c r="F4491" s="6" t="str">
        <f>IF($M4491="PADD I","PADD 1",IF($M4491="PADD II","PADD 2",IF($M4491="PADD III","PADD 3",IF($M4491="PADD IV","PADD 4",IF($M4491="PADD V","PADD 5","")))))</f>
        <v>PADD 4</v>
      </c>
      <c r="G4491" s="6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6" t="s">
        <v>44</v>
      </c>
      <c r="I4491" s="6" t="s">
        <v>724</v>
      </c>
      <c r="J4491" s="6" t="s">
        <v>394</v>
      </c>
      <c r="K4491" s="10">
        <v>0.805</v>
      </c>
      <c r="L4491" s="10">
        <v>11.5</v>
      </c>
      <c r="M4491" s="6" t="s">
        <v>480</v>
      </c>
      <c r="N4491" s="6">
        <f>IF(OR($G4491="FCC",$G4491="Hydrocracker",$G4491="Reformer"),IF(COUNTIFS($D:$D,$D4491,$A:$A,$A4491,$B:$B,$B4491,$G:$G,"CDU",$J:$J,"PLANNED")&gt;0,"tied","standalone"),"")</f>
        <v/>
      </c>
    </row>
    <row r="4492" spans="1:14">
      <c r="A4492" s="6">
        <v>2024</v>
      </c>
      <c r="B4492" s="6">
        <v>9</v>
      </c>
      <c r="C4492" s="6" t="s">
        <v>68</v>
      </c>
      <c r="D4492" s="6" t="s">
        <v>378</v>
      </c>
      <c r="E4492" s="6" t="s">
        <v>477</v>
      </c>
      <c r="F4492" s="6" t="str">
        <f>IF($M4492="PADD I","PADD 1",IF($M4492="PADD II","PADD 2",IF($M4492="PADD III","PADD 3",IF($M4492="PADD IV","PADD 4",IF($M4492="PADD V","PADD 5","")))))</f>
        <v>PADD 3</v>
      </c>
      <c r="G4492" s="6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6" t="s">
        <v>485</v>
      </c>
      <c r="I4492" s="6" t="s">
        <v>1308</v>
      </c>
      <c r="J4492" s="6" t="s">
        <v>398</v>
      </c>
      <c r="K4492" s="10">
        <v>0.78</v>
      </c>
      <c r="L4492" s="10">
        <v>6</v>
      </c>
      <c r="M4492" s="6" t="s">
        <v>421</v>
      </c>
      <c r="N4492" s="6">
        <f>IF(OR($G4492="FCC",$G4492="Hydrocracker",$G4492="Reformer"),IF(COUNTIFS($D:$D,$D4492,$A:$A,$A4492,$B:$B,$B4492,$G:$G,"CDU",$J:$J,"PLANNED")&gt;0,"tied","standalone"),"")</f>
        <v/>
      </c>
    </row>
    <row r="4493" spans="1:14">
      <c r="A4493" s="6">
        <v>2024</v>
      </c>
      <c r="B4493" s="6">
        <v>9</v>
      </c>
      <c r="C4493" s="6" t="s">
        <v>68</v>
      </c>
      <c r="D4493" s="6" t="s">
        <v>581</v>
      </c>
      <c r="E4493" s="6" t="s">
        <v>582</v>
      </c>
      <c r="F4493" s="6" t="str">
        <f>IF($M4493="PADD I","PADD 1",IF($M4493="PADD II","PADD 2",IF($M4493="PADD III","PADD 3",IF($M4493="PADD IV","PADD 4",IF($M4493="PADD V","PADD 5","")))))</f>
        <v>PADD 5</v>
      </c>
      <c r="G4493" s="6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6" t="s">
        <v>510</v>
      </c>
      <c r="I4493" s="6" t="s">
        <v>666</v>
      </c>
      <c r="J4493" s="6" t="s">
        <v>394</v>
      </c>
      <c r="K4493" s="10">
        <v>0.765</v>
      </c>
      <c r="L4493" s="10">
        <v>25.5</v>
      </c>
      <c r="M4493" s="6" t="s">
        <v>436</v>
      </c>
      <c r="N4493" s="6">
        <f>IF(OR($G4493="FCC",$G4493="Hydrocracker",$G4493="Reformer"),IF(COUNTIFS($D:$D,$D4493,$A:$A,$A4493,$B:$B,$B4493,$G:$G,"CDU",$J:$J,"PLANNED")&gt;0,"tied","standalone"),"")</f>
        <v/>
      </c>
    </row>
    <row r="4494" spans="1:14">
      <c r="A4494" s="6">
        <v>2024</v>
      </c>
      <c r="B4494" s="6">
        <v>9</v>
      </c>
      <c r="C4494" s="6" t="s">
        <v>68</v>
      </c>
      <c r="D4494" s="6" t="s">
        <v>581</v>
      </c>
      <c r="E4494" s="6" t="s">
        <v>582</v>
      </c>
      <c r="F4494" s="6" t="str">
        <f>IF($M4494="PADD I","PADD 1",IF($M4494="PADD II","PADD 2",IF($M4494="PADD III","PADD 3",IF($M4494="PADD IV","PADD 4",IF($M4494="PADD V","PADD 5","")))))</f>
        <v>PADD 5</v>
      </c>
      <c r="G4494" s="6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6" t="s">
        <v>485</v>
      </c>
      <c r="I4494" s="6" t="s">
        <v>649</v>
      </c>
      <c r="J4494" s="6" t="s">
        <v>394</v>
      </c>
      <c r="K4494" s="10">
        <v>0.75</v>
      </c>
      <c r="L4494" s="10">
        <v>25</v>
      </c>
      <c r="M4494" s="6" t="s">
        <v>436</v>
      </c>
      <c r="N4494" s="6">
        <f>IF(OR($G4494="FCC",$G4494="Hydrocracker",$G4494="Reformer"),IF(COUNTIFS($D:$D,$D4494,$A:$A,$A4494,$B:$B,$B4494,$G:$G,"CDU",$J:$J,"PLANNED")&gt;0,"tied","standalone"),"")</f>
        <v/>
      </c>
    </row>
    <row r="4495" spans="1:14">
      <c r="A4495" s="6">
        <v>2024</v>
      </c>
      <c r="B4495" s="6">
        <v>9</v>
      </c>
      <c r="C4495" s="6" t="s">
        <v>68</v>
      </c>
      <c r="D4495" s="6" t="s">
        <v>581</v>
      </c>
      <c r="E4495" s="6" t="s">
        <v>582</v>
      </c>
      <c r="F4495" s="6" t="str">
        <f>IF($M4495="PADD I","PADD 1",IF($M4495="PADD II","PADD 2",IF($M4495="PADD III","PADD 3",IF($M4495="PADD IV","PADD 4",IF($M4495="PADD V","PADD 5","")))))</f>
        <v>PADD 5</v>
      </c>
      <c r="G4495" s="6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6" t="s">
        <v>494</v>
      </c>
      <c r="I4495" s="6" t="s">
        <v>14</v>
      </c>
      <c r="J4495" s="6" t="s">
        <v>394</v>
      </c>
      <c r="K4495" s="10">
        <v>0.72</v>
      </c>
      <c r="L4495" s="10">
        <v>24</v>
      </c>
      <c r="M4495" s="6" t="s">
        <v>436</v>
      </c>
      <c r="N4495" s="6" t="str">
        <f>IF(OR($G4495="FCC",$G4495="Hydrocracker",$G4495="Reformer"),IF(COUNTIFS($D:$D,$D4495,$A:$A,$A4495,$B:$B,$B4495,$G:$G,"CDU",$J:$J,"PLANNED")&gt;0,"tied","standalone"),"")</f>
        <v>standalone</v>
      </c>
    </row>
    <row r="4496" spans="1:14">
      <c r="A4496" s="6">
        <v>2024</v>
      </c>
      <c r="B4496" s="6">
        <v>9</v>
      </c>
      <c r="C4496" s="6" t="s">
        <v>68</v>
      </c>
      <c r="D4496" s="6" t="s">
        <v>581</v>
      </c>
      <c r="E4496" s="6" t="s">
        <v>582</v>
      </c>
      <c r="F4496" s="6" t="str">
        <f>IF($M4496="PADD I","PADD 1",IF($M4496="PADD II","PADD 2",IF($M4496="PADD III","PADD 3",IF($M4496="PADD IV","PADD 4",IF($M4496="PADD V","PADD 5","")))))</f>
        <v>PADD 5</v>
      </c>
      <c r="G4496" s="6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6" t="s">
        <v>44</v>
      </c>
      <c r="I4496" s="6" t="s">
        <v>668</v>
      </c>
      <c r="J4496" s="6" t="s">
        <v>394</v>
      </c>
      <c r="K4496" s="10">
        <v>0.6</v>
      </c>
      <c r="L4496" s="10">
        <v>20</v>
      </c>
      <c r="M4496" s="6" t="s">
        <v>436</v>
      </c>
      <c r="N4496" s="6">
        <f>IF(OR($G4496="FCC",$G4496="Hydrocracker",$G4496="Reformer"),IF(COUNTIFS($D:$D,$D4496,$A:$A,$A4496,$B:$B,$B4496,$G:$G,"CDU",$J:$J,"PLANNED")&gt;0,"tied","standalone"),"")</f>
        <v/>
      </c>
    </row>
    <row r="4497" spans="1:14">
      <c r="A4497" s="6">
        <v>2024</v>
      </c>
      <c r="B4497" s="6">
        <v>9</v>
      </c>
      <c r="C4497" s="6" t="s">
        <v>68</v>
      </c>
      <c r="D4497" s="6" t="s">
        <v>430</v>
      </c>
      <c r="E4497" s="6" t="s">
        <v>431</v>
      </c>
      <c r="F4497" s="6" t="str">
        <f>IF($M4497="PADD I","PADD 1",IF($M4497="PADD II","PADD 2",IF($M4497="PADD III","PADD 3",IF($M4497="PADD IV","PADD 4",IF($M4497="PADD V","PADD 5","")))))</f>
        <v>PADD 3</v>
      </c>
      <c r="G4497" s="6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6" t="s">
        <v>687</v>
      </c>
      <c r="I4497" s="6" t="s">
        <v>1309</v>
      </c>
      <c r="J4497" s="6" t="s">
        <v>394</v>
      </c>
      <c r="K4497" s="10">
        <v>0.5</v>
      </c>
      <c r="L4497" s="10">
        <v>5</v>
      </c>
      <c r="M4497" s="6" t="s">
        <v>421</v>
      </c>
      <c r="N4497" s="6">
        <f>IF(OR($G4497="FCC",$G4497="Hydrocracker",$G4497="Reformer"),IF(COUNTIFS($D:$D,$D4497,$A:$A,$A4497,$B:$B,$B4497,$G:$G,"CDU",$J:$J,"PLANNED")&gt;0,"tied","standalone"),"")</f>
        <v/>
      </c>
    </row>
    <row r="4498" spans="1:14">
      <c r="A4498" s="6">
        <v>2024</v>
      </c>
      <c r="B4498" s="6">
        <v>9</v>
      </c>
      <c r="C4498" s="6" t="s">
        <v>68</v>
      </c>
      <c r="D4498" s="6" t="s">
        <v>1289</v>
      </c>
      <c r="E4498" s="6" t="s">
        <v>922</v>
      </c>
      <c r="F4498" s="6" t="str">
        <f>IF($M4498="PADD I","PADD 1",IF($M4498="PADD II","PADD 2",IF($M4498="PADD III","PADD 3",IF($M4498="PADD IV","PADD 4",IF($M4498="PADD V","PADD 5","")))))</f>
        <v>PADD 4</v>
      </c>
      <c r="G4498" s="6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6" t="s">
        <v>618</v>
      </c>
      <c r="I4498" s="6" t="s">
        <v>654</v>
      </c>
      <c r="J4498" s="6" t="s">
        <v>398</v>
      </c>
      <c r="K4498" s="10">
        <v>0.4</v>
      </c>
      <c r="L4498" s="10">
        <v>1</v>
      </c>
      <c r="M4498" s="6" t="s">
        <v>480</v>
      </c>
      <c r="N4498" s="6">
        <f>IF(OR($G4498="FCC",$G4498="Hydrocracker",$G4498="Reformer"),IF(COUNTIFS($D:$D,$D4498,$A:$A,$A4498,$B:$B,$B4498,$G:$G,"CDU",$J:$J,"PLANNED")&gt;0,"tied","standalone"),"")</f>
        <v/>
      </c>
    </row>
    <row r="4499" spans="1:14">
      <c r="A4499" s="6">
        <v>2024</v>
      </c>
      <c r="B4499" s="6">
        <v>9</v>
      </c>
      <c r="C4499" s="6" t="s">
        <v>68</v>
      </c>
      <c r="D4499" s="6" t="s">
        <v>849</v>
      </c>
      <c r="E4499" s="6" t="s">
        <v>441</v>
      </c>
      <c r="F4499" s="6" t="str">
        <f>IF($M4499="PADD I","PADD 1",IF($M4499="PADD II","PADD 2",IF($M4499="PADD III","PADD 3",IF($M4499="PADD IV","PADD 4",IF($M4499="PADD V","PADD 5","")))))</f>
        <v>PADD 4</v>
      </c>
      <c r="G4499" s="6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6" t="s">
        <v>44</v>
      </c>
      <c r="I4499" s="6" t="s">
        <v>1114</v>
      </c>
      <c r="J4499" s="6" t="s">
        <v>394</v>
      </c>
      <c r="K4499" s="10">
        <v>0.399</v>
      </c>
      <c r="L4499" s="10">
        <v>13.3</v>
      </c>
      <c r="M4499" s="6" t="s">
        <v>480</v>
      </c>
      <c r="N4499" s="6">
        <f>IF(OR($G4499="FCC",$G4499="Hydrocracker",$G4499="Reformer"),IF(COUNTIFS($D:$D,$D4499,$A:$A,$A4499,$B:$B,$B4499,$G:$G,"CDU",$J:$J,"PLANNED")&gt;0,"tied","standalone"),"")</f>
        <v/>
      </c>
    </row>
    <row r="4500" spans="1:14">
      <c r="A4500" s="6">
        <v>2024</v>
      </c>
      <c r="B4500" s="6">
        <v>9</v>
      </c>
      <c r="C4500" s="6" t="s">
        <v>68</v>
      </c>
      <c r="D4500" s="6" t="s">
        <v>49</v>
      </c>
      <c r="E4500" s="6" t="s">
        <v>438</v>
      </c>
      <c r="F4500" s="6" t="str">
        <f>IF($M4500="PADD I","PADD 1",IF($M4500="PADD II","PADD 2",IF($M4500="PADD III","PADD 3",IF($M4500="PADD IV","PADD 4",IF($M4500="PADD V","PADD 5","")))))</f>
        <v>PADD 2</v>
      </c>
      <c r="G4500" s="6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6" t="s">
        <v>485</v>
      </c>
      <c r="I4500" s="6" t="s">
        <v>681</v>
      </c>
      <c r="J4500" s="6" t="s">
        <v>394</v>
      </c>
      <c r="K4500" s="10">
        <v>0.36</v>
      </c>
      <c r="L4500" s="10">
        <v>12</v>
      </c>
      <c r="M4500" s="6" t="s">
        <v>425</v>
      </c>
      <c r="N4500" s="6">
        <f>IF(OR($G4500="FCC",$G4500="Hydrocracker",$G4500="Reformer"),IF(COUNTIFS($D:$D,$D4500,$A:$A,$A4500,$B:$B,$B4500,$G:$G,"CDU",$J:$J,"PLANNED")&gt;0,"tied","standalone"),"")</f>
        <v/>
      </c>
    </row>
    <row r="4501" spans="1:14">
      <c r="A4501" s="6">
        <v>2024</v>
      </c>
      <c r="B4501" s="6">
        <v>9</v>
      </c>
      <c r="C4501" s="6" t="s">
        <v>68</v>
      </c>
      <c r="D4501" s="6" t="s">
        <v>430</v>
      </c>
      <c r="E4501" s="6" t="s">
        <v>431</v>
      </c>
      <c r="F4501" s="6" t="str">
        <f>IF($M4501="PADD I","PADD 1",IF($M4501="PADD II","PADD 2",IF($M4501="PADD III","PADD 3",IF($M4501="PADD IV","PADD 4",IF($M4501="PADD V","PADD 5","")))))</f>
        <v>PADD 3</v>
      </c>
      <c r="G4501" s="6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6" t="s">
        <v>947</v>
      </c>
      <c r="I4501" s="6" t="s">
        <v>1310</v>
      </c>
      <c r="J4501" s="6" t="s">
        <v>394</v>
      </c>
      <c r="K4501" s="10">
        <v>0.35</v>
      </c>
      <c r="L4501" s="10">
        <v>3.5</v>
      </c>
      <c r="M4501" s="6" t="s">
        <v>421</v>
      </c>
      <c r="N4501" s="6">
        <f>IF(OR($G4501="FCC",$G4501="Hydrocracker",$G4501="Reformer"),IF(COUNTIFS($D:$D,$D4501,$A:$A,$A4501,$B:$B,$B4501,$G:$G,"CDU",$J:$J,"PLANNED")&gt;0,"tied","standalone"),"")</f>
        <v/>
      </c>
    </row>
    <row r="4502" spans="1:14">
      <c r="A4502" s="6">
        <v>2024</v>
      </c>
      <c r="B4502" s="6">
        <v>9</v>
      </c>
      <c r="C4502" s="6" t="s">
        <v>68</v>
      </c>
      <c r="D4502" s="6" t="s">
        <v>772</v>
      </c>
      <c r="E4502" s="6" t="s">
        <v>502</v>
      </c>
      <c r="F4502" s="6" t="str">
        <f>IF($M4502="PADD I","PADD 1",IF($M4502="PADD II","PADD 2",IF($M4502="PADD III","PADD 3",IF($M4502="PADD IV","PADD 4",IF($M4502="PADD V","PADD 5","")))))</f>
        <v>PADD 4</v>
      </c>
      <c r="G4502" s="6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6" t="s">
        <v>510</v>
      </c>
      <c r="I4502" s="6" t="s">
        <v>1159</v>
      </c>
      <c r="J4502" s="6" t="s">
        <v>394</v>
      </c>
      <c r="K4502" s="10">
        <v>0.203</v>
      </c>
      <c r="L4502" s="10">
        <v>2.9</v>
      </c>
      <c r="M4502" s="6" t="s">
        <v>480</v>
      </c>
      <c r="N4502" s="6">
        <f>IF(OR($G4502="FCC",$G4502="Hydrocracker",$G4502="Reformer"),IF(COUNTIFS($D:$D,$D4502,$A:$A,$A4502,$B:$B,$B4502,$G:$G,"CDU",$J:$J,"PLANNED")&gt;0,"tied","standalone"),"")</f>
        <v/>
      </c>
    </row>
    <row r="4503" spans="1:14">
      <c r="A4503" s="6">
        <v>2024</v>
      </c>
      <c r="B4503" s="6">
        <v>9</v>
      </c>
      <c r="C4503" s="6" t="s">
        <v>68</v>
      </c>
      <c r="D4503" s="6" t="s">
        <v>430</v>
      </c>
      <c r="E4503" s="6" t="s">
        <v>431</v>
      </c>
      <c r="F4503" s="6" t="str">
        <f>IF($M4503="PADD I","PADD 1",IF($M4503="PADD II","PADD 2",IF($M4503="PADD III","PADD 3",IF($M4503="PADD IV","PADD 4",IF($M4503="PADD V","PADD 5","")))))</f>
        <v>PADD 3</v>
      </c>
      <c r="G4503" s="6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6" t="s">
        <v>44</v>
      </c>
      <c r="I4503" s="6" t="s">
        <v>1311</v>
      </c>
      <c r="J4503" s="6" t="s">
        <v>394</v>
      </c>
      <c r="K4503" s="10">
        <v>0.15</v>
      </c>
      <c r="L4503" s="10">
        <v>1.5</v>
      </c>
      <c r="M4503" s="6" t="s">
        <v>421</v>
      </c>
      <c r="N4503" s="6">
        <f>IF(OR($G4503="FCC",$G4503="Hydrocracker",$G4503="Reformer"),IF(COUNTIFS($D:$D,$D4503,$A:$A,$A4503,$B:$B,$B4503,$G:$G,"CDU",$J:$J,"PLANNED")&gt;0,"tied","standalone"),"")</f>
        <v/>
      </c>
    </row>
    <row r="4504" spans="1:14">
      <c r="A4504" s="6">
        <v>2024</v>
      </c>
      <c r="B4504" s="6">
        <v>10</v>
      </c>
      <c r="C4504" s="6" t="s">
        <v>69</v>
      </c>
      <c r="D4504" s="6" t="s">
        <v>592</v>
      </c>
      <c r="E4504" s="6" t="s">
        <v>593</v>
      </c>
      <c r="F4504" s="6" t="str">
        <f>IF($M4504="PADD I","PADD 1",IF($M4504="PADD II","PADD 2",IF($M4504="PADD III","PADD 3",IF($M4504="PADD IV","PADD 4",IF($M4504="PADD V","PADD 5","")))))</f>
        <v>PADD 2</v>
      </c>
      <c r="G4504" s="6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6" t="s">
        <v>39</v>
      </c>
      <c r="I4504" s="6" t="s">
        <v>924</v>
      </c>
      <c r="J4504" s="6" t="s">
        <v>398</v>
      </c>
      <c r="K4504" s="10">
        <v>250</v>
      </c>
      <c r="L4504" s="10">
        <v>250</v>
      </c>
      <c r="M4504" s="6" t="s">
        <v>425</v>
      </c>
      <c r="N4504" s="6">
        <f>IF(OR($G4504="FCC",$G4504="Hydrocracker",$G4504="Reformer"),IF(COUNTIFS($D:$D,$D4504,$A:$A,$A4504,$B:$B,$B4504,$G:$G,"CDU",$J:$J,"PLANNED")&gt;0,"tied","standalone"),"")</f>
        <v/>
      </c>
    </row>
    <row r="4505" spans="1:14">
      <c r="A4505" s="6">
        <v>2024</v>
      </c>
      <c r="B4505" s="6">
        <v>10</v>
      </c>
      <c r="C4505" s="6" t="s">
        <v>69</v>
      </c>
      <c r="D4505" s="6" t="s">
        <v>52</v>
      </c>
      <c r="E4505" s="6" t="s">
        <v>441</v>
      </c>
      <c r="F4505" s="6" t="str">
        <f>IF($M4505="PADD I","PADD 1",IF($M4505="PADD II","PADD 2",IF($M4505="PADD III","PADD 3",IF($M4505="PADD IV","PADD 4",IF($M4505="PADD V","PADD 5","")))))</f>
        <v>PADD 5</v>
      </c>
      <c r="G4505" s="6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6" t="s">
        <v>428</v>
      </c>
      <c r="I4505" s="6" t="s">
        <v>1085</v>
      </c>
      <c r="J4505" s="6" t="s">
        <v>394</v>
      </c>
      <c r="K4505" s="10">
        <v>161</v>
      </c>
      <c r="L4505" s="10">
        <v>161</v>
      </c>
      <c r="M4505" s="6" t="s">
        <v>436</v>
      </c>
      <c r="N4505" s="6">
        <f>IF(OR($G4505="FCC",$G4505="Hydrocracker",$G4505="Reformer"),IF(COUNTIFS($D:$D,$D4505,$A:$A,$A4505,$B:$B,$B4505,$G:$G,"CDU",$J:$J,"PLANNED")&gt;0,"tied","standalone"),"")</f>
        <v/>
      </c>
    </row>
    <row r="4506" spans="1:14">
      <c r="A4506" s="6">
        <v>2024</v>
      </c>
      <c r="B4506" s="6">
        <v>10</v>
      </c>
      <c r="C4506" s="6" t="s">
        <v>69</v>
      </c>
      <c r="D4506" s="6" t="s">
        <v>1113</v>
      </c>
      <c r="E4506" s="6" t="s">
        <v>438</v>
      </c>
      <c r="F4506" s="6" t="str">
        <f>IF($M4506="PADD I","PADD 1",IF($M4506="PADD II","PADD 2",IF($M4506="PADD III","PADD 3",IF($M4506="PADD IV","PADD 4",IF($M4506="PADD V","PADD 5","")))))</f>
        <v>PADD 2</v>
      </c>
      <c r="G4506" s="6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6" t="s">
        <v>39</v>
      </c>
      <c r="I4506" s="6" t="s">
        <v>82</v>
      </c>
      <c r="J4506" s="6" t="s">
        <v>398</v>
      </c>
      <c r="K4506" s="10">
        <v>103.95</v>
      </c>
      <c r="L4506" s="10">
        <v>135</v>
      </c>
      <c r="M4506" s="6" t="s">
        <v>425</v>
      </c>
      <c r="N4506" s="6">
        <f>IF(OR($G4506="FCC",$G4506="Hydrocracker",$G4506="Reformer"),IF(COUNTIFS($D:$D,$D4506,$A:$A,$A4506,$B:$B,$B4506,$G:$G,"CDU",$J:$J,"PLANNED")&gt;0,"tied","standalone"),"")</f>
        <v/>
      </c>
    </row>
    <row r="4507" spans="1:14">
      <c r="A4507" s="6">
        <v>2024</v>
      </c>
      <c r="B4507" s="6">
        <v>10</v>
      </c>
      <c r="C4507" s="6" t="s">
        <v>69</v>
      </c>
      <c r="D4507" s="6" t="s">
        <v>592</v>
      </c>
      <c r="E4507" s="6" t="s">
        <v>593</v>
      </c>
      <c r="F4507" s="6" t="str">
        <f>IF($M4507="PADD I","PADD 1",IF($M4507="PADD II","PADD 2",IF($M4507="PADD III","PADD 3",IF($M4507="PADD IV","PADD 4",IF($M4507="PADD V","PADD 5","")))))</f>
        <v>PADD 2</v>
      </c>
      <c r="G4507" s="6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6" t="s">
        <v>485</v>
      </c>
      <c r="I4507" s="6" t="s">
        <v>491</v>
      </c>
      <c r="J4507" s="6" t="s">
        <v>394</v>
      </c>
      <c r="K4507" s="10">
        <v>102</v>
      </c>
      <c r="L4507" s="10">
        <v>102</v>
      </c>
      <c r="M4507" s="6" t="s">
        <v>425</v>
      </c>
      <c r="N4507" s="6">
        <f>IF(OR($G4507="FCC",$G4507="Hydrocracker",$G4507="Reformer"),IF(COUNTIFS($D:$D,$D4507,$A:$A,$A4507,$B:$B,$B4507,$G:$G,"CDU",$J:$J,"PLANNED")&gt;0,"tied","standalone"),"")</f>
        <v/>
      </c>
    </row>
    <row r="4508" spans="1:14">
      <c r="A4508" s="6">
        <v>2024</v>
      </c>
      <c r="B4508" s="6">
        <v>10</v>
      </c>
      <c r="C4508" s="6" t="s">
        <v>69</v>
      </c>
      <c r="D4508" s="6" t="s">
        <v>496</v>
      </c>
      <c r="E4508" s="6" t="s">
        <v>441</v>
      </c>
      <c r="F4508" s="6" t="str">
        <f>IF($M4508="PADD I","PADD 1",IF($M4508="PADD II","PADD 2",IF($M4508="PADD III","PADD 3",IF($M4508="PADD IV","PADD 4",IF($M4508="PADD V","PADD 5","")))))</f>
        <v>PADD 3</v>
      </c>
      <c r="G4508" s="6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6" t="s">
        <v>39</v>
      </c>
      <c r="I4508" s="6" t="s">
        <v>82</v>
      </c>
      <c r="J4508" s="6" t="s">
        <v>398</v>
      </c>
      <c r="K4508" s="10">
        <v>100</v>
      </c>
      <c r="L4508" s="10">
        <v>100</v>
      </c>
      <c r="M4508" s="6" t="s">
        <v>421</v>
      </c>
      <c r="N4508" s="6">
        <f>IF(OR($G4508="FCC",$G4508="Hydrocracker",$G4508="Reformer"),IF(COUNTIFS($D:$D,$D4508,$A:$A,$A4508,$B:$B,$B4508,$G:$G,"CDU",$J:$J,"PLANNED")&gt;0,"tied","standalone"),"")</f>
        <v/>
      </c>
    </row>
    <row r="4509" spans="1:14">
      <c r="A4509" s="6">
        <v>2024</v>
      </c>
      <c r="B4509" s="6">
        <v>10</v>
      </c>
      <c r="C4509" s="6" t="s">
        <v>69</v>
      </c>
      <c r="D4509" s="6" t="s">
        <v>592</v>
      </c>
      <c r="E4509" s="6" t="s">
        <v>593</v>
      </c>
      <c r="F4509" s="6" t="str">
        <f>IF($M4509="PADD I","PADD 1",IF($M4509="PADD II","PADD 2",IF($M4509="PADD III","PADD 3",IF($M4509="PADD IV","PADD 4",IF($M4509="PADD V","PADD 5","")))))</f>
        <v>PADD 2</v>
      </c>
      <c r="G4509" s="6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6" t="s">
        <v>44</v>
      </c>
      <c r="I4509" s="6" t="s">
        <v>601</v>
      </c>
      <c r="J4509" s="6" t="s">
        <v>398</v>
      </c>
      <c r="K4509" s="10">
        <v>100</v>
      </c>
      <c r="L4509" s="10">
        <v>100</v>
      </c>
      <c r="M4509" s="6" t="s">
        <v>425</v>
      </c>
      <c r="N4509" s="6">
        <f>IF(OR($G4509="FCC",$G4509="Hydrocracker",$G4509="Reformer"),IF(COUNTIFS($D:$D,$D4509,$A:$A,$A4509,$B:$B,$B4509,$G:$G,"CDU",$J:$J,"PLANNED")&gt;0,"tied","standalone"),"")</f>
        <v/>
      </c>
    </row>
    <row r="4510" spans="1:14">
      <c r="A4510" s="6">
        <v>2024</v>
      </c>
      <c r="B4510" s="6">
        <v>10</v>
      </c>
      <c r="C4510" s="6" t="s">
        <v>69</v>
      </c>
      <c r="D4510" s="6" t="s">
        <v>725</v>
      </c>
      <c r="E4510" s="6" t="s">
        <v>502</v>
      </c>
      <c r="F4510" s="6" t="str">
        <f>IF($M4510="PADD I","PADD 1",IF($M4510="PADD II","PADD 2",IF($M4510="PADD III","PADD 3",IF($M4510="PADD IV","PADD 4",IF($M4510="PADD V","PADD 5","")))))</f>
        <v>PADD 2</v>
      </c>
      <c r="G4510" s="6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6" t="s">
        <v>39</v>
      </c>
      <c r="I4510" s="6" t="s">
        <v>82</v>
      </c>
      <c r="J4510" s="6" t="s">
        <v>398</v>
      </c>
      <c r="K4510" s="10">
        <v>87.48</v>
      </c>
      <c r="L4510" s="10">
        <v>87.48</v>
      </c>
      <c r="M4510" s="6" t="s">
        <v>425</v>
      </c>
      <c r="N4510" s="6">
        <f>IF(OR($G4510="FCC",$G4510="Hydrocracker",$G4510="Reformer"),IF(COUNTIFS($D:$D,$D4510,$A:$A,$A4510,$B:$B,$B4510,$G:$G,"CDU",$J:$J,"PLANNED")&gt;0,"tied","standalone"),"")</f>
        <v/>
      </c>
    </row>
    <row r="4511" spans="1:14">
      <c r="A4511" s="6">
        <v>2024</v>
      </c>
      <c r="B4511" s="6">
        <v>10</v>
      </c>
      <c r="C4511" s="6" t="s">
        <v>69</v>
      </c>
      <c r="D4511" s="6" t="s">
        <v>592</v>
      </c>
      <c r="E4511" s="6" t="s">
        <v>593</v>
      </c>
      <c r="F4511" s="6" t="str">
        <f>IF($M4511="PADD I","PADD 1",IF($M4511="PADD II","PADD 2",IF($M4511="PADD III","PADD 3",IF($M4511="PADD IV","PADD 4",IF($M4511="PADD V","PADD 5","")))))</f>
        <v>PADD 2</v>
      </c>
      <c r="G4511" s="6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6" t="s">
        <v>471</v>
      </c>
      <c r="I4511" s="6" t="s">
        <v>1162</v>
      </c>
      <c r="J4511" s="6" t="s">
        <v>394</v>
      </c>
      <c r="K4511" s="10">
        <v>70</v>
      </c>
      <c r="L4511" s="10">
        <v>70</v>
      </c>
      <c r="M4511" s="6" t="s">
        <v>425</v>
      </c>
      <c r="N4511" s="6" t="str">
        <f>IF(OR($G4511="FCC",$G4511="Hydrocracker",$G4511="Reformer"),IF(COUNTIFS($D:$D,$D4511,$A:$A,$A4511,$B:$B,$B4511,$G:$G,"CDU",$J:$J,"PLANNED")&gt;0,"tied","standalone"),"")</f>
        <v>tied</v>
      </c>
    </row>
    <row r="4512" spans="1:14">
      <c r="A4512" s="6">
        <v>2024</v>
      </c>
      <c r="B4512" s="6">
        <v>10</v>
      </c>
      <c r="C4512" s="6" t="s">
        <v>69</v>
      </c>
      <c r="D4512" s="6" t="s">
        <v>52</v>
      </c>
      <c r="E4512" s="6" t="s">
        <v>441</v>
      </c>
      <c r="F4512" s="6" t="str">
        <f>IF($M4512="PADD I","PADD 1",IF($M4512="PADD II","PADD 2",IF($M4512="PADD III","PADD 3",IF($M4512="PADD IV","PADD 4",IF($M4512="PADD V","PADD 5","")))))</f>
        <v>PADD 5</v>
      </c>
      <c r="G4512" s="6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6" t="s">
        <v>44</v>
      </c>
      <c r="I4512" s="6" t="s">
        <v>1280</v>
      </c>
      <c r="J4512" s="6" t="s">
        <v>398</v>
      </c>
      <c r="K4512" s="10">
        <v>68</v>
      </c>
      <c r="L4512" s="10">
        <v>68</v>
      </c>
      <c r="M4512" s="6" t="s">
        <v>436</v>
      </c>
      <c r="N4512" s="6">
        <f>IF(OR($G4512="FCC",$G4512="Hydrocracker",$G4512="Reformer"),IF(COUNTIFS($D:$D,$D4512,$A:$A,$A4512,$B:$B,$B4512,$G:$G,"CDU",$J:$J,"PLANNED")&gt;0,"tied","standalone"),"")</f>
        <v/>
      </c>
    </row>
    <row r="4513" spans="1:14">
      <c r="A4513" s="6">
        <v>2024</v>
      </c>
      <c r="B4513" s="6">
        <v>10</v>
      </c>
      <c r="C4513" s="6" t="s">
        <v>69</v>
      </c>
      <c r="D4513" s="6" t="s">
        <v>378</v>
      </c>
      <c r="E4513" s="6" t="s">
        <v>477</v>
      </c>
      <c r="F4513" s="6" t="str">
        <f>IF($M4513="PADD I","PADD 1",IF($M4513="PADD II","PADD 2",IF($M4513="PADD III","PADD 3",IF($M4513="PADD IV","PADD 4",IF($M4513="PADD V","PADD 5","")))))</f>
        <v>PADD 3</v>
      </c>
      <c r="G4513" s="6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6" t="s">
        <v>426</v>
      </c>
      <c r="I4513" s="6" t="s">
        <v>478</v>
      </c>
      <c r="J4513" s="6" t="s">
        <v>398</v>
      </c>
      <c r="K4513" s="10">
        <v>68</v>
      </c>
      <c r="L4513" s="10">
        <v>68</v>
      </c>
      <c r="M4513" s="6" t="s">
        <v>421</v>
      </c>
      <c r="N4513" s="6" t="str">
        <f>IF(OR($G4513="FCC",$G4513="Hydrocracker",$G4513="Reformer"),IF(COUNTIFS($D:$D,$D4513,$A:$A,$A4513,$B:$B,$B4513,$G:$G,"CDU",$J:$J,"PLANNED")&gt;0,"tied","standalone"),"")</f>
        <v>tied</v>
      </c>
    </row>
    <row r="4514" spans="1:14">
      <c r="A4514" s="6">
        <v>2024</v>
      </c>
      <c r="B4514" s="6">
        <v>10</v>
      </c>
      <c r="C4514" s="6" t="s">
        <v>69</v>
      </c>
      <c r="D4514" s="6" t="s">
        <v>458</v>
      </c>
      <c r="E4514" s="6" t="s">
        <v>459</v>
      </c>
      <c r="F4514" s="6" t="str">
        <f>IF($M4514="PADD I","PADD 1",IF($M4514="PADD II","PADD 2",IF($M4514="PADD III","PADD 3",IF($M4514="PADD IV","PADD 4",IF($M4514="PADD V","PADD 5","")))))</f>
        <v>PADD 3</v>
      </c>
      <c r="G4514" s="6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6" t="s">
        <v>39</v>
      </c>
      <c r="I4514" s="6" t="s">
        <v>460</v>
      </c>
      <c r="J4514" s="6" t="s">
        <v>394</v>
      </c>
      <c r="K4514" s="10">
        <v>67.5</v>
      </c>
      <c r="L4514" s="10">
        <v>150</v>
      </c>
      <c r="M4514" s="6" t="s">
        <v>421</v>
      </c>
      <c r="N4514" s="6">
        <f>IF(OR($G4514="FCC",$G4514="Hydrocracker",$G4514="Reformer"),IF(COUNTIFS($D:$D,$D4514,$A:$A,$A4514,$B:$B,$B4514,$G:$G,"CDU",$J:$J,"PLANNED")&gt;0,"tied","standalone"),"")</f>
        <v/>
      </c>
    </row>
    <row r="4515" spans="1:14">
      <c r="A4515" s="6">
        <v>2024</v>
      </c>
      <c r="B4515" s="6">
        <v>10</v>
      </c>
      <c r="C4515" s="6" t="s">
        <v>69</v>
      </c>
      <c r="D4515" s="6" t="s">
        <v>445</v>
      </c>
      <c r="E4515" s="6" t="s">
        <v>446</v>
      </c>
      <c r="F4515" s="6" t="str">
        <f>IF($M4515="PADD I","PADD 1",IF($M4515="PADD II","PADD 2",IF($M4515="PADD III","PADD 3",IF($M4515="PADD IV","PADD 4",IF($M4515="PADD V","PADD 5","")))))</f>
        <v>PADD 3</v>
      </c>
      <c r="G4515" s="6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6" t="s">
        <v>485</v>
      </c>
      <c r="I4515" s="6" t="s">
        <v>491</v>
      </c>
      <c r="J4515" s="6" t="s">
        <v>394</v>
      </c>
      <c r="K4515" s="10">
        <v>62.56</v>
      </c>
      <c r="L4515" s="10">
        <v>92</v>
      </c>
      <c r="M4515" s="6" t="s">
        <v>421</v>
      </c>
      <c r="N4515" s="6">
        <f>IF(OR($G4515="FCC",$G4515="Hydrocracker",$G4515="Reformer"),IF(COUNTIFS($D:$D,$D4515,$A:$A,$A4515,$B:$B,$B4515,$G:$G,"CDU",$J:$J,"PLANNED")&gt;0,"tied","standalone"),"")</f>
        <v/>
      </c>
    </row>
    <row r="4516" spans="1:14">
      <c r="A4516" s="6">
        <v>2024</v>
      </c>
      <c r="B4516" s="6">
        <v>10</v>
      </c>
      <c r="C4516" s="6" t="s">
        <v>69</v>
      </c>
      <c r="D4516" s="6" t="s">
        <v>373</v>
      </c>
      <c r="E4516" s="6" t="s">
        <v>438</v>
      </c>
      <c r="F4516" s="6" t="str">
        <f>IF($M4516="PADD I","PADD 1",IF($M4516="PADD II","PADD 2",IF($M4516="PADD III","PADD 3",IF($M4516="PADD IV","PADD 4",IF($M4516="PADD V","PADD 5","")))))</f>
        <v>PADD 3</v>
      </c>
      <c r="G4516" s="6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6" t="s">
        <v>428</v>
      </c>
      <c r="I4516" s="6" t="s">
        <v>992</v>
      </c>
      <c r="J4516" s="6" t="s">
        <v>394</v>
      </c>
      <c r="K4516" s="10">
        <v>62.37</v>
      </c>
      <c r="L4516" s="10">
        <v>148.5</v>
      </c>
      <c r="M4516" s="6" t="s">
        <v>421</v>
      </c>
      <c r="N4516" s="6">
        <f>IF(OR($G4516="FCC",$G4516="Hydrocracker",$G4516="Reformer"),IF(COUNTIFS($D:$D,$D4516,$A:$A,$A4516,$B:$B,$B4516,$G:$G,"CDU",$J:$J,"PLANNED")&gt;0,"tied","standalone"),"")</f>
        <v/>
      </c>
    </row>
    <row r="4517" spans="1:14">
      <c r="A4517" s="6">
        <v>2024</v>
      </c>
      <c r="B4517" s="6">
        <v>10</v>
      </c>
      <c r="C4517" s="6" t="s">
        <v>69</v>
      </c>
      <c r="D4517" s="6" t="s">
        <v>597</v>
      </c>
      <c r="E4517" s="6" t="s">
        <v>441</v>
      </c>
      <c r="F4517" s="6" t="str">
        <f>IF($M4517="PADD I","PADD 1",IF($M4517="PADD II","PADD 2",IF($M4517="PADD III","PADD 3",IF($M4517="PADD IV","PADD 4",IF($M4517="PADD V","PADD 5","")))))</f>
        <v>PADD 5</v>
      </c>
      <c r="G4517" s="6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6" t="s">
        <v>426</v>
      </c>
      <c r="I4517" s="6" t="s">
        <v>106</v>
      </c>
      <c r="J4517" s="6" t="s">
        <v>394</v>
      </c>
      <c r="K4517" s="10">
        <v>61.2</v>
      </c>
      <c r="L4517" s="10">
        <v>90</v>
      </c>
      <c r="M4517" s="6" t="s">
        <v>436</v>
      </c>
      <c r="N4517" s="6" t="str">
        <f>IF(OR($G4517="FCC",$G4517="Hydrocracker",$G4517="Reformer"),IF(COUNTIFS($D:$D,$D4517,$A:$A,$A4517,$B:$B,$B4517,$G:$G,"CDU",$J:$J,"PLANNED")&gt;0,"tied","standalone"),"")</f>
        <v>standalone</v>
      </c>
    </row>
    <row r="4518" spans="1:14">
      <c r="A4518" s="6">
        <v>2024</v>
      </c>
      <c r="B4518" s="6">
        <v>10</v>
      </c>
      <c r="C4518" s="6" t="s">
        <v>69</v>
      </c>
      <c r="D4518" s="6" t="s">
        <v>1035</v>
      </c>
      <c r="E4518" s="6" t="s">
        <v>593</v>
      </c>
      <c r="F4518" s="6" t="str">
        <f>IF($M4518="PADD I","PADD 1",IF($M4518="PADD II","PADD 2",IF($M4518="PADD III","PADD 3",IF($M4518="PADD IV","PADD 4",IF($M4518="PADD V","PADD 5","")))))</f>
        <v>PADD 2</v>
      </c>
      <c r="G4518" s="6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6" t="s">
        <v>428</v>
      </c>
      <c r="I4518" s="6" t="s">
        <v>836</v>
      </c>
      <c r="J4518" s="6" t="s">
        <v>394</v>
      </c>
      <c r="K4518" s="10">
        <v>60.33</v>
      </c>
      <c r="L4518" s="10">
        <v>60.33</v>
      </c>
      <c r="M4518" s="6" t="s">
        <v>425</v>
      </c>
      <c r="N4518" s="6">
        <f>IF(OR($G4518="FCC",$G4518="Hydrocracker",$G4518="Reformer"),IF(COUNTIFS($D:$D,$D4518,$A:$A,$A4518,$B:$B,$B4518,$G:$G,"CDU",$J:$J,"PLANNED")&gt;0,"tied","standalone"),"")</f>
        <v/>
      </c>
    </row>
    <row r="4519" spans="1:14">
      <c r="A4519" s="6">
        <v>2024</v>
      </c>
      <c r="B4519" s="6">
        <v>10</v>
      </c>
      <c r="C4519" s="6" t="s">
        <v>69</v>
      </c>
      <c r="D4519" s="6" t="s">
        <v>592</v>
      </c>
      <c r="E4519" s="6" t="s">
        <v>593</v>
      </c>
      <c r="F4519" s="6" t="str">
        <f>IF($M4519="PADD I","PADD 1",IF($M4519="PADD II","PADD 2",IF($M4519="PADD III","PADD 3",IF($M4519="PADD IV","PADD 4",IF($M4519="PADD V","PADD 5","")))))</f>
        <v>PADD 2</v>
      </c>
      <c r="G4519" s="6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6" t="s">
        <v>471</v>
      </c>
      <c r="I4519" s="6" t="s">
        <v>1164</v>
      </c>
      <c r="J4519" s="6" t="s">
        <v>398</v>
      </c>
      <c r="K4519" s="10">
        <v>60</v>
      </c>
      <c r="L4519" s="10">
        <v>60</v>
      </c>
      <c r="M4519" s="6" t="s">
        <v>425</v>
      </c>
      <c r="N4519" s="6" t="str">
        <f>IF(OR($G4519="FCC",$G4519="Hydrocracker",$G4519="Reformer"),IF(COUNTIFS($D:$D,$D4519,$A:$A,$A4519,$B:$B,$B4519,$G:$G,"CDU",$J:$J,"PLANNED")&gt;0,"tied","standalone"),"")</f>
        <v>tied</v>
      </c>
    </row>
    <row r="4520" spans="1:14">
      <c r="A4520" s="6">
        <v>2024</v>
      </c>
      <c r="B4520" s="6">
        <v>10</v>
      </c>
      <c r="C4520" s="6" t="s">
        <v>69</v>
      </c>
      <c r="D4520" s="6" t="s">
        <v>437</v>
      </c>
      <c r="E4520" s="6" t="s">
        <v>438</v>
      </c>
      <c r="F4520" s="6" t="str">
        <f>IF($M4520="PADD I","PADD 1",IF($M4520="PADD II","PADD 2",IF($M4520="PADD III","PADD 3",IF($M4520="PADD IV","PADD 4",IF($M4520="PADD V","PADD 5","")))))</f>
        <v>PADD 3</v>
      </c>
      <c r="G4520" s="6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6" t="s">
        <v>494</v>
      </c>
      <c r="I4520" s="6" t="s">
        <v>526</v>
      </c>
      <c r="J4520" s="6" t="s">
        <v>398</v>
      </c>
      <c r="K4520" s="10">
        <v>60</v>
      </c>
      <c r="L4520" s="10">
        <v>60</v>
      </c>
      <c r="M4520" s="6" t="s">
        <v>421</v>
      </c>
      <c r="N4520" s="6" t="str">
        <f>IF(OR($G4520="FCC",$G4520="Hydrocracker",$G4520="Reformer"),IF(COUNTIFS($D:$D,$D4520,$A:$A,$A4520,$B:$B,$B4520,$G:$G,"CDU",$J:$J,"PLANNED")&gt;0,"tied","standalone"),"")</f>
        <v>standalone</v>
      </c>
    </row>
    <row r="4521" spans="1:14">
      <c r="A4521" s="6">
        <v>2024</v>
      </c>
      <c r="B4521" s="6">
        <v>10</v>
      </c>
      <c r="C4521" s="6" t="s">
        <v>69</v>
      </c>
      <c r="D4521" s="6" t="s">
        <v>52</v>
      </c>
      <c r="E4521" s="6" t="s">
        <v>441</v>
      </c>
      <c r="F4521" s="6" t="str">
        <f>IF($M4521="PADD I","PADD 1",IF($M4521="PADD II","PADD 2",IF($M4521="PADD III","PADD 3",IF($M4521="PADD IV","PADD 4",IF($M4521="PADD V","PADD 5","")))))</f>
        <v>PADD 5</v>
      </c>
      <c r="G4521" s="6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6" t="s">
        <v>471</v>
      </c>
      <c r="I4521" s="6" t="s">
        <v>589</v>
      </c>
      <c r="J4521" s="6" t="s">
        <v>394</v>
      </c>
      <c r="K4521" s="10">
        <v>60</v>
      </c>
      <c r="L4521" s="10">
        <v>60</v>
      </c>
      <c r="M4521" s="6" t="s">
        <v>436</v>
      </c>
      <c r="N4521" s="6" t="str">
        <f>IF(OR($G4521="FCC",$G4521="Hydrocracker",$G4521="Reformer"),IF(COUNTIFS($D:$D,$D4521,$A:$A,$A4521,$B:$B,$B4521,$G:$G,"CDU",$J:$J,"PLANNED")&gt;0,"tied","standalone"),"")</f>
        <v>standalone</v>
      </c>
    </row>
    <row r="4522" spans="1:14">
      <c r="A4522" s="6">
        <v>2024</v>
      </c>
      <c r="B4522" s="6">
        <v>10</v>
      </c>
      <c r="C4522" s="6" t="s">
        <v>69</v>
      </c>
      <c r="D4522" s="6" t="s">
        <v>592</v>
      </c>
      <c r="E4522" s="6" t="s">
        <v>593</v>
      </c>
      <c r="F4522" s="6" t="str">
        <f>IF($M4522="PADD I","PADD 1",IF($M4522="PADD II","PADD 2",IF($M4522="PADD III","PADD 3",IF($M4522="PADD IV","PADD 4",IF($M4522="PADD V","PADD 5","")))))</f>
        <v>PADD 2</v>
      </c>
      <c r="G4522" s="6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6" t="s">
        <v>44</v>
      </c>
      <c r="I4522" s="6" t="s">
        <v>963</v>
      </c>
      <c r="J4522" s="6" t="s">
        <v>394</v>
      </c>
      <c r="K4522" s="10">
        <v>55.5</v>
      </c>
      <c r="L4522" s="10">
        <v>55.5</v>
      </c>
      <c r="M4522" s="6" t="s">
        <v>425</v>
      </c>
      <c r="N4522" s="6">
        <f>IF(OR($G4522="FCC",$G4522="Hydrocracker",$G4522="Reformer"),IF(COUNTIFS($D:$D,$D4522,$A:$A,$A4522,$B:$B,$B4522,$G:$G,"CDU",$J:$J,"PLANNED")&gt;0,"tied","standalone"),"")</f>
        <v/>
      </c>
    </row>
    <row r="4523" spans="1:14">
      <c r="A4523" s="6">
        <v>2024</v>
      </c>
      <c r="B4523" s="6">
        <v>10</v>
      </c>
      <c r="C4523" s="6" t="s">
        <v>69</v>
      </c>
      <c r="D4523" s="6" t="s">
        <v>665</v>
      </c>
      <c r="E4523" s="6" t="s">
        <v>455</v>
      </c>
      <c r="F4523" s="6" t="str">
        <f>IF($M4523="PADD I","PADD 1",IF($M4523="PADD II","PADD 2",IF($M4523="PADD III","PADD 3",IF($M4523="PADD IV","PADD 4",IF($M4523="PADD V","PADD 5","")))))</f>
        <v>PADD 5</v>
      </c>
      <c r="G4523" s="6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6" t="s">
        <v>426</v>
      </c>
      <c r="I4523" s="6" t="s">
        <v>106</v>
      </c>
      <c r="J4523" s="6" t="s">
        <v>398</v>
      </c>
      <c r="K4523" s="10">
        <v>52.36</v>
      </c>
      <c r="L4523" s="10">
        <v>77</v>
      </c>
      <c r="M4523" s="6" t="s">
        <v>436</v>
      </c>
      <c r="N4523" s="6" t="str">
        <f>IF(OR($G4523="FCC",$G4523="Hydrocracker",$G4523="Reformer"),IF(COUNTIFS($D:$D,$D4523,$A:$A,$A4523,$B:$B,$B4523,$G:$G,"CDU",$J:$J,"PLANNED")&gt;0,"tied","standalone"),"")</f>
        <v>standalone</v>
      </c>
    </row>
    <row r="4524" spans="1:14">
      <c r="A4524" s="6">
        <v>2024</v>
      </c>
      <c r="B4524" s="6">
        <v>10</v>
      </c>
      <c r="C4524" s="6" t="s">
        <v>69</v>
      </c>
      <c r="D4524" s="6" t="s">
        <v>465</v>
      </c>
      <c r="E4524" s="6" t="s">
        <v>466</v>
      </c>
      <c r="F4524" s="6" t="str">
        <f>IF($M4524="PADD I","PADD 1",IF($M4524="PADD II","PADD 2",IF($M4524="PADD III","PADD 3",IF($M4524="PADD IV","PADD 4",IF($M4524="PADD V","PADD 5","")))))</f>
        <v>PADD 3</v>
      </c>
      <c r="G4524" s="6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6" t="s">
        <v>471</v>
      </c>
      <c r="I4524" s="6" t="s">
        <v>504</v>
      </c>
      <c r="J4524" s="6" t="s">
        <v>398</v>
      </c>
      <c r="K4524" s="10">
        <v>52</v>
      </c>
      <c r="L4524" s="10">
        <v>52</v>
      </c>
      <c r="M4524" s="6" t="s">
        <v>421</v>
      </c>
      <c r="N4524" s="6" t="str">
        <f>IF(OR($G4524="FCC",$G4524="Hydrocracker",$G4524="Reformer"),IF(COUNTIFS($D:$D,$D4524,$A:$A,$A4524,$B:$B,$B4524,$G:$G,"CDU",$J:$J,"PLANNED")&gt;0,"tied","standalone"),"")</f>
        <v>standalone</v>
      </c>
    </row>
    <row r="4525" spans="1:14">
      <c r="A4525" s="6">
        <v>2024</v>
      </c>
      <c r="B4525" s="6">
        <v>10</v>
      </c>
      <c r="C4525" s="6" t="s">
        <v>69</v>
      </c>
      <c r="D4525" s="6" t="s">
        <v>838</v>
      </c>
      <c r="E4525" s="6" t="s">
        <v>455</v>
      </c>
      <c r="F4525" s="6" t="str">
        <f>IF($M4525="PADD I","PADD 1",IF($M4525="PADD II","PADD 2",IF($M4525="PADD III","PADD 3",IF($M4525="PADD IV","PADD 4",IF($M4525="PADD V","PADD 5","")))))</f>
        <v>PADD 3</v>
      </c>
      <c r="G4525" s="6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6" t="s">
        <v>494</v>
      </c>
      <c r="I4525" s="6" t="s">
        <v>881</v>
      </c>
      <c r="J4525" s="6" t="s">
        <v>394</v>
      </c>
      <c r="K4525" s="10">
        <v>49.5</v>
      </c>
      <c r="L4525" s="10">
        <v>55</v>
      </c>
      <c r="M4525" s="6" t="s">
        <v>421</v>
      </c>
      <c r="N4525" s="6" t="str">
        <f>IF(OR($G4525="FCC",$G4525="Hydrocracker",$G4525="Reformer"),IF(COUNTIFS($D:$D,$D4525,$A:$A,$A4525,$B:$B,$B4525,$G:$G,"CDU",$J:$J,"PLANNED")&gt;0,"tied","standalone"),"")</f>
        <v>standalone</v>
      </c>
    </row>
    <row r="4526" spans="1:14">
      <c r="A4526" s="6">
        <v>2024</v>
      </c>
      <c r="B4526" s="6">
        <v>10</v>
      </c>
      <c r="C4526" s="6" t="s">
        <v>69</v>
      </c>
      <c r="D4526" s="6" t="s">
        <v>626</v>
      </c>
      <c r="E4526" s="6" t="s">
        <v>419</v>
      </c>
      <c r="F4526" s="6" t="str">
        <f>IF($M4526="PADD I","PADD 1",IF($M4526="PADD II","PADD 2",IF($M4526="PADD III","PADD 3",IF($M4526="PADD IV","PADD 4",IF($M4526="PADD V","PADD 5","")))))</f>
        <v>PADD 3</v>
      </c>
      <c r="G4526" s="6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6" t="s">
        <v>44</v>
      </c>
      <c r="I4526" s="6" t="s">
        <v>1283</v>
      </c>
      <c r="J4526" s="6" t="s">
        <v>398</v>
      </c>
      <c r="K4526" s="10">
        <v>49</v>
      </c>
      <c r="L4526" s="10">
        <v>49</v>
      </c>
      <c r="M4526" s="6" t="s">
        <v>421</v>
      </c>
      <c r="N4526" s="6">
        <f>IF(OR($G4526="FCC",$G4526="Hydrocracker",$G4526="Reformer"),IF(COUNTIFS($D:$D,$D4526,$A:$A,$A4526,$B:$B,$B4526,$G:$G,"CDU",$J:$J,"PLANNED")&gt;0,"tied","standalone"),"")</f>
        <v/>
      </c>
    </row>
    <row r="4527" spans="1:14">
      <c r="A4527" s="6">
        <v>2024</v>
      </c>
      <c r="B4527" s="6">
        <v>10</v>
      </c>
      <c r="C4527" s="6" t="s">
        <v>69</v>
      </c>
      <c r="D4527" s="6" t="s">
        <v>788</v>
      </c>
      <c r="E4527" s="6" t="s">
        <v>602</v>
      </c>
      <c r="F4527" s="6" t="str">
        <f>IF($M4527="PADD I","PADD 1",IF($M4527="PADD II","PADD 2",IF($M4527="PADD III","PADD 3",IF($M4527="PADD IV","PADD 4",IF($M4527="PADD V","PADD 5","")))))</f>
        <v>PADD 3</v>
      </c>
      <c r="G4527" s="6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6" t="s">
        <v>39</v>
      </c>
      <c r="I4527" s="6" t="s">
        <v>82</v>
      </c>
      <c r="J4527" s="6" t="s">
        <v>398</v>
      </c>
      <c r="K4527" s="10">
        <v>48.1</v>
      </c>
      <c r="L4527" s="10">
        <v>74</v>
      </c>
      <c r="M4527" s="6" t="s">
        <v>421</v>
      </c>
      <c r="N4527" s="6">
        <f>IF(OR($G4527="FCC",$G4527="Hydrocracker",$G4527="Reformer"),IF(COUNTIFS($D:$D,$D4527,$A:$A,$A4527,$B:$B,$B4527,$G:$G,"CDU",$J:$J,"PLANNED")&gt;0,"tied","standalone"),"")</f>
        <v/>
      </c>
    </row>
    <row r="4528" spans="1:14">
      <c r="A4528" s="6">
        <v>2024</v>
      </c>
      <c r="B4528" s="6">
        <v>10</v>
      </c>
      <c r="C4528" s="6" t="s">
        <v>69</v>
      </c>
      <c r="D4528" s="6" t="s">
        <v>378</v>
      </c>
      <c r="E4528" s="6" t="s">
        <v>477</v>
      </c>
      <c r="F4528" s="6" t="str">
        <f>IF($M4528="PADD I","PADD 1",IF($M4528="PADD II","PADD 2",IF($M4528="PADD III","PADD 3",IF($M4528="PADD IV","PADD 4",IF($M4528="PADD V","PADD 5","")))))</f>
        <v>PADD 3</v>
      </c>
      <c r="G4528" s="6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6" t="s">
        <v>39</v>
      </c>
      <c r="I4528" s="6" t="s">
        <v>124</v>
      </c>
      <c r="J4528" s="6" t="s">
        <v>398</v>
      </c>
      <c r="K4528" s="10">
        <v>48</v>
      </c>
      <c r="L4528" s="10">
        <v>48</v>
      </c>
      <c r="M4528" s="6" t="s">
        <v>421</v>
      </c>
      <c r="N4528" s="6">
        <f>IF(OR($G4528="FCC",$G4528="Hydrocracker",$G4528="Reformer"),IF(COUNTIFS($D:$D,$D4528,$A:$A,$A4528,$B:$B,$B4528,$G:$G,"CDU",$J:$J,"PLANNED")&gt;0,"tied","standalone"),"")</f>
        <v/>
      </c>
    </row>
    <row r="4529" spans="1:14">
      <c r="A4529" s="6">
        <v>2024</v>
      </c>
      <c r="B4529" s="6">
        <v>10</v>
      </c>
      <c r="C4529" s="6" t="s">
        <v>69</v>
      </c>
      <c r="D4529" s="6" t="s">
        <v>378</v>
      </c>
      <c r="E4529" s="6" t="s">
        <v>477</v>
      </c>
      <c r="F4529" s="6" t="str">
        <f>IF($M4529="PADD I","PADD 1",IF($M4529="PADD II","PADD 2",IF($M4529="PADD III","PADD 3",IF($M4529="PADD IV","PADD 4",IF($M4529="PADD V","PADD 5","")))))</f>
        <v>PADD 3</v>
      </c>
      <c r="G4529" s="6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6" t="s">
        <v>39</v>
      </c>
      <c r="I4529" s="6" t="s">
        <v>379</v>
      </c>
      <c r="J4529" s="6" t="s">
        <v>398</v>
      </c>
      <c r="K4529" s="10">
        <v>48</v>
      </c>
      <c r="L4529" s="10">
        <v>48</v>
      </c>
      <c r="M4529" s="6" t="s">
        <v>421</v>
      </c>
      <c r="N4529" s="6">
        <f>IF(OR($G4529="FCC",$G4529="Hydrocracker",$G4529="Reformer"),IF(COUNTIFS($D:$D,$D4529,$A:$A,$A4529,$B:$B,$B4529,$G:$G,"CDU",$J:$J,"PLANNED")&gt;0,"tied","standalone"),"")</f>
        <v/>
      </c>
    </row>
    <row r="4530" spans="1:14">
      <c r="A4530" s="6">
        <v>2024</v>
      </c>
      <c r="B4530" s="6">
        <v>10</v>
      </c>
      <c r="C4530" s="6" t="s">
        <v>69</v>
      </c>
      <c r="D4530" s="6" t="s">
        <v>622</v>
      </c>
      <c r="E4530" s="6" t="s">
        <v>623</v>
      </c>
      <c r="F4530" s="6" t="str">
        <f>IF($M4530="PADD I","PADD 1",IF($M4530="PADD II","PADD 2",IF($M4530="PADD III","PADD 3",IF($M4530="PADD IV","PADD 4",IF($M4530="PADD V","PADD 5","")))))</f>
        <v>PADD 3</v>
      </c>
      <c r="G4530" s="6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6" t="s">
        <v>39</v>
      </c>
      <c r="I4530" s="6" t="s">
        <v>624</v>
      </c>
      <c r="J4530" s="6" t="s">
        <v>394</v>
      </c>
      <c r="K4530" s="10">
        <v>47</v>
      </c>
      <c r="L4530" s="10">
        <v>50</v>
      </c>
      <c r="M4530" s="6" t="s">
        <v>421</v>
      </c>
      <c r="N4530" s="6">
        <f>IF(OR($G4530="FCC",$G4530="Hydrocracker",$G4530="Reformer"),IF(COUNTIFS($D:$D,$D4530,$A:$A,$A4530,$B:$B,$B4530,$G:$G,"CDU",$J:$J,"PLANNED")&gt;0,"tied","standalone"),"")</f>
        <v/>
      </c>
    </row>
    <row r="4531" spans="1:14">
      <c r="A4531" s="6">
        <v>2024</v>
      </c>
      <c r="B4531" s="6">
        <v>10</v>
      </c>
      <c r="C4531" s="6" t="s">
        <v>69</v>
      </c>
      <c r="D4531" s="6" t="s">
        <v>626</v>
      </c>
      <c r="E4531" s="6" t="s">
        <v>419</v>
      </c>
      <c r="F4531" s="6" t="str">
        <f>IF($M4531="PADD I","PADD 1",IF($M4531="PADD II","PADD 2",IF($M4531="PADD III","PADD 3",IF($M4531="PADD IV","PADD 4",IF($M4531="PADD V","PADD 5","")))))</f>
        <v>PADD 3</v>
      </c>
      <c r="G4531" s="6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6" t="s">
        <v>426</v>
      </c>
      <c r="I4531" s="6" t="s">
        <v>106</v>
      </c>
      <c r="J4531" s="6" t="s">
        <v>398</v>
      </c>
      <c r="K4531" s="10">
        <v>46.2</v>
      </c>
      <c r="L4531" s="10">
        <v>46.2</v>
      </c>
      <c r="M4531" s="6" t="s">
        <v>421</v>
      </c>
      <c r="N4531" s="6" t="str">
        <f>IF(OR($G4531="FCC",$G4531="Hydrocracker",$G4531="Reformer"),IF(COUNTIFS($D:$D,$D4531,$A:$A,$A4531,$B:$B,$B4531,$G:$G,"CDU",$J:$J,"PLANNED")&gt;0,"tied","standalone"),"")</f>
        <v>standalone</v>
      </c>
    </row>
    <row r="4532" spans="1:14">
      <c r="A4532" s="6">
        <v>2024</v>
      </c>
      <c r="B4532" s="6">
        <v>10</v>
      </c>
      <c r="C4532" s="6" t="s">
        <v>69</v>
      </c>
      <c r="D4532" s="6" t="s">
        <v>378</v>
      </c>
      <c r="E4532" s="6" t="s">
        <v>477</v>
      </c>
      <c r="F4532" s="6" t="str">
        <f>IF($M4532="PADD I","PADD 1",IF($M4532="PADD II","PADD 2",IF($M4532="PADD III","PADD 3",IF($M4532="PADD IV","PADD 4",IF($M4532="PADD V","PADD 5","")))))</f>
        <v>PADD 3</v>
      </c>
      <c r="G4532" s="6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6" t="s">
        <v>44</v>
      </c>
      <c r="I4532" s="6" t="s">
        <v>1258</v>
      </c>
      <c r="J4532" s="6" t="s">
        <v>398</v>
      </c>
      <c r="K4532" s="10">
        <v>45</v>
      </c>
      <c r="L4532" s="10">
        <v>45</v>
      </c>
      <c r="M4532" s="6" t="s">
        <v>421</v>
      </c>
      <c r="N4532" s="6">
        <f>IF(OR($G4532="FCC",$G4532="Hydrocracker",$G4532="Reformer"),IF(COUNTIFS($D:$D,$D4532,$A:$A,$A4532,$B:$B,$B4532,$G:$G,"CDU",$J:$J,"PLANNED")&gt;0,"tied","standalone"),"")</f>
        <v/>
      </c>
    </row>
    <row r="4533" spans="1:14">
      <c r="A4533" s="6">
        <v>2024</v>
      </c>
      <c r="B4533" s="6">
        <v>10</v>
      </c>
      <c r="C4533" s="6" t="s">
        <v>69</v>
      </c>
      <c r="D4533" s="6" t="s">
        <v>52</v>
      </c>
      <c r="E4533" s="6" t="s">
        <v>441</v>
      </c>
      <c r="F4533" s="6" t="str">
        <f>IF($M4533="PADD I","PADD 1",IF($M4533="PADD II","PADD 2",IF($M4533="PADD III","PADD 3",IF($M4533="PADD IV","PADD 4",IF($M4533="PADD V","PADD 5","")))))</f>
        <v>PADD 5</v>
      </c>
      <c r="G4533" s="6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6" t="s">
        <v>494</v>
      </c>
      <c r="I4533" s="6" t="s">
        <v>1124</v>
      </c>
      <c r="J4533" s="6" t="s">
        <v>394</v>
      </c>
      <c r="K4533" s="10">
        <v>45</v>
      </c>
      <c r="L4533" s="10">
        <v>45</v>
      </c>
      <c r="M4533" s="6" t="s">
        <v>436</v>
      </c>
      <c r="N4533" s="6" t="str">
        <f>IF(OR($G4533="FCC",$G4533="Hydrocracker",$G4533="Reformer"),IF(COUNTIFS($D:$D,$D4533,$A:$A,$A4533,$B:$B,$B4533,$G:$G,"CDU",$J:$J,"PLANNED")&gt;0,"tied","standalone"),"")</f>
        <v>standalone</v>
      </c>
    </row>
    <row r="4534" spans="1:14">
      <c r="A4534" s="6">
        <v>2024</v>
      </c>
      <c r="B4534" s="6">
        <v>10</v>
      </c>
      <c r="C4534" s="6" t="s">
        <v>69</v>
      </c>
      <c r="D4534" s="6" t="s">
        <v>725</v>
      </c>
      <c r="E4534" s="6" t="s">
        <v>502</v>
      </c>
      <c r="F4534" s="6" t="str">
        <f>IF($M4534="PADD I","PADD 1",IF($M4534="PADD II","PADD 2",IF($M4534="PADD III","PADD 3",IF($M4534="PADD IV","PADD 4",IF($M4534="PADD V","PADD 5","")))))</f>
        <v>PADD 2</v>
      </c>
      <c r="G4534" s="6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6" t="s">
        <v>44</v>
      </c>
      <c r="I4534" s="6" t="s">
        <v>1192</v>
      </c>
      <c r="J4534" s="6" t="s">
        <v>394</v>
      </c>
      <c r="K4534" s="10">
        <v>45</v>
      </c>
      <c r="L4534" s="10">
        <v>45</v>
      </c>
      <c r="M4534" s="6" t="s">
        <v>425</v>
      </c>
      <c r="N4534" s="6">
        <f>IF(OR($G4534="FCC",$G4534="Hydrocracker",$G4534="Reformer"),IF(COUNTIFS($D:$D,$D4534,$A:$A,$A4534,$B:$B,$B4534,$G:$G,"CDU",$J:$J,"PLANNED")&gt;0,"tied","standalone"),"")</f>
        <v/>
      </c>
    </row>
    <row r="4535" spans="1:14">
      <c r="A4535" s="6">
        <v>2024</v>
      </c>
      <c r="B4535" s="6">
        <v>10</v>
      </c>
      <c r="C4535" s="6" t="s">
        <v>69</v>
      </c>
      <c r="D4535" s="6" t="s">
        <v>445</v>
      </c>
      <c r="E4535" s="6" t="s">
        <v>446</v>
      </c>
      <c r="F4535" s="6" t="str">
        <f>IF($M4535="PADD I","PADD 1",IF($M4535="PADD II","PADD 2",IF($M4535="PADD III","PADD 3",IF($M4535="PADD IV","PADD 4",IF($M4535="PADD V","PADD 5","")))))</f>
        <v>PADD 3</v>
      </c>
      <c r="G4535" s="6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6" t="s">
        <v>39</v>
      </c>
      <c r="I4535" s="6" t="s">
        <v>447</v>
      </c>
      <c r="J4535" s="6" t="s">
        <v>394</v>
      </c>
      <c r="K4535" s="10">
        <v>43.2</v>
      </c>
      <c r="L4535" s="10">
        <v>270</v>
      </c>
      <c r="M4535" s="6" t="s">
        <v>421</v>
      </c>
      <c r="N4535" s="6">
        <f>IF(OR($G4535="FCC",$G4535="Hydrocracker",$G4535="Reformer"),IF(COUNTIFS($D:$D,$D4535,$A:$A,$A4535,$B:$B,$B4535,$G:$G,"CDU",$J:$J,"PLANNED")&gt;0,"tied","standalone"),"")</f>
        <v/>
      </c>
    </row>
    <row r="4536" spans="1:14">
      <c r="A4536" s="6">
        <v>2024</v>
      </c>
      <c r="B4536" s="6">
        <v>10</v>
      </c>
      <c r="C4536" s="6" t="s">
        <v>69</v>
      </c>
      <c r="D4536" s="6" t="s">
        <v>665</v>
      </c>
      <c r="E4536" s="6" t="s">
        <v>455</v>
      </c>
      <c r="F4536" s="6" t="str">
        <f>IF($M4536="PADD I","PADD 1",IF($M4536="PADD II","PADD 2",IF($M4536="PADD III","PADD 3",IF($M4536="PADD IV","PADD 4",IF($M4536="PADD V","PADD 5","")))))</f>
        <v>PADD 5</v>
      </c>
      <c r="G4536" s="6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6" t="s">
        <v>44</v>
      </c>
      <c r="I4536" s="6" t="s">
        <v>1288</v>
      </c>
      <c r="J4536" s="6" t="s">
        <v>398</v>
      </c>
      <c r="K4536" s="10">
        <v>41</v>
      </c>
      <c r="L4536" s="10">
        <v>41</v>
      </c>
      <c r="M4536" s="6" t="s">
        <v>436</v>
      </c>
      <c r="N4536" s="6">
        <f>IF(OR($G4536="FCC",$G4536="Hydrocracker",$G4536="Reformer"),IF(COUNTIFS($D:$D,$D4536,$A:$A,$A4536,$B:$B,$B4536,$G:$G,"CDU",$J:$J,"PLANNED")&gt;0,"tied","standalone"),"")</f>
        <v/>
      </c>
    </row>
    <row r="4537" spans="1:14">
      <c r="A4537" s="6">
        <v>2024</v>
      </c>
      <c r="B4537" s="6">
        <v>10</v>
      </c>
      <c r="C4537" s="6" t="s">
        <v>69</v>
      </c>
      <c r="D4537" s="6" t="s">
        <v>496</v>
      </c>
      <c r="E4537" s="6" t="s">
        <v>441</v>
      </c>
      <c r="F4537" s="6" t="str">
        <f>IF($M4537="PADD I","PADD 1",IF($M4537="PADD II","PADD 2",IF($M4537="PADD III","PADD 3",IF($M4537="PADD IV","PADD 4",IF($M4537="PADD V","PADD 5","")))))</f>
        <v>PADD 3</v>
      </c>
      <c r="G4537" s="6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6" t="s">
        <v>428</v>
      </c>
      <c r="I4537" s="6" t="s">
        <v>1091</v>
      </c>
      <c r="J4537" s="6" t="s">
        <v>394</v>
      </c>
      <c r="K4537" s="10">
        <v>41</v>
      </c>
      <c r="L4537" s="10">
        <v>41</v>
      </c>
      <c r="M4537" s="6" t="s">
        <v>421</v>
      </c>
      <c r="N4537" s="6">
        <f>IF(OR($G4537="FCC",$G4537="Hydrocracker",$G4537="Reformer"),IF(COUNTIFS($D:$D,$D4537,$A:$A,$A4537,$B:$B,$B4537,$G:$G,"CDU",$J:$J,"PLANNED")&gt;0,"tied","standalone"),"")</f>
        <v/>
      </c>
    </row>
    <row r="4538" spans="1:14">
      <c r="A4538" s="6">
        <v>2024</v>
      </c>
      <c r="B4538" s="6">
        <v>10</v>
      </c>
      <c r="C4538" s="6" t="s">
        <v>69</v>
      </c>
      <c r="D4538" s="6" t="s">
        <v>889</v>
      </c>
      <c r="E4538" s="6" t="s">
        <v>890</v>
      </c>
      <c r="F4538" s="6" t="str">
        <f>IF($M4538="PADD I","PADD 1",IF($M4538="PADD II","PADD 2",IF($M4538="PADD III","PADD 3",IF($M4538="PADD IV","PADD 4",IF($M4538="PADD V","PADD 5","")))))</f>
        <v>PADD 1</v>
      </c>
      <c r="G4538" s="6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6" t="s">
        <v>39</v>
      </c>
      <c r="I4538" s="6" t="s">
        <v>134</v>
      </c>
      <c r="J4538" s="6" t="s">
        <v>394</v>
      </c>
      <c r="K4538" s="10">
        <v>40.6</v>
      </c>
      <c r="L4538" s="10">
        <v>70</v>
      </c>
      <c r="M4538" s="6" t="s">
        <v>463</v>
      </c>
      <c r="N4538" s="6">
        <f>IF(OR($G4538="FCC",$G4538="Hydrocracker",$G4538="Reformer"),IF(COUNTIFS($D:$D,$D4538,$A:$A,$A4538,$B:$B,$B4538,$G:$G,"CDU",$J:$J,"PLANNED")&gt;0,"tied","standalone"),"")</f>
        <v/>
      </c>
    </row>
    <row r="4539" spans="1:14">
      <c r="A4539" s="6">
        <v>2024</v>
      </c>
      <c r="B4539" s="6">
        <v>10</v>
      </c>
      <c r="C4539" s="6" t="s">
        <v>69</v>
      </c>
      <c r="D4539" s="6" t="s">
        <v>380</v>
      </c>
      <c r="E4539" s="6" t="s">
        <v>423</v>
      </c>
      <c r="F4539" s="6" t="str">
        <f>IF($M4539="PADD I","PADD 1",IF($M4539="PADD II","PADD 2",IF($M4539="PADD III","PADD 3",IF($M4539="PADD IV","PADD 4",IF($M4539="PADD V","PADD 5","")))))</f>
        <v>PADD 2</v>
      </c>
      <c r="G4539" s="6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6" t="s">
        <v>426</v>
      </c>
      <c r="I4539" s="6" t="s">
        <v>106</v>
      </c>
      <c r="J4539" s="6" t="s">
        <v>398</v>
      </c>
      <c r="K4539" s="10">
        <v>40</v>
      </c>
      <c r="L4539" s="10">
        <v>40</v>
      </c>
      <c r="M4539" s="6" t="s">
        <v>425</v>
      </c>
      <c r="N4539" s="6" t="str">
        <f>IF(OR($G4539="FCC",$G4539="Hydrocracker",$G4539="Reformer"),IF(COUNTIFS($D:$D,$D4539,$A:$A,$A4539,$B:$B,$B4539,$G:$G,"CDU",$J:$J,"PLANNED")&gt;0,"tied","standalone"),"")</f>
        <v>standalone</v>
      </c>
    </row>
    <row r="4540" spans="1:14">
      <c r="A4540" s="6">
        <v>2024</v>
      </c>
      <c r="B4540" s="6">
        <v>10</v>
      </c>
      <c r="C4540" s="6" t="s">
        <v>69</v>
      </c>
      <c r="D4540" s="6" t="s">
        <v>626</v>
      </c>
      <c r="E4540" s="6" t="s">
        <v>419</v>
      </c>
      <c r="F4540" s="6" t="str">
        <f>IF($M4540="PADD I","PADD 1",IF($M4540="PADD II","PADD 2",IF($M4540="PADD III","PADD 3",IF($M4540="PADD IV","PADD 4",IF($M4540="PADD V","PADD 5","")))))</f>
        <v>PADD 3</v>
      </c>
      <c r="G4540" s="6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6" t="s">
        <v>44</v>
      </c>
      <c r="I4540" s="6" t="s">
        <v>1284</v>
      </c>
      <c r="J4540" s="6" t="s">
        <v>398</v>
      </c>
      <c r="K4540" s="10">
        <v>40</v>
      </c>
      <c r="L4540" s="10">
        <v>40</v>
      </c>
      <c r="M4540" s="6" t="s">
        <v>421</v>
      </c>
      <c r="N4540" s="6">
        <f>IF(OR($G4540="FCC",$G4540="Hydrocracker",$G4540="Reformer"),IF(COUNTIFS($D:$D,$D4540,$A:$A,$A4540,$B:$B,$B4540,$G:$G,"CDU",$J:$J,"PLANNED")&gt;0,"tied","standalone"),"")</f>
        <v/>
      </c>
    </row>
    <row r="4541" spans="1:14">
      <c r="A4541" s="6">
        <v>2024</v>
      </c>
      <c r="B4541" s="6">
        <v>10</v>
      </c>
      <c r="C4541" s="6" t="s">
        <v>69</v>
      </c>
      <c r="D4541" s="6" t="s">
        <v>592</v>
      </c>
      <c r="E4541" s="6" t="s">
        <v>593</v>
      </c>
      <c r="F4541" s="6" t="str">
        <f>IF($M4541="PADD I","PADD 1",IF($M4541="PADD II","PADD 2",IF($M4541="PADD III","PADD 3",IF($M4541="PADD IV","PADD 4",IF($M4541="PADD V","PADD 5","")))))</f>
        <v>PADD 2</v>
      </c>
      <c r="G4541" s="6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6" t="s">
        <v>44</v>
      </c>
      <c r="I4541" s="6" t="s">
        <v>965</v>
      </c>
      <c r="J4541" s="6" t="s">
        <v>398</v>
      </c>
      <c r="K4541" s="10">
        <v>40</v>
      </c>
      <c r="L4541" s="10">
        <v>40</v>
      </c>
      <c r="M4541" s="6" t="s">
        <v>425</v>
      </c>
      <c r="N4541" s="6">
        <f>IF(OR($G4541="FCC",$G4541="Hydrocracker",$G4541="Reformer"),IF(COUNTIFS($D:$D,$D4541,$A:$A,$A4541,$B:$B,$B4541,$G:$G,"CDU",$J:$J,"PLANNED")&gt;0,"tied","standalone"),"")</f>
        <v/>
      </c>
    </row>
    <row r="4542" spans="1:14">
      <c r="A4542" s="6">
        <v>2024</v>
      </c>
      <c r="B4542" s="6">
        <v>10</v>
      </c>
      <c r="C4542" s="6" t="s">
        <v>69</v>
      </c>
      <c r="D4542" s="6" t="s">
        <v>725</v>
      </c>
      <c r="E4542" s="6" t="s">
        <v>502</v>
      </c>
      <c r="F4542" s="6" t="str">
        <f>IF($M4542="PADD I","PADD 1",IF($M4542="PADD II","PADD 2",IF($M4542="PADD III","PADD 3",IF($M4542="PADD IV","PADD 4",IF($M4542="PADD V","PADD 5","")))))</f>
        <v>PADD 2</v>
      </c>
      <c r="G4542" s="6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6" t="s">
        <v>426</v>
      </c>
      <c r="I4542" s="6" t="s">
        <v>106</v>
      </c>
      <c r="J4542" s="6" t="s">
        <v>398</v>
      </c>
      <c r="K4542" s="10">
        <v>39</v>
      </c>
      <c r="L4542" s="10">
        <v>39</v>
      </c>
      <c r="M4542" s="6" t="s">
        <v>425</v>
      </c>
      <c r="N4542" s="6" t="str">
        <f>IF(OR($G4542="FCC",$G4542="Hydrocracker",$G4542="Reformer"),IF(COUNTIFS($D:$D,$D4542,$A:$A,$A4542,$B:$B,$B4542,$G:$G,"CDU",$J:$J,"PLANNED")&gt;0,"tied","standalone"),"")</f>
        <v>tied</v>
      </c>
    </row>
    <row r="4543" spans="1:14">
      <c r="A4543" s="6">
        <v>2024</v>
      </c>
      <c r="B4543" s="6">
        <v>10</v>
      </c>
      <c r="C4543" s="6" t="s">
        <v>69</v>
      </c>
      <c r="D4543" s="6" t="s">
        <v>445</v>
      </c>
      <c r="E4543" s="6" t="s">
        <v>446</v>
      </c>
      <c r="F4543" s="6" t="str">
        <f>IF($M4543="PADD I","PADD 1",IF($M4543="PADD II","PADD 2",IF($M4543="PADD III","PADD 3",IF($M4543="PADD IV","PADD 4",IF($M4543="PADD V","PADD 5","")))))</f>
        <v>PADD 3</v>
      </c>
      <c r="G4543" s="6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6" t="s">
        <v>471</v>
      </c>
      <c r="I4543" s="6" t="s">
        <v>588</v>
      </c>
      <c r="J4543" s="6" t="s">
        <v>398</v>
      </c>
      <c r="K4543" s="10">
        <v>38.556</v>
      </c>
      <c r="L4543" s="10">
        <v>45.9</v>
      </c>
      <c r="M4543" s="6" t="s">
        <v>421</v>
      </c>
      <c r="N4543" s="6" t="str">
        <f>IF(OR($G4543="FCC",$G4543="Hydrocracker",$G4543="Reformer"),IF(COUNTIFS($D:$D,$D4543,$A:$A,$A4543,$B:$B,$B4543,$G:$G,"CDU",$J:$J,"PLANNED")&gt;0,"tied","standalone"),"")</f>
        <v>standalone</v>
      </c>
    </row>
    <row r="4544" spans="1:14">
      <c r="A4544" s="6">
        <v>2024</v>
      </c>
      <c r="B4544" s="6">
        <v>10</v>
      </c>
      <c r="C4544" s="6" t="s">
        <v>69</v>
      </c>
      <c r="D4544" s="6" t="s">
        <v>1113</v>
      </c>
      <c r="E4544" s="6" t="s">
        <v>438</v>
      </c>
      <c r="F4544" s="6" t="str">
        <f>IF($M4544="PADD I","PADD 1",IF($M4544="PADD II","PADD 2",IF($M4544="PADD III","PADD 3",IF($M4544="PADD IV","PADD 4",IF($M4544="PADD V","PADD 5","")))))</f>
        <v>PADD 2</v>
      </c>
      <c r="G4544" s="6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6" t="s">
        <v>426</v>
      </c>
      <c r="I4544" s="6" t="s">
        <v>106</v>
      </c>
      <c r="J4544" s="6" t="s">
        <v>398</v>
      </c>
      <c r="K4544" s="10">
        <v>38.5</v>
      </c>
      <c r="L4544" s="10">
        <v>50</v>
      </c>
      <c r="M4544" s="6" t="s">
        <v>425</v>
      </c>
      <c r="N4544" s="6" t="str">
        <f>IF(OR($G4544="FCC",$G4544="Hydrocracker",$G4544="Reformer"),IF(COUNTIFS($D:$D,$D4544,$A:$A,$A4544,$B:$B,$B4544,$G:$G,"CDU",$J:$J,"PLANNED")&gt;0,"tied","standalone"),"")</f>
        <v>tied</v>
      </c>
    </row>
    <row r="4545" spans="1:14">
      <c r="A4545" s="6">
        <v>2024</v>
      </c>
      <c r="B4545" s="6">
        <v>10</v>
      </c>
      <c r="C4545" s="6" t="s">
        <v>69</v>
      </c>
      <c r="D4545" s="6" t="s">
        <v>465</v>
      </c>
      <c r="E4545" s="6" t="s">
        <v>466</v>
      </c>
      <c r="F4545" s="6" t="str">
        <f>IF($M4545="PADD I","PADD 1",IF($M4545="PADD II","PADD 2",IF($M4545="PADD III","PADD 3",IF($M4545="PADD IV","PADD 4",IF($M4545="PADD V","PADD 5","")))))</f>
        <v>PADD 3</v>
      </c>
      <c r="G4545" s="6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6" t="s">
        <v>494</v>
      </c>
      <c r="I4545" s="6" t="s">
        <v>990</v>
      </c>
      <c r="J4545" s="6" t="s">
        <v>398</v>
      </c>
      <c r="K4545" s="10">
        <v>38</v>
      </c>
      <c r="L4545" s="10">
        <v>38</v>
      </c>
      <c r="M4545" s="6" t="s">
        <v>421</v>
      </c>
      <c r="N4545" s="6" t="str">
        <f>IF(OR($G4545="FCC",$G4545="Hydrocracker",$G4545="Reformer"),IF(COUNTIFS($D:$D,$D4545,$A:$A,$A4545,$B:$B,$B4545,$G:$G,"CDU",$J:$J,"PLANNED")&gt;0,"tied","standalone"),"")</f>
        <v>standalone</v>
      </c>
    </row>
    <row r="4546" spans="1:14">
      <c r="A4546" s="6">
        <v>2024</v>
      </c>
      <c r="B4546" s="6">
        <v>10</v>
      </c>
      <c r="C4546" s="6" t="s">
        <v>69</v>
      </c>
      <c r="D4546" s="6" t="s">
        <v>496</v>
      </c>
      <c r="E4546" s="6" t="s">
        <v>441</v>
      </c>
      <c r="F4546" s="6" t="str">
        <f>IF($M4546="PADD I","PADD 1",IF($M4546="PADD II","PADD 2",IF($M4546="PADD III","PADD 3",IF($M4546="PADD IV","PADD 4",IF($M4546="PADD V","PADD 5","")))))</f>
        <v>PADD 3</v>
      </c>
      <c r="G4546" s="6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6" t="s">
        <v>428</v>
      </c>
      <c r="I4546" s="6" t="s">
        <v>1091</v>
      </c>
      <c r="J4546" s="6" t="s">
        <v>398</v>
      </c>
      <c r="K4546" s="10">
        <v>38</v>
      </c>
      <c r="L4546" s="10">
        <v>38</v>
      </c>
      <c r="M4546" s="6" t="s">
        <v>421</v>
      </c>
      <c r="N4546" s="6">
        <f>IF(OR($G4546="FCC",$G4546="Hydrocracker",$G4546="Reformer"),IF(COUNTIFS($D:$D,$D4546,$A:$A,$A4546,$B:$B,$B4546,$G:$G,"CDU",$J:$J,"PLANNED")&gt;0,"tied","standalone"),"")</f>
        <v/>
      </c>
    </row>
    <row r="4547" spans="1:14">
      <c r="A4547" s="6">
        <v>2024</v>
      </c>
      <c r="B4547" s="6">
        <v>10</v>
      </c>
      <c r="C4547" s="6" t="s">
        <v>69</v>
      </c>
      <c r="D4547" s="6" t="s">
        <v>1191</v>
      </c>
      <c r="E4547" s="6" t="s">
        <v>1129</v>
      </c>
      <c r="F4547" s="6" t="str">
        <f>IF($M4547="PADD I","PADD 1",IF($M4547="PADD II","PADD 2",IF($M4547="PADD III","PADD 3",IF($M4547="PADD IV","PADD 4",IF($M4547="PADD V","PADD 5","")))))</f>
        <v>PADD 3</v>
      </c>
      <c r="G4547" s="6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6" t="s">
        <v>39</v>
      </c>
      <c r="I4547" s="6" t="s">
        <v>132</v>
      </c>
      <c r="J4547" s="6" t="s">
        <v>398</v>
      </c>
      <c r="K4547" s="10">
        <v>36</v>
      </c>
      <c r="L4547" s="10">
        <v>40</v>
      </c>
      <c r="M4547" s="6" t="s">
        <v>421</v>
      </c>
      <c r="N4547" s="6">
        <f>IF(OR($G4547="FCC",$G4547="Hydrocracker",$G4547="Reformer"),IF(COUNTIFS($D:$D,$D4547,$A:$A,$A4547,$B:$B,$B4547,$G:$G,"CDU",$J:$J,"PLANNED")&gt;0,"tied","standalone"),"")</f>
        <v/>
      </c>
    </row>
    <row r="4548" spans="1:14">
      <c r="A4548" s="6">
        <v>2024</v>
      </c>
      <c r="B4548" s="6">
        <v>10</v>
      </c>
      <c r="C4548" s="6" t="s">
        <v>69</v>
      </c>
      <c r="D4548" s="6" t="s">
        <v>368</v>
      </c>
      <c r="E4548" s="6" t="s">
        <v>715</v>
      </c>
      <c r="F4548" s="6" t="str">
        <f>IF($M4548="PADD I","PADD 1",IF($M4548="PADD II","PADD 2",IF($M4548="PADD III","PADD 3",IF($M4548="PADD IV","PADD 4",IF($M4548="PADD V","PADD 5","")))))</f>
        <v>PADD 3</v>
      </c>
      <c r="G4548" s="6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6" t="s">
        <v>494</v>
      </c>
      <c r="I4548" s="6" t="s">
        <v>14</v>
      </c>
      <c r="J4548" s="6" t="s">
        <v>394</v>
      </c>
      <c r="K4548" s="10">
        <v>35.64</v>
      </c>
      <c r="L4548" s="10">
        <v>44</v>
      </c>
      <c r="M4548" s="6" t="s">
        <v>421</v>
      </c>
      <c r="N4548" s="6" t="str">
        <f>IF(OR($G4548="FCC",$G4548="Hydrocracker",$G4548="Reformer"),IF(COUNTIFS($D:$D,$D4548,$A:$A,$A4548,$B:$B,$B4548,$G:$G,"CDU",$J:$J,"PLANNED")&gt;0,"tied","standalone"),"")</f>
        <v>standalone</v>
      </c>
    </row>
    <row r="4549" spans="1:14">
      <c r="A4549" s="6">
        <v>2024</v>
      </c>
      <c r="B4549" s="6">
        <v>10</v>
      </c>
      <c r="C4549" s="6" t="s">
        <v>69</v>
      </c>
      <c r="D4549" s="6" t="s">
        <v>52</v>
      </c>
      <c r="E4549" s="6" t="s">
        <v>441</v>
      </c>
      <c r="F4549" s="6" t="str">
        <f>IF($M4549="PADD I","PADD 1",IF($M4549="PADD II","PADD 2",IF($M4549="PADD III","PADD 3",IF($M4549="PADD IV","PADD 4",IF($M4549="PADD V","PADD 5","")))))</f>
        <v>PADD 5</v>
      </c>
      <c r="G4549" s="6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6" t="s">
        <v>44</v>
      </c>
      <c r="I4549" s="6" t="s">
        <v>1270</v>
      </c>
      <c r="J4549" s="6" t="s">
        <v>398</v>
      </c>
      <c r="K4549" s="10">
        <v>35</v>
      </c>
      <c r="L4549" s="10">
        <v>35</v>
      </c>
      <c r="M4549" s="6" t="s">
        <v>436</v>
      </c>
      <c r="N4549" s="6">
        <f>IF(OR($G4549="FCC",$G4549="Hydrocracker",$G4549="Reformer"),IF(COUNTIFS($D:$D,$D4549,$A:$A,$A4549,$B:$B,$B4549,$G:$G,"CDU",$J:$J,"PLANNED")&gt;0,"tied","standalone"),"")</f>
        <v/>
      </c>
    </row>
    <row r="4550" spans="1:14">
      <c r="A4550" s="6">
        <v>2024</v>
      </c>
      <c r="B4550" s="6">
        <v>10</v>
      </c>
      <c r="C4550" s="6" t="s">
        <v>69</v>
      </c>
      <c r="D4550" s="6" t="s">
        <v>498</v>
      </c>
      <c r="E4550" s="6" t="s">
        <v>441</v>
      </c>
      <c r="F4550" s="6" t="str">
        <f>IF($M4550="PADD I","PADD 1",IF($M4550="PADD II","PADD 2",IF($M4550="PADD III","PADD 3",IF($M4550="PADD IV","PADD 4",IF($M4550="PADD V","PADD 5","")))))</f>
        <v>PADD 3</v>
      </c>
      <c r="G4550" s="6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6" t="s">
        <v>44</v>
      </c>
      <c r="I4550" s="6" t="s">
        <v>499</v>
      </c>
      <c r="J4550" s="6" t="s">
        <v>394</v>
      </c>
      <c r="K4550" s="10">
        <v>35</v>
      </c>
      <c r="L4550" s="10">
        <v>35</v>
      </c>
      <c r="M4550" s="6" t="s">
        <v>421</v>
      </c>
      <c r="N4550" s="6">
        <f>IF(OR($G4550="FCC",$G4550="Hydrocracker",$G4550="Reformer"),IF(COUNTIFS($D:$D,$D4550,$A:$A,$A4550,$B:$B,$B4550,$G:$G,"CDU",$J:$J,"PLANNED")&gt;0,"tied","standalone"),"")</f>
        <v/>
      </c>
    </row>
    <row r="4551" spans="1:14">
      <c r="A4551" s="6">
        <v>2024</v>
      </c>
      <c r="B4551" s="6">
        <v>10</v>
      </c>
      <c r="C4551" s="6" t="s">
        <v>69</v>
      </c>
      <c r="D4551" s="6" t="s">
        <v>445</v>
      </c>
      <c r="E4551" s="6" t="s">
        <v>446</v>
      </c>
      <c r="F4551" s="6" t="str">
        <f>IF($M4551="PADD I","PADD 1",IF($M4551="PADD II","PADD 2",IF($M4551="PADD III","PADD 3",IF($M4551="PADD IV","PADD 4",IF($M4551="PADD V","PADD 5","")))))</f>
        <v>PADD 3</v>
      </c>
      <c r="G4551" s="6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6" t="s">
        <v>44</v>
      </c>
      <c r="I4551" s="6" t="s">
        <v>601</v>
      </c>
      <c r="J4551" s="6" t="s">
        <v>398</v>
      </c>
      <c r="K4551" s="10">
        <v>34.356</v>
      </c>
      <c r="L4551" s="10">
        <v>40.9</v>
      </c>
      <c r="M4551" s="6" t="s">
        <v>421</v>
      </c>
      <c r="N4551" s="6">
        <f>IF(OR($G4551="FCC",$G4551="Hydrocracker",$G4551="Reformer"),IF(COUNTIFS($D:$D,$D4551,$A:$A,$A4551,$B:$B,$B4551,$G:$G,"CDU",$J:$J,"PLANNED")&gt;0,"tied","standalone"),"")</f>
        <v/>
      </c>
    </row>
    <row r="4552" spans="1:14">
      <c r="A4552" s="6">
        <v>2024</v>
      </c>
      <c r="B4552" s="6">
        <v>10</v>
      </c>
      <c r="C4552" s="6" t="s">
        <v>69</v>
      </c>
      <c r="D4552" s="6" t="s">
        <v>437</v>
      </c>
      <c r="E4552" s="6" t="s">
        <v>438</v>
      </c>
      <c r="F4552" s="6" t="str">
        <f>IF($M4552="PADD I","PADD 1",IF($M4552="PADD II","PADD 2",IF($M4552="PADD III","PADD 3",IF($M4552="PADD IV","PADD 4",IF($M4552="PADD V","PADD 5","")))))</f>
        <v>PADD 3</v>
      </c>
      <c r="G4552" s="6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6" t="s">
        <v>471</v>
      </c>
      <c r="I4552" s="6" t="s">
        <v>633</v>
      </c>
      <c r="J4552" s="6" t="s">
        <v>394</v>
      </c>
      <c r="K4552" s="10">
        <v>34.06</v>
      </c>
      <c r="L4552" s="10">
        <v>65.5</v>
      </c>
      <c r="M4552" s="6" t="s">
        <v>421</v>
      </c>
      <c r="N4552" s="6" t="str">
        <f>IF(OR($G4552="FCC",$G4552="Hydrocracker",$G4552="Reformer"),IF(COUNTIFS($D:$D,$D4552,$A:$A,$A4552,$B:$B,$B4552,$G:$G,"CDU",$J:$J,"PLANNED")&gt;0,"tied","standalone"),"")</f>
        <v>standalone</v>
      </c>
    </row>
    <row r="4553" spans="1:14">
      <c r="A4553" s="6">
        <v>2024</v>
      </c>
      <c r="B4553" s="6">
        <v>10</v>
      </c>
      <c r="C4553" s="6" t="s">
        <v>69</v>
      </c>
      <c r="D4553" s="6" t="s">
        <v>1113</v>
      </c>
      <c r="E4553" s="6" t="s">
        <v>438</v>
      </c>
      <c r="F4553" s="6" t="str">
        <f>IF($M4553="PADD I","PADD 1",IF($M4553="PADD II","PADD 2",IF($M4553="PADD III","PADD 3",IF($M4553="PADD IV","PADD 4",IF($M4553="PADD V","PADD 5","")))))</f>
        <v>PADD 2</v>
      </c>
      <c r="G4553" s="6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6" t="s">
        <v>44</v>
      </c>
      <c r="I4553" s="6" t="s">
        <v>543</v>
      </c>
      <c r="J4553" s="6" t="s">
        <v>394</v>
      </c>
      <c r="K4553" s="10">
        <v>34</v>
      </c>
      <c r="L4553" s="10">
        <v>34</v>
      </c>
      <c r="M4553" s="6" t="s">
        <v>425</v>
      </c>
      <c r="N4553" s="6">
        <f>IF(OR($G4553="FCC",$G4553="Hydrocracker",$G4553="Reformer"),IF(COUNTIFS($D:$D,$D4553,$A:$A,$A4553,$B:$B,$B4553,$G:$G,"CDU",$J:$J,"PLANNED")&gt;0,"tied","standalone"),"")</f>
        <v/>
      </c>
    </row>
    <row r="4554" spans="1:14">
      <c r="A4554" s="6">
        <v>2024</v>
      </c>
      <c r="B4554" s="6">
        <v>10</v>
      </c>
      <c r="C4554" s="6" t="s">
        <v>69</v>
      </c>
      <c r="D4554" s="6" t="s">
        <v>652</v>
      </c>
      <c r="E4554" s="6" t="s">
        <v>419</v>
      </c>
      <c r="F4554" s="6" t="str">
        <f>IF($M4554="PADD I","PADD 1",IF($M4554="PADD II","PADD 2",IF($M4554="PADD III","PADD 3",IF($M4554="PADD IV","PADD 4",IF($M4554="PADD V","PADD 5","")))))</f>
        <v>PADD 2</v>
      </c>
      <c r="G4554" s="6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6" t="s">
        <v>39</v>
      </c>
      <c r="I4554" s="6" t="s">
        <v>130</v>
      </c>
      <c r="J4554" s="6" t="s">
        <v>398</v>
      </c>
      <c r="K4554" s="10">
        <v>33.25</v>
      </c>
      <c r="L4554" s="10">
        <v>95</v>
      </c>
      <c r="M4554" s="6" t="s">
        <v>425</v>
      </c>
      <c r="N4554" s="6">
        <f>IF(OR($G4554="FCC",$G4554="Hydrocracker",$G4554="Reformer"),IF(COUNTIFS($D:$D,$D4554,$A:$A,$A4554,$B:$B,$B4554,$G:$G,"CDU",$J:$J,"PLANNED")&gt;0,"tied","standalone"),"")</f>
        <v/>
      </c>
    </row>
    <row r="4555" spans="1:14">
      <c r="A4555" s="6">
        <v>2024</v>
      </c>
      <c r="B4555" s="6">
        <v>10</v>
      </c>
      <c r="C4555" s="6" t="s">
        <v>69</v>
      </c>
      <c r="D4555" s="6" t="s">
        <v>838</v>
      </c>
      <c r="E4555" s="6" t="s">
        <v>455</v>
      </c>
      <c r="F4555" s="6" t="str">
        <f>IF($M4555="PADD I","PADD 1",IF($M4555="PADD II","PADD 2",IF($M4555="PADD III","PADD 3",IF($M4555="PADD IV","PADD 4",IF($M4555="PADD V","PADD 5","")))))</f>
        <v>PADD 3</v>
      </c>
      <c r="G4555" s="6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6" t="s">
        <v>471</v>
      </c>
      <c r="I4555" s="6" t="s">
        <v>832</v>
      </c>
      <c r="J4555" s="6" t="s">
        <v>394</v>
      </c>
      <c r="K4555" s="10">
        <v>32</v>
      </c>
      <c r="L4555" s="10">
        <v>32</v>
      </c>
      <c r="M4555" s="6" t="s">
        <v>421</v>
      </c>
      <c r="N4555" s="6" t="str">
        <f>IF(OR($G4555="FCC",$G4555="Hydrocracker",$G4555="Reformer"),IF(COUNTIFS($D:$D,$D4555,$A:$A,$A4555,$B:$B,$B4555,$G:$G,"CDU",$J:$J,"PLANNED")&gt;0,"tied","standalone"),"")</f>
        <v>standalone</v>
      </c>
    </row>
    <row r="4556" spans="1:14">
      <c r="A4556" s="6">
        <v>2024</v>
      </c>
      <c r="B4556" s="6">
        <v>10</v>
      </c>
      <c r="C4556" s="6" t="s">
        <v>69</v>
      </c>
      <c r="D4556" s="6" t="s">
        <v>496</v>
      </c>
      <c r="E4556" s="6" t="s">
        <v>441</v>
      </c>
      <c r="F4556" s="6" t="str">
        <f>IF($M4556="PADD I","PADD 1",IF($M4556="PADD II","PADD 2",IF($M4556="PADD III","PADD 3",IF($M4556="PADD IV","PADD 4",IF($M4556="PADD V","PADD 5","")))))</f>
        <v>PADD 3</v>
      </c>
      <c r="G4556" s="6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6" t="s">
        <v>44</v>
      </c>
      <c r="I4556" s="6" t="s">
        <v>497</v>
      </c>
      <c r="J4556" s="6" t="s">
        <v>398</v>
      </c>
      <c r="K4556" s="10">
        <v>31.5</v>
      </c>
      <c r="L4556" s="10">
        <v>35</v>
      </c>
      <c r="M4556" s="6" t="s">
        <v>421</v>
      </c>
      <c r="N4556" s="6">
        <f>IF(OR($G4556="FCC",$G4556="Hydrocracker",$G4556="Reformer"),IF(COUNTIFS($D:$D,$D4556,$A:$A,$A4556,$B:$B,$B4556,$G:$G,"CDU",$J:$J,"PLANNED")&gt;0,"tied","standalone"),"")</f>
        <v/>
      </c>
    </row>
    <row r="4557" spans="1:14">
      <c r="A4557" s="6">
        <v>2024</v>
      </c>
      <c r="B4557" s="6">
        <v>10</v>
      </c>
      <c r="C4557" s="6" t="s">
        <v>69</v>
      </c>
      <c r="D4557" s="6" t="s">
        <v>52</v>
      </c>
      <c r="E4557" s="6" t="s">
        <v>441</v>
      </c>
      <c r="F4557" s="6" t="str">
        <f>IF($M4557="PADD I","PADD 1",IF($M4557="PADD II","PADD 2",IF($M4557="PADD III","PADD 3",IF($M4557="PADD IV","PADD 4",IF($M4557="PADD V","PADD 5","")))))</f>
        <v>PADD 5</v>
      </c>
      <c r="G4557" s="6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6" t="s">
        <v>44</v>
      </c>
      <c r="I4557" s="6" t="s">
        <v>909</v>
      </c>
      <c r="J4557" s="6" t="s">
        <v>394</v>
      </c>
      <c r="K4557" s="10">
        <v>30.45</v>
      </c>
      <c r="L4557" s="10">
        <v>35</v>
      </c>
      <c r="M4557" s="6" t="s">
        <v>436</v>
      </c>
      <c r="N4557" s="6">
        <f>IF(OR($G4557="FCC",$G4557="Hydrocracker",$G4557="Reformer"),IF(COUNTIFS($D:$D,$D4557,$A:$A,$A4557,$B:$B,$B4557,$G:$G,"CDU",$J:$J,"PLANNED")&gt;0,"tied","standalone"),"")</f>
        <v/>
      </c>
    </row>
    <row r="4558" spans="1:14">
      <c r="A4558" s="6">
        <v>2024</v>
      </c>
      <c r="B4558" s="6">
        <v>10</v>
      </c>
      <c r="C4558" s="6" t="s">
        <v>69</v>
      </c>
      <c r="D4558" s="6" t="s">
        <v>1189</v>
      </c>
      <c r="E4558" s="6" t="s">
        <v>502</v>
      </c>
      <c r="F4558" s="6" t="str">
        <f>IF($M4558="PADD I","PADD 1",IF($M4558="PADD II","PADD 2",IF($M4558="PADD III","PADD 3",IF($M4558="PADD IV","PADD 4",IF($M4558="PADD V","PADD 5","")))))</f>
        <v>PADD 5</v>
      </c>
      <c r="G4558" s="6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6" t="s">
        <v>44</v>
      </c>
      <c r="I4558" s="6" t="s">
        <v>980</v>
      </c>
      <c r="J4558" s="6" t="s">
        <v>394</v>
      </c>
      <c r="K4558" s="10">
        <v>30.195</v>
      </c>
      <c r="L4558" s="10">
        <v>49.5</v>
      </c>
      <c r="M4558" s="6" t="s">
        <v>436</v>
      </c>
      <c r="N4558" s="6">
        <f>IF(OR($G4558="FCC",$G4558="Hydrocracker",$G4558="Reformer"),IF(COUNTIFS($D:$D,$D4558,$A:$A,$A4558,$B:$B,$B4558,$G:$G,"CDU",$J:$J,"PLANNED")&gt;0,"tied","standalone"),"")</f>
        <v/>
      </c>
    </row>
    <row r="4559" spans="1:14">
      <c r="A4559" s="6">
        <v>2024</v>
      </c>
      <c r="B4559" s="6">
        <v>10</v>
      </c>
      <c r="C4559" s="6" t="s">
        <v>69</v>
      </c>
      <c r="D4559" s="6" t="s">
        <v>378</v>
      </c>
      <c r="E4559" s="6" t="s">
        <v>477</v>
      </c>
      <c r="F4559" s="6" t="str">
        <f>IF($M4559="PADD I","PADD 1",IF($M4559="PADD II","PADD 2",IF($M4559="PADD III","PADD 3",IF($M4559="PADD IV","PADD 4",IF($M4559="PADD V","PADD 5","")))))</f>
        <v>PADD 3</v>
      </c>
      <c r="G4559" s="6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6" t="s">
        <v>44</v>
      </c>
      <c r="I4559" s="6" t="s">
        <v>1292</v>
      </c>
      <c r="J4559" s="6" t="s">
        <v>398</v>
      </c>
      <c r="K4559" s="10">
        <v>30</v>
      </c>
      <c r="L4559" s="10">
        <v>30</v>
      </c>
      <c r="M4559" s="6" t="s">
        <v>421</v>
      </c>
      <c r="N4559" s="6">
        <f>IF(OR($G4559="FCC",$G4559="Hydrocracker",$G4559="Reformer"),IF(COUNTIFS($D:$D,$D4559,$A:$A,$A4559,$B:$B,$B4559,$G:$G,"CDU",$J:$J,"PLANNED")&gt;0,"tied","standalone"),"")</f>
        <v/>
      </c>
    </row>
    <row r="4560" spans="1:14">
      <c r="A4560" s="6">
        <v>2024</v>
      </c>
      <c r="B4560" s="6">
        <v>10</v>
      </c>
      <c r="C4560" s="6" t="s">
        <v>69</v>
      </c>
      <c r="D4560" s="6" t="s">
        <v>576</v>
      </c>
      <c r="E4560" s="6" t="s">
        <v>455</v>
      </c>
      <c r="F4560" s="6" t="str">
        <f>IF($M4560="PADD I","PADD 1",IF($M4560="PADD II","PADD 2",IF($M4560="PADD III","PADD 3",IF($M4560="PADD IV","PADD 4",IF($M4560="PADD V","PADD 5","")))))</f>
        <v>PADD 3</v>
      </c>
      <c r="G4560" s="6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6" t="s">
        <v>485</v>
      </c>
      <c r="I4560" s="6" t="s">
        <v>1004</v>
      </c>
      <c r="J4560" s="6" t="s">
        <v>394</v>
      </c>
      <c r="K4560" s="10">
        <v>30</v>
      </c>
      <c r="L4560" s="10">
        <v>30</v>
      </c>
      <c r="M4560" s="6" t="s">
        <v>421</v>
      </c>
      <c r="N4560" s="6">
        <f>IF(OR($G4560="FCC",$G4560="Hydrocracker",$G4560="Reformer"),IF(COUNTIFS($D:$D,$D4560,$A:$A,$A4560,$B:$B,$B4560,$G:$G,"CDU",$J:$J,"PLANNED")&gt;0,"tied","standalone"),"")</f>
        <v/>
      </c>
    </row>
    <row r="4561" spans="1:14">
      <c r="A4561" s="6">
        <v>2024</v>
      </c>
      <c r="B4561" s="6">
        <v>10</v>
      </c>
      <c r="C4561" s="6" t="s">
        <v>69</v>
      </c>
      <c r="D4561" s="6" t="s">
        <v>1113</v>
      </c>
      <c r="E4561" s="6" t="s">
        <v>438</v>
      </c>
      <c r="F4561" s="6" t="str">
        <f>IF($M4561="PADD I","PADD 1",IF($M4561="PADD II","PADD 2",IF($M4561="PADD III","PADD 3",IF($M4561="PADD IV","PADD 4",IF($M4561="PADD V","PADD 5","")))))</f>
        <v>PADD 2</v>
      </c>
      <c r="G4561" s="6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6" t="s">
        <v>428</v>
      </c>
      <c r="I4561" s="6" t="s">
        <v>481</v>
      </c>
      <c r="J4561" s="6" t="s">
        <v>398</v>
      </c>
      <c r="K4561" s="10">
        <v>29.26</v>
      </c>
      <c r="L4561" s="10">
        <v>38</v>
      </c>
      <c r="M4561" s="6" t="s">
        <v>425</v>
      </c>
      <c r="N4561" s="6">
        <f>IF(OR($G4561="FCC",$G4561="Hydrocracker",$G4561="Reformer"),IF(COUNTIFS($D:$D,$D4561,$A:$A,$A4561,$B:$B,$B4561,$G:$G,"CDU",$J:$J,"PLANNED")&gt;0,"tied","standalone"),"")</f>
        <v/>
      </c>
    </row>
    <row r="4562" spans="1:14">
      <c r="A4562" s="6">
        <v>2024</v>
      </c>
      <c r="B4562" s="6">
        <v>10</v>
      </c>
      <c r="C4562" s="6" t="s">
        <v>69</v>
      </c>
      <c r="D4562" s="6" t="s">
        <v>496</v>
      </c>
      <c r="E4562" s="6" t="s">
        <v>441</v>
      </c>
      <c r="F4562" s="6" t="str">
        <f>IF($M4562="PADD I","PADD 1",IF($M4562="PADD II","PADD 2",IF($M4562="PADD III","PADD 3",IF($M4562="PADD IV","PADD 4",IF($M4562="PADD V","PADD 5","")))))</f>
        <v>PADD 3</v>
      </c>
      <c r="G4562" s="6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6" t="s">
        <v>44</v>
      </c>
      <c r="I4562" s="6" t="s">
        <v>1193</v>
      </c>
      <c r="J4562" s="6" t="s">
        <v>398</v>
      </c>
      <c r="K4562" s="10">
        <v>28.8</v>
      </c>
      <c r="L4562" s="10">
        <v>32</v>
      </c>
      <c r="M4562" s="6" t="s">
        <v>421</v>
      </c>
      <c r="N4562" s="6">
        <f>IF(OR($G4562="FCC",$G4562="Hydrocracker",$G4562="Reformer"),IF(COUNTIFS($D:$D,$D4562,$A:$A,$A4562,$B:$B,$B4562,$G:$G,"CDU",$J:$J,"PLANNED")&gt;0,"tied","standalone"),"")</f>
        <v/>
      </c>
    </row>
    <row r="4563" spans="1:14">
      <c r="A4563" s="6">
        <v>2024</v>
      </c>
      <c r="B4563" s="6">
        <v>10</v>
      </c>
      <c r="C4563" s="6" t="s">
        <v>69</v>
      </c>
      <c r="D4563" s="6" t="s">
        <v>373</v>
      </c>
      <c r="E4563" s="6" t="s">
        <v>438</v>
      </c>
      <c r="F4563" s="6" t="str">
        <f>IF($M4563="PADD I","PADD 1",IF($M4563="PADD II","PADD 2",IF($M4563="PADD III","PADD 3",IF($M4563="PADD IV","PADD 4",IF($M4563="PADD V","PADD 5","")))))</f>
        <v>PADD 3</v>
      </c>
      <c r="G4563" s="6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6" t="s">
        <v>39</v>
      </c>
      <c r="I4563" s="6" t="s">
        <v>97</v>
      </c>
      <c r="J4563" s="6" t="s">
        <v>398</v>
      </c>
      <c r="K4563" s="10">
        <v>27.55</v>
      </c>
      <c r="L4563" s="10">
        <v>145</v>
      </c>
      <c r="M4563" s="6" t="s">
        <v>421</v>
      </c>
      <c r="N4563" s="6">
        <f>IF(OR($G4563="FCC",$G4563="Hydrocracker",$G4563="Reformer"),IF(COUNTIFS($D:$D,$D4563,$A:$A,$A4563,$B:$B,$B4563,$G:$G,"CDU",$J:$J,"PLANNED")&gt;0,"tied","standalone"),"")</f>
        <v/>
      </c>
    </row>
    <row r="4564" spans="1:14">
      <c r="A4564" s="6">
        <v>2024</v>
      </c>
      <c r="B4564" s="6">
        <v>10</v>
      </c>
      <c r="C4564" s="6" t="s">
        <v>69</v>
      </c>
      <c r="D4564" s="6" t="s">
        <v>1113</v>
      </c>
      <c r="E4564" s="6" t="s">
        <v>438</v>
      </c>
      <c r="F4564" s="6" t="str">
        <f>IF($M4564="PADD I","PADD 1",IF($M4564="PADD II","PADD 2",IF($M4564="PADD III","PADD 3",IF($M4564="PADD IV","PADD 4",IF($M4564="PADD V","PADD 5","")))))</f>
        <v>PADD 2</v>
      </c>
      <c r="G4564" s="6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6" t="s">
        <v>44</v>
      </c>
      <c r="I4564" s="6" t="s">
        <v>499</v>
      </c>
      <c r="J4564" s="6" t="s">
        <v>398</v>
      </c>
      <c r="K4564" s="10">
        <v>25.41</v>
      </c>
      <c r="L4564" s="10">
        <v>33</v>
      </c>
      <c r="M4564" s="6" t="s">
        <v>425</v>
      </c>
      <c r="N4564" s="6">
        <f>IF(OR($G4564="FCC",$G4564="Hydrocracker",$G4564="Reformer"),IF(COUNTIFS($D:$D,$D4564,$A:$A,$A4564,$B:$B,$B4564,$G:$G,"CDU",$J:$J,"PLANNED")&gt;0,"tied","standalone"),"")</f>
        <v/>
      </c>
    </row>
    <row r="4565" spans="1:14">
      <c r="A4565" s="6">
        <v>2024</v>
      </c>
      <c r="B4565" s="6">
        <v>10</v>
      </c>
      <c r="C4565" s="6" t="s">
        <v>69</v>
      </c>
      <c r="D4565" s="6" t="s">
        <v>445</v>
      </c>
      <c r="E4565" s="6" t="s">
        <v>446</v>
      </c>
      <c r="F4565" s="6" t="str">
        <f>IF($M4565="PADD I","PADD 1",IF($M4565="PADD II","PADD 2",IF($M4565="PADD III","PADD 3",IF($M4565="PADD IV","PADD 4",IF($M4565="PADD V","PADD 5","")))))</f>
        <v>PADD 3</v>
      </c>
      <c r="G4565" s="6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6" t="s">
        <v>471</v>
      </c>
      <c r="I4565" s="6" t="s">
        <v>590</v>
      </c>
      <c r="J4565" s="6" t="s">
        <v>394</v>
      </c>
      <c r="K4565" s="10">
        <v>25.2</v>
      </c>
      <c r="L4565" s="10">
        <v>30</v>
      </c>
      <c r="M4565" s="6" t="s">
        <v>421</v>
      </c>
      <c r="N4565" s="6" t="str">
        <f>IF(OR($G4565="FCC",$G4565="Hydrocracker",$G4565="Reformer"),IF(COUNTIFS($D:$D,$D4565,$A:$A,$A4565,$B:$B,$B4565,$G:$G,"CDU",$J:$J,"PLANNED")&gt;0,"tied","standalone"),"")</f>
        <v>standalone</v>
      </c>
    </row>
    <row r="4566" spans="1:14">
      <c r="A4566" s="6">
        <v>2024</v>
      </c>
      <c r="B4566" s="6">
        <v>10</v>
      </c>
      <c r="C4566" s="6" t="s">
        <v>69</v>
      </c>
      <c r="D4566" s="6" t="s">
        <v>1113</v>
      </c>
      <c r="E4566" s="6" t="s">
        <v>438</v>
      </c>
      <c r="F4566" s="6" t="str">
        <f>IF($M4566="PADD I","PADD 1",IF($M4566="PADD II","PADD 2",IF($M4566="PADD III","PADD 3",IF($M4566="PADD IV","PADD 4",IF($M4566="PADD V","PADD 5","")))))</f>
        <v>PADD 2</v>
      </c>
      <c r="G4566" s="6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6" t="s">
        <v>44</v>
      </c>
      <c r="I4566" s="6" t="s">
        <v>1118</v>
      </c>
      <c r="J4566" s="6" t="s">
        <v>398</v>
      </c>
      <c r="K4566" s="10">
        <v>23.87</v>
      </c>
      <c r="L4566" s="10">
        <v>31</v>
      </c>
      <c r="M4566" s="6" t="s">
        <v>425</v>
      </c>
      <c r="N4566" s="6">
        <f>IF(OR($G4566="FCC",$G4566="Hydrocracker",$G4566="Reformer"),IF(COUNTIFS($D:$D,$D4566,$A:$A,$A4566,$B:$B,$B4566,$G:$G,"CDU",$J:$J,"PLANNED")&gt;0,"tied","standalone"),"")</f>
        <v/>
      </c>
    </row>
    <row r="4567" spans="1:14">
      <c r="A4567" s="6">
        <v>2024</v>
      </c>
      <c r="B4567" s="6">
        <v>10</v>
      </c>
      <c r="C4567" s="6" t="s">
        <v>69</v>
      </c>
      <c r="D4567" s="6" t="s">
        <v>380</v>
      </c>
      <c r="E4567" s="6" t="s">
        <v>423</v>
      </c>
      <c r="F4567" s="6" t="str">
        <f>IF($M4567="PADD I","PADD 1",IF($M4567="PADD II","PADD 2",IF($M4567="PADD III","PADD 3",IF($M4567="PADD IV","PADD 4",IF($M4567="PADD V","PADD 5","")))))</f>
        <v>PADD 2</v>
      </c>
      <c r="G4567" s="6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6" t="s">
        <v>485</v>
      </c>
      <c r="I4567" s="6" t="s">
        <v>491</v>
      </c>
      <c r="J4567" s="6" t="s">
        <v>394</v>
      </c>
      <c r="K4567" s="10">
        <v>23</v>
      </c>
      <c r="L4567" s="10">
        <v>23</v>
      </c>
      <c r="M4567" s="6" t="s">
        <v>425</v>
      </c>
      <c r="N4567" s="6">
        <f>IF(OR($G4567="FCC",$G4567="Hydrocracker",$G4567="Reformer"),IF(COUNTIFS($D:$D,$D4567,$A:$A,$A4567,$B:$B,$B4567,$G:$G,"CDU",$J:$J,"PLANNED")&gt;0,"tied","standalone"),"")</f>
        <v/>
      </c>
    </row>
    <row r="4568" spans="1:14">
      <c r="A4568" s="6">
        <v>2024</v>
      </c>
      <c r="B4568" s="6">
        <v>10</v>
      </c>
      <c r="C4568" s="6" t="s">
        <v>69</v>
      </c>
      <c r="D4568" s="6" t="s">
        <v>458</v>
      </c>
      <c r="E4568" s="6" t="s">
        <v>459</v>
      </c>
      <c r="F4568" s="6" t="str">
        <f>IF($M4568="PADD I","PADD 1",IF($M4568="PADD II","PADD 2",IF($M4568="PADD III","PADD 3",IF($M4568="PADD IV","PADD 4",IF($M4568="PADD V","PADD 5","")))))</f>
        <v>PADD 3</v>
      </c>
      <c r="G4568" s="6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6" t="s">
        <v>428</v>
      </c>
      <c r="I4568" s="6" t="s">
        <v>556</v>
      </c>
      <c r="J4568" s="6" t="s">
        <v>394</v>
      </c>
      <c r="K4568" s="10">
        <v>22.95</v>
      </c>
      <c r="L4568" s="10">
        <v>51</v>
      </c>
      <c r="M4568" s="6" t="s">
        <v>421</v>
      </c>
      <c r="N4568" s="6">
        <f>IF(OR($G4568="FCC",$G4568="Hydrocracker",$G4568="Reformer"),IF(COUNTIFS($D:$D,$D4568,$A:$A,$A4568,$B:$B,$B4568,$G:$G,"CDU",$J:$J,"PLANNED")&gt;0,"tied","standalone"),"")</f>
        <v/>
      </c>
    </row>
    <row r="4569" spans="1:14">
      <c r="A4569" s="6">
        <v>2024</v>
      </c>
      <c r="B4569" s="6">
        <v>10</v>
      </c>
      <c r="C4569" s="6" t="s">
        <v>69</v>
      </c>
      <c r="D4569" s="6" t="s">
        <v>652</v>
      </c>
      <c r="E4569" s="6" t="s">
        <v>419</v>
      </c>
      <c r="F4569" s="6" t="str">
        <f>IF($M4569="PADD I","PADD 1",IF($M4569="PADD II","PADD 2",IF($M4569="PADD III","PADD 3",IF($M4569="PADD IV","PADD 4",IF($M4569="PADD V","PADD 5","")))))</f>
        <v>PADD 2</v>
      </c>
      <c r="G4569" s="6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6" t="s">
        <v>471</v>
      </c>
      <c r="I4569" s="6" t="s">
        <v>747</v>
      </c>
      <c r="J4569" s="6" t="s">
        <v>394</v>
      </c>
      <c r="K4569" s="10">
        <v>22.68</v>
      </c>
      <c r="L4569" s="10">
        <v>27</v>
      </c>
      <c r="M4569" s="6" t="s">
        <v>425</v>
      </c>
      <c r="N4569" s="6" t="str">
        <f>IF(OR($G4569="FCC",$G4569="Hydrocracker",$G4569="Reformer"),IF(COUNTIFS($D:$D,$D4569,$A:$A,$A4569,$B:$B,$B4569,$G:$G,"CDU",$J:$J,"PLANNED")&gt;0,"tied","standalone"),"")</f>
        <v>tied</v>
      </c>
    </row>
    <row r="4570" spans="1:14">
      <c r="A4570" s="6">
        <v>2024</v>
      </c>
      <c r="B4570" s="6">
        <v>10</v>
      </c>
      <c r="C4570" s="6" t="s">
        <v>69</v>
      </c>
      <c r="D4570" s="6" t="s">
        <v>496</v>
      </c>
      <c r="E4570" s="6" t="s">
        <v>441</v>
      </c>
      <c r="F4570" s="6" t="str">
        <f>IF($M4570="PADD I","PADD 1",IF($M4570="PADD II","PADD 2",IF($M4570="PADD III","PADD 3",IF($M4570="PADD IV","PADD 4",IF($M4570="PADD V","PADD 5","")))))</f>
        <v>PADD 3</v>
      </c>
      <c r="G4570" s="6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6" t="s">
        <v>471</v>
      </c>
      <c r="I4570" s="6" t="s">
        <v>533</v>
      </c>
      <c r="J4570" s="6" t="s">
        <v>398</v>
      </c>
      <c r="K4570" s="10">
        <v>22.56</v>
      </c>
      <c r="L4570" s="10">
        <v>24</v>
      </c>
      <c r="M4570" s="6" t="s">
        <v>421</v>
      </c>
      <c r="N4570" s="6" t="str">
        <f>IF(OR($G4570="FCC",$G4570="Hydrocracker",$G4570="Reformer"),IF(COUNTIFS($D:$D,$D4570,$A:$A,$A4570,$B:$B,$B4570,$G:$G,"CDU",$J:$J,"PLANNED")&gt;0,"tied","standalone"),"")</f>
        <v>tied</v>
      </c>
    </row>
    <row r="4571" spans="1:14">
      <c r="A4571" s="6">
        <v>2024</v>
      </c>
      <c r="B4571" s="6">
        <v>10</v>
      </c>
      <c r="C4571" s="6" t="s">
        <v>69</v>
      </c>
      <c r="D4571" s="6" t="s">
        <v>1191</v>
      </c>
      <c r="E4571" s="6" t="s">
        <v>1129</v>
      </c>
      <c r="F4571" s="6" t="str">
        <f>IF($M4571="PADD I","PADD 1",IF($M4571="PADD II","PADD 2",IF($M4571="PADD III","PADD 3",IF($M4571="PADD IV","PADD 4",IF($M4571="PADD V","PADD 5","")))))</f>
        <v>PADD 3</v>
      </c>
      <c r="G4571" s="6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6" t="s">
        <v>44</v>
      </c>
      <c r="I4571" s="6" t="s">
        <v>977</v>
      </c>
      <c r="J4571" s="6" t="s">
        <v>398</v>
      </c>
      <c r="K4571" s="10">
        <v>22.5</v>
      </c>
      <c r="L4571" s="10">
        <v>25</v>
      </c>
      <c r="M4571" s="6" t="s">
        <v>421</v>
      </c>
      <c r="N4571" s="6">
        <f>IF(OR($G4571="FCC",$G4571="Hydrocracker",$G4571="Reformer"),IF(COUNTIFS($D:$D,$D4571,$A:$A,$A4571,$B:$B,$B4571,$G:$G,"CDU",$J:$J,"PLANNED")&gt;0,"tied","standalone"),"")</f>
        <v/>
      </c>
    </row>
    <row r="4572" spans="1:14">
      <c r="A4572" s="6">
        <v>2024</v>
      </c>
      <c r="B4572" s="6">
        <v>10</v>
      </c>
      <c r="C4572" s="6" t="s">
        <v>69</v>
      </c>
      <c r="D4572" s="6" t="s">
        <v>613</v>
      </c>
      <c r="E4572" s="6" t="s">
        <v>446</v>
      </c>
      <c r="F4572" s="6" t="str">
        <f>IF($M4572="PADD I","PADD 1",IF($M4572="PADD II","PADD 2",IF($M4572="PADD III","PADD 3",IF($M4572="PADD IV","PADD 4",IF($M4572="PADD V","PADD 5","")))))</f>
        <v>PADD 3</v>
      </c>
      <c r="G4572" s="6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6" t="s">
        <v>44</v>
      </c>
      <c r="I4572" s="6" t="s">
        <v>614</v>
      </c>
      <c r="J4572" s="6" t="s">
        <v>394</v>
      </c>
      <c r="K4572" s="10">
        <v>22.495</v>
      </c>
      <c r="L4572" s="10">
        <v>40.9</v>
      </c>
      <c r="M4572" s="6" t="s">
        <v>421</v>
      </c>
      <c r="N4572" s="6">
        <f>IF(OR($G4572="FCC",$G4572="Hydrocracker",$G4572="Reformer"),IF(COUNTIFS($D:$D,$D4572,$A:$A,$A4572,$B:$B,$B4572,$G:$G,"CDU",$J:$J,"PLANNED")&gt;0,"tied","standalone"),"")</f>
        <v/>
      </c>
    </row>
    <row r="4573" spans="1:14">
      <c r="A4573" s="6">
        <v>2024</v>
      </c>
      <c r="B4573" s="6">
        <v>10</v>
      </c>
      <c r="C4573" s="6" t="s">
        <v>69</v>
      </c>
      <c r="D4573" s="6" t="s">
        <v>41</v>
      </c>
      <c r="E4573" s="6" t="s">
        <v>786</v>
      </c>
      <c r="F4573" s="6" t="str">
        <f>IF($M4573="PADD I","PADD 1",IF($M4573="PADD II","PADD 2",IF($M4573="PADD III","PADD 3",IF($M4573="PADD IV","PADD 4",IF($M4573="PADD V","PADD 5","")))))</f>
        <v>PADD 1</v>
      </c>
      <c r="G4573" s="6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6" t="s">
        <v>426</v>
      </c>
      <c r="I4573" s="6" t="s">
        <v>787</v>
      </c>
      <c r="J4573" s="6" t="s">
        <v>398</v>
      </c>
      <c r="K4573" s="10">
        <v>22.26</v>
      </c>
      <c r="L4573" s="10">
        <v>53</v>
      </c>
      <c r="M4573" s="6" t="s">
        <v>463</v>
      </c>
      <c r="N4573" s="6" t="str">
        <f>IF(OR($G4573="FCC",$G4573="Hydrocracker",$G4573="Reformer"),IF(COUNTIFS($D:$D,$D4573,$A:$A,$A4573,$B:$B,$B4573,$G:$G,"CDU",$J:$J,"PLANNED")&gt;0,"tied","standalone"),"")</f>
        <v>standalone</v>
      </c>
    </row>
    <row r="4574" spans="1:14">
      <c r="A4574" s="6">
        <v>2024</v>
      </c>
      <c r="B4574" s="6">
        <v>10</v>
      </c>
      <c r="C4574" s="6" t="s">
        <v>69</v>
      </c>
      <c r="D4574" s="6" t="s">
        <v>725</v>
      </c>
      <c r="E4574" s="6" t="s">
        <v>502</v>
      </c>
      <c r="F4574" s="6" t="str">
        <f>IF($M4574="PADD I","PADD 1",IF($M4574="PADD II","PADD 2",IF($M4574="PADD III","PADD 3",IF($M4574="PADD IV","PADD 4",IF($M4574="PADD V","PADD 5","")))))</f>
        <v>PADD 2</v>
      </c>
      <c r="G4574" s="6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6" t="s">
        <v>471</v>
      </c>
      <c r="I4574" s="6" t="s">
        <v>748</v>
      </c>
      <c r="J4574" s="6" t="s">
        <v>398</v>
      </c>
      <c r="K4574" s="10">
        <v>22</v>
      </c>
      <c r="L4574" s="10">
        <v>22</v>
      </c>
      <c r="M4574" s="6" t="s">
        <v>425</v>
      </c>
      <c r="N4574" s="6" t="str">
        <f>IF(OR($G4574="FCC",$G4574="Hydrocracker",$G4574="Reformer"),IF(COUNTIFS($D:$D,$D4574,$A:$A,$A4574,$B:$B,$B4574,$G:$G,"CDU",$J:$J,"PLANNED")&gt;0,"tied","standalone"),"")</f>
        <v>tied</v>
      </c>
    </row>
    <row r="4575" spans="1:14">
      <c r="A4575" s="6">
        <v>2024</v>
      </c>
      <c r="B4575" s="6">
        <v>10</v>
      </c>
      <c r="C4575" s="6" t="s">
        <v>69</v>
      </c>
      <c r="D4575" s="6" t="s">
        <v>725</v>
      </c>
      <c r="E4575" s="6" t="s">
        <v>502</v>
      </c>
      <c r="F4575" s="6" t="str">
        <f>IF($M4575="PADD I","PADD 1",IF($M4575="PADD II","PADD 2",IF($M4575="PADD III","PADD 3",IF($M4575="PADD IV","PADD 4",IF($M4575="PADD V","PADD 5","")))))</f>
        <v>PADD 2</v>
      </c>
      <c r="G4575" s="6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6" t="s">
        <v>471</v>
      </c>
      <c r="I4575" s="6" t="s">
        <v>748</v>
      </c>
      <c r="J4575" s="6" t="s">
        <v>398</v>
      </c>
      <c r="K4575" s="10">
        <v>22</v>
      </c>
      <c r="L4575" s="10">
        <v>22</v>
      </c>
      <c r="M4575" s="6" t="s">
        <v>425</v>
      </c>
      <c r="N4575" s="6" t="str">
        <f>IF(OR($G4575="FCC",$G4575="Hydrocracker",$G4575="Reformer"),IF(COUNTIFS($D:$D,$D4575,$A:$A,$A4575,$B:$B,$B4575,$G:$G,"CDU",$J:$J,"PLANNED")&gt;0,"tied","standalone"),"")</f>
        <v>tied</v>
      </c>
    </row>
    <row r="4576" spans="1:14">
      <c r="A4576" s="6">
        <v>2024</v>
      </c>
      <c r="B4576" s="6">
        <v>10</v>
      </c>
      <c r="C4576" s="6" t="s">
        <v>69</v>
      </c>
      <c r="D4576" s="6" t="s">
        <v>1113</v>
      </c>
      <c r="E4576" s="6" t="s">
        <v>438</v>
      </c>
      <c r="F4576" s="6" t="str">
        <f>IF($M4576="PADD I","PADD 1",IF($M4576="PADD II","PADD 2",IF($M4576="PADD III","PADD 3",IF($M4576="PADD IV","PADD 4",IF($M4576="PADD V","PADD 5","")))))</f>
        <v>PADD 2</v>
      </c>
      <c r="G4576" s="6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6" t="s">
        <v>485</v>
      </c>
      <c r="I4576" s="6" t="s">
        <v>491</v>
      </c>
      <c r="J4576" s="6" t="s">
        <v>398</v>
      </c>
      <c r="K4576" s="10">
        <v>21.56</v>
      </c>
      <c r="L4576" s="10">
        <v>28</v>
      </c>
      <c r="M4576" s="6" t="s">
        <v>425</v>
      </c>
      <c r="N4576" s="6">
        <f>IF(OR($G4576="FCC",$G4576="Hydrocracker",$G4576="Reformer"),IF(COUNTIFS($D:$D,$D4576,$A:$A,$A4576,$B:$B,$B4576,$G:$G,"CDU",$J:$J,"PLANNED")&gt;0,"tied","standalone"),"")</f>
        <v/>
      </c>
    </row>
    <row r="4577" spans="1:14">
      <c r="A4577" s="6">
        <v>2024</v>
      </c>
      <c r="B4577" s="6">
        <v>10</v>
      </c>
      <c r="C4577" s="6" t="s">
        <v>69</v>
      </c>
      <c r="D4577" s="6" t="s">
        <v>1113</v>
      </c>
      <c r="E4577" s="6" t="s">
        <v>438</v>
      </c>
      <c r="F4577" s="6" t="str">
        <f>IF($M4577="PADD I","PADD 1",IF($M4577="PADD II","PADD 2",IF($M4577="PADD III","PADD 3",IF($M4577="PADD IV","PADD 4",IF($M4577="PADD V","PADD 5","")))))</f>
        <v>PADD 2</v>
      </c>
      <c r="G4577" s="6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6" t="s">
        <v>471</v>
      </c>
      <c r="I4577" s="6" t="s">
        <v>1119</v>
      </c>
      <c r="J4577" s="6" t="s">
        <v>394</v>
      </c>
      <c r="K4577" s="10">
        <v>21.5</v>
      </c>
      <c r="L4577" s="10">
        <v>21.5</v>
      </c>
      <c r="M4577" s="6" t="s">
        <v>425</v>
      </c>
      <c r="N4577" s="6" t="str">
        <f>IF(OR($G4577="FCC",$G4577="Hydrocracker",$G4577="Reformer"),IF(COUNTIFS($D:$D,$D4577,$A:$A,$A4577,$B:$B,$B4577,$G:$G,"CDU",$J:$J,"PLANNED")&gt;0,"tied","standalone"),"")</f>
        <v>tied</v>
      </c>
    </row>
    <row r="4578" spans="1:14">
      <c r="A4578" s="6">
        <v>2024</v>
      </c>
      <c r="B4578" s="6">
        <v>10</v>
      </c>
      <c r="C4578" s="6" t="s">
        <v>69</v>
      </c>
      <c r="D4578" s="6" t="s">
        <v>788</v>
      </c>
      <c r="E4578" s="6" t="s">
        <v>602</v>
      </c>
      <c r="F4578" s="6" t="str">
        <f>IF($M4578="PADD I","PADD 1",IF($M4578="PADD II","PADD 2",IF($M4578="PADD III","PADD 3",IF($M4578="PADD IV","PADD 4",IF($M4578="PADD V","PADD 5","")))))</f>
        <v>PADD 3</v>
      </c>
      <c r="G4578" s="6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6" t="s">
        <v>426</v>
      </c>
      <c r="I4578" s="6" t="s">
        <v>106</v>
      </c>
      <c r="J4578" s="6" t="s">
        <v>398</v>
      </c>
      <c r="K4578" s="10">
        <v>21.125</v>
      </c>
      <c r="L4578" s="10">
        <v>32.5</v>
      </c>
      <c r="M4578" s="6" t="s">
        <v>421</v>
      </c>
      <c r="N4578" s="6" t="str">
        <f>IF(OR($G4578="FCC",$G4578="Hydrocracker",$G4578="Reformer"),IF(COUNTIFS($D:$D,$D4578,$A:$A,$A4578,$B:$B,$B4578,$G:$G,"CDU",$J:$J,"PLANNED")&gt;0,"tied","standalone"),"")</f>
        <v>tied</v>
      </c>
    </row>
    <row r="4579" spans="1:14">
      <c r="A4579" s="6">
        <v>2024</v>
      </c>
      <c r="B4579" s="6">
        <v>10</v>
      </c>
      <c r="C4579" s="6" t="s">
        <v>69</v>
      </c>
      <c r="D4579" s="6" t="s">
        <v>458</v>
      </c>
      <c r="E4579" s="6" t="s">
        <v>459</v>
      </c>
      <c r="F4579" s="6" t="str">
        <f>IF($M4579="PADD I","PADD 1",IF($M4579="PADD II","PADD 2",IF($M4579="PADD III","PADD 3",IF($M4579="PADD IV","PADD 4",IF($M4579="PADD V","PADD 5","")))))</f>
        <v>PADD 3</v>
      </c>
      <c r="G4579" s="6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6" t="s">
        <v>485</v>
      </c>
      <c r="I4579" s="6" t="s">
        <v>509</v>
      </c>
      <c r="J4579" s="6" t="s">
        <v>394</v>
      </c>
      <c r="K4579" s="10">
        <v>21</v>
      </c>
      <c r="L4579" s="10">
        <v>60</v>
      </c>
      <c r="M4579" s="6" t="s">
        <v>421</v>
      </c>
      <c r="N4579" s="6">
        <f>IF(OR($G4579="FCC",$G4579="Hydrocracker",$G4579="Reformer"),IF(COUNTIFS($D:$D,$D4579,$A:$A,$A4579,$B:$B,$B4579,$G:$G,"CDU",$J:$J,"PLANNED")&gt;0,"tied","standalone"),"")</f>
        <v/>
      </c>
    </row>
    <row r="4580" spans="1:14">
      <c r="A4580" s="6">
        <v>2024</v>
      </c>
      <c r="B4580" s="6">
        <v>10</v>
      </c>
      <c r="C4580" s="6" t="s">
        <v>69</v>
      </c>
      <c r="D4580" s="6" t="s">
        <v>725</v>
      </c>
      <c r="E4580" s="6" t="s">
        <v>502</v>
      </c>
      <c r="F4580" s="6" t="str">
        <f>IF($M4580="PADD I","PADD 1",IF($M4580="PADD II","PADD 2",IF($M4580="PADD III","PADD 3",IF($M4580="PADD IV","PADD 4",IF($M4580="PADD V","PADD 5","")))))</f>
        <v>PADD 2</v>
      </c>
      <c r="G4580" s="6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6" t="s">
        <v>485</v>
      </c>
      <c r="I4580" s="6" t="s">
        <v>491</v>
      </c>
      <c r="J4580" s="6" t="s">
        <v>398</v>
      </c>
      <c r="K4580" s="10">
        <v>20.5</v>
      </c>
      <c r="L4580" s="10">
        <v>20.5</v>
      </c>
      <c r="M4580" s="6" t="s">
        <v>425</v>
      </c>
      <c r="N4580" s="6">
        <f>IF(OR($G4580="FCC",$G4580="Hydrocracker",$G4580="Reformer"),IF(COUNTIFS($D:$D,$D4580,$A:$A,$A4580,$B:$B,$B4580,$G:$G,"CDU",$J:$J,"PLANNED")&gt;0,"tied","standalone"),"")</f>
        <v/>
      </c>
    </row>
    <row r="4581" spans="1:14">
      <c r="A4581" s="6">
        <v>2024</v>
      </c>
      <c r="B4581" s="6">
        <v>10</v>
      </c>
      <c r="C4581" s="6" t="s">
        <v>69</v>
      </c>
      <c r="D4581" s="6" t="s">
        <v>865</v>
      </c>
      <c r="E4581" s="6" t="s">
        <v>502</v>
      </c>
      <c r="F4581" s="6" t="str">
        <f>IF($M4581="PADD I","PADD 1",IF($M4581="PADD II","PADD 2",IF($M4581="PADD III","PADD 3",IF($M4581="PADD IV","PADD 4",IF($M4581="PADD V","PADD 5","")))))</f>
        <v>PADD 4</v>
      </c>
      <c r="G4581" s="6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6" t="s">
        <v>39</v>
      </c>
      <c r="I4581" s="6" t="s">
        <v>1281</v>
      </c>
      <c r="J4581" s="6" t="s">
        <v>398</v>
      </c>
      <c r="K4581" s="10">
        <v>19.84</v>
      </c>
      <c r="L4581" s="10">
        <v>62</v>
      </c>
      <c r="M4581" s="6" t="s">
        <v>480</v>
      </c>
      <c r="N4581" s="6">
        <f>IF(OR($G4581="FCC",$G4581="Hydrocracker",$G4581="Reformer"),IF(COUNTIFS($D:$D,$D4581,$A:$A,$A4581,$B:$B,$B4581,$G:$G,"CDU",$J:$J,"PLANNED")&gt;0,"tied","standalone"),"")</f>
        <v/>
      </c>
    </row>
    <row r="4582" spans="1:14">
      <c r="A4582" s="6">
        <v>2024</v>
      </c>
      <c r="B4582" s="6">
        <v>10</v>
      </c>
      <c r="C4582" s="6" t="s">
        <v>69</v>
      </c>
      <c r="D4582" s="6" t="s">
        <v>445</v>
      </c>
      <c r="E4582" s="6" t="s">
        <v>446</v>
      </c>
      <c r="F4582" s="6" t="str">
        <f>IF($M4582="PADD I","PADD 1",IF($M4582="PADD II","PADD 2",IF($M4582="PADD III","PADD 3",IF($M4582="PADD IV","PADD 4",IF($M4582="PADD V","PADD 5","")))))</f>
        <v>PADD 3</v>
      </c>
      <c r="G4582" s="6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6" t="s">
        <v>428</v>
      </c>
      <c r="I4582" s="6" t="s">
        <v>524</v>
      </c>
      <c r="J4582" s="6" t="s">
        <v>394</v>
      </c>
      <c r="K4582" s="10">
        <v>18.4</v>
      </c>
      <c r="L4582" s="10">
        <v>115</v>
      </c>
      <c r="M4582" s="6" t="s">
        <v>421</v>
      </c>
      <c r="N4582" s="6">
        <f>IF(OR($G4582="FCC",$G4582="Hydrocracker",$G4582="Reformer"),IF(COUNTIFS($D:$D,$D4582,$A:$A,$A4582,$B:$B,$B4582,$G:$G,"CDU",$J:$J,"PLANNED")&gt;0,"tied","standalone"),"")</f>
        <v/>
      </c>
    </row>
    <row r="4583" spans="1:14">
      <c r="A4583" s="6">
        <v>2024</v>
      </c>
      <c r="B4583" s="6">
        <v>10</v>
      </c>
      <c r="C4583" s="6" t="s">
        <v>69</v>
      </c>
      <c r="D4583" s="6" t="s">
        <v>496</v>
      </c>
      <c r="E4583" s="6" t="s">
        <v>441</v>
      </c>
      <c r="F4583" s="6" t="str">
        <f>IF($M4583="PADD I","PADD 1",IF($M4583="PADD II","PADD 2",IF($M4583="PADD III","PADD 3",IF($M4583="PADD IV","PADD 4",IF($M4583="PADD V","PADD 5","")))))</f>
        <v>PADD 3</v>
      </c>
      <c r="G4583" s="6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6" t="s">
        <v>44</v>
      </c>
      <c r="I4583" s="6" t="s">
        <v>444</v>
      </c>
      <c r="J4583" s="6" t="s">
        <v>398</v>
      </c>
      <c r="K4583" s="10">
        <v>18</v>
      </c>
      <c r="L4583" s="10">
        <v>20</v>
      </c>
      <c r="M4583" s="6" t="s">
        <v>421</v>
      </c>
      <c r="N4583" s="6">
        <f>IF(OR($G4583="FCC",$G4583="Hydrocracker",$G4583="Reformer"),IF(COUNTIFS($D:$D,$D4583,$A:$A,$A4583,$B:$B,$B4583,$G:$G,"CDU",$J:$J,"PLANNED")&gt;0,"tied","standalone"),"")</f>
        <v/>
      </c>
    </row>
    <row r="4584" spans="1:14">
      <c r="A4584" s="6">
        <v>2024</v>
      </c>
      <c r="B4584" s="6">
        <v>10</v>
      </c>
      <c r="C4584" s="6" t="s">
        <v>69</v>
      </c>
      <c r="D4584" s="6" t="s">
        <v>889</v>
      </c>
      <c r="E4584" s="6" t="s">
        <v>890</v>
      </c>
      <c r="F4584" s="6" t="str">
        <f>IF($M4584="PADD I","PADD 1",IF($M4584="PADD II","PADD 2",IF($M4584="PADD III","PADD 3",IF($M4584="PADD IV","PADD 4",IF($M4584="PADD V","PADD 5","")))))</f>
        <v>PADD 1</v>
      </c>
      <c r="G4584" s="6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6" t="s">
        <v>44</v>
      </c>
      <c r="I4584" s="6" t="s">
        <v>891</v>
      </c>
      <c r="J4584" s="6" t="s">
        <v>394</v>
      </c>
      <c r="K4584" s="10">
        <v>17</v>
      </c>
      <c r="L4584" s="10">
        <v>25</v>
      </c>
      <c r="M4584" s="6" t="s">
        <v>463</v>
      </c>
      <c r="N4584" s="6">
        <f>IF(OR($G4584="FCC",$G4584="Hydrocracker",$G4584="Reformer"),IF(COUNTIFS($D:$D,$D4584,$A:$A,$A4584,$B:$B,$B4584,$G:$G,"CDU",$J:$J,"PLANNED")&gt;0,"tied","standalone"),"")</f>
        <v/>
      </c>
    </row>
    <row r="4585" spans="1:14">
      <c r="A4585" s="6">
        <v>2024</v>
      </c>
      <c r="B4585" s="6">
        <v>10</v>
      </c>
      <c r="C4585" s="6" t="s">
        <v>69</v>
      </c>
      <c r="D4585" s="6" t="s">
        <v>1264</v>
      </c>
      <c r="E4585" s="6" t="s">
        <v>1265</v>
      </c>
      <c r="F4585" s="6" t="str">
        <f>IF($M4585="PADD I","PADD 1",IF($M4585="PADD II","PADD 2",IF($M4585="PADD III","PADD 3",IF($M4585="PADD IV","PADD 4",IF($M4585="PADD V","PADD 5","")))))</f>
        <v>PADD 1</v>
      </c>
      <c r="G4585" s="6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6" t="s">
        <v>39</v>
      </c>
      <c r="I4585" s="6" t="s">
        <v>132</v>
      </c>
      <c r="J4585" s="6" t="s">
        <v>394</v>
      </c>
      <c r="K4585" s="10">
        <v>16.24</v>
      </c>
      <c r="L4585" s="10">
        <v>56</v>
      </c>
      <c r="M4585" s="6" t="s">
        <v>463</v>
      </c>
      <c r="N4585" s="6">
        <f>IF(OR($G4585="FCC",$G4585="Hydrocracker",$G4585="Reformer"),IF(COUNTIFS($D:$D,$D4585,$A:$A,$A4585,$B:$B,$B4585,$G:$G,"CDU",$J:$J,"PLANNED")&gt;0,"tied","standalone"),"")</f>
        <v/>
      </c>
    </row>
    <row r="4586" spans="1:14">
      <c r="A4586" s="6">
        <v>2024</v>
      </c>
      <c r="B4586" s="6">
        <v>10</v>
      </c>
      <c r="C4586" s="6" t="s">
        <v>69</v>
      </c>
      <c r="D4586" s="6" t="s">
        <v>726</v>
      </c>
      <c r="E4586" s="6" t="s">
        <v>727</v>
      </c>
      <c r="F4586" s="6" t="str">
        <f>IF($M4586="PADD I","PADD 1",IF($M4586="PADD II","PADD 2",IF($M4586="PADD III","PADD 3",IF($M4586="PADD IV","PADD 4",IF($M4586="PADD V","PADD 5","")))))</f>
        <v>PADD 1</v>
      </c>
      <c r="G4586" s="6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6" t="s">
        <v>39</v>
      </c>
      <c r="I4586" s="6" t="s">
        <v>728</v>
      </c>
      <c r="J4586" s="6" t="s">
        <v>394</v>
      </c>
      <c r="K4586" s="10">
        <v>16.24</v>
      </c>
      <c r="L4586" s="10">
        <v>56</v>
      </c>
      <c r="M4586" s="6" t="s">
        <v>463</v>
      </c>
      <c r="N4586" s="6">
        <f>IF(OR($G4586="FCC",$G4586="Hydrocracker",$G4586="Reformer"),IF(COUNTIFS($D:$D,$D4586,$A:$A,$A4586,$B:$B,$B4586,$G:$G,"CDU",$J:$J,"PLANNED")&gt;0,"tied","standalone"),"")</f>
        <v/>
      </c>
    </row>
    <row r="4587" spans="1:14">
      <c r="A4587" s="6">
        <v>2024</v>
      </c>
      <c r="B4587" s="6">
        <v>10</v>
      </c>
      <c r="C4587" s="6" t="s">
        <v>69</v>
      </c>
      <c r="D4587" s="6" t="s">
        <v>788</v>
      </c>
      <c r="E4587" s="6" t="s">
        <v>602</v>
      </c>
      <c r="F4587" s="6" t="str">
        <f>IF($M4587="PADD I","PADD 1",IF($M4587="PADD II","PADD 2",IF($M4587="PADD III","PADD 3",IF($M4587="PADD IV","PADD 4",IF($M4587="PADD V","PADD 5","")))))</f>
        <v>PADD 3</v>
      </c>
      <c r="G4587" s="6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6" t="s">
        <v>428</v>
      </c>
      <c r="I4587" s="6" t="s">
        <v>481</v>
      </c>
      <c r="J4587" s="6" t="s">
        <v>398</v>
      </c>
      <c r="K4587" s="10">
        <v>15.6</v>
      </c>
      <c r="L4587" s="10">
        <v>24</v>
      </c>
      <c r="M4587" s="6" t="s">
        <v>421</v>
      </c>
      <c r="N4587" s="6">
        <f>IF(OR($G4587="FCC",$G4587="Hydrocracker",$G4587="Reformer"),IF(COUNTIFS($D:$D,$D4587,$A:$A,$A4587,$B:$B,$B4587,$G:$G,"CDU",$J:$J,"PLANNED")&gt;0,"tied","standalone"),"")</f>
        <v/>
      </c>
    </row>
    <row r="4588" spans="1:14">
      <c r="A4588" s="6">
        <v>2024</v>
      </c>
      <c r="B4588" s="6">
        <v>10</v>
      </c>
      <c r="C4588" s="6" t="s">
        <v>69</v>
      </c>
      <c r="D4588" s="6" t="s">
        <v>378</v>
      </c>
      <c r="E4588" s="6" t="s">
        <v>477</v>
      </c>
      <c r="F4588" s="6" t="str">
        <f>IF($M4588="PADD I","PADD 1",IF($M4588="PADD II","PADD 2",IF($M4588="PADD III","PADD 3",IF($M4588="PADD IV","PADD 4",IF($M4588="PADD V","PADD 5","")))))</f>
        <v>PADD 3</v>
      </c>
      <c r="G4588" s="6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6" t="s">
        <v>485</v>
      </c>
      <c r="I4588" s="6" t="s">
        <v>1298</v>
      </c>
      <c r="J4588" s="6" t="s">
        <v>398</v>
      </c>
      <c r="K4588" s="10">
        <v>15</v>
      </c>
      <c r="L4588" s="10">
        <v>15</v>
      </c>
      <c r="M4588" s="6" t="s">
        <v>421</v>
      </c>
      <c r="N4588" s="6">
        <f>IF(OR($G4588="FCC",$G4588="Hydrocracker",$G4588="Reformer"),IF(COUNTIFS($D:$D,$D4588,$A:$A,$A4588,$B:$B,$B4588,$G:$G,"CDU",$J:$J,"PLANNED")&gt;0,"tied","standalone"),"")</f>
        <v/>
      </c>
    </row>
    <row r="4589" spans="1:14">
      <c r="A4589" s="6">
        <v>2024</v>
      </c>
      <c r="B4589" s="6">
        <v>10</v>
      </c>
      <c r="C4589" s="6" t="s">
        <v>69</v>
      </c>
      <c r="D4589" s="6" t="s">
        <v>518</v>
      </c>
      <c r="E4589" s="6" t="s">
        <v>419</v>
      </c>
      <c r="F4589" s="6" t="str">
        <f>IF($M4589="PADD I","PADD 1",IF($M4589="PADD II","PADD 2",IF($M4589="PADD III","PADD 3",IF($M4589="PADD IV","PADD 4",IF($M4589="PADD V","PADD 5","")))))</f>
        <v>PADD 3</v>
      </c>
      <c r="G4589" s="6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6" t="s">
        <v>510</v>
      </c>
      <c r="I4589" s="6" t="s">
        <v>940</v>
      </c>
      <c r="J4589" s="6" t="s">
        <v>394</v>
      </c>
      <c r="K4589" s="10">
        <v>14</v>
      </c>
      <c r="L4589" s="10">
        <v>14</v>
      </c>
      <c r="M4589" s="6" t="s">
        <v>421</v>
      </c>
      <c r="N4589" s="6">
        <f>IF(OR($G4589="FCC",$G4589="Hydrocracker",$G4589="Reformer"),IF(COUNTIFS($D:$D,$D4589,$A:$A,$A4589,$B:$B,$B4589,$G:$G,"CDU",$J:$J,"PLANNED")&gt;0,"tied","standalone"),"")</f>
        <v/>
      </c>
    </row>
    <row r="4590" spans="1:14">
      <c r="A4590" s="6">
        <v>2024</v>
      </c>
      <c r="B4590" s="6">
        <v>10</v>
      </c>
      <c r="C4590" s="6" t="s">
        <v>69</v>
      </c>
      <c r="D4590" s="6" t="s">
        <v>901</v>
      </c>
      <c r="E4590" s="6" t="s">
        <v>902</v>
      </c>
      <c r="F4590" s="6" t="str">
        <f>IF($M4590="PADD I","PADD 1",IF($M4590="PADD II","PADD 2",IF($M4590="PADD III","PADD 3",IF($M4590="PADD IV","PADD 4",IF($M4590="PADD V","PADD 5","")))))</f>
        <v>PADD 3</v>
      </c>
      <c r="G4590" s="6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6" t="s">
        <v>39</v>
      </c>
      <c r="I4590" s="6" t="s">
        <v>904</v>
      </c>
      <c r="J4590" s="6" t="s">
        <v>394</v>
      </c>
      <c r="K4590" s="10">
        <v>13.87</v>
      </c>
      <c r="L4590" s="10">
        <v>73</v>
      </c>
      <c r="M4590" s="6" t="s">
        <v>421</v>
      </c>
      <c r="N4590" s="6">
        <f>IF(OR($G4590="FCC",$G4590="Hydrocracker",$G4590="Reformer"),IF(COUNTIFS($D:$D,$D4590,$A:$A,$A4590,$B:$B,$B4590,$G:$G,"CDU",$J:$J,"PLANNED")&gt;0,"tied","standalone"),"")</f>
        <v/>
      </c>
    </row>
    <row r="4591" spans="1:14">
      <c r="A4591" s="6">
        <v>2024</v>
      </c>
      <c r="B4591" s="6">
        <v>10</v>
      </c>
      <c r="C4591" s="6" t="s">
        <v>69</v>
      </c>
      <c r="D4591" s="6" t="s">
        <v>52</v>
      </c>
      <c r="E4591" s="6" t="s">
        <v>441</v>
      </c>
      <c r="F4591" s="6" t="str">
        <f>IF($M4591="PADD I","PADD 1",IF($M4591="PADD II","PADD 2",IF($M4591="PADD III","PADD 3",IF($M4591="PADD IV","PADD 4",IF($M4591="PADD V","PADD 5","")))))</f>
        <v>PADD 5</v>
      </c>
      <c r="G4591" s="6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6" t="s">
        <v>426</v>
      </c>
      <c r="I4591" s="6" t="s">
        <v>106</v>
      </c>
      <c r="J4591" s="6" t="s">
        <v>394</v>
      </c>
      <c r="K4591" s="10">
        <v>13.775</v>
      </c>
      <c r="L4591" s="10">
        <v>72.5</v>
      </c>
      <c r="M4591" s="6" t="s">
        <v>436</v>
      </c>
      <c r="N4591" s="6" t="str">
        <f>IF(OR($G4591="FCC",$G4591="Hydrocracker",$G4591="Reformer"),IF(COUNTIFS($D:$D,$D4591,$A:$A,$A4591,$B:$B,$B4591,$G:$G,"CDU",$J:$J,"PLANNED")&gt;0,"tied","standalone"),"")</f>
        <v>standalone</v>
      </c>
    </row>
    <row r="4592" spans="1:14">
      <c r="A4592" s="6">
        <v>2024</v>
      </c>
      <c r="B4592" s="6">
        <v>10</v>
      </c>
      <c r="C4592" s="6" t="s">
        <v>69</v>
      </c>
      <c r="D4592" s="6" t="s">
        <v>652</v>
      </c>
      <c r="E4592" s="6" t="s">
        <v>419</v>
      </c>
      <c r="F4592" s="6" t="str">
        <f>IF($M4592="PADD I","PADD 1",IF($M4592="PADD II","PADD 2",IF($M4592="PADD III","PADD 3",IF($M4592="PADD IV","PADD 4",IF($M4592="PADD V","PADD 5","")))))</f>
        <v>PADD 2</v>
      </c>
      <c r="G4592" s="6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6" t="s">
        <v>471</v>
      </c>
      <c r="I4592" s="6" t="s">
        <v>1173</v>
      </c>
      <c r="J4592" s="6" t="s">
        <v>398</v>
      </c>
      <c r="K4592" s="10">
        <v>13.6</v>
      </c>
      <c r="L4592" s="10">
        <v>20</v>
      </c>
      <c r="M4592" s="6" t="s">
        <v>425</v>
      </c>
      <c r="N4592" s="6" t="str">
        <f>IF(OR($G4592="FCC",$G4592="Hydrocracker",$G4592="Reformer"),IF(COUNTIFS($D:$D,$D4592,$A:$A,$A4592,$B:$B,$B4592,$G:$G,"CDU",$J:$J,"PLANNED")&gt;0,"tied","standalone"),"")</f>
        <v>tied</v>
      </c>
    </row>
    <row r="4593" spans="1:14">
      <c r="A4593" s="6">
        <v>2024</v>
      </c>
      <c r="B4593" s="6">
        <v>10</v>
      </c>
      <c r="C4593" s="6" t="s">
        <v>69</v>
      </c>
      <c r="D4593" s="6" t="s">
        <v>378</v>
      </c>
      <c r="E4593" s="6" t="s">
        <v>477</v>
      </c>
      <c r="F4593" s="6" t="str">
        <f>IF($M4593="PADD I","PADD 1",IF($M4593="PADD II","PADD 2",IF($M4593="PADD III","PADD 3",IF($M4593="PADD IV","PADD 4",IF($M4593="PADD V","PADD 5","")))))</f>
        <v>PADD 3</v>
      </c>
      <c r="G4593" s="6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6" t="s">
        <v>44</v>
      </c>
      <c r="I4593" s="6" t="s">
        <v>612</v>
      </c>
      <c r="J4593" s="6" t="s">
        <v>398</v>
      </c>
      <c r="K4593" s="10">
        <v>13.5</v>
      </c>
      <c r="L4593" s="10">
        <v>13.5</v>
      </c>
      <c r="M4593" s="6" t="s">
        <v>421</v>
      </c>
      <c r="N4593" s="6">
        <f>IF(OR($G4593="FCC",$G4593="Hydrocracker",$G4593="Reformer"),IF(COUNTIFS($D:$D,$D4593,$A:$A,$A4593,$B:$B,$B4593,$G:$G,"CDU",$J:$J,"PLANNED")&gt;0,"tied","standalone"),"")</f>
        <v/>
      </c>
    </row>
    <row r="4594" spans="1:14">
      <c r="A4594" s="6">
        <v>2024</v>
      </c>
      <c r="B4594" s="6">
        <v>10</v>
      </c>
      <c r="C4594" s="6" t="s">
        <v>69</v>
      </c>
      <c r="D4594" s="6" t="s">
        <v>378</v>
      </c>
      <c r="E4594" s="6" t="s">
        <v>477</v>
      </c>
      <c r="F4594" s="6" t="str">
        <f>IF($M4594="PADD I","PADD 1",IF($M4594="PADD II","PADD 2",IF($M4594="PADD III","PADD 3",IF($M4594="PADD IV","PADD 4",IF($M4594="PADD V","PADD 5","")))))</f>
        <v>PADD 3</v>
      </c>
      <c r="G4594" s="6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6" t="s">
        <v>510</v>
      </c>
      <c r="I4594" s="6" t="s">
        <v>1125</v>
      </c>
      <c r="J4594" s="6" t="s">
        <v>394</v>
      </c>
      <c r="K4594" s="10">
        <v>12.5</v>
      </c>
      <c r="L4594" s="10">
        <v>12.5</v>
      </c>
      <c r="M4594" s="6" t="s">
        <v>421</v>
      </c>
      <c r="N4594" s="6">
        <f>IF(OR($G4594="FCC",$G4594="Hydrocracker",$G4594="Reformer"),IF(COUNTIFS($D:$D,$D4594,$A:$A,$A4594,$B:$B,$B4594,$G:$G,"CDU",$J:$J,"PLANNED")&gt;0,"tied","standalone"),"")</f>
        <v/>
      </c>
    </row>
    <row r="4595" spans="1:14">
      <c r="A4595" s="6">
        <v>2024</v>
      </c>
      <c r="B4595" s="6">
        <v>10</v>
      </c>
      <c r="C4595" s="6" t="s">
        <v>69</v>
      </c>
      <c r="D4595" s="6" t="s">
        <v>597</v>
      </c>
      <c r="E4595" s="6" t="s">
        <v>441</v>
      </c>
      <c r="F4595" s="6" t="str">
        <f>IF($M4595="PADD I","PADD 1",IF($M4595="PADD II","PADD 2",IF($M4595="PADD III","PADD 3",IF($M4595="PADD IV","PADD 4",IF($M4595="PADD V","PADD 5","")))))</f>
        <v>PADD 5</v>
      </c>
      <c r="G4595" s="6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6" t="s">
        <v>44</v>
      </c>
      <c r="I4595" s="6" t="s">
        <v>106</v>
      </c>
      <c r="J4595" s="6" t="s">
        <v>394</v>
      </c>
      <c r="K4595" s="10">
        <v>12.35</v>
      </c>
      <c r="L4595" s="10">
        <v>65</v>
      </c>
      <c r="M4595" s="6" t="s">
        <v>436</v>
      </c>
      <c r="N4595" s="6">
        <f>IF(OR($G4595="FCC",$G4595="Hydrocracker",$G4595="Reformer"),IF(COUNTIFS($D:$D,$D4595,$A:$A,$A4595,$B:$B,$B4595,$G:$G,"CDU",$J:$J,"PLANNED")&gt;0,"tied","standalone"),"")</f>
        <v/>
      </c>
    </row>
    <row r="4596" spans="1:14">
      <c r="A4596" s="6">
        <v>2024</v>
      </c>
      <c r="B4596" s="6">
        <v>10</v>
      </c>
      <c r="C4596" s="6" t="s">
        <v>69</v>
      </c>
      <c r="D4596" s="6" t="s">
        <v>889</v>
      </c>
      <c r="E4596" s="6" t="s">
        <v>890</v>
      </c>
      <c r="F4596" s="6" t="str">
        <f>IF($M4596="PADD I","PADD 1",IF($M4596="PADD II","PADD 2",IF($M4596="PADD III","PADD 3",IF($M4596="PADD IV","PADD 4",IF($M4596="PADD V","PADD 5","")))))</f>
        <v>PADD 1</v>
      </c>
      <c r="G4596" s="6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6" t="s">
        <v>428</v>
      </c>
      <c r="I4596" s="6" t="s">
        <v>481</v>
      </c>
      <c r="J4596" s="6" t="s">
        <v>394</v>
      </c>
      <c r="K4596" s="10">
        <v>12.2</v>
      </c>
      <c r="L4596" s="10">
        <v>20</v>
      </c>
      <c r="M4596" s="6" t="s">
        <v>463</v>
      </c>
      <c r="N4596" s="6">
        <f>IF(OR($G4596="FCC",$G4596="Hydrocracker",$G4596="Reformer"),IF(COUNTIFS($D:$D,$D4596,$A:$A,$A4596,$B:$B,$B4596,$G:$G,"CDU",$J:$J,"PLANNED")&gt;0,"tied","standalone"),"")</f>
        <v/>
      </c>
    </row>
    <row r="4597" spans="1:14">
      <c r="A4597" s="6">
        <v>2024</v>
      </c>
      <c r="B4597" s="6">
        <v>10</v>
      </c>
      <c r="C4597" s="6" t="s">
        <v>69</v>
      </c>
      <c r="D4597" s="6" t="s">
        <v>1191</v>
      </c>
      <c r="E4597" s="6" t="s">
        <v>1129</v>
      </c>
      <c r="F4597" s="6" t="str">
        <f>IF($M4597="PADD I","PADD 1",IF($M4597="PADD II","PADD 2",IF($M4597="PADD III","PADD 3",IF($M4597="PADD IV","PADD 4",IF($M4597="PADD V","PADD 5","")))))</f>
        <v>PADD 3</v>
      </c>
      <c r="G4597" s="6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6" t="s">
        <v>471</v>
      </c>
      <c r="I4597" s="6" t="s">
        <v>609</v>
      </c>
      <c r="J4597" s="6" t="s">
        <v>398</v>
      </c>
      <c r="K4597" s="10">
        <v>12.15</v>
      </c>
      <c r="L4597" s="10">
        <v>13.5</v>
      </c>
      <c r="M4597" s="6" t="s">
        <v>421</v>
      </c>
      <c r="N4597" s="6" t="str">
        <f>IF(OR($G4597="FCC",$G4597="Hydrocracker",$G4597="Reformer"),IF(COUNTIFS($D:$D,$D4597,$A:$A,$A4597,$B:$B,$B4597,$G:$G,"CDU",$J:$J,"PLANNED")&gt;0,"tied","standalone"),"")</f>
        <v>tied</v>
      </c>
    </row>
    <row r="4598" spans="1:14">
      <c r="A4598" s="6">
        <v>2024</v>
      </c>
      <c r="B4598" s="6">
        <v>10</v>
      </c>
      <c r="C4598" s="6" t="s">
        <v>69</v>
      </c>
      <c r="D4598" s="6" t="s">
        <v>788</v>
      </c>
      <c r="E4598" s="6" t="s">
        <v>602</v>
      </c>
      <c r="F4598" s="6" t="str">
        <f>IF($M4598="PADD I","PADD 1",IF($M4598="PADD II","PADD 2",IF($M4598="PADD III","PADD 3",IF($M4598="PADD IV","PADD 4",IF($M4598="PADD V","PADD 5","")))))</f>
        <v>PADD 3</v>
      </c>
      <c r="G4598" s="6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6" t="s">
        <v>44</v>
      </c>
      <c r="I4598" s="6" t="s">
        <v>508</v>
      </c>
      <c r="J4598" s="6" t="s">
        <v>398</v>
      </c>
      <c r="K4598" s="10">
        <v>11.7</v>
      </c>
      <c r="L4598" s="10">
        <v>18</v>
      </c>
      <c r="M4598" s="6" t="s">
        <v>421</v>
      </c>
      <c r="N4598" s="6">
        <f>IF(OR($G4598="FCC",$G4598="Hydrocracker",$G4598="Reformer"),IF(COUNTIFS($D:$D,$D4598,$A:$A,$A4598,$B:$B,$B4598,$G:$G,"CDU",$J:$J,"PLANNED")&gt;0,"tied","standalone"),"")</f>
        <v/>
      </c>
    </row>
    <row r="4599" spans="1:14">
      <c r="A4599" s="6">
        <v>2024</v>
      </c>
      <c r="B4599" s="6">
        <v>10</v>
      </c>
      <c r="C4599" s="6" t="s">
        <v>69</v>
      </c>
      <c r="D4599" s="6" t="s">
        <v>445</v>
      </c>
      <c r="E4599" s="6" t="s">
        <v>446</v>
      </c>
      <c r="F4599" s="6" t="str">
        <f>IF($M4599="PADD I","PADD 1",IF($M4599="PADD II","PADD 2",IF($M4599="PADD III","PADD 3",IF($M4599="PADD IV","PADD 4",IF($M4599="PADD V","PADD 5","")))))</f>
        <v>PADD 3</v>
      </c>
      <c r="G4599" s="6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6" t="s">
        <v>44</v>
      </c>
      <c r="I4599" s="6" t="s">
        <v>549</v>
      </c>
      <c r="J4599" s="6" t="s">
        <v>394</v>
      </c>
      <c r="K4599" s="10">
        <v>11.52</v>
      </c>
      <c r="L4599" s="10">
        <v>72</v>
      </c>
      <c r="M4599" s="6" t="s">
        <v>421</v>
      </c>
      <c r="N4599" s="6">
        <f>IF(OR($G4599="FCC",$G4599="Hydrocracker",$G4599="Reformer"),IF(COUNTIFS($D:$D,$D4599,$A:$A,$A4599,$B:$B,$B4599,$G:$G,"CDU",$J:$J,"PLANNED")&gt;0,"tied","standalone"),"")</f>
        <v/>
      </c>
    </row>
    <row r="4600" spans="1:14">
      <c r="A4600" s="6">
        <v>2024</v>
      </c>
      <c r="B4600" s="6">
        <v>10</v>
      </c>
      <c r="C4600" s="6" t="s">
        <v>69</v>
      </c>
      <c r="D4600" s="6" t="s">
        <v>725</v>
      </c>
      <c r="E4600" s="6" t="s">
        <v>502</v>
      </c>
      <c r="F4600" s="6" t="str">
        <f>IF($M4600="PADD I","PADD 1",IF($M4600="PADD II","PADD 2",IF($M4600="PADD III","PADD 3",IF($M4600="PADD IV","PADD 4",IF($M4600="PADD V","PADD 5","")))))</f>
        <v>PADD 2</v>
      </c>
      <c r="G4600" s="6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6" t="s">
        <v>510</v>
      </c>
      <c r="I4600" s="6" t="s">
        <v>666</v>
      </c>
      <c r="J4600" s="6" t="s">
        <v>398</v>
      </c>
      <c r="K4600" s="10">
        <v>11.5</v>
      </c>
      <c r="L4600" s="10">
        <v>11.5</v>
      </c>
      <c r="M4600" s="6" t="s">
        <v>425</v>
      </c>
      <c r="N4600" s="6">
        <f>IF(OR($G4600="FCC",$G4600="Hydrocracker",$G4600="Reformer"),IF(COUNTIFS($D:$D,$D4600,$A:$A,$A4600,$B:$B,$B4600,$G:$G,"CDU",$J:$J,"PLANNED")&gt;0,"tied","standalone"),"")</f>
        <v/>
      </c>
    </row>
    <row r="4601" spans="1:14">
      <c r="A4601" s="6">
        <v>2024</v>
      </c>
      <c r="B4601" s="6">
        <v>10</v>
      </c>
      <c r="C4601" s="6" t="s">
        <v>69</v>
      </c>
      <c r="D4601" s="6" t="s">
        <v>445</v>
      </c>
      <c r="E4601" s="6" t="s">
        <v>446</v>
      </c>
      <c r="F4601" s="6" t="str">
        <f>IF($M4601="PADD I","PADD 1",IF($M4601="PADD II","PADD 2",IF($M4601="PADD III","PADD 3",IF($M4601="PADD IV","PADD 4",IF($M4601="PADD V","PADD 5","")))))</f>
        <v>PADD 3</v>
      </c>
      <c r="G4601" s="6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6" t="s">
        <v>39</v>
      </c>
      <c r="I4601" s="6" t="s">
        <v>560</v>
      </c>
      <c r="J4601" s="6" t="s">
        <v>394</v>
      </c>
      <c r="K4601" s="10">
        <v>11.2</v>
      </c>
      <c r="L4601" s="10">
        <v>70</v>
      </c>
      <c r="M4601" s="6" t="s">
        <v>421</v>
      </c>
      <c r="N4601" s="6">
        <f>IF(OR($G4601="FCC",$G4601="Hydrocracker",$G4601="Reformer"),IF(COUNTIFS($D:$D,$D4601,$A:$A,$A4601,$B:$B,$B4601,$G:$G,"CDU",$J:$J,"PLANNED")&gt;0,"tied","standalone"),"")</f>
        <v/>
      </c>
    </row>
    <row r="4602" spans="1:14">
      <c r="A4602" s="6">
        <v>2024</v>
      </c>
      <c r="B4602" s="6">
        <v>10</v>
      </c>
      <c r="C4602" s="6" t="s">
        <v>69</v>
      </c>
      <c r="D4602" s="6" t="s">
        <v>445</v>
      </c>
      <c r="E4602" s="6" t="s">
        <v>446</v>
      </c>
      <c r="F4602" s="6" t="str">
        <f>IF($M4602="PADD I","PADD 1",IF($M4602="PADD II","PADD 2",IF($M4602="PADD III","PADD 3",IF($M4602="PADD IV","PADD 4",IF($M4602="PADD V","PADD 5","")))))</f>
        <v>PADD 3</v>
      </c>
      <c r="G4602" s="6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6" t="s">
        <v>426</v>
      </c>
      <c r="I4602" s="6" t="s">
        <v>106</v>
      </c>
      <c r="J4602" s="6" t="s">
        <v>394</v>
      </c>
      <c r="K4602" s="10">
        <v>11.2</v>
      </c>
      <c r="L4602" s="10">
        <v>70</v>
      </c>
      <c r="M4602" s="6" t="s">
        <v>421</v>
      </c>
      <c r="N4602" s="6" t="str">
        <f>IF(OR($G4602="FCC",$G4602="Hydrocracker",$G4602="Reformer"),IF(COUNTIFS($D:$D,$D4602,$A:$A,$A4602,$B:$B,$B4602,$G:$G,"CDU",$J:$J,"PLANNED")&gt;0,"tied","standalone"),"")</f>
        <v>standalone</v>
      </c>
    </row>
    <row r="4603" spans="1:14">
      <c r="A4603" s="6">
        <v>2024</v>
      </c>
      <c r="B4603" s="6">
        <v>10</v>
      </c>
      <c r="C4603" s="6" t="s">
        <v>69</v>
      </c>
      <c r="D4603" s="6" t="s">
        <v>445</v>
      </c>
      <c r="E4603" s="6" t="s">
        <v>446</v>
      </c>
      <c r="F4603" s="6" t="str">
        <f>IF($M4603="PADD I","PADD 1",IF($M4603="PADD II","PADD 2",IF($M4603="PADD III","PADD 3",IF($M4603="PADD IV","PADD 4",IF($M4603="PADD V","PADD 5","")))))</f>
        <v>PADD 3</v>
      </c>
      <c r="G4603" s="6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6" t="s">
        <v>494</v>
      </c>
      <c r="I4603" s="6" t="s">
        <v>562</v>
      </c>
      <c r="J4603" s="6" t="s">
        <v>394</v>
      </c>
      <c r="K4603" s="10">
        <v>11.2</v>
      </c>
      <c r="L4603" s="10">
        <v>70</v>
      </c>
      <c r="M4603" s="6" t="s">
        <v>421</v>
      </c>
      <c r="N4603" s="6" t="str">
        <f>IF(OR($G4603="FCC",$G4603="Hydrocracker",$G4603="Reformer"),IF(COUNTIFS($D:$D,$D4603,$A:$A,$A4603,$B:$B,$B4603,$G:$G,"CDU",$J:$J,"PLANNED")&gt;0,"tied","standalone"),"")</f>
        <v>standalone</v>
      </c>
    </row>
    <row r="4604" spans="1:14">
      <c r="A4604" s="6">
        <v>2024</v>
      </c>
      <c r="B4604" s="6">
        <v>10</v>
      </c>
      <c r="C4604" s="6" t="s">
        <v>69</v>
      </c>
      <c r="D4604" s="6" t="s">
        <v>652</v>
      </c>
      <c r="E4604" s="6" t="s">
        <v>419</v>
      </c>
      <c r="F4604" s="6" t="str">
        <f>IF($M4604="PADD I","PADD 1",IF($M4604="PADD II","PADD 2",IF($M4604="PADD III","PADD 3",IF($M4604="PADD IV","PADD 4",IF($M4604="PADD V","PADD 5","")))))</f>
        <v>PADD 2</v>
      </c>
      <c r="G4604" s="6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6" t="s">
        <v>39</v>
      </c>
      <c r="I4604" s="6" t="s">
        <v>1285</v>
      </c>
      <c r="J4604" s="6" t="s">
        <v>394</v>
      </c>
      <c r="K4604" s="10">
        <v>11.05</v>
      </c>
      <c r="L4604" s="10">
        <v>85</v>
      </c>
      <c r="M4604" s="6" t="s">
        <v>425</v>
      </c>
      <c r="N4604" s="6">
        <f>IF(OR($G4604="FCC",$G4604="Hydrocracker",$G4604="Reformer"),IF(COUNTIFS($D:$D,$D4604,$A:$A,$A4604,$B:$B,$B4604,$G:$G,"CDU",$J:$J,"PLANNED")&gt;0,"tied","standalone"),"")</f>
        <v/>
      </c>
    </row>
    <row r="4605" spans="1:14">
      <c r="A4605" s="6">
        <v>2024</v>
      </c>
      <c r="B4605" s="6">
        <v>10</v>
      </c>
      <c r="C4605" s="6" t="s">
        <v>69</v>
      </c>
      <c r="D4605" s="6" t="s">
        <v>626</v>
      </c>
      <c r="E4605" s="6" t="s">
        <v>419</v>
      </c>
      <c r="F4605" s="6" t="str">
        <f>IF($M4605="PADD I","PADD 1",IF($M4605="PADD II","PADD 2",IF($M4605="PADD III","PADD 3",IF($M4605="PADD IV","PADD 4",IF($M4605="PADD V","PADD 5","")))))</f>
        <v>PADD 3</v>
      </c>
      <c r="G4605" s="6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6" t="s">
        <v>510</v>
      </c>
      <c r="I4605" s="6" t="s">
        <v>511</v>
      </c>
      <c r="J4605" s="6" t="s">
        <v>398</v>
      </c>
      <c r="K4605" s="10">
        <v>10.5</v>
      </c>
      <c r="L4605" s="10">
        <v>10.5</v>
      </c>
      <c r="M4605" s="6" t="s">
        <v>421</v>
      </c>
      <c r="N4605" s="6">
        <f>IF(OR($G4605="FCC",$G4605="Hydrocracker",$G4605="Reformer"),IF(COUNTIFS($D:$D,$D4605,$A:$A,$A4605,$B:$B,$B4605,$G:$G,"CDU",$J:$J,"PLANNED")&gt;0,"tied","standalone"),"")</f>
        <v/>
      </c>
    </row>
    <row r="4606" spans="1:14">
      <c r="A4606" s="6">
        <v>2024</v>
      </c>
      <c r="B4606" s="6">
        <v>10</v>
      </c>
      <c r="C4606" s="6" t="s">
        <v>69</v>
      </c>
      <c r="D4606" s="6" t="s">
        <v>51</v>
      </c>
      <c r="E4606" s="6" t="s">
        <v>431</v>
      </c>
      <c r="F4606" s="6" t="str">
        <f>IF($M4606="PADD I","PADD 1",IF($M4606="PADD II","PADD 2",IF($M4606="PADD III","PADD 3",IF($M4606="PADD IV","PADD 4",IF($M4606="PADD V","PADD 5","")))))</f>
        <v>PADD 3</v>
      </c>
      <c r="G4606" s="6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6" t="s">
        <v>471</v>
      </c>
      <c r="I4606" s="6" t="s">
        <v>942</v>
      </c>
      <c r="J4606" s="6" t="s">
        <v>398</v>
      </c>
      <c r="K4606" s="10">
        <v>10.4</v>
      </c>
      <c r="L4606" s="10">
        <v>20</v>
      </c>
      <c r="M4606" s="6" t="s">
        <v>421</v>
      </c>
      <c r="N4606" s="6" t="str">
        <f>IF(OR($G4606="FCC",$G4606="Hydrocracker",$G4606="Reformer"),IF(COUNTIFS($D:$D,$D4606,$A:$A,$A4606,$B:$B,$B4606,$G:$G,"CDU",$J:$J,"PLANNED")&gt;0,"tied","standalone"),"")</f>
        <v>standalone</v>
      </c>
    </row>
    <row r="4607" spans="1:14">
      <c r="A4607" s="6">
        <v>2024</v>
      </c>
      <c r="B4607" s="6">
        <v>10</v>
      </c>
      <c r="C4607" s="6" t="s">
        <v>69</v>
      </c>
      <c r="D4607" s="6" t="s">
        <v>378</v>
      </c>
      <c r="E4607" s="6" t="s">
        <v>477</v>
      </c>
      <c r="F4607" s="6" t="str">
        <f>IF($M4607="PADD I","PADD 1",IF($M4607="PADD II","PADD 2",IF($M4607="PADD III","PADD 3",IF($M4607="PADD IV","PADD 4",IF($M4607="PADD V","PADD 5","")))))</f>
        <v>PADD 3</v>
      </c>
      <c r="G4607" s="6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6" t="s">
        <v>618</v>
      </c>
      <c r="I4607" s="6" t="s">
        <v>654</v>
      </c>
      <c r="J4607" s="6" t="s">
        <v>398</v>
      </c>
      <c r="K4607" s="10">
        <v>10</v>
      </c>
      <c r="L4607" s="10">
        <v>10</v>
      </c>
      <c r="M4607" s="6" t="s">
        <v>421</v>
      </c>
      <c r="N4607" s="6">
        <f>IF(OR($G4607="FCC",$G4607="Hydrocracker",$G4607="Reformer"),IF(COUNTIFS($D:$D,$D4607,$A:$A,$A4607,$B:$B,$B4607,$G:$G,"CDU",$J:$J,"PLANNED")&gt;0,"tied","standalone"),"")</f>
        <v/>
      </c>
    </row>
    <row r="4608" spans="1:14">
      <c r="A4608" s="6">
        <v>2024</v>
      </c>
      <c r="B4608" s="6">
        <v>10</v>
      </c>
      <c r="C4608" s="6" t="s">
        <v>69</v>
      </c>
      <c r="D4608" s="6" t="s">
        <v>373</v>
      </c>
      <c r="E4608" s="6" t="s">
        <v>438</v>
      </c>
      <c r="F4608" s="6" t="str">
        <f>IF($M4608="PADD I","PADD 1",IF($M4608="PADD II","PADD 2",IF($M4608="PADD III","PADD 3",IF($M4608="PADD IV","PADD 4",IF($M4608="PADD V","PADD 5","")))))</f>
        <v>PADD 3</v>
      </c>
      <c r="G4608" s="6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6" t="s">
        <v>39</v>
      </c>
      <c r="I4608" s="6" t="s">
        <v>100</v>
      </c>
      <c r="J4608" s="6" t="s">
        <v>394</v>
      </c>
      <c r="K4608" s="10">
        <v>9.75</v>
      </c>
      <c r="L4608" s="10">
        <v>325</v>
      </c>
      <c r="M4608" s="6" t="s">
        <v>421</v>
      </c>
      <c r="N4608" s="6">
        <f>IF(OR($G4608="FCC",$G4608="Hydrocracker",$G4608="Reformer"),IF(COUNTIFS($D:$D,$D4608,$A:$A,$A4608,$B:$B,$B4608,$G:$G,"CDU",$J:$J,"PLANNED")&gt;0,"tied","standalone"),"")</f>
        <v/>
      </c>
    </row>
    <row r="4609" spans="1:14">
      <c r="A4609" s="6">
        <v>2024</v>
      </c>
      <c r="B4609" s="6">
        <v>10</v>
      </c>
      <c r="C4609" s="6" t="s">
        <v>69</v>
      </c>
      <c r="D4609" s="6" t="s">
        <v>865</v>
      </c>
      <c r="E4609" s="6" t="s">
        <v>502</v>
      </c>
      <c r="F4609" s="6" t="str">
        <f>IF($M4609="PADD I","PADD 1",IF($M4609="PADD II","PADD 2",IF($M4609="PADD III","PADD 3",IF($M4609="PADD IV","PADD 4",IF($M4609="PADD V","PADD 5","")))))</f>
        <v>PADD 4</v>
      </c>
      <c r="G4609" s="6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6" t="s">
        <v>428</v>
      </c>
      <c r="I4609" s="6" t="s">
        <v>1286</v>
      </c>
      <c r="J4609" s="6" t="s">
        <v>398</v>
      </c>
      <c r="K4609" s="10">
        <v>9.6</v>
      </c>
      <c r="L4609" s="10">
        <v>30</v>
      </c>
      <c r="M4609" s="6" t="s">
        <v>480</v>
      </c>
      <c r="N4609" s="6">
        <f>IF(OR($G4609="FCC",$G4609="Hydrocracker",$G4609="Reformer"),IF(COUNTIFS($D:$D,$D4609,$A:$A,$A4609,$B:$B,$B4609,$G:$G,"CDU",$J:$J,"PLANNED")&gt;0,"tied","standalone"),"")</f>
        <v/>
      </c>
    </row>
    <row r="4610" spans="1:14">
      <c r="A4610" s="6">
        <v>2024</v>
      </c>
      <c r="B4610" s="6">
        <v>10</v>
      </c>
      <c r="C4610" s="6" t="s">
        <v>69</v>
      </c>
      <c r="D4610" s="6" t="s">
        <v>370</v>
      </c>
      <c r="E4610" s="6" t="s">
        <v>431</v>
      </c>
      <c r="F4610" s="6" t="str">
        <f>IF($M4610="PADD I","PADD 1",IF($M4610="PADD II","PADD 2",IF($M4610="PADD III","PADD 3",IF($M4610="PADD IV","PADD 4",IF($M4610="PADD V","PADD 5","")))))</f>
        <v>PADD 2</v>
      </c>
      <c r="G4610" s="6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6" t="s">
        <v>39</v>
      </c>
      <c r="I4610" s="6" t="s">
        <v>82</v>
      </c>
      <c r="J4610" s="6" t="s">
        <v>394</v>
      </c>
      <c r="K4610" s="10">
        <v>9.6</v>
      </c>
      <c r="L4610" s="10">
        <v>60</v>
      </c>
      <c r="M4610" s="6" t="s">
        <v>425</v>
      </c>
      <c r="N4610" s="6">
        <f>IF(OR($G4610="FCC",$G4610="Hydrocracker",$G4610="Reformer"),IF(COUNTIFS($D:$D,$D4610,$A:$A,$A4610,$B:$B,$B4610,$G:$G,"CDU",$J:$J,"PLANNED")&gt;0,"tied","standalone"),"")</f>
        <v/>
      </c>
    </row>
    <row r="4611" spans="1:14">
      <c r="A4611" s="6">
        <v>2024</v>
      </c>
      <c r="B4611" s="6">
        <v>10</v>
      </c>
      <c r="C4611" s="6" t="s">
        <v>69</v>
      </c>
      <c r="D4611" s="6" t="s">
        <v>853</v>
      </c>
      <c r="E4611" s="6" t="s">
        <v>438</v>
      </c>
      <c r="F4611" s="6" t="str">
        <f>IF($M4611="PADD I","PADD 1",IF($M4611="PADD II","PADD 2",IF($M4611="PADD III","PADD 3",IF($M4611="PADD IV","PADD 4",IF($M4611="PADD V","PADD 5","")))))</f>
        <v>PADD 2</v>
      </c>
      <c r="G4611" s="6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6" t="s">
        <v>44</v>
      </c>
      <c r="I4611" s="6" t="s">
        <v>968</v>
      </c>
      <c r="J4611" s="6" t="s">
        <v>394</v>
      </c>
      <c r="K4611" s="10">
        <v>9.279999999999999</v>
      </c>
      <c r="L4611" s="10">
        <v>32</v>
      </c>
      <c r="M4611" s="6" t="s">
        <v>425</v>
      </c>
      <c r="N4611" s="6">
        <f>IF(OR($G4611="FCC",$G4611="Hydrocracker",$G4611="Reformer"),IF(COUNTIFS($D:$D,$D4611,$A:$A,$A4611,$B:$B,$B4611,$G:$G,"CDU",$J:$J,"PLANNED")&gt;0,"tied","standalone"),"")</f>
        <v/>
      </c>
    </row>
    <row r="4612" spans="1:14">
      <c r="A4612" s="6">
        <v>2024</v>
      </c>
      <c r="B4612" s="6">
        <v>10</v>
      </c>
      <c r="C4612" s="6" t="s">
        <v>69</v>
      </c>
      <c r="D4612" s="6" t="s">
        <v>726</v>
      </c>
      <c r="E4612" s="6" t="s">
        <v>727</v>
      </c>
      <c r="F4612" s="6" t="str">
        <f>IF($M4612="PADD I","PADD 1",IF($M4612="PADD II","PADD 2",IF($M4612="PADD III","PADD 3",IF($M4612="PADD IV","PADD 4",IF($M4612="PADD V","PADD 5","")))))</f>
        <v>PADD 1</v>
      </c>
      <c r="G4612" s="6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6" t="s">
        <v>428</v>
      </c>
      <c r="I4612" s="6" t="s">
        <v>1312</v>
      </c>
      <c r="J4612" s="6" t="s">
        <v>394</v>
      </c>
      <c r="K4612" s="10">
        <v>8.99</v>
      </c>
      <c r="L4612" s="10">
        <v>31</v>
      </c>
      <c r="M4612" s="6" t="s">
        <v>463</v>
      </c>
      <c r="N4612" s="6">
        <f>IF(OR($G4612="FCC",$G4612="Hydrocracker",$G4612="Reformer"),IF(COUNTIFS($D:$D,$D4612,$A:$A,$A4612,$B:$B,$B4612,$G:$G,"CDU",$J:$J,"PLANNED")&gt;0,"tied","standalone"),"")</f>
        <v/>
      </c>
    </row>
    <row r="4613" spans="1:14">
      <c r="A4613" s="6">
        <v>2024</v>
      </c>
      <c r="B4613" s="6">
        <v>10</v>
      </c>
      <c r="C4613" s="6" t="s">
        <v>69</v>
      </c>
      <c r="D4613" s="6" t="s">
        <v>378</v>
      </c>
      <c r="E4613" s="6" t="s">
        <v>477</v>
      </c>
      <c r="F4613" s="6" t="str">
        <f>IF($M4613="PADD I","PADD 1",IF($M4613="PADD II","PADD 2",IF($M4613="PADD III","PADD 3",IF($M4613="PADD IV","PADD 4",IF($M4613="PADD V","PADD 5","")))))</f>
        <v>PADD 3</v>
      </c>
      <c r="G4613" s="6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6" t="s">
        <v>471</v>
      </c>
      <c r="I4613" s="6" t="s">
        <v>1212</v>
      </c>
      <c r="J4613" s="6" t="s">
        <v>398</v>
      </c>
      <c r="K4613" s="10">
        <v>8.75</v>
      </c>
      <c r="L4613" s="10">
        <v>8.75</v>
      </c>
      <c r="M4613" s="6" t="s">
        <v>421</v>
      </c>
      <c r="N4613" s="6" t="str">
        <f>IF(OR($G4613="FCC",$G4613="Hydrocracker",$G4613="Reformer"),IF(COUNTIFS($D:$D,$D4613,$A:$A,$A4613,$B:$B,$B4613,$G:$G,"CDU",$J:$J,"PLANNED")&gt;0,"tied","standalone"),"")</f>
        <v>tied</v>
      </c>
    </row>
    <row r="4614" spans="1:14">
      <c r="A4614" s="6">
        <v>2024</v>
      </c>
      <c r="B4614" s="6">
        <v>10</v>
      </c>
      <c r="C4614" s="6" t="s">
        <v>69</v>
      </c>
      <c r="D4614" s="6" t="s">
        <v>378</v>
      </c>
      <c r="E4614" s="6" t="s">
        <v>477</v>
      </c>
      <c r="F4614" s="6" t="str">
        <f>IF($M4614="PADD I","PADD 1",IF($M4614="PADD II","PADD 2",IF($M4614="PADD III","PADD 3",IF($M4614="PADD IV","PADD 4",IF($M4614="PADD V","PADD 5","")))))</f>
        <v>PADD 3</v>
      </c>
      <c r="G4614" s="6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6" t="s">
        <v>687</v>
      </c>
      <c r="I4614" s="6" t="s">
        <v>1303</v>
      </c>
      <c r="J4614" s="6" t="s">
        <v>398</v>
      </c>
      <c r="K4614" s="10">
        <v>8.5</v>
      </c>
      <c r="L4614" s="10">
        <v>8.5</v>
      </c>
      <c r="M4614" s="6" t="s">
        <v>421</v>
      </c>
      <c r="N4614" s="6">
        <f>IF(OR($G4614="FCC",$G4614="Hydrocracker",$G4614="Reformer"),IF(COUNTIFS($D:$D,$D4614,$A:$A,$A4614,$B:$B,$B4614,$G:$G,"CDU",$J:$J,"PLANNED")&gt;0,"tied","standalone"),"")</f>
        <v/>
      </c>
    </row>
    <row r="4615" spans="1:14">
      <c r="A4615" s="6">
        <v>2024</v>
      </c>
      <c r="B4615" s="6">
        <v>10</v>
      </c>
      <c r="C4615" s="6" t="s">
        <v>69</v>
      </c>
      <c r="D4615" s="6" t="s">
        <v>788</v>
      </c>
      <c r="E4615" s="6" t="s">
        <v>602</v>
      </c>
      <c r="F4615" s="6" t="str">
        <f>IF($M4615="PADD I","PADD 1",IF($M4615="PADD II","PADD 2",IF($M4615="PADD III","PADD 3",IF($M4615="PADD IV","PADD 4",IF($M4615="PADD V","PADD 5","")))))</f>
        <v>PADD 3</v>
      </c>
      <c r="G4615" s="6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6" t="s">
        <v>471</v>
      </c>
      <c r="I4615" s="6" t="s">
        <v>15</v>
      </c>
      <c r="J4615" s="6" t="s">
        <v>398</v>
      </c>
      <c r="K4615" s="10">
        <v>8.449999999999999</v>
      </c>
      <c r="L4615" s="10">
        <v>13</v>
      </c>
      <c r="M4615" s="6" t="s">
        <v>421</v>
      </c>
      <c r="N4615" s="6" t="str">
        <f>IF(OR($G4615="FCC",$G4615="Hydrocracker",$G4615="Reformer"),IF(COUNTIFS($D:$D,$D4615,$A:$A,$A4615,$B:$B,$B4615,$G:$G,"CDU",$J:$J,"PLANNED")&gt;0,"tied","standalone"),"")</f>
        <v>tied</v>
      </c>
    </row>
    <row r="4616" spans="1:14">
      <c r="A4616" s="6">
        <v>2024</v>
      </c>
      <c r="B4616" s="6">
        <v>10</v>
      </c>
      <c r="C4616" s="6" t="s">
        <v>69</v>
      </c>
      <c r="D4616" s="6" t="s">
        <v>889</v>
      </c>
      <c r="E4616" s="6" t="s">
        <v>890</v>
      </c>
      <c r="F4616" s="6" t="str">
        <f>IF($M4616="PADD I","PADD 1",IF($M4616="PADD II","PADD 2",IF($M4616="PADD III","PADD 3",IF($M4616="PADD IV","PADD 4",IF($M4616="PADD V","PADD 5","")))))</f>
        <v>PADD 1</v>
      </c>
      <c r="G4616" s="6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6" t="s">
        <v>426</v>
      </c>
      <c r="I4616" s="6" t="s">
        <v>106</v>
      </c>
      <c r="J4616" s="6" t="s">
        <v>394</v>
      </c>
      <c r="K4616" s="10">
        <v>8</v>
      </c>
      <c r="L4616" s="10">
        <v>25</v>
      </c>
      <c r="M4616" s="6" t="s">
        <v>463</v>
      </c>
      <c r="N4616" s="6" t="str">
        <f>IF(OR($G4616="FCC",$G4616="Hydrocracker",$G4616="Reformer"),IF(COUNTIFS($D:$D,$D4616,$A:$A,$A4616,$B:$B,$B4616,$G:$G,"CDU",$J:$J,"PLANNED")&gt;0,"tied","standalone"),"")</f>
        <v>standalone</v>
      </c>
    </row>
    <row r="4617" spans="1:14">
      <c r="A4617" s="6">
        <v>2024</v>
      </c>
      <c r="B4617" s="6">
        <v>10</v>
      </c>
      <c r="C4617" s="6" t="s">
        <v>69</v>
      </c>
      <c r="D4617" s="6" t="s">
        <v>1279</v>
      </c>
      <c r="E4617" s="6" t="s">
        <v>466</v>
      </c>
      <c r="F4617" s="6" t="str">
        <f>IF($M4617="PADD I","PADD 1",IF($M4617="PADD II","PADD 2",IF($M4617="PADD III","PADD 3",IF($M4617="PADD IV","PADD 4",IF($M4617="PADD V","PADD 5","")))))</f>
        <v>PADD 3</v>
      </c>
      <c r="G4617" s="6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6" t="s">
        <v>471</v>
      </c>
      <c r="I4617" s="6" t="s">
        <v>15</v>
      </c>
      <c r="J4617" s="6" t="s">
        <v>394</v>
      </c>
      <c r="K4617" s="10">
        <v>7.8</v>
      </c>
      <c r="L4617" s="10">
        <v>60</v>
      </c>
      <c r="M4617" s="6" t="s">
        <v>421</v>
      </c>
      <c r="N4617" s="6" t="str">
        <f>IF(OR($G4617="FCC",$G4617="Hydrocracker",$G4617="Reformer"),IF(COUNTIFS($D:$D,$D4617,$A:$A,$A4617,$B:$B,$B4617,$G:$G,"CDU",$J:$J,"PLANNED")&gt;0,"tied","standalone"),"")</f>
        <v>standalone</v>
      </c>
    </row>
    <row r="4618" spans="1:14">
      <c r="A4618" s="6">
        <v>2024</v>
      </c>
      <c r="B4618" s="6">
        <v>10</v>
      </c>
      <c r="C4618" s="6" t="s">
        <v>69</v>
      </c>
      <c r="D4618" s="6" t="s">
        <v>437</v>
      </c>
      <c r="E4618" s="6" t="s">
        <v>438</v>
      </c>
      <c r="F4618" s="6" t="str">
        <f>IF($M4618="PADD I","PADD 1",IF($M4618="PADD II","PADD 2",IF($M4618="PADD III","PADD 3",IF($M4618="PADD IV","PADD 4",IF($M4618="PADD V","PADD 5","")))))</f>
        <v>PADD 3</v>
      </c>
      <c r="G4618" s="6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6" t="s">
        <v>471</v>
      </c>
      <c r="I4618" s="6" t="s">
        <v>493</v>
      </c>
      <c r="J4618" s="6" t="s">
        <v>394</v>
      </c>
      <c r="K4618" s="10">
        <v>7.75</v>
      </c>
      <c r="L4618" s="10">
        <v>77.5</v>
      </c>
      <c r="M4618" s="6" t="s">
        <v>421</v>
      </c>
      <c r="N4618" s="6" t="str">
        <f>IF(OR($G4618="FCC",$G4618="Hydrocracker",$G4618="Reformer"),IF(COUNTIFS($D:$D,$D4618,$A:$A,$A4618,$B:$B,$B4618,$G:$G,"CDU",$J:$J,"PLANNED")&gt;0,"tied","standalone"),"")</f>
        <v>standalone</v>
      </c>
    </row>
    <row r="4619" spans="1:14">
      <c r="A4619" s="6">
        <v>2024</v>
      </c>
      <c r="B4619" s="6">
        <v>10</v>
      </c>
      <c r="C4619" s="6" t="s">
        <v>69</v>
      </c>
      <c r="D4619" s="6" t="s">
        <v>984</v>
      </c>
      <c r="E4619" s="6" t="s">
        <v>438</v>
      </c>
      <c r="F4619" s="6" t="str">
        <f>IF($M4619="PADD I","PADD 1",IF($M4619="PADD II","PADD 2",IF($M4619="PADD III","PADD 3",IF($M4619="PADD IV","PADD 4",IF($M4619="PADD V","PADD 5","")))))</f>
        <v>PADD 3</v>
      </c>
      <c r="G4619" s="6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6" t="s">
        <v>39</v>
      </c>
      <c r="I4619" s="6" t="s">
        <v>136</v>
      </c>
      <c r="J4619" s="6" t="s">
        <v>394</v>
      </c>
      <c r="K4619" s="10">
        <v>7.5</v>
      </c>
      <c r="L4619" s="10">
        <v>75</v>
      </c>
      <c r="M4619" s="6" t="s">
        <v>421</v>
      </c>
      <c r="N4619" s="6">
        <f>IF(OR($G4619="FCC",$G4619="Hydrocracker",$G4619="Reformer"),IF(COUNTIFS($D:$D,$D4619,$A:$A,$A4619,$B:$B,$B4619,$G:$G,"CDU",$J:$J,"PLANNED")&gt;0,"tied","standalone"),"")</f>
        <v/>
      </c>
    </row>
    <row r="4620" spans="1:14">
      <c r="A4620" s="6">
        <v>2024</v>
      </c>
      <c r="B4620" s="6">
        <v>10</v>
      </c>
      <c r="C4620" s="6" t="s">
        <v>69</v>
      </c>
      <c r="D4620" s="6" t="s">
        <v>378</v>
      </c>
      <c r="E4620" s="6" t="s">
        <v>477</v>
      </c>
      <c r="F4620" s="6" t="str">
        <f>IF($M4620="PADD I","PADD 1",IF($M4620="PADD II","PADD 2",IF($M4620="PADD III","PADD 3",IF($M4620="PADD IV","PADD 4",IF($M4620="PADD V","PADD 5","")))))</f>
        <v>PADD 3</v>
      </c>
      <c r="G4620" s="6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6" t="s">
        <v>1158</v>
      </c>
      <c r="I4620" s="6" t="s">
        <v>1305</v>
      </c>
      <c r="J4620" s="6" t="s">
        <v>398</v>
      </c>
      <c r="K4620" s="10">
        <v>7.5</v>
      </c>
      <c r="L4620" s="10">
        <v>7.5</v>
      </c>
      <c r="M4620" s="6" t="s">
        <v>421</v>
      </c>
      <c r="N4620" s="6">
        <f>IF(OR($G4620="FCC",$G4620="Hydrocracker",$G4620="Reformer"),IF(COUNTIFS($D:$D,$D4620,$A:$A,$A4620,$B:$B,$B4620,$G:$G,"CDU",$J:$J,"PLANNED")&gt;0,"tied","standalone"),"")</f>
        <v/>
      </c>
    </row>
    <row r="4621" spans="1:14">
      <c r="A4621" s="6">
        <v>2024</v>
      </c>
      <c r="B4621" s="6">
        <v>10</v>
      </c>
      <c r="C4621" s="6" t="s">
        <v>69</v>
      </c>
      <c r="D4621" s="6" t="s">
        <v>725</v>
      </c>
      <c r="E4621" s="6" t="s">
        <v>502</v>
      </c>
      <c r="F4621" s="6" t="str">
        <f>IF($M4621="PADD I","PADD 1",IF($M4621="PADD II","PADD 2",IF($M4621="PADD III","PADD 3",IF($M4621="PADD IV","PADD 4",IF($M4621="PADD V","PADD 5","")))))</f>
        <v>PADD 2</v>
      </c>
      <c r="G4621" s="6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6" t="s">
        <v>471</v>
      </c>
      <c r="I4621" s="6" t="s">
        <v>397</v>
      </c>
      <c r="J4621" s="6" t="s">
        <v>398</v>
      </c>
      <c r="K4621" s="10">
        <v>7.5</v>
      </c>
      <c r="L4621" s="10">
        <v>7.5</v>
      </c>
      <c r="M4621" s="6" t="s">
        <v>425</v>
      </c>
      <c r="N4621" s="6" t="str">
        <f>IF(OR($G4621="FCC",$G4621="Hydrocracker",$G4621="Reformer"),IF(COUNTIFS($D:$D,$D4621,$A:$A,$A4621,$B:$B,$B4621,$G:$G,"CDU",$J:$J,"PLANNED")&gt;0,"tied","standalone"),"")</f>
        <v>tied</v>
      </c>
    </row>
    <row r="4622" spans="1:14">
      <c r="A4622" s="6">
        <v>2024</v>
      </c>
      <c r="B4622" s="6">
        <v>10</v>
      </c>
      <c r="C4622" s="6" t="s">
        <v>69</v>
      </c>
      <c r="D4622" s="6" t="s">
        <v>937</v>
      </c>
      <c r="E4622" s="6" t="s">
        <v>455</v>
      </c>
      <c r="F4622" s="6" t="str">
        <f>IF($M4622="PADD I","PADD 1",IF($M4622="PADD II","PADD 2",IF($M4622="PADD III","PADD 3",IF($M4622="PADD IV","PADD 4",IF($M4622="PADD V","PADD 5","")))))</f>
        <v>PADD 3</v>
      </c>
      <c r="G4622" s="6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6" t="s">
        <v>471</v>
      </c>
      <c r="I4622" s="6" t="s">
        <v>589</v>
      </c>
      <c r="J4622" s="6" t="s">
        <v>394</v>
      </c>
      <c r="K4622" s="10">
        <v>7.36</v>
      </c>
      <c r="L4622" s="10">
        <v>23</v>
      </c>
      <c r="M4622" s="6" t="s">
        <v>421</v>
      </c>
      <c r="N4622" s="6" t="str">
        <f>IF(OR($G4622="FCC",$G4622="Hydrocracker",$G4622="Reformer"),IF(COUNTIFS($D:$D,$D4622,$A:$A,$A4622,$B:$B,$B4622,$G:$G,"CDU",$J:$J,"PLANNED")&gt;0,"tied","standalone"),"")</f>
        <v>standalone</v>
      </c>
    </row>
    <row r="4623" spans="1:14">
      <c r="A4623" s="6">
        <v>2024</v>
      </c>
      <c r="B4623" s="6">
        <v>10</v>
      </c>
      <c r="C4623" s="6" t="s">
        <v>69</v>
      </c>
      <c r="D4623" s="6" t="s">
        <v>901</v>
      </c>
      <c r="E4623" s="6" t="s">
        <v>902</v>
      </c>
      <c r="F4623" s="6" t="str">
        <f>IF($M4623="PADD I","PADD 1",IF($M4623="PADD II","PADD 2",IF($M4623="PADD III","PADD 3",IF($M4623="PADD IV","PADD 4",IF($M4623="PADD V","PADD 5","")))))</f>
        <v>PADD 3</v>
      </c>
      <c r="G4623" s="6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6" t="s">
        <v>39</v>
      </c>
      <c r="I4623" s="6" t="s">
        <v>904</v>
      </c>
      <c r="J4623" s="6" t="s">
        <v>394</v>
      </c>
      <c r="K4623" s="10">
        <v>7.3</v>
      </c>
      <c r="L4623" s="10">
        <v>73</v>
      </c>
      <c r="M4623" s="6" t="s">
        <v>421</v>
      </c>
      <c r="N4623" s="6">
        <f>IF(OR($G4623="FCC",$G4623="Hydrocracker",$G4623="Reformer"),IF(COUNTIFS($D:$D,$D4623,$A:$A,$A4623,$B:$B,$B4623,$G:$G,"CDU",$J:$J,"PLANNED")&gt;0,"tied","standalone"),"")</f>
        <v/>
      </c>
    </row>
    <row r="4624" spans="1:14">
      <c r="A4624" s="6">
        <v>2024</v>
      </c>
      <c r="B4624" s="6">
        <v>10</v>
      </c>
      <c r="C4624" s="6" t="s">
        <v>69</v>
      </c>
      <c r="D4624" s="6" t="s">
        <v>51</v>
      </c>
      <c r="E4624" s="6" t="s">
        <v>431</v>
      </c>
      <c r="F4624" s="6" t="str">
        <f>IF($M4624="PADD I","PADD 1",IF($M4624="PADD II","PADD 2",IF($M4624="PADD III","PADD 3",IF($M4624="PADD IV","PADD 4",IF($M4624="PADD V","PADD 5","")))))</f>
        <v>PADD 3</v>
      </c>
      <c r="G4624" s="6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6" t="s">
        <v>471</v>
      </c>
      <c r="I4624" s="6" t="s">
        <v>1136</v>
      </c>
      <c r="J4624" s="6" t="s">
        <v>398</v>
      </c>
      <c r="K4624" s="10">
        <v>7.25</v>
      </c>
      <c r="L4624" s="10">
        <v>25</v>
      </c>
      <c r="M4624" s="6" t="s">
        <v>421</v>
      </c>
      <c r="N4624" s="6" t="str">
        <f>IF(OR($G4624="FCC",$G4624="Hydrocracker",$G4624="Reformer"),IF(COUNTIFS($D:$D,$D4624,$A:$A,$A4624,$B:$B,$B4624,$G:$G,"CDU",$J:$J,"PLANNED")&gt;0,"tied","standalone"),"")</f>
        <v>standalone</v>
      </c>
    </row>
    <row r="4625" spans="1:14">
      <c r="A4625" s="6">
        <v>2024</v>
      </c>
      <c r="B4625" s="6">
        <v>10</v>
      </c>
      <c r="C4625" s="6" t="s">
        <v>69</v>
      </c>
      <c r="D4625" s="6" t="s">
        <v>496</v>
      </c>
      <c r="E4625" s="6" t="s">
        <v>441</v>
      </c>
      <c r="F4625" s="6" t="str">
        <f>IF($M4625="PADD I","PADD 1",IF($M4625="PADD II","PADD 2",IF($M4625="PADD III","PADD 3",IF($M4625="PADD IV","PADD 4",IF($M4625="PADD V","PADD 5","")))))</f>
        <v>PADD 3</v>
      </c>
      <c r="G4625" s="6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6" t="s">
        <v>510</v>
      </c>
      <c r="I4625" s="6" t="s">
        <v>1125</v>
      </c>
      <c r="J4625" s="6" t="s">
        <v>394</v>
      </c>
      <c r="K4625" s="10">
        <v>7.2</v>
      </c>
      <c r="L4625" s="10">
        <v>7.2</v>
      </c>
      <c r="M4625" s="6" t="s">
        <v>421</v>
      </c>
      <c r="N4625" s="6">
        <f>IF(OR($G4625="FCC",$G4625="Hydrocracker",$G4625="Reformer"),IF(COUNTIFS($D:$D,$D4625,$A:$A,$A4625,$B:$B,$B4625,$G:$G,"CDU",$J:$J,"PLANNED")&gt;0,"tied","standalone"),"")</f>
        <v/>
      </c>
    </row>
    <row r="4626" spans="1:14">
      <c r="A4626" s="6">
        <v>2024</v>
      </c>
      <c r="B4626" s="6">
        <v>10</v>
      </c>
      <c r="C4626" s="6" t="s">
        <v>69</v>
      </c>
      <c r="D4626" s="6" t="s">
        <v>41</v>
      </c>
      <c r="E4626" s="6" t="s">
        <v>786</v>
      </c>
      <c r="F4626" s="6" t="str">
        <f>IF($M4626="PADD I","PADD 1",IF($M4626="PADD II","PADD 2",IF($M4626="PADD III","PADD 3",IF($M4626="PADD IV","PADD 4",IF($M4626="PADD V","PADD 5","")))))</f>
        <v>PADD 1</v>
      </c>
      <c r="G4626" s="6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6" t="s">
        <v>428</v>
      </c>
      <c r="I4626" s="6" t="s">
        <v>1060</v>
      </c>
      <c r="J4626" s="6" t="s">
        <v>398</v>
      </c>
      <c r="K4626" s="10">
        <v>7.0557</v>
      </c>
      <c r="L4626" s="10">
        <v>24.33</v>
      </c>
      <c r="M4626" s="6" t="s">
        <v>463</v>
      </c>
      <c r="N4626" s="6">
        <f>IF(OR($G4626="FCC",$G4626="Hydrocracker",$G4626="Reformer"),IF(COUNTIFS($D:$D,$D4626,$A:$A,$A4626,$B:$B,$B4626,$G:$G,"CDU",$J:$J,"PLANNED")&gt;0,"tied","standalone"),"")</f>
        <v/>
      </c>
    </row>
    <row r="4627" spans="1:14">
      <c r="A4627" s="6">
        <v>2024</v>
      </c>
      <c r="B4627" s="6">
        <v>10</v>
      </c>
      <c r="C4627" s="6" t="s">
        <v>69</v>
      </c>
      <c r="D4627" s="6" t="s">
        <v>996</v>
      </c>
      <c r="E4627" s="6" t="s">
        <v>455</v>
      </c>
      <c r="F4627" s="6" t="str">
        <f>IF($M4627="PADD I","PADD 1",IF($M4627="PADD II","PADD 2",IF($M4627="PADD III","PADD 3",IF($M4627="PADD IV","PADD 4",IF($M4627="PADD V","PADD 5","")))))</f>
        <v>PADD 5</v>
      </c>
      <c r="G4627" s="6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6" t="s">
        <v>426</v>
      </c>
      <c r="I4627" s="6" t="s">
        <v>997</v>
      </c>
      <c r="J4627" s="6" t="s">
        <v>394</v>
      </c>
      <c r="K4627" s="10">
        <v>7.02</v>
      </c>
      <c r="L4627" s="10">
        <v>54</v>
      </c>
      <c r="M4627" s="6" t="s">
        <v>436</v>
      </c>
      <c r="N4627" s="6" t="str">
        <f>IF(OR($G4627="FCC",$G4627="Hydrocracker",$G4627="Reformer"),IF(COUNTIFS($D:$D,$D4627,$A:$A,$A4627,$B:$B,$B4627,$G:$G,"CDU",$J:$J,"PLANNED")&gt;0,"tied","standalone"),"")</f>
        <v>standalone</v>
      </c>
    </row>
    <row r="4628" spans="1:14">
      <c r="A4628" s="6">
        <v>2024</v>
      </c>
      <c r="B4628" s="6">
        <v>10</v>
      </c>
      <c r="C4628" s="6" t="s">
        <v>69</v>
      </c>
      <c r="D4628" s="6" t="s">
        <v>1113</v>
      </c>
      <c r="E4628" s="6" t="s">
        <v>438</v>
      </c>
      <c r="F4628" s="6" t="str">
        <f>IF($M4628="PADD I","PADD 1",IF($M4628="PADD II","PADD 2",IF($M4628="PADD III","PADD 3",IF($M4628="PADD IV","PADD 4",IF($M4628="PADD V","PADD 5","")))))</f>
        <v>PADD 2</v>
      </c>
      <c r="G4628" s="6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6" t="s">
        <v>44</v>
      </c>
      <c r="I4628" s="6" t="s">
        <v>739</v>
      </c>
      <c r="J4628" s="6" t="s">
        <v>394</v>
      </c>
      <c r="K4628" s="10">
        <v>7</v>
      </c>
      <c r="L4628" s="10">
        <v>7</v>
      </c>
      <c r="M4628" s="6" t="s">
        <v>425</v>
      </c>
      <c r="N4628" s="6">
        <f>IF(OR($G4628="FCC",$G4628="Hydrocracker",$G4628="Reformer"),IF(COUNTIFS($D:$D,$D4628,$A:$A,$A4628,$B:$B,$B4628,$G:$G,"CDU",$J:$J,"PLANNED")&gt;0,"tied","standalone"),"")</f>
        <v/>
      </c>
    </row>
    <row r="4629" spans="1:14">
      <c r="A4629" s="6">
        <v>2024</v>
      </c>
      <c r="B4629" s="6">
        <v>10</v>
      </c>
      <c r="C4629" s="6" t="s">
        <v>69</v>
      </c>
      <c r="D4629" s="6" t="s">
        <v>445</v>
      </c>
      <c r="E4629" s="6" t="s">
        <v>446</v>
      </c>
      <c r="F4629" s="6" t="str">
        <f>IF($M4629="PADD I","PADD 1",IF($M4629="PADD II","PADD 2",IF($M4629="PADD III","PADD 3",IF($M4629="PADD IV","PADD 4",IF($M4629="PADD V","PADD 5","")))))</f>
        <v>PADD 3</v>
      </c>
      <c r="G4629" s="6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6" t="s">
        <v>44</v>
      </c>
      <c r="I4629" s="6" t="s">
        <v>595</v>
      </c>
      <c r="J4629" s="6" t="s">
        <v>394</v>
      </c>
      <c r="K4629" s="10">
        <v>6.88</v>
      </c>
      <c r="L4629" s="10">
        <v>43</v>
      </c>
      <c r="M4629" s="6" t="s">
        <v>421</v>
      </c>
      <c r="N4629" s="6">
        <f>IF(OR($G4629="FCC",$G4629="Hydrocracker",$G4629="Reformer"),IF(COUNTIFS($D:$D,$D4629,$A:$A,$A4629,$B:$B,$B4629,$G:$G,"CDU",$J:$J,"PLANNED")&gt;0,"tied","standalone"),"")</f>
        <v/>
      </c>
    </row>
    <row r="4630" spans="1:14">
      <c r="A4630" s="6">
        <v>2024</v>
      </c>
      <c r="B4630" s="6">
        <v>10</v>
      </c>
      <c r="C4630" s="6" t="s">
        <v>69</v>
      </c>
      <c r="D4630" s="6" t="s">
        <v>445</v>
      </c>
      <c r="E4630" s="6" t="s">
        <v>446</v>
      </c>
      <c r="F4630" s="6" t="str">
        <f>IF($M4630="PADD I","PADD 1",IF($M4630="PADD II","PADD 2",IF($M4630="PADD III","PADD 3",IF($M4630="PADD IV","PADD 4",IF($M4630="PADD V","PADD 5","")))))</f>
        <v>PADD 3</v>
      </c>
      <c r="G4630" s="6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6" t="s">
        <v>44</v>
      </c>
      <c r="I4630" s="6" t="s">
        <v>599</v>
      </c>
      <c r="J4630" s="6" t="s">
        <v>394</v>
      </c>
      <c r="K4630" s="10">
        <v>6.64</v>
      </c>
      <c r="L4630" s="10">
        <v>41.5</v>
      </c>
      <c r="M4630" s="6" t="s">
        <v>421</v>
      </c>
      <c r="N4630" s="6">
        <f>IF(OR($G4630="FCC",$G4630="Hydrocracker",$G4630="Reformer"),IF(COUNTIFS($D:$D,$D4630,$A:$A,$A4630,$B:$B,$B4630,$G:$G,"CDU",$J:$J,"PLANNED")&gt;0,"tied","standalone"),"")</f>
        <v/>
      </c>
    </row>
    <row r="4631" spans="1:14">
      <c r="A4631" s="6">
        <v>2024</v>
      </c>
      <c r="B4631" s="6">
        <v>10</v>
      </c>
      <c r="C4631" s="6" t="s">
        <v>69</v>
      </c>
      <c r="D4631" s="6" t="s">
        <v>445</v>
      </c>
      <c r="E4631" s="6" t="s">
        <v>446</v>
      </c>
      <c r="F4631" s="6" t="str">
        <f>IF($M4631="PADD I","PADD 1",IF($M4631="PADD II","PADD 2",IF($M4631="PADD III","PADD 3",IF($M4631="PADD IV","PADD 4",IF($M4631="PADD V","PADD 5","")))))</f>
        <v>PADD 3</v>
      </c>
      <c r="G4631" s="6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6" t="s">
        <v>44</v>
      </c>
      <c r="I4631" s="6" t="s">
        <v>600</v>
      </c>
      <c r="J4631" s="6" t="s">
        <v>394</v>
      </c>
      <c r="K4631" s="10">
        <v>6.576</v>
      </c>
      <c r="L4631" s="10">
        <v>41.1</v>
      </c>
      <c r="M4631" s="6" t="s">
        <v>421</v>
      </c>
      <c r="N4631" s="6">
        <f>IF(OR($G4631="FCC",$G4631="Hydrocracker",$G4631="Reformer"),IF(COUNTIFS($D:$D,$D4631,$A:$A,$A4631,$B:$B,$B4631,$G:$G,"CDU",$J:$J,"PLANNED")&gt;0,"tied","standalone"),"")</f>
        <v/>
      </c>
    </row>
    <row r="4632" spans="1:14">
      <c r="A4632" s="6">
        <v>2024</v>
      </c>
      <c r="B4632" s="6">
        <v>10</v>
      </c>
      <c r="C4632" s="6" t="s">
        <v>69</v>
      </c>
      <c r="D4632" s="6" t="s">
        <v>496</v>
      </c>
      <c r="E4632" s="6" t="s">
        <v>441</v>
      </c>
      <c r="F4632" s="6" t="str">
        <f>IF($M4632="PADD I","PADD 1",IF($M4632="PADD II","PADD 2",IF($M4632="PADD III","PADD 3",IF($M4632="PADD IV","PADD 4",IF($M4632="PADD V","PADD 5","")))))</f>
        <v>PADD 3</v>
      </c>
      <c r="G4632" s="6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6" t="s">
        <v>510</v>
      </c>
      <c r="I4632" s="6" t="s">
        <v>630</v>
      </c>
      <c r="J4632" s="6" t="s">
        <v>394</v>
      </c>
      <c r="K4632" s="10">
        <v>6.48</v>
      </c>
      <c r="L4632" s="10">
        <v>7.2</v>
      </c>
      <c r="M4632" s="6" t="s">
        <v>421</v>
      </c>
      <c r="N4632" s="6">
        <f>IF(OR($G4632="FCC",$G4632="Hydrocracker",$G4632="Reformer"),IF(COUNTIFS($D:$D,$D4632,$A:$A,$A4632,$B:$B,$B4632,$G:$G,"CDU",$J:$J,"PLANNED")&gt;0,"tied","standalone"),"")</f>
        <v/>
      </c>
    </row>
    <row r="4633" spans="1:14">
      <c r="A4633" s="6">
        <v>2024</v>
      </c>
      <c r="B4633" s="6">
        <v>10</v>
      </c>
      <c r="C4633" s="6" t="s">
        <v>69</v>
      </c>
      <c r="D4633" s="6" t="s">
        <v>576</v>
      </c>
      <c r="E4633" s="6" t="s">
        <v>455</v>
      </c>
      <c r="F4633" s="6" t="str">
        <f>IF($M4633="PADD I","PADD 1",IF($M4633="PADD II","PADD 2",IF($M4633="PADD III","PADD 3",IF($M4633="PADD IV","PADD 4",IF($M4633="PADD V","PADD 5","")))))</f>
        <v>PADD 3</v>
      </c>
      <c r="G4633" s="6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6" t="s">
        <v>39</v>
      </c>
      <c r="I4633" s="6" t="s">
        <v>399</v>
      </c>
      <c r="J4633" s="6" t="s">
        <v>394</v>
      </c>
      <c r="K4633" s="10">
        <v>6.3</v>
      </c>
      <c r="L4633" s="10">
        <v>210</v>
      </c>
      <c r="M4633" s="6" t="s">
        <v>421</v>
      </c>
      <c r="N4633" s="6">
        <f>IF(OR($G4633="FCC",$G4633="Hydrocracker",$G4633="Reformer"),IF(COUNTIFS($D:$D,$D4633,$A:$A,$A4633,$B:$B,$B4633,$G:$G,"CDU",$J:$J,"PLANNED")&gt;0,"tied","standalone"),"")</f>
        <v/>
      </c>
    </row>
    <row r="4634" spans="1:14">
      <c r="A4634" s="6">
        <v>2024</v>
      </c>
      <c r="B4634" s="6">
        <v>10</v>
      </c>
      <c r="C4634" s="6" t="s">
        <v>69</v>
      </c>
      <c r="D4634" s="6" t="s">
        <v>52</v>
      </c>
      <c r="E4634" s="6" t="s">
        <v>441</v>
      </c>
      <c r="F4634" s="6" t="str">
        <f>IF($M4634="PADD I","PADD 1",IF($M4634="PADD II","PADD 2",IF($M4634="PADD III","PADD 3",IF($M4634="PADD IV","PADD 4",IF($M4634="PADD V","PADD 5","")))))</f>
        <v>PADD 5</v>
      </c>
      <c r="G4634" s="6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6" t="s">
        <v>428</v>
      </c>
      <c r="I4634" s="6" t="s">
        <v>1085</v>
      </c>
      <c r="J4634" s="6" t="s">
        <v>394</v>
      </c>
      <c r="K4634" s="10">
        <v>6.3</v>
      </c>
      <c r="L4634" s="10">
        <v>105</v>
      </c>
      <c r="M4634" s="6" t="s">
        <v>436</v>
      </c>
      <c r="N4634" s="6">
        <f>IF(OR($G4634="FCC",$G4634="Hydrocracker",$G4634="Reformer"),IF(COUNTIFS($D:$D,$D4634,$A:$A,$A4634,$B:$B,$B4634,$G:$G,"CDU",$J:$J,"PLANNED")&gt;0,"tied","standalone"),"")</f>
        <v/>
      </c>
    </row>
    <row r="4635" spans="1:14">
      <c r="A4635" s="6">
        <v>2024</v>
      </c>
      <c r="B4635" s="6">
        <v>10</v>
      </c>
      <c r="C4635" s="6" t="s">
        <v>69</v>
      </c>
      <c r="D4635" s="6" t="s">
        <v>445</v>
      </c>
      <c r="E4635" s="6" t="s">
        <v>446</v>
      </c>
      <c r="F4635" s="6" t="str">
        <f>IF($M4635="PADD I","PADD 1",IF($M4635="PADD II","PADD 2",IF($M4635="PADD III","PADD 3",IF($M4635="PADD IV","PADD 4",IF($M4635="PADD V","PADD 5","")))))</f>
        <v>PADD 3</v>
      </c>
      <c r="G4635" s="6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6" t="s">
        <v>44</v>
      </c>
      <c r="I4635" s="6" t="s">
        <v>604</v>
      </c>
      <c r="J4635" s="6" t="s">
        <v>394</v>
      </c>
      <c r="K4635" s="10">
        <v>6.16</v>
      </c>
      <c r="L4635" s="10">
        <v>38.5</v>
      </c>
      <c r="M4635" s="6" t="s">
        <v>421</v>
      </c>
      <c r="N4635" s="6">
        <f>IF(OR($G4635="FCC",$G4635="Hydrocracker",$G4635="Reformer"),IF(COUNTIFS($D:$D,$D4635,$A:$A,$A4635,$B:$B,$B4635,$G:$G,"CDU",$J:$J,"PLANNED")&gt;0,"tied","standalone"),"")</f>
        <v/>
      </c>
    </row>
    <row r="4636" spans="1:14">
      <c r="A4636" s="6">
        <v>2024</v>
      </c>
      <c r="B4636" s="6">
        <v>10</v>
      </c>
      <c r="C4636" s="6" t="s">
        <v>69</v>
      </c>
      <c r="D4636" s="6" t="s">
        <v>515</v>
      </c>
      <c r="E4636" s="6" t="s">
        <v>419</v>
      </c>
      <c r="F4636" s="6" t="str">
        <f>IF($M4636="PADD I","PADD 1",IF($M4636="PADD II","PADD 2",IF($M4636="PADD III","PADD 3",IF($M4636="PADD IV","PADD 4",IF($M4636="PADD V","PADD 5","")))))</f>
        <v>PADD 5</v>
      </c>
      <c r="G4636" s="6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6" t="s">
        <v>44</v>
      </c>
      <c r="I4636" s="6" t="s">
        <v>719</v>
      </c>
      <c r="J4636" s="6" t="s">
        <v>398</v>
      </c>
      <c r="K4636" s="10">
        <v>6.08</v>
      </c>
      <c r="L4636" s="10">
        <v>19</v>
      </c>
      <c r="M4636" s="6" t="s">
        <v>436</v>
      </c>
      <c r="N4636" s="6">
        <f>IF(OR($G4636="FCC",$G4636="Hydrocracker",$G4636="Reformer"),IF(COUNTIFS($D:$D,$D4636,$A:$A,$A4636,$B:$B,$B4636,$G:$G,"CDU",$J:$J,"PLANNED")&gt;0,"tied","standalone"),"")</f>
        <v/>
      </c>
    </row>
    <row r="4637" spans="1:14">
      <c r="A4637" s="6">
        <v>2024</v>
      </c>
      <c r="B4637" s="6">
        <v>10</v>
      </c>
      <c r="C4637" s="6" t="s">
        <v>69</v>
      </c>
      <c r="D4637" s="6" t="s">
        <v>378</v>
      </c>
      <c r="E4637" s="6" t="s">
        <v>477</v>
      </c>
      <c r="F4637" s="6" t="str">
        <f>IF($M4637="PADD I","PADD 1",IF($M4637="PADD II","PADD 2",IF($M4637="PADD III","PADD 3",IF($M4637="PADD IV","PADD 4",IF($M4637="PADD V","PADD 5","")))))</f>
        <v>PADD 3</v>
      </c>
      <c r="G4637" s="6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6" t="s">
        <v>485</v>
      </c>
      <c r="I4637" s="6" t="s">
        <v>1308</v>
      </c>
      <c r="J4637" s="6" t="s">
        <v>398</v>
      </c>
      <c r="K4637" s="10">
        <v>6</v>
      </c>
      <c r="L4637" s="10">
        <v>6</v>
      </c>
      <c r="M4637" s="6" t="s">
        <v>421</v>
      </c>
      <c r="N4637" s="6">
        <f>IF(OR($G4637="FCC",$G4637="Hydrocracker",$G4637="Reformer"),IF(COUNTIFS($D:$D,$D4637,$A:$A,$A4637,$B:$B,$B4637,$G:$G,"CDU",$J:$J,"PLANNED")&gt;0,"tied","standalone"),"")</f>
        <v/>
      </c>
    </row>
    <row r="4638" spans="1:14">
      <c r="A4638" s="6">
        <v>2024</v>
      </c>
      <c r="B4638" s="6">
        <v>10</v>
      </c>
      <c r="C4638" s="6" t="s">
        <v>69</v>
      </c>
      <c r="D4638" s="6" t="s">
        <v>652</v>
      </c>
      <c r="E4638" s="6" t="s">
        <v>419</v>
      </c>
      <c r="F4638" s="6" t="str">
        <f>IF($M4638="PADD I","PADD 1",IF($M4638="PADD II","PADD 2",IF($M4638="PADD III","PADD 3",IF($M4638="PADD IV","PADD 4",IF($M4638="PADD V","PADD 5","")))))</f>
        <v>PADD 2</v>
      </c>
      <c r="G4638" s="6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6" t="s">
        <v>426</v>
      </c>
      <c r="I4638" s="6" t="s">
        <v>704</v>
      </c>
      <c r="J4638" s="6" t="s">
        <v>394</v>
      </c>
      <c r="K4638" s="10">
        <v>5.98</v>
      </c>
      <c r="L4638" s="10">
        <v>26</v>
      </c>
      <c r="M4638" s="6" t="s">
        <v>425</v>
      </c>
      <c r="N4638" s="6" t="str">
        <f>IF(OR($G4638="FCC",$G4638="Hydrocracker",$G4638="Reformer"),IF(COUNTIFS($D:$D,$D4638,$A:$A,$A4638,$B:$B,$B4638,$G:$G,"CDU",$J:$J,"PLANNED")&gt;0,"tied","standalone"),"")</f>
        <v>tied</v>
      </c>
    </row>
    <row r="4639" spans="1:14">
      <c r="A4639" s="6">
        <v>2024</v>
      </c>
      <c r="B4639" s="6">
        <v>10</v>
      </c>
      <c r="C4639" s="6" t="s">
        <v>69</v>
      </c>
      <c r="D4639" s="6" t="s">
        <v>1110</v>
      </c>
      <c r="E4639" s="6" t="s">
        <v>1089</v>
      </c>
      <c r="F4639" s="6" t="str">
        <f>IF($M4639="PADD I","PADD 1",IF($M4639="PADD II","PADD 2",IF($M4639="PADD III","PADD 3",IF($M4639="PADD IV","PADD 4",IF($M4639="PADD V","PADD 5","")))))</f>
        <v>PADD 2</v>
      </c>
      <c r="G4639" s="6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6" t="s">
        <v>44</v>
      </c>
      <c r="I4639" s="6" t="s">
        <v>1237</v>
      </c>
      <c r="J4639" s="6" t="s">
        <v>398</v>
      </c>
      <c r="K4639" s="10">
        <v>5.6</v>
      </c>
      <c r="L4639" s="10">
        <v>35</v>
      </c>
      <c r="M4639" s="6" t="s">
        <v>425</v>
      </c>
      <c r="N4639" s="6">
        <f>IF(OR($G4639="FCC",$G4639="Hydrocracker",$G4639="Reformer"),IF(COUNTIFS($D:$D,$D4639,$A:$A,$A4639,$B:$B,$B4639,$G:$G,"CDU",$J:$J,"PLANNED")&gt;0,"tied","standalone"),"")</f>
        <v/>
      </c>
    </row>
    <row r="4640" spans="1:14">
      <c r="A4640" s="6">
        <v>2024</v>
      </c>
      <c r="B4640" s="6">
        <v>10</v>
      </c>
      <c r="C4640" s="6" t="s">
        <v>69</v>
      </c>
      <c r="D4640" s="6" t="s">
        <v>440</v>
      </c>
      <c r="E4640" s="6" t="s">
        <v>441</v>
      </c>
      <c r="F4640" s="6" t="str">
        <f>IF($M4640="PADD I","PADD 1",IF($M4640="PADD II","PADD 2",IF($M4640="PADD III","PADD 3",IF($M4640="PADD IV","PADD 4",IF($M4640="PADD V","PADD 5","")))))</f>
        <v>PADD 3</v>
      </c>
      <c r="G4640" s="6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6" t="s">
        <v>494</v>
      </c>
      <c r="I4640" s="6" t="s">
        <v>1313</v>
      </c>
      <c r="J4640" s="6" t="s">
        <v>398</v>
      </c>
      <c r="K4640" s="10">
        <v>5.44</v>
      </c>
      <c r="L4640" s="10">
        <v>34</v>
      </c>
      <c r="M4640" s="6" t="s">
        <v>421</v>
      </c>
      <c r="N4640" s="6" t="str">
        <f>IF(OR($G4640="FCC",$G4640="Hydrocracker",$G4640="Reformer"),IF(COUNTIFS($D:$D,$D4640,$A:$A,$A4640,$B:$B,$B4640,$G:$G,"CDU",$J:$J,"PLANNED")&gt;0,"tied","standalone"),"")</f>
        <v>standalone</v>
      </c>
    </row>
    <row r="4641" spans="1:14">
      <c r="A4641" s="6">
        <v>2024</v>
      </c>
      <c r="B4641" s="6">
        <v>10</v>
      </c>
      <c r="C4641" s="6" t="s">
        <v>69</v>
      </c>
      <c r="D4641" s="6" t="s">
        <v>849</v>
      </c>
      <c r="E4641" s="6" t="s">
        <v>441</v>
      </c>
      <c r="F4641" s="6" t="str">
        <f>IF($M4641="PADD I","PADD 1",IF($M4641="PADD II","PADD 2",IF($M4641="PADD III","PADD 3",IF($M4641="PADD IV","PADD 4",IF($M4641="PADD V","PADD 5","")))))</f>
        <v>PADD 4</v>
      </c>
      <c r="G4641" s="6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6" t="s">
        <v>510</v>
      </c>
      <c r="I4641" s="6" t="s">
        <v>958</v>
      </c>
      <c r="J4641" s="6" t="s">
        <v>394</v>
      </c>
      <c r="K4641" s="10">
        <v>5.432</v>
      </c>
      <c r="L4641" s="10">
        <v>5.6</v>
      </c>
      <c r="M4641" s="6" t="s">
        <v>480</v>
      </c>
      <c r="N4641" s="6">
        <f>IF(OR($G4641="FCC",$G4641="Hydrocracker",$G4641="Reformer"),IF(COUNTIFS($D:$D,$D4641,$A:$A,$A4641,$B:$B,$B4641,$G:$G,"CDU",$J:$J,"PLANNED")&gt;0,"tied","standalone"),"")</f>
        <v/>
      </c>
    </row>
    <row r="4642" spans="1:14">
      <c r="A4642" s="6">
        <v>2024</v>
      </c>
      <c r="B4642" s="6">
        <v>10</v>
      </c>
      <c r="C4642" s="6" t="s">
        <v>69</v>
      </c>
      <c r="D4642" s="6" t="s">
        <v>1113</v>
      </c>
      <c r="E4642" s="6" t="s">
        <v>438</v>
      </c>
      <c r="F4642" s="6" t="str">
        <f>IF($M4642="PADD I","PADD 1",IF($M4642="PADD II","PADD 2",IF($M4642="PADD III","PADD 3",IF($M4642="PADD IV","PADD 4",IF($M4642="PADD V","PADD 5","")))))</f>
        <v>PADD 2</v>
      </c>
      <c r="G4642" s="6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6" t="s">
        <v>44</v>
      </c>
      <c r="I4642" s="6" t="s">
        <v>1122</v>
      </c>
      <c r="J4642" s="6" t="s">
        <v>398</v>
      </c>
      <c r="K4642" s="10">
        <v>5.39</v>
      </c>
      <c r="L4642" s="10">
        <v>7</v>
      </c>
      <c r="M4642" s="6" t="s">
        <v>425</v>
      </c>
      <c r="N4642" s="6">
        <f>IF(OR($G4642="FCC",$G4642="Hydrocracker",$G4642="Reformer"),IF(COUNTIFS($D:$D,$D4642,$A:$A,$A4642,$B:$B,$B4642,$G:$G,"CDU",$J:$J,"PLANNED")&gt;0,"tied","standalone"),"")</f>
        <v/>
      </c>
    </row>
    <row r="4643" spans="1:14">
      <c r="A4643" s="6">
        <v>2024</v>
      </c>
      <c r="B4643" s="6">
        <v>10</v>
      </c>
      <c r="C4643" s="6" t="s">
        <v>69</v>
      </c>
      <c r="D4643" s="6" t="s">
        <v>773</v>
      </c>
      <c r="E4643" s="6" t="s">
        <v>774</v>
      </c>
      <c r="F4643" s="6" t="str">
        <f>IF($M4643="PADD I","PADD 1",IF($M4643="PADD II","PADD 2",IF($M4643="PADD III","PADD 3",IF($M4643="PADD IV","PADD 4",IF($M4643="PADD V","PADD 5","")))))</f>
        <v>PADD 4</v>
      </c>
      <c r="G4643" s="6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6" t="s">
        <v>44</v>
      </c>
      <c r="I4643" s="6" t="s">
        <v>1275</v>
      </c>
      <c r="J4643" s="6" t="s">
        <v>398</v>
      </c>
      <c r="K4643" s="10">
        <v>5.25</v>
      </c>
      <c r="L4643" s="10">
        <v>15</v>
      </c>
      <c r="M4643" s="6" t="s">
        <v>480</v>
      </c>
      <c r="N4643" s="6">
        <f>IF(OR($G4643="FCC",$G4643="Hydrocracker",$G4643="Reformer"),IF(COUNTIFS($D:$D,$D4643,$A:$A,$A4643,$B:$B,$B4643,$G:$G,"CDU",$J:$J,"PLANNED")&gt;0,"tied","standalone"),"")</f>
        <v/>
      </c>
    </row>
    <row r="4644" spans="1:14">
      <c r="A4644" s="6">
        <v>2024</v>
      </c>
      <c r="B4644" s="6">
        <v>10</v>
      </c>
      <c r="C4644" s="6" t="s">
        <v>69</v>
      </c>
      <c r="D4644" s="6" t="s">
        <v>788</v>
      </c>
      <c r="E4644" s="6" t="s">
        <v>602</v>
      </c>
      <c r="F4644" s="6" t="str">
        <f>IF($M4644="PADD I","PADD 1",IF($M4644="PADD II","PADD 2",IF($M4644="PADD III","PADD 3",IF($M4644="PADD IV","PADD 4",IF($M4644="PADD V","PADD 5","")))))</f>
        <v>PADD 3</v>
      </c>
      <c r="G4644" s="6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6" t="s">
        <v>44</v>
      </c>
      <c r="I4644" s="6" t="s">
        <v>551</v>
      </c>
      <c r="J4644" s="6" t="s">
        <v>398</v>
      </c>
      <c r="K4644" s="10">
        <v>5.2</v>
      </c>
      <c r="L4644" s="10">
        <v>8</v>
      </c>
      <c r="M4644" s="6" t="s">
        <v>421</v>
      </c>
      <c r="N4644" s="6">
        <f>IF(OR($G4644="FCC",$G4644="Hydrocracker",$G4644="Reformer"),IF(COUNTIFS($D:$D,$D4644,$A:$A,$A4644,$B:$B,$B4644,$G:$G,"CDU",$J:$J,"PLANNED")&gt;0,"tied","standalone"),"")</f>
        <v/>
      </c>
    </row>
    <row r="4645" spans="1:14">
      <c r="A4645" s="6">
        <v>2024</v>
      </c>
      <c r="B4645" s="6">
        <v>10</v>
      </c>
      <c r="C4645" s="6" t="s">
        <v>69</v>
      </c>
      <c r="D4645" s="6" t="s">
        <v>928</v>
      </c>
      <c r="E4645" s="6" t="s">
        <v>502</v>
      </c>
      <c r="F4645" s="6" t="str">
        <f>IF($M4645="PADD I","PADD 1",IF($M4645="PADD II","PADD 2",IF($M4645="PADD III","PADD 3",IF($M4645="PADD IV","PADD 4",IF($M4645="PADD V","PADD 5","")))))</f>
        <v>PADD 2</v>
      </c>
      <c r="G4645" s="6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6" t="s">
        <v>485</v>
      </c>
      <c r="I4645" s="6" t="s">
        <v>491</v>
      </c>
      <c r="J4645" s="6" t="s">
        <v>394</v>
      </c>
      <c r="K4645" s="10">
        <v>5.185</v>
      </c>
      <c r="L4645" s="10">
        <v>8.5</v>
      </c>
      <c r="M4645" s="6" t="s">
        <v>425</v>
      </c>
      <c r="N4645" s="6">
        <f>IF(OR($G4645="FCC",$G4645="Hydrocracker",$G4645="Reformer"),IF(COUNTIFS($D:$D,$D4645,$A:$A,$A4645,$B:$B,$B4645,$G:$G,"CDU",$J:$J,"PLANNED")&gt;0,"tied","standalone"),"")</f>
        <v/>
      </c>
    </row>
    <row r="4646" spans="1:14">
      <c r="A4646" s="6">
        <v>2024</v>
      </c>
      <c r="B4646" s="6">
        <v>10</v>
      </c>
      <c r="C4646" s="6" t="s">
        <v>69</v>
      </c>
      <c r="D4646" s="6" t="s">
        <v>576</v>
      </c>
      <c r="E4646" s="6" t="s">
        <v>455</v>
      </c>
      <c r="F4646" s="6" t="str">
        <f>IF($M4646="PADD I","PADD 1",IF($M4646="PADD II","PADD 2",IF($M4646="PADD III","PADD 3",IF($M4646="PADD IV","PADD 4",IF($M4646="PADD V","PADD 5","")))))</f>
        <v>PADD 3</v>
      </c>
      <c r="G4646" s="6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6" t="s">
        <v>428</v>
      </c>
      <c r="I4646" s="6" t="s">
        <v>699</v>
      </c>
      <c r="J4646" s="6" t="s">
        <v>394</v>
      </c>
      <c r="K4646" s="10">
        <v>5.16</v>
      </c>
      <c r="L4646" s="10">
        <v>172</v>
      </c>
      <c r="M4646" s="6" t="s">
        <v>421</v>
      </c>
      <c r="N4646" s="6">
        <f>IF(OR($G4646="FCC",$G4646="Hydrocracker",$G4646="Reformer"),IF(COUNTIFS($D:$D,$D4646,$A:$A,$A4646,$B:$B,$B4646,$G:$G,"CDU",$J:$J,"PLANNED")&gt;0,"tied","standalone"),"")</f>
        <v/>
      </c>
    </row>
    <row r="4647" spans="1:14">
      <c r="A4647" s="6">
        <v>2024</v>
      </c>
      <c r="B4647" s="6">
        <v>10</v>
      </c>
      <c r="C4647" s="6" t="s">
        <v>69</v>
      </c>
      <c r="D4647" s="6" t="s">
        <v>515</v>
      </c>
      <c r="E4647" s="6" t="s">
        <v>419</v>
      </c>
      <c r="F4647" s="6" t="str">
        <f>IF($M4647="PADD I","PADD 1",IF($M4647="PADD II","PADD 2",IF($M4647="PADD III","PADD 3",IF($M4647="PADD IV","PADD 4",IF($M4647="PADD V","PADD 5","")))))</f>
        <v>PADD 5</v>
      </c>
      <c r="G4647" s="6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6" t="s">
        <v>471</v>
      </c>
      <c r="I4647" s="6" t="s">
        <v>723</v>
      </c>
      <c r="J4647" s="6" t="s">
        <v>398</v>
      </c>
      <c r="K4647" s="10">
        <v>5.12</v>
      </c>
      <c r="L4647" s="10">
        <v>16</v>
      </c>
      <c r="M4647" s="6" t="s">
        <v>436</v>
      </c>
      <c r="N4647" s="6" t="str">
        <f>IF(OR($G4647="FCC",$G4647="Hydrocracker",$G4647="Reformer"),IF(COUNTIFS($D:$D,$D4647,$A:$A,$A4647,$B:$B,$B4647,$G:$G,"CDU",$J:$J,"PLANNED")&gt;0,"tied","standalone"),"")</f>
        <v>standalone</v>
      </c>
    </row>
    <row r="4648" spans="1:14">
      <c r="A4648" s="6">
        <v>2024</v>
      </c>
      <c r="B4648" s="6">
        <v>10</v>
      </c>
      <c r="C4648" s="6" t="s">
        <v>69</v>
      </c>
      <c r="D4648" s="6" t="s">
        <v>445</v>
      </c>
      <c r="E4648" s="6" t="s">
        <v>446</v>
      </c>
      <c r="F4648" s="6" t="str">
        <f>IF($M4648="PADD I","PADD 1",IF($M4648="PADD II","PADD 2",IF($M4648="PADD III","PADD 3",IF($M4648="PADD IV","PADD 4",IF($M4648="PADD V","PADD 5","")))))</f>
        <v>PADD 3</v>
      </c>
      <c r="G4648" s="6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6" t="s">
        <v>428</v>
      </c>
      <c r="I4648" s="6" t="s">
        <v>625</v>
      </c>
      <c r="J4648" s="6" t="s">
        <v>394</v>
      </c>
      <c r="K4648" s="10">
        <v>4.8</v>
      </c>
      <c r="L4648" s="10">
        <v>30</v>
      </c>
      <c r="M4648" s="6" t="s">
        <v>421</v>
      </c>
      <c r="N4648" s="6">
        <f>IF(OR($G4648="FCC",$G4648="Hydrocracker",$G4648="Reformer"),IF(COUNTIFS($D:$D,$D4648,$A:$A,$A4648,$B:$B,$B4648,$G:$G,"CDU",$J:$J,"PLANNED")&gt;0,"tied","standalone"),"")</f>
        <v/>
      </c>
    </row>
    <row r="4649" spans="1:14">
      <c r="A4649" s="6">
        <v>2024</v>
      </c>
      <c r="B4649" s="6">
        <v>10</v>
      </c>
      <c r="C4649" s="6" t="s">
        <v>69</v>
      </c>
      <c r="D4649" s="6" t="s">
        <v>581</v>
      </c>
      <c r="E4649" s="6" t="s">
        <v>582</v>
      </c>
      <c r="F4649" s="6" t="str">
        <f>IF($M4649="PADD I","PADD 1",IF($M4649="PADD II","PADD 2",IF($M4649="PADD III","PADD 3",IF($M4649="PADD IV","PADD 4",IF($M4649="PADD V","PADD 5","")))))</f>
        <v>PADD 5</v>
      </c>
      <c r="G4649" s="6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6" t="s">
        <v>485</v>
      </c>
      <c r="I4649" s="6" t="s">
        <v>649</v>
      </c>
      <c r="J4649" s="6" t="s">
        <v>398</v>
      </c>
      <c r="K4649" s="10">
        <v>4.785</v>
      </c>
      <c r="L4649" s="10">
        <v>8.25</v>
      </c>
      <c r="M4649" s="6" t="s">
        <v>436</v>
      </c>
      <c r="N4649" s="6">
        <f>IF(OR($G4649="FCC",$G4649="Hydrocracker",$G4649="Reformer"),IF(COUNTIFS($D:$D,$D4649,$A:$A,$A4649,$B:$B,$B4649,$G:$G,"CDU",$J:$J,"PLANNED")&gt;0,"tied","standalone"),"")</f>
        <v/>
      </c>
    </row>
    <row r="4650" spans="1:14">
      <c r="A4650" s="6">
        <v>2024</v>
      </c>
      <c r="B4650" s="6">
        <v>10</v>
      </c>
      <c r="C4650" s="6" t="s">
        <v>69</v>
      </c>
      <c r="D4650" s="6" t="s">
        <v>725</v>
      </c>
      <c r="E4650" s="6" t="s">
        <v>502</v>
      </c>
      <c r="F4650" s="6" t="str">
        <f>IF($M4650="PADD I","PADD 1",IF($M4650="PADD II","PADD 2",IF($M4650="PADD III","PADD 3",IF($M4650="PADD IV","PADD 4",IF($M4650="PADD V","PADD 5","")))))</f>
        <v>PADD 2</v>
      </c>
      <c r="G4650" s="6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6" t="s">
        <v>471</v>
      </c>
      <c r="I4650" s="6" t="s">
        <v>748</v>
      </c>
      <c r="J4650" s="6" t="s">
        <v>398</v>
      </c>
      <c r="K4650" s="10">
        <v>4.18</v>
      </c>
      <c r="L4650" s="10">
        <v>22</v>
      </c>
      <c r="M4650" s="6" t="s">
        <v>425</v>
      </c>
      <c r="N4650" s="6" t="str">
        <f>IF(OR($G4650="FCC",$G4650="Hydrocracker",$G4650="Reformer"),IF(COUNTIFS($D:$D,$D4650,$A:$A,$A4650,$B:$B,$B4650,$G:$G,"CDU",$J:$J,"PLANNED")&gt;0,"tied","standalone"),"")</f>
        <v>tied</v>
      </c>
    </row>
    <row r="4651" spans="1:14">
      <c r="A4651" s="6">
        <v>2024</v>
      </c>
      <c r="B4651" s="6">
        <v>10</v>
      </c>
      <c r="C4651" s="6" t="s">
        <v>69</v>
      </c>
      <c r="D4651" s="6" t="s">
        <v>370</v>
      </c>
      <c r="E4651" s="6" t="s">
        <v>431</v>
      </c>
      <c r="F4651" s="6" t="str">
        <f>IF($M4651="PADD I","PADD 1",IF($M4651="PADD II","PADD 2",IF($M4651="PADD III","PADD 3",IF($M4651="PADD IV","PADD 4",IF($M4651="PADD V","PADD 5","")))))</f>
        <v>PADD 2</v>
      </c>
      <c r="G4651" s="6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6" t="s">
        <v>44</v>
      </c>
      <c r="I4651" s="6" t="s">
        <v>1220</v>
      </c>
      <c r="J4651" s="6" t="s">
        <v>394</v>
      </c>
      <c r="K4651" s="10">
        <v>4</v>
      </c>
      <c r="L4651" s="10">
        <v>25</v>
      </c>
      <c r="M4651" s="6" t="s">
        <v>425</v>
      </c>
      <c r="N4651" s="6">
        <f>IF(OR($G4651="FCC",$G4651="Hydrocracker",$G4651="Reformer"),IF(COUNTIFS($D:$D,$D4651,$A:$A,$A4651,$B:$B,$B4651,$G:$G,"CDU",$J:$J,"PLANNED")&gt;0,"tied","standalone"),"")</f>
        <v/>
      </c>
    </row>
    <row r="4652" spans="1:14">
      <c r="A4652" s="6">
        <v>2024</v>
      </c>
      <c r="B4652" s="6">
        <v>10</v>
      </c>
      <c r="C4652" s="6" t="s">
        <v>69</v>
      </c>
      <c r="D4652" s="6" t="s">
        <v>375</v>
      </c>
      <c r="E4652" s="6" t="s">
        <v>435</v>
      </c>
      <c r="F4652" s="6" t="str">
        <f>IF($M4652="PADD I","PADD 1",IF($M4652="PADD II","PADD 2",IF($M4652="PADD III","PADD 3",IF($M4652="PADD IV","PADD 4",IF($M4652="PADD V","PADD 5","")))))</f>
        <v>PADD 5</v>
      </c>
      <c r="G4652" s="6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6" t="s">
        <v>485</v>
      </c>
      <c r="I4652" s="6" t="s">
        <v>863</v>
      </c>
      <c r="J4652" s="6" t="s">
        <v>394</v>
      </c>
      <c r="K4652" s="10">
        <v>4</v>
      </c>
      <c r="L4652" s="10">
        <v>25</v>
      </c>
      <c r="M4652" s="6" t="s">
        <v>436</v>
      </c>
      <c r="N4652" s="6">
        <f>IF(OR($G4652="FCC",$G4652="Hydrocracker",$G4652="Reformer"),IF(COUNTIFS($D:$D,$D4652,$A:$A,$A4652,$B:$B,$B4652,$G:$G,"CDU",$J:$J,"PLANNED")&gt;0,"tied","standalone"),"")</f>
        <v/>
      </c>
    </row>
    <row r="4653" spans="1:14">
      <c r="A4653" s="6">
        <v>2024</v>
      </c>
      <c r="B4653" s="6">
        <v>10</v>
      </c>
      <c r="C4653" s="6" t="s">
        <v>69</v>
      </c>
      <c r="D4653" s="6" t="s">
        <v>487</v>
      </c>
      <c r="E4653" s="6" t="s">
        <v>488</v>
      </c>
      <c r="F4653" s="6" t="str">
        <f>IF($M4653="PADD I","PADD 1",IF($M4653="PADD II","PADD 2",IF($M4653="PADD III","PADD 3",IF($M4653="PADD IV","PADD 4",IF($M4653="PADD V","PADD 5","")))))</f>
        <v>PADD 4</v>
      </c>
      <c r="G4653" s="6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6" t="s">
        <v>426</v>
      </c>
      <c r="I4653" s="6" t="s">
        <v>478</v>
      </c>
      <c r="J4653" s="6" t="s">
        <v>394</v>
      </c>
      <c r="K4653" s="10">
        <v>3.906</v>
      </c>
      <c r="L4653" s="10">
        <v>9.300000000000001</v>
      </c>
      <c r="M4653" s="6" t="s">
        <v>480</v>
      </c>
      <c r="N4653" s="6" t="str">
        <f>IF(OR($G4653="FCC",$G4653="Hydrocracker",$G4653="Reformer"),IF(COUNTIFS($D:$D,$D4653,$A:$A,$A4653,$B:$B,$B4653,$G:$G,"CDU",$J:$J,"PLANNED")&gt;0,"tied","standalone"),"")</f>
        <v>standalone</v>
      </c>
    </row>
    <row r="4654" spans="1:14">
      <c r="A4654" s="6">
        <v>2024</v>
      </c>
      <c r="B4654" s="6">
        <v>10</v>
      </c>
      <c r="C4654" s="6" t="s">
        <v>69</v>
      </c>
      <c r="D4654" s="6" t="s">
        <v>788</v>
      </c>
      <c r="E4654" s="6" t="s">
        <v>602</v>
      </c>
      <c r="F4654" s="6" t="str">
        <f>IF($M4654="PADD I","PADD 1",IF($M4654="PADD II","PADD 2",IF($M4654="PADD III","PADD 3",IF($M4654="PADD IV","PADD 4",IF($M4654="PADD V","PADD 5","")))))</f>
        <v>PADD 3</v>
      </c>
      <c r="G4654" s="6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6" t="s">
        <v>510</v>
      </c>
      <c r="I4654" s="6" t="s">
        <v>511</v>
      </c>
      <c r="J4654" s="6" t="s">
        <v>398</v>
      </c>
      <c r="K4654" s="10">
        <v>3.9</v>
      </c>
      <c r="L4654" s="10">
        <v>6</v>
      </c>
      <c r="M4654" s="6" t="s">
        <v>421</v>
      </c>
      <c r="N4654" s="6">
        <f>IF(OR($G4654="FCC",$G4654="Hydrocracker",$G4654="Reformer"),IF(COUNTIFS($D:$D,$D4654,$A:$A,$A4654,$B:$B,$B4654,$G:$G,"CDU",$J:$J,"PLANNED")&gt;0,"tied","standalone"),"")</f>
        <v/>
      </c>
    </row>
    <row r="4655" spans="1:14">
      <c r="A4655" s="6">
        <v>2024</v>
      </c>
      <c r="B4655" s="6">
        <v>10</v>
      </c>
      <c r="C4655" s="6" t="s">
        <v>69</v>
      </c>
      <c r="D4655" s="6" t="s">
        <v>41</v>
      </c>
      <c r="E4655" s="6" t="s">
        <v>786</v>
      </c>
      <c r="F4655" s="6" t="str">
        <f>IF($M4655="PADD I","PADD 1",IF($M4655="PADD II","PADD 2",IF($M4655="PADD III","PADD 3",IF($M4655="PADD IV","PADD 4",IF($M4655="PADD V","PADD 5","")))))</f>
        <v>PADD 1</v>
      </c>
      <c r="G4655" s="6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6" t="s">
        <v>428</v>
      </c>
      <c r="I4655" s="6" t="s">
        <v>1013</v>
      </c>
      <c r="J4655" s="6" t="s">
        <v>398</v>
      </c>
      <c r="K4655" s="10">
        <v>3.8928</v>
      </c>
      <c r="L4655" s="10">
        <v>24.33</v>
      </c>
      <c r="M4655" s="6" t="s">
        <v>463</v>
      </c>
      <c r="N4655" s="6">
        <f>IF(OR($G4655="FCC",$G4655="Hydrocracker",$G4655="Reformer"),IF(COUNTIFS($D:$D,$D4655,$A:$A,$A4655,$B:$B,$B4655,$G:$G,"CDU",$J:$J,"PLANNED")&gt;0,"tied","standalone"),"")</f>
        <v/>
      </c>
    </row>
    <row r="4656" spans="1:14">
      <c r="A4656" s="6">
        <v>2024</v>
      </c>
      <c r="B4656" s="6">
        <v>10</v>
      </c>
      <c r="C4656" s="6" t="s">
        <v>69</v>
      </c>
      <c r="D4656" s="6" t="s">
        <v>851</v>
      </c>
      <c r="E4656" s="6" t="s">
        <v>829</v>
      </c>
      <c r="F4656" s="6" t="str">
        <f>IF($M4656="PADD I","PADD 1",IF($M4656="PADD II","PADD 2",IF($M4656="PADD III","PADD 3",IF($M4656="PADD IV","PADD 4",IF($M4656="PADD V","PADD 5","")))))</f>
        <v>PADD 2</v>
      </c>
      <c r="G4656" s="6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6" t="s">
        <v>485</v>
      </c>
      <c r="I4656" s="6" t="s">
        <v>852</v>
      </c>
      <c r="J4656" s="6" t="s">
        <v>394</v>
      </c>
      <c r="K4656" s="10">
        <v>3.84</v>
      </c>
      <c r="L4656" s="10">
        <v>24</v>
      </c>
      <c r="M4656" s="6" t="s">
        <v>425</v>
      </c>
      <c r="N4656" s="6">
        <f>IF(OR($G4656="FCC",$G4656="Hydrocracker",$G4656="Reformer"),IF(COUNTIFS($D:$D,$D4656,$A:$A,$A4656,$B:$B,$B4656,$G:$G,"CDU",$J:$J,"PLANNED")&gt;0,"tied","standalone"),"")</f>
        <v/>
      </c>
    </row>
    <row r="4657" spans="1:14">
      <c r="A4657" s="6">
        <v>2024</v>
      </c>
      <c r="B4657" s="6">
        <v>10</v>
      </c>
      <c r="C4657" s="6" t="s">
        <v>69</v>
      </c>
      <c r="D4657" s="6" t="s">
        <v>901</v>
      </c>
      <c r="E4657" s="6" t="s">
        <v>902</v>
      </c>
      <c r="F4657" s="6" t="str">
        <f>IF($M4657="PADD I","PADD 1",IF($M4657="PADD II","PADD 2",IF($M4657="PADD III","PADD 3",IF($M4657="PADD IV","PADD 4",IF($M4657="PADD V","PADD 5","")))))</f>
        <v>PADD 3</v>
      </c>
      <c r="G4657" s="6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6" t="s">
        <v>39</v>
      </c>
      <c r="I4657" s="6" t="s">
        <v>903</v>
      </c>
      <c r="J4657" s="6" t="s">
        <v>394</v>
      </c>
      <c r="K4657" s="10">
        <v>3.84</v>
      </c>
      <c r="L4657" s="10">
        <v>64</v>
      </c>
      <c r="M4657" s="6" t="s">
        <v>421</v>
      </c>
      <c r="N4657" s="6">
        <f>IF(OR($G4657="FCC",$G4657="Hydrocracker",$G4657="Reformer"),IF(COUNTIFS($D:$D,$D4657,$A:$A,$A4657,$B:$B,$B4657,$G:$G,"CDU",$J:$J,"PLANNED")&gt;0,"tied","standalone"),"")</f>
        <v/>
      </c>
    </row>
    <row r="4658" spans="1:14">
      <c r="A4658" s="6">
        <v>2024</v>
      </c>
      <c r="B4658" s="6">
        <v>10</v>
      </c>
      <c r="C4658" s="6" t="s">
        <v>69</v>
      </c>
      <c r="D4658" s="6" t="s">
        <v>853</v>
      </c>
      <c r="E4658" s="6" t="s">
        <v>438</v>
      </c>
      <c r="F4658" s="6" t="str">
        <f>IF($M4658="PADD I","PADD 1",IF($M4658="PADD II","PADD 2",IF($M4658="PADD III","PADD 3",IF($M4658="PADD IV","PADD 4",IF($M4658="PADD V","PADD 5","")))))</f>
        <v>PADD 2</v>
      </c>
      <c r="G4658" s="6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6" t="s">
        <v>44</v>
      </c>
      <c r="I4658" s="6" t="s">
        <v>1227</v>
      </c>
      <c r="J4658" s="6" t="s">
        <v>398</v>
      </c>
      <c r="K4658" s="10">
        <v>3.8</v>
      </c>
      <c r="L4658" s="10">
        <v>20</v>
      </c>
      <c r="M4658" s="6" t="s">
        <v>425</v>
      </c>
      <c r="N4658" s="6">
        <f>IF(OR($G4658="FCC",$G4658="Hydrocracker",$G4658="Reformer"),IF(COUNTIFS($D:$D,$D4658,$A:$A,$A4658,$B:$B,$B4658,$G:$G,"CDU",$J:$J,"PLANNED")&gt;0,"tied","standalone"),"")</f>
        <v/>
      </c>
    </row>
    <row r="4659" spans="1:14">
      <c r="A4659" s="6">
        <v>2024</v>
      </c>
      <c r="B4659" s="6">
        <v>10</v>
      </c>
      <c r="C4659" s="6" t="s">
        <v>69</v>
      </c>
      <c r="D4659" s="6" t="s">
        <v>865</v>
      </c>
      <c r="E4659" s="6" t="s">
        <v>502</v>
      </c>
      <c r="F4659" s="6" t="str">
        <f>IF($M4659="PADD I","PADD 1",IF($M4659="PADD II","PADD 2",IF($M4659="PADD III","PADD 3",IF($M4659="PADD IV","PADD 4",IF($M4659="PADD V","PADD 5","")))))</f>
        <v>PADD 4</v>
      </c>
      <c r="G4659" s="6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6" t="s">
        <v>485</v>
      </c>
      <c r="I4659" s="6" t="s">
        <v>491</v>
      </c>
      <c r="J4659" s="6" t="s">
        <v>398</v>
      </c>
      <c r="K4659" s="10">
        <v>3.68</v>
      </c>
      <c r="L4659" s="10">
        <v>16</v>
      </c>
      <c r="M4659" s="6" t="s">
        <v>480</v>
      </c>
      <c r="N4659" s="6">
        <f>IF(OR($G4659="FCC",$G4659="Hydrocracker",$G4659="Reformer"),IF(COUNTIFS($D:$D,$D4659,$A:$A,$A4659,$B:$B,$B4659,$G:$G,"CDU",$J:$J,"PLANNED")&gt;0,"tied","standalone"),"")</f>
        <v/>
      </c>
    </row>
    <row r="4660" spans="1:14">
      <c r="A4660" s="6">
        <v>2024</v>
      </c>
      <c r="B4660" s="6">
        <v>10</v>
      </c>
      <c r="C4660" s="6" t="s">
        <v>69</v>
      </c>
      <c r="D4660" s="6" t="s">
        <v>496</v>
      </c>
      <c r="E4660" s="6" t="s">
        <v>441</v>
      </c>
      <c r="F4660" s="6" t="str">
        <f>IF($M4660="PADD I","PADD 1",IF($M4660="PADD II","PADD 2",IF($M4660="PADD III","PADD 3",IF($M4660="PADD IV","PADD 4",IF($M4660="PADD V","PADD 5","")))))</f>
        <v>PADD 3</v>
      </c>
      <c r="G4660" s="6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6" t="s">
        <v>44</v>
      </c>
      <c r="I4660" s="6" t="s">
        <v>497</v>
      </c>
      <c r="J4660" s="6" t="s">
        <v>398</v>
      </c>
      <c r="K4660" s="10">
        <v>3.5</v>
      </c>
      <c r="L4660" s="10">
        <v>35</v>
      </c>
      <c r="M4660" s="6" t="s">
        <v>421</v>
      </c>
      <c r="N4660" s="6">
        <f>IF(OR($G4660="FCC",$G4660="Hydrocracker",$G4660="Reformer"),IF(COUNTIFS($D:$D,$D4660,$A:$A,$A4660,$B:$B,$B4660,$G:$G,"CDU",$J:$J,"PLANNED")&gt;0,"tied","standalone"),"")</f>
        <v/>
      </c>
    </row>
    <row r="4661" spans="1:14">
      <c r="A4661" s="6">
        <v>2024</v>
      </c>
      <c r="B4661" s="6">
        <v>10</v>
      </c>
      <c r="C4661" s="6" t="s">
        <v>69</v>
      </c>
      <c r="D4661" s="6" t="s">
        <v>626</v>
      </c>
      <c r="E4661" s="6" t="s">
        <v>419</v>
      </c>
      <c r="F4661" s="6" t="str">
        <f>IF($M4661="PADD I","PADD 1",IF($M4661="PADD II","PADD 2",IF($M4661="PADD III","PADD 3",IF($M4661="PADD IV","PADD 4",IF($M4661="PADD V","PADD 5","")))))</f>
        <v>PADD 3</v>
      </c>
      <c r="G4661" s="6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6" t="s">
        <v>471</v>
      </c>
      <c r="I4661" s="6" t="s">
        <v>533</v>
      </c>
      <c r="J4661" s="6" t="s">
        <v>394</v>
      </c>
      <c r="K4661" s="10">
        <v>3.48</v>
      </c>
      <c r="L4661" s="10">
        <v>12</v>
      </c>
      <c r="M4661" s="6" t="s">
        <v>421</v>
      </c>
      <c r="N4661" s="6" t="str">
        <f>IF(OR($G4661="FCC",$G4661="Hydrocracker",$G4661="Reformer"),IF(COUNTIFS($D:$D,$D4661,$A:$A,$A4661,$B:$B,$B4661,$G:$G,"CDU",$J:$J,"PLANNED")&gt;0,"tied","standalone"),"")</f>
        <v>standalone</v>
      </c>
    </row>
    <row r="4662" spans="1:14">
      <c r="A4662" s="6">
        <v>2024</v>
      </c>
      <c r="B4662" s="6">
        <v>10</v>
      </c>
      <c r="C4662" s="6" t="s">
        <v>69</v>
      </c>
      <c r="D4662" s="6" t="s">
        <v>806</v>
      </c>
      <c r="E4662" s="6" t="s">
        <v>807</v>
      </c>
      <c r="F4662" s="6" t="str">
        <f>IF($M4662="PADD I","PADD 1",IF($M4662="PADD II","PADD 2",IF($M4662="PADD III","PADD 3",IF($M4662="PADD IV","PADD 4",IF($M4662="PADD V","PADD 5","")))))</f>
        <v>PADD 3</v>
      </c>
      <c r="G4662" s="6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6" t="s">
        <v>39</v>
      </c>
      <c r="I4662" s="6" t="s">
        <v>82</v>
      </c>
      <c r="J4662" s="6" t="s">
        <v>394</v>
      </c>
      <c r="K4662" s="10">
        <v>3.45</v>
      </c>
      <c r="L4662" s="10">
        <v>15</v>
      </c>
      <c r="M4662" s="6" t="s">
        <v>421</v>
      </c>
      <c r="N4662" s="6">
        <f>IF(OR($G4662="FCC",$G4662="Hydrocracker",$G4662="Reformer"),IF(COUNTIFS($D:$D,$D4662,$A:$A,$A4662,$B:$B,$B4662,$G:$G,"CDU",$J:$J,"PLANNED")&gt;0,"tied","standalone"),"")</f>
        <v/>
      </c>
    </row>
    <row r="4663" spans="1:14">
      <c r="A4663" s="6">
        <v>2024</v>
      </c>
      <c r="B4663" s="6">
        <v>10</v>
      </c>
      <c r="C4663" s="6" t="s">
        <v>69</v>
      </c>
      <c r="D4663" s="6" t="s">
        <v>772</v>
      </c>
      <c r="E4663" s="6" t="s">
        <v>502</v>
      </c>
      <c r="F4663" s="6" t="str">
        <f>IF($M4663="PADD I","PADD 1",IF($M4663="PADD II","PADD 2",IF($M4663="PADD III","PADD 3",IF($M4663="PADD IV","PADD 4",IF($M4663="PADD V","PADD 5","")))))</f>
        <v>PADD 4</v>
      </c>
      <c r="G4663" s="6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6" t="s">
        <v>426</v>
      </c>
      <c r="I4663" s="6" t="s">
        <v>478</v>
      </c>
      <c r="J4663" s="6" t="s">
        <v>394</v>
      </c>
      <c r="K4663" s="10">
        <v>3.315</v>
      </c>
      <c r="L4663" s="10">
        <v>8.5</v>
      </c>
      <c r="M4663" s="6" t="s">
        <v>480</v>
      </c>
      <c r="N4663" s="6" t="str">
        <f>IF(OR($G4663="FCC",$G4663="Hydrocracker",$G4663="Reformer"),IF(COUNTIFS($D:$D,$D4663,$A:$A,$A4663,$B:$B,$B4663,$G:$G,"CDU",$J:$J,"PLANNED")&gt;0,"tied","standalone"),"")</f>
        <v>standalone</v>
      </c>
    </row>
    <row r="4664" spans="1:14">
      <c r="A4664" s="6">
        <v>2024</v>
      </c>
      <c r="B4664" s="6">
        <v>10</v>
      </c>
      <c r="C4664" s="6" t="s">
        <v>69</v>
      </c>
      <c r="D4664" s="6" t="s">
        <v>540</v>
      </c>
      <c r="E4664" s="6" t="s">
        <v>541</v>
      </c>
      <c r="F4664" s="6" t="str">
        <f>IF($M4664="PADD I","PADD 1",IF($M4664="PADD II","PADD 2",IF($M4664="PADD III","PADD 3",IF($M4664="PADD IV","PADD 4",IF($M4664="PADD V","PADD 5","")))))</f>
        <v>PADD 3</v>
      </c>
      <c r="G4664" s="6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6" t="s">
        <v>485</v>
      </c>
      <c r="I4664" s="6" t="s">
        <v>693</v>
      </c>
      <c r="J4664" s="6" t="s">
        <v>394</v>
      </c>
      <c r="K4664" s="10">
        <v>3.3</v>
      </c>
      <c r="L4664" s="10">
        <v>55</v>
      </c>
      <c r="M4664" s="6" t="s">
        <v>421</v>
      </c>
      <c r="N4664" s="6">
        <f>IF(OR($G4664="FCC",$G4664="Hydrocracker",$G4664="Reformer"),IF(COUNTIFS($D:$D,$D4664,$A:$A,$A4664,$B:$B,$B4664,$G:$G,"CDU",$J:$J,"PLANNED")&gt;0,"tied","standalone"),"")</f>
        <v/>
      </c>
    </row>
    <row r="4665" spans="1:14">
      <c r="A4665" s="6">
        <v>2024</v>
      </c>
      <c r="B4665" s="6">
        <v>10</v>
      </c>
      <c r="C4665" s="6" t="s">
        <v>69</v>
      </c>
      <c r="D4665" s="6" t="s">
        <v>383</v>
      </c>
      <c r="E4665" s="6" t="s">
        <v>602</v>
      </c>
      <c r="F4665" s="6" t="str">
        <f>IF($M4665="PADD I","PADD 1",IF($M4665="PADD II","PADD 2",IF($M4665="PADD III","PADD 3",IF($M4665="PADD IV","PADD 4",IF($M4665="PADD V","PADD 5","")))))</f>
        <v>PADD 3</v>
      </c>
      <c r="G4665" s="6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6" t="s">
        <v>426</v>
      </c>
      <c r="I4665" s="6" t="s">
        <v>663</v>
      </c>
      <c r="J4665" s="6" t="s">
        <v>398</v>
      </c>
      <c r="K4665" s="10">
        <v>3.2</v>
      </c>
      <c r="L4665" s="10">
        <v>20</v>
      </c>
      <c r="M4665" s="6" t="s">
        <v>421</v>
      </c>
      <c r="N4665" s="6" t="str">
        <f>IF(OR($G4665="FCC",$G4665="Hydrocracker",$G4665="Reformer"),IF(COUNTIFS($D:$D,$D4665,$A:$A,$A4665,$B:$B,$B4665,$G:$G,"CDU",$J:$J,"PLANNED")&gt;0,"tied","standalone"),"")</f>
        <v>tied</v>
      </c>
    </row>
    <row r="4666" spans="1:14">
      <c r="A4666" s="6">
        <v>2024</v>
      </c>
      <c r="B4666" s="6">
        <v>10</v>
      </c>
      <c r="C4666" s="6" t="s">
        <v>69</v>
      </c>
      <c r="D4666" s="6" t="s">
        <v>851</v>
      </c>
      <c r="E4666" s="6" t="s">
        <v>829</v>
      </c>
      <c r="F4666" s="6" t="str">
        <f>IF($M4666="PADD I","PADD 1",IF($M4666="PADD II","PADD 2",IF($M4666="PADD III","PADD 3",IF($M4666="PADD IV","PADD 4",IF($M4666="PADD V","PADD 5","")))))</f>
        <v>PADD 2</v>
      </c>
      <c r="G4666" s="6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6" t="s">
        <v>485</v>
      </c>
      <c r="I4666" s="6" t="s">
        <v>944</v>
      </c>
      <c r="J4666" s="6" t="s">
        <v>394</v>
      </c>
      <c r="K4666" s="10">
        <v>3.12</v>
      </c>
      <c r="L4666" s="10">
        <v>24</v>
      </c>
      <c r="M4666" s="6" t="s">
        <v>425</v>
      </c>
      <c r="N4666" s="6">
        <f>IF(OR($G4666="FCC",$G4666="Hydrocracker",$G4666="Reformer"),IF(COUNTIFS($D:$D,$D4666,$A:$A,$A4666,$B:$B,$B4666,$G:$G,"CDU",$J:$J,"PLANNED")&gt;0,"tied","standalone"),"")</f>
        <v/>
      </c>
    </row>
    <row r="4667" spans="1:14">
      <c r="A4667" s="6">
        <v>2024</v>
      </c>
      <c r="B4667" s="6">
        <v>10</v>
      </c>
      <c r="C4667" s="6" t="s">
        <v>69</v>
      </c>
      <c r="D4667" s="6" t="s">
        <v>1113</v>
      </c>
      <c r="E4667" s="6" t="s">
        <v>438</v>
      </c>
      <c r="F4667" s="6" t="str">
        <f>IF($M4667="PADD I","PADD 1",IF($M4667="PADD II","PADD 2",IF($M4667="PADD III","PADD 3",IF($M4667="PADD IV","PADD 4",IF($M4667="PADD V","PADD 5","")))))</f>
        <v>PADD 2</v>
      </c>
      <c r="G4667" s="6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6" t="s">
        <v>510</v>
      </c>
      <c r="I4667" s="6" t="s">
        <v>511</v>
      </c>
      <c r="J4667" s="6" t="s">
        <v>398</v>
      </c>
      <c r="K4667" s="10">
        <v>3.08</v>
      </c>
      <c r="L4667" s="10">
        <v>4</v>
      </c>
      <c r="M4667" s="6" t="s">
        <v>425</v>
      </c>
      <c r="N4667" s="6">
        <f>IF(OR($G4667="FCC",$G4667="Hydrocracker",$G4667="Reformer"),IF(COUNTIFS($D:$D,$D4667,$A:$A,$A4667,$B:$B,$B4667,$G:$G,"CDU",$J:$J,"PLANNED")&gt;0,"tied","standalone"),"")</f>
        <v/>
      </c>
    </row>
    <row r="4668" spans="1:14">
      <c r="A4668" s="6">
        <v>2024</v>
      </c>
      <c r="B4668" s="6">
        <v>10</v>
      </c>
      <c r="C4668" s="6" t="s">
        <v>69</v>
      </c>
      <c r="D4668" s="6" t="s">
        <v>370</v>
      </c>
      <c r="E4668" s="6" t="s">
        <v>431</v>
      </c>
      <c r="F4668" s="6" t="str">
        <f>IF($M4668="PADD I","PADD 1",IF($M4668="PADD II","PADD 2",IF($M4668="PADD III","PADD 3",IF($M4668="PADD IV","PADD 4",IF($M4668="PADD V","PADD 5","")))))</f>
        <v>PADD 2</v>
      </c>
      <c r="G4668" s="6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6" t="s">
        <v>426</v>
      </c>
      <c r="I4668" s="6" t="s">
        <v>106</v>
      </c>
      <c r="J4668" s="6" t="s">
        <v>394</v>
      </c>
      <c r="K4668" s="10">
        <v>2.94</v>
      </c>
      <c r="L4668" s="10">
        <v>98</v>
      </c>
      <c r="M4668" s="6" t="s">
        <v>425</v>
      </c>
      <c r="N4668" s="6" t="str">
        <f>IF(OR($G4668="FCC",$G4668="Hydrocracker",$G4668="Reformer"),IF(COUNTIFS($D:$D,$D4668,$A:$A,$A4668,$B:$B,$B4668,$G:$G,"CDU",$J:$J,"PLANNED")&gt;0,"tied","standalone"),"")</f>
        <v>standalone</v>
      </c>
    </row>
    <row r="4669" spans="1:14">
      <c r="A4669" s="6">
        <v>2024</v>
      </c>
      <c r="B4669" s="6">
        <v>10</v>
      </c>
      <c r="C4669" s="6" t="s">
        <v>69</v>
      </c>
      <c r="D4669" s="6" t="s">
        <v>996</v>
      </c>
      <c r="E4669" s="6" t="s">
        <v>455</v>
      </c>
      <c r="F4669" s="6" t="str">
        <f>IF($M4669="PADD I","PADD 1",IF($M4669="PADD II","PADD 2",IF($M4669="PADD III","PADD 3",IF($M4669="PADD IV","PADD 4",IF($M4669="PADD V","PADD 5","")))))</f>
        <v>PADD 5</v>
      </c>
      <c r="G4669" s="6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6" t="s">
        <v>510</v>
      </c>
      <c r="I4669" s="6" t="s">
        <v>1002</v>
      </c>
      <c r="J4669" s="6" t="s">
        <v>394</v>
      </c>
      <c r="K4669" s="10">
        <v>2.86</v>
      </c>
      <c r="L4669" s="10">
        <v>22</v>
      </c>
      <c r="M4669" s="6" t="s">
        <v>436</v>
      </c>
      <c r="N4669" s="6">
        <f>IF(OR($G4669="FCC",$G4669="Hydrocracker",$G4669="Reformer"),IF(COUNTIFS($D:$D,$D4669,$A:$A,$A4669,$B:$B,$B4669,$G:$G,"CDU",$J:$J,"PLANNED")&gt;0,"tied","standalone"),"")</f>
        <v/>
      </c>
    </row>
    <row r="4670" spans="1:14">
      <c r="A4670" s="6">
        <v>2024</v>
      </c>
      <c r="B4670" s="6">
        <v>10</v>
      </c>
      <c r="C4670" s="6" t="s">
        <v>69</v>
      </c>
      <c r="D4670" s="6" t="s">
        <v>445</v>
      </c>
      <c r="E4670" s="6" t="s">
        <v>446</v>
      </c>
      <c r="F4670" s="6" t="str">
        <f>IF($M4670="PADD I","PADD 1",IF($M4670="PADD II","PADD 2",IF($M4670="PADD III","PADD 3",IF($M4670="PADD IV","PADD 4",IF($M4670="PADD V","PADD 5","")))))</f>
        <v>PADD 3</v>
      </c>
      <c r="G4670" s="6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6" t="s">
        <v>510</v>
      </c>
      <c r="I4670" s="6" t="s">
        <v>511</v>
      </c>
      <c r="J4670" s="6" t="s">
        <v>394</v>
      </c>
      <c r="K4670" s="10">
        <v>2.688</v>
      </c>
      <c r="L4670" s="10">
        <v>16.8</v>
      </c>
      <c r="M4670" s="6" t="s">
        <v>421</v>
      </c>
      <c r="N4670" s="6">
        <f>IF(OR($G4670="FCC",$G4670="Hydrocracker",$G4670="Reformer"),IF(COUNTIFS($D:$D,$D4670,$A:$A,$A4670,$B:$B,$B4670,$G:$G,"CDU",$J:$J,"PLANNED")&gt;0,"tied","standalone"),"")</f>
        <v/>
      </c>
    </row>
    <row r="4671" spans="1:14">
      <c r="A4671" s="6">
        <v>2024</v>
      </c>
      <c r="B4671" s="6">
        <v>10</v>
      </c>
      <c r="C4671" s="6" t="s">
        <v>69</v>
      </c>
      <c r="D4671" s="6" t="s">
        <v>984</v>
      </c>
      <c r="E4671" s="6" t="s">
        <v>438</v>
      </c>
      <c r="F4671" s="6" t="str">
        <f>IF($M4671="PADD I","PADD 1",IF($M4671="PADD II","PADD 2",IF($M4671="PADD III","PADD 3",IF($M4671="PADD IV","PADD 4",IF($M4671="PADD V","PADD 5","")))))</f>
        <v>PADD 3</v>
      </c>
      <c r="G4671" s="6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6" t="s">
        <v>44</v>
      </c>
      <c r="I4671" s="6" t="s">
        <v>508</v>
      </c>
      <c r="J4671" s="6" t="s">
        <v>394</v>
      </c>
      <c r="K4671" s="10">
        <v>2.5</v>
      </c>
      <c r="L4671" s="10">
        <v>25</v>
      </c>
      <c r="M4671" s="6" t="s">
        <v>421</v>
      </c>
      <c r="N4671" s="6">
        <f>IF(OR($G4671="FCC",$G4671="Hydrocracker",$G4671="Reformer"),IF(COUNTIFS($D:$D,$D4671,$A:$A,$A4671,$B:$B,$B4671,$G:$G,"CDU",$J:$J,"PLANNED")&gt;0,"tied","standalone"),"")</f>
        <v/>
      </c>
    </row>
    <row r="4672" spans="1:14">
      <c r="A4672" s="6">
        <v>2024</v>
      </c>
      <c r="B4672" s="6">
        <v>10</v>
      </c>
      <c r="C4672" s="6" t="s">
        <v>69</v>
      </c>
      <c r="D4672" s="6" t="s">
        <v>540</v>
      </c>
      <c r="E4672" s="6" t="s">
        <v>541</v>
      </c>
      <c r="F4672" s="6" t="str">
        <f>IF($M4672="PADD I","PADD 1",IF($M4672="PADD II","PADD 2",IF($M4672="PADD III","PADD 3",IF($M4672="PADD IV","PADD 4",IF($M4672="PADD V","PADD 5","")))))</f>
        <v>PADD 3</v>
      </c>
      <c r="G4672" s="6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6" t="s">
        <v>426</v>
      </c>
      <c r="I4672" s="6" t="s">
        <v>522</v>
      </c>
      <c r="J4672" s="6" t="s">
        <v>394</v>
      </c>
      <c r="K4672" s="10">
        <v>2.43</v>
      </c>
      <c r="L4672" s="10">
        <v>81</v>
      </c>
      <c r="M4672" s="6" t="s">
        <v>421</v>
      </c>
      <c r="N4672" s="6" t="str">
        <f>IF(OR($G4672="FCC",$G4672="Hydrocracker",$G4672="Reformer"),IF(COUNTIFS($D:$D,$D4672,$A:$A,$A4672,$B:$B,$B4672,$G:$G,"CDU",$J:$J,"PLANNED")&gt;0,"tied","standalone"),"")</f>
        <v>standalone</v>
      </c>
    </row>
    <row r="4673" spans="1:14">
      <c r="A4673" s="6">
        <v>2024</v>
      </c>
      <c r="B4673" s="6">
        <v>10</v>
      </c>
      <c r="C4673" s="6" t="s">
        <v>69</v>
      </c>
      <c r="D4673" s="6" t="s">
        <v>370</v>
      </c>
      <c r="E4673" s="6" t="s">
        <v>431</v>
      </c>
      <c r="F4673" s="6" t="str">
        <f>IF($M4673="PADD I","PADD 1",IF($M4673="PADD II","PADD 2",IF($M4673="PADD III","PADD 3",IF($M4673="PADD IV","PADD 4",IF($M4673="PADD V","PADD 5","")))))</f>
        <v>PADD 2</v>
      </c>
      <c r="G4673" s="6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6" t="s">
        <v>44</v>
      </c>
      <c r="I4673" s="6" t="s">
        <v>1214</v>
      </c>
      <c r="J4673" s="6" t="s">
        <v>394</v>
      </c>
      <c r="K4673" s="10">
        <v>2.4</v>
      </c>
      <c r="L4673" s="10">
        <v>15</v>
      </c>
      <c r="M4673" s="6" t="s">
        <v>425</v>
      </c>
      <c r="N4673" s="6">
        <f>IF(OR($G4673="FCC",$G4673="Hydrocracker",$G4673="Reformer"),IF(COUNTIFS($D:$D,$D4673,$A:$A,$A4673,$B:$B,$B4673,$G:$G,"CDU",$J:$J,"PLANNED")&gt;0,"tied","standalone"),"")</f>
        <v/>
      </c>
    </row>
    <row r="4674" spans="1:14">
      <c r="A4674" s="6">
        <v>2024</v>
      </c>
      <c r="B4674" s="6">
        <v>10</v>
      </c>
      <c r="C4674" s="6" t="s">
        <v>69</v>
      </c>
      <c r="D4674" s="6" t="s">
        <v>788</v>
      </c>
      <c r="E4674" s="6" t="s">
        <v>602</v>
      </c>
      <c r="F4674" s="6" t="str">
        <f>IF($M4674="PADD I","PADD 1",IF($M4674="PADD II","PADD 2",IF($M4674="PADD III","PADD 3",IF($M4674="PADD IV","PADD 4",IF($M4674="PADD V","PADD 5","")))))</f>
        <v>PADD 3</v>
      </c>
      <c r="G4674" s="6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6" t="s">
        <v>618</v>
      </c>
      <c r="I4674" s="6" t="s">
        <v>1314</v>
      </c>
      <c r="J4674" s="6" t="s">
        <v>398</v>
      </c>
      <c r="K4674" s="10">
        <v>2.21</v>
      </c>
      <c r="L4674" s="10">
        <v>3.4</v>
      </c>
      <c r="M4674" s="6" t="s">
        <v>421</v>
      </c>
      <c r="N4674" s="6">
        <f>IF(OR($G4674="FCC",$G4674="Hydrocracker",$G4674="Reformer"),IF(COUNTIFS($D:$D,$D4674,$A:$A,$A4674,$B:$B,$B4674,$G:$G,"CDU",$J:$J,"PLANNED")&gt;0,"tied","standalone"),"")</f>
        <v/>
      </c>
    </row>
    <row r="4675" spans="1:14">
      <c r="A4675" s="6">
        <v>2024</v>
      </c>
      <c r="B4675" s="6">
        <v>10</v>
      </c>
      <c r="C4675" s="6" t="s">
        <v>69</v>
      </c>
      <c r="D4675" s="6" t="s">
        <v>901</v>
      </c>
      <c r="E4675" s="6" t="s">
        <v>902</v>
      </c>
      <c r="F4675" s="6" t="str">
        <f>IF($M4675="PADD I","PADD 1",IF($M4675="PADD II","PADD 2",IF($M4675="PADD III","PADD 3",IF($M4675="PADD IV","PADD 4",IF($M4675="PADD V","PADD 5","")))))</f>
        <v>PADD 3</v>
      </c>
      <c r="G4675" s="6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6" t="s">
        <v>428</v>
      </c>
      <c r="I4675" s="6" t="s">
        <v>910</v>
      </c>
      <c r="J4675" s="6" t="s">
        <v>394</v>
      </c>
      <c r="K4675" s="10">
        <v>2.16</v>
      </c>
      <c r="L4675" s="10">
        <v>36</v>
      </c>
      <c r="M4675" s="6" t="s">
        <v>421</v>
      </c>
      <c r="N4675" s="6">
        <f>IF(OR($G4675="FCC",$G4675="Hydrocracker",$G4675="Reformer"),IF(COUNTIFS($D:$D,$D4675,$A:$A,$A4675,$B:$B,$B4675,$G:$G,"CDU",$J:$J,"PLANNED")&gt;0,"tied","standalone"),"")</f>
        <v/>
      </c>
    </row>
    <row r="4676" spans="1:14">
      <c r="A4676" s="6">
        <v>2024</v>
      </c>
      <c r="B4676" s="6">
        <v>10</v>
      </c>
      <c r="C4676" s="6" t="s">
        <v>69</v>
      </c>
      <c r="D4676" s="6" t="s">
        <v>901</v>
      </c>
      <c r="E4676" s="6" t="s">
        <v>902</v>
      </c>
      <c r="F4676" s="6" t="str">
        <f>IF($M4676="PADD I","PADD 1",IF($M4676="PADD II","PADD 2",IF($M4676="PADD III","PADD 3",IF($M4676="PADD IV","PADD 4",IF($M4676="PADD V","PADD 5","")))))</f>
        <v>PADD 3</v>
      </c>
      <c r="G4676" s="6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6" t="s">
        <v>39</v>
      </c>
      <c r="I4676" s="6" t="s">
        <v>904</v>
      </c>
      <c r="J4676" s="6" t="s">
        <v>394</v>
      </c>
      <c r="K4676" s="10">
        <v>1.95</v>
      </c>
      <c r="L4676" s="10">
        <v>65</v>
      </c>
      <c r="M4676" s="6" t="s">
        <v>421</v>
      </c>
      <c r="N4676" s="6">
        <f>IF(OR($G4676="FCC",$G4676="Hydrocracker",$G4676="Reformer"),IF(COUNTIFS($D:$D,$D4676,$A:$A,$A4676,$B:$B,$B4676,$G:$G,"CDU",$J:$J,"PLANNED")&gt;0,"tied","standalone"),"")</f>
        <v/>
      </c>
    </row>
    <row r="4677" spans="1:14">
      <c r="A4677" s="6">
        <v>2024</v>
      </c>
      <c r="B4677" s="6">
        <v>10</v>
      </c>
      <c r="C4677" s="6" t="s">
        <v>69</v>
      </c>
      <c r="D4677" s="6" t="s">
        <v>984</v>
      </c>
      <c r="E4677" s="6" t="s">
        <v>438</v>
      </c>
      <c r="F4677" s="6" t="str">
        <f>IF($M4677="PADD I","PADD 1",IF($M4677="PADD II","PADD 2",IF($M4677="PADD III","PADD 3",IF($M4677="PADD IV","PADD 4",IF($M4677="PADD V","PADD 5","")))))</f>
        <v>PADD 3</v>
      </c>
      <c r="G4677" s="6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6" t="s">
        <v>428</v>
      </c>
      <c r="I4677" s="6" t="s">
        <v>1014</v>
      </c>
      <c r="J4677" s="6" t="s">
        <v>394</v>
      </c>
      <c r="K4677" s="10">
        <v>1.7</v>
      </c>
      <c r="L4677" s="10">
        <v>17</v>
      </c>
      <c r="M4677" s="6" t="s">
        <v>421</v>
      </c>
      <c r="N4677" s="6">
        <f>IF(OR($G4677="FCC",$G4677="Hydrocracker",$G4677="Reformer"),IF(COUNTIFS($D:$D,$D4677,$A:$A,$A4677,$B:$B,$B4677,$G:$G,"CDU",$J:$J,"PLANNED")&gt;0,"tied","standalone"),"")</f>
        <v/>
      </c>
    </row>
    <row r="4678" spans="1:14">
      <c r="A4678" s="6">
        <v>2024</v>
      </c>
      <c r="B4678" s="6">
        <v>10</v>
      </c>
      <c r="C4678" s="6" t="s">
        <v>69</v>
      </c>
      <c r="D4678" s="6" t="s">
        <v>41</v>
      </c>
      <c r="E4678" s="6" t="s">
        <v>786</v>
      </c>
      <c r="F4678" s="6" t="str">
        <f>IF($M4678="PADD I","PADD 1",IF($M4678="PADD II","PADD 2",IF($M4678="PADD III","PADD 3",IF($M4678="PADD IV","PADD 4",IF($M4678="PADD V","PADD 5","")))))</f>
        <v>PADD 1</v>
      </c>
      <c r="G4678" s="6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6" t="s">
        <v>426</v>
      </c>
      <c r="I4678" s="6" t="s">
        <v>787</v>
      </c>
      <c r="J4678" s="6" t="s">
        <v>394</v>
      </c>
      <c r="K4678" s="10">
        <v>1.59</v>
      </c>
      <c r="L4678" s="10">
        <v>53</v>
      </c>
      <c r="M4678" s="6" t="s">
        <v>463</v>
      </c>
      <c r="N4678" s="6" t="str">
        <f>IF(OR($G4678="FCC",$G4678="Hydrocracker",$G4678="Reformer"),IF(COUNTIFS($D:$D,$D4678,$A:$A,$A4678,$B:$B,$B4678,$G:$G,"CDU",$J:$J,"PLANNED")&gt;0,"tied","standalone"),"")</f>
        <v>standalone</v>
      </c>
    </row>
    <row r="4679" spans="1:14">
      <c r="A4679" s="6">
        <v>2024</v>
      </c>
      <c r="B4679" s="6">
        <v>10</v>
      </c>
      <c r="C4679" s="6" t="s">
        <v>69</v>
      </c>
      <c r="D4679" s="6" t="s">
        <v>921</v>
      </c>
      <c r="E4679" s="6" t="s">
        <v>922</v>
      </c>
      <c r="F4679" s="6" t="str">
        <f>IF($M4679="PADD I","PADD 1",IF($M4679="PADD II","PADD 2",IF($M4679="PADD III","PADD 3",IF($M4679="PADD IV","PADD 4",IF($M4679="PADD V","PADD 5","")))))</f>
        <v>PADD 4</v>
      </c>
      <c r="G4679" s="6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6" t="s">
        <v>39</v>
      </c>
      <c r="I4679" s="6" t="s">
        <v>82</v>
      </c>
      <c r="J4679" s="6" t="s">
        <v>398</v>
      </c>
      <c r="K4679" s="10">
        <v>1.53</v>
      </c>
      <c r="L4679" s="10">
        <v>3.4</v>
      </c>
      <c r="M4679" s="6" t="s">
        <v>480</v>
      </c>
      <c r="N4679" s="6">
        <f>IF(OR($G4679="FCC",$G4679="Hydrocracker",$G4679="Reformer"),IF(COUNTIFS($D:$D,$D4679,$A:$A,$A4679,$B:$B,$B4679,$G:$G,"CDU",$J:$J,"PLANNED")&gt;0,"tied","standalone"),"")</f>
        <v/>
      </c>
    </row>
    <row r="4680" spans="1:14">
      <c r="A4680" s="6">
        <v>2024</v>
      </c>
      <c r="B4680" s="6">
        <v>10</v>
      </c>
      <c r="C4680" s="6" t="s">
        <v>69</v>
      </c>
      <c r="D4680" s="6" t="s">
        <v>540</v>
      </c>
      <c r="E4680" s="6" t="s">
        <v>541</v>
      </c>
      <c r="F4680" s="6" t="str">
        <f>IF($M4680="PADD I","PADD 1",IF($M4680="PADD II","PADD 2",IF($M4680="PADD III","PADD 3",IF($M4680="PADD IV","PADD 4",IF($M4680="PADD V","PADD 5","")))))</f>
        <v>PADD 3</v>
      </c>
      <c r="G4680" s="6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6" t="s">
        <v>44</v>
      </c>
      <c r="I4680" s="6" t="s">
        <v>897</v>
      </c>
      <c r="J4680" s="6" t="s">
        <v>394</v>
      </c>
      <c r="K4680" s="10">
        <v>1.5</v>
      </c>
      <c r="L4680" s="10">
        <v>25</v>
      </c>
      <c r="M4680" s="6" t="s">
        <v>421</v>
      </c>
      <c r="N4680" s="6">
        <f>IF(OR($G4680="FCC",$G4680="Hydrocracker",$G4680="Reformer"),IF(COUNTIFS($D:$D,$D4680,$A:$A,$A4680,$B:$B,$B4680,$G:$G,"CDU",$J:$J,"PLANNED")&gt;0,"tied","standalone"),"")</f>
        <v/>
      </c>
    </row>
    <row r="4681" spans="1:14">
      <c r="A4681" s="6">
        <v>2024</v>
      </c>
      <c r="B4681" s="6">
        <v>10</v>
      </c>
      <c r="C4681" s="6" t="s">
        <v>69</v>
      </c>
      <c r="D4681" s="6" t="s">
        <v>712</v>
      </c>
      <c r="E4681" s="6" t="s">
        <v>602</v>
      </c>
      <c r="F4681" s="6" t="str">
        <f>IF($M4681="PADD I","PADD 1",IF($M4681="PADD II","PADD 2",IF($M4681="PADD III","PADD 3",IF($M4681="PADD IV","PADD 4",IF($M4681="PADD V","PADD 5","")))))</f>
        <v>PADD 3</v>
      </c>
      <c r="G4681" s="6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6" t="s">
        <v>426</v>
      </c>
      <c r="I4681" s="6" t="s">
        <v>106</v>
      </c>
      <c r="J4681" s="6" t="s">
        <v>398</v>
      </c>
      <c r="K4681" s="10">
        <v>1.5</v>
      </c>
      <c r="L4681" s="10">
        <v>25</v>
      </c>
      <c r="M4681" s="6" t="s">
        <v>421</v>
      </c>
      <c r="N4681" s="6" t="str">
        <f>IF(OR($G4681="FCC",$G4681="Hydrocracker",$G4681="Reformer"),IF(COUNTIFS($D:$D,$D4681,$A:$A,$A4681,$B:$B,$B4681,$G:$G,"CDU",$J:$J,"PLANNED")&gt;0,"tied","standalone"),"")</f>
        <v>standalone</v>
      </c>
    </row>
    <row r="4682" spans="1:14">
      <c r="A4682" s="6">
        <v>2024</v>
      </c>
      <c r="B4682" s="6">
        <v>10</v>
      </c>
      <c r="C4682" s="6" t="s">
        <v>69</v>
      </c>
      <c r="D4682" s="6" t="s">
        <v>43</v>
      </c>
      <c r="E4682" s="6" t="s">
        <v>455</v>
      </c>
      <c r="F4682" s="6" t="str">
        <f>IF($M4682="PADD I","PADD 1",IF($M4682="PADD II","PADD 2",IF($M4682="PADD III","PADD 3",IF($M4682="PADD IV","PADD 4",IF($M4682="PADD V","PADD 5","")))))</f>
        <v>PADD 3</v>
      </c>
      <c r="G4682" s="6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6" t="s">
        <v>44</v>
      </c>
      <c r="I4682" s="6" t="s">
        <v>1282</v>
      </c>
      <c r="J4682" s="6" t="s">
        <v>398</v>
      </c>
      <c r="K4682" s="10">
        <v>1.44</v>
      </c>
      <c r="L4682" s="10">
        <v>48</v>
      </c>
      <c r="M4682" s="6" t="s">
        <v>421</v>
      </c>
      <c r="N4682" s="6">
        <f>IF(OR($G4682="FCC",$G4682="Hydrocracker",$G4682="Reformer"),IF(COUNTIFS($D:$D,$D4682,$A:$A,$A4682,$B:$B,$B4682,$G:$G,"CDU",$J:$J,"PLANNED")&gt;0,"tied","standalone"),"")</f>
        <v/>
      </c>
    </row>
    <row r="4683" spans="1:14">
      <c r="A4683" s="6">
        <v>2024</v>
      </c>
      <c r="B4683" s="6">
        <v>10</v>
      </c>
      <c r="C4683" s="6" t="s">
        <v>69</v>
      </c>
      <c r="D4683" s="6" t="s">
        <v>652</v>
      </c>
      <c r="E4683" s="6" t="s">
        <v>419</v>
      </c>
      <c r="F4683" s="6" t="str">
        <f>IF($M4683="PADD I","PADD 1",IF($M4683="PADD II","PADD 2",IF($M4683="PADD III","PADD 3",IF($M4683="PADD IV","PADD 4",IF($M4683="PADD V","PADD 5","")))))</f>
        <v>PADD 2</v>
      </c>
      <c r="G4683" s="6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6" t="s">
        <v>485</v>
      </c>
      <c r="I4683" s="6" t="s">
        <v>491</v>
      </c>
      <c r="J4683" s="6" t="s">
        <v>394</v>
      </c>
      <c r="K4683" s="10">
        <v>1.386</v>
      </c>
      <c r="L4683" s="10">
        <v>23.1</v>
      </c>
      <c r="M4683" s="6" t="s">
        <v>425</v>
      </c>
      <c r="N4683" s="6">
        <f>IF(OR($G4683="FCC",$G4683="Hydrocracker",$G4683="Reformer"),IF(COUNTIFS($D:$D,$D4683,$A:$A,$A4683,$B:$B,$B4683,$G:$G,"CDU",$J:$J,"PLANNED")&gt;0,"tied","standalone"),"")</f>
        <v/>
      </c>
    </row>
    <row r="4684" spans="1:14">
      <c r="A4684" s="6">
        <v>2024</v>
      </c>
      <c r="B4684" s="6">
        <v>10</v>
      </c>
      <c r="C4684" s="6" t="s">
        <v>69</v>
      </c>
      <c r="D4684" s="6" t="s">
        <v>921</v>
      </c>
      <c r="E4684" s="6" t="s">
        <v>922</v>
      </c>
      <c r="F4684" s="6" t="str">
        <f>IF($M4684="PADD I","PADD 1",IF($M4684="PADD II","PADD 2",IF($M4684="PADD III","PADD 3",IF($M4684="PADD IV","PADD 4",IF($M4684="PADD V","PADD 5","")))))</f>
        <v>PADD 4</v>
      </c>
      <c r="G4684" s="6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6" t="s">
        <v>471</v>
      </c>
      <c r="I4684" s="6" t="s">
        <v>15</v>
      </c>
      <c r="J4684" s="6" t="s">
        <v>398</v>
      </c>
      <c r="K4684" s="10">
        <v>1.35</v>
      </c>
      <c r="L4684" s="10">
        <v>3</v>
      </c>
      <c r="M4684" s="6" t="s">
        <v>480</v>
      </c>
      <c r="N4684" s="6" t="str">
        <f>IF(OR($G4684="FCC",$G4684="Hydrocracker",$G4684="Reformer"),IF(COUNTIFS($D:$D,$D4684,$A:$A,$A4684,$B:$B,$B4684,$G:$G,"CDU",$J:$J,"PLANNED")&gt;0,"tied","standalone"),"")</f>
        <v>tied</v>
      </c>
    </row>
    <row r="4685" spans="1:14">
      <c r="A4685" s="6">
        <v>2024</v>
      </c>
      <c r="B4685" s="6">
        <v>10</v>
      </c>
      <c r="C4685" s="6" t="s">
        <v>69</v>
      </c>
      <c r="D4685" s="6" t="s">
        <v>921</v>
      </c>
      <c r="E4685" s="6" t="s">
        <v>922</v>
      </c>
      <c r="F4685" s="6" t="str">
        <f>IF($M4685="PADD I","PADD 1",IF($M4685="PADD II","PADD 2",IF($M4685="PADD III","PADD 3",IF($M4685="PADD IV","PADD 4",IF($M4685="PADD V","PADD 5","")))))</f>
        <v>PADD 4</v>
      </c>
      <c r="G4685" s="6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6" t="s">
        <v>44</v>
      </c>
      <c r="I4685" s="6" t="s">
        <v>923</v>
      </c>
      <c r="J4685" s="6" t="s">
        <v>398</v>
      </c>
      <c r="K4685" s="10">
        <v>1.35</v>
      </c>
      <c r="L4685" s="10">
        <v>3</v>
      </c>
      <c r="M4685" s="6" t="s">
        <v>480</v>
      </c>
      <c r="N4685" s="6">
        <f>IF(OR($G4685="FCC",$G4685="Hydrocracker",$G4685="Reformer"),IF(COUNTIFS($D:$D,$D4685,$A:$A,$A4685,$B:$B,$B4685,$G:$G,"CDU",$J:$J,"PLANNED")&gt;0,"tied","standalone"),"")</f>
        <v/>
      </c>
    </row>
    <row r="4686" spans="1:14">
      <c r="A4686" s="6">
        <v>2024</v>
      </c>
      <c r="B4686" s="6">
        <v>10</v>
      </c>
      <c r="C4686" s="6" t="s">
        <v>69</v>
      </c>
      <c r="D4686" s="6" t="s">
        <v>383</v>
      </c>
      <c r="E4686" s="6" t="s">
        <v>602</v>
      </c>
      <c r="F4686" s="6" t="str">
        <f>IF($M4686="PADD I","PADD 1",IF($M4686="PADD II","PADD 2",IF($M4686="PADD III","PADD 3",IF($M4686="PADD IV","PADD 4",IF($M4686="PADD V","PADD 5","")))))</f>
        <v>PADD 3</v>
      </c>
      <c r="G4686" s="6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6" t="s">
        <v>39</v>
      </c>
      <c r="I4686" s="6" t="s">
        <v>138</v>
      </c>
      <c r="J4686" s="6" t="s">
        <v>398</v>
      </c>
      <c r="K4686" s="10">
        <v>1.28</v>
      </c>
      <c r="L4686" s="10">
        <v>8</v>
      </c>
      <c r="M4686" s="6" t="s">
        <v>421</v>
      </c>
      <c r="N4686" s="6">
        <f>IF(OR($G4686="FCC",$G4686="Hydrocracker",$G4686="Reformer"),IF(COUNTIFS($D:$D,$D4686,$A:$A,$A4686,$B:$B,$B4686,$G:$G,"CDU",$J:$J,"PLANNED")&gt;0,"tied","standalone"),"")</f>
        <v/>
      </c>
    </row>
    <row r="4687" spans="1:14">
      <c r="A4687" s="6">
        <v>2024</v>
      </c>
      <c r="B4687" s="6">
        <v>10</v>
      </c>
      <c r="C4687" s="6" t="s">
        <v>69</v>
      </c>
      <c r="D4687" s="6" t="s">
        <v>487</v>
      </c>
      <c r="E4687" s="6" t="s">
        <v>488</v>
      </c>
      <c r="F4687" s="6" t="str">
        <f>IF($M4687="PADD I","PADD 1",IF($M4687="PADD II","PADD 2",IF($M4687="PADD III","PADD 3",IF($M4687="PADD IV","PADD 4",IF($M4687="PADD V","PADD 5","")))))</f>
        <v>PADD 4</v>
      </c>
      <c r="G4687" s="6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6" t="s">
        <v>44</v>
      </c>
      <c r="I4687" s="6" t="s">
        <v>543</v>
      </c>
      <c r="J4687" s="6" t="s">
        <v>394</v>
      </c>
      <c r="K4687" s="10">
        <v>1.26</v>
      </c>
      <c r="L4687" s="10">
        <v>21</v>
      </c>
      <c r="M4687" s="6" t="s">
        <v>480</v>
      </c>
      <c r="N4687" s="6">
        <f>IF(OR($G4687="FCC",$G4687="Hydrocracker",$G4687="Reformer"),IF(COUNTIFS($D:$D,$D4687,$A:$A,$A4687,$B:$B,$B4687,$G:$G,"CDU",$J:$J,"PLANNED")&gt;0,"tied","standalone"),"")</f>
        <v/>
      </c>
    </row>
    <row r="4688" spans="1:14">
      <c r="A4688" s="6">
        <v>2024</v>
      </c>
      <c r="B4688" s="6">
        <v>10</v>
      </c>
      <c r="C4688" s="6" t="s">
        <v>69</v>
      </c>
      <c r="D4688" s="6" t="s">
        <v>490</v>
      </c>
      <c r="E4688" s="6" t="s">
        <v>419</v>
      </c>
      <c r="F4688" s="6" t="str">
        <f>IF($M4688="PADD I","PADD 1",IF($M4688="PADD II","PADD 2",IF($M4688="PADD III","PADD 3",IF($M4688="PADD IV","PADD 4",IF($M4688="PADD V","PADD 5","")))))</f>
        <v>PADD 5</v>
      </c>
      <c r="G4688" s="6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6" t="s">
        <v>44</v>
      </c>
      <c r="I4688" s="6" t="s">
        <v>717</v>
      </c>
      <c r="J4688" s="6" t="s">
        <v>398</v>
      </c>
      <c r="K4688" s="10">
        <v>1.2</v>
      </c>
      <c r="L4688" s="10">
        <v>40</v>
      </c>
      <c r="M4688" s="6" t="s">
        <v>436</v>
      </c>
      <c r="N4688" s="6">
        <f>IF(OR($G4688="FCC",$G4688="Hydrocracker",$G4688="Reformer"),IF(COUNTIFS($D:$D,$D4688,$A:$A,$A4688,$B:$B,$B4688,$G:$G,"CDU",$J:$J,"PLANNED")&gt;0,"tied","standalone"),"")</f>
        <v/>
      </c>
    </row>
    <row r="4689" spans="1:14">
      <c r="A4689" s="6">
        <v>2024</v>
      </c>
      <c r="B4689" s="6">
        <v>10</v>
      </c>
      <c r="C4689" s="6" t="s">
        <v>69</v>
      </c>
      <c r="D4689" s="6" t="s">
        <v>49</v>
      </c>
      <c r="E4689" s="6" t="s">
        <v>438</v>
      </c>
      <c r="F4689" s="6" t="str">
        <f>IF($M4689="PADD I","PADD 1",IF($M4689="PADD II","PADD 2",IF($M4689="PADD III","PADD 3",IF($M4689="PADD IV","PADD 4",IF($M4689="PADD V","PADD 5","")))))</f>
        <v>PADD 2</v>
      </c>
      <c r="G4689" s="6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6" t="s">
        <v>485</v>
      </c>
      <c r="I4689" s="6" t="s">
        <v>681</v>
      </c>
      <c r="J4689" s="6" t="s">
        <v>394</v>
      </c>
      <c r="K4689" s="10">
        <v>1.2</v>
      </c>
      <c r="L4689" s="10">
        <v>12</v>
      </c>
      <c r="M4689" s="6" t="s">
        <v>425</v>
      </c>
      <c r="N4689" s="6">
        <f>IF(OR($G4689="FCC",$G4689="Hydrocracker",$G4689="Reformer"),IF(COUNTIFS($D:$D,$D4689,$A:$A,$A4689,$B:$B,$B4689,$G:$G,"CDU",$J:$J,"PLANNED")&gt;0,"tied","standalone"),"")</f>
        <v/>
      </c>
    </row>
    <row r="4690" spans="1:14">
      <c r="A4690" s="6">
        <v>2024</v>
      </c>
      <c r="B4690" s="6">
        <v>10</v>
      </c>
      <c r="C4690" s="6" t="s">
        <v>69</v>
      </c>
      <c r="D4690" s="6" t="s">
        <v>788</v>
      </c>
      <c r="E4690" s="6" t="s">
        <v>602</v>
      </c>
      <c r="F4690" s="6" t="str">
        <f>IF($M4690="PADD I","PADD 1",IF($M4690="PADD II","PADD 2",IF($M4690="PADD III","PADD 3",IF($M4690="PADD IV","PADD 4",IF($M4690="PADD V","PADD 5","")))))</f>
        <v>PADD 3</v>
      </c>
      <c r="G4690" s="6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6" t="s">
        <v>947</v>
      </c>
      <c r="I4690" s="6" t="s">
        <v>947</v>
      </c>
      <c r="J4690" s="6" t="s">
        <v>398</v>
      </c>
      <c r="K4690" s="10">
        <v>1.17</v>
      </c>
      <c r="L4690" s="10">
        <v>1.8</v>
      </c>
      <c r="M4690" s="6" t="s">
        <v>421</v>
      </c>
      <c r="N4690" s="6">
        <f>IF(OR($G4690="FCC",$G4690="Hydrocracker",$G4690="Reformer"),IF(COUNTIFS($D:$D,$D4690,$A:$A,$A4690,$B:$B,$B4690,$G:$G,"CDU",$J:$J,"PLANNED")&gt;0,"tied","standalone"),"")</f>
        <v/>
      </c>
    </row>
    <row r="4691" spans="1:14">
      <c r="A4691" s="6">
        <v>2024</v>
      </c>
      <c r="B4691" s="6">
        <v>10</v>
      </c>
      <c r="C4691" s="6" t="s">
        <v>69</v>
      </c>
      <c r="D4691" s="6" t="s">
        <v>496</v>
      </c>
      <c r="E4691" s="6" t="s">
        <v>441</v>
      </c>
      <c r="F4691" s="6" t="str">
        <f>IF($M4691="PADD I","PADD 1",IF($M4691="PADD II","PADD 2",IF($M4691="PADD III","PADD 3",IF($M4691="PADD IV","PADD 4",IF($M4691="PADD V","PADD 5","")))))</f>
        <v>PADD 3</v>
      </c>
      <c r="G4691" s="6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6" t="s">
        <v>687</v>
      </c>
      <c r="I4691" s="6" t="s">
        <v>1315</v>
      </c>
      <c r="J4691" s="6" t="s">
        <v>398</v>
      </c>
      <c r="K4691" s="10">
        <v>0.9</v>
      </c>
      <c r="L4691" s="10">
        <v>1</v>
      </c>
      <c r="M4691" s="6" t="s">
        <v>421</v>
      </c>
      <c r="N4691" s="6">
        <f>IF(OR($G4691="FCC",$G4691="Hydrocracker",$G4691="Reformer"),IF(COUNTIFS($D:$D,$D4691,$A:$A,$A4691,$B:$B,$B4691,$G:$G,"CDU",$J:$J,"PLANNED")&gt;0,"tied","standalone"),"")</f>
        <v/>
      </c>
    </row>
    <row r="4692" spans="1:14">
      <c r="A4692" s="6">
        <v>2024</v>
      </c>
      <c r="B4692" s="6">
        <v>10</v>
      </c>
      <c r="C4692" s="6" t="s">
        <v>69</v>
      </c>
      <c r="D4692" s="6" t="s">
        <v>1289</v>
      </c>
      <c r="E4692" s="6" t="s">
        <v>922</v>
      </c>
      <c r="F4692" s="6" t="str">
        <f>IF($M4692="PADD I","PADD 1",IF($M4692="PADD II","PADD 2",IF($M4692="PADD III","PADD 3",IF($M4692="PADD IV","PADD 4",IF($M4692="PADD V","PADD 5","")))))</f>
        <v>PADD 4</v>
      </c>
      <c r="G4692" s="6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6" t="s">
        <v>39</v>
      </c>
      <c r="I4692" s="6" t="s">
        <v>82</v>
      </c>
      <c r="J4692" s="6" t="s">
        <v>398</v>
      </c>
      <c r="K4692" s="10">
        <v>0.75</v>
      </c>
      <c r="L4692" s="10">
        <v>12.5</v>
      </c>
      <c r="M4692" s="6" t="s">
        <v>480</v>
      </c>
      <c r="N4692" s="6">
        <f>IF(OR($G4692="FCC",$G4692="Hydrocracker",$G4692="Reformer"),IF(COUNTIFS($D:$D,$D4692,$A:$A,$A4692,$B:$B,$B4692,$G:$G,"CDU",$J:$J,"PLANNED")&gt;0,"tied","standalone"),"")</f>
        <v/>
      </c>
    </row>
    <row r="4693" spans="1:14">
      <c r="A4693" s="6">
        <v>2024</v>
      </c>
      <c r="B4693" s="6">
        <v>10</v>
      </c>
      <c r="C4693" s="6" t="s">
        <v>69</v>
      </c>
      <c r="D4693" s="6" t="s">
        <v>445</v>
      </c>
      <c r="E4693" s="6" t="s">
        <v>446</v>
      </c>
      <c r="F4693" s="6" t="str">
        <f>IF($M4693="PADD I","PADD 1",IF($M4693="PADD II","PADD 2",IF($M4693="PADD III","PADD 3",IF($M4693="PADD IV","PADD 4",IF($M4693="PADD V","PADD 5","")))))</f>
        <v>PADD 3</v>
      </c>
      <c r="G4693" s="6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6" t="s">
        <v>44</v>
      </c>
      <c r="I4693" s="6" t="s">
        <v>671</v>
      </c>
      <c r="J4693" s="6" t="s">
        <v>394</v>
      </c>
      <c r="K4693" s="10">
        <v>0.72</v>
      </c>
      <c r="L4693" s="10">
        <v>4.5</v>
      </c>
      <c r="M4693" s="6" t="s">
        <v>421</v>
      </c>
      <c r="N4693" s="6">
        <f>IF(OR($G4693="FCC",$G4693="Hydrocracker",$G4693="Reformer"),IF(COUNTIFS($D:$D,$D4693,$A:$A,$A4693,$B:$B,$B4693,$G:$G,"CDU",$J:$J,"PLANNED")&gt;0,"tied","standalone"),"")</f>
        <v/>
      </c>
    </row>
    <row r="4694" spans="1:14">
      <c r="A4694" s="6">
        <v>2024</v>
      </c>
      <c r="B4694" s="6">
        <v>10</v>
      </c>
      <c r="C4694" s="6" t="s">
        <v>69</v>
      </c>
      <c r="D4694" s="6" t="s">
        <v>445</v>
      </c>
      <c r="E4694" s="6" t="s">
        <v>446</v>
      </c>
      <c r="F4694" s="6" t="str">
        <f>IF($M4694="PADD I","PADD 1",IF($M4694="PADD II","PADD 2",IF($M4694="PADD III","PADD 3",IF($M4694="PADD IV","PADD 4",IF($M4694="PADD V","PADD 5","")))))</f>
        <v>PADD 3</v>
      </c>
      <c r="G4694" s="6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6" t="s">
        <v>44</v>
      </c>
      <c r="I4694" s="6" t="s">
        <v>675</v>
      </c>
      <c r="J4694" s="6" t="s">
        <v>394</v>
      </c>
      <c r="K4694" s="10">
        <v>0.5600000000000001</v>
      </c>
      <c r="L4694" s="10">
        <v>3.5</v>
      </c>
      <c r="M4694" s="6" t="s">
        <v>421</v>
      </c>
      <c r="N4694" s="6">
        <f>IF(OR($G4694="FCC",$G4694="Hydrocracker",$G4694="Reformer"),IF(COUNTIFS($D:$D,$D4694,$A:$A,$A4694,$B:$B,$B4694,$G:$G,"CDU",$J:$J,"PLANNED")&gt;0,"tied","standalone"),"")</f>
        <v/>
      </c>
    </row>
    <row r="4695" spans="1:14">
      <c r="A4695" s="6">
        <v>2024</v>
      </c>
      <c r="B4695" s="6">
        <v>10</v>
      </c>
      <c r="C4695" s="6" t="s">
        <v>69</v>
      </c>
      <c r="D4695" s="6" t="s">
        <v>540</v>
      </c>
      <c r="E4695" s="6" t="s">
        <v>541</v>
      </c>
      <c r="F4695" s="6" t="str">
        <f>IF($M4695="PADD I","PADD 1",IF($M4695="PADD II","PADD 2",IF($M4695="PADD III","PADD 3",IF($M4695="PADD IV","PADD 4",IF($M4695="PADD V","PADD 5","")))))</f>
        <v>PADD 3</v>
      </c>
      <c r="G4695" s="6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6" t="s">
        <v>510</v>
      </c>
      <c r="I4695" s="6" t="s">
        <v>1243</v>
      </c>
      <c r="J4695" s="6" t="s">
        <v>394</v>
      </c>
      <c r="K4695" s="10">
        <v>0.54</v>
      </c>
      <c r="L4695" s="10">
        <v>9</v>
      </c>
      <c r="M4695" s="6" t="s">
        <v>421</v>
      </c>
      <c r="N4695" s="6">
        <f>IF(OR($G4695="FCC",$G4695="Hydrocracker",$G4695="Reformer"),IF(COUNTIFS($D:$D,$D4695,$A:$A,$A4695,$B:$B,$B4695,$G:$G,"CDU",$J:$J,"PLANNED")&gt;0,"tied","standalone"),"")</f>
        <v/>
      </c>
    </row>
    <row r="4696" spans="1:14">
      <c r="A4696" s="6">
        <v>2024</v>
      </c>
      <c r="B4696" s="6">
        <v>10</v>
      </c>
      <c r="C4696" s="6" t="s">
        <v>69</v>
      </c>
      <c r="D4696" s="6" t="s">
        <v>921</v>
      </c>
      <c r="E4696" s="6" t="s">
        <v>922</v>
      </c>
      <c r="F4696" s="6" t="str">
        <f>IF($M4696="PADD I","PADD 1",IF($M4696="PADD II","PADD 2",IF($M4696="PADD III","PADD 3",IF($M4696="PADD IV","PADD 4",IF($M4696="PADD V","PADD 5","")))))</f>
        <v>PADD 4</v>
      </c>
      <c r="G4696" s="6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6" t="s">
        <v>618</v>
      </c>
      <c r="I4696" s="6" t="s">
        <v>1252</v>
      </c>
      <c r="J4696" s="6" t="s">
        <v>398</v>
      </c>
      <c r="K4696" s="10">
        <v>0.45</v>
      </c>
      <c r="L4696" s="10">
        <v>1</v>
      </c>
      <c r="M4696" s="6" t="s">
        <v>480</v>
      </c>
      <c r="N4696" s="6">
        <f>IF(OR($G4696="FCC",$G4696="Hydrocracker",$G4696="Reformer"),IF(COUNTIFS($D:$D,$D4696,$A:$A,$A4696,$B:$B,$B4696,$G:$G,"CDU",$J:$J,"PLANNED")&gt;0,"tied","standalone"),"")</f>
        <v/>
      </c>
    </row>
    <row r="4697" spans="1:14">
      <c r="A4697" s="6">
        <v>2024</v>
      </c>
      <c r="B4697" s="6">
        <v>10</v>
      </c>
      <c r="C4697" s="6" t="s">
        <v>69</v>
      </c>
      <c r="D4697" s="6" t="s">
        <v>1289</v>
      </c>
      <c r="E4697" s="6" t="s">
        <v>922</v>
      </c>
      <c r="F4697" s="6" t="str">
        <f>IF($M4697="PADD I","PADD 1",IF($M4697="PADD II","PADD 2",IF($M4697="PADD III","PADD 3",IF($M4697="PADD IV","PADD 4",IF($M4697="PADD V","PADD 5","")))))</f>
        <v>PADD 4</v>
      </c>
      <c r="G4697" s="6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6" t="s">
        <v>428</v>
      </c>
      <c r="I4697" s="6" t="s">
        <v>481</v>
      </c>
      <c r="J4697" s="6" t="s">
        <v>398</v>
      </c>
      <c r="K4697" s="10">
        <v>0.36</v>
      </c>
      <c r="L4697" s="10">
        <v>6</v>
      </c>
      <c r="M4697" s="6" t="s">
        <v>480</v>
      </c>
      <c r="N4697" s="6">
        <f>IF(OR($G4697="FCC",$G4697="Hydrocracker",$G4697="Reformer"),IF(COUNTIFS($D:$D,$D4697,$A:$A,$A4697,$B:$B,$B4697,$G:$G,"CDU",$J:$J,"PLANNED")&gt;0,"tied","standalone"),"")</f>
        <v/>
      </c>
    </row>
    <row r="4698" spans="1:14">
      <c r="A4698" s="6">
        <v>2024</v>
      </c>
      <c r="B4698" s="6">
        <v>10</v>
      </c>
      <c r="C4698" s="6" t="s">
        <v>69</v>
      </c>
      <c r="D4698" s="6" t="s">
        <v>680</v>
      </c>
      <c r="E4698" s="6" t="s">
        <v>541</v>
      </c>
      <c r="F4698" s="6" t="str">
        <f>IF($M4698="PADD I","PADD 1",IF($M4698="PADD II","PADD 2",IF($M4698="PADD III","PADD 3",IF($M4698="PADD IV","PADD 4",IF($M4698="PADD V","PADD 5","")))))</f>
        <v>PADD 3</v>
      </c>
      <c r="G4698" s="6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6" t="s">
        <v>44</v>
      </c>
      <c r="I4698" s="6" t="s">
        <v>514</v>
      </c>
      <c r="J4698" s="6" t="s">
        <v>394</v>
      </c>
      <c r="K4698" s="10">
        <v>0.36</v>
      </c>
      <c r="L4698" s="10">
        <v>12</v>
      </c>
      <c r="M4698" s="6" t="s">
        <v>421</v>
      </c>
      <c r="N4698" s="6">
        <f>IF(OR($G4698="FCC",$G4698="Hydrocracker",$G4698="Reformer"),IF(COUNTIFS($D:$D,$D4698,$A:$A,$A4698,$B:$B,$B4698,$G:$G,"CDU",$J:$J,"PLANNED")&gt;0,"tied","standalone"),"")</f>
        <v/>
      </c>
    </row>
    <row r="4699" spans="1:14">
      <c r="A4699" s="6">
        <v>2024</v>
      </c>
      <c r="B4699" s="6">
        <v>10</v>
      </c>
      <c r="C4699" s="6" t="s">
        <v>69</v>
      </c>
      <c r="D4699" s="6" t="s">
        <v>1289</v>
      </c>
      <c r="E4699" s="6" t="s">
        <v>922</v>
      </c>
      <c r="F4699" s="6" t="str">
        <f>IF($M4699="PADD I","PADD 1",IF($M4699="PADD II","PADD 2",IF($M4699="PADD III","PADD 3",IF($M4699="PADD IV","PADD 4",IF($M4699="PADD V","PADD 5","")))))</f>
        <v>PADD 4</v>
      </c>
      <c r="G4699" s="6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6" t="s">
        <v>494</v>
      </c>
      <c r="I4699" s="6" t="s">
        <v>1295</v>
      </c>
      <c r="J4699" s="6" t="s">
        <v>398</v>
      </c>
      <c r="K4699" s="10">
        <v>0.3</v>
      </c>
      <c r="L4699" s="10">
        <v>5</v>
      </c>
      <c r="M4699" s="6" t="s">
        <v>480</v>
      </c>
      <c r="N4699" s="6" t="str">
        <f>IF(OR($G4699="FCC",$G4699="Hydrocracker",$G4699="Reformer"),IF(COUNTIFS($D:$D,$D4699,$A:$A,$A4699,$B:$B,$B4699,$G:$G,"CDU",$J:$J,"PLANNED")&gt;0,"tied","standalone"),"")</f>
        <v>tied</v>
      </c>
    </row>
    <row r="4700" spans="1:14">
      <c r="A4700" s="6">
        <v>2024</v>
      </c>
      <c r="B4700" s="6">
        <v>10</v>
      </c>
      <c r="C4700" s="6" t="s">
        <v>69</v>
      </c>
      <c r="D4700" s="6" t="s">
        <v>712</v>
      </c>
      <c r="E4700" s="6" t="s">
        <v>602</v>
      </c>
      <c r="F4700" s="6" t="str">
        <f>IF($M4700="PADD I","PADD 1",IF($M4700="PADD II","PADD 2",IF($M4700="PADD III","PADD 3",IF($M4700="PADD IV","PADD 4",IF($M4700="PADD V","PADD 5","")))))</f>
        <v>PADD 3</v>
      </c>
      <c r="G4700" s="6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6" t="s">
        <v>44</v>
      </c>
      <c r="I4700" s="6" t="s">
        <v>894</v>
      </c>
      <c r="J4700" s="6" t="s">
        <v>398</v>
      </c>
      <c r="K4700" s="10">
        <v>0.3</v>
      </c>
      <c r="L4700" s="10">
        <v>5</v>
      </c>
      <c r="M4700" s="6" t="s">
        <v>421</v>
      </c>
      <c r="N4700" s="6">
        <f>IF(OR($G4700="FCC",$G4700="Hydrocracker",$G4700="Reformer"),IF(COUNTIFS($D:$D,$D4700,$A:$A,$A4700,$B:$B,$B4700,$G:$G,"CDU",$J:$J,"PLANNED")&gt;0,"tied","standalone"),"")</f>
        <v/>
      </c>
    </row>
    <row r="4701" spans="1:14">
      <c r="A4701" s="6">
        <v>2024</v>
      </c>
      <c r="B4701" s="6">
        <v>10</v>
      </c>
      <c r="C4701" s="6" t="s">
        <v>69</v>
      </c>
      <c r="D4701" s="6" t="s">
        <v>1289</v>
      </c>
      <c r="E4701" s="6" t="s">
        <v>922</v>
      </c>
      <c r="F4701" s="6" t="str">
        <f>IF($M4701="PADD I","PADD 1",IF($M4701="PADD II","PADD 2",IF($M4701="PADD III","PADD 3",IF($M4701="PADD IV","PADD 4",IF($M4701="PADD V","PADD 5","")))))</f>
        <v>PADD 4</v>
      </c>
      <c r="G4701" s="6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6" t="s">
        <v>44</v>
      </c>
      <c r="I4701" s="6" t="s">
        <v>979</v>
      </c>
      <c r="J4701" s="6" t="s">
        <v>398</v>
      </c>
      <c r="K4701" s="10">
        <v>0.21</v>
      </c>
      <c r="L4701" s="10">
        <v>3.5</v>
      </c>
      <c r="M4701" s="6" t="s">
        <v>480</v>
      </c>
      <c r="N4701" s="6">
        <f>IF(OR($G4701="FCC",$G4701="Hydrocracker",$G4701="Reformer"),IF(COUNTIFS($D:$D,$D4701,$A:$A,$A4701,$B:$B,$B4701,$G:$G,"CDU",$J:$J,"PLANNED")&gt;0,"tied","standalone"),"")</f>
        <v/>
      </c>
    </row>
    <row r="4702" spans="1:14">
      <c r="A4702" s="6">
        <v>2024</v>
      </c>
      <c r="B4702" s="6">
        <v>10</v>
      </c>
      <c r="C4702" s="6" t="s">
        <v>69</v>
      </c>
      <c r="D4702" s="6" t="s">
        <v>1289</v>
      </c>
      <c r="E4702" s="6" t="s">
        <v>922</v>
      </c>
      <c r="F4702" s="6" t="str">
        <f>IF($M4702="PADD I","PADD 1",IF($M4702="PADD II","PADD 2",IF($M4702="PADD III","PADD 3",IF($M4702="PADD IV","PADD 4",IF($M4702="PADD V","PADD 5","")))))</f>
        <v>PADD 4</v>
      </c>
      <c r="G4702" s="6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6" t="s">
        <v>44</v>
      </c>
      <c r="I4702" s="6" t="s">
        <v>551</v>
      </c>
      <c r="J4702" s="6" t="s">
        <v>398</v>
      </c>
      <c r="K4702" s="10">
        <v>0.18</v>
      </c>
      <c r="L4702" s="10">
        <v>3</v>
      </c>
      <c r="M4702" s="6" t="s">
        <v>480</v>
      </c>
      <c r="N4702" s="6">
        <f>IF(OR($G4702="FCC",$G4702="Hydrocracker",$G4702="Reformer"),IF(COUNTIFS($D:$D,$D4702,$A:$A,$A4702,$B:$B,$B4702,$G:$G,"CDU",$J:$J,"PLANNED")&gt;0,"tied","standalone"),"")</f>
        <v/>
      </c>
    </row>
    <row r="4703" spans="1:14">
      <c r="A4703" s="6">
        <v>2024</v>
      </c>
      <c r="B4703" s="6">
        <v>10</v>
      </c>
      <c r="C4703" s="6" t="s">
        <v>69</v>
      </c>
      <c r="D4703" s="6" t="s">
        <v>1289</v>
      </c>
      <c r="E4703" s="6" t="s">
        <v>922</v>
      </c>
      <c r="F4703" s="6" t="str">
        <f>IF($M4703="PADD I","PADD 1",IF($M4703="PADD II","PADD 2",IF($M4703="PADD III","PADD 3",IF($M4703="PADD IV","PADD 4",IF($M4703="PADD V","PADD 5","")))))</f>
        <v>PADD 4</v>
      </c>
      <c r="G4703" s="6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6" t="s">
        <v>471</v>
      </c>
      <c r="I4703" s="6" t="s">
        <v>15</v>
      </c>
      <c r="J4703" s="6" t="s">
        <v>398</v>
      </c>
      <c r="K4703" s="10">
        <v>0.132</v>
      </c>
      <c r="L4703" s="10">
        <v>2.2</v>
      </c>
      <c r="M4703" s="6" t="s">
        <v>480</v>
      </c>
      <c r="N4703" s="6" t="str">
        <f>IF(OR($G4703="FCC",$G4703="Hydrocracker",$G4703="Reformer"),IF(COUNTIFS($D:$D,$D4703,$A:$A,$A4703,$B:$B,$B4703,$G:$G,"CDU",$J:$J,"PLANNED")&gt;0,"tied","standalone"),"")</f>
        <v>tied</v>
      </c>
    </row>
    <row r="4704" spans="1:14">
      <c r="A4704" s="6">
        <v>2024</v>
      </c>
      <c r="B4704" s="6">
        <v>10</v>
      </c>
      <c r="C4704" s="6" t="s">
        <v>69</v>
      </c>
      <c r="D4704" s="6" t="s">
        <v>1289</v>
      </c>
      <c r="E4704" s="6" t="s">
        <v>922</v>
      </c>
      <c r="F4704" s="6" t="str">
        <f>IF($M4704="PADD I","PADD 1",IF($M4704="PADD II","PADD 2",IF($M4704="PADD III","PADD 3",IF($M4704="PADD IV","PADD 4",IF($M4704="PADD V","PADD 5","")))))</f>
        <v>PADD 4</v>
      </c>
      <c r="G4704" s="6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6" t="s">
        <v>618</v>
      </c>
      <c r="I4704" s="6" t="s">
        <v>654</v>
      </c>
      <c r="J4704" s="6" t="s">
        <v>398</v>
      </c>
      <c r="K4704" s="10">
        <v>0.06</v>
      </c>
      <c r="L4704" s="10">
        <v>1</v>
      </c>
      <c r="M4704" s="6" t="s">
        <v>480</v>
      </c>
      <c r="N4704" s="6">
        <f>IF(OR($G4704="FCC",$G4704="Hydrocracker",$G4704="Reformer"),IF(COUNTIFS($D:$D,$D4704,$A:$A,$A4704,$B:$B,$B4704,$G:$G,"CDU",$J:$J,"PLANNED")&gt;0,"tied","standalone"),"")</f>
        <v/>
      </c>
    </row>
    <row r="4705" spans="1:14">
      <c r="A4705" s="6">
        <v>2024</v>
      </c>
      <c r="B4705" s="6">
        <v>10</v>
      </c>
      <c r="C4705" s="6" t="s">
        <v>69</v>
      </c>
      <c r="D4705" s="6" t="s">
        <v>470</v>
      </c>
      <c r="E4705" s="6" t="s">
        <v>423</v>
      </c>
      <c r="F4705" s="6" t="str">
        <f>IF($M4705="PADD I","PADD 1",IF($M4705="PADD II","PADD 2",IF($M4705="PADD III","PADD 3",IF($M4705="PADD IV","PADD 4",IF($M4705="PADD V","PADD 5","")))))</f>
        <v>PADD 2</v>
      </c>
      <c r="G4705" s="6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6" t="s">
        <v>510</v>
      </c>
      <c r="I4705" s="6" t="s">
        <v>666</v>
      </c>
      <c r="J4705" s="6" t="s">
        <v>394</v>
      </c>
      <c r="K4705" s="10">
        <v>0.045</v>
      </c>
      <c r="L4705" s="10">
        <v>1.5</v>
      </c>
      <c r="M4705" s="6" t="s">
        <v>425</v>
      </c>
      <c r="N4705" s="6">
        <f>IF(OR($G4705="FCC",$G4705="Hydrocracker",$G4705="Reformer"),IF(COUNTIFS($D:$D,$D4705,$A:$A,$A4705,$B:$B,$B4705,$G:$G,"CDU",$J:$J,"PLANNED")&gt;0,"tied","standalone"),"")</f>
        <v/>
      </c>
    </row>
    <row r="4706" spans="1:14">
      <c r="A4706" s="6">
        <v>2024</v>
      </c>
      <c r="B4706" s="6">
        <v>11</v>
      </c>
      <c r="C4706" s="6" t="s">
        <v>70</v>
      </c>
      <c r="D4706" s="6" t="s">
        <v>592</v>
      </c>
      <c r="E4706" s="6" t="s">
        <v>593</v>
      </c>
      <c r="F4706" s="6" t="str">
        <f>IF($M4706="PADD I","PADD 1",IF($M4706="PADD II","PADD 2",IF($M4706="PADD III","PADD 3",IF($M4706="PADD IV","PADD 4",IF($M4706="PADD V","PADD 5","")))))</f>
        <v>PADD 2</v>
      </c>
      <c r="G4706" s="6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6" t="s">
        <v>39</v>
      </c>
      <c r="I4706" s="6" t="s">
        <v>924</v>
      </c>
      <c r="J4706" s="6" t="s">
        <v>398</v>
      </c>
      <c r="K4706" s="10">
        <v>175</v>
      </c>
      <c r="L4706" s="10">
        <v>250</v>
      </c>
      <c r="M4706" s="6" t="s">
        <v>425</v>
      </c>
      <c r="N4706" s="6">
        <f>IF(OR($G4706="FCC",$G4706="Hydrocracker",$G4706="Reformer"),IF(COUNTIFS($D:$D,$D4706,$A:$A,$A4706,$B:$B,$B4706,$G:$G,"CDU",$J:$J,"PLANNED")&gt;0,"tied","standalone"),"")</f>
        <v/>
      </c>
    </row>
    <row r="4707" spans="1:14">
      <c r="A4707" s="6">
        <v>2024</v>
      </c>
      <c r="B4707" s="6">
        <v>11</v>
      </c>
      <c r="C4707" s="6" t="s">
        <v>70</v>
      </c>
      <c r="D4707" s="6" t="s">
        <v>496</v>
      </c>
      <c r="E4707" s="6" t="s">
        <v>441</v>
      </c>
      <c r="F4707" s="6" t="str">
        <f>IF($M4707="PADD I","PADD 1",IF($M4707="PADD II","PADD 2",IF($M4707="PADD III","PADD 3",IF($M4707="PADD IV","PADD 4",IF($M4707="PADD V","PADD 5","")))))</f>
        <v>PADD 3</v>
      </c>
      <c r="G4707" s="6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6" t="s">
        <v>39</v>
      </c>
      <c r="I4707" s="6" t="s">
        <v>82</v>
      </c>
      <c r="J4707" s="6" t="s">
        <v>398</v>
      </c>
      <c r="K4707" s="10">
        <v>100</v>
      </c>
      <c r="L4707" s="10">
        <v>100</v>
      </c>
      <c r="M4707" s="6" t="s">
        <v>421</v>
      </c>
      <c r="N4707" s="6">
        <f>IF(OR($G4707="FCC",$G4707="Hydrocracker",$G4707="Reformer"),IF(COUNTIFS($D:$D,$D4707,$A:$A,$A4707,$B:$B,$B4707,$G:$G,"CDU",$J:$J,"PLANNED")&gt;0,"tied","standalone"),"")</f>
        <v/>
      </c>
    </row>
    <row r="4708" spans="1:14">
      <c r="A4708" s="6">
        <v>2024</v>
      </c>
      <c r="B4708" s="6">
        <v>11</v>
      </c>
      <c r="C4708" s="6" t="s">
        <v>70</v>
      </c>
      <c r="D4708" s="6" t="s">
        <v>576</v>
      </c>
      <c r="E4708" s="6" t="s">
        <v>455</v>
      </c>
      <c r="F4708" s="6" t="str">
        <f>IF($M4708="PADD I","PADD 1",IF($M4708="PADD II","PADD 2",IF($M4708="PADD III","PADD 3",IF($M4708="PADD IV","PADD 4",IF($M4708="PADD V","PADD 5","")))))</f>
        <v>PADD 3</v>
      </c>
      <c r="G4708" s="6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6" t="s">
        <v>39</v>
      </c>
      <c r="I4708" s="6" t="s">
        <v>399</v>
      </c>
      <c r="J4708" s="6" t="s">
        <v>394</v>
      </c>
      <c r="K4708" s="10">
        <v>98.05</v>
      </c>
      <c r="L4708" s="10">
        <v>265</v>
      </c>
      <c r="M4708" s="6" t="s">
        <v>421</v>
      </c>
      <c r="N4708" s="6">
        <f>IF(OR($G4708="FCC",$G4708="Hydrocracker",$G4708="Reformer"),IF(COUNTIFS($D:$D,$D4708,$A:$A,$A4708,$B:$B,$B4708,$G:$G,"CDU",$J:$J,"PLANNED")&gt;0,"tied","standalone"),"")</f>
        <v/>
      </c>
    </row>
    <row r="4709" spans="1:14">
      <c r="A4709" s="6">
        <v>2024</v>
      </c>
      <c r="B4709" s="6">
        <v>11</v>
      </c>
      <c r="C4709" s="6" t="s">
        <v>70</v>
      </c>
      <c r="D4709" s="6" t="s">
        <v>52</v>
      </c>
      <c r="E4709" s="6" t="s">
        <v>441</v>
      </c>
      <c r="F4709" s="6" t="str">
        <f>IF($M4709="PADD I","PADD 1",IF($M4709="PADD II","PADD 2",IF($M4709="PADD III","PADD 3",IF($M4709="PADD IV","PADD 4",IF($M4709="PADD V","PADD 5","")))))</f>
        <v>PADD 5</v>
      </c>
      <c r="G4709" s="6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6" t="s">
        <v>428</v>
      </c>
      <c r="I4709" s="6" t="s">
        <v>1085</v>
      </c>
      <c r="J4709" s="6" t="s">
        <v>394</v>
      </c>
      <c r="K4709" s="10">
        <v>91.77</v>
      </c>
      <c r="L4709" s="10">
        <v>161</v>
      </c>
      <c r="M4709" s="6" t="s">
        <v>436</v>
      </c>
      <c r="N4709" s="6">
        <f>IF(OR($G4709="FCC",$G4709="Hydrocracker",$G4709="Reformer"),IF(COUNTIFS($D:$D,$D4709,$A:$A,$A4709,$B:$B,$B4709,$G:$G,"CDU",$J:$J,"PLANNED")&gt;0,"tied","standalone"),"")</f>
        <v/>
      </c>
    </row>
    <row r="4710" spans="1:14">
      <c r="A4710" s="6">
        <v>2024</v>
      </c>
      <c r="B4710" s="6">
        <v>11</v>
      </c>
      <c r="C4710" s="6" t="s">
        <v>70</v>
      </c>
      <c r="D4710" s="6" t="s">
        <v>592</v>
      </c>
      <c r="E4710" s="6" t="s">
        <v>593</v>
      </c>
      <c r="F4710" s="6" t="str">
        <f>IF($M4710="PADD I","PADD 1",IF($M4710="PADD II","PADD 2",IF($M4710="PADD III","PADD 3",IF($M4710="PADD IV","PADD 4",IF($M4710="PADD V","PADD 5","")))))</f>
        <v>PADD 2</v>
      </c>
      <c r="G4710" s="6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6" t="s">
        <v>485</v>
      </c>
      <c r="I4710" s="6" t="s">
        <v>491</v>
      </c>
      <c r="J4710" s="6" t="s">
        <v>394</v>
      </c>
      <c r="K4710" s="10">
        <v>74.45999999999999</v>
      </c>
      <c r="L4710" s="10">
        <v>102</v>
      </c>
      <c r="M4710" s="6" t="s">
        <v>425</v>
      </c>
      <c r="N4710" s="6">
        <f>IF(OR($G4710="FCC",$G4710="Hydrocracker",$G4710="Reformer"),IF(COUNTIFS($D:$D,$D4710,$A:$A,$A4710,$B:$B,$B4710,$G:$G,"CDU",$J:$J,"PLANNED")&gt;0,"tied","standalone"),"")</f>
        <v/>
      </c>
    </row>
    <row r="4711" spans="1:14">
      <c r="A4711" s="6">
        <v>2024</v>
      </c>
      <c r="B4711" s="6">
        <v>11</v>
      </c>
      <c r="C4711" s="6" t="s">
        <v>70</v>
      </c>
      <c r="D4711" s="6" t="s">
        <v>788</v>
      </c>
      <c r="E4711" s="6" t="s">
        <v>602</v>
      </c>
      <c r="F4711" s="6" t="str">
        <f>IF($M4711="PADD I","PADD 1",IF($M4711="PADD II","PADD 2",IF($M4711="PADD III","PADD 3",IF($M4711="PADD IV","PADD 4",IF($M4711="PADD V","PADD 5","")))))</f>
        <v>PADD 3</v>
      </c>
      <c r="G4711" s="6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6" t="s">
        <v>39</v>
      </c>
      <c r="I4711" s="6" t="s">
        <v>82</v>
      </c>
      <c r="J4711" s="6" t="s">
        <v>398</v>
      </c>
      <c r="K4711" s="10">
        <v>74</v>
      </c>
      <c r="L4711" s="10">
        <v>74</v>
      </c>
      <c r="M4711" s="6" t="s">
        <v>421</v>
      </c>
      <c r="N4711" s="6">
        <f>IF(OR($G4711="FCC",$G4711="Hydrocracker",$G4711="Reformer"),IF(COUNTIFS($D:$D,$D4711,$A:$A,$A4711,$B:$B,$B4711,$G:$G,"CDU",$J:$J,"PLANNED")&gt;0,"tied","standalone"),"")</f>
        <v/>
      </c>
    </row>
    <row r="4712" spans="1:14">
      <c r="A4712" s="6">
        <v>2024</v>
      </c>
      <c r="B4712" s="6">
        <v>11</v>
      </c>
      <c r="C4712" s="6" t="s">
        <v>70</v>
      </c>
      <c r="D4712" s="6" t="s">
        <v>576</v>
      </c>
      <c r="E4712" s="6" t="s">
        <v>455</v>
      </c>
      <c r="F4712" s="6" t="str">
        <f>IF($M4712="PADD I","PADD 1",IF($M4712="PADD II","PADD 2",IF($M4712="PADD III","PADD 3",IF($M4712="PADD IV","PADD 4",IF($M4712="PADD V","PADD 5","")))))</f>
        <v>PADD 3</v>
      </c>
      <c r="G4712" s="6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6" t="s">
        <v>428</v>
      </c>
      <c r="I4712" s="6" t="s">
        <v>699</v>
      </c>
      <c r="J4712" s="6" t="s">
        <v>394</v>
      </c>
      <c r="K4712" s="10">
        <v>63.64</v>
      </c>
      <c r="L4712" s="10">
        <v>172</v>
      </c>
      <c r="M4712" s="6" t="s">
        <v>421</v>
      </c>
      <c r="N4712" s="6">
        <f>IF(OR($G4712="FCC",$G4712="Hydrocracker",$G4712="Reformer"),IF(COUNTIFS($D:$D,$D4712,$A:$A,$A4712,$B:$B,$B4712,$G:$G,"CDU",$J:$J,"PLANNED")&gt;0,"tied","standalone"),"")</f>
        <v/>
      </c>
    </row>
    <row r="4713" spans="1:14">
      <c r="A4713" s="6">
        <v>2024</v>
      </c>
      <c r="B4713" s="6">
        <v>11</v>
      </c>
      <c r="C4713" s="6" t="s">
        <v>70</v>
      </c>
      <c r="D4713" s="6" t="s">
        <v>1264</v>
      </c>
      <c r="E4713" s="6" t="s">
        <v>1265</v>
      </c>
      <c r="F4713" s="6" t="str">
        <f>IF($M4713="PADD I","PADD 1",IF($M4713="PADD II","PADD 2",IF($M4713="PADD III","PADD 3",IF($M4713="PADD IV","PADD 4",IF($M4713="PADD V","PADD 5","")))))</f>
        <v>PADD 1</v>
      </c>
      <c r="G4713" s="6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6" t="s">
        <v>39</v>
      </c>
      <c r="I4713" s="6" t="s">
        <v>132</v>
      </c>
      <c r="J4713" s="6" t="s">
        <v>394</v>
      </c>
      <c r="K4713" s="10">
        <v>56</v>
      </c>
      <c r="L4713" s="10">
        <v>56</v>
      </c>
      <c r="M4713" s="6" t="s">
        <v>463</v>
      </c>
      <c r="N4713" s="6">
        <f>IF(OR($G4713="FCC",$G4713="Hydrocracker",$G4713="Reformer"),IF(COUNTIFS($D:$D,$D4713,$A:$A,$A4713,$B:$B,$B4713,$G:$G,"CDU",$J:$J,"PLANNED")&gt;0,"tied","standalone"),"")</f>
        <v/>
      </c>
    </row>
    <row r="4714" spans="1:14">
      <c r="A4714" s="6">
        <v>2024</v>
      </c>
      <c r="B4714" s="6">
        <v>11</v>
      </c>
      <c r="C4714" s="6" t="s">
        <v>70</v>
      </c>
      <c r="D4714" s="6" t="s">
        <v>726</v>
      </c>
      <c r="E4714" s="6" t="s">
        <v>727</v>
      </c>
      <c r="F4714" s="6" t="str">
        <f>IF($M4714="PADD I","PADD 1",IF($M4714="PADD II","PADD 2",IF($M4714="PADD III","PADD 3",IF($M4714="PADD IV","PADD 4",IF($M4714="PADD V","PADD 5","")))))</f>
        <v>PADD 1</v>
      </c>
      <c r="G4714" s="6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6" t="s">
        <v>39</v>
      </c>
      <c r="I4714" s="6" t="s">
        <v>728</v>
      </c>
      <c r="J4714" s="6" t="s">
        <v>394</v>
      </c>
      <c r="K4714" s="10">
        <v>56</v>
      </c>
      <c r="L4714" s="10">
        <v>56</v>
      </c>
      <c r="M4714" s="6" t="s">
        <v>463</v>
      </c>
      <c r="N4714" s="6">
        <f>IF(OR($G4714="FCC",$G4714="Hydrocracker",$G4714="Reformer"),IF(COUNTIFS($D:$D,$D4714,$A:$A,$A4714,$B:$B,$B4714,$G:$G,"CDU",$J:$J,"PLANNED")&gt;0,"tied","standalone"),"")</f>
        <v/>
      </c>
    </row>
    <row r="4715" spans="1:14">
      <c r="A4715" s="6">
        <v>2024</v>
      </c>
      <c r="B4715" s="6">
        <v>11</v>
      </c>
      <c r="C4715" s="6" t="s">
        <v>70</v>
      </c>
      <c r="D4715" s="6" t="s">
        <v>378</v>
      </c>
      <c r="E4715" s="6" t="s">
        <v>477</v>
      </c>
      <c r="F4715" s="6" t="str">
        <f>IF($M4715="PADD I","PADD 1",IF($M4715="PADD II","PADD 2",IF($M4715="PADD III","PADD 3",IF($M4715="PADD IV","PADD 4",IF($M4715="PADD V","PADD 5","")))))</f>
        <v>PADD 3</v>
      </c>
      <c r="G4715" s="6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6" t="s">
        <v>426</v>
      </c>
      <c r="I4715" s="6" t="s">
        <v>478</v>
      </c>
      <c r="J4715" s="6" t="s">
        <v>398</v>
      </c>
      <c r="K4715" s="10">
        <v>45.56</v>
      </c>
      <c r="L4715" s="10">
        <v>68</v>
      </c>
      <c r="M4715" s="6" t="s">
        <v>421</v>
      </c>
      <c r="N4715" s="6" t="str">
        <f>IF(OR($G4715="FCC",$G4715="Hydrocracker",$G4715="Reformer"),IF(COUNTIFS($D:$D,$D4715,$A:$A,$A4715,$B:$B,$B4715,$G:$G,"CDU",$J:$J,"PLANNED")&gt;0,"tied","standalone"),"")</f>
        <v>tied</v>
      </c>
    </row>
    <row r="4716" spans="1:14">
      <c r="A4716" s="6">
        <v>2024</v>
      </c>
      <c r="B4716" s="6">
        <v>11</v>
      </c>
      <c r="C4716" s="6" t="s">
        <v>70</v>
      </c>
      <c r="D4716" s="6" t="s">
        <v>725</v>
      </c>
      <c r="E4716" s="6" t="s">
        <v>502</v>
      </c>
      <c r="F4716" s="6" t="str">
        <f>IF($M4716="PADD I","PADD 1",IF($M4716="PADD II","PADD 2",IF($M4716="PADD III","PADD 3",IF($M4716="PADD IV","PADD 4",IF($M4716="PADD V","PADD 5","")))))</f>
        <v>PADD 2</v>
      </c>
      <c r="G4716" s="6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6" t="s">
        <v>39</v>
      </c>
      <c r="I4716" s="6" t="s">
        <v>82</v>
      </c>
      <c r="J4716" s="6" t="s">
        <v>398</v>
      </c>
      <c r="K4716" s="10">
        <v>43.74</v>
      </c>
      <c r="L4716" s="10">
        <v>87.48</v>
      </c>
      <c r="M4716" s="6" t="s">
        <v>425</v>
      </c>
      <c r="N4716" s="6">
        <f>IF(OR($G4716="FCC",$G4716="Hydrocracker",$G4716="Reformer"),IF(COUNTIFS($D:$D,$D4716,$A:$A,$A4716,$B:$B,$B4716,$G:$G,"CDU",$J:$J,"PLANNED")&gt;0,"tied","standalone"),"")</f>
        <v/>
      </c>
    </row>
    <row r="4717" spans="1:14">
      <c r="A4717" s="6">
        <v>2024</v>
      </c>
      <c r="B4717" s="6">
        <v>11</v>
      </c>
      <c r="C4717" s="6" t="s">
        <v>70</v>
      </c>
      <c r="D4717" s="6" t="s">
        <v>1035</v>
      </c>
      <c r="E4717" s="6" t="s">
        <v>593</v>
      </c>
      <c r="F4717" s="6" t="str">
        <f>IF($M4717="PADD I","PADD 1",IF($M4717="PADD II","PADD 2",IF($M4717="PADD III","PADD 3",IF($M4717="PADD IV","PADD 4",IF($M4717="PADD V","PADD 5","")))))</f>
        <v>PADD 2</v>
      </c>
      <c r="G4717" s="6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6" t="s">
        <v>428</v>
      </c>
      <c r="I4717" s="6" t="s">
        <v>836</v>
      </c>
      <c r="J4717" s="6" t="s">
        <v>394</v>
      </c>
      <c r="K4717" s="10">
        <v>42.231</v>
      </c>
      <c r="L4717" s="10">
        <v>60.33</v>
      </c>
      <c r="M4717" s="6" t="s">
        <v>425</v>
      </c>
      <c r="N4717" s="6">
        <f>IF(OR($G4717="FCC",$G4717="Hydrocracker",$G4717="Reformer"),IF(COUNTIFS($D:$D,$D4717,$A:$A,$A4717,$B:$B,$B4717,$G:$G,"CDU",$J:$J,"PLANNED")&gt;0,"tied","standalone"),"")</f>
        <v/>
      </c>
    </row>
    <row r="4718" spans="1:14">
      <c r="A4718" s="6">
        <v>2024</v>
      </c>
      <c r="B4718" s="6">
        <v>11</v>
      </c>
      <c r="C4718" s="6" t="s">
        <v>70</v>
      </c>
      <c r="D4718" s="6" t="s">
        <v>496</v>
      </c>
      <c r="E4718" s="6" t="s">
        <v>441</v>
      </c>
      <c r="F4718" s="6" t="str">
        <f>IF($M4718="PADD I","PADD 1",IF($M4718="PADD II","PADD 2",IF($M4718="PADD III","PADD 3",IF($M4718="PADD IV","PADD 4",IF($M4718="PADD V","PADD 5","")))))</f>
        <v>PADD 3</v>
      </c>
      <c r="G4718" s="6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6" t="s">
        <v>428</v>
      </c>
      <c r="I4718" s="6" t="s">
        <v>1091</v>
      </c>
      <c r="J4718" s="6" t="s">
        <v>394</v>
      </c>
      <c r="K4718" s="10">
        <v>41</v>
      </c>
      <c r="L4718" s="10">
        <v>41</v>
      </c>
      <c r="M4718" s="6" t="s">
        <v>421</v>
      </c>
      <c r="N4718" s="6">
        <f>IF(OR($G4718="FCC",$G4718="Hydrocracker",$G4718="Reformer"),IF(COUNTIFS($D:$D,$D4718,$A:$A,$A4718,$B:$B,$B4718,$G:$G,"CDU",$J:$J,"PLANNED")&gt;0,"tied","standalone"),"")</f>
        <v/>
      </c>
    </row>
    <row r="4719" spans="1:14">
      <c r="A4719" s="6">
        <v>2024</v>
      </c>
      <c r="B4719" s="6">
        <v>11</v>
      </c>
      <c r="C4719" s="6" t="s">
        <v>70</v>
      </c>
      <c r="D4719" s="6" t="s">
        <v>490</v>
      </c>
      <c r="E4719" s="6" t="s">
        <v>419</v>
      </c>
      <c r="F4719" s="6" t="str">
        <f>IF($M4719="PADD I","PADD 1",IF($M4719="PADD II","PADD 2",IF($M4719="PADD III","PADD 3",IF($M4719="PADD IV","PADD 4",IF($M4719="PADD V","PADD 5","")))))</f>
        <v>PADD 5</v>
      </c>
      <c r="G4719" s="6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6" t="s">
        <v>44</v>
      </c>
      <c r="I4719" s="6" t="s">
        <v>717</v>
      </c>
      <c r="J4719" s="6" t="s">
        <v>398</v>
      </c>
      <c r="K4719" s="10">
        <v>40</v>
      </c>
      <c r="L4719" s="10">
        <v>40</v>
      </c>
      <c r="M4719" s="6" t="s">
        <v>436</v>
      </c>
      <c r="N4719" s="6">
        <f>IF(OR($G4719="FCC",$G4719="Hydrocracker",$G4719="Reformer"),IF(COUNTIFS($D:$D,$D4719,$A:$A,$A4719,$B:$B,$B4719,$G:$G,"CDU",$J:$J,"PLANNED")&gt;0,"tied","standalone"),"")</f>
        <v/>
      </c>
    </row>
    <row r="4720" spans="1:14">
      <c r="A4720" s="6">
        <v>2024</v>
      </c>
      <c r="B4720" s="6">
        <v>11</v>
      </c>
      <c r="C4720" s="6" t="s">
        <v>70</v>
      </c>
      <c r="D4720" s="6" t="s">
        <v>52</v>
      </c>
      <c r="E4720" s="6" t="s">
        <v>441</v>
      </c>
      <c r="F4720" s="6" t="str">
        <f>IF($M4720="PADD I","PADD 1",IF($M4720="PADD II","PADD 2",IF($M4720="PADD III","PADD 3",IF($M4720="PADD IV","PADD 4",IF($M4720="PADD V","PADD 5","")))))</f>
        <v>PADD 5</v>
      </c>
      <c r="G4720" s="6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6" t="s">
        <v>44</v>
      </c>
      <c r="I4720" s="6" t="s">
        <v>1280</v>
      </c>
      <c r="J4720" s="6" t="s">
        <v>398</v>
      </c>
      <c r="K4720" s="10">
        <v>38.76</v>
      </c>
      <c r="L4720" s="10">
        <v>68</v>
      </c>
      <c r="M4720" s="6" t="s">
        <v>436</v>
      </c>
      <c r="N4720" s="6">
        <f>IF(OR($G4720="FCC",$G4720="Hydrocracker",$G4720="Reformer"),IF(COUNTIFS($D:$D,$D4720,$A:$A,$A4720,$B:$B,$B4720,$G:$G,"CDU",$J:$J,"PLANNED")&gt;0,"tied","standalone"),"")</f>
        <v/>
      </c>
    </row>
    <row r="4721" spans="1:14">
      <c r="A4721" s="6">
        <v>2024</v>
      </c>
      <c r="B4721" s="6">
        <v>11</v>
      </c>
      <c r="C4721" s="6" t="s">
        <v>70</v>
      </c>
      <c r="D4721" s="6" t="s">
        <v>498</v>
      </c>
      <c r="E4721" s="6" t="s">
        <v>441</v>
      </c>
      <c r="F4721" s="6" t="str">
        <f>IF($M4721="PADD I","PADD 1",IF($M4721="PADD II","PADD 2",IF($M4721="PADD III","PADD 3",IF($M4721="PADD IV","PADD 4",IF($M4721="PADD V","PADD 5","")))))</f>
        <v>PADD 3</v>
      </c>
      <c r="G4721" s="6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6" t="s">
        <v>44</v>
      </c>
      <c r="I4721" s="6" t="s">
        <v>499</v>
      </c>
      <c r="J4721" s="6" t="s">
        <v>394</v>
      </c>
      <c r="K4721" s="10">
        <v>35</v>
      </c>
      <c r="L4721" s="10">
        <v>35</v>
      </c>
      <c r="M4721" s="6" t="s">
        <v>421</v>
      </c>
      <c r="N4721" s="6">
        <f>IF(OR($G4721="FCC",$G4721="Hydrocracker",$G4721="Reformer"),IF(COUNTIFS($D:$D,$D4721,$A:$A,$A4721,$B:$B,$B4721,$G:$G,"CDU",$J:$J,"PLANNED")&gt;0,"tied","standalone"),"")</f>
        <v/>
      </c>
    </row>
    <row r="4722" spans="1:14">
      <c r="A4722" s="6">
        <v>2024</v>
      </c>
      <c r="B4722" s="6">
        <v>11</v>
      </c>
      <c r="C4722" s="6" t="s">
        <v>70</v>
      </c>
      <c r="D4722" s="6" t="s">
        <v>496</v>
      </c>
      <c r="E4722" s="6" t="s">
        <v>441</v>
      </c>
      <c r="F4722" s="6" t="str">
        <f>IF($M4722="PADD I","PADD 1",IF($M4722="PADD II","PADD 2",IF($M4722="PADD III","PADD 3",IF($M4722="PADD IV","PADD 4",IF($M4722="PADD V","PADD 5","")))))</f>
        <v>PADD 3</v>
      </c>
      <c r="G4722" s="6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6" t="s">
        <v>428</v>
      </c>
      <c r="I4722" s="6" t="s">
        <v>1091</v>
      </c>
      <c r="J4722" s="6" t="s">
        <v>398</v>
      </c>
      <c r="K4722" s="10">
        <v>34.2</v>
      </c>
      <c r="L4722" s="10">
        <v>38</v>
      </c>
      <c r="M4722" s="6" t="s">
        <v>421</v>
      </c>
      <c r="N4722" s="6">
        <f>IF(OR($G4722="FCC",$G4722="Hydrocracker",$G4722="Reformer"),IF(COUNTIFS($D:$D,$D4722,$A:$A,$A4722,$B:$B,$B4722,$G:$G,"CDU",$J:$J,"PLANNED")&gt;0,"tied","standalone"),"")</f>
        <v/>
      </c>
    </row>
    <row r="4723" spans="1:14">
      <c r="A4723" s="6">
        <v>2024</v>
      </c>
      <c r="B4723" s="6">
        <v>11</v>
      </c>
      <c r="C4723" s="6" t="s">
        <v>70</v>
      </c>
      <c r="D4723" s="6" t="s">
        <v>788</v>
      </c>
      <c r="E4723" s="6" t="s">
        <v>602</v>
      </c>
      <c r="F4723" s="6" t="str">
        <f>IF($M4723="PADD I","PADD 1",IF($M4723="PADD II","PADD 2",IF($M4723="PADD III","PADD 3",IF($M4723="PADD IV","PADD 4",IF($M4723="PADD V","PADD 5","")))))</f>
        <v>PADD 3</v>
      </c>
      <c r="G4723" s="6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6" t="s">
        <v>426</v>
      </c>
      <c r="I4723" s="6" t="s">
        <v>106</v>
      </c>
      <c r="J4723" s="6" t="s">
        <v>398</v>
      </c>
      <c r="K4723" s="10">
        <v>32.5</v>
      </c>
      <c r="L4723" s="10">
        <v>32.5</v>
      </c>
      <c r="M4723" s="6" t="s">
        <v>421</v>
      </c>
      <c r="N4723" s="6" t="str">
        <f>IF(OR($G4723="FCC",$G4723="Hydrocracker",$G4723="Reformer"),IF(COUNTIFS($D:$D,$D4723,$A:$A,$A4723,$B:$B,$B4723,$G:$G,"CDU",$J:$J,"PLANNED")&gt;0,"tied","standalone"),"")</f>
        <v>tied</v>
      </c>
    </row>
    <row r="4724" spans="1:14">
      <c r="A4724" s="6">
        <v>2024</v>
      </c>
      <c r="B4724" s="6">
        <v>11</v>
      </c>
      <c r="C4724" s="6" t="s">
        <v>70</v>
      </c>
      <c r="D4724" s="6" t="s">
        <v>378</v>
      </c>
      <c r="E4724" s="6" t="s">
        <v>477</v>
      </c>
      <c r="F4724" s="6" t="str">
        <f>IF($M4724="PADD I","PADD 1",IF($M4724="PADD II","PADD 2",IF($M4724="PADD III","PADD 3",IF($M4724="PADD IV","PADD 4",IF($M4724="PADD V","PADD 5","")))))</f>
        <v>PADD 3</v>
      </c>
      <c r="G4724" s="6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6" t="s">
        <v>39</v>
      </c>
      <c r="I4724" s="6" t="s">
        <v>124</v>
      </c>
      <c r="J4724" s="6" t="s">
        <v>398</v>
      </c>
      <c r="K4724" s="10">
        <v>32.16</v>
      </c>
      <c r="L4724" s="10">
        <v>48</v>
      </c>
      <c r="M4724" s="6" t="s">
        <v>421</v>
      </c>
      <c r="N4724" s="6">
        <f>IF(OR($G4724="FCC",$G4724="Hydrocracker",$G4724="Reformer"),IF(COUNTIFS($D:$D,$D4724,$A:$A,$A4724,$B:$B,$B4724,$G:$G,"CDU",$J:$J,"PLANNED")&gt;0,"tied","standalone"),"")</f>
        <v/>
      </c>
    </row>
    <row r="4725" spans="1:14">
      <c r="A4725" s="6">
        <v>2024</v>
      </c>
      <c r="B4725" s="6">
        <v>11</v>
      </c>
      <c r="C4725" s="6" t="s">
        <v>70</v>
      </c>
      <c r="D4725" s="6" t="s">
        <v>378</v>
      </c>
      <c r="E4725" s="6" t="s">
        <v>477</v>
      </c>
      <c r="F4725" s="6" t="str">
        <f>IF($M4725="PADD I","PADD 1",IF($M4725="PADD II","PADD 2",IF($M4725="PADD III","PADD 3",IF($M4725="PADD IV","PADD 4",IF($M4725="PADD V","PADD 5","")))))</f>
        <v>PADD 3</v>
      </c>
      <c r="G4725" s="6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6" t="s">
        <v>39</v>
      </c>
      <c r="I4725" s="6" t="s">
        <v>379</v>
      </c>
      <c r="J4725" s="6" t="s">
        <v>398</v>
      </c>
      <c r="K4725" s="10">
        <v>32.16</v>
      </c>
      <c r="L4725" s="10">
        <v>48</v>
      </c>
      <c r="M4725" s="6" t="s">
        <v>421</v>
      </c>
      <c r="N4725" s="6">
        <f>IF(OR($G4725="FCC",$G4725="Hydrocracker",$G4725="Reformer"),IF(COUNTIFS($D:$D,$D4725,$A:$A,$A4725,$B:$B,$B4725,$G:$G,"CDU",$J:$J,"PLANNED")&gt;0,"tied","standalone"),"")</f>
        <v/>
      </c>
    </row>
    <row r="4726" spans="1:14">
      <c r="A4726" s="6">
        <v>2024</v>
      </c>
      <c r="B4726" s="6">
        <v>11</v>
      </c>
      <c r="C4726" s="6" t="s">
        <v>70</v>
      </c>
      <c r="D4726" s="6" t="s">
        <v>496</v>
      </c>
      <c r="E4726" s="6" t="s">
        <v>441</v>
      </c>
      <c r="F4726" s="6" t="str">
        <f>IF($M4726="PADD I","PADD 1",IF($M4726="PADD II","PADD 2",IF($M4726="PADD III","PADD 3",IF($M4726="PADD IV","PADD 4",IF($M4726="PADD V","PADD 5","")))))</f>
        <v>PADD 3</v>
      </c>
      <c r="G4726" s="6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6" t="s">
        <v>44</v>
      </c>
      <c r="I4726" s="6" t="s">
        <v>497</v>
      </c>
      <c r="J4726" s="6" t="s">
        <v>398</v>
      </c>
      <c r="K4726" s="10">
        <v>31.5</v>
      </c>
      <c r="L4726" s="10">
        <v>35</v>
      </c>
      <c r="M4726" s="6" t="s">
        <v>421</v>
      </c>
      <c r="N4726" s="6">
        <f>IF(OR($G4726="FCC",$G4726="Hydrocracker",$G4726="Reformer"),IF(COUNTIFS($D:$D,$D4726,$A:$A,$A4726,$B:$B,$B4726,$G:$G,"CDU",$J:$J,"PLANNED")&gt;0,"tied","standalone"),"")</f>
        <v/>
      </c>
    </row>
    <row r="4727" spans="1:14">
      <c r="A4727" s="6">
        <v>2024</v>
      </c>
      <c r="B4727" s="6">
        <v>11</v>
      </c>
      <c r="C4727" s="6" t="s">
        <v>70</v>
      </c>
      <c r="D4727" s="6" t="s">
        <v>726</v>
      </c>
      <c r="E4727" s="6" t="s">
        <v>727</v>
      </c>
      <c r="F4727" s="6" t="str">
        <f>IF($M4727="PADD I","PADD 1",IF($M4727="PADD II","PADD 2",IF($M4727="PADD III","PADD 3",IF($M4727="PADD IV","PADD 4",IF($M4727="PADD V","PADD 5","")))))</f>
        <v>PADD 1</v>
      </c>
      <c r="G4727" s="6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6" t="s">
        <v>428</v>
      </c>
      <c r="I4727" s="6" t="s">
        <v>1312</v>
      </c>
      <c r="J4727" s="6" t="s">
        <v>394</v>
      </c>
      <c r="K4727" s="10">
        <v>31</v>
      </c>
      <c r="L4727" s="10">
        <v>31</v>
      </c>
      <c r="M4727" s="6" t="s">
        <v>463</v>
      </c>
      <c r="N4727" s="6">
        <f>IF(OR($G4727="FCC",$G4727="Hydrocracker",$G4727="Reformer"),IF(COUNTIFS($D:$D,$D4727,$A:$A,$A4727,$B:$B,$B4727,$G:$G,"CDU",$J:$J,"PLANNED")&gt;0,"tied","standalone"),"")</f>
        <v/>
      </c>
    </row>
    <row r="4728" spans="1:14">
      <c r="A4728" s="6">
        <v>2024</v>
      </c>
      <c r="B4728" s="6">
        <v>11</v>
      </c>
      <c r="C4728" s="6" t="s">
        <v>70</v>
      </c>
      <c r="D4728" s="6" t="s">
        <v>378</v>
      </c>
      <c r="E4728" s="6" t="s">
        <v>477</v>
      </c>
      <c r="F4728" s="6" t="str">
        <f>IF($M4728="PADD I","PADD 1",IF($M4728="PADD II","PADD 2",IF($M4728="PADD III","PADD 3",IF($M4728="PADD IV","PADD 4",IF($M4728="PADD V","PADD 5","")))))</f>
        <v>PADD 3</v>
      </c>
      <c r="G4728" s="6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6" t="s">
        <v>44</v>
      </c>
      <c r="I4728" s="6" t="s">
        <v>1258</v>
      </c>
      <c r="J4728" s="6" t="s">
        <v>398</v>
      </c>
      <c r="K4728" s="10">
        <v>30.15</v>
      </c>
      <c r="L4728" s="10">
        <v>45</v>
      </c>
      <c r="M4728" s="6" t="s">
        <v>421</v>
      </c>
      <c r="N4728" s="6">
        <f>IF(OR($G4728="FCC",$G4728="Hydrocracker",$G4728="Reformer"),IF(COUNTIFS($D:$D,$D4728,$A:$A,$A4728,$B:$B,$B4728,$G:$G,"CDU",$J:$J,"PLANNED")&gt;0,"tied","standalone"),"")</f>
        <v/>
      </c>
    </row>
    <row r="4729" spans="1:14">
      <c r="A4729" s="6">
        <v>2024</v>
      </c>
      <c r="B4729" s="6">
        <v>11</v>
      </c>
      <c r="C4729" s="6" t="s">
        <v>70</v>
      </c>
      <c r="D4729" s="6" t="s">
        <v>52</v>
      </c>
      <c r="E4729" s="6" t="s">
        <v>441</v>
      </c>
      <c r="F4729" s="6" t="str">
        <f>IF($M4729="PADD I","PADD 1",IF($M4729="PADD II","PADD 2",IF($M4729="PADD III","PADD 3",IF($M4729="PADD IV","PADD 4",IF($M4729="PADD V","PADD 5","")))))</f>
        <v>PADD 5</v>
      </c>
      <c r="G4729" s="6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6" t="s">
        <v>494</v>
      </c>
      <c r="I4729" s="6" t="s">
        <v>1124</v>
      </c>
      <c r="J4729" s="6" t="s">
        <v>394</v>
      </c>
      <c r="K4729" s="10">
        <v>30.15</v>
      </c>
      <c r="L4729" s="10">
        <v>45</v>
      </c>
      <c r="M4729" s="6" t="s">
        <v>436</v>
      </c>
      <c r="N4729" s="6" t="str">
        <f>IF(OR($G4729="FCC",$G4729="Hydrocracker",$G4729="Reformer"),IF(COUNTIFS($D:$D,$D4729,$A:$A,$A4729,$B:$B,$B4729,$G:$G,"CDU",$J:$J,"PLANNED")&gt;0,"tied","standalone"),"")</f>
        <v>standalone</v>
      </c>
    </row>
    <row r="4730" spans="1:14">
      <c r="A4730" s="6">
        <v>2024</v>
      </c>
      <c r="B4730" s="6">
        <v>11</v>
      </c>
      <c r="C4730" s="6" t="s">
        <v>70</v>
      </c>
      <c r="D4730" s="6" t="s">
        <v>592</v>
      </c>
      <c r="E4730" s="6" t="s">
        <v>593</v>
      </c>
      <c r="F4730" s="6" t="str">
        <f>IF($M4730="PADD I","PADD 1",IF($M4730="PADD II","PADD 2",IF($M4730="PADD III","PADD 3",IF($M4730="PADD IV","PADD 4",IF($M4730="PADD V","PADD 5","")))))</f>
        <v>PADD 2</v>
      </c>
      <c r="G4730" s="6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6" t="s">
        <v>471</v>
      </c>
      <c r="I4730" s="6" t="s">
        <v>1164</v>
      </c>
      <c r="J4730" s="6" t="s">
        <v>398</v>
      </c>
      <c r="K4730" s="10">
        <v>30</v>
      </c>
      <c r="L4730" s="10">
        <v>60</v>
      </c>
      <c r="M4730" s="6" t="s">
        <v>425</v>
      </c>
      <c r="N4730" s="6" t="str">
        <f>IF(OR($G4730="FCC",$G4730="Hydrocracker",$G4730="Reformer"),IF(COUNTIFS($D:$D,$D4730,$A:$A,$A4730,$B:$B,$B4730,$G:$G,"CDU",$J:$J,"PLANNED")&gt;0,"tied","standalone"),"")</f>
        <v>tied</v>
      </c>
    </row>
    <row r="4731" spans="1:14">
      <c r="A4731" s="6">
        <v>2024</v>
      </c>
      <c r="B4731" s="6">
        <v>11</v>
      </c>
      <c r="C4731" s="6" t="s">
        <v>70</v>
      </c>
      <c r="D4731" s="6" t="s">
        <v>576</v>
      </c>
      <c r="E4731" s="6" t="s">
        <v>455</v>
      </c>
      <c r="F4731" s="6" t="str">
        <f>IF($M4731="PADD I","PADD 1",IF($M4731="PADD II","PADD 2",IF($M4731="PADD III","PADD 3",IF($M4731="PADD IV","PADD 4",IF($M4731="PADD V","PADD 5","")))))</f>
        <v>PADD 3</v>
      </c>
      <c r="G4731" s="6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6" t="s">
        <v>485</v>
      </c>
      <c r="I4731" s="6" t="s">
        <v>1004</v>
      </c>
      <c r="J4731" s="6" t="s">
        <v>394</v>
      </c>
      <c r="K4731" s="10">
        <v>30</v>
      </c>
      <c r="L4731" s="10">
        <v>30</v>
      </c>
      <c r="M4731" s="6" t="s">
        <v>421</v>
      </c>
      <c r="N4731" s="6">
        <f>IF(OR($G4731="FCC",$G4731="Hydrocracker",$G4731="Reformer"),IF(COUNTIFS($D:$D,$D4731,$A:$A,$A4731,$B:$B,$B4731,$G:$G,"CDU",$J:$J,"PLANNED")&gt;0,"tied","standalone"),"")</f>
        <v/>
      </c>
    </row>
    <row r="4732" spans="1:14">
      <c r="A4732" s="6">
        <v>2024</v>
      </c>
      <c r="B4732" s="6">
        <v>11</v>
      </c>
      <c r="C4732" s="6" t="s">
        <v>70</v>
      </c>
      <c r="D4732" s="6" t="s">
        <v>901</v>
      </c>
      <c r="E4732" s="6" t="s">
        <v>902</v>
      </c>
      <c r="F4732" s="6" t="str">
        <f>IF($M4732="PADD I","PADD 1",IF($M4732="PADD II","PADD 2",IF($M4732="PADD III","PADD 3",IF($M4732="PADD IV","PADD 4",IF($M4732="PADD V","PADD 5","")))))</f>
        <v>PADD 3</v>
      </c>
      <c r="G4732" s="6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6" t="s">
        <v>39</v>
      </c>
      <c r="I4732" s="6" t="s">
        <v>904</v>
      </c>
      <c r="J4732" s="6" t="s">
        <v>394</v>
      </c>
      <c r="K4732" s="10">
        <v>29.2</v>
      </c>
      <c r="L4732" s="10">
        <v>73</v>
      </c>
      <c r="M4732" s="6" t="s">
        <v>421</v>
      </c>
      <c r="N4732" s="6">
        <f>IF(OR($G4732="FCC",$G4732="Hydrocracker",$G4732="Reformer"),IF(COUNTIFS($D:$D,$D4732,$A:$A,$A4732,$B:$B,$B4732,$G:$G,"CDU",$J:$J,"PLANNED")&gt;0,"tied","standalone"),"")</f>
        <v/>
      </c>
    </row>
    <row r="4733" spans="1:14">
      <c r="A4733" s="6">
        <v>2024</v>
      </c>
      <c r="B4733" s="6">
        <v>11</v>
      </c>
      <c r="C4733" s="6" t="s">
        <v>70</v>
      </c>
      <c r="D4733" s="6" t="s">
        <v>496</v>
      </c>
      <c r="E4733" s="6" t="s">
        <v>441</v>
      </c>
      <c r="F4733" s="6" t="str">
        <f>IF($M4733="PADD I","PADD 1",IF($M4733="PADD II","PADD 2",IF($M4733="PADD III","PADD 3",IF($M4733="PADD IV","PADD 4",IF($M4733="PADD V","PADD 5","")))))</f>
        <v>PADD 3</v>
      </c>
      <c r="G4733" s="6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6" t="s">
        <v>44</v>
      </c>
      <c r="I4733" s="6" t="s">
        <v>1193</v>
      </c>
      <c r="J4733" s="6" t="s">
        <v>398</v>
      </c>
      <c r="K4733" s="10">
        <v>28.8</v>
      </c>
      <c r="L4733" s="10">
        <v>32</v>
      </c>
      <c r="M4733" s="6" t="s">
        <v>421</v>
      </c>
      <c r="N4733" s="6">
        <f>IF(OR($G4733="FCC",$G4733="Hydrocracker",$G4733="Reformer"),IF(COUNTIFS($D:$D,$D4733,$A:$A,$A4733,$B:$B,$B4733,$G:$G,"CDU",$J:$J,"PLANNED")&gt;0,"tied","standalone"),"")</f>
        <v/>
      </c>
    </row>
    <row r="4734" spans="1:14">
      <c r="A4734" s="6">
        <v>2024</v>
      </c>
      <c r="B4734" s="6">
        <v>11</v>
      </c>
      <c r="C4734" s="6" t="s">
        <v>70</v>
      </c>
      <c r="D4734" s="6" t="s">
        <v>465</v>
      </c>
      <c r="E4734" s="6" t="s">
        <v>466</v>
      </c>
      <c r="F4734" s="6" t="str">
        <f>IF($M4734="PADD I","PADD 1",IF($M4734="PADD II","PADD 2",IF($M4734="PADD III","PADD 3",IF($M4734="PADD IV","PADD 4",IF($M4734="PADD V","PADD 5","")))))</f>
        <v>PADD 3</v>
      </c>
      <c r="G4734" s="6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6" t="s">
        <v>485</v>
      </c>
      <c r="I4734" s="6" t="s">
        <v>503</v>
      </c>
      <c r="J4734" s="6" t="s">
        <v>394</v>
      </c>
      <c r="K4734" s="10">
        <v>28.22</v>
      </c>
      <c r="L4734" s="10">
        <v>34</v>
      </c>
      <c r="M4734" s="6" t="s">
        <v>421</v>
      </c>
      <c r="N4734" s="6">
        <f>IF(OR($G4734="FCC",$G4734="Hydrocracker",$G4734="Reformer"),IF(COUNTIFS($D:$D,$D4734,$A:$A,$A4734,$B:$B,$B4734,$G:$G,"CDU",$J:$J,"PLANNED")&gt;0,"tied","standalone"),"")</f>
        <v/>
      </c>
    </row>
    <row r="4735" spans="1:14">
      <c r="A4735" s="6">
        <v>2024</v>
      </c>
      <c r="B4735" s="6">
        <v>11</v>
      </c>
      <c r="C4735" s="6" t="s">
        <v>70</v>
      </c>
      <c r="D4735" s="6" t="s">
        <v>51</v>
      </c>
      <c r="E4735" s="6" t="s">
        <v>431</v>
      </c>
      <c r="F4735" s="6" t="str">
        <f>IF($M4735="PADD I","PADD 1",IF($M4735="PADD II","PADD 2",IF($M4735="PADD III","PADD 3",IF($M4735="PADD IV","PADD 4",IF($M4735="PADD V","PADD 5","")))))</f>
        <v>PADD 3</v>
      </c>
      <c r="G4735" s="6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6" t="s">
        <v>471</v>
      </c>
      <c r="I4735" s="6" t="s">
        <v>1136</v>
      </c>
      <c r="J4735" s="6" t="s">
        <v>398</v>
      </c>
      <c r="K4735" s="10">
        <v>25</v>
      </c>
      <c r="L4735" s="10">
        <v>25</v>
      </c>
      <c r="M4735" s="6" t="s">
        <v>421</v>
      </c>
      <c r="N4735" s="6" t="str">
        <f>IF(OR($G4735="FCC",$G4735="Hydrocracker",$G4735="Reformer"),IF(COUNTIFS($D:$D,$D4735,$A:$A,$A4735,$B:$B,$B4735,$G:$G,"CDU",$J:$J,"PLANNED")&gt;0,"tied","standalone"),"")</f>
        <v>standalone</v>
      </c>
    </row>
    <row r="4736" spans="1:14">
      <c r="A4736" s="6">
        <v>2024</v>
      </c>
      <c r="B4736" s="6">
        <v>11</v>
      </c>
      <c r="C4736" s="6" t="s">
        <v>70</v>
      </c>
      <c r="D4736" s="6" t="s">
        <v>788</v>
      </c>
      <c r="E4736" s="6" t="s">
        <v>602</v>
      </c>
      <c r="F4736" s="6" t="str">
        <f>IF($M4736="PADD I","PADD 1",IF($M4736="PADD II","PADD 2",IF($M4736="PADD III","PADD 3",IF($M4736="PADD IV","PADD 4",IF($M4736="PADD V","PADD 5","")))))</f>
        <v>PADD 3</v>
      </c>
      <c r="G4736" s="6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6" t="s">
        <v>428</v>
      </c>
      <c r="I4736" s="6" t="s">
        <v>481</v>
      </c>
      <c r="J4736" s="6" t="s">
        <v>398</v>
      </c>
      <c r="K4736" s="10">
        <v>24</v>
      </c>
      <c r="L4736" s="10">
        <v>24</v>
      </c>
      <c r="M4736" s="6" t="s">
        <v>421</v>
      </c>
      <c r="N4736" s="6">
        <f>IF(OR($G4736="FCC",$G4736="Hydrocracker",$G4736="Reformer"),IF(COUNTIFS($D:$D,$D4736,$A:$A,$A4736,$B:$B,$B4736,$G:$G,"CDU",$J:$J,"PLANNED")&gt;0,"tied","standalone"),"")</f>
        <v/>
      </c>
    </row>
    <row r="4737" spans="1:14">
      <c r="A4737" s="6">
        <v>2024</v>
      </c>
      <c r="B4737" s="6">
        <v>11</v>
      </c>
      <c r="C4737" s="6" t="s">
        <v>70</v>
      </c>
      <c r="D4737" s="6" t="s">
        <v>838</v>
      </c>
      <c r="E4737" s="6" t="s">
        <v>455</v>
      </c>
      <c r="F4737" s="6" t="str">
        <f>IF($M4737="PADD I","PADD 1",IF($M4737="PADD II","PADD 2",IF($M4737="PADD III","PADD 3",IF($M4737="PADD IV","PADD 4",IF($M4737="PADD V","PADD 5","")))))</f>
        <v>PADD 3</v>
      </c>
      <c r="G4737" s="6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6" t="s">
        <v>471</v>
      </c>
      <c r="I4737" s="6" t="s">
        <v>832</v>
      </c>
      <c r="J4737" s="6" t="s">
        <v>394</v>
      </c>
      <c r="K4737" s="10">
        <v>23.36</v>
      </c>
      <c r="L4737" s="10">
        <v>32</v>
      </c>
      <c r="M4737" s="6" t="s">
        <v>421</v>
      </c>
      <c r="N4737" s="6" t="str">
        <f>IF(OR($G4737="FCC",$G4737="Hydrocracker",$G4737="Reformer"),IF(COUNTIFS($D:$D,$D4737,$A:$A,$A4737,$B:$B,$B4737,$G:$G,"CDU",$J:$J,"PLANNED")&gt;0,"tied","standalone"),"")</f>
        <v>standalone</v>
      </c>
    </row>
    <row r="4738" spans="1:14">
      <c r="A4738" s="6">
        <v>2024</v>
      </c>
      <c r="B4738" s="6">
        <v>11</v>
      </c>
      <c r="C4738" s="6" t="s">
        <v>70</v>
      </c>
      <c r="D4738" s="6" t="s">
        <v>496</v>
      </c>
      <c r="E4738" s="6" t="s">
        <v>441</v>
      </c>
      <c r="F4738" s="6" t="str">
        <f>IF($M4738="PADD I","PADD 1",IF($M4738="PADD II","PADD 2",IF($M4738="PADD III","PADD 3",IF($M4738="PADD IV","PADD 4",IF($M4738="PADD V","PADD 5","")))))</f>
        <v>PADD 3</v>
      </c>
      <c r="G4738" s="6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6" t="s">
        <v>471</v>
      </c>
      <c r="I4738" s="6" t="s">
        <v>533</v>
      </c>
      <c r="J4738" s="6" t="s">
        <v>398</v>
      </c>
      <c r="K4738" s="10">
        <v>21.6</v>
      </c>
      <c r="L4738" s="10">
        <v>24</v>
      </c>
      <c r="M4738" s="6" t="s">
        <v>421</v>
      </c>
      <c r="N4738" s="6" t="str">
        <f>IF(OR($G4738="FCC",$G4738="Hydrocracker",$G4738="Reformer"),IF(COUNTIFS($D:$D,$D4738,$A:$A,$A4738,$B:$B,$B4738,$G:$G,"CDU",$J:$J,"PLANNED")&gt;0,"tied","standalone"),"")</f>
        <v>tied</v>
      </c>
    </row>
    <row r="4739" spans="1:14">
      <c r="A4739" s="6">
        <v>2024</v>
      </c>
      <c r="B4739" s="6">
        <v>11</v>
      </c>
      <c r="C4739" s="6" t="s">
        <v>70</v>
      </c>
      <c r="D4739" s="6" t="s">
        <v>725</v>
      </c>
      <c r="E4739" s="6" t="s">
        <v>502</v>
      </c>
      <c r="F4739" s="6" t="str">
        <f>IF($M4739="PADD I","PADD 1",IF($M4739="PADD II","PADD 2",IF($M4739="PADD III","PADD 3",IF($M4739="PADD IV","PADD 4",IF($M4739="PADD V","PADD 5","")))))</f>
        <v>PADD 2</v>
      </c>
      <c r="G4739" s="6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6" t="s">
        <v>44</v>
      </c>
      <c r="I4739" s="6" t="s">
        <v>1192</v>
      </c>
      <c r="J4739" s="6" t="s">
        <v>394</v>
      </c>
      <c r="K4739" s="10">
        <v>21.15</v>
      </c>
      <c r="L4739" s="10">
        <v>45</v>
      </c>
      <c r="M4739" s="6" t="s">
        <v>425</v>
      </c>
      <c r="N4739" s="6">
        <f>IF(OR($G4739="FCC",$G4739="Hydrocracker",$G4739="Reformer"),IF(COUNTIFS($D:$D,$D4739,$A:$A,$A4739,$B:$B,$B4739,$G:$G,"CDU",$J:$J,"PLANNED")&gt;0,"tied","standalone"),"")</f>
        <v/>
      </c>
    </row>
    <row r="4740" spans="1:14">
      <c r="A4740" s="6">
        <v>2024</v>
      </c>
      <c r="B4740" s="6">
        <v>11</v>
      </c>
      <c r="C4740" s="6" t="s">
        <v>70</v>
      </c>
      <c r="D4740" s="6" t="s">
        <v>378</v>
      </c>
      <c r="E4740" s="6" t="s">
        <v>477</v>
      </c>
      <c r="F4740" s="6" t="str">
        <f>IF($M4740="PADD I","PADD 1",IF($M4740="PADD II","PADD 2",IF($M4740="PADD III","PADD 3",IF($M4740="PADD IV","PADD 4",IF($M4740="PADD V","PADD 5","")))))</f>
        <v>PADD 3</v>
      </c>
      <c r="G4740" s="6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6" t="s">
        <v>44</v>
      </c>
      <c r="I4740" s="6" t="s">
        <v>1292</v>
      </c>
      <c r="J4740" s="6" t="s">
        <v>398</v>
      </c>
      <c r="K4740" s="10">
        <v>20.1</v>
      </c>
      <c r="L4740" s="10">
        <v>30</v>
      </c>
      <c r="M4740" s="6" t="s">
        <v>421</v>
      </c>
      <c r="N4740" s="6">
        <f>IF(OR($G4740="FCC",$G4740="Hydrocracker",$G4740="Reformer"),IF(COUNTIFS($D:$D,$D4740,$A:$A,$A4740,$B:$B,$B4740,$G:$G,"CDU",$J:$J,"PLANNED")&gt;0,"tied","standalone"),"")</f>
        <v/>
      </c>
    </row>
    <row r="4741" spans="1:14">
      <c r="A4741" s="6">
        <v>2024</v>
      </c>
      <c r="B4741" s="6">
        <v>11</v>
      </c>
      <c r="C4741" s="6" t="s">
        <v>70</v>
      </c>
      <c r="D4741" s="6" t="s">
        <v>592</v>
      </c>
      <c r="E4741" s="6" t="s">
        <v>593</v>
      </c>
      <c r="F4741" s="6" t="str">
        <f>IF($M4741="PADD I","PADD 1",IF($M4741="PADD II","PADD 2",IF($M4741="PADD III","PADD 3",IF($M4741="PADD IV","PADD 4",IF($M4741="PADD V","PADD 5","")))))</f>
        <v>PADD 2</v>
      </c>
      <c r="G4741" s="6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6" t="s">
        <v>44</v>
      </c>
      <c r="I4741" s="6" t="s">
        <v>965</v>
      </c>
      <c r="J4741" s="6" t="s">
        <v>398</v>
      </c>
      <c r="K4741" s="10">
        <v>20</v>
      </c>
      <c r="L4741" s="10">
        <v>40</v>
      </c>
      <c r="M4741" s="6" t="s">
        <v>425</v>
      </c>
      <c r="N4741" s="6">
        <f>IF(OR($G4741="FCC",$G4741="Hydrocracker",$G4741="Reformer"),IF(COUNTIFS($D:$D,$D4741,$A:$A,$A4741,$B:$B,$B4741,$G:$G,"CDU",$J:$J,"PLANNED")&gt;0,"tied","standalone"),"")</f>
        <v/>
      </c>
    </row>
    <row r="4742" spans="1:14">
      <c r="A4742" s="6">
        <v>2024</v>
      </c>
      <c r="B4742" s="6">
        <v>11</v>
      </c>
      <c r="C4742" s="6" t="s">
        <v>70</v>
      </c>
      <c r="D4742" s="6" t="s">
        <v>52</v>
      </c>
      <c r="E4742" s="6" t="s">
        <v>441</v>
      </c>
      <c r="F4742" s="6" t="str">
        <f>IF($M4742="PADD I","PADD 1",IF($M4742="PADD II","PADD 2",IF($M4742="PADD III","PADD 3",IF($M4742="PADD IV","PADD 4",IF($M4742="PADD V","PADD 5","")))))</f>
        <v>PADD 5</v>
      </c>
      <c r="G4742" s="6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6" t="s">
        <v>44</v>
      </c>
      <c r="I4742" s="6" t="s">
        <v>1270</v>
      </c>
      <c r="J4742" s="6" t="s">
        <v>398</v>
      </c>
      <c r="K4742" s="10">
        <v>19.95</v>
      </c>
      <c r="L4742" s="10">
        <v>35</v>
      </c>
      <c r="M4742" s="6" t="s">
        <v>436</v>
      </c>
      <c r="N4742" s="6">
        <f>IF(OR($G4742="FCC",$G4742="Hydrocracker",$G4742="Reformer"),IF(COUNTIFS($D:$D,$D4742,$A:$A,$A4742,$B:$B,$B4742,$G:$G,"CDU",$J:$J,"PLANNED")&gt;0,"tied","standalone"),"")</f>
        <v/>
      </c>
    </row>
    <row r="4743" spans="1:14">
      <c r="A4743" s="6">
        <v>2024</v>
      </c>
      <c r="B4743" s="6">
        <v>11</v>
      </c>
      <c r="C4743" s="6" t="s">
        <v>70</v>
      </c>
      <c r="D4743" s="6" t="s">
        <v>437</v>
      </c>
      <c r="E4743" s="6" t="s">
        <v>438</v>
      </c>
      <c r="F4743" s="6" t="str">
        <f>IF($M4743="PADD I","PADD 1",IF($M4743="PADD II","PADD 2",IF($M4743="PADD III","PADD 3",IF($M4743="PADD IV","PADD 4",IF($M4743="PADD V","PADD 5","")))))</f>
        <v>PADD 3</v>
      </c>
      <c r="G4743" s="6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6" t="s">
        <v>494</v>
      </c>
      <c r="I4743" s="6" t="s">
        <v>526</v>
      </c>
      <c r="J4743" s="6" t="s">
        <v>398</v>
      </c>
      <c r="K4743" s="10">
        <v>19.8</v>
      </c>
      <c r="L4743" s="10">
        <v>60</v>
      </c>
      <c r="M4743" s="6" t="s">
        <v>421</v>
      </c>
      <c r="N4743" s="6" t="str">
        <f>IF(OR($G4743="FCC",$G4743="Hydrocracker",$G4743="Reformer"),IF(COUNTIFS($D:$D,$D4743,$A:$A,$A4743,$B:$B,$B4743,$G:$G,"CDU",$J:$J,"PLANNED")&gt;0,"tied","standalone"),"")</f>
        <v>standalone</v>
      </c>
    </row>
    <row r="4744" spans="1:14">
      <c r="A4744" s="6">
        <v>2024</v>
      </c>
      <c r="B4744" s="6">
        <v>11</v>
      </c>
      <c r="C4744" s="6" t="s">
        <v>70</v>
      </c>
      <c r="D4744" s="6" t="s">
        <v>725</v>
      </c>
      <c r="E4744" s="6" t="s">
        <v>502</v>
      </c>
      <c r="F4744" s="6" t="str">
        <f>IF($M4744="PADD I","PADD 1",IF($M4744="PADD II","PADD 2",IF($M4744="PADD III","PADD 3",IF($M4744="PADD IV","PADD 4",IF($M4744="PADD V","PADD 5","")))))</f>
        <v>PADD 2</v>
      </c>
      <c r="G4744" s="6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6" t="s">
        <v>426</v>
      </c>
      <c r="I4744" s="6" t="s">
        <v>106</v>
      </c>
      <c r="J4744" s="6" t="s">
        <v>398</v>
      </c>
      <c r="K4744" s="10">
        <v>19.5</v>
      </c>
      <c r="L4744" s="10">
        <v>39</v>
      </c>
      <c r="M4744" s="6" t="s">
        <v>425</v>
      </c>
      <c r="N4744" s="6" t="str">
        <f>IF(OR($G4744="FCC",$G4744="Hydrocracker",$G4744="Reformer"),IF(COUNTIFS($D:$D,$D4744,$A:$A,$A4744,$B:$B,$B4744,$G:$G,"CDU",$J:$J,"PLANNED")&gt;0,"tied","standalone"),"")</f>
        <v>tied</v>
      </c>
    </row>
    <row r="4745" spans="1:14">
      <c r="A4745" s="6">
        <v>2024</v>
      </c>
      <c r="B4745" s="6">
        <v>11</v>
      </c>
      <c r="C4745" s="6" t="s">
        <v>70</v>
      </c>
      <c r="D4745" s="6" t="s">
        <v>561</v>
      </c>
      <c r="E4745" s="6" t="s">
        <v>455</v>
      </c>
      <c r="F4745" s="6" t="str">
        <f>IF($M4745="PADD I","PADD 1",IF($M4745="PADD II","PADD 2",IF($M4745="PADD III","PADD 3",IF($M4745="PADD IV","PADD 4",IF($M4745="PADD V","PADD 5","")))))</f>
        <v>PADD 3</v>
      </c>
      <c r="G4745" s="6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6" t="s">
        <v>494</v>
      </c>
      <c r="I4745" s="6" t="s">
        <v>14</v>
      </c>
      <c r="J4745" s="6" t="s">
        <v>394</v>
      </c>
      <c r="K4745" s="10">
        <v>18.5</v>
      </c>
      <c r="L4745" s="10">
        <v>50</v>
      </c>
      <c r="M4745" s="6" t="s">
        <v>421</v>
      </c>
      <c r="N4745" s="6" t="str">
        <f>IF(OR($G4745="FCC",$G4745="Hydrocracker",$G4745="Reformer"),IF(COUNTIFS($D:$D,$D4745,$A:$A,$A4745,$B:$B,$B4745,$G:$G,"CDU",$J:$J,"PLANNED")&gt;0,"tied","standalone"),"")</f>
        <v>standalone</v>
      </c>
    </row>
    <row r="4746" spans="1:14">
      <c r="A4746" s="6">
        <v>2024</v>
      </c>
      <c r="B4746" s="6">
        <v>11</v>
      </c>
      <c r="C4746" s="6" t="s">
        <v>70</v>
      </c>
      <c r="D4746" s="6" t="s">
        <v>373</v>
      </c>
      <c r="E4746" s="6" t="s">
        <v>438</v>
      </c>
      <c r="F4746" s="6" t="str">
        <f>IF($M4746="PADD I","PADD 1",IF($M4746="PADD II","PADD 2",IF($M4746="PADD III","PADD 3",IF($M4746="PADD IV","PADD 4",IF($M4746="PADD V","PADD 5","")))))</f>
        <v>PADD 3</v>
      </c>
      <c r="G4746" s="6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6" t="s">
        <v>44</v>
      </c>
      <c r="I4746" s="6" t="s">
        <v>732</v>
      </c>
      <c r="J4746" s="6" t="s">
        <v>394</v>
      </c>
      <c r="K4746" s="10">
        <v>18.02</v>
      </c>
      <c r="L4746" s="10">
        <v>106</v>
      </c>
      <c r="M4746" s="6" t="s">
        <v>421</v>
      </c>
      <c r="N4746" s="6">
        <f>IF(OR($G4746="FCC",$G4746="Hydrocracker",$G4746="Reformer"),IF(COUNTIFS($D:$D,$D4746,$A:$A,$A4746,$B:$B,$B4746,$G:$G,"CDU",$J:$J,"PLANNED")&gt;0,"tied","standalone"),"")</f>
        <v/>
      </c>
    </row>
    <row r="4747" spans="1:14">
      <c r="A4747" s="6">
        <v>2024</v>
      </c>
      <c r="B4747" s="6">
        <v>11</v>
      </c>
      <c r="C4747" s="6" t="s">
        <v>70</v>
      </c>
      <c r="D4747" s="6" t="s">
        <v>496</v>
      </c>
      <c r="E4747" s="6" t="s">
        <v>441</v>
      </c>
      <c r="F4747" s="6" t="str">
        <f>IF($M4747="PADD I","PADD 1",IF($M4747="PADD II","PADD 2",IF($M4747="PADD III","PADD 3",IF($M4747="PADD IV","PADD 4",IF($M4747="PADD V","PADD 5","")))))</f>
        <v>PADD 3</v>
      </c>
      <c r="G4747" s="6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6" t="s">
        <v>44</v>
      </c>
      <c r="I4747" s="6" t="s">
        <v>444</v>
      </c>
      <c r="J4747" s="6" t="s">
        <v>398</v>
      </c>
      <c r="K4747" s="10">
        <v>18</v>
      </c>
      <c r="L4747" s="10">
        <v>20</v>
      </c>
      <c r="M4747" s="6" t="s">
        <v>421</v>
      </c>
      <c r="N4747" s="6">
        <f>IF(OR($G4747="FCC",$G4747="Hydrocracker",$G4747="Reformer"),IF(COUNTIFS($D:$D,$D4747,$A:$A,$A4747,$B:$B,$B4747,$G:$G,"CDU",$J:$J,"PLANNED")&gt;0,"tied","standalone"),"")</f>
        <v/>
      </c>
    </row>
    <row r="4748" spans="1:14">
      <c r="A4748" s="6">
        <v>2024</v>
      </c>
      <c r="B4748" s="6">
        <v>11</v>
      </c>
      <c r="C4748" s="6" t="s">
        <v>70</v>
      </c>
      <c r="D4748" s="6" t="s">
        <v>52</v>
      </c>
      <c r="E4748" s="6" t="s">
        <v>441</v>
      </c>
      <c r="F4748" s="6" t="str">
        <f>IF($M4748="PADD I","PADD 1",IF($M4748="PADD II","PADD 2",IF($M4748="PADD III","PADD 3",IF($M4748="PADD IV","PADD 4",IF($M4748="PADD V","PADD 5","")))))</f>
        <v>PADD 5</v>
      </c>
      <c r="G4748" s="6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6" t="s">
        <v>471</v>
      </c>
      <c r="I4748" s="6" t="s">
        <v>589</v>
      </c>
      <c r="J4748" s="6" t="s">
        <v>394</v>
      </c>
      <c r="K4748" s="10">
        <v>18</v>
      </c>
      <c r="L4748" s="10">
        <v>60</v>
      </c>
      <c r="M4748" s="6" t="s">
        <v>436</v>
      </c>
      <c r="N4748" s="6" t="str">
        <f>IF(OR($G4748="FCC",$G4748="Hydrocracker",$G4748="Reformer"),IF(COUNTIFS($D:$D,$D4748,$A:$A,$A4748,$B:$B,$B4748,$G:$G,"CDU",$J:$J,"PLANNED")&gt;0,"tied","standalone"),"")</f>
        <v>standalone</v>
      </c>
    </row>
    <row r="4749" spans="1:14">
      <c r="A4749" s="6">
        <v>2024</v>
      </c>
      <c r="B4749" s="6">
        <v>11</v>
      </c>
      <c r="C4749" s="6" t="s">
        <v>70</v>
      </c>
      <c r="D4749" s="6" t="s">
        <v>788</v>
      </c>
      <c r="E4749" s="6" t="s">
        <v>602</v>
      </c>
      <c r="F4749" s="6" t="str">
        <f>IF($M4749="PADD I","PADD 1",IF($M4749="PADD II","PADD 2",IF($M4749="PADD III","PADD 3",IF($M4749="PADD IV","PADD 4",IF($M4749="PADD V","PADD 5","")))))</f>
        <v>PADD 3</v>
      </c>
      <c r="G4749" s="6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6" t="s">
        <v>44</v>
      </c>
      <c r="I4749" s="6" t="s">
        <v>508</v>
      </c>
      <c r="J4749" s="6" t="s">
        <v>398</v>
      </c>
      <c r="K4749" s="10">
        <v>18</v>
      </c>
      <c r="L4749" s="10">
        <v>18</v>
      </c>
      <c r="M4749" s="6" t="s">
        <v>421</v>
      </c>
      <c r="N4749" s="6">
        <f>IF(OR($G4749="FCC",$G4749="Hydrocracker",$G4749="Reformer"),IF(COUNTIFS($D:$D,$D4749,$A:$A,$A4749,$B:$B,$B4749,$G:$G,"CDU",$J:$J,"PLANNED")&gt;0,"tied","standalone"),"")</f>
        <v/>
      </c>
    </row>
    <row r="4750" spans="1:14">
      <c r="A4750" s="6">
        <v>2024</v>
      </c>
      <c r="B4750" s="6">
        <v>11</v>
      </c>
      <c r="C4750" s="6" t="s">
        <v>70</v>
      </c>
      <c r="D4750" s="6" t="s">
        <v>52</v>
      </c>
      <c r="E4750" s="6" t="s">
        <v>441</v>
      </c>
      <c r="F4750" s="6" t="str">
        <f>IF($M4750="PADD I","PADD 1",IF($M4750="PADD II","PADD 2",IF($M4750="PADD III","PADD 3",IF($M4750="PADD IV","PADD 4",IF($M4750="PADD V","PADD 5","")))))</f>
        <v>PADD 5</v>
      </c>
      <c r="G4750" s="6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6" t="s">
        <v>510</v>
      </c>
      <c r="I4750" s="6" t="s">
        <v>511</v>
      </c>
      <c r="J4750" s="6" t="s">
        <v>394</v>
      </c>
      <c r="K4750" s="10">
        <v>16.5</v>
      </c>
      <c r="L4750" s="10">
        <v>33</v>
      </c>
      <c r="M4750" s="6" t="s">
        <v>436</v>
      </c>
      <c r="N4750" s="6">
        <f>IF(OR($G4750="FCC",$G4750="Hydrocracker",$G4750="Reformer"),IF(COUNTIFS($D:$D,$D4750,$A:$A,$A4750,$B:$B,$B4750,$G:$G,"CDU",$J:$J,"PLANNED")&gt;0,"tied","standalone"),"")</f>
        <v/>
      </c>
    </row>
    <row r="4751" spans="1:14">
      <c r="A4751" s="6">
        <v>2024</v>
      </c>
      <c r="B4751" s="6">
        <v>11</v>
      </c>
      <c r="C4751" s="6" t="s">
        <v>70</v>
      </c>
      <c r="D4751" s="6" t="s">
        <v>51</v>
      </c>
      <c r="E4751" s="6" t="s">
        <v>431</v>
      </c>
      <c r="F4751" s="6" t="str">
        <f>IF($M4751="PADD I","PADD 1",IF($M4751="PADD II","PADD 2",IF($M4751="PADD III","PADD 3",IF($M4751="PADD IV","PADD 4",IF($M4751="PADD V","PADD 5","")))))</f>
        <v>PADD 3</v>
      </c>
      <c r="G4751" s="6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6" t="s">
        <v>494</v>
      </c>
      <c r="I4751" s="6" t="s">
        <v>1245</v>
      </c>
      <c r="J4751" s="6" t="s">
        <v>394</v>
      </c>
      <c r="K4751" s="10">
        <v>15.96</v>
      </c>
      <c r="L4751" s="10">
        <v>28</v>
      </c>
      <c r="M4751" s="6" t="s">
        <v>421</v>
      </c>
      <c r="N4751" s="6" t="str">
        <f>IF(OR($G4751="FCC",$G4751="Hydrocracker",$G4751="Reformer"),IF(COUNTIFS($D:$D,$D4751,$A:$A,$A4751,$B:$B,$B4751,$G:$G,"CDU",$J:$J,"PLANNED")&gt;0,"tied","standalone"),"")</f>
        <v>standalone</v>
      </c>
    </row>
    <row r="4752" spans="1:14">
      <c r="A4752" s="6">
        <v>2024</v>
      </c>
      <c r="B4752" s="6">
        <v>11</v>
      </c>
      <c r="C4752" s="6" t="s">
        <v>70</v>
      </c>
      <c r="D4752" s="6" t="s">
        <v>384</v>
      </c>
      <c r="E4752" s="6" t="s">
        <v>419</v>
      </c>
      <c r="F4752" s="6" t="str">
        <f>IF($M4752="PADD I","PADD 1",IF($M4752="PADD II","PADD 2",IF($M4752="PADD III","PADD 3",IF($M4752="PADD IV","PADD 4",IF($M4752="PADD V","PADD 5","")))))</f>
        <v>PADD 3</v>
      </c>
      <c r="G4752" s="6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6" t="s">
        <v>426</v>
      </c>
      <c r="I4752" s="6" t="s">
        <v>522</v>
      </c>
      <c r="J4752" s="6" t="s">
        <v>394</v>
      </c>
      <c r="K4752" s="10">
        <v>15.9</v>
      </c>
      <c r="L4752" s="10">
        <v>30</v>
      </c>
      <c r="M4752" s="6" t="s">
        <v>421</v>
      </c>
      <c r="N4752" s="6" t="str">
        <f>IF(OR($G4752="FCC",$G4752="Hydrocracker",$G4752="Reformer"),IF(COUNTIFS($D:$D,$D4752,$A:$A,$A4752,$B:$B,$B4752,$G:$G,"CDU",$J:$J,"PLANNED")&gt;0,"tied","standalone"),"")</f>
        <v>standalone</v>
      </c>
    </row>
    <row r="4753" spans="1:14">
      <c r="A4753" s="6">
        <v>2024</v>
      </c>
      <c r="B4753" s="6">
        <v>11</v>
      </c>
      <c r="C4753" s="6" t="s">
        <v>70</v>
      </c>
      <c r="D4753" s="6" t="s">
        <v>592</v>
      </c>
      <c r="E4753" s="6" t="s">
        <v>593</v>
      </c>
      <c r="F4753" s="6" t="str">
        <f>IF($M4753="PADD I","PADD 1",IF($M4753="PADD II","PADD 2",IF($M4753="PADD III","PADD 3",IF($M4753="PADD IV","PADD 4",IF($M4753="PADD V","PADD 5","")))))</f>
        <v>PADD 2</v>
      </c>
      <c r="G4753" s="6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6" t="s">
        <v>44</v>
      </c>
      <c r="I4753" s="6" t="s">
        <v>963</v>
      </c>
      <c r="J4753" s="6" t="s">
        <v>394</v>
      </c>
      <c r="K4753" s="10">
        <v>14.985</v>
      </c>
      <c r="L4753" s="10">
        <v>55.5</v>
      </c>
      <c r="M4753" s="6" t="s">
        <v>425</v>
      </c>
      <c r="N4753" s="6">
        <f>IF(OR($G4753="FCC",$G4753="Hydrocracker",$G4753="Reformer"),IF(COUNTIFS($D:$D,$D4753,$A:$A,$A4753,$B:$B,$B4753,$G:$G,"CDU",$J:$J,"PLANNED")&gt;0,"tied","standalone"),"")</f>
        <v/>
      </c>
    </row>
    <row r="4754" spans="1:14">
      <c r="A4754" s="6">
        <v>2024</v>
      </c>
      <c r="B4754" s="6">
        <v>11</v>
      </c>
      <c r="C4754" s="6" t="s">
        <v>70</v>
      </c>
      <c r="D4754" s="6" t="s">
        <v>788</v>
      </c>
      <c r="E4754" s="6" t="s">
        <v>602</v>
      </c>
      <c r="F4754" s="6" t="str">
        <f>IF($M4754="PADD I","PADD 1",IF($M4754="PADD II","PADD 2",IF($M4754="PADD III","PADD 3",IF($M4754="PADD IV","PADD 4",IF($M4754="PADD V","PADD 5","")))))</f>
        <v>PADD 3</v>
      </c>
      <c r="G4754" s="6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6" t="s">
        <v>471</v>
      </c>
      <c r="I4754" s="6" t="s">
        <v>15</v>
      </c>
      <c r="J4754" s="6" t="s">
        <v>398</v>
      </c>
      <c r="K4754" s="10">
        <v>13</v>
      </c>
      <c r="L4754" s="10">
        <v>13</v>
      </c>
      <c r="M4754" s="6" t="s">
        <v>421</v>
      </c>
      <c r="N4754" s="6" t="str">
        <f>IF(OR($G4754="FCC",$G4754="Hydrocracker",$G4754="Reformer"),IF(COUNTIFS($D:$D,$D4754,$A:$A,$A4754,$B:$B,$B4754,$G:$G,"CDU",$J:$J,"PLANNED")&gt;0,"tied","standalone"),"")</f>
        <v>tied</v>
      </c>
    </row>
    <row r="4755" spans="1:14">
      <c r="A4755" s="6">
        <v>2024</v>
      </c>
      <c r="B4755" s="6">
        <v>11</v>
      </c>
      <c r="C4755" s="6" t="s">
        <v>70</v>
      </c>
      <c r="D4755" s="6" t="s">
        <v>484</v>
      </c>
      <c r="E4755" s="6" t="s">
        <v>438</v>
      </c>
      <c r="F4755" s="6" t="str">
        <f>IF($M4755="PADD I","PADD 1",IF($M4755="PADD II","PADD 2",IF($M4755="PADD III","PADD 3",IF($M4755="PADD IV","PADD 4",IF($M4755="PADD V","PADD 5","")))))</f>
        <v>PADD 5</v>
      </c>
      <c r="G4755" s="6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6" t="s">
        <v>485</v>
      </c>
      <c r="I4755" s="6" t="s">
        <v>486</v>
      </c>
      <c r="J4755" s="6" t="s">
        <v>394</v>
      </c>
      <c r="K4755" s="10">
        <v>12.6</v>
      </c>
      <c r="L4755" s="10">
        <v>42</v>
      </c>
      <c r="M4755" s="6" t="s">
        <v>436</v>
      </c>
      <c r="N4755" s="6">
        <f>IF(OR($G4755="FCC",$G4755="Hydrocracker",$G4755="Reformer"),IF(COUNTIFS($D:$D,$D4755,$A:$A,$A4755,$B:$B,$B4755,$G:$G,"CDU",$J:$J,"PLANNED")&gt;0,"tied","standalone"),"")</f>
        <v/>
      </c>
    </row>
    <row r="4756" spans="1:14">
      <c r="A4756" s="6">
        <v>2024</v>
      </c>
      <c r="B4756" s="6">
        <v>11</v>
      </c>
      <c r="C4756" s="6" t="s">
        <v>70</v>
      </c>
      <c r="D4756" s="6" t="s">
        <v>445</v>
      </c>
      <c r="E4756" s="6" t="s">
        <v>446</v>
      </c>
      <c r="F4756" s="6" t="str">
        <f>IF($M4756="PADD I","PADD 1",IF($M4756="PADD II","PADD 2",IF($M4756="PADD III","PADD 3",IF($M4756="PADD IV","PADD 4",IF($M4756="PADD V","PADD 5","")))))</f>
        <v>PADD 3</v>
      </c>
      <c r="G4756" s="6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6" t="s">
        <v>471</v>
      </c>
      <c r="I4756" s="6" t="s">
        <v>588</v>
      </c>
      <c r="J4756" s="6" t="s">
        <v>398</v>
      </c>
      <c r="K4756" s="10">
        <v>12.393</v>
      </c>
      <c r="L4756" s="10">
        <v>45.9</v>
      </c>
      <c r="M4756" s="6" t="s">
        <v>421</v>
      </c>
      <c r="N4756" s="6" t="str">
        <f>IF(OR($G4756="FCC",$G4756="Hydrocracker",$G4756="Reformer"),IF(COUNTIFS($D:$D,$D4756,$A:$A,$A4756,$B:$B,$B4756,$G:$G,"CDU",$J:$J,"PLANNED")&gt;0,"tied","standalone"),"")</f>
        <v>standalone</v>
      </c>
    </row>
    <row r="4757" spans="1:14">
      <c r="A4757" s="6">
        <v>2024</v>
      </c>
      <c r="B4757" s="6">
        <v>11</v>
      </c>
      <c r="C4757" s="6" t="s">
        <v>70</v>
      </c>
      <c r="D4757" s="6" t="s">
        <v>395</v>
      </c>
      <c r="E4757" s="6" t="s">
        <v>433</v>
      </c>
      <c r="F4757" s="6" t="str">
        <f>IF($M4757="PADD I","PADD 1",IF($M4757="PADD II","PADD 2",IF($M4757="PADD III","PADD 3",IF($M4757="PADD IV","PADD 4",IF($M4757="PADD V","PADD 5","")))))</f>
        <v>PADD 2</v>
      </c>
      <c r="G4757" s="6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6" t="s">
        <v>471</v>
      </c>
      <c r="I4757" s="6" t="s">
        <v>521</v>
      </c>
      <c r="J4757" s="6" t="s">
        <v>394</v>
      </c>
      <c r="K4757" s="10">
        <v>12</v>
      </c>
      <c r="L4757" s="10">
        <v>30</v>
      </c>
      <c r="M4757" s="6" t="s">
        <v>425</v>
      </c>
      <c r="N4757" s="6" t="str">
        <f>IF(OR($G4757="FCC",$G4757="Hydrocracker",$G4757="Reformer"),IF(COUNTIFS($D:$D,$D4757,$A:$A,$A4757,$B:$B,$B4757,$G:$G,"CDU",$J:$J,"PLANNED")&gt;0,"tied","standalone"),"")</f>
        <v>standalone</v>
      </c>
    </row>
    <row r="4758" spans="1:14">
      <c r="A4758" s="6">
        <v>2024</v>
      </c>
      <c r="B4758" s="6">
        <v>11</v>
      </c>
      <c r="C4758" s="6" t="s">
        <v>70</v>
      </c>
      <c r="D4758" s="6" t="s">
        <v>592</v>
      </c>
      <c r="E4758" s="6" t="s">
        <v>593</v>
      </c>
      <c r="F4758" s="6" t="str">
        <f>IF($M4758="PADD I","PADD 1",IF($M4758="PADD II","PADD 2",IF($M4758="PADD III","PADD 3",IF($M4758="PADD IV","PADD 4",IF($M4758="PADD V","PADD 5","")))))</f>
        <v>PADD 2</v>
      </c>
      <c r="G4758" s="6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6" t="s">
        <v>471</v>
      </c>
      <c r="I4758" s="6" t="s">
        <v>1162</v>
      </c>
      <c r="J4758" s="6" t="s">
        <v>394</v>
      </c>
      <c r="K4758" s="10">
        <v>11.9</v>
      </c>
      <c r="L4758" s="10">
        <v>70</v>
      </c>
      <c r="M4758" s="6" t="s">
        <v>425</v>
      </c>
      <c r="N4758" s="6" t="str">
        <f>IF(OR($G4758="FCC",$G4758="Hydrocracker",$G4758="Reformer"),IF(COUNTIFS($D:$D,$D4758,$A:$A,$A4758,$B:$B,$B4758,$G:$G,"CDU",$J:$J,"PLANNED")&gt;0,"tied","standalone"),"")</f>
        <v>tied</v>
      </c>
    </row>
    <row r="4759" spans="1:14">
      <c r="A4759" s="6">
        <v>2024</v>
      </c>
      <c r="B4759" s="6">
        <v>11</v>
      </c>
      <c r="C4759" s="6" t="s">
        <v>70</v>
      </c>
      <c r="D4759" s="6" t="s">
        <v>445</v>
      </c>
      <c r="E4759" s="6" t="s">
        <v>446</v>
      </c>
      <c r="F4759" s="6" t="str">
        <f>IF($M4759="PADD I","PADD 1",IF($M4759="PADD II","PADD 2",IF($M4759="PADD III","PADD 3",IF($M4759="PADD IV","PADD 4",IF($M4759="PADD V","PADD 5","")))))</f>
        <v>PADD 3</v>
      </c>
      <c r="G4759" s="6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6" t="s">
        <v>44</v>
      </c>
      <c r="I4759" s="6" t="s">
        <v>601</v>
      </c>
      <c r="J4759" s="6" t="s">
        <v>398</v>
      </c>
      <c r="K4759" s="10">
        <v>11.043</v>
      </c>
      <c r="L4759" s="10">
        <v>40.9</v>
      </c>
      <c r="M4759" s="6" t="s">
        <v>421</v>
      </c>
      <c r="N4759" s="6">
        <f>IF(OR($G4759="FCC",$G4759="Hydrocracker",$G4759="Reformer"),IF(COUNTIFS($D:$D,$D4759,$A:$A,$A4759,$B:$B,$B4759,$G:$G,"CDU",$J:$J,"PLANNED")&gt;0,"tied","standalone"),"")</f>
        <v/>
      </c>
    </row>
    <row r="4760" spans="1:14">
      <c r="A4760" s="6">
        <v>2024</v>
      </c>
      <c r="B4760" s="6">
        <v>11</v>
      </c>
      <c r="C4760" s="6" t="s">
        <v>70</v>
      </c>
      <c r="D4760" s="6" t="s">
        <v>725</v>
      </c>
      <c r="E4760" s="6" t="s">
        <v>502</v>
      </c>
      <c r="F4760" s="6" t="str">
        <f>IF($M4760="PADD I","PADD 1",IF($M4760="PADD II","PADD 2",IF($M4760="PADD III","PADD 3",IF($M4760="PADD IV","PADD 4",IF($M4760="PADD V","PADD 5","")))))</f>
        <v>PADD 2</v>
      </c>
      <c r="G4760" s="6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6" t="s">
        <v>485</v>
      </c>
      <c r="I4760" s="6" t="s">
        <v>491</v>
      </c>
      <c r="J4760" s="6" t="s">
        <v>398</v>
      </c>
      <c r="K4760" s="10">
        <v>10.25</v>
      </c>
      <c r="L4760" s="10">
        <v>20.5</v>
      </c>
      <c r="M4760" s="6" t="s">
        <v>425</v>
      </c>
      <c r="N4760" s="6">
        <f>IF(OR($G4760="FCC",$G4760="Hydrocracker",$G4760="Reformer"),IF(COUNTIFS($D:$D,$D4760,$A:$A,$A4760,$B:$B,$B4760,$G:$G,"CDU",$J:$J,"PLANNED")&gt;0,"tied","standalone"),"")</f>
        <v/>
      </c>
    </row>
    <row r="4761" spans="1:14">
      <c r="A4761" s="6">
        <v>2024</v>
      </c>
      <c r="B4761" s="6">
        <v>11</v>
      </c>
      <c r="C4761" s="6" t="s">
        <v>70</v>
      </c>
      <c r="D4761" s="6" t="s">
        <v>378</v>
      </c>
      <c r="E4761" s="6" t="s">
        <v>477</v>
      </c>
      <c r="F4761" s="6" t="str">
        <f>IF($M4761="PADD I","PADD 1",IF($M4761="PADD II","PADD 2",IF($M4761="PADD III","PADD 3",IF($M4761="PADD IV","PADD 4",IF($M4761="PADD V","PADD 5","")))))</f>
        <v>PADD 3</v>
      </c>
      <c r="G4761" s="6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6" t="s">
        <v>485</v>
      </c>
      <c r="I4761" s="6" t="s">
        <v>1298</v>
      </c>
      <c r="J4761" s="6" t="s">
        <v>398</v>
      </c>
      <c r="K4761" s="10">
        <v>10.05</v>
      </c>
      <c r="L4761" s="10">
        <v>15</v>
      </c>
      <c r="M4761" s="6" t="s">
        <v>421</v>
      </c>
      <c r="N4761" s="6">
        <f>IF(OR($G4761="FCC",$G4761="Hydrocracker",$G4761="Reformer"),IF(COUNTIFS($D:$D,$D4761,$A:$A,$A4761,$B:$B,$B4761,$G:$G,"CDU",$J:$J,"PLANNED")&gt;0,"tied","standalone"),"")</f>
        <v/>
      </c>
    </row>
    <row r="4762" spans="1:14">
      <c r="A4762" s="6">
        <v>2024</v>
      </c>
      <c r="B4762" s="6">
        <v>11</v>
      </c>
      <c r="C4762" s="6" t="s">
        <v>70</v>
      </c>
      <c r="D4762" s="6" t="s">
        <v>507</v>
      </c>
      <c r="E4762" s="6" t="s">
        <v>438</v>
      </c>
      <c r="F4762" s="6" t="str">
        <f>IF($M4762="PADD I","PADD 1",IF($M4762="PADD II","PADD 2",IF($M4762="PADD III","PADD 3",IF($M4762="PADD IV","PADD 4",IF($M4762="PADD V","PADD 5","")))))</f>
        <v>PADD 5</v>
      </c>
      <c r="G4762" s="6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6" t="s">
        <v>471</v>
      </c>
      <c r="I4762" s="6" t="s">
        <v>609</v>
      </c>
      <c r="J4762" s="6" t="s">
        <v>394</v>
      </c>
      <c r="K4762" s="10">
        <v>10</v>
      </c>
      <c r="L4762" s="10">
        <v>20</v>
      </c>
      <c r="M4762" s="6" t="s">
        <v>436</v>
      </c>
      <c r="N4762" s="6" t="str">
        <f>IF(OR($G4762="FCC",$G4762="Hydrocracker",$G4762="Reformer"),IF(COUNTIFS($D:$D,$D4762,$A:$A,$A4762,$B:$B,$B4762,$G:$G,"CDU",$J:$J,"PLANNED")&gt;0,"tied","standalone"),"")</f>
        <v>standalone</v>
      </c>
    </row>
    <row r="4763" spans="1:14">
      <c r="A4763" s="6">
        <v>2024</v>
      </c>
      <c r="B4763" s="6">
        <v>11</v>
      </c>
      <c r="C4763" s="6" t="s">
        <v>70</v>
      </c>
      <c r="D4763" s="6" t="s">
        <v>1191</v>
      </c>
      <c r="E4763" s="6" t="s">
        <v>1129</v>
      </c>
      <c r="F4763" s="6" t="str">
        <f>IF($M4763="PADD I","PADD 1",IF($M4763="PADD II","PADD 2",IF($M4763="PADD III","PADD 3",IF($M4763="PADD IV","PADD 4",IF($M4763="PADD V","PADD 5","")))))</f>
        <v>PADD 3</v>
      </c>
      <c r="G4763" s="6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6" t="s">
        <v>39</v>
      </c>
      <c r="I4763" s="6" t="s">
        <v>132</v>
      </c>
      <c r="J4763" s="6" t="s">
        <v>398</v>
      </c>
      <c r="K4763" s="10">
        <v>9.199999999999999</v>
      </c>
      <c r="L4763" s="10">
        <v>40</v>
      </c>
      <c r="M4763" s="6" t="s">
        <v>421</v>
      </c>
      <c r="N4763" s="6">
        <f>IF(OR($G4763="FCC",$G4763="Hydrocracker",$G4763="Reformer"),IF(COUNTIFS($D:$D,$D4763,$A:$A,$A4763,$B:$B,$B4763,$G:$G,"CDU",$J:$J,"PLANNED")&gt;0,"tied","standalone"),"")</f>
        <v/>
      </c>
    </row>
    <row r="4764" spans="1:14">
      <c r="A4764" s="6">
        <v>2024</v>
      </c>
      <c r="B4764" s="6">
        <v>11</v>
      </c>
      <c r="C4764" s="6" t="s">
        <v>70</v>
      </c>
      <c r="D4764" s="6" t="s">
        <v>378</v>
      </c>
      <c r="E4764" s="6" t="s">
        <v>477</v>
      </c>
      <c r="F4764" s="6" t="str">
        <f>IF($M4764="PADD I","PADD 1",IF($M4764="PADD II","PADD 2",IF($M4764="PADD III","PADD 3",IF($M4764="PADD IV","PADD 4",IF($M4764="PADD V","PADD 5","")))))</f>
        <v>PADD 3</v>
      </c>
      <c r="G4764" s="6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6" t="s">
        <v>44</v>
      </c>
      <c r="I4764" s="6" t="s">
        <v>612</v>
      </c>
      <c r="J4764" s="6" t="s">
        <v>398</v>
      </c>
      <c r="K4764" s="10">
        <v>9.045</v>
      </c>
      <c r="L4764" s="10">
        <v>13.5</v>
      </c>
      <c r="M4764" s="6" t="s">
        <v>421</v>
      </c>
      <c r="N4764" s="6">
        <f>IF(OR($G4764="FCC",$G4764="Hydrocracker",$G4764="Reformer"),IF(COUNTIFS($D:$D,$D4764,$A:$A,$A4764,$B:$B,$B4764,$G:$G,"CDU",$J:$J,"PLANNED")&gt;0,"tied","standalone"),"")</f>
        <v/>
      </c>
    </row>
    <row r="4765" spans="1:14">
      <c r="A4765" s="6">
        <v>2024</v>
      </c>
      <c r="B4765" s="6">
        <v>11</v>
      </c>
      <c r="C4765" s="6" t="s">
        <v>70</v>
      </c>
      <c r="D4765" s="6" t="s">
        <v>445</v>
      </c>
      <c r="E4765" s="6" t="s">
        <v>446</v>
      </c>
      <c r="F4765" s="6" t="str">
        <f>IF($M4765="PADD I","PADD 1",IF($M4765="PADD II","PADD 2",IF($M4765="PADD III","PADD 3",IF($M4765="PADD IV","PADD 4",IF($M4765="PADD V","PADD 5","")))))</f>
        <v>PADD 3</v>
      </c>
      <c r="G4765" s="6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6" t="s">
        <v>471</v>
      </c>
      <c r="I4765" s="6" t="s">
        <v>590</v>
      </c>
      <c r="J4765" s="6" t="s">
        <v>394</v>
      </c>
      <c r="K4765" s="10">
        <v>9</v>
      </c>
      <c r="L4765" s="10">
        <v>30</v>
      </c>
      <c r="M4765" s="6" t="s">
        <v>421</v>
      </c>
      <c r="N4765" s="6" t="str">
        <f>IF(OR($G4765="FCC",$G4765="Hydrocracker",$G4765="Reformer"),IF(COUNTIFS($D:$D,$D4765,$A:$A,$A4765,$B:$B,$B4765,$G:$G,"CDU",$J:$J,"PLANNED")&gt;0,"tied","standalone"),"")</f>
        <v>standalone</v>
      </c>
    </row>
    <row r="4766" spans="1:14">
      <c r="A4766" s="6">
        <v>2024</v>
      </c>
      <c r="B4766" s="6">
        <v>11</v>
      </c>
      <c r="C4766" s="6" t="s">
        <v>70</v>
      </c>
      <c r="D4766" s="6" t="s">
        <v>515</v>
      </c>
      <c r="E4766" s="6" t="s">
        <v>419</v>
      </c>
      <c r="F4766" s="6" t="str">
        <f>IF($M4766="PADD I","PADD 1",IF($M4766="PADD II","PADD 2",IF($M4766="PADD III","PADD 3",IF($M4766="PADD IV","PADD 4",IF($M4766="PADD V","PADD 5","")))))</f>
        <v>PADD 5</v>
      </c>
      <c r="G4766" s="6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6" t="s">
        <v>44</v>
      </c>
      <c r="I4766" s="6" t="s">
        <v>719</v>
      </c>
      <c r="J4766" s="6" t="s">
        <v>398</v>
      </c>
      <c r="K4766" s="10">
        <v>8.93</v>
      </c>
      <c r="L4766" s="10">
        <v>19</v>
      </c>
      <c r="M4766" s="6" t="s">
        <v>436</v>
      </c>
      <c r="N4766" s="6">
        <f>IF(OR($G4766="FCC",$G4766="Hydrocracker",$G4766="Reformer"),IF(COUNTIFS($D:$D,$D4766,$A:$A,$A4766,$B:$B,$B4766,$G:$G,"CDU",$J:$J,"PLANNED")&gt;0,"tied","standalone"),"")</f>
        <v/>
      </c>
    </row>
    <row r="4767" spans="1:14">
      <c r="A4767" s="6">
        <v>2024</v>
      </c>
      <c r="B4767" s="6">
        <v>11</v>
      </c>
      <c r="C4767" s="6" t="s">
        <v>70</v>
      </c>
      <c r="D4767" s="6" t="s">
        <v>581</v>
      </c>
      <c r="E4767" s="6" t="s">
        <v>582</v>
      </c>
      <c r="F4767" s="6" t="str">
        <f>IF($M4767="PADD I","PADD 1",IF($M4767="PADD II","PADD 2",IF($M4767="PADD III","PADD 3",IF($M4767="PADD IV","PADD 4",IF($M4767="PADD V","PADD 5","")))))</f>
        <v>PADD 5</v>
      </c>
      <c r="G4767" s="6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6" t="s">
        <v>485</v>
      </c>
      <c r="I4767" s="6" t="s">
        <v>649</v>
      </c>
      <c r="J4767" s="6" t="s">
        <v>398</v>
      </c>
      <c r="K4767" s="10">
        <v>8.25</v>
      </c>
      <c r="L4767" s="10">
        <v>8.25</v>
      </c>
      <c r="M4767" s="6" t="s">
        <v>436</v>
      </c>
      <c r="N4767" s="6">
        <f>IF(OR($G4767="FCC",$G4767="Hydrocracker",$G4767="Reformer"),IF(COUNTIFS($D:$D,$D4767,$A:$A,$A4767,$B:$B,$B4767,$G:$G,"CDU",$J:$J,"PLANNED")&gt;0,"tied","standalone"),"")</f>
        <v/>
      </c>
    </row>
    <row r="4768" spans="1:14">
      <c r="A4768" s="6">
        <v>2024</v>
      </c>
      <c r="B4768" s="6">
        <v>11</v>
      </c>
      <c r="C4768" s="6" t="s">
        <v>70</v>
      </c>
      <c r="D4768" s="6" t="s">
        <v>380</v>
      </c>
      <c r="E4768" s="6" t="s">
        <v>423</v>
      </c>
      <c r="F4768" s="6" t="str">
        <f>IF($M4768="PADD I","PADD 1",IF($M4768="PADD II","PADD 2",IF($M4768="PADD III","PADD 3",IF($M4768="PADD IV","PADD 4",IF($M4768="PADD V","PADD 5","")))))</f>
        <v>PADD 2</v>
      </c>
      <c r="G4768" s="6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6" t="s">
        <v>426</v>
      </c>
      <c r="I4768" s="6" t="s">
        <v>106</v>
      </c>
      <c r="J4768" s="6" t="s">
        <v>398</v>
      </c>
      <c r="K4768" s="10">
        <v>8</v>
      </c>
      <c r="L4768" s="10">
        <v>40</v>
      </c>
      <c r="M4768" s="6" t="s">
        <v>425</v>
      </c>
      <c r="N4768" s="6" t="str">
        <f>IF(OR($G4768="FCC",$G4768="Hydrocracker",$G4768="Reformer"),IF(COUNTIFS($D:$D,$D4768,$A:$A,$A4768,$B:$B,$B4768,$G:$G,"CDU",$J:$J,"PLANNED")&gt;0,"tied","standalone"),"")</f>
        <v>standalone</v>
      </c>
    </row>
    <row r="4769" spans="1:14">
      <c r="A4769" s="6">
        <v>2024</v>
      </c>
      <c r="B4769" s="6">
        <v>11</v>
      </c>
      <c r="C4769" s="6" t="s">
        <v>70</v>
      </c>
      <c r="D4769" s="6" t="s">
        <v>788</v>
      </c>
      <c r="E4769" s="6" t="s">
        <v>602</v>
      </c>
      <c r="F4769" s="6" t="str">
        <f>IF($M4769="PADD I","PADD 1",IF($M4769="PADD II","PADD 2",IF($M4769="PADD III","PADD 3",IF($M4769="PADD IV","PADD 4",IF($M4769="PADD V","PADD 5","")))))</f>
        <v>PADD 3</v>
      </c>
      <c r="G4769" s="6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6" t="s">
        <v>44</v>
      </c>
      <c r="I4769" s="6" t="s">
        <v>551</v>
      </c>
      <c r="J4769" s="6" t="s">
        <v>398</v>
      </c>
      <c r="K4769" s="10">
        <v>8</v>
      </c>
      <c r="L4769" s="10">
        <v>8</v>
      </c>
      <c r="M4769" s="6" t="s">
        <v>421</v>
      </c>
      <c r="N4769" s="6">
        <f>IF(OR($G4769="FCC",$G4769="Hydrocracker",$G4769="Reformer"),IF(COUNTIFS($D:$D,$D4769,$A:$A,$A4769,$B:$B,$B4769,$G:$G,"CDU",$J:$J,"PLANNED")&gt;0,"tied","standalone"),"")</f>
        <v/>
      </c>
    </row>
    <row r="4770" spans="1:14">
      <c r="A4770" s="6">
        <v>2024</v>
      </c>
      <c r="B4770" s="6">
        <v>11</v>
      </c>
      <c r="C4770" s="6" t="s">
        <v>70</v>
      </c>
      <c r="D4770" s="6" t="s">
        <v>378</v>
      </c>
      <c r="E4770" s="6" t="s">
        <v>477</v>
      </c>
      <c r="F4770" s="6" t="str">
        <f>IF($M4770="PADD I","PADD 1",IF($M4770="PADD II","PADD 2",IF($M4770="PADD III","PADD 3",IF($M4770="PADD IV","PADD 4",IF($M4770="PADD V","PADD 5","")))))</f>
        <v>PADD 3</v>
      </c>
      <c r="G4770" s="6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6" t="s">
        <v>510</v>
      </c>
      <c r="I4770" s="6" t="s">
        <v>1125</v>
      </c>
      <c r="J4770" s="6" t="s">
        <v>394</v>
      </c>
      <c r="K4770" s="10">
        <v>7.875</v>
      </c>
      <c r="L4770" s="10">
        <v>12.5</v>
      </c>
      <c r="M4770" s="6" t="s">
        <v>421</v>
      </c>
      <c r="N4770" s="6">
        <f>IF(OR($G4770="FCC",$G4770="Hydrocracker",$G4770="Reformer"),IF(COUNTIFS($D:$D,$D4770,$A:$A,$A4770,$B:$B,$B4770,$G:$G,"CDU",$J:$J,"PLANNED")&gt;0,"tied","standalone"),"")</f>
        <v/>
      </c>
    </row>
    <row r="4771" spans="1:14">
      <c r="A4771" s="6">
        <v>2024</v>
      </c>
      <c r="B4771" s="6">
        <v>11</v>
      </c>
      <c r="C4771" s="6" t="s">
        <v>70</v>
      </c>
      <c r="D4771" s="6" t="s">
        <v>515</v>
      </c>
      <c r="E4771" s="6" t="s">
        <v>419</v>
      </c>
      <c r="F4771" s="6" t="str">
        <f>IF($M4771="PADD I","PADD 1",IF($M4771="PADD II","PADD 2",IF($M4771="PADD III","PADD 3",IF($M4771="PADD IV","PADD 4",IF($M4771="PADD V","PADD 5","")))))</f>
        <v>PADD 5</v>
      </c>
      <c r="G4771" s="6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6" t="s">
        <v>471</v>
      </c>
      <c r="I4771" s="6" t="s">
        <v>723</v>
      </c>
      <c r="J4771" s="6" t="s">
        <v>398</v>
      </c>
      <c r="K4771" s="10">
        <v>7.52</v>
      </c>
      <c r="L4771" s="10">
        <v>16</v>
      </c>
      <c r="M4771" s="6" t="s">
        <v>436</v>
      </c>
      <c r="N4771" s="6" t="str">
        <f>IF(OR($G4771="FCC",$G4771="Hydrocracker",$G4771="Reformer"),IF(COUNTIFS($D:$D,$D4771,$A:$A,$A4771,$B:$B,$B4771,$G:$G,"CDU",$J:$J,"PLANNED")&gt;0,"tied","standalone"),"")</f>
        <v>standalone</v>
      </c>
    </row>
    <row r="4772" spans="1:14">
      <c r="A4772" s="6">
        <v>2024</v>
      </c>
      <c r="B4772" s="6">
        <v>11</v>
      </c>
      <c r="C4772" s="6" t="s">
        <v>70</v>
      </c>
      <c r="D4772" s="6" t="s">
        <v>496</v>
      </c>
      <c r="E4772" s="6" t="s">
        <v>441</v>
      </c>
      <c r="F4772" s="6" t="str">
        <f>IF($M4772="PADD I","PADD 1",IF($M4772="PADD II","PADD 2",IF($M4772="PADD III","PADD 3",IF($M4772="PADD IV","PADD 4",IF($M4772="PADD V","PADD 5","")))))</f>
        <v>PADD 3</v>
      </c>
      <c r="G4772" s="6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6" t="s">
        <v>510</v>
      </c>
      <c r="I4772" s="6" t="s">
        <v>1125</v>
      </c>
      <c r="J4772" s="6" t="s">
        <v>394</v>
      </c>
      <c r="K4772" s="10">
        <v>7.2</v>
      </c>
      <c r="L4772" s="10">
        <v>7.2</v>
      </c>
      <c r="M4772" s="6" t="s">
        <v>421</v>
      </c>
      <c r="N4772" s="6">
        <f>IF(OR($G4772="FCC",$G4772="Hydrocracker",$G4772="Reformer"),IF(COUNTIFS($D:$D,$D4772,$A:$A,$A4772,$B:$B,$B4772,$G:$G,"CDU",$J:$J,"PLANNED")&gt;0,"tied","standalone"),"")</f>
        <v/>
      </c>
    </row>
    <row r="4773" spans="1:14">
      <c r="A4773" s="6">
        <v>2024</v>
      </c>
      <c r="B4773" s="6">
        <v>11</v>
      </c>
      <c r="C4773" s="6" t="s">
        <v>70</v>
      </c>
      <c r="D4773" s="6" t="s">
        <v>496</v>
      </c>
      <c r="E4773" s="6" t="s">
        <v>441</v>
      </c>
      <c r="F4773" s="6" t="str">
        <f>IF($M4773="PADD I","PADD 1",IF($M4773="PADD II","PADD 2",IF($M4773="PADD III","PADD 3",IF($M4773="PADD IV","PADD 4",IF($M4773="PADD V","PADD 5","")))))</f>
        <v>PADD 3</v>
      </c>
      <c r="G4773" s="6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6" t="s">
        <v>510</v>
      </c>
      <c r="I4773" s="6" t="s">
        <v>630</v>
      </c>
      <c r="J4773" s="6" t="s">
        <v>394</v>
      </c>
      <c r="K4773" s="10">
        <v>7.2</v>
      </c>
      <c r="L4773" s="10">
        <v>7.2</v>
      </c>
      <c r="M4773" s="6" t="s">
        <v>421</v>
      </c>
      <c r="N4773" s="6">
        <f>IF(OR($G4773="FCC",$G4773="Hydrocracker",$G4773="Reformer"),IF(COUNTIFS($D:$D,$D4773,$A:$A,$A4773,$B:$B,$B4773,$G:$G,"CDU",$J:$J,"PLANNED")&gt;0,"tied","standalone"),"")</f>
        <v/>
      </c>
    </row>
    <row r="4774" spans="1:14">
      <c r="A4774" s="6">
        <v>2024</v>
      </c>
      <c r="B4774" s="6">
        <v>11</v>
      </c>
      <c r="C4774" s="6" t="s">
        <v>70</v>
      </c>
      <c r="D4774" s="6" t="s">
        <v>662</v>
      </c>
      <c r="E4774" s="6" t="s">
        <v>466</v>
      </c>
      <c r="F4774" s="6" t="str">
        <f>IF($M4774="PADD I","PADD 1",IF($M4774="PADD II","PADD 2",IF($M4774="PADD III","PADD 3",IF($M4774="PADD IV","PADD 4",IF($M4774="PADD V","PADD 5","")))))</f>
        <v>PADD 3</v>
      </c>
      <c r="G4774" s="6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6" t="s">
        <v>426</v>
      </c>
      <c r="I4774" s="6" t="s">
        <v>478</v>
      </c>
      <c r="J4774" s="6" t="s">
        <v>398</v>
      </c>
      <c r="K4774" s="10">
        <v>6.9</v>
      </c>
      <c r="L4774" s="10">
        <v>69</v>
      </c>
      <c r="M4774" s="6" t="s">
        <v>421</v>
      </c>
      <c r="N4774" s="6" t="str">
        <f>IF(OR($G4774="FCC",$G4774="Hydrocracker",$G4774="Reformer"),IF(COUNTIFS($D:$D,$D4774,$A:$A,$A4774,$B:$B,$B4774,$G:$G,"CDU",$J:$J,"PLANNED")&gt;0,"tied","standalone"),"")</f>
        <v>standalone</v>
      </c>
    </row>
    <row r="4775" spans="1:14">
      <c r="A4775" s="6">
        <v>2024</v>
      </c>
      <c r="B4775" s="6">
        <v>11</v>
      </c>
      <c r="C4775" s="6" t="s">
        <v>70</v>
      </c>
      <c r="D4775" s="6" t="s">
        <v>380</v>
      </c>
      <c r="E4775" s="6" t="s">
        <v>423</v>
      </c>
      <c r="F4775" s="6" t="str">
        <f>IF($M4775="PADD I","PADD 1",IF($M4775="PADD II","PADD 2",IF($M4775="PADD III","PADD 3",IF($M4775="PADD IV","PADD 4",IF($M4775="PADD V","PADD 5","")))))</f>
        <v>PADD 2</v>
      </c>
      <c r="G4775" s="6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6" t="s">
        <v>485</v>
      </c>
      <c r="I4775" s="6" t="s">
        <v>491</v>
      </c>
      <c r="J4775" s="6" t="s">
        <v>394</v>
      </c>
      <c r="K4775" s="10">
        <v>6.9</v>
      </c>
      <c r="L4775" s="10">
        <v>23</v>
      </c>
      <c r="M4775" s="6" t="s">
        <v>425</v>
      </c>
      <c r="N4775" s="6">
        <f>IF(OR($G4775="FCC",$G4775="Hydrocracker",$G4775="Reformer"),IF(COUNTIFS($D:$D,$D4775,$A:$A,$A4775,$B:$B,$B4775,$G:$G,"CDU",$J:$J,"PLANNED")&gt;0,"tied","standalone"),"")</f>
        <v/>
      </c>
    </row>
    <row r="4776" spans="1:14">
      <c r="A4776" s="6">
        <v>2024</v>
      </c>
      <c r="B4776" s="6">
        <v>11</v>
      </c>
      <c r="C4776" s="6" t="s">
        <v>70</v>
      </c>
      <c r="D4776" s="6" t="s">
        <v>378</v>
      </c>
      <c r="E4776" s="6" t="s">
        <v>477</v>
      </c>
      <c r="F4776" s="6" t="str">
        <f>IF($M4776="PADD I","PADD 1",IF($M4776="PADD II","PADD 2",IF($M4776="PADD III","PADD 3",IF($M4776="PADD IV","PADD 4",IF($M4776="PADD V","PADD 5","")))))</f>
        <v>PADD 3</v>
      </c>
      <c r="G4776" s="6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6" t="s">
        <v>618</v>
      </c>
      <c r="I4776" s="6" t="s">
        <v>654</v>
      </c>
      <c r="J4776" s="6" t="s">
        <v>398</v>
      </c>
      <c r="K4776" s="10">
        <v>6.7</v>
      </c>
      <c r="L4776" s="10">
        <v>10</v>
      </c>
      <c r="M4776" s="6" t="s">
        <v>421</v>
      </c>
      <c r="N4776" s="6">
        <f>IF(OR($G4776="FCC",$G4776="Hydrocracker",$G4776="Reformer"),IF(COUNTIFS($D:$D,$D4776,$A:$A,$A4776,$B:$B,$B4776,$G:$G,"CDU",$J:$J,"PLANNED")&gt;0,"tied","standalone"),"")</f>
        <v/>
      </c>
    </row>
    <row r="4777" spans="1:14">
      <c r="A4777" s="6">
        <v>2024</v>
      </c>
      <c r="B4777" s="6">
        <v>11</v>
      </c>
      <c r="C4777" s="6" t="s">
        <v>70</v>
      </c>
      <c r="D4777" s="6" t="s">
        <v>996</v>
      </c>
      <c r="E4777" s="6" t="s">
        <v>455</v>
      </c>
      <c r="F4777" s="6" t="str">
        <f>IF($M4777="PADD I","PADD 1",IF($M4777="PADD II","PADD 2",IF($M4777="PADD III","PADD 3",IF($M4777="PADD IV","PADD 4",IF($M4777="PADD V","PADD 5","")))))</f>
        <v>PADD 5</v>
      </c>
      <c r="G4777" s="6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6" t="s">
        <v>471</v>
      </c>
      <c r="I4777" s="6" t="s">
        <v>1023</v>
      </c>
      <c r="J4777" s="6" t="s">
        <v>394</v>
      </c>
      <c r="K4777" s="10">
        <v>6.66</v>
      </c>
      <c r="L4777" s="10">
        <v>18</v>
      </c>
      <c r="M4777" s="6" t="s">
        <v>436</v>
      </c>
      <c r="N4777" s="6" t="str">
        <f>IF(OR($G4777="FCC",$G4777="Hydrocracker",$G4777="Reformer"),IF(COUNTIFS($D:$D,$D4777,$A:$A,$A4777,$B:$B,$B4777,$G:$G,"CDU",$J:$J,"PLANNED")&gt;0,"tied","standalone"),"")</f>
        <v>standalone</v>
      </c>
    </row>
    <row r="4778" spans="1:14">
      <c r="A4778" s="6">
        <v>2024</v>
      </c>
      <c r="B4778" s="6">
        <v>11</v>
      </c>
      <c r="C4778" s="6" t="s">
        <v>70</v>
      </c>
      <c r="D4778" s="6" t="s">
        <v>515</v>
      </c>
      <c r="E4778" s="6" t="s">
        <v>419</v>
      </c>
      <c r="F4778" s="6" t="str">
        <f>IF($M4778="PADD I","PADD 1",IF($M4778="PADD II","PADD 2",IF($M4778="PADD III","PADD 3",IF($M4778="PADD IV","PADD 4",IF($M4778="PADD V","PADD 5","")))))</f>
        <v>PADD 5</v>
      </c>
      <c r="G4778" s="6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6" t="s">
        <v>426</v>
      </c>
      <c r="I4778" s="6" t="s">
        <v>106</v>
      </c>
      <c r="J4778" s="6" t="s">
        <v>398</v>
      </c>
      <c r="K4778" s="10">
        <v>6.5</v>
      </c>
      <c r="L4778" s="10">
        <v>50</v>
      </c>
      <c r="M4778" s="6" t="s">
        <v>436</v>
      </c>
      <c r="N4778" s="6" t="str">
        <f>IF(OR($G4778="FCC",$G4778="Hydrocracker",$G4778="Reformer"),IF(COUNTIFS($D:$D,$D4778,$A:$A,$A4778,$B:$B,$B4778,$G:$G,"CDU",$J:$J,"PLANNED")&gt;0,"tied","standalone"),"")</f>
        <v>standalone</v>
      </c>
    </row>
    <row r="4779" spans="1:14">
      <c r="A4779" s="6">
        <v>2024</v>
      </c>
      <c r="B4779" s="6">
        <v>11</v>
      </c>
      <c r="C4779" s="6" t="s">
        <v>70</v>
      </c>
      <c r="D4779" s="6" t="s">
        <v>626</v>
      </c>
      <c r="E4779" s="6" t="s">
        <v>419</v>
      </c>
      <c r="F4779" s="6" t="str">
        <f>IF($M4779="PADD I","PADD 1",IF($M4779="PADD II","PADD 2",IF($M4779="PADD III","PADD 3",IF($M4779="PADD IV","PADD 4",IF($M4779="PADD V","PADD 5","")))))</f>
        <v>PADD 3</v>
      </c>
      <c r="G4779" s="6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6" t="s">
        <v>44</v>
      </c>
      <c r="I4779" s="6" t="s">
        <v>1283</v>
      </c>
      <c r="J4779" s="6" t="s">
        <v>398</v>
      </c>
      <c r="K4779" s="10">
        <v>6.37</v>
      </c>
      <c r="L4779" s="10">
        <v>49</v>
      </c>
      <c r="M4779" s="6" t="s">
        <v>421</v>
      </c>
      <c r="N4779" s="6">
        <f>IF(OR($G4779="FCC",$G4779="Hydrocracker",$G4779="Reformer"),IF(COUNTIFS($D:$D,$D4779,$A:$A,$A4779,$B:$B,$B4779,$G:$G,"CDU",$J:$J,"PLANNED")&gt;0,"tied","standalone"),"")</f>
        <v/>
      </c>
    </row>
    <row r="4780" spans="1:14">
      <c r="A4780" s="6">
        <v>2024</v>
      </c>
      <c r="B4780" s="6">
        <v>11</v>
      </c>
      <c r="C4780" s="6" t="s">
        <v>70</v>
      </c>
      <c r="D4780" s="6" t="s">
        <v>652</v>
      </c>
      <c r="E4780" s="6" t="s">
        <v>419</v>
      </c>
      <c r="F4780" s="6" t="str">
        <f>IF($M4780="PADD I","PADD 1",IF($M4780="PADD II","PADD 2",IF($M4780="PADD III","PADD 3",IF($M4780="PADD IV","PADD 4",IF($M4780="PADD V","PADD 5","")))))</f>
        <v>PADD 2</v>
      </c>
      <c r="G4780" s="6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6" t="s">
        <v>485</v>
      </c>
      <c r="I4780" s="6" t="s">
        <v>491</v>
      </c>
      <c r="J4780" s="6" t="s">
        <v>394</v>
      </c>
      <c r="K4780" s="10">
        <v>6.237</v>
      </c>
      <c r="L4780" s="10">
        <v>23.1</v>
      </c>
      <c r="M4780" s="6" t="s">
        <v>425</v>
      </c>
      <c r="N4780" s="6">
        <f>IF(OR($G4780="FCC",$G4780="Hydrocracker",$G4780="Reformer"),IF(COUNTIFS($D:$D,$D4780,$A:$A,$A4780,$B:$B,$B4780,$G:$G,"CDU",$J:$J,"PLANNED")&gt;0,"tied","standalone"),"")</f>
        <v/>
      </c>
    </row>
    <row r="4781" spans="1:14">
      <c r="A4781" s="6">
        <v>2024</v>
      </c>
      <c r="B4781" s="6">
        <v>11</v>
      </c>
      <c r="C4781" s="6" t="s">
        <v>70</v>
      </c>
      <c r="D4781" s="6" t="s">
        <v>626</v>
      </c>
      <c r="E4781" s="6" t="s">
        <v>419</v>
      </c>
      <c r="F4781" s="6" t="str">
        <f>IF($M4781="PADD I","PADD 1",IF($M4781="PADD II","PADD 2",IF($M4781="PADD III","PADD 3",IF($M4781="PADD IV","PADD 4",IF($M4781="PADD V","PADD 5","")))))</f>
        <v>PADD 3</v>
      </c>
      <c r="G4781" s="6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6" t="s">
        <v>426</v>
      </c>
      <c r="I4781" s="6" t="s">
        <v>106</v>
      </c>
      <c r="J4781" s="6" t="s">
        <v>398</v>
      </c>
      <c r="K4781" s="10">
        <v>6.006</v>
      </c>
      <c r="L4781" s="10">
        <v>46.2</v>
      </c>
      <c r="M4781" s="6" t="s">
        <v>421</v>
      </c>
      <c r="N4781" s="6" t="str">
        <f>IF(OR($G4781="FCC",$G4781="Hydrocracker",$G4781="Reformer"),IF(COUNTIFS($D:$D,$D4781,$A:$A,$A4781,$B:$B,$B4781,$G:$G,"CDU",$J:$J,"PLANNED")&gt;0,"tied","standalone"),"")</f>
        <v>standalone</v>
      </c>
    </row>
    <row r="4782" spans="1:14">
      <c r="A4782" s="6">
        <v>2024</v>
      </c>
      <c r="B4782" s="6">
        <v>11</v>
      </c>
      <c r="C4782" s="6" t="s">
        <v>70</v>
      </c>
      <c r="D4782" s="6" t="s">
        <v>678</v>
      </c>
      <c r="E4782" s="6" t="s">
        <v>438</v>
      </c>
      <c r="F4782" s="6" t="str">
        <f>IF($M4782="PADD I","PADD 1",IF($M4782="PADD II","PADD 2",IF($M4782="PADD III","PADD 3",IF($M4782="PADD IV","PADD 4",IF($M4782="PADD V","PADD 5","")))))</f>
        <v>PADD 3</v>
      </c>
      <c r="G4782" s="6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6" t="s">
        <v>426</v>
      </c>
      <c r="I4782" s="6" t="s">
        <v>106</v>
      </c>
      <c r="J4782" s="6" t="s">
        <v>394</v>
      </c>
      <c r="K4782" s="10">
        <v>6</v>
      </c>
      <c r="L4782" s="10">
        <v>60</v>
      </c>
      <c r="M4782" s="6" t="s">
        <v>421</v>
      </c>
      <c r="N4782" s="6" t="str">
        <f>IF(OR($G4782="FCC",$G4782="Hydrocracker",$G4782="Reformer"),IF(COUNTIFS($D:$D,$D4782,$A:$A,$A4782,$B:$B,$B4782,$G:$G,"CDU",$J:$J,"PLANNED")&gt;0,"tied","standalone"),"")</f>
        <v>standalone</v>
      </c>
    </row>
    <row r="4783" spans="1:14">
      <c r="A4783" s="6">
        <v>2024</v>
      </c>
      <c r="B4783" s="6">
        <v>11</v>
      </c>
      <c r="C4783" s="6" t="s">
        <v>70</v>
      </c>
      <c r="D4783" s="6" t="s">
        <v>788</v>
      </c>
      <c r="E4783" s="6" t="s">
        <v>602</v>
      </c>
      <c r="F4783" s="6" t="str">
        <f>IF($M4783="PADD I","PADD 1",IF($M4783="PADD II","PADD 2",IF($M4783="PADD III","PADD 3",IF($M4783="PADD IV","PADD 4",IF($M4783="PADD V","PADD 5","")))))</f>
        <v>PADD 3</v>
      </c>
      <c r="G4783" s="6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6" t="s">
        <v>510</v>
      </c>
      <c r="I4783" s="6" t="s">
        <v>511</v>
      </c>
      <c r="J4783" s="6" t="s">
        <v>398</v>
      </c>
      <c r="K4783" s="10">
        <v>6</v>
      </c>
      <c r="L4783" s="10">
        <v>6</v>
      </c>
      <c r="M4783" s="6" t="s">
        <v>421</v>
      </c>
      <c r="N4783" s="6">
        <f>IF(OR($G4783="FCC",$G4783="Hydrocracker",$G4783="Reformer"),IF(COUNTIFS($D:$D,$D4783,$A:$A,$A4783,$B:$B,$B4783,$G:$G,"CDU",$J:$J,"PLANNED")&gt;0,"tied","standalone"),"")</f>
        <v/>
      </c>
    </row>
    <row r="4784" spans="1:14">
      <c r="A4784" s="6">
        <v>2024</v>
      </c>
      <c r="B4784" s="6">
        <v>11</v>
      </c>
      <c r="C4784" s="6" t="s">
        <v>70</v>
      </c>
      <c r="D4784" s="6" t="s">
        <v>378</v>
      </c>
      <c r="E4784" s="6" t="s">
        <v>477</v>
      </c>
      <c r="F4784" s="6" t="str">
        <f>IF($M4784="PADD I","PADD 1",IF($M4784="PADD II","PADD 2",IF($M4784="PADD III","PADD 3",IF($M4784="PADD IV","PADD 4",IF($M4784="PADD V","PADD 5","")))))</f>
        <v>PADD 3</v>
      </c>
      <c r="G4784" s="6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6" t="s">
        <v>471</v>
      </c>
      <c r="I4784" s="6" t="s">
        <v>1212</v>
      </c>
      <c r="J4784" s="6" t="s">
        <v>398</v>
      </c>
      <c r="K4784" s="10">
        <v>5.8625</v>
      </c>
      <c r="L4784" s="10">
        <v>8.75</v>
      </c>
      <c r="M4784" s="6" t="s">
        <v>421</v>
      </c>
      <c r="N4784" s="6" t="str">
        <f>IF(OR($G4784="FCC",$G4784="Hydrocracker",$G4784="Reformer"),IF(COUNTIFS($D:$D,$D4784,$A:$A,$A4784,$B:$B,$B4784,$G:$G,"CDU",$J:$J,"PLANNED")&gt;0,"tied","standalone"),"")</f>
        <v>tied</v>
      </c>
    </row>
    <row r="4785" spans="1:14">
      <c r="A4785" s="6">
        <v>2024</v>
      </c>
      <c r="B4785" s="6">
        <v>11</v>
      </c>
      <c r="C4785" s="6" t="s">
        <v>70</v>
      </c>
      <c r="D4785" s="6" t="s">
        <v>1191</v>
      </c>
      <c r="E4785" s="6" t="s">
        <v>1129</v>
      </c>
      <c r="F4785" s="6" t="str">
        <f>IF($M4785="PADD I","PADD 1",IF($M4785="PADD II","PADD 2",IF($M4785="PADD III","PADD 3",IF($M4785="PADD IV","PADD 4",IF($M4785="PADD V","PADD 5","")))))</f>
        <v>PADD 3</v>
      </c>
      <c r="G4785" s="6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6" t="s">
        <v>44</v>
      </c>
      <c r="I4785" s="6" t="s">
        <v>977</v>
      </c>
      <c r="J4785" s="6" t="s">
        <v>398</v>
      </c>
      <c r="K4785" s="10">
        <v>5.75</v>
      </c>
      <c r="L4785" s="10">
        <v>25</v>
      </c>
      <c r="M4785" s="6" t="s">
        <v>421</v>
      </c>
      <c r="N4785" s="6">
        <f>IF(OR($G4785="FCC",$G4785="Hydrocracker",$G4785="Reformer"),IF(COUNTIFS($D:$D,$D4785,$A:$A,$A4785,$B:$B,$B4785,$G:$G,"CDU",$J:$J,"PLANNED")&gt;0,"tied","standalone"),"")</f>
        <v/>
      </c>
    </row>
    <row r="4786" spans="1:14">
      <c r="A4786" s="6">
        <v>2024</v>
      </c>
      <c r="B4786" s="6">
        <v>11</v>
      </c>
      <c r="C4786" s="6" t="s">
        <v>70</v>
      </c>
      <c r="D4786" s="6" t="s">
        <v>725</v>
      </c>
      <c r="E4786" s="6" t="s">
        <v>502</v>
      </c>
      <c r="F4786" s="6" t="str">
        <f>IF($M4786="PADD I","PADD 1",IF($M4786="PADD II","PADD 2",IF($M4786="PADD III","PADD 3",IF($M4786="PADD IV","PADD 4",IF($M4786="PADD V","PADD 5","")))))</f>
        <v>PADD 2</v>
      </c>
      <c r="G4786" s="6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6" t="s">
        <v>510</v>
      </c>
      <c r="I4786" s="6" t="s">
        <v>666</v>
      </c>
      <c r="J4786" s="6" t="s">
        <v>398</v>
      </c>
      <c r="K4786" s="10">
        <v>5.75</v>
      </c>
      <c r="L4786" s="10">
        <v>11.5</v>
      </c>
      <c r="M4786" s="6" t="s">
        <v>425</v>
      </c>
      <c r="N4786" s="6">
        <f>IF(OR($G4786="FCC",$G4786="Hydrocracker",$G4786="Reformer"),IF(COUNTIFS($D:$D,$D4786,$A:$A,$A4786,$B:$B,$B4786,$G:$G,"CDU",$J:$J,"PLANNED")&gt;0,"tied","standalone"),"")</f>
        <v/>
      </c>
    </row>
    <row r="4787" spans="1:14">
      <c r="A4787" s="6">
        <v>2024</v>
      </c>
      <c r="B4787" s="6">
        <v>11</v>
      </c>
      <c r="C4787" s="6" t="s">
        <v>70</v>
      </c>
      <c r="D4787" s="6" t="s">
        <v>378</v>
      </c>
      <c r="E4787" s="6" t="s">
        <v>477</v>
      </c>
      <c r="F4787" s="6" t="str">
        <f>IF($M4787="PADD I","PADD 1",IF($M4787="PADD II","PADD 2",IF($M4787="PADD III","PADD 3",IF($M4787="PADD IV","PADD 4",IF($M4787="PADD V","PADD 5","")))))</f>
        <v>PADD 3</v>
      </c>
      <c r="G4787" s="6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6" t="s">
        <v>687</v>
      </c>
      <c r="I4787" s="6" t="s">
        <v>1303</v>
      </c>
      <c r="J4787" s="6" t="s">
        <v>398</v>
      </c>
      <c r="K4787" s="10">
        <v>5.695</v>
      </c>
      <c r="L4787" s="10">
        <v>8.5</v>
      </c>
      <c r="M4787" s="6" t="s">
        <v>421</v>
      </c>
      <c r="N4787" s="6">
        <f>IF(OR($G4787="FCC",$G4787="Hydrocracker",$G4787="Reformer"),IF(COUNTIFS($D:$D,$D4787,$A:$A,$A4787,$B:$B,$B4787,$G:$G,"CDU",$J:$J,"PLANNED")&gt;0,"tied","standalone"),"")</f>
        <v/>
      </c>
    </row>
    <row r="4788" spans="1:14">
      <c r="A4788" s="6">
        <v>2024</v>
      </c>
      <c r="B4788" s="6">
        <v>11</v>
      </c>
      <c r="C4788" s="6" t="s">
        <v>70</v>
      </c>
      <c r="D4788" s="6" t="s">
        <v>484</v>
      </c>
      <c r="E4788" s="6" t="s">
        <v>438</v>
      </c>
      <c r="F4788" s="6" t="str">
        <f>IF($M4788="PADD I","PADD 1",IF($M4788="PADD II","PADD 2",IF($M4788="PADD III","PADD 3",IF($M4788="PADD IV","PADD 4",IF($M4788="PADD V","PADD 5","")))))</f>
        <v>PADD 5</v>
      </c>
      <c r="G4788" s="6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6" t="s">
        <v>494</v>
      </c>
      <c r="I4788" s="6" t="s">
        <v>14</v>
      </c>
      <c r="J4788" s="6" t="s">
        <v>394</v>
      </c>
      <c r="K4788" s="10">
        <v>5.44</v>
      </c>
      <c r="L4788" s="10">
        <v>32</v>
      </c>
      <c r="M4788" s="6" t="s">
        <v>436</v>
      </c>
      <c r="N4788" s="6" t="str">
        <f>IF(OR($G4788="FCC",$G4788="Hydrocracker",$G4788="Reformer"),IF(COUNTIFS($D:$D,$D4788,$A:$A,$A4788,$B:$B,$B4788,$G:$G,"CDU",$J:$J,"PLANNED")&gt;0,"tied","standalone"),"")</f>
        <v>standalone</v>
      </c>
    </row>
    <row r="4789" spans="1:14">
      <c r="A4789" s="6">
        <v>2024</v>
      </c>
      <c r="B4789" s="6">
        <v>11</v>
      </c>
      <c r="C4789" s="6" t="s">
        <v>70</v>
      </c>
      <c r="D4789" s="6" t="s">
        <v>626</v>
      </c>
      <c r="E4789" s="6" t="s">
        <v>419</v>
      </c>
      <c r="F4789" s="6" t="str">
        <f>IF($M4789="PADD I","PADD 1",IF($M4789="PADD II","PADD 2",IF($M4789="PADD III","PADD 3",IF($M4789="PADD IV","PADD 4",IF($M4789="PADD V","PADD 5","")))))</f>
        <v>PADD 3</v>
      </c>
      <c r="G4789" s="6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6" t="s">
        <v>44</v>
      </c>
      <c r="I4789" s="6" t="s">
        <v>1284</v>
      </c>
      <c r="J4789" s="6" t="s">
        <v>398</v>
      </c>
      <c r="K4789" s="10">
        <v>5.2</v>
      </c>
      <c r="L4789" s="10">
        <v>40</v>
      </c>
      <c r="M4789" s="6" t="s">
        <v>421</v>
      </c>
      <c r="N4789" s="6">
        <f>IF(OR($G4789="FCC",$G4789="Hydrocracker",$G4789="Reformer"),IF(COUNTIFS($D:$D,$D4789,$A:$A,$A4789,$B:$B,$B4789,$G:$G,"CDU",$J:$J,"PLANNED")&gt;0,"tied","standalone"),"")</f>
        <v/>
      </c>
    </row>
    <row r="4790" spans="1:14">
      <c r="A4790" s="6">
        <v>2024</v>
      </c>
      <c r="B4790" s="6">
        <v>11</v>
      </c>
      <c r="C4790" s="6" t="s">
        <v>70</v>
      </c>
      <c r="D4790" s="6" t="s">
        <v>378</v>
      </c>
      <c r="E4790" s="6" t="s">
        <v>477</v>
      </c>
      <c r="F4790" s="6" t="str">
        <f>IF($M4790="PADD I","PADD 1",IF($M4790="PADD II","PADD 2",IF($M4790="PADD III","PADD 3",IF($M4790="PADD IV","PADD 4",IF($M4790="PADD V","PADD 5","")))))</f>
        <v>PADD 3</v>
      </c>
      <c r="G4790" s="6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6" t="s">
        <v>1158</v>
      </c>
      <c r="I4790" s="6" t="s">
        <v>1305</v>
      </c>
      <c r="J4790" s="6" t="s">
        <v>398</v>
      </c>
      <c r="K4790" s="10">
        <v>5.025</v>
      </c>
      <c r="L4790" s="10">
        <v>7.5</v>
      </c>
      <c r="M4790" s="6" t="s">
        <v>421</v>
      </c>
      <c r="N4790" s="6">
        <f>IF(OR($G4790="FCC",$G4790="Hydrocracker",$G4790="Reformer"),IF(COUNTIFS($D:$D,$D4790,$A:$A,$A4790,$B:$B,$B4790,$G:$G,"CDU",$J:$J,"PLANNED")&gt;0,"tied","standalone"),"")</f>
        <v/>
      </c>
    </row>
    <row r="4791" spans="1:14">
      <c r="A4791" s="6">
        <v>2024</v>
      </c>
      <c r="B4791" s="6">
        <v>11</v>
      </c>
      <c r="C4791" s="6" t="s">
        <v>70</v>
      </c>
      <c r="D4791" s="6" t="s">
        <v>889</v>
      </c>
      <c r="E4791" s="6" t="s">
        <v>890</v>
      </c>
      <c r="F4791" s="6" t="str">
        <f>IF($M4791="PADD I","PADD 1",IF($M4791="PADD II","PADD 2",IF($M4791="PADD III","PADD 3",IF($M4791="PADD IV","PADD 4",IF($M4791="PADD V","PADD 5","")))))</f>
        <v>PADD 1</v>
      </c>
      <c r="G4791" s="6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6" t="s">
        <v>39</v>
      </c>
      <c r="I4791" s="6" t="s">
        <v>134</v>
      </c>
      <c r="J4791" s="6" t="s">
        <v>394</v>
      </c>
      <c r="K4791" s="10">
        <v>4.9</v>
      </c>
      <c r="L4791" s="10">
        <v>70</v>
      </c>
      <c r="M4791" s="6" t="s">
        <v>463</v>
      </c>
      <c r="N4791" s="6">
        <f>IF(OR($G4791="FCC",$G4791="Hydrocracker",$G4791="Reformer"),IF(COUNTIFS($D:$D,$D4791,$A:$A,$A4791,$B:$B,$B4791,$G:$G,"CDU",$J:$J,"PLANNED")&gt;0,"tied","standalone"),"")</f>
        <v/>
      </c>
    </row>
    <row r="4792" spans="1:14">
      <c r="A4792" s="6">
        <v>2024</v>
      </c>
      <c r="B4792" s="6">
        <v>11</v>
      </c>
      <c r="C4792" s="6" t="s">
        <v>70</v>
      </c>
      <c r="D4792" s="6" t="s">
        <v>445</v>
      </c>
      <c r="E4792" s="6" t="s">
        <v>446</v>
      </c>
      <c r="F4792" s="6" t="str">
        <f>IF($M4792="PADD I","PADD 1",IF($M4792="PADD II","PADD 2",IF($M4792="PADD III","PADD 3",IF($M4792="PADD IV","PADD 4",IF($M4792="PADD V","PADD 5","")))))</f>
        <v>PADD 3</v>
      </c>
      <c r="G4792" s="6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6" t="s">
        <v>44</v>
      </c>
      <c r="I4792" s="6" t="s">
        <v>600</v>
      </c>
      <c r="J4792" s="6" t="s">
        <v>394</v>
      </c>
      <c r="K4792" s="10">
        <v>4.11</v>
      </c>
      <c r="L4792" s="10">
        <v>41.1</v>
      </c>
      <c r="M4792" s="6" t="s">
        <v>421</v>
      </c>
      <c r="N4792" s="6">
        <f>IF(OR($G4792="FCC",$G4792="Hydrocracker",$G4792="Reformer"),IF(COUNTIFS($D:$D,$D4792,$A:$A,$A4792,$B:$B,$B4792,$G:$G,"CDU",$J:$J,"PLANNED")&gt;0,"tied","standalone"),"")</f>
        <v/>
      </c>
    </row>
    <row r="4793" spans="1:14">
      <c r="A4793" s="6">
        <v>2024</v>
      </c>
      <c r="B4793" s="6">
        <v>11</v>
      </c>
      <c r="C4793" s="6" t="s">
        <v>70</v>
      </c>
      <c r="D4793" s="6" t="s">
        <v>378</v>
      </c>
      <c r="E4793" s="6" t="s">
        <v>477</v>
      </c>
      <c r="F4793" s="6" t="str">
        <f>IF($M4793="PADD I","PADD 1",IF($M4793="PADD II","PADD 2",IF($M4793="PADD III","PADD 3",IF($M4793="PADD IV","PADD 4",IF($M4793="PADD V","PADD 5","")))))</f>
        <v>PADD 3</v>
      </c>
      <c r="G4793" s="6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6" t="s">
        <v>485</v>
      </c>
      <c r="I4793" s="6" t="s">
        <v>1308</v>
      </c>
      <c r="J4793" s="6" t="s">
        <v>398</v>
      </c>
      <c r="K4793" s="10">
        <v>4.02</v>
      </c>
      <c r="L4793" s="10">
        <v>6</v>
      </c>
      <c r="M4793" s="6" t="s">
        <v>421</v>
      </c>
      <c r="N4793" s="6">
        <f>IF(OR($G4793="FCC",$G4793="Hydrocracker",$G4793="Reformer"),IF(COUNTIFS($D:$D,$D4793,$A:$A,$A4793,$B:$B,$B4793,$G:$G,"CDU",$J:$J,"PLANNED")&gt;0,"tied","standalone"),"")</f>
        <v/>
      </c>
    </row>
    <row r="4794" spans="1:14">
      <c r="A4794" s="6">
        <v>2024</v>
      </c>
      <c r="B4794" s="6">
        <v>11</v>
      </c>
      <c r="C4794" s="6" t="s">
        <v>70</v>
      </c>
      <c r="D4794" s="6" t="s">
        <v>928</v>
      </c>
      <c r="E4794" s="6" t="s">
        <v>502</v>
      </c>
      <c r="F4794" s="6" t="str">
        <f>IF($M4794="PADD I","PADD 1",IF($M4794="PADD II","PADD 2",IF($M4794="PADD III","PADD 3",IF($M4794="PADD IV","PADD 4",IF($M4794="PADD V","PADD 5","")))))</f>
        <v>PADD 2</v>
      </c>
      <c r="G4794" s="6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6" t="s">
        <v>485</v>
      </c>
      <c r="I4794" s="6" t="s">
        <v>491</v>
      </c>
      <c r="J4794" s="6" t="s">
        <v>394</v>
      </c>
      <c r="K4794" s="10">
        <v>3.995</v>
      </c>
      <c r="L4794" s="10">
        <v>8.5</v>
      </c>
      <c r="M4794" s="6" t="s">
        <v>425</v>
      </c>
      <c r="N4794" s="6">
        <f>IF(OR($G4794="FCC",$G4794="Hydrocracker",$G4794="Reformer"),IF(COUNTIFS($D:$D,$D4794,$A:$A,$A4794,$B:$B,$B4794,$G:$G,"CDU",$J:$J,"PLANNED")&gt;0,"tied","standalone"),"")</f>
        <v/>
      </c>
    </row>
    <row r="4795" spans="1:14">
      <c r="A4795" s="6">
        <v>2024</v>
      </c>
      <c r="B4795" s="6">
        <v>11</v>
      </c>
      <c r="C4795" s="6" t="s">
        <v>70</v>
      </c>
      <c r="D4795" s="6" t="s">
        <v>561</v>
      </c>
      <c r="E4795" s="6" t="s">
        <v>455</v>
      </c>
      <c r="F4795" s="6" t="str">
        <f>IF($M4795="PADD I","PADD 1",IF($M4795="PADD II","PADD 2",IF($M4795="PADD III","PADD 3",IF($M4795="PADD IV","PADD 4",IF($M4795="PADD V","PADD 5","")))))</f>
        <v>PADD 3</v>
      </c>
      <c r="G4795" s="6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6" t="s">
        <v>428</v>
      </c>
      <c r="I4795" s="6" t="s">
        <v>643</v>
      </c>
      <c r="J4795" s="6" t="s">
        <v>394</v>
      </c>
      <c r="K4795" s="10">
        <v>3.8</v>
      </c>
      <c r="L4795" s="10">
        <v>38</v>
      </c>
      <c r="M4795" s="6" t="s">
        <v>421</v>
      </c>
      <c r="N4795" s="6">
        <f>IF(OR($G4795="FCC",$G4795="Hydrocracker",$G4795="Reformer"),IF(COUNTIFS($D:$D,$D4795,$A:$A,$A4795,$B:$B,$B4795,$G:$G,"CDU",$J:$J,"PLANNED")&gt;0,"tied","standalone"),"")</f>
        <v/>
      </c>
    </row>
    <row r="4796" spans="1:14">
      <c r="A4796" s="6">
        <v>2024</v>
      </c>
      <c r="B4796" s="6">
        <v>11</v>
      </c>
      <c r="C4796" s="6" t="s">
        <v>70</v>
      </c>
      <c r="D4796" s="6" t="s">
        <v>518</v>
      </c>
      <c r="E4796" s="6" t="s">
        <v>419</v>
      </c>
      <c r="F4796" s="6" t="str">
        <f>IF($M4796="PADD I","PADD 1",IF($M4796="PADD II","PADD 2",IF($M4796="PADD III","PADD 3",IF($M4796="PADD IV","PADD 4",IF($M4796="PADD V","PADD 5","")))))</f>
        <v>PADD 3</v>
      </c>
      <c r="G4796" s="6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6" t="s">
        <v>471</v>
      </c>
      <c r="I4796" s="6" t="s">
        <v>685</v>
      </c>
      <c r="J4796" s="6" t="s">
        <v>394</v>
      </c>
      <c r="K4796" s="10">
        <v>3.5</v>
      </c>
      <c r="L4796" s="10">
        <v>7</v>
      </c>
      <c r="M4796" s="6" t="s">
        <v>421</v>
      </c>
      <c r="N4796" s="6" t="str">
        <f>IF(OR($G4796="FCC",$G4796="Hydrocracker",$G4796="Reformer"),IF(COUNTIFS($D:$D,$D4796,$A:$A,$A4796,$B:$B,$B4796,$G:$G,"CDU",$J:$J,"PLANNED")&gt;0,"tied","standalone"),"")</f>
        <v>standalone</v>
      </c>
    </row>
    <row r="4797" spans="1:14">
      <c r="A4797" s="6">
        <v>2024</v>
      </c>
      <c r="B4797" s="6">
        <v>11</v>
      </c>
      <c r="C4797" s="6" t="s">
        <v>70</v>
      </c>
      <c r="D4797" s="6" t="s">
        <v>788</v>
      </c>
      <c r="E4797" s="6" t="s">
        <v>602</v>
      </c>
      <c r="F4797" s="6" t="str">
        <f>IF($M4797="PADD I","PADD 1",IF($M4797="PADD II","PADD 2",IF($M4797="PADD III","PADD 3",IF($M4797="PADD IV","PADD 4",IF($M4797="PADD V","PADD 5","")))))</f>
        <v>PADD 3</v>
      </c>
      <c r="G4797" s="6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6" t="s">
        <v>618</v>
      </c>
      <c r="I4797" s="6" t="s">
        <v>1314</v>
      </c>
      <c r="J4797" s="6" t="s">
        <v>398</v>
      </c>
      <c r="K4797" s="10">
        <v>3.4</v>
      </c>
      <c r="L4797" s="10">
        <v>3.4</v>
      </c>
      <c r="M4797" s="6" t="s">
        <v>421</v>
      </c>
      <c r="N4797" s="6">
        <f>IF(OR($G4797="FCC",$G4797="Hydrocracker",$G4797="Reformer"),IF(COUNTIFS($D:$D,$D4797,$A:$A,$A4797,$B:$B,$B4797,$G:$G,"CDU",$J:$J,"PLANNED")&gt;0,"tied","standalone"),"")</f>
        <v/>
      </c>
    </row>
    <row r="4798" spans="1:14">
      <c r="A4798" s="6">
        <v>2024</v>
      </c>
      <c r="B4798" s="6">
        <v>11</v>
      </c>
      <c r="C4798" s="6" t="s">
        <v>70</v>
      </c>
      <c r="D4798" s="6" t="s">
        <v>1113</v>
      </c>
      <c r="E4798" s="6" t="s">
        <v>438</v>
      </c>
      <c r="F4798" s="6" t="str">
        <f>IF($M4798="PADD I","PADD 1",IF($M4798="PADD II","PADD 2",IF($M4798="PADD III","PADD 3",IF($M4798="PADD IV","PADD 4",IF($M4798="PADD V","PADD 5","")))))</f>
        <v>PADD 2</v>
      </c>
      <c r="G4798" s="6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6" t="s">
        <v>44</v>
      </c>
      <c r="I4798" s="6" t="s">
        <v>543</v>
      </c>
      <c r="J4798" s="6" t="s">
        <v>394</v>
      </c>
      <c r="K4798" s="10">
        <v>3.4</v>
      </c>
      <c r="L4798" s="10">
        <v>34</v>
      </c>
      <c r="M4798" s="6" t="s">
        <v>425</v>
      </c>
      <c r="N4798" s="6">
        <f>IF(OR($G4798="FCC",$G4798="Hydrocracker",$G4798="Reformer"),IF(COUNTIFS($D:$D,$D4798,$A:$A,$A4798,$B:$B,$B4798,$G:$G,"CDU",$J:$J,"PLANNED")&gt;0,"tied","standalone"),"")</f>
        <v/>
      </c>
    </row>
    <row r="4799" spans="1:14">
      <c r="A4799" s="6">
        <v>2024</v>
      </c>
      <c r="B4799" s="6">
        <v>11</v>
      </c>
      <c r="C4799" s="6" t="s">
        <v>70</v>
      </c>
      <c r="D4799" s="6" t="s">
        <v>445</v>
      </c>
      <c r="E4799" s="6" t="s">
        <v>446</v>
      </c>
      <c r="F4799" s="6" t="str">
        <f>IF($M4799="PADD I","PADD 1",IF($M4799="PADD II","PADD 2",IF($M4799="PADD III","PADD 3",IF($M4799="PADD IV","PADD 4",IF($M4799="PADD V","PADD 5","")))))</f>
        <v>PADD 3</v>
      </c>
      <c r="G4799" s="6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6" t="s">
        <v>471</v>
      </c>
      <c r="I4799" s="6" t="s">
        <v>590</v>
      </c>
      <c r="J4799" s="6" t="s">
        <v>394</v>
      </c>
      <c r="K4799" s="10">
        <v>3.15</v>
      </c>
      <c r="L4799" s="10">
        <v>45</v>
      </c>
      <c r="M4799" s="6" t="s">
        <v>421</v>
      </c>
      <c r="N4799" s="6" t="str">
        <f>IF(OR($G4799="FCC",$G4799="Hydrocracker",$G4799="Reformer"),IF(COUNTIFS($D:$D,$D4799,$A:$A,$A4799,$B:$B,$B4799,$G:$G,"CDU",$J:$J,"PLANNED")&gt;0,"tied","standalone"),"")</f>
        <v>standalone</v>
      </c>
    </row>
    <row r="4800" spans="1:14">
      <c r="A4800" s="6">
        <v>2024</v>
      </c>
      <c r="B4800" s="6">
        <v>11</v>
      </c>
      <c r="C4800" s="6" t="s">
        <v>70</v>
      </c>
      <c r="D4800" s="6" t="s">
        <v>725</v>
      </c>
      <c r="E4800" s="6" t="s">
        <v>502</v>
      </c>
      <c r="F4800" s="6" t="str">
        <f>IF($M4800="PADD I","PADD 1",IF($M4800="PADD II","PADD 2",IF($M4800="PADD III","PADD 3",IF($M4800="PADD IV","PADD 4",IF($M4800="PADD V","PADD 5","")))))</f>
        <v>PADD 2</v>
      </c>
      <c r="G4800" s="6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6" t="s">
        <v>44</v>
      </c>
      <c r="I4800" s="6" t="s">
        <v>1192</v>
      </c>
      <c r="J4800" s="6" t="s">
        <v>394</v>
      </c>
      <c r="K4800" s="10">
        <v>3.15</v>
      </c>
      <c r="L4800" s="10">
        <v>45</v>
      </c>
      <c r="M4800" s="6" t="s">
        <v>425</v>
      </c>
      <c r="N4800" s="6">
        <f>IF(OR($G4800="FCC",$G4800="Hydrocracker",$G4800="Reformer"),IF(COUNTIFS($D:$D,$D4800,$A:$A,$A4800,$B:$B,$B4800,$G:$G,"CDU",$J:$J,"PLANNED")&gt;0,"tied","standalone"),"")</f>
        <v/>
      </c>
    </row>
    <row r="4801" spans="1:14">
      <c r="A4801" s="6">
        <v>2024</v>
      </c>
      <c r="B4801" s="6">
        <v>11</v>
      </c>
      <c r="C4801" s="6" t="s">
        <v>70</v>
      </c>
      <c r="D4801" s="6" t="s">
        <v>1191</v>
      </c>
      <c r="E4801" s="6" t="s">
        <v>1129</v>
      </c>
      <c r="F4801" s="6" t="str">
        <f>IF($M4801="PADD I","PADD 1",IF($M4801="PADD II","PADD 2",IF($M4801="PADD III","PADD 3",IF($M4801="PADD IV","PADD 4",IF($M4801="PADD V","PADD 5","")))))</f>
        <v>PADD 3</v>
      </c>
      <c r="G4801" s="6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6" t="s">
        <v>471</v>
      </c>
      <c r="I4801" s="6" t="s">
        <v>609</v>
      </c>
      <c r="J4801" s="6" t="s">
        <v>398</v>
      </c>
      <c r="K4801" s="10">
        <v>3.105</v>
      </c>
      <c r="L4801" s="10">
        <v>13.5</v>
      </c>
      <c r="M4801" s="6" t="s">
        <v>421</v>
      </c>
      <c r="N4801" s="6" t="str">
        <f>IF(OR($G4801="FCC",$G4801="Hydrocracker",$G4801="Reformer"),IF(COUNTIFS($D:$D,$D4801,$A:$A,$A4801,$B:$B,$B4801,$G:$G,"CDU",$J:$J,"PLANNED")&gt;0,"tied","standalone"),"")</f>
        <v>tied</v>
      </c>
    </row>
    <row r="4802" spans="1:14">
      <c r="A4802" s="6">
        <v>2024</v>
      </c>
      <c r="B4802" s="6">
        <v>11</v>
      </c>
      <c r="C4802" s="6" t="s">
        <v>70</v>
      </c>
      <c r="D4802" s="6" t="s">
        <v>849</v>
      </c>
      <c r="E4802" s="6" t="s">
        <v>441</v>
      </c>
      <c r="F4802" s="6" t="str">
        <f>IF($M4802="PADD I","PADD 1",IF($M4802="PADD II","PADD 2",IF($M4802="PADD III","PADD 3",IF($M4802="PADD IV","PADD 4",IF($M4802="PADD V","PADD 5","")))))</f>
        <v>PADD 4</v>
      </c>
      <c r="G4802" s="6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6" t="s">
        <v>485</v>
      </c>
      <c r="I4802" s="6" t="s">
        <v>1238</v>
      </c>
      <c r="J4802" s="6" t="s">
        <v>394</v>
      </c>
      <c r="K4802" s="10">
        <v>3</v>
      </c>
      <c r="L4802" s="10">
        <v>10</v>
      </c>
      <c r="M4802" s="6" t="s">
        <v>480</v>
      </c>
      <c r="N4802" s="6">
        <f>IF(OR($G4802="FCC",$G4802="Hydrocracker",$G4802="Reformer"),IF(COUNTIFS($D:$D,$D4802,$A:$A,$A4802,$B:$B,$B4802,$G:$G,"CDU",$J:$J,"PLANNED")&gt;0,"tied","standalone"),"")</f>
        <v/>
      </c>
    </row>
    <row r="4803" spans="1:14">
      <c r="A4803" s="6">
        <v>2024</v>
      </c>
      <c r="B4803" s="6">
        <v>11</v>
      </c>
      <c r="C4803" s="6" t="s">
        <v>70</v>
      </c>
      <c r="D4803" s="6" t="s">
        <v>725</v>
      </c>
      <c r="E4803" s="6" t="s">
        <v>502</v>
      </c>
      <c r="F4803" s="6" t="str">
        <f>IF($M4803="PADD I","PADD 1",IF($M4803="PADD II","PADD 2",IF($M4803="PADD III","PADD 3",IF($M4803="PADD IV","PADD 4",IF($M4803="PADD V","PADD 5","")))))</f>
        <v>PADD 2</v>
      </c>
      <c r="G4803" s="6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6" t="s">
        <v>471</v>
      </c>
      <c r="I4803" s="6" t="s">
        <v>748</v>
      </c>
      <c r="J4803" s="6" t="s">
        <v>398</v>
      </c>
      <c r="K4803" s="10">
        <v>2.86</v>
      </c>
      <c r="L4803" s="10">
        <v>22</v>
      </c>
      <c r="M4803" s="6" t="s">
        <v>425</v>
      </c>
      <c r="N4803" s="6" t="str">
        <f>IF(OR($G4803="FCC",$G4803="Hydrocracker",$G4803="Reformer"),IF(COUNTIFS($D:$D,$D4803,$A:$A,$A4803,$B:$B,$B4803,$G:$G,"CDU",$J:$J,"PLANNED")&gt;0,"tied","standalone"),"")</f>
        <v>tied</v>
      </c>
    </row>
    <row r="4804" spans="1:14">
      <c r="A4804" s="6">
        <v>2024</v>
      </c>
      <c r="B4804" s="6">
        <v>11</v>
      </c>
      <c r="C4804" s="6" t="s">
        <v>70</v>
      </c>
      <c r="D4804" s="6" t="s">
        <v>561</v>
      </c>
      <c r="E4804" s="6" t="s">
        <v>455</v>
      </c>
      <c r="F4804" s="6" t="str">
        <f>IF($M4804="PADD I","PADD 1",IF($M4804="PADD II","PADD 2",IF($M4804="PADD III","PADD 3",IF($M4804="PADD IV","PADD 4",IF($M4804="PADD V","PADD 5","")))))</f>
        <v>PADD 3</v>
      </c>
      <c r="G4804" s="6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6" t="s">
        <v>39</v>
      </c>
      <c r="I4804" s="6" t="s">
        <v>116</v>
      </c>
      <c r="J4804" s="6" t="s">
        <v>394</v>
      </c>
      <c r="K4804" s="10">
        <v>2.85</v>
      </c>
      <c r="L4804" s="10">
        <v>95</v>
      </c>
      <c r="M4804" s="6" t="s">
        <v>421</v>
      </c>
      <c r="N4804" s="6">
        <f>IF(OR($G4804="FCC",$G4804="Hydrocracker",$G4804="Reformer"),IF(COUNTIFS($D:$D,$D4804,$A:$A,$A4804,$B:$B,$B4804,$G:$G,"CDU",$J:$J,"PLANNED")&gt;0,"tied","standalone"),"")</f>
        <v/>
      </c>
    </row>
    <row r="4805" spans="1:14">
      <c r="A4805" s="6">
        <v>2024</v>
      </c>
      <c r="B4805" s="6">
        <v>11</v>
      </c>
      <c r="C4805" s="6" t="s">
        <v>70</v>
      </c>
      <c r="D4805" s="6" t="s">
        <v>849</v>
      </c>
      <c r="E4805" s="6" t="s">
        <v>441</v>
      </c>
      <c r="F4805" s="6" t="str">
        <f>IF($M4805="PADD I","PADD 1",IF($M4805="PADD II","PADD 2",IF($M4805="PADD III","PADD 3",IF($M4805="PADD IV","PADD 4",IF($M4805="PADD V","PADD 5","")))))</f>
        <v>PADD 4</v>
      </c>
      <c r="G4805" s="6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6" t="s">
        <v>44</v>
      </c>
      <c r="I4805" s="6" t="s">
        <v>850</v>
      </c>
      <c r="J4805" s="6" t="s">
        <v>394</v>
      </c>
      <c r="K4805" s="10">
        <v>2.79</v>
      </c>
      <c r="L4805" s="10">
        <v>27.9</v>
      </c>
      <c r="M4805" s="6" t="s">
        <v>480</v>
      </c>
      <c r="N4805" s="6">
        <f>IF(OR($G4805="FCC",$G4805="Hydrocracker",$G4805="Reformer"),IF(COUNTIFS($D:$D,$D4805,$A:$A,$A4805,$B:$B,$B4805,$G:$G,"CDU",$J:$J,"PLANNED")&gt;0,"tied","standalone"),"")</f>
        <v/>
      </c>
    </row>
    <row r="4806" spans="1:14">
      <c r="A4806" s="6">
        <v>2024</v>
      </c>
      <c r="B4806" s="6">
        <v>11</v>
      </c>
      <c r="C4806" s="6" t="s">
        <v>70</v>
      </c>
      <c r="D4806" s="6" t="s">
        <v>507</v>
      </c>
      <c r="E4806" s="6" t="s">
        <v>438</v>
      </c>
      <c r="F4806" s="6" t="str">
        <f>IF($M4806="PADD I","PADD 1",IF($M4806="PADD II","PADD 2",IF($M4806="PADD III","PADD 3",IF($M4806="PADD IV","PADD 4",IF($M4806="PADD V","PADD 5","")))))</f>
        <v>PADD 5</v>
      </c>
      <c r="G4806" s="6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6" t="s">
        <v>471</v>
      </c>
      <c r="I4806" s="6" t="s">
        <v>607</v>
      </c>
      <c r="J4806" s="6" t="s">
        <v>394</v>
      </c>
      <c r="K4806" s="10">
        <v>2.6</v>
      </c>
      <c r="L4806" s="10">
        <v>20</v>
      </c>
      <c r="M4806" s="6" t="s">
        <v>436</v>
      </c>
      <c r="N4806" s="6" t="str">
        <f>IF(OR($G4806="FCC",$G4806="Hydrocracker",$G4806="Reformer"),IF(COUNTIFS($D:$D,$D4806,$A:$A,$A4806,$B:$B,$B4806,$G:$G,"CDU",$J:$J,"PLANNED")&gt;0,"tied","standalone"),"")</f>
        <v>standalone</v>
      </c>
    </row>
    <row r="4807" spans="1:14">
      <c r="A4807" s="6">
        <v>2024</v>
      </c>
      <c r="B4807" s="6">
        <v>11</v>
      </c>
      <c r="C4807" s="6" t="s">
        <v>70</v>
      </c>
      <c r="D4807" s="6" t="s">
        <v>824</v>
      </c>
      <c r="E4807" s="6" t="s">
        <v>825</v>
      </c>
      <c r="F4807" s="6" t="str">
        <f>IF($M4807="PADD I","PADD 1",IF($M4807="PADD II","PADD 2",IF($M4807="PADD III","PADD 3",IF($M4807="PADD IV","PADD 4",IF($M4807="PADD V","PADD 5","")))))</f>
        <v>PADD 1</v>
      </c>
      <c r="G4807" s="6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6" t="s">
        <v>426</v>
      </c>
      <c r="I4807" s="6" t="s">
        <v>106</v>
      </c>
      <c r="J4807" s="6" t="s">
        <v>394</v>
      </c>
      <c r="K4807" s="10">
        <v>2.46</v>
      </c>
      <c r="L4807" s="10">
        <v>82</v>
      </c>
      <c r="M4807" s="6" t="s">
        <v>463</v>
      </c>
      <c r="N4807" s="6" t="str">
        <f>IF(OR($G4807="FCC",$G4807="Hydrocracker",$G4807="Reformer"),IF(COUNTIFS($D:$D,$D4807,$A:$A,$A4807,$B:$B,$B4807,$G:$G,"CDU",$J:$J,"PLANNED")&gt;0,"tied","standalone"),"")</f>
        <v>standalone</v>
      </c>
    </row>
    <row r="4808" spans="1:14">
      <c r="A4808" s="6">
        <v>2024</v>
      </c>
      <c r="B4808" s="6">
        <v>11</v>
      </c>
      <c r="C4808" s="6" t="s">
        <v>70</v>
      </c>
      <c r="D4808" s="6" t="s">
        <v>422</v>
      </c>
      <c r="E4808" s="6" t="s">
        <v>423</v>
      </c>
      <c r="F4808" s="6" t="str">
        <f>IF($M4808="PADD I","PADD 1",IF($M4808="PADD II","PADD 2",IF($M4808="PADD III","PADD 3",IF($M4808="PADD IV","PADD 4",IF($M4808="PADD V","PADD 5","")))))</f>
        <v>PADD 2</v>
      </c>
      <c r="G4808" s="6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6" t="s">
        <v>485</v>
      </c>
      <c r="I4808" s="6" t="s">
        <v>634</v>
      </c>
      <c r="J4808" s="6" t="s">
        <v>394</v>
      </c>
      <c r="K4808" s="10">
        <v>2.25</v>
      </c>
      <c r="L4808" s="10">
        <v>7.5</v>
      </c>
      <c r="M4808" s="6" t="s">
        <v>425</v>
      </c>
      <c r="N4808" s="6">
        <f>IF(OR($G4808="FCC",$G4808="Hydrocracker",$G4808="Reformer"),IF(COUNTIFS($D:$D,$D4808,$A:$A,$A4808,$B:$B,$B4808,$G:$G,"CDU",$J:$J,"PLANNED")&gt;0,"tied","standalone"),"")</f>
        <v/>
      </c>
    </row>
    <row r="4809" spans="1:14">
      <c r="A4809" s="6">
        <v>2024</v>
      </c>
      <c r="B4809" s="6">
        <v>11</v>
      </c>
      <c r="C4809" s="6" t="s">
        <v>70</v>
      </c>
      <c r="D4809" s="6" t="s">
        <v>1113</v>
      </c>
      <c r="E4809" s="6" t="s">
        <v>438</v>
      </c>
      <c r="F4809" s="6" t="str">
        <f>IF($M4809="PADD I","PADD 1",IF($M4809="PADD II","PADD 2",IF($M4809="PADD III","PADD 3",IF($M4809="PADD IV","PADD 4",IF($M4809="PADD V","PADD 5","")))))</f>
        <v>PADD 2</v>
      </c>
      <c r="G4809" s="6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6" t="s">
        <v>471</v>
      </c>
      <c r="I4809" s="6" t="s">
        <v>1119</v>
      </c>
      <c r="J4809" s="6" t="s">
        <v>394</v>
      </c>
      <c r="K4809" s="10">
        <v>2.15</v>
      </c>
      <c r="L4809" s="10">
        <v>21.5</v>
      </c>
      <c r="M4809" s="6" t="s">
        <v>425</v>
      </c>
      <c r="N4809" s="6" t="str">
        <f>IF(OR($G4809="FCC",$G4809="Hydrocracker",$G4809="Reformer"),IF(COUNTIFS($D:$D,$D4809,$A:$A,$A4809,$B:$B,$B4809,$G:$G,"CDU",$J:$J,"PLANNED")&gt;0,"tied","standalone"),"")</f>
        <v>standalone</v>
      </c>
    </row>
    <row r="4810" spans="1:14">
      <c r="A4810" s="6">
        <v>2024</v>
      </c>
      <c r="B4810" s="6">
        <v>11</v>
      </c>
      <c r="C4810" s="6" t="s">
        <v>70</v>
      </c>
      <c r="D4810" s="6" t="s">
        <v>378</v>
      </c>
      <c r="E4810" s="6" t="s">
        <v>477</v>
      </c>
      <c r="F4810" s="6" t="str">
        <f>IF($M4810="PADD I","PADD 1",IF($M4810="PADD II","PADD 2",IF($M4810="PADD III","PADD 3",IF($M4810="PADD IV","PADD 4",IF($M4810="PADD V","PADD 5","")))))</f>
        <v>PADD 3</v>
      </c>
      <c r="G4810" s="6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6" t="s">
        <v>44</v>
      </c>
      <c r="I4810" s="6" t="s">
        <v>1258</v>
      </c>
      <c r="J4810" s="6" t="s">
        <v>394</v>
      </c>
      <c r="K4810" s="10">
        <v>1.86</v>
      </c>
      <c r="L4810" s="10">
        <v>62</v>
      </c>
      <c r="M4810" s="6" t="s">
        <v>421</v>
      </c>
      <c r="N4810" s="6">
        <f>IF(OR($G4810="FCC",$G4810="Hydrocracker",$G4810="Reformer"),IF(COUNTIFS($D:$D,$D4810,$A:$A,$A4810,$B:$B,$B4810,$G:$G,"CDU",$J:$J,"PLANNED")&gt;0,"tied","standalone"),"")</f>
        <v/>
      </c>
    </row>
    <row r="4811" spans="1:14">
      <c r="A4811" s="6">
        <v>2024</v>
      </c>
      <c r="B4811" s="6">
        <v>11</v>
      </c>
      <c r="C4811" s="6" t="s">
        <v>70</v>
      </c>
      <c r="D4811" s="6" t="s">
        <v>788</v>
      </c>
      <c r="E4811" s="6" t="s">
        <v>602</v>
      </c>
      <c r="F4811" s="6" t="str">
        <f>IF($M4811="PADD I","PADD 1",IF($M4811="PADD II","PADD 2",IF($M4811="PADD III","PADD 3",IF($M4811="PADD IV","PADD 4",IF($M4811="PADD V","PADD 5","")))))</f>
        <v>PADD 3</v>
      </c>
      <c r="G4811" s="6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6" t="s">
        <v>947</v>
      </c>
      <c r="I4811" s="6" t="s">
        <v>947</v>
      </c>
      <c r="J4811" s="6" t="s">
        <v>398</v>
      </c>
      <c r="K4811" s="10">
        <v>1.8</v>
      </c>
      <c r="L4811" s="10">
        <v>1.8</v>
      </c>
      <c r="M4811" s="6" t="s">
        <v>421</v>
      </c>
      <c r="N4811" s="6">
        <f>IF(OR($G4811="FCC",$G4811="Hydrocracker",$G4811="Reformer"),IF(COUNTIFS($D:$D,$D4811,$A:$A,$A4811,$B:$B,$B4811,$G:$G,"CDU",$J:$J,"PLANNED")&gt;0,"tied","standalone"),"")</f>
        <v/>
      </c>
    </row>
    <row r="4812" spans="1:14">
      <c r="A4812" s="6">
        <v>2024</v>
      </c>
      <c r="B4812" s="6">
        <v>11</v>
      </c>
      <c r="C4812" s="6" t="s">
        <v>70</v>
      </c>
      <c r="D4812" s="6" t="s">
        <v>889</v>
      </c>
      <c r="E4812" s="6" t="s">
        <v>890</v>
      </c>
      <c r="F4812" s="6" t="str">
        <f>IF($M4812="PADD I","PADD 1",IF($M4812="PADD II","PADD 2",IF($M4812="PADD III","PADD 3",IF($M4812="PADD IV","PADD 4",IF($M4812="PADD V","PADD 5","")))))</f>
        <v>PADD 1</v>
      </c>
      <c r="G4812" s="6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6" t="s">
        <v>44</v>
      </c>
      <c r="I4812" s="6" t="s">
        <v>891</v>
      </c>
      <c r="J4812" s="6" t="s">
        <v>394</v>
      </c>
      <c r="K4812" s="10">
        <v>1.75</v>
      </c>
      <c r="L4812" s="10">
        <v>25</v>
      </c>
      <c r="M4812" s="6" t="s">
        <v>463</v>
      </c>
      <c r="N4812" s="6">
        <f>IF(OR($G4812="FCC",$G4812="Hydrocracker",$G4812="Reformer"),IF(COUNTIFS($D:$D,$D4812,$A:$A,$A4812,$B:$B,$B4812,$G:$G,"CDU",$J:$J,"PLANNED")&gt;0,"tied","standalone"),"")</f>
        <v/>
      </c>
    </row>
    <row r="4813" spans="1:14">
      <c r="A4813" s="6">
        <v>2024</v>
      </c>
      <c r="B4813" s="6">
        <v>11</v>
      </c>
      <c r="C4813" s="6" t="s">
        <v>70</v>
      </c>
      <c r="D4813" s="6" t="s">
        <v>889</v>
      </c>
      <c r="E4813" s="6" t="s">
        <v>890</v>
      </c>
      <c r="F4813" s="6" t="str">
        <f>IF($M4813="PADD I","PADD 1",IF($M4813="PADD II","PADD 2",IF($M4813="PADD III","PADD 3",IF($M4813="PADD IV","PADD 4",IF($M4813="PADD V","PADD 5","")))))</f>
        <v>PADD 1</v>
      </c>
      <c r="G4813" s="6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6" t="s">
        <v>426</v>
      </c>
      <c r="I4813" s="6" t="s">
        <v>106</v>
      </c>
      <c r="J4813" s="6" t="s">
        <v>394</v>
      </c>
      <c r="K4813" s="10">
        <v>1.75</v>
      </c>
      <c r="L4813" s="10">
        <v>25</v>
      </c>
      <c r="M4813" s="6" t="s">
        <v>463</v>
      </c>
      <c r="N4813" s="6" t="str">
        <f>IF(OR($G4813="FCC",$G4813="Hydrocracker",$G4813="Reformer"),IF(COUNTIFS($D:$D,$D4813,$A:$A,$A4813,$B:$B,$B4813,$G:$G,"CDU",$J:$J,"PLANNED")&gt;0,"tied","standalone"),"")</f>
        <v>standalone</v>
      </c>
    </row>
    <row r="4814" spans="1:14">
      <c r="A4814" s="6">
        <v>2024</v>
      </c>
      <c r="B4814" s="6">
        <v>11</v>
      </c>
      <c r="C4814" s="6" t="s">
        <v>70</v>
      </c>
      <c r="D4814" s="6" t="s">
        <v>626</v>
      </c>
      <c r="E4814" s="6" t="s">
        <v>419</v>
      </c>
      <c r="F4814" s="6" t="str">
        <f>IF($M4814="PADD I","PADD 1",IF($M4814="PADD II","PADD 2",IF($M4814="PADD III","PADD 3",IF($M4814="PADD IV","PADD 4",IF($M4814="PADD V","PADD 5","")))))</f>
        <v>PADD 3</v>
      </c>
      <c r="G4814" s="6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6" t="s">
        <v>618</v>
      </c>
      <c r="I4814" s="6" t="s">
        <v>654</v>
      </c>
      <c r="J4814" s="6" t="s">
        <v>394</v>
      </c>
      <c r="K4814" s="10">
        <v>1.75</v>
      </c>
      <c r="L4814" s="10">
        <v>25</v>
      </c>
      <c r="M4814" s="6" t="s">
        <v>421</v>
      </c>
      <c r="N4814" s="6">
        <f>IF(OR($G4814="FCC",$G4814="Hydrocracker",$G4814="Reformer"),IF(COUNTIFS($D:$D,$D4814,$A:$A,$A4814,$B:$B,$B4814,$G:$G,"CDU",$J:$J,"PLANNED")&gt;0,"tied","standalone"),"")</f>
        <v/>
      </c>
    </row>
    <row r="4815" spans="1:14">
      <c r="A4815" s="6">
        <v>2024</v>
      </c>
      <c r="B4815" s="6">
        <v>11</v>
      </c>
      <c r="C4815" s="6" t="s">
        <v>70</v>
      </c>
      <c r="D4815" s="6" t="s">
        <v>41</v>
      </c>
      <c r="E4815" s="6" t="s">
        <v>786</v>
      </c>
      <c r="F4815" s="6" t="str">
        <f>IF($M4815="PADD I","PADD 1",IF($M4815="PADD II","PADD 2",IF($M4815="PADD III","PADD 3",IF($M4815="PADD IV","PADD 4",IF($M4815="PADD V","PADD 5","")))))</f>
        <v>PADD 1</v>
      </c>
      <c r="G4815" s="6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6" t="s">
        <v>428</v>
      </c>
      <c r="I4815" s="6" t="s">
        <v>1060</v>
      </c>
      <c r="J4815" s="6" t="s">
        <v>398</v>
      </c>
      <c r="K4815" s="10">
        <v>1.7031</v>
      </c>
      <c r="L4815" s="10">
        <v>24.33</v>
      </c>
      <c r="M4815" s="6" t="s">
        <v>463</v>
      </c>
      <c r="N4815" s="6">
        <f>IF(OR($G4815="FCC",$G4815="Hydrocracker",$G4815="Reformer"),IF(COUNTIFS($D:$D,$D4815,$A:$A,$A4815,$B:$B,$B4815,$G:$G,"CDU",$J:$J,"PLANNED")&gt;0,"tied","standalone"),"")</f>
        <v/>
      </c>
    </row>
    <row r="4816" spans="1:14">
      <c r="A4816" s="6">
        <v>2024</v>
      </c>
      <c r="B4816" s="6">
        <v>11</v>
      </c>
      <c r="C4816" s="6" t="s">
        <v>70</v>
      </c>
      <c r="D4816" s="6" t="s">
        <v>889</v>
      </c>
      <c r="E4816" s="6" t="s">
        <v>890</v>
      </c>
      <c r="F4816" s="6" t="str">
        <f>IF($M4816="PADD I","PADD 1",IF($M4816="PADD II","PADD 2",IF($M4816="PADD III","PADD 3",IF($M4816="PADD IV","PADD 4",IF($M4816="PADD V","PADD 5","")))))</f>
        <v>PADD 1</v>
      </c>
      <c r="G4816" s="6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6" t="s">
        <v>428</v>
      </c>
      <c r="I4816" s="6" t="s">
        <v>481</v>
      </c>
      <c r="J4816" s="6" t="s">
        <v>394</v>
      </c>
      <c r="K4816" s="10">
        <v>1.4</v>
      </c>
      <c r="L4816" s="10">
        <v>20</v>
      </c>
      <c r="M4816" s="6" t="s">
        <v>463</v>
      </c>
      <c r="N4816" s="6">
        <f>IF(OR($G4816="FCC",$G4816="Hydrocracker",$G4816="Reformer"),IF(COUNTIFS($D:$D,$D4816,$A:$A,$A4816,$B:$B,$B4816,$G:$G,"CDU",$J:$J,"PLANNED")&gt;0,"tied","standalone"),"")</f>
        <v/>
      </c>
    </row>
    <row r="4817" spans="1:14">
      <c r="A4817" s="6">
        <v>2024</v>
      </c>
      <c r="B4817" s="6">
        <v>11</v>
      </c>
      <c r="C4817" s="6" t="s">
        <v>70</v>
      </c>
      <c r="D4817" s="6" t="s">
        <v>507</v>
      </c>
      <c r="E4817" s="6" t="s">
        <v>438</v>
      </c>
      <c r="F4817" s="6" t="str">
        <f>IF($M4817="PADD I","PADD 1",IF($M4817="PADD II","PADD 2",IF($M4817="PADD III","PADD 3",IF($M4817="PADD IV","PADD 4",IF($M4817="PADD V","PADD 5","")))))</f>
        <v>PADD 5</v>
      </c>
      <c r="G4817" s="6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6" t="s">
        <v>471</v>
      </c>
      <c r="I4817" s="6" t="s">
        <v>609</v>
      </c>
      <c r="J4817" s="6" t="s">
        <v>394</v>
      </c>
      <c r="K4817" s="10">
        <v>1.4</v>
      </c>
      <c r="L4817" s="10">
        <v>20</v>
      </c>
      <c r="M4817" s="6" t="s">
        <v>436</v>
      </c>
      <c r="N4817" s="6" t="str">
        <f>IF(OR($G4817="FCC",$G4817="Hydrocracker",$G4817="Reformer"),IF(COUNTIFS($D:$D,$D4817,$A:$A,$A4817,$B:$B,$B4817,$G:$G,"CDU",$J:$J,"PLANNED")&gt;0,"tied","standalone"),"")</f>
        <v>standalone</v>
      </c>
    </row>
    <row r="4818" spans="1:14">
      <c r="A4818" s="6">
        <v>2024</v>
      </c>
      <c r="B4818" s="6">
        <v>11</v>
      </c>
      <c r="C4818" s="6" t="s">
        <v>70</v>
      </c>
      <c r="D4818" s="6" t="s">
        <v>626</v>
      </c>
      <c r="E4818" s="6" t="s">
        <v>419</v>
      </c>
      <c r="F4818" s="6" t="str">
        <f>IF($M4818="PADD I","PADD 1",IF($M4818="PADD II","PADD 2",IF($M4818="PADD III","PADD 3",IF($M4818="PADD IV","PADD 4",IF($M4818="PADD V","PADD 5","")))))</f>
        <v>PADD 3</v>
      </c>
      <c r="G4818" s="6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6" t="s">
        <v>510</v>
      </c>
      <c r="I4818" s="6" t="s">
        <v>511</v>
      </c>
      <c r="J4818" s="6" t="s">
        <v>398</v>
      </c>
      <c r="K4818" s="10">
        <v>1.365</v>
      </c>
      <c r="L4818" s="10">
        <v>10.5</v>
      </c>
      <c r="M4818" s="6" t="s">
        <v>421</v>
      </c>
      <c r="N4818" s="6">
        <f>IF(OR($G4818="FCC",$G4818="Hydrocracker",$G4818="Reformer"),IF(COUNTIFS($D:$D,$D4818,$A:$A,$A4818,$B:$B,$B4818,$G:$G,"CDU",$J:$J,"PLANNED")&gt;0,"tied","standalone"),"")</f>
        <v/>
      </c>
    </row>
    <row r="4819" spans="1:14">
      <c r="A4819" s="6">
        <v>2024</v>
      </c>
      <c r="B4819" s="6">
        <v>11</v>
      </c>
      <c r="C4819" s="6" t="s">
        <v>70</v>
      </c>
      <c r="D4819" s="6" t="s">
        <v>824</v>
      </c>
      <c r="E4819" s="6" t="s">
        <v>825</v>
      </c>
      <c r="F4819" s="6" t="str">
        <f>IF($M4819="PADD I","PADD 1",IF($M4819="PADD II","PADD 2",IF($M4819="PADD III","PADD 3",IF($M4819="PADD IV","PADD 4",IF($M4819="PADD V","PADD 5","")))))</f>
        <v>PADD 1</v>
      </c>
      <c r="G4819" s="6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6" t="s">
        <v>494</v>
      </c>
      <c r="I4819" s="6" t="s">
        <v>14</v>
      </c>
      <c r="J4819" s="6" t="s">
        <v>394</v>
      </c>
      <c r="K4819" s="10">
        <v>1.26</v>
      </c>
      <c r="L4819" s="10">
        <v>18</v>
      </c>
      <c r="M4819" s="6" t="s">
        <v>463</v>
      </c>
      <c r="N4819" s="6" t="str">
        <f>IF(OR($G4819="FCC",$G4819="Hydrocracker",$G4819="Reformer"),IF(COUNTIFS($D:$D,$D4819,$A:$A,$A4819,$B:$B,$B4819,$G:$G,"CDU",$J:$J,"PLANNED")&gt;0,"tied","standalone"),"")</f>
        <v>standalone</v>
      </c>
    </row>
    <row r="4820" spans="1:14">
      <c r="A4820" s="6">
        <v>2024</v>
      </c>
      <c r="B4820" s="6">
        <v>11</v>
      </c>
      <c r="C4820" s="6" t="s">
        <v>70</v>
      </c>
      <c r="D4820" s="6" t="s">
        <v>613</v>
      </c>
      <c r="E4820" s="6" t="s">
        <v>446</v>
      </c>
      <c r="F4820" s="6" t="str">
        <f>IF($M4820="PADD I","PADD 1",IF($M4820="PADD II","PADD 2",IF($M4820="PADD III","PADD 3",IF($M4820="PADD IV","PADD 4",IF($M4820="PADD V","PADD 5","")))))</f>
        <v>PADD 3</v>
      </c>
      <c r="G4820" s="6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6" t="s">
        <v>44</v>
      </c>
      <c r="I4820" s="6" t="s">
        <v>614</v>
      </c>
      <c r="J4820" s="6" t="s">
        <v>394</v>
      </c>
      <c r="K4820" s="10">
        <v>1.227</v>
      </c>
      <c r="L4820" s="10">
        <v>40.9</v>
      </c>
      <c r="M4820" s="6" t="s">
        <v>421</v>
      </c>
      <c r="N4820" s="6">
        <f>IF(OR($G4820="FCC",$G4820="Hydrocracker",$G4820="Reformer"),IF(COUNTIFS($D:$D,$D4820,$A:$A,$A4820,$B:$B,$B4820,$G:$G,"CDU",$J:$J,"PLANNED")&gt;0,"tied","standalone"),"")</f>
        <v/>
      </c>
    </row>
    <row r="4821" spans="1:14">
      <c r="A4821" s="6">
        <v>2024</v>
      </c>
      <c r="B4821" s="6">
        <v>11</v>
      </c>
      <c r="C4821" s="6" t="s">
        <v>70</v>
      </c>
      <c r="D4821" s="6" t="s">
        <v>1113</v>
      </c>
      <c r="E4821" s="6" t="s">
        <v>438</v>
      </c>
      <c r="F4821" s="6" t="str">
        <f>IF($M4821="PADD I","PADD 1",IF($M4821="PADD II","PADD 2",IF($M4821="PADD III","PADD 3",IF($M4821="PADD IV","PADD 4",IF($M4821="PADD V","PADD 5","")))))</f>
        <v>PADD 2</v>
      </c>
      <c r="G4821" s="6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6" t="s">
        <v>44</v>
      </c>
      <c r="I4821" s="6" t="s">
        <v>739</v>
      </c>
      <c r="J4821" s="6" t="s">
        <v>394</v>
      </c>
      <c r="K4821" s="10">
        <v>1.19</v>
      </c>
      <c r="L4821" s="10">
        <v>7</v>
      </c>
      <c r="M4821" s="6" t="s">
        <v>425</v>
      </c>
      <c r="N4821" s="6">
        <f>IF(OR($G4821="FCC",$G4821="Hydrocracker",$G4821="Reformer"),IF(COUNTIFS($D:$D,$D4821,$A:$A,$A4821,$B:$B,$B4821,$G:$G,"CDU",$J:$J,"PLANNED")&gt;0,"tied","standalone"),"")</f>
        <v/>
      </c>
    </row>
    <row r="4822" spans="1:14">
      <c r="A4822" s="6">
        <v>2024</v>
      </c>
      <c r="B4822" s="6">
        <v>11</v>
      </c>
      <c r="C4822" s="6" t="s">
        <v>70</v>
      </c>
      <c r="D4822" s="6" t="s">
        <v>812</v>
      </c>
      <c r="E4822" s="6" t="s">
        <v>813</v>
      </c>
      <c r="F4822" s="6" t="str">
        <f>IF($M4822="PADD I","PADD 1",IF($M4822="PADD II","PADD 2",IF($M4822="PADD III","PADD 3",IF($M4822="PADD IV","PADD 4",IF($M4822="PADD V","PADD 5","")))))</f>
        <v>PADD 2</v>
      </c>
      <c r="G4822" s="6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6" t="s">
        <v>39</v>
      </c>
      <c r="I4822" s="6" t="s">
        <v>132</v>
      </c>
      <c r="J4822" s="6" t="s">
        <v>394</v>
      </c>
      <c r="K4822" s="10">
        <v>1.17</v>
      </c>
      <c r="L4822" s="10">
        <v>39</v>
      </c>
      <c r="M4822" s="6" t="s">
        <v>425</v>
      </c>
      <c r="N4822" s="6">
        <f>IF(OR($G4822="FCC",$G4822="Hydrocracker",$G4822="Reformer"),IF(COUNTIFS($D:$D,$D4822,$A:$A,$A4822,$B:$B,$B4822,$G:$G,"CDU",$J:$J,"PLANNED")&gt;0,"tied","standalone"),"")</f>
        <v/>
      </c>
    </row>
    <row r="4823" spans="1:14">
      <c r="A4823" s="6">
        <v>2024</v>
      </c>
      <c r="B4823" s="6">
        <v>11</v>
      </c>
      <c r="C4823" s="6" t="s">
        <v>70</v>
      </c>
      <c r="D4823" s="6" t="s">
        <v>812</v>
      </c>
      <c r="E4823" s="6" t="s">
        <v>813</v>
      </c>
      <c r="F4823" s="6" t="str">
        <f>IF($M4823="PADD I","PADD 1",IF($M4823="PADD II","PADD 2",IF($M4823="PADD III","PADD 3",IF($M4823="PADD IV","PADD 4",IF($M4823="PADD V","PADD 5","")))))</f>
        <v>PADD 2</v>
      </c>
      <c r="G4823" s="6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6" t="s">
        <v>39</v>
      </c>
      <c r="I4823" s="6" t="s">
        <v>379</v>
      </c>
      <c r="J4823" s="6" t="s">
        <v>394</v>
      </c>
      <c r="K4823" s="10">
        <v>1.17</v>
      </c>
      <c r="L4823" s="10">
        <v>39</v>
      </c>
      <c r="M4823" s="6" t="s">
        <v>425</v>
      </c>
      <c r="N4823" s="6">
        <f>IF(OR($G4823="FCC",$G4823="Hydrocracker",$G4823="Reformer"),IF(COUNTIFS($D:$D,$D4823,$A:$A,$A4823,$B:$B,$B4823,$G:$G,"CDU",$J:$J,"PLANNED")&gt;0,"tied","standalone"),"")</f>
        <v/>
      </c>
    </row>
    <row r="4824" spans="1:14">
      <c r="A4824" s="6">
        <v>2024</v>
      </c>
      <c r="B4824" s="6">
        <v>11</v>
      </c>
      <c r="C4824" s="6" t="s">
        <v>70</v>
      </c>
      <c r="D4824" s="6" t="s">
        <v>824</v>
      </c>
      <c r="E4824" s="6" t="s">
        <v>825</v>
      </c>
      <c r="F4824" s="6" t="str">
        <f>IF($M4824="PADD I","PADD 1",IF($M4824="PADD II","PADD 2",IF($M4824="PADD III","PADD 3",IF($M4824="PADD IV","PADD 4",IF($M4824="PADD V","PADD 5","")))))</f>
        <v>PADD 1</v>
      </c>
      <c r="G4824" s="6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6" t="s">
        <v>471</v>
      </c>
      <c r="I4824" s="6" t="s">
        <v>1120</v>
      </c>
      <c r="J4824" s="6" t="s">
        <v>394</v>
      </c>
      <c r="K4824" s="10">
        <v>1.107</v>
      </c>
      <c r="L4824" s="10">
        <v>36.9</v>
      </c>
      <c r="M4824" s="6" t="s">
        <v>463</v>
      </c>
      <c r="N4824" s="6" t="str">
        <f>IF(OR($G4824="FCC",$G4824="Hydrocracker",$G4824="Reformer"),IF(COUNTIFS($D:$D,$D4824,$A:$A,$A4824,$B:$B,$B4824,$G:$G,"CDU",$J:$J,"PLANNED")&gt;0,"tied","standalone"),"")</f>
        <v>standalone</v>
      </c>
    </row>
    <row r="4825" spans="1:14">
      <c r="A4825" s="6">
        <v>2024</v>
      </c>
      <c r="B4825" s="6">
        <v>11</v>
      </c>
      <c r="C4825" s="6" t="s">
        <v>70</v>
      </c>
      <c r="D4825" s="6" t="s">
        <v>487</v>
      </c>
      <c r="E4825" s="6" t="s">
        <v>488</v>
      </c>
      <c r="F4825" s="6" t="str">
        <f>IF($M4825="PADD I","PADD 1",IF($M4825="PADD II","PADD 2",IF($M4825="PADD III","PADD 3",IF($M4825="PADD IV","PADD 4",IF($M4825="PADD V","PADD 5","")))))</f>
        <v>PADD 4</v>
      </c>
      <c r="G4825" s="6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6" t="s">
        <v>426</v>
      </c>
      <c r="I4825" s="6" t="s">
        <v>478</v>
      </c>
      <c r="J4825" s="6" t="s">
        <v>394</v>
      </c>
      <c r="K4825" s="10">
        <v>0.93</v>
      </c>
      <c r="L4825" s="10">
        <v>9.300000000000001</v>
      </c>
      <c r="M4825" s="6" t="s">
        <v>480</v>
      </c>
      <c r="N4825" s="6" t="str">
        <f>IF(OR($G4825="FCC",$G4825="Hydrocracker",$G4825="Reformer"),IF(COUNTIFS($D:$D,$D4825,$A:$A,$A4825,$B:$B,$B4825,$G:$G,"CDU",$J:$J,"PLANNED")&gt;0,"tied","standalone"),"")</f>
        <v>standalone</v>
      </c>
    </row>
    <row r="4826" spans="1:14">
      <c r="A4826" s="6">
        <v>2024</v>
      </c>
      <c r="B4826" s="6">
        <v>11</v>
      </c>
      <c r="C4826" s="6" t="s">
        <v>70</v>
      </c>
      <c r="D4826" s="6" t="s">
        <v>496</v>
      </c>
      <c r="E4826" s="6" t="s">
        <v>441</v>
      </c>
      <c r="F4826" s="6" t="str">
        <f>IF($M4826="PADD I","PADD 1",IF($M4826="PADD II","PADD 2",IF($M4826="PADD III","PADD 3",IF($M4826="PADD IV","PADD 4",IF($M4826="PADD V","PADD 5","")))))</f>
        <v>PADD 3</v>
      </c>
      <c r="G4826" s="6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6" t="s">
        <v>687</v>
      </c>
      <c r="I4826" s="6" t="s">
        <v>1315</v>
      </c>
      <c r="J4826" s="6" t="s">
        <v>398</v>
      </c>
      <c r="K4826" s="10">
        <v>0.9</v>
      </c>
      <c r="L4826" s="10">
        <v>1</v>
      </c>
      <c r="M4826" s="6" t="s">
        <v>421</v>
      </c>
      <c r="N4826" s="6">
        <f>IF(OR($G4826="FCC",$G4826="Hydrocracker",$G4826="Reformer"),IF(COUNTIFS($D:$D,$D4826,$A:$A,$A4826,$B:$B,$B4826,$G:$G,"CDU",$J:$J,"PLANNED")&gt;0,"tied","standalone"),"")</f>
        <v/>
      </c>
    </row>
    <row r="4827" spans="1:14">
      <c r="A4827" s="6">
        <v>2024</v>
      </c>
      <c r="B4827" s="6">
        <v>11</v>
      </c>
      <c r="C4827" s="6" t="s">
        <v>70</v>
      </c>
      <c r="D4827" s="6" t="s">
        <v>812</v>
      </c>
      <c r="E4827" s="6" t="s">
        <v>813</v>
      </c>
      <c r="F4827" s="6" t="str">
        <f>IF($M4827="PADD I","PADD 1",IF($M4827="PADD II","PADD 2",IF($M4827="PADD III","PADD 3",IF($M4827="PADD IV","PADD 4",IF($M4827="PADD V","PADD 5","")))))</f>
        <v>PADD 2</v>
      </c>
      <c r="G4827" s="6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6" t="s">
        <v>428</v>
      </c>
      <c r="I4827" s="6" t="s">
        <v>862</v>
      </c>
      <c r="J4827" s="6" t="s">
        <v>394</v>
      </c>
      <c r="K4827" s="10">
        <v>0.8100000000000001</v>
      </c>
      <c r="L4827" s="10">
        <v>27</v>
      </c>
      <c r="M4827" s="6" t="s">
        <v>425</v>
      </c>
      <c r="N4827" s="6">
        <f>IF(OR($G4827="FCC",$G4827="Hydrocracker",$G4827="Reformer"),IF(COUNTIFS($D:$D,$D4827,$A:$A,$A4827,$B:$B,$B4827,$G:$G,"CDU",$J:$J,"PLANNED")&gt;0,"tied","standalone"),"")</f>
        <v/>
      </c>
    </row>
    <row r="4828" spans="1:14">
      <c r="A4828" s="6">
        <v>2024</v>
      </c>
      <c r="B4828" s="6">
        <v>11</v>
      </c>
      <c r="C4828" s="6" t="s">
        <v>70</v>
      </c>
      <c r="D4828" s="6" t="s">
        <v>712</v>
      </c>
      <c r="E4828" s="6" t="s">
        <v>602</v>
      </c>
      <c r="F4828" s="6" t="str">
        <f>IF($M4828="PADD I","PADD 1",IF($M4828="PADD II","PADD 2",IF($M4828="PADD III","PADD 3",IF($M4828="PADD IV","PADD 4",IF($M4828="PADD V","PADD 5","")))))</f>
        <v>PADD 3</v>
      </c>
      <c r="G4828" s="6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6" t="s">
        <v>426</v>
      </c>
      <c r="I4828" s="6" t="s">
        <v>106</v>
      </c>
      <c r="J4828" s="6" t="s">
        <v>398</v>
      </c>
      <c r="K4828" s="10">
        <v>0.75</v>
      </c>
      <c r="L4828" s="10">
        <v>25</v>
      </c>
      <c r="M4828" s="6" t="s">
        <v>421</v>
      </c>
      <c r="N4828" s="6" t="str">
        <f>IF(OR($G4828="FCC",$G4828="Hydrocracker",$G4828="Reformer"),IF(COUNTIFS($D:$D,$D4828,$A:$A,$A4828,$B:$B,$B4828,$G:$G,"CDU",$J:$J,"PLANNED")&gt;0,"tied","standalone"),"")</f>
        <v>standalone</v>
      </c>
    </row>
    <row r="4829" spans="1:14">
      <c r="A4829" s="6">
        <v>2024</v>
      </c>
      <c r="B4829" s="6">
        <v>11</v>
      </c>
      <c r="C4829" s="6" t="s">
        <v>70</v>
      </c>
      <c r="D4829" s="6" t="s">
        <v>725</v>
      </c>
      <c r="E4829" s="6" t="s">
        <v>502</v>
      </c>
      <c r="F4829" s="6" t="str">
        <f>IF($M4829="PADD I","PADD 1",IF($M4829="PADD II","PADD 2",IF($M4829="PADD III","PADD 3",IF($M4829="PADD IV","PADD 4",IF($M4829="PADD V","PADD 5","")))))</f>
        <v>PADD 2</v>
      </c>
      <c r="G4829" s="6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6" t="s">
        <v>471</v>
      </c>
      <c r="I4829" s="6" t="s">
        <v>748</v>
      </c>
      <c r="J4829" s="6" t="s">
        <v>398</v>
      </c>
      <c r="K4829" s="10">
        <v>0.66</v>
      </c>
      <c r="L4829" s="10">
        <v>22</v>
      </c>
      <c r="M4829" s="6" t="s">
        <v>425</v>
      </c>
      <c r="N4829" s="6" t="str">
        <f>IF(OR($G4829="FCC",$G4829="Hydrocracker",$G4829="Reformer"),IF(COUNTIFS($D:$D,$D4829,$A:$A,$A4829,$B:$B,$B4829,$G:$G,"CDU",$J:$J,"PLANNED")&gt;0,"tied","standalone"),"")</f>
        <v>tied</v>
      </c>
    </row>
    <row r="4830" spans="1:14">
      <c r="A4830" s="6">
        <v>2024</v>
      </c>
      <c r="B4830" s="6">
        <v>11</v>
      </c>
      <c r="C4830" s="6" t="s">
        <v>70</v>
      </c>
      <c r="D4830" s="6" t="s">
        <v>518</v>
      </c>
      <c r="E4830" s="6" t="s">
        <v>419</v>
      </c>
      <c r="F4830" s="6" t="str">
        <f>IF($M4830="PADD I","PADD 1",IF($M4830="PADD II","PADD 2",IF($M4830="PADD III","PADD 3",IF($M4830="PADD IV","PADD 4",IF($M4830="PADD V","PADD 5","")))))</f>
        <v>PADD 3</v>
      </c>
      <c r="G4830" s="6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6" t="s">
        <v>471</v>
      </c>
      <c r="I4830" s="6" t="s">
        <v>685</v>
      </c>
      <c r="J4830" s="6" t="s">
        <v>394</v>
      </c>
      <c r="K4830" s="10">
        <v>0.49</v>
      </c>
      <c r="L4830" s="10">
        <v>7</v>
      </c>
      <c r="M4830" s="6" t="s">
        <v>421</v>
      </c>
      <c r="N4830" s="6" t="str">
        <f>IF(OR($G4830="FCC",$G4830="Hydrocracker",$G4830="Reformer"),IF(COUNTIFS($D:$D,$D4830,$A:$A,$A4830,$B:$B,$B4830,$G:$G,"CDU",$J:$J,"PLANNED")&gt;0,"tied","standalone"),"")</f>
        <v>standalone</v>
      </c>
    </row>
    <row r="4831" spans="1:14">
      <c r="A4831" s="6">
        <v>2024</v>
      </c>
      <c r="B4831" s="6">
        <v>11</v>
      </c>
      <c r="C4831" s="6" t="s">
        <v>70</v>
      </c>
      <c r="D4831" s="6" t="s">
        <v>812</v>
      </c>
      <c r="E4831" s="6" t="s">
        <v>813</v>
      </c>
      <c r="F4831" s="6" t="str">
        <f>IF($M4831="PADD I","PADD 1",IF($M4831="PADD II","PADD 2",IF($M4831="PADD III","PADD 3",IF($M4831="PADD IV","PADD 4",IF($M4831="PADD V","PADD 5","")))))</f>
        <v>PADD 2</v>
      </c>
      <c r="G4831" s="6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6" t="s">
        <v>428</v>
      </c>
      <c r="I4831" s="6" t="s">
        <v>862</v>
      </c>
      <c r="J4831" s="6" t="s">
        <v>394</v>
      </c>
      <c r="K4831" s="10">
        <v>0.45</v>
      </c>
      <c r="L4831" s="10">
        <v>15</v>
      </c>
      <c r="M4831" s="6" t="s">
        <v>425</v>
      </c>
      <c r="N4831" s="6">
        <f>IF(OR($G4831="FCC",$G4831="Hydrocracker",$G4831="Reformer"),IF(COUNTIFS($D:$D,$D4831,$A:$A,$A4831,$B:$B,$B4831,$G:$G,"CDU",$J:$J,"PLANNED")&gt;0,"tied","standalone"),"")</f>
        <v/>
      </c>
    </row>
    <row r="4832" spans="1:14">
      <c r="A4832" s="6">
        <v>2024</v>
      </c>
      <c r="B4832" s="6">
        <v>11</v>
      </c>
      <c r="C4832" s="6" t="s">
        <v>70</v>
      </c>
      <c r="D4832" s="6" t="s">
        <v>712</v>
      </c>
      <c r="E4832" s="6" t="s">
        <v>602</v>
      </c>
      <c r="F4832" s="6" t="str">
        <f>IF($M4832="PADD I","PADD 1",IF($M4832="PADD II","PADD 2",IF($M4832="PADD III","PADD 3",IF($M4832="PADD IV","PADD 4",IF($M4832="PADD V","PADD 5","")))))</f>
        <v>PADD 3</v>
      </c>
      <c r="G4832" s="6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6" t="s">
        <v>44</v>
      </c>
      <c r="I4832" s="6" t="s">
        <v>894</v>
      </c>
      <c r="J4832" s="6" t="s">
        <v>398</v>
      </c>
      <c r="K4832" s="10">
        <v>0.35</v>
      </c>
      <c r="L4832" s="10">
        <v>5</v>
      </c>
      <c r="M4832" s="6" t="s">
        <v>421</v>
      </c>
      <c r="N4832" s="6">
        <f>IF(OR($G4832="FCC",$G4832="Hydrocracker",$G4832="Reformer"),IF(COUNTIFS($D:$D,$D4832,$A:$A,$A4832,$B:$B,$B4832,$G:$G,"CDU",$J:$J,"PLANNED")&gt;0,"tied","standalone"),"")</f>
        <v/>
      </c>
    </row>
    <row r="4833" spans="1:14">
      <c r="A4833" s="6">
        <v>2024</v>
      </c>
      <c r="B4833" s="6">
        <v>11</v>
      </c>
      <c r="C4833" s="6" t="s">
        <v>70</v>
      </c>
      <c r="D4833" s="6" t="s">
        <v>772</v>
      </c>
      <c r="E4833" s="6" t="s">
        <v>502</v>
      </c>
      <c r="F4833" s="6" t="str">
        <f>IF($M4833="PADD I","PADD 1",IF($M4833="PADD II","PADD 2",IF($M4833="PADD III","PADD 3",IF($M4833="PADD IV","PADD 4",IF($M4833="PADD V","PADD 5","")))))</f>
        <v>PADD 4</v>
      </c>
      <c r="G4833" s="6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6" t="s">
        <v>426</v>
      </c>
      <c r="I4833" s="6" t="s">
        <v>478</v>
      </c>
      <c r="J4833" s="6" t="s">
        <v>394</v>
      </c>
      <c r="K4833" s="10">
        <v>0.255</v>
      </c>
      <c r="L4833" s="10">
        <v>8.5</v>
      </c>
      <c r="M4833" s="6" t="s">
        <v>480</v>
      </c>
      <c r="N4833" s="6" t="str">
        <f>IF(OR($G4833="FCC",$G4833="Hydrocracker",$G4833="Reformer"),IF(COUNTIFS($D:$D,$D4833,$A:$A,$A4833,$B:$B,$B4833,$G:$G,"CDU",$J:$J,"PLANNED")&gt;0,"tied","standalone"),"")</f>
        <v>standalone</v>
      </c>
    </row>
    <row r="4834" spans="1:14">
      <c r="A4834" s="6">
        <v>2024</v>
      </c>
      <c r="B4834" s="6">
        <v>11</v>
      </c>
      <c r="C4834" s="6" t="s">
        <v>70</v>
      </c>
      <c r="D4834" s="6" t="s">
        <v>725</v>
      </c>
      <c r="E4834" s="6" t="s">
        <v>502</v>
      </c>
      <c r="F4834" s="6" t="str">
        <f>IF($M4834="PADD I","PADD 1",IF($M4834="PADD II","PADD 2",IF($M4834="PADD III","PADD 3",IF($M4834="PADD IV","PADD 4",IF($M4834="PADD V","PADD 5","")))))</f>
        <v>PADD 2</v>
      </c>
      <c r="G4834" s="6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6" t="s">
        <v>471</v>
      </c>
      <c r="I4834" s="6" t="s">
        <v>397</v>
      </c>
      <c r="J4834" s="6" t="s">
        <v>398</v>
      </c>
      <c r="K4834" s="10">
        <v>0.225</v>
      </c>
      <c r="L4834" s="10">
        <v>7.5</v>
      </c>
      <c r="M4834" s="6" t="s">
        <v>425</v>
      </c>
      <c r="N4834" s="6" t="str">
        <f>IF(OR($G4834="FCC",$G4834="Hydrocracker",$G4834="Reformer"),IF(COUNTIFS($D:$D,$D4834,$A:$A,$A4834,$B:$B,$B4834,$G:$G,"CDU",$J:$J,"PLANNED")&gt;0,"tied","standalone"),"")</f>
        <v>tied</v>
      </c>
    </row>
    <row r="4835" spans="1:14">
      <c r="A4835" s="6">
        <v>2024</v>
      </c>
      <c r="B4835" s="6">
        <v>11</v>
      </c>
      <c r="C4835" s="6" t="s">
        <v>70</v>
      </c>
      <c r="D4835" s="6" t="s">
        <v>518</v>
      </c>
      <c r="E4835" s="6" t="s">
        <v>419</v>
      </c>
      <c r="F4835" s="6" t="str">
        <f>IF($M4835="PADD I","PADD 1",IF($M4835="PADD II","PADD 2",IF($M4835="PADD III","PADD 3",IF($M4835="PADD IV","PADD 4",IF($M4835="PADD V","PADD 5","")))))</f>
        <v>PADD 3</v>
      </c>
      <c r="G4835" s="6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6" t="s">
        <v>471</v>
      </c>
      <c r="I4835" s="6" t="s">
        <v>685</v>
      </c>
      <c r="J4835" s="6" t="s">
        <v>394</v>
      </c>
      <c r="K4835" s="10">
        <v>0.21</v>
      </c>
      <c r="L4835" s="10">
        <v>7</v>
      </c>
      <c r="M4835" s="6" t="s">
        <v>421</v>
      </c>
      <c r="N4835" s="6" t="str">
        <f>IF(OR($G4835="FCC",$G4835="Hydrocracker",$G4835="Reformer"),IF(COUNTIFS($D:$D,$D4835,$A:$A,$A4835,$B:$B,$B4835,$G:$G,"CDU",$J:$J,"PLANNED")&gt;0,"tied","standalone"),"")</f>
        <v>standalone</v>
      </c>
    </row>
    <row r="4836" spans="1:14">
      <c r="A4836" s="6">
        <v>2024</v>
      </c>
      <c r="B4836" s="6">
        <v>11</v>
      </c>
      <c r="C4836" s="6" t="s">
        <v>70</v>
      </c>
      <c r="D4836" s="6" t="s">
        <v>518</v>
      </c>
      <c r="E4836" s="6" t="s">
        <v>419</v>
      </c>
      <c r="F4836" s="6" t="str">
        <f>IF($M4836="PADD I","PADD 1",IF($M4836="PADD II","PADD 2",IF($M4836="PADD III","PADD 3",IF($M4836="PADD IV","PADD 4",IF($M4836="PADD V","PADD 5","")))))</f>
        <v>PADD 3</v>
      </c>
      <c r="G4836" s="6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6" t="s">
        <v>471</v>
      </c>
      <c r="I4836" s="6" t="s">
        <v>685</v>
      </c>
      <c r="J4836" s="6" t="s">
        <v>394</v>
      </c>
      <c r="K4836" s="10">
        <v>0.21</v>
      </c>
      <c r="L4836" s="10">
        <v>7</v>
      </c>
      <c r="M4836" s="6" t="s">
        <v>421</v>
      </c>
      <c r="N4836" s="6" t="str">
        <f>IF(OR($G4836="FCC",$G4836="Hydrocracker",$G4836="Reformer"),IF(COUNTIFS($D:$D,$D4836,$A:$A,$A4836,$B:$B,$B4836,$G:$G,"CDU",$J:$J,"PLANNED")&gt;0,"tied","standalone"),"")</f>
        <v>standalone</v>
      </c>
    </row>
    <row r="4837" spans="1:14">
      <c r="A4837" s="6">
        <v>2024</v>
      </c>
      <c r="B4837" s="6">
        <v>11</v>
      </c>
      <c r="C4837" s="6" t="s">
        <v>70</v>
      </c>
      <c r="D4837" s="6" t="s">
        <v>518</v>
      </c>
      <c r="E4837" s="6" t="s">
        <v>419</v>
      </c>
      <c r="F4837" s="6" t="str">
        <f>IF($M4837="PADD I","PADD 1",IF($M4837="PADD II","PADD 2",IF($M4837="PADD III","PADD 3",IF($M4837="PADD IV","PADD 4",IF($M4837="PADD V","PADD 5","")))))</f>
        <v>PADD 3</v>
      </c>
      <c r="G4837" s="6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6" t="s">
        <v>471</v>
      </c>
      <c r="I4837" s="6" t="s">
        <v>685</v>
      </c>
      <c r="J4837" s="6" t="s">
        <v>394</v>
      </c>
      <c r="K4837" s="10">
        <v>0.21</v>
      </c>
      <c r="L4837" s="10">
        <v>7</v>
      </c>
      <c r="M4837" s="6" t="s">
        <v>421</v>
      </c>
      <c r="N4837" s="6" t="str">
        <f>IF(OR($G4837="FCC",$G4837="Hydrocracker",$G4837="Reformer"),IF(COUNTIFS($D:$D,$D4837,$A:$A,$A4837,$B:$B,$B4837,$G:$G,"CDU",$J:$J,"PLANNED")&gt;0,"tied","standalone"),"")</f>
        <v>standalone</v>
      </c>
    </row>
    <row r="4838" spans="1:14">
      <c r="A4838" s="6">
        <v>2024</v>
      </c>
      <c r="B4838" s="6">
        <v>11</v>
      </c>
      <c r="C4838" s="6" t="s">
        <v>70</v>
      </c>
      <c r="D4838" s="6" t="s">
        <v>470</v>
      </c>
      <c r="E4838" s="6" t="s">
        <v>423</v>
      </c>
      <c r="F4838" s="6" t="str">
        <f>IF($M4838="PADD I","PADD 1",IF($M4838="PADD II","PADD 2",IF($M4838="PADD III","PADD 3",IF($M4838="PADD IV","PADD 4",IF($M4838="PADD V","PADD 5","")))))</f>
        <v>PADD 2</v>
      </c>
      <c r="G4838" s="6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6" t="s">
        <v>510</v>
      </c>
      <c r="I4838" s="6" t="s">
        <v>666</v>
      </c>
      <c r="J4838" s="6" t="s">
        <v>394</v>
      </c>
      <c r="K4838" s="10">
        <v>0.195</v>
      </c>
      <c r="L4838" s="10">
        <v>1.5</v>
      </c>
      <c r="M4838" s="6" t="s">
        <v>425</v>
      </c>
      <c r="N4838" s="6">
        <f>IF(OR($G4838="FCC",$G4838="Hydrocracker",$G4838="Reformer"),IF(COUNTIFS($D:$D,$D4838,$A:$A,$A4838,$B:$B,$B4838,$G:$G,"CDU",$J:$J,"PLANNED")&gt;0,"tied","standalone"),"")</f>
        <v/>
      </c>
    </row>
    <row r="4839" spans="1:14">
      <c r="A4839" s="6">
        <v>2024</v>
      </c>
      <c r="B4839" s="6">
        <v>12</v>
      </c>
      <c r="C4839" s="6" t="s">
        <v>71</v>
      </c>
      <c r="D4839" s="6" t="s">
        <v>1264</v>
      </c>
      <c r="E4839" s="6" t="s">
        <v>1265</v>
      </c>
      <c r="F4839" s="6" t="str">
        <f>IF($M4839="PADD I","PADD 1",IF($M4839="PADD II","PADD 2",IF($M4839="PADD III","PADD 3",IF($M4839="PADD IV","PADD 4",IF($M4839="PADD V","PADD 5","")))))</f>
        <v>PADD 1</v>
      </c>
      <c r="G4839" s="6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6" t="s">
        <v>39</v>
      </c>
      <c r="I4839" s="6" t="s">
        <v>132</v>
      </c>
      <c r="J4839" s="6" t="s">
        <v>394</v>
      </c>
      <c r="K4839" s="10">
        <v>56</v>
      </c>
      <c r="L4839" s="10">
        <v>56</v>
      </c>
      <c r="M4839" s="6" t="s">
        <v>463</v>
      </c>
      <c r="N4839" s="6">
        <f>IF(OR($G4839="FCC",$G4839="Hydrocracker",$G4839="Reformer"),IF(COUNTIFS($D:$D,$D4839,$A:$A,$A4839,$B:$B,$B4839,$G:$G,"CDU",$J:$J,"PLANNED")&gt;0,"tied","standalone"),"")</f>
        <v/>
      </c>
    </row>
    <row r="4840" spans="1:14">
      <c r="A4840" s="6">
        <v>2024</v>
      </c>
      <c r="B4840" s="6">
        <v>12</v>
      </c>
      <c r="C4840" s="6" t="s">
        <v>71</v>
      </c>
      <c r="D4840" s="6" t="s">
        <v>726</v>
      </c>
      <c r="E4840" s="6" t="s">
        <v>727</v>
      </c>
      <c r="F4840" s="6" t="str">
        <f>IF($M4840="PADD I","PADD 1",IF($M4840="PADD II","PADD 2",IF($M4840="PADD III","PADD 3",IF($M4840="PADD IV","PADD 4",IF($M4840="PADD V","PADD 5","")))))</f>
        <v>PADD 1</v>
      </c>
      <c r="G4840" s="6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6" t="s">
        <v>39</v>
      </c>
      <c r="I4840" s="6" t="s">
        <v>728</v>
      </c>
      <c r="J4840" s="6" t="s">
        <v>394</v>
      </c>
      <c r="K4840" s="10">
        <v>56</v>
      </c>
      <c r="L4840" s="10">
        <v>56</v>
      </c>
      <c r="M4840" s="6" t="s">
        <v>463</v>
      </c>
      <c r="N4840" s="6">
        <f>IF(OR($G4840="FCC",$G4840="Hydrocracker",$G4840="Reformer"),IF(COUNTIFS($D:$D,$D4840,$A:$A,$A4840,$B:$B,$B4840,$G:$G,"CDU",$J:$J,"PLANNED")&gt;0,"tied","standalone"),"")</f>
        <v/>
      </c>
    </row>
    <row r="4841" spans="1:14">
      <c r="A4841" s="6">
        <v>2024</v>
      </c>
      <c r="B4841" s="6">
        <v>12</v>
      </c>
      <c r="C4841" s="6" t="s">
        <v>71</v>
      </c>
      <c r="D4841" s="6" t="s">
        <v>726</v>
      </c>
      <c r="E4841" s="6" t="s">
        <v>727</v>
      </c>
      <c r="F4841" s="6" t="str">
        <f>IF($M4841="PADD I","PADD 1",IF($M4841="PADD II","PADD 2",IF($M4841="PADD III","PADD 3",IF($M4841="PADD IV","PADD 4",IF($M4841="PADD V","PADD 5","")))))</f>
        <v>PADD 1</v>
      </c>
      <c r="G4841" s="6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6" t="s">
        <v>39</v>
      </c>
      <c r="I4841" s="6" t="s">
        <v>1316</v>
      </c>
      <c r="J4841" s="6" t="s">
        <v>394</v>
      </c>
      <c r="K4841" s="10">
        <v>47.85</v>
      </c>
      <c r="L4841" s="10">
        <v>55</v>
      </c>
      <c r="M4841" s="6" t="s">
        <v>463</v>
      </c>
      <c r="N4841" s="6">
        <f>IF(OR($G4841="FCC",$G4841="Hydrocracker",$G4841="Reformer"),IF(COUNTIFS($D:$D,$D4841,$A:$A,$A4841,$B:$B,$B4841,$G:$G,"CDU",$J:$J,"PLANNED")&gt;0,"tied","standalone"),"")</f>
        <v/>
      </c>
    </row>
    <row r="4842" spans="1:14">
      <c r="A4842" s="6">
        <v>2024</v>
      </c>
      <c r="B4842" s="6">
        <v>12</v>
      </c>
      <c r="C4842" s="6" t="s">
        <v>71</v>
      </c>
      <c r="D4842" s="6" t="s">
        <v>496</v>
      </c>
      <c r="E4842" s="6" t="s">
        <v>441</v>
      </c>
      <c r="F4842" s="6" t="str">
        <f>IF($M4842="PADD I","PADD 1",IF($M4842="PADD II","PADD 2",IF($M4842="PADD III","PADD 3",IF($M4842="PADD IV","PADD 4",IF($M4842="PADD V","PADD 5","")))))</f>
        <v>PADD 3</v>
      </c>
      <c r="G4842" s="6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6" t="s">
        <v>428</v>
      </c>
      <c r="I4842" s="6" t="s">
        <v>1091</v>
      </c>
      <c r="J4842" s="6" t="s">
        <v>394</v>
      </c>
      <c r="K4842" s="10">
        <v>41</v>
      </c>
      <c r="L4842" s="10">
        <v>41</v>
      </c>
      <c r="M4842" s="6" t="s">
        <v>421</v>
      </c>
      <c r="N4842" s="6">
        <f>IF(OR($G4842="FCC",$G4842="Hydrocracker",$G4842="Reformer"),IF(COUNTIFS($D:$D,$D4842,$A:$A,$A4842,$B:$B,$B4842,$G:$G,"CDU",$J:$J,"PLANNED")&gt;0,"tied","standalone"),"")</f>
        <v/>
      </c>
    </row>
    <row r="4843" spans="1:14">
      <c r="A4843" s="6">
        <v>2024</v>
      </c>
      <c r="B4843" s="6">
        <v>12</v>
      </c>
      <c r="C4843" s="6" t="s">
        <v>71</v>
      </c>
      <c r="D4843" s="6" t="s">
        <v>368</v>
      </c>
      <c r="E4843" s="6" t="s">
        <v>715</v>
      </c>
      <c r="F4843" s="6" t="str">
        <f>IF($M4843="PADD I","PADD 1",IF($M4843="PADD II","PADD 2",IF($M4843="PADD III","PADD 3",IF($M4843="PADD IV","PADD 4",IF($M4843="PADD V","PADD 5","")))))</f>
        <v>PADD 3</v>
      </c>
      <c r="G4843" s="6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6" t="s">
        <v>39</v>
      </c>
      <c r="I4843" s="6" t="s">
        <v>87</v>
      </c>
      <c r="J4843" s="6" t="s">
        <v>394</v>
      </c>
      <c r="K4843" s="10">
        <v>38.4</v>
      </c>
      <c r="L4843" s="10">
        <v>240</v>
      </c>
      <c r="M4843" s="6" t="s">
        <v>421</v>
      </c>
      <c r="N4843" s="6">
        <f>IF(OR($G4843="FCC",$G4843="Hydrocracker",$G4843="Reformer"),IF(COUNTIFS($D:$D,$D4843,$A:$A,$A4843,$B:$B,$B4843,$G:$G,"CDU",$J:$J,"PLANNED")&gt;0,"tied","standalone"),"")</f>
        <v/>
      </c>
    </row>
    <row r="4844" spans="1:14">
      <c r="A4844" s="6">
        <v>2024</v>
      </c>
      <c r="B4844" s="6">
        <v>12</v>
      </c>
      <c r="C4844" s="6" t="s">
        <v>71</v>
      </c>
      <c r="D4844" s="6" t="s">
        <v>498</v>
      </c>
      <c r="E4844" s="6" t="s">
        <v>441</v>
      </c>
      <c r="F4844" s="6" t="str">
        <f>IF($M4844="PADD I","PADD 1",IF($M4844="PADD II","PADD 2",IF($M4844="PADD III","PADD 3",IF($M4844="PADD IV","PADD 4",IF($M4844="PADD V","PADD 5","")))))</f>
        <v>PADD 3</v>
      </c>
      <c r="G4844" s="6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6" t="s">
        <v>44</v>
      </c>
      <c r="I4844" s="6" t="s">
        <v>499</v>
      </c>
      <c r="J4844" s="6" t="s">
        <v>394</v>
      </c>
      <c r="K4844" s="10">
        <v>35</v>
      </c>
      <c r="L4844" s="10">
        <v>35</v>
      </c>
      <c r="M4844" s="6" t="s">
        <v>421</v>
      </c>
      <c r="N4844" s="6">
        <f>IF(OR($G4844="FCC",$G4844="Hydrocracker",$G4844="Reformer"),IF(COUNTIFS($D:$D,$D4844,$A:$A,$A4844,$B:$B,$B4844,$G:$G,"CDU",$J:$J,"PLANNED")&gt;0,"tied","standalone"),"")</f>
        <v/>
      </c>
    </row>
    <row r="4845" spans="1:14">
      <c r="A4845" s="6">
        <v>2024</v>
      </c>
      <c r="B4845" s="6">
        <v>12</v>
      </c>
      <c r="C4845" s="6" t="s">
        <v>71</v>
      </c>
      <c r="D4845" s="6" t="s">
        <v>465</v>
      </c>
      <c r="E4845" s="6" t="s">
        <v>466</v>
      </c>
      <c r="F4845" s="6" t="str">
        <f>IF($M4845="PADD I","PADD 1",IF($M4845="PADD II","PADD 2",IF($M4845="PADD III","PADD 3",IF($M4845="PADD IV","PADD 4",IF($M4845="PADD V","PADD 5","")))))</f>
        <v>PADD 3</v>
      </c>
      <c r="G4845" s="6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6" t="s">
        <v>485</v>
      </c>
      <c r="I4845" s="6" t="s">
        <v>503</v>
      </c>
      <c r="J4845" s="6" t="s">
        <v>394</v>
      </c>
      <c r="K4845" s="10">
        <v>34</v>
      </c>
      <c r="L4845" s="10">
        <v>34</v>
      </c>
      <c r="M4845" s="6" t="s">
        <v>421</v>
      </c>
      <c r="N4845" s="6">
        <f>IF(OR($G4845="FCC",$G4845="Hydrocracker",$G4845="Reformer"),IF(COUNTIFS($D:$D,$D4845,$A:$A,$A4845,$B:$B,$B4845,$G:$G,"CDU",$J:$J,"PLANNED")&gt;0,"tied","standalone"),"")</f>
        <v/>
      </c>
    </row>
    <row r="4846" spans="1:14">
      <c r="A4846" s="6">
        <v>2024</v>
      </c>
      <c r="B4846" s="6">
        <v>12</v>
      </c>
      <c r="C4846" s="6" t="s">
        <v>71</v>
      </c>
      <c r="D4846" s="6" t="s">
        <v>726</v>
      </c>
      <c r="E4846" s="6" t="s">
        <v>727</v>
      </c>
      <c r="F4846" s="6" t="str">
        <f>IF($M4846="PADD I","PADD 1",IF($M4846="PADD II","PADD 2",IF($M4846="PADD III","PADD 3",IF($M4846="PADD IV","PADD 4",IF($M4846="PADD V","PADD 5","")))))</f>
        <v>PADD 1</v>
      </c>
      <c r="G4846" s="6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6" t="s">
        <v>428</v>
      </c>
      <c r="I4846" s="6" t="s">
        <v>1312</v>
      </c>
      <c r="J4846" s="6" t="s">
        <v>394</v>
      </c>
      <c r="K4846" s="10">
        <v>31</v>
      </c>
      <c r="L4846" s="10">
        <v>31</v>
      </c>
      <c r="M4846" s="6" t="s">
        <v>463</v>
      </c>
      <c r="N4846" s="6">
        <f>IF(OR($G4846="FCC",$G4846="Hydrocracker",$G4846="Reformer"),IF(COUNTIFS($D:$D,$D4846,$A:$A,$A4846,$B:$B,$B4846,$G:$G,"CDU",$J:$J,"PLANNED")&gt;0,"tied","standalone"),"")</f>
        <v/>
      </c>
    </row>
    <row r="4847" spans="1:14">
      <c r="A4847" s="6">
        <v>2024</v>
      </c>
      <c r="B4847" s="6">
        <v>12</v>
      </c>
      <c r="C4847" s="6" t="s">
        <v>71</v>
      </c>
      <c r="D4847" s="6" t="s">
        <v>507</v>
      </c>
      <c r="E4847" s="6" t="s">
        <v>438</v>
      </c>
      <c r="F4847" s="6" t="str">
        <f>IF($M4847="PADD I","PADD 1",IF($M4847="PADD II","PADD 2",IF($M4847="PADD III","PADD 3",IF($M4847="PADD IV","PADD 4",IF($M4847="PADD V","PADD 5","")))))</f>
        <v>PADD 5</v>
      </c>
      <c r="G4847" s="6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6" t="s">
        <v>494</v>
      </c>
      <c r="I4847" s="6" t="s">
        <v>14</v>
      </c>
      <c r="J4847" s="6" t="s">
        <v>394</v>
      </c>
      <c r="K4847" s="10">
        <v>30.25</v>
      </c>
      <c r="L4847" s="10">
        <v>55</v>
      </c>
      <c r="M4847" s="6" t="s">
        <v>436</v>
      </c>
      <c r="N4847" s="6" t="str">
        <f>IF(OR($G4847="FCC",$G4847="Hydrocracker",$G4847="Reformer"),IF(COUNTIFS($D:$D,$D4847,$A:$A,$A4847,$B:$B,$B4847,$G:$G,"CDU",$J:$J,"PLANNED")&gt;0,"tied","standalone"),"")</f>
        <v>standalone</v>
      </c>
    </row>
    <row r="4848" spans="1:14">
      <c r="A4848" s="6">
        <v>2024</v>
      </c>
      <c r="B4848" s="6">
        <v>12</v>
      </c>
      <c r="C4848" s="6" t="s">
        <v>71</v>
      </c>
      <c r="D4848" s="6" t="s">
        <v>576</v>
      </c>
      <c r="E4848" s="6" t="s">
        <v>455</v>
      </c>
      <c r="F4848" s="6" t="str">
        <f>IF($M4848="PADD I","PADD 1",IF($M4848="PADD II","PADD 2",IF($M4848="PADD III","PADD 3",IF($M4848="PADD IV","PADD 4",IF($M4848="PADD V","PADD 5","")))))</f>
        <v>PADD 3</v>
      </c>
      <c r="G4848" s="6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6" t="s">
        <v>485</v>
      </c>
      <c r="I4848" s="6" t="s">
        <v>1004</v>
      </c>
      <c r="J4848" s="6" t="s">
        <v>394</v>
      </c>
      <c r="K4848" s="10">
        <v>30</v>
      </c>
      <c r="L4848" s="10">
        <v>30</v>
      </c>
      <c r="M4848" s="6" t="s">
        <v>421</v>
      </c>
      <c r="N4848" s="6">
        <f>IF(OR($G4848="FCC",$G4848="Hydrocracker",$G4848="Reformer"),IF(COUNTIFS($D:$D,$D4848,$A:$A,$A4848,$B:$B,$B4848,$G:$G,"CDU",$J:$J,"PLANNED")&gt;0,"tied","standalone"),"")</f>
        <v/>
      </c>
    </row>
    <row r="4849" spans="1:14">
      <c r="A4849" s="6">
        <v>2024</v>
      </c>
      <c r="B4849" s="6">
        <v>12</v>
      </c>
      <c r="C4849" s="6" t="s">
        <v>71</v>
      </c>
      <c r="D4849" s="6" t="s">
        <v>384</v>
      </c>
      <c r="E4849" s="6" t="s">
        <v>419</v>
      </c>
      <c r="F4849" s="6" t="str">
        <f>IF($M4849="PADD I","PADD 1",IF($M4849="PADD II","PADD 2",IF($M4849="PADD III","PADD 3",IF($M4849="PADD IV","PADD 4",IF($M4849="PADD V","PADD 5","")))))</f>
        <v>PADD 3</v>
      </c>
      <c r="G4849" s="6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6" t="s">
        <v>426</v>
      </c>
      <c r="I4849" s="6" t="s">
        <v>522</v>
      </c>
      <c r="J4849" s="6" t="s">
        <v>394</v>
      </c>
      <c r="K4849" s="10">
        <v>30</v>
      </c>
      <c r="L4849" s="10">
        <v>30</v>
      </c>
      <c r="M4849" s="6" t="s">
        <v>421</v>
      </c>
      <c r="N4849" s="6" t="str">
        <f>IF(OR($G4849="FCC",$G4849="Hydrocracker",$G4849="Reformer"),IF(COUNTIFS($D:$D,$D4849,$A:$A,$A4849,$B:$B,$B4849,$G:$G,"CDU",$J:$J,"PLANNED")&gt;0,"tied","standalone"),"")</f>
        <v>standalone</v>
      </c>
    </row>
    <row r="4850" spans="1:14">
      <c r="A4850" s="6">
        <v>2024</v>
      </c>
      <c r="B4850" s="6">
        <v>12</v>
      </c>
      <c r="C4850" s="6" t="s">
        <v>71</v>
      </c>
      <c r="D4850" s="6" t="s">
        <v>496</v>
      </c>
      <c r="E4850" s="6" t="s">
        <v>441</v>
      </c>
      <c r="F4850" s="6" t="str">
        <f>IF($M4850="PADD I","PADD 1",IF($M4850="PADD II","PADD 2",IF($M4850="PADD III","PADD 3",IF($M4850="PADD IV","PADD 4",IF($M4850="PADD V","PADD 5","")))))</f>
        <v>PADD 3</v>
      </c>
      <c r="G4850" s="6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6" t="s">
        <v>39</v>
      </c>
      <c r="I4850" s="6" t="s">
        <v>82</v>
      </c>
      <c r="J4850" s="6" t="s">
        <v>398</v>
      </c>
      <c r="K4850" s="10">
        <v>22.5</v>
      </c>
      <c r="L4850" s="10">
        <v>25</v>
      </c>
      <c r="M4850" s="6" t="s">
        <v>421</v>
      </c>
      <c r="N4850" s="6">
        <f>IF(OR($G4850="FCC",$G4850="Hydrocracker",$G4850="Reformer"),IF(COUNTIFS($D:$D,$D4850,$A:$A,$A4850,$B:$B,$B4850,$G:$G,"CDU",$J:$J,"PLANNED")&gt;0,"tied","standalone"),"")</f>
        <v/>
      </c>
    </row>
    <row r="4851" spans="1:14">
      <c r="A4851" s="6">
        <v>2024</v>
      </c>
      <c r="B4851" s="6">
        <v>12</v>
      </c>
      <c r="C4851" s="6" t="s">
        <v>71</v>
      </c>
      <c r="D4851" s="6" t="s">
        <v>507</v>
      </c>
      <c r="E4851" s="6" t="s">
        <v>438</v>
      </c>
      <c r="F4851" s="6" t="str">
        <f>IF($M4851="PADD I","PADD 1",IF($M4851="PADD II","PADD 2",IF($M4851="PADD III","PADD 3",IF($M4851="PADD IV","PADD 4",IF($M4851="PADD V","PADD 5","")))))</f>
        <v>PADD 5</v>
      </c>
      <c r="G4851" s="6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6" t="s">
        <v>428</v>
      </c>
      <c r="I4851" s="6" t="s">
        <v>635</v>
      </c>
      <c r="J4851" s="6" t="s">
        <v>394</v>
      </c>
      <c r="K4851" s="10">
        <v>19.84</v>
      </c>
      <c r="L4851" s="10">
        <v>62</v>
      </c>
      <c r="M4851" s="6" t="s">
        <v>436</v>
      </c>
      <c r="N4851" s="6">
        <f>IF(OR($G4851="FCC",$G4851="Hydrocracker",$G4851="Reformer"),IF(COUNTIFS($D:$D,$D4851,$A:$A,$A4851,$B:$B,$B4851,$G:$G,"CDU",$J:$J,"PLANNED")&gt;0,"tied","standalone"),"")</f>
        <v/>
      </c>
    </row>
    <row r="4852" spans="1:14">
      <c r="A4852" s="6">
        <v>2024</v>
      </c>
      <c r="B4852" s="6">
        <v>12</v>
      </c>
      <c r="C4852" s="6" t="s">
        <v>71</v>
      </c>
      <c r="D4852" s="6" t="s">
        <v>507</v>
      </c>
      <c r="E4852" s="6" t="s">
        <v>438</v>
      </c>
      <c r="F4852" s="6" t="str">
        <f>IF($M4852="PADD I","PADD 1",IF($M4852="PADD II","PADD 2",IF($M4852="PADD III","PADD 3",IF($M4852="PADD IV","PADD 4",IF($M4852="PADD V","PADD 5","")))))</f>
        <v>PADD 5</v>
      </c>
      <c r="G4852" s="6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6" t="s">
        <v>39</v>
      </c>
      <c r="I4852" s="6" t="s">
        <v>136</v>
      </c>
      <c r="J4852" s="6" t="s">
        <v>394</v>
      </c>
      <c r="K4852" s="10">
        <v>19.2</v>
      </c>
      <c r="L4852" s="10">
        <v>60</v>
      </c>
      <c r="M4852" s="6" t="s">
        <v>436</v>
      </c>
      <c r="N4852" s="6">
        <f>IF(OR($G4852="FCC",$G4852="Hydrocracker",$G4852="Reformer"),IF(COUNTIFS($D:$D,$D4852,$A:$A,$A4852,$B:$B,$B4852,$G:$G,"CDU",$J:$J,"PLANNED")&gt;0,"tied","standalone"),"")</f>
        <v/>
      </c>
    </row>
    <row r="4853" spans="1:14">
      <c r="A4853" s="6">
        <v>2024</v>
      </c>
      <c r="B4853" s="6">
        <v>12</v>
      </c>
      <c r="C4853" s="6" t="s">
        <v>71</v>
      </c>
      <c r="D4853" s="6" t="s">
        <v>576</v>
      </c>
      <c r="E4853" s="6" t="s">
        <v>455</v>
      </c>
      <c r="F4853" s="6" t="str">
        <f>IF($M4853="PADD I","PADD 1",IF($M4853="PADD II","PADD 2",IF($M4853="PADD III","PADD 3",IF($M4853="PADD IV","PADD 4",IF($M4853="PADD V","PADD 5","")))))</f>
        <v>PADD 3</v>
      </c>
      <c r="G4853" s="6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6" t="s">
        <v>39</v>
      </c>
      <c r="I4853" s="6" t="s">
        <v>691</v>
      </c>
      <c r="J4853" s="6" t="s">
        <v>394</v>
      </c>
      <c r="K4853" s="10">
        <v>18.4</v>
      </c>
      <c r="L4853" s="10">
        <v>115</v>
      </c>
      <c r="M4853" s="6" t="s">
        <v>421</v>
      </c>
      <c r="N4853" s="6">
        <f>IF(OR($G4853="FCC",$G4853="Hydrocracker",$G4853="Reformer"),IF(COUNTIFS($D:$D,$D4853,$A:$A,$A4853,$B:$B,$B4853,$G:$G,"CDU",$J:$J,"PLANNED")&gt;0,"tied","standalone"),"")</f>
        <v/>
      </c>
    </row>
    <row r="4854" spans="1:14">
      <c r="A4854" s="6">
        <v>2024</v>
      </c>
      <c r="B4854" s="6">
        <v>12</v>
      </c>
      <c r="C4854" s="6" t="s">
        <v>71</v>
      </c>
      <c r="D4854" s="6" t="s">
        <v>484</v>
      </c>
      <c r="E4854" s="6" t="s">
        <v>438</v>
      </c>
      <c r="F4854" s="6" t="str">
        <f>IF($M4854="PADD I","PADD 1",IF($M4854="PADD II","PADD 2",IF($M4854="PADD III","PADD 3",IF($M4854="PADD IV","PADD 4",IF($M4854="PADD V","PADD 5","")))))</f>
        <v>PADD 5</v>
      </c>
      <c r="G4854" s="6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6" t="s">
        <v>485</v>
      </c>
      <c r="I4854" s="6" t="s">
        <v>486</v>
      </c>
      <c r="J4854" s="6" t="s">
        <v>394</v>
      </c>
      <c r="K4854" s="10">
        <v>17.64</v>
      </c>
      <c r="L4854" s="10">
        <v>42</v>
      </c>
      <c r="M4854" s="6" t="s">
        <v>436</v>
      </c>
      <c r="N4854" s="6">
        <f>IF(OR($G4854="FCC",$G4854="Hydrocracker",$G4854="Reformer"),IF(COUNTIFS($D:$D,$D4854,$A:$A,$A4854,$B:$B,$B4854,$G:$G,"CDU",$J:$J,"PLANNED")&gt;0,"tied","standalone"),"")</f>
        <v/>
      </c>
    </row>
    <row r="4855" spans="1:14">
      <c r="A4855" s="6">
        <v>2024</v>
      </c>
      <c r="B4855" s="6">
        <v>12</v>
      </c>
      <c r="C4855" s="6" t="s">
        <v>71</v>
      </c>
      <c r="D4855" s="6" t="s">
        <v>52</v>
      </c>
      <c r="E4855" s="6" t="s">
        <v>441</v>
      </c>
      <c r="F4855" s="6" t="str">
        <f>IF($M4855="PADD I","PADD 1",IF($M4855="PADD II","PADD 2",IF($M4855="PADD III","PADD 3",IF($M4855="PADD IV","PADD 4",IF($M4855="PADD V","PADD 5","")))))</f>
        <v>PADD 5</v>
      </c>
      <c r="G4855" s="6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6" t="s">
        <v>471</v>
      </c>
      <c r="I4855" s="6" t="s">
        <v>589</v>
      </c>
      <c r="J4855" s="6" t="s">
        <v>394</v>
      </c>
      <c r="K4855" s="10">
        <v>17.4</v>
      </c>
      <c r="L4855" s="10">
        <v>60</v>
      </c>
      <c r="M4855" s="6" t="s">
        <v>436</v>
      </c>
      <c r="N4855" s="6" t="str">
        <f>IF(OR($G4855="FCC",$G4855="Hydrocracker",$G4855="Reformer"),IF(COUNTIFS($D:$D,$D4855,$A:$A,$A4855,$B:$B,$B4855,$G:$G,"CDU",$J:$J,"PLANNED")&gt;0,"tied","standalone"),"")</f>
        <v>standalone</v>
      </c>
    </row>
    <row r="4856" spans="1:14">
      <c r="A4856" s="6">
        <v>2024</v>
      </c>
      <c r="B4856" s="6">
        <v>12</v>
      </c>
      <c r="C4856" s="6" t="s">
        <v>71</v>
      </c>
      <c r="D4856" s="6" t="s">
        <v>49</v>
      </c>
      <c r="E4856" s="6" t="s">
        <v>438</v>
      </c>
      <c r="F4856" s="6" t="str">
        <f>IF($M4856="PADD I","PADD 1",IF($M4856="PADD II","PADD 2",IF($M4856="PADD III","PADD 3",IF($M4856="PADD IV","PADD 4",IF($M4856="PADD V","PADD 5","")))))</f>
        <v>PADD 2</v>
      </c>
      <c r="G4856" s="6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6" t="s">
        <v>44</v>
      </c>
      <c r="I4856" s="6" t="s">
        <v>811</v>
      </c>
      <c r="J4856" s="6" t="s">
        <v>394</v>
      </c>
      <c r="K4856" s="10">
        <v>16.32</v>
      </c>
      <c r="L4856" s="10">
        <v>24</v>
      </c>
      <c r="M4856" s="6" t="s">
        <v>425</v>
      </c>
      <c r="N4856" s="6">
        <f>IF(OR($G4856="FCC",$G4856="Hydrocracker",$G4856="Reformer"),IF(COUNTIFS($D:$D,$D4856,$A:$A,$A4856,$B:$B,$B4856,$G:$G,"CDU",$J:$J,"PLANNED")&gt;0,"tied","standalone"),"")</f>
        <v/>
      </c>
    </row>
    <row r="4857" spans="1:14">
      <c r="A4857" s="6">
        <v>2024</v>
      </c>
      <c r="B4857" s="6">
        <v>12</v>
      </c>
      <c r="C4857" s="6" t="s">
        <v>71</v>
      </c>
      <c r="D4857" s="6" t="s">
        <v>479</v>
      </c>
      <c r="E4857" s="6" t="s">
        <v>438</v>
      </c>
      <c r="F4857" s="6" t="str">
        <f>IF($M4857="PADD I","PADD 1",IF($M4857="PADD II","PADD 2",IF($M4857="PADD III","PADD 3",IF($M4857="PADD IV","PADD 4",IF($M4857="PADD V","PADD 5","")))))</f>
        <v>PADD 4</v>
      </c>
      <c r="G4857" s="6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6" t="s">
        <v>426</v>
      </c>
      <c r="I4857" s="6" t="s">
        <v>106</v>
      </c>
      <c r="J4857" s="6" t="s">
        <v>394</v>
      </c>
      <c r="K4857" s="10">
        <v>16.104</v>
      </c>
      <c r="L4857" s="10">
        <v>26.4</v>
      </c>
      <c r="M4857" s="6" t="s">
        <v>480</v>
      </c>
      <c r="N4857" s="6" t="str">
        <f>IF(OR($G4857="FCC",$G4857="Hydrocracker",$G4857="Reformer"),IF(COUNTIFS($D:$D,$D4857,$A:$A,$A4857,$B:$B,$B4857,$G:$G,"CDU",$J:$J,"PLANNED")&gt;0,"tied","standalone"),"")</f>
        <v>standalone</v>
      </c>
    </row>
    <row r="4858" spans="1:14">
      <c r="A4858" s="6">
        <v>2024</v>
      </c>
      <c r="B4858" s="6">
        <v>12</v>
      </c>
      <c r="C4858" s="6" t="s">
        <v>71</v>
      </c>
      <c r="D4858" s="6" t="s">
        <v>368</v>
      </c>
      <c r="E4858" s="6" t="s">
        <v>715</v>
      </c>
      <c r="F4858" s="6" t="str">
        <f>IF($M4858="PADD I","PADD 1",IF($M4858="PADD II","PADD 2",IF($M4858="PADD III","PADD 3",IF($M4858="PADD IV","PADD 4",IF($M4858="PADD V","PADD 5","")))))</f>
        <v>PADD 3</v>
      </c>
      <c r="G4858" s="6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6" t="s">
        <v>428</v>
      </c>
      <c r="I4858" s="6" t="s">
        <v>927</v>
      </c>
      <c r="J4858" s="6" t="s">
        <v>394</v>
      </c>
      <c r="K4858" s="10">
        <v>14.608</v>
      </c>
      <c r="L4858" s="10">
        <v>91.3</v>
      </c>
      <c r="M4858" s="6" t="s">
        <v>421</v>
      </c>
      <c r="N4858" s="6">
        <f>IF(OR($G4858="FCC",$G4858="Hydrocracker",$G4858="Reformer"),IF(COUNTIFS($D:$D,$D4858,$A:$A,$A4858,$B:$B,$B4858,$G:$G,"CDU",$J:$J,"PLANNED")&gt;0,"tied","standalone"),"")</f>
        <v/>
      </c>
    </row>
    <row r="4859" spans="1:14">
      <c r="A4859" s="6">
        <v>2024</v>
      </c>
      <c r="B4859" s="6">
        <v>12</v>
      </c>
      <c r="C4859" s="6" t="s">
        <v>71</v>
      </c>
      <c r="D4859" s="6" t="s">
        <v>52</v>
      </c>
      <c r="E4859" s="6" t="s">
        <v>441</v>
      </c>
      <c r="F4859" s="6" t="str">
        <f>IF($M4859="PADD I","PADD 1",IF($M4859="PADD II","PADD 2",IF($M4859="PADD III","PADD 3",IF($M4859="PADD IV","PADD 4",IF($M4859="PADD V","PADD 5","")))))</f>
        <v>PADD 5</v>
      </c>
      <c r="G4859" s="6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6" t="s">
        <v>510</v>
      </c>
      <c r="I4859" s="6" t="s">
        <v>511</v>
      </c>
      <c r="J4859" s="6" t="s">
        <v>394</v>
      </c>
      <c r="K4859" s="10">
        <v>13.86</v>
      </c>
      <c r="L4859" s="10">
        <v>33</v>
      </c>
      <c r="M4859" s="6" t="s">
        <v>436</v>
      </c>
      <c r="N4859" s="6">
        <f>IF(OR($G4859="FCC",$G4859="Hydrocracker",$G4859="Reformer"),IF(COUNTIFS($D:$D,$D4859,$A:$A,$A4859,$B:$B,$B4859,$G:$G,"CDU",$J:$J,"PLANNED")&gt;0,"tied","standalone"),"")</f>
        <v/>
      </c>
    </row>
    <row r="4860" spans="1:14">
      <c r="A4860" s="6">
        <v>2024</v>
      </c>
      <c r="B4860" s="6">
        <v>12</v>
      </c>
      <c r="C4860" s="6" t="s">
        <v>71</v>
      </c>
      <c r="D4860" s="6" t="s">
        <v>788</v>
      </c>
      <c r="E4860" s="6" t="s">
        <v>602</v>
      </c>
      <c r="F4860" s="6" t="str">
        <f>IF($M4860="PADD I","PADD 1",IF($M4860="PADD II","PADD 2",IF($M4860="PADD III","PADD 3",IF($M4860="PADD IV","PADD 4",IF($M4860="PADD V","PADD 5","")))))</f>
        <v>PADD 3</v>
      </c>
      <c r="G4860" s="6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6" t="s">
        <v>426</v>
      </c>
      <c r="I4860" s="6" t="s">
        <v>106</v>
      </c>
      <c r="J4860" s="6" t="s">
        <v>398</v>
      </c>
      <c r="K4860" s="10">
        <v>13.65</v>
      </c>
      <c r="L4860" s="10">
        <v>32.5</v>
      </c>
      <c r="M4860" s="6" t="s">
        <v>421</v>
      </c>
      <c r="N4860" s="6" t="str">
        <f>IF(OR($G4860="FCC",$G4860="Hydrocracker",$G4860="Reformer"),IF(COUNTIFS($D:$D,$D4860,$A:$A,$A4860,$B:$B,$B4860,$G:$G,"CDU",$J:$J,"PLANNED")&gt;0,"tied","standalone"),"")</f>
        <v>tied</v>
      </c>
    </row>
    <row r="4861" spans="1:14">
      <c r="A4861" s="6">
        <v>2024</v>
      </c>
      <c r="B4861" s="6">
        <v>12</v>
      </c>
      <c r="C4861" s="6" t="s">
        <v>71</v>
      </c>
      <c r="D4861" s="6" t="s">
        <v>507</v>
      </c>
      <c r="E4861" s="6" t="s">
        <v>438</v>
      </c>
      <c r="F4861" s="6" t="str">
        <f>IF($M4861="PADD I","PADD 1",IF($M4861="PADD II","PADD 2",IF($M4861="PADD III","PADD 3",IF($M4861="PADD IV","PADD 4",IF($M4861="PADD V","PADD 5","")))))</f>
        <v>PADD 5</v>
      </c>
      <c r="G4861" s="6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6" t="s">
        <v>494</v>
      </c>
      <c r="I4861" s="6" t="s">
        <v>14</v>
      </c>
      <c r="J4861" s="6" t="s">
        <v>394</v>
      </c>
      <c r="K4861" s="10">
        <v>12.65</v>
      </c>
      <c r="L4861" s="10">
        <v>55</v>
      </c>
      <c r="M4861" s="6" t="s">
        <v>436</v>
      </c>
      <c r="N4861" s="6" t="str">
        <f>IF(OR($G4861="FCC",$G4861="Hydrocracker",$G4861="Reformer"),IF(COUNTIFS($D:$D,$D4861,$A:$A,$A4861,$B:$B,$B4861,$G:$G,"CDU",$J:$J,"PLANNED")&gt;0,"tied","standalone"),"")</f>
        <v>standalone</v>
      </c>
    </row>
    <row r="4862" spans="1:14">
      <c r="A4862" s="6">
        <v>2024</v>
      </c>
      <c r="B4862" s="6">
        <v>12</v>
      </c>
      <c r="C4862" s="6" t="s">
        <v>71</v>
      </c>
      <c r="D4862" s="6" t="s">
        <v>490</v>
      </c>
      <c r="E4862" s="6" t="s">
        <v>419</v>
      </c>
      <c r="F4862" s="6" t="str">
        <f>IF($M4862="PADD I","PADD 1",IF($M4862="PADD II","PADD 2",IF($M4862="PADD III","PADD 3",IF($M4862="PADD IV","PADD 4",IF($M4862="PADD V","PADD 5","")))))</f>
        <v>PADD 5</v>
      </c>
      <c r="G4862" s="6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6" t="s">
        <v>44</v>
      </c>
      <c r="I4862" s="6" t="s">
        <v>717</v>
      </c>
      <c r="J4862" s="6" t="s">
        <v>398</v>
      </c>
      <c r="K4862" s="10">
        <v>11.6</v>
      </c>
      <c r="L4862" s="10">
        <v>40</v>
      </c>
      <c r="M4862" s="6" t="s">
        <v>436</v>
      </c>
      <c r="N4862" s="6">
        <f>IF(OR($G4862="FCC",$G4862="Hydrocracker",$G4862="Reformer"),IF(COUNTIFS($D:$D,$D4862,$A:$A,$A4862,$B:$B,$B4862,$G:$G,"CDU",$J:$J,"PLANNED")&gt;0,"tied","standalone"),"")</f>
        <v/>
      </c>
    </row>
    <row r="4863" spans="1:14">
      <c r="A4863" s="6">
        <v>2024</v>
      </c>
      <c r="B4863" s="6">
        <v>12</v>
      </c>
      <c r="C4863" s="6" t="s">
        <v>71</v>
      </c>
      <c r="D4863" s="6" t="s">
        <v>496</v>
      </c>
      <c r="E4863" s="6" t="s">
        <v>441</v>
      </c>
      <c r="F4863" s="6" t="str">
        <f>IF($M4863="PADD I","PADD 1",IF($M4863="PADD II","PADD 2",IF($M4863="PADD III","PADD 3",IF($M4863="PADD IV","PADD 4",IF($M4863="PADD V","PADD 5","")))))</f>
        <v>PADD 3</v>
      </c>
      <c r="G4863" s="6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6" t="s">
        <v>39</v>
      </c>
      <c r="I4863" s="6" t="s">
        <v>82</v>
      </c>
      <c r="J4863" s="6" t="s">
        <v>398</v>
      </c>
      <c r="K4863" s="10">
        <v>10</v>
      </c>
      <c r="L4863" s="10">
        <v>100</v>
      </c>
      <c r="M4863" s="6" t="s">
        <v>421</v>
      </c>
      <c r="N4863" s="6">
        <f>IF(OR($G4863="FCC",$G4863="Hydrocracker",$G4863="Reformer"),IF(COUNTIFS($D:$D,$D4863,$A:$A,$A4863,$B:$B,$B4863,$G:$G,"CDU",$J:$J,"PLANNED")&gt;0,"tied","standalone"),"")</f>
        <v/>
      </c>
    </row>
    <row r="4864" spans="1:14">
      <c r="A4864" s="6">
        <v>2024</v>
      </c>
      <c r="B4864" s="6">
        <v>12</v>
      </c>
      <c r="C4864" s="6" t="s">
        <v>71</v>
      </c>
      <c r="D4864" s="6" t="s">
        <v>849</v>
      </c>
      <c r="E4864" s="6" t="s">
        <v>441</v>
      </c>
      <c r="F4864" s="6" t="str">
        <f>IF($M4864="PADD I","PADD 1",IF($M4864="PADD II","PADD 2",IF($M4864="PADD III","PADD 3",IF($M4864="PADD IV","PADD 4",IF($M4864="PADD V","PADD 5","")))))</f>
        <v>PADD 4</v>
      </c>
      <c r="G4864" s="6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6" t="s">
        <v>485</v>
      </c>
      <c r="I4864" s="6" t="s">
        <v>1238</v>
      </c>
      <c r="J4864" s="6" t="s">
        <v>394</v>
      </c>
      <c r="K4864" s="10">
        <v>9.699999999999999</v>
      </c>
      <c r="L4864" s="10">
        <v>10</v>
      </c>
      <c r="M4864" s="6" t="s">
        <v>480</v>
      </c>
      <c r="N4864" s="6">
        <f>IF(OR($G4864="FCC",$G4864="Hydrocracker",$G4864="Reformer"),IF(COUNTIFS($D:$D,$D4864,$A:$A,$A4864,$B:$B,$B4864,$G:$G,"CDU",$J:$J,"PLANNED")&gt;0,"tied","standalone"),"")</f>
        <v/>
      </c>
    </row>
    <row r="4865" spans="1:14">
      <c r="A4865" s="6">
        <v>2024</v>
      </c>
      <c r="B4865" s="6">
        <v>12</v>
      </c>
      <c r="C4865" s="6" t="s">
        <v>71</v>
      </c>
      <c r="D4865" s="6" t="s">
        <v>487</v>
      </c>
      <c r="E4865" s="6" t="s">
        <v>488</v>
      </c>
      <c r="F4865" s="6" t="str">
        <f>IF($M4865="PADD I","PADD 1",IF($M4865="PADD II","PADD 2",IF($M4865="PADD III","PADD 3",IF($M4865="PADD IV","PADD 4",IF($M4865="PADD V","PADD 5","")))))</f>
        <v>PADD 4</v>
      </c>
      <c r="G4865" s="6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6" t="s">
        <v>44</v>
      </c>
      <c r="I4865" s="6" t="s">
        <v>543</v>
      </c>
      <c r="J4865" s="6" t="s">
        <v>394</v>
      </c>
      <c r="K4865" s="10">
        <v>8.19</v>
      </c>
      <c r="L4865" s="10">
        <v>21</v>
      </c>
      <c r="M4865" s="6" t="s">
        <v>480</v>
      </c>
      <c r="N4865" s="6">
        <f>IF(OR($G4865="FCC",$G4865="Hydrocracker",$G4865="Reformer"),IF(COUNTIFS($D:$D,$D4865,$A:$A,$A4865,$B:$B,$B4865,$G:$G,"CDU",$J:$J,"PLANNED")&gt;0,"tied","standalone"),"")</f>
        <v/>
      </c>
    </row>
    <row r="4866" spans="1:14">
      <c r="A4866" s="6">
        <v>2024</v>
      </c>
      <c r="B4866" s="6">
        <v>12</v>
      </c>
      <c r="C4866" s="6" t="s">
        <v>71</v>
      </c>
      <c r="D4866" s="6" t="s">
        <v>576</v>
      </c>
      <c r="E4866" s="6" t="s">
        <v>455</v>
      </c>
      <c r="F4866" s="6" t="str">
        <f>IF($M4866="PADD I","PADD 1",IF($M4866="PADD II","PADD 2",IF($M4866="PADD III","PADD 3",IF($M4866="PADD IV","PADD 4",IF($M4866="PADD V","PADD 5","")))))</f>
        <v>PADD 3</v>
      </c>
      <c r="G4866" s="6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6" t="s">
        <v>428</v>
      </c>
      <c r="I4866" s="6" t="s">
        <v>699</v>
      </c>
      <c r="J4866" s="6" t="s">
        <v>394</v>
      </c>
      <c r="K4866" s="10">
        <v>7.68</v>
      </c>
      <c r="L4866" s="10">
        <v>48</v>
      </c>
      <c r="M4866" s="6" t="s">
        <v>421</v>
      </c>
      <c r="N4866" s="6">
        <f>IF(OR($G4866="FCC",$G4866="Hydrocracker",$G4866="Reformer"),IF(COUNTIFS($D:$D,$D4866,$A:$A,$A4866,$B:$B,$B4866,$G:$G,"CDU",$J:$J,"PLANNED")&gt;0,"tied","standalone"),"")</f>
        <v/>
      </c>
    </row>
    <row r="4867" spans="1:14">
      <c r="A4867" s="6">
        <v>2024</v>
      </c>
      <c r="B4867" s="6">
        <v>12</v>
      </c>
      <c r="C4867" s="6" t="s">
        <v>71</v>
      </c>
      <c r="D4867" s="6" t="s">
        <v>52</v>
      </c>
      <c r="E4867" s="6" t="s">
        <v>441</v>
      </c>
      <c r="F4867" s="6" t="str">
        <f>IF($M4867="PADD I","PADD 1",IF($M4867="PADD II","PADD 2",IF($M4867="PADD III","PADD 3",IF($M4867="PADD IV","PADD 4",IF($M4867="PADD V","PADD 5","")))))</f>
        <v>PADD 5</v>
      </c>
      <c r="G4867" s="6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6" t="s">
        <v>494</v>
      </c>
      <c r="I4867" s="6" t="s">
        <v>1124</v>
      </c>
      <c r="J4867" s="6" t="s">
        <v>394</v>
      </c>
      <c r="K4867" s="10">
        <v>7.2</v>
      </c>
      <c r="L4867" s="10">
        <v>45</v>
      </c>
      <c r="M4867" s="6" t="s">
        <v>436</v>
      </c>
      <c r="N4867" s="6" t="str">
        <f>IF(OR($G4867="FCC",$G4867="Hydrocracker",$G4867="Reformer"),IF(COUNTIFS($D:$D,$D4867,$A:$A,$A4867,$B:$B,$B4867,$G:$G,"CDU",$J:$J,"PLANNED")&gt;0,"tied","standalone"),"")</f>
        <v>standalone</v>
      </c>
    </row>
    <row r="4868" spans="1:14">
      <c r="A4868" s="6">
        <v>2024</v>
      </c>
      <c r="B4868" s="6">
        <v>12</v>
      </c>
      <c r="C4868" s="6" t="s">
        <v>71</v>
      </c>
      <c r="D4868" s="6" t="s">
        <v>54</v>
      </c>
      <c r="E4868" s="6" t="s">
        <v>593</v>
      </c>
      <c r="F4868" s="6" t="str">
        <f>IF($M4868="PADD I","PADD 1",IF($M4868="PADD II","PADD 2",IF($M4868="PADD III","PADD 3",IF($M4868="PADD IV","PADD 4",IF($M4868="PADD V","PADD 5","")))))</f>
        <v>PADD 5</v>
      </c>
      <c r="G4868" s="6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6" t="s">
        <v>494</v>
      </c>
      <c r="I4868" s="6" t="s">
        <v>14</v>
      </c>
      <c r="J4868" s="6" t="s">
        <v>394</v>
      </c>
      <c r="K4868" s="10">
        <v>7.15</v>
      </c>
      <c r="L4868" s="10">
        <v>55</v>
      </c>
      <c r="M4868" s="6" t="s">
        <v>436</v>
      </c>
      <c r="N4868" s="6" t="str">
        <f>IF(OR($G4868="FCC",$G4868="Hydrocracker",$G4868="Reformer"),IF(COUNTIFS($D:$D,$D4868,$A:$A,$A4868,$B:$B,$B4868,$G:$G,"CDU",$J:$J,"PLANNED")&gt;0,"tied","standalone"),"")</f>
        <v>standalone</v>
      </c>
    </row>
    <row r="4869" spans="1:14">
      <c r="A4869" s="6">
        <v>2024</v>
      </c>
      <c r="B4869" s="6">
        <v>12</v>
      </c>
      <c r="C4869" s="6" t="s">
        <v>71</v>
      </c>
      <c r="D4869" s="6" t="s">
        <v>824</v>
      </c>
      <c r="E4869" s="6" t="s">
        <v>825</v>
      </c>
      <c r="F4869" s="6" t="str">
        <f>IF($M4869="PADD I","PADD 1",IF($M4869="PADD II","PADD 2",IF($M4869="PADD III","PADD 3",IF($M4869="PADD IV","PADD 4",IF($M4869="PADD V","PADD 5","")))))</f>
        <v>PADD 1</v>
      </c>
      <c r="G4869" s="6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6" t="s">
        <v>494</v>
      </c>
      <c r="I4869" s="6" t="s">
        <v>14</v>
      </c>
      <c r="J4869" s="6" t="s">
        <v>394</v>
      </c>
      <c r="K4869" s="10">
        <v>7.02</v>
      </c>
      <c r="L4869" s="10">
        <v>18</v>
      </c>
      <c r="M4869" s="6" t="s">
        <v>463</v>
      </c>
      <c r="N4869" s="6" t="str">
        <f>IF(OR($G4869="FCC",$G4869="Hydrocracker",$G4869="Reformer"),IF(COUNTIFS($D:$D,$D4869,$A:$A,$A4869,$B:$B,$B4869,$G:$G,"CDU",$J:$J,"PLANNED")&gt;0,"tied","standalone"),"")</f>
        <v>standalone</v>
      </c>
    </row>
    <row r="4870" spans="1:14">
      <c r="A4870" s="6">
        <v>2024</v>
      </c>
      <c r="B4870" s="6">
        <v>12</v>
      </c>
      <c r="C4870" s="6" t="s">
        <v>71</v>
      </c>
      <c r="D4870" s="6" t="s">
        <v>496</v>
      </c>
      <c r="E4870" s="6" t="s">
        <v>441</v>
      </c>
      <c r="F4870" s="6" t="str">
        <f>IF($M4870="PADD I","PADD 1",IF($M4870="PADD II","PADD 2",IF($M4870="PADD III","PADD 3",IF($M4870="PADD IV","PADD 4",IF($M4870="PADD V","PADD 5","")))))</f>
        <v>PADD 3</v>
      </c>
      <c r="G4870" s="6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6" t="s">
        <v>39</v>
      </c>
      <c r="I4870" s="6" t="s">
        <v>82</v>
      </c>
      <c r="J4870" s="6" t="s">
        <v>394</v>
      </c>
      <c r="K4870" s="10">
        <v>6.942</v>
      </c>
      <c r="L4870" s="10">
        <v>115.7</v>
      </c>
      <c r="M4870" s="6" t="s">
        <v>421</v>
      </c>
      <c r="N4870" s="6">
        <f>IF(OR($G4870="FCC",$G4870="Hydrocracker",$G4870="Reformer"),IF(COUNTIFS($D:$D,$D4870,$A:$A,$A4870,$B:$B,$B4870,$G:$G,"CDU",$J:$J,"PLANNED")&gt;0,"tied","standalone"),"")</f>
        <v/>
      </c>
    </row>
    <row r="4871" spans="1:14">
      <c r="A4871" s="6">
        <v>2024</v>
      </c>
      <c r="B4871" s="6">
        <v>12</v>
      </c>
      <c r="C4871" s="6" t="s">
        <v>71</v>
      </c>
      <c r="D4871" s="6" t="s">
        <v>484</v>
      </c>
      <c r="E4871" s="6" t="s">
        <v>438</v>
      </c>
      <c r="F4871" s="6" t="str">
        <f>IF($M4871="PADD I","PADD 1",IF($M4871="PADD II","PADD 2",IF($M4871="PADD III","PADD 3",IF($M4871="PADD IV","PADD 4",IF($M4871="PADD V","PADD 5","")))))</f>
        <v>PADD 5</v>
      </c>
      <c r="G4871" s="6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6" t="s">
        <v>471</v>
      </c>
      <c r="I4871" s="6" t="s">
        <v>721</v>
      </c>
      <c r="J4871" s="6" t="s">
        <v>394</v>
      </c>
      <c r="K4871" s="10">
        <v>6.75</v>
      </c>
      <c r="L4871" s="10">
        <v>15</v>
      </c>
      <c r="M4871" s="6" t="s">
        <v>436</v>
      </c>
      <c r="N4871" s="6" t="str">
        <f>IF(OR($G4871="FCC",$G4871="Hydrocracker",$G4871="Reformer"),IF(COUNTIFS($D:$D,$D4871,$A:$A,$A4871,$B:$B,$B4871,$G:$G,"CDU",$J:$J,"PLANNED")&gt;0,"tied","standalone"),"")</f>
        <v>standalone</v>
      </c>
    </row>
    <row r="4872" spans="1:14">
      <c r="A4872" s="6">
        <v>2024</v>
      </c>
      <c r="B4872" s="6">
        <v>12</v>
      </c>
      <c r="C4872" s="6" t="s">
        <v>71</v>
      </c>
      <c r="D4872" s="6" t="s">
        <v>487</v>
      </c>
      <c r="E4872" s="6" t="s">
        <v>488</v>
      </c>
      <c r="F4872" s="6" t="str">
        <f>IF($M4872="PADD I","PADD 1",IF($M4872="PADD II","PADD 2",IF($M4872="PADD III","PADD 3",IF($M4872="PADD IV","PADD 4",IF($M4872="PADD V","PADD 5","")))))</f>
        <v>PADD 4</v>
      </c>
      <c r="G4872" s="6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6" t="s">
        <v>39</v>
      </c>
      <c r="I4872" s="6" t="s">
        <v>489</v>
      </c>
      <c r="J4872" s="6" t="s">
        <v>394</v>
      </c>
      <c r="K4872" s="10">
        <v>6.24</v>
      </c>
      <c r="L4872" s="10">
        <v>39</v>
      </c>
      <c r="M4872" s="6" t="s">
        <v>480</v>
      </c>
      <c r="N4872" s="6">
        <f>IF(OR($G4872="FCC",$G4872="Hydrocracker",$G4872="Reformer"),IF(COUNTIFS($D:$D,$D4872,$A:$A,$A4872,$B:$B,$B4872,$G:$G,"CDU",$J:$J,"PLANNED")&gt;0,"tied","standalone"),"")</f>
        <v/>
      </c>
    </row>
    <row r="4873" spans="1:14">
      <c r="A4873" s="6">
        <v>2024</v>
      </c>
      <c r="B4873" s="6">
        <v>12</v>
      </c>
      <c r="C4873" s="6" t="s">
        <v>71</v>
      </c>
      <c r="D4873" s="6" t="s">
        <v>928</v>
      </c>
      <c r="E4873" s="6" t="s">
        <v>502</v>
      </c>
      <c r="F4873" s="6" t="str">
        <f>IF($M4873="PADD I","PADD 1",IF($M4873="PADD II","PADD 2",IF($M4873="PADD III","PADD 3",IF($M4873="PADD IV","PADD 4",IF($M4873="PADD V","PADD 5","")))))</f>
        <v>PADD 2</v>
      </c>
      <c r="G4873" s="6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6" t="s">
        <v>485</v>
      </c>
      <c r="I4873" s="6" t="s">
        <v>491</v>
      </c>
      <c r="J4873" s="6" t="s">
        <v>394</v>
      </c>
      <c r="K4873" s="10">
        <v>5.525</v>
      </c>
      <c r="L4873" s="10">
        <v>8.5</v>
      </c>
      <c r="M4873" s="6" t="s">
        <v>425</v>
      </c>
      <c r="N4873" s="6">
        <f>IF(OR($G4873="FCC",$G4873="Hydrocracker",$G4873="Reformer"),IF(COUNTIFS($D:$D,$D4873,$A:$A,$A4873,$B:$B,$B4873,$G:$G,"CDU",$J:$J,"PLANNED")&gt;0,"tied","standalone"),"")</f>
        <v/>
      </c>
    </row>
    <row r="4874" spans="1:14">
      <c r="A4874" s="6">
        <v>2024</v>
      </c>
      <c r="B4874" s="6">
        <v>12</v>
      </c>
      <c r="C4874" s="6" t="s">
        <v>71</v>
      </c>
      <c r="D4874" s="6" t="s">
        <v>368</v>
      </c>
      <c r="E4874" s="6" t="s">
        <v>715</v>
      </c>
      <c r="F4874" s="6" t="str">
        <f>IF($M4874="PADD I","PADD 1",IF($M4874="PADD II","PADD 2",IF($M4874="PADD III","PADD 3",IF($M4874="PADD IV","PADD 4",IF($M4874="PADD V","PADD 5","")))))</f>
        <v>PADD 3</v>
      </c>
      <c r="G4874" s="6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6" t="s">
        <v>485</v>
      </c>
      <c r="I4874" s="6" t="s">
        <v>491</v>
      </c>
      <c r="J4874" s="6" t="s">
        <v>394</v>
      </c>
      <c r="K4874" s="10">
        <v>4.9174</v>
      </c>
      <c r="L4874" s="10">
        <v>21.38</v>
      </c>
      <c r="M4874" s="6" t="s">
        <v>421</v>
      </c>
      <c r="N4874" s="6">
        <f>IF(OR($G4874="FCC",$G4874="Hydrocracker",$G4874="Reformer"),IF(COUNTIFS($D:$D,$D4874,$A:$A,$A4874,$B:$B,$B4874,$G:$G,"CDU",$J:$J,"PLANNED")&gt;0,"tied","standalone"),"")</f>
        <v/>
      </c>
    </row>
    <row r="4875" spans="1:14">
      <c r="A4875" s="6">
        <v>2024</v>
      </c>
      <c r="B4875" s="6">
        <v>12</v>
      </c>
      <c r="C4875" s="6" t="s">
        <v>71</v>
      </c>
      <c r="D4875" s="6" t="s">
        <v>490</v>
      </c>
      <c r="E4875" s="6" t="s">
        <v>419</v>
      </c>
      <c r="F4875" s="6" t="str">
        <f>IF($M4875="PADD I","PADD 1",IF($M4875="PADD II","PADD 2",IF($M4875="PADD III","PADD 3",IF($M4875="PADD IV","PADD 4",IF($M4875="PADD V","PADD 5","")))))</f>
        <v>PADD 5</v>
      </c>
      <c r="G4875" s="6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6" t="s">
        <v>44</v>
      </c>
      <c r="I4875" s="6" t="s">
        <v>717</v>
      </c>
      <c r="J4875" s="6" t="s">
        <v>394</v>
      </c>
      <c r="K4875" s="10">
        <v>4</v>
      </c>
      <c r="L4875" s="10">
        <v>40</v>
      </c>
      <c r="M4875" s="6" t="s">
        <v>436</v>
      </c>
      <c r="N4875" s="6">
        <f>IF(OR($G4875="FCC",$G4875="Hydrocracker",$G4875="Reformer"),IF(COUNTIFS($D:$D,$D4875,$A:$A,$A4875,$B:$B,$B4875,$G:$G,"CDU",$J:$J,"PLANNED")&gt;0,"tied","standalone"),"")</f>
        <v/>
      </c>
    </row>
    <row r="4876" spans="1:14">
      <c r="A4876" s="6">
        <v>2024</v>
      </c>
      <c r="B4876" s="6">
        <v>12</v>
      </c>
      <c r="C4876" s="6" t="s">
        <v>71</v>
      </c>
      <c r="D4876" s="6" t="s">
        <v>1093</v>
      </c>
      <c r="E4876" s="6" t="s">
        <v>438</v>
      </c>
      <c r="F4876" s="6" t="str">
        <f>IF($M4876="PADD I","PADD 1",IF($M4876="PADD II","PADD 2",IF($M4876="PADD III","PADD 3",IF($M4876="PADD IV","PADD 4",IF($M4876="PADD V","PADD 5","")))))</f>
        <v>PADD 2</v>
      </c>
      <c r="G4876" s="6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6" t="s">
        <v>44</v>
      </c>
      <c r="I4876" s="6" t="s">
        <v>1102</v>
      </c>
      <c r="J4876" s="6" t="s">
        <v>394</v>
      </c>
      <c r="K4876" s="10">
        <v>3.808</v>
      </c>
      <c r="L4876" s="10">
        <v>23.8</v>
      </c>
      <c r="M4876" s="6" t="s">
        <v>425</v>
      </c>
      <c r="N4876" s="6">
        <f>IF(OR($G4876="FCC",$G4876="Hydrocracker",$G4876="Reformer"),IF(COUNTIFS($D:$D,$D4876,$A:$A,$A4876,$B:$B,$B4876,$G:$G,"CDU",$J:$J,"PLANNED")&gt;0,"tied","standalone"),"")</f>
        <v/>
      </c>
    </row>
    <row r="4877" spans="1:14">
      <c r="A4877" s="6">
        <v>2024</v>
      </c>
      <c r="B4877" s="6">
        <v>12</v>
      </c>
      <c r="C4877" s="6" t="s">
        <v>71</v>
      </c>
      <c r="D4877" s="6" t="s">
        <v>380</v>
      </c>
      <c r="E4877" s="6" t="s">
        <v>423</v>
      </c>
      <c r="F4877" s="6" t="str">
        <f>IF($M4877="PADD I","PADD 1",IF($M4877="PADD II","PADD 2",IF($M4877="PADD III","PADD 3",IF($M4877="PADD IV","PADD 4",IF($M4877="PADD V","PADD 5","")))))</f>
        <v>PADD 2</v>
      </c>
      <c r="G4877" s="6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6" t="s">
        <v>485</v>
      </c>
      <c r="I4877" s="6" t="s">
        <v>491</v>
      </c>
      <c r="J4877" s="6" t="s">
        <v>394</v>
      </c>
      <c r="K4877" s="10">
        <v>3.68</v>
      </c>
      <c r="L4877" s="10">
        <v>23</v>
      </c>
      <c r="M4877" s="6" t="s">
        <v>425</v>
      </c>
      <c r="N4877" s="6">
        <f>IF(OR($G4877="FCC",$G4877="Hydrocracker",$G4877="Reformer"),IF(COUNTIFS($D:$D,$D4877,$A:$A,$A4877,$B:$B,$B4877,$G:$G,"CDU",$J:$J,"PLANNED")&gt;0,"tied","standalone"),"")</f>
        <v/>
      </c>
    </row>
    <row r="4878" spans="1:14">
      <c r="A4878" s="6">
        <v>2024</v>
      </c>
      <c r="B4878" s="6">
        <v>12</v>
      </c>
      <c r="C4878" s="6" t="s">
        <v>71</v>
      </c>
      <c r="D4878" s="6" t="s">
        <v>51</v>
      </c>
      <c r="E4878" s="6" t="s">
        <v>431</v>
      </c>
      <c r="F4878" s="6" t="str">
        <f>IF($M4878="PADD I","PADD 1",IF($M4878="PADD II","PADD 2",IF($M4878="PADD III","PADD 3",IF($M4878="PADD IV","PADD 4",IF($M4878="PADD V","PADD 5","")))))</f>
        <v>PADD 3</v>
      </c>
      <c r="G4878" s="6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6" t="s">
        <v>471</v>
      </c>
      <c r="I4878" s="6" t="s">
        <v>1136</v>
      </c>
      <c r="J4878" s="6" t="s">
        <v>398</v>
      </c>
      <c r="K4878" s="10">
        <v>3.25</v>
      </c>
      <c r="L4878" s="10">
        <v>25</v>
      </c>
      <c r="M4878" s="6" t="s">
        <v>421</v>
      </c>
      <c r="N4878" s="6" t="str">
        <f>IF(OR($G4878="FCC",$G4878="Hydrocracker",$G4878="Reformer"),IF(COUNTIFS($D:$D,$D4878,$A:$A,$A4878,$B:$B,$B4878,$G:$G,"CDU",$J:$J,"PLANNED")&gt;0,"tied","standalone"),"")</f>
        <v>standalone</v>
      </c>
    </row>
    <row r="4879" spans="1:14">
      <c r="A4879" s="6">
        <v>2024</v>
      </c>
      <c r="B4879" s="6">
        <v>12</v>
      </c>
      <c r="C4879" s="6" t="s">
        <v>71</v>
      </c>
      <c r="D4879" s="6" t="s">
        <v>853</v>
      </c>
      <c r="E4879" s="6" t="s">
        <v>438</v>
      </c>
      <c r="F4879" s="6" t="str">
        <f>IF($M4879="PADD I","PADD 1",IF($M4879="PADD II","PADD 2",IF($M4879="PADD III","PADD 3",IF($M4879="PADD IV","PADD 4",IF($M4879="PADD V","PADD 5","")))))</f>
        <v>PADD 2</v>
      </c>
      <c r="G4879" s="6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6" t="s">
        <v>44</v>
      </c>
      <c r="I4879" s="6" t="s">
        <v>968</v>
      </c>
      <c r="J4879" s="6" t="s">
        <v>394</v>
      </c>
      <c r="K4879" s="10">
        <v>3.2</v>
      </c>
      <c r="L4879" s="10">
        <v>32</v>
      </c>
      <c r="M4879" s="6" t="s">
        <v>425</v>
      </c>
      <c r="N4879" s="6">
        <f>IF(OR($G4879="FCC",$G4879="Hydrocracker",$G4879="Reformer"),IF(COUNTIFS($D:$D,$D4879,$A:$A,$A4879,$B:$B,$B4879,$G:$G,"CDU",$J:$J,"PLANNED")&gt;0,"tied","standalone"),"")</f>
        <v/>
      </c>
    </row>
    <row r="4880" spans="1:14">
      <c r="A4880" s="6">
        <v>2024</v>
      </c>
      <c r="B4880" s="6">
        <v>12</v>
      </c>
      <c r="C4880" s="6" t="s">
        <v>71</v>
      </c>
      <c r="D4880" s="6" t="s">
        <v>928</v>
      </c>
      <c r="E4880" s="6" t="s">
        <v>502</v>
      </c>
      <c r="F4880" s="6" t="str">
        <f>IF($M4880="PADD I","PADD 1",IF($M4880="PADD II","PADD 2",IF($M4880="PADD III","PADD 3",IF($M4880="PADD IV","PADD 4",IF($M4880="PADD V","PADD 5","")))))</f>
        <v>PADD 2</v>
      </c>
      <c r="G4880" s="6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6" t="s">
        <v>39</v>
      </c>
      <c r="I4880" s="6" t="s">
        <v>929</v>
      </c>
      <c r="J4880" s="6" t="s">
        <v>394</v>
      </c>
      <c r="K4880" s="10">
        <v>2.7306</v>
      </c>
      <c r="L4880" s="10">
        <v>91.02</v>
      </c>
      <c r="M4880" s="6" t="s">
        <v>425</v>
      </c>
      <c r="N4880" s="6">
        <f>IF(OR($G4880="FCC",$G4880="Hydrocracker",$G4880="Reformer"),IF(COUNTIFS($D:$D,$D4880,$A:$A,$A4880,$B:$B,$B4880,$G:$G,"CDU",$J:$J,"PLANNED")&gt;0,"tied","standalone"),"")</f>
        <v/>
      </c>
    </row>
    <row r="4881" spans="1:14">
      <c r="A4881" s="6">
        <v>2024</v>
      </c>
      <c r="B4881" s="6">
        <v>12</v>
      </c>
      <c r="C4881" s="6" t="s">
        <v>71</v>
      </c>
      <c r="D4881" s="6" t="s">
        <v>678</v>
      </c>
      <c r="E4881" s="6" t="s">
        <v>438</v>
      </c>
      <c r="F4881" s="6" t="str">
        <f>IF($M4881="PADD I","PADD 1",IF($M4881="PADD II","PADD 2",IF($M4881="PADD III","PADD 3",IF($M4881="PADD IV","PADD 4",IF($M4881="PADD V","PADD 5","")))))</f>
        <v>PADD 3</v>
      </c>
      <c r="G4881" s="6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6" t="s">
        <v>510</v>
      </c>
      <c r="I4881" s="6" t="s">
        <v>666</v>
      </c>
      <c r="J4881" s="6" t="s">
        <v>394</v>
      </c>
      <c r="K4881" s="10">
        <v>2.622</v>
      </c>
      <c r="L4881" s="10">
        <v>13.8</v>
      </c>
      <c r="M4881" s="6" t="s">
        <v>421</v>
      </c>
      <c r="N4881" s="6">
        <f>IF(OR($G4881="FCC",$G4881="Hydrocracker",$G4881="Reformer"),IF(COUNTIFS($D:$D,$D4881,$A:$A,$A4881,$B:$B,$B4881,$G:$G,"CDU",$J:$J,"PLANNED")&gt;0,"tied","standalone"),"")</f>
        <v/>
      </c>
    </row>
    <row r="4882" spans="1:14">
      <c r="A4882" s="6">
        <v>2024</v>
      </c>
      <c r="B4882" s="6">
        <v>12</v>
      </c>
      <c r="C4882" s="6" t="s">
        <v>71</v>
      </c>
      <c r="D4882" s="6" t="s">
        <v>849</v>
      </c>
      <c r="E4882" s="6" t="s">
        <v>441</v>
      </c>
      <c r="F4882" s="6" t="str">
        <f>IF($M4882="PADD I","PADD 1",IF($M4882="PADD II","PADD 2",IF($M4882="PADD III","PADD 3",IF($M4882="PADD IV","PADD 4",IF($M4882="PADD V","PADD 5","")))))</f>
        <v>PADD 4</v>
      </c>
      <c r="G4882" s="6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6" t="s">
        <v>485</v>
      </c>
      <c r="I4882" s="6" t="s">
        <v>1238</v>
      </c>
      <c r="J4882" s="6" t="s">
        <v>394</v>
      </c>
      <c r="K4882" s="10">
        <v>2.378</v>
      </c>
      <c r="L4882" s="10">
        <v>8.199999999999999</v>
      </c>
      <c r="M4882" s="6" t="s">
        <v>480</v>
      </c>
      <c r="N4882" s="6">
        <f>IF(OR($G4882="FCC",$G4882="Hydrocracker",$G4882="Reformer"),IF(COUNTIFS($D:$D,$D4882,$A:$A,$A4882,$B:$B,$B4882,$G:$G,"CDU",$J:$J,"PLANNED")&gt;0,"tied","standalone"),"")</f>
        <v/>
      </c>
    </row>
    <row r="4883" spans="1:14">
      <c r="A4883" s="6">
        <v>2024</v>
      </c>
      <c r="B4883" s="6">
        <v>12</v>
      </c>
      <c r="C4883" s="6" t="s">
        <v>71</v>
      </c>
      <c r="D4883" s="6" t="s">
        <v>788</v>
      </c>
      <c r="E4883" s="6" t="s">
        <v>602</v>
      </c>
      <c r="F4883" s="6" t="str">
        <f>IF($M4883="PADD I","PADD 1",IF($M4883="PADD II","PADD 2",IF($M4883="PADD III","PADD 3",IF($M4883="PADD IV","PADD 4",IF($M4883="PADD V","PADD 5","")))))</f>
        <v>PADD 3</v>
      </c>
      <c r="G4883" s="6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6" t="s">
        <v>39</v>
      </c>
      <c r="I4883" s="6" t="s">
        <v>82</v>
      </c>
      <c r="J4883" s="6" t="s">
        <v>398</v>
      </c>
      <c r="K4883" s="10">
        <v>2.22</v>
      </c>
      <c r="L4883" s="10">
        <v>74</v>
      </c>
      <c r="M4883" s="6" t="s">
        <v>421</v>
      </c>
      <c r="N4883" s="6">
        <f>IF(OR($G4883="FCC",$G4883="Hydrocracker",$G4883="Reformer"),IF(COUNTIFS($D:$D,$D4883,$A:$A,$A4883,$B:$B,$B4883,$G:$G,"CDU",$J:$J,"PLANNED")&gt;0,"tied","standalone"),"")</f>
        <v/>
      </c>
    </row>
    <row r="4884" spans="1:14">
      <c r="A4884" s="6">
        <v>2024</v>
      </c>
      <c r="B4884" s="6">
        <v>12</v>
      </c>
      <c r="C4884" s="6" t="s">
        <v>71</v>
      </c>
      <c r="D4884" s="6" t="s">
        <v>496</v>
      </c>
      <c r="E4884" s="6" t="s">
        <v>441</v>
      </c>
      <c r="F4884" s="6" t="str">
        <f>IF($M4884="PADD I","PADD 1",IF($M4884="PADD II","PADD 2",IF($M4884="PADD III","PADD 3",IF($M4884="PADD IV","PADD 4",IF($M4884="PADD V","PADD 5","")))))</f>
        <v>PADD 3</v>
      </c>
      <c r="G4884" s="6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6" t="s">
        <v>510</v>
      </c>
      <c r="I4884" s="6" t="s">
        <v>1125</v>
      </c>
      <c r="J4884" s="6" t="s">
        <v>394</v>
      </c>
      <c r="K4884" s="10">
        <v>2.088</v>
      </c>
      <c r="L4884" s="10">
        <v>7.2</v>
      </c>
      <c r="M4884" s="6" t="s">
        <v>421</v>
      </c>
      <c r="N4884" s="6">
        <f>IF(OR($G4884="FCC",$G4884="Hydrocracker",$G4884="Reformer"),IF(COUNTIFS($D:$D,$D4884,$A:$A,$A4884,$B:$B,$B4884,$G:$G,"CDU",$J:$J,"PLANNED")&gt;0,"tied","standalone"),"")</f>
        <v/>
      </c>
    </row>
    <row r="4885" spans="1:14">
      <c r="A4885" s="6">
        <v>2024</v>
      </c>
      <c r="B4885" s="6">
        <v>12</v>
      </c>
      <c r="C4885" s="6" t="s">
        <v>71</v>
      </c>
      <c r="D4885" s="6" t="s">
        <v>496</v>
      </c>
      <c r="E4885" s="6" t="s">
        <v>441</v>
      </c>
      <c r="F4885" s="6" t="str">
        <f>IF($M4885="PADD I","PADD 1",IF($M4885="PADD II","PADD 2",IF($M4885="PADD III","PADD 3",IF($M4885="PADD IV","PADD 4",IF($M4885="PADD V","PADD 5","")))))</f>
        <v>PADD 3</v>
      </c>
      <c r="G4885" s="6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6" t="s">
        <v>510</v>
      </c>
      <c r="I4885" s="6" t="s">
        <v>630</v>
      </c>
      <c r="J4885" s="6" t="s">
        <v>394</v>
      </c>
      <c r="K4885" s="10">
        <v>2.088</v>
      </c>
      <c r="L4885" s="10">
        <v>7.2</v>
      </c>
      <c r="M4885" s="6" t="s">
        <v>421</v>
      </c>
      <c r="N4885" s="6">
        <f>IF(OR($G4885="FCC",$G4885="Hydrocracker",$G4885="Reformer"),IF(COUNTIFS($D:$D,$D4885,$A:$A,$A4885,$B:$B,$B4885,$G:$G,"CDU",$J:$J,"PLANNED")&gt;0,"tied","standalone"),"")</f>
        <v/>
      </c>
    </row>
    <row r="4886" spans="1:14">
      <c r="A4886" s="6">
        <v>2024</v>
      </c>
      <c r="B4886" s="6">
        <v>12</v>
      </c>
      <c r="C4886" s="6" t="s">
        <v>71</v>
      </c>
      <c r="D4886" s="6" t="s">
        <v>49</v>
      </c>
      <c r="E4886" s="6" t="s">
        <v>438</v>
      </c>
      <c r="F4886" s="6" t="str">
        <f>IF($M4886="PADD I","PADD 1",IF($M4886="PADD II","PADD 2",IF($M4886="PADD III","PADD 3",IF($M4886="PADD IV","PADD 4",IF($M4886="PADD V","PADD 5","")))))</f>
        <v>PADD 2</v>
      </c>
      <c r="G4886" s="6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6" t="s">
        <v>485</v>
      </c>
      <c r="I4886" s="6" t="s">
        <v>681</v>
      </c>
      <c r="J4886" s="6" t="s">
        <v>394</v>
      </c>
      <c r="K4886" s="10">
        <v>1.92</v>
      </c>
      <c r="L4886" s="10">
        <v>12</v>
      </c>
      <c r="M4886" s="6" t="s">
        <v>425</v>
      </c>
      <c r="N4886" s="6">
        <f>IF(OR($G4886="FCC",$G4886="Hydrocracker",$G4886="Reformer"),IF(COUNTIFS($D:$D,$D4886,$A:$A,$A4886,$B:$B,$B4886,$G:$G,"CDU",$J:$J,"PLANNED")&gt;0,"tied","standalone"),"")</f>
        <v/>
      </c>
    </row>
    <row r="4887" spans="1:14">
      <c r="A4887" s="6">
        <v>2024</v>
      </c>
      <c r="B4887" s="6">
        <v>12</v>
      </c>
      <c r="C4887" s="6" t="s">
        <v>71</v>
      </c>
      <c r="D4887" s="6" t="s">
        <v>712</v>
      </c>
      <c r="E4887" s="6" t="s">
        <v>602</v>
      </c>
      <c r="F4887" s="6" t="str">
        <f>IF($M4887="PADD I","PADD 1",IF($M4887="PADD II","PADD 2",IF($M4887="PADD III","PADD 3",IF($M4887="PADD IV","PADD 4",IF($M4887="PADD V","PADD 5","")))))</f>
        <v>PADD 3</v>
      </c>
      <c r="G4887" s="6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6" t="s">
        <v>44</v>
      </c>
      <c r="I4887" s="6" t="s">
        <v>894</v>
      </c>
      <c r="J4887" s="6" t="s">
        <v>398</v>
      </c>
      <c r="K4887" s="10">
        <v>1.75</v>
      </c>
      <c r="L4887" s="10">
        <v>5</v>
      </c>
      <c r="M4887" s="6" t="s">
        <v>421</v>
      </c>
      <c r="N4887" s="6">
        <f>IF(OR($G4887="FCC",$G4887="Hydrocracker",$G4887="Reformer"),IF(COUNTIFS($D:$D,$D4887,$A:$A,$A4887,$B:$B,$B4887,$G:$G,"CDU",$J:$J,"PLANNED")&gt;0,"tied","standalone"),"")</f>
        <v/>
      </c>
    </row>
    <row r="4888" spans="1:14">
      <c r="A4888" s="6">
        <v>2024</v>
      </c>
      <c r="B4888" s="6">
        <v>12</v>
      </c>
      <c r="C4888" s="6" t="s">
        <v>71</v>
      </c>
      <c r="D4888" s="6" t="s">
        <v>581</v>
      </c>
      <c r="E4888" s="6" t="s">
        <v>582</v>
      </c>
      <c r="F4888" s="6" t="str">
        <f>IF($M4888="PADD I","PADD 1",IF($M4888="PADD II","PADD 2",IF($M4888="PADD III","PADD 3",IF($M4888="PADD IV","PADD 4",IF($M4888="PADD V","PADD 5","")))))</f>
        <v>PADD 5</v>
      </c>
      <c r="G4888" s="6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6" t="s">
        <v>485</v>
      </c>
      <c r="I4888" s="6" t="s">
        <v>649</v>
      </c>
      <c r="J4888" s="6" t="s">
        <v>398</v>
      </c>
      <c r="K4888" s="10">
        <v>1.5675</v>
      </c>
      <c r="L4888" s="10">
        <v>8.25</v>
      </c>
      <c r="M4888" s="6" t="s">
        <v>436</v>
      </c>
      <c r="N4888" s="6">
        <f>IF(OR($G4888="FCC",$G4888="Hydrocracker",$G4888="Reformer"),IF(COUNTIFS($D:$D,$D4888,$A:$A,$A4888,$B:$B,$B4888,$G:$G,"CDU",$J:$J,"PLANNED")&gt;0,"tied","standalone"),"")</f>
        <v/>
      </c>
    </row>
    <row r="4889" spans="1:14">
      <c r="A4889" s="6">
        <v>2024</v>
      </c>
      <c r="B4889" s="6">
        <v>12</v>
      </c>
      <c r="C4889" s="6" t="s">
        <v>71</v>
      </c>
      <c r="D4889" s="6" t="s">
        <v>422</v>
      </c>
      <c r="E4889" s="6" t="s">
        <v>423</v>
      </c>
      <c r="F4889" s="6" t="str">
        <f>IF($M4889="PADD I","PADD 1",IF($M4889="PADD II","PADD 2",IF($M4889="PADD III","PADD 3",IF($M4889="PADD IV","PADD 4",IF($M4889="PADD V","PADD 5","")))))</f>
        <v>PADD 2</v>
      </c>
      <c r="G4889" s="6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6" t="s">
        <v>485</v>
      </c>
      <c r="I4889" s="6" t="s">
        <v>634</v>
      </c>
      <c r="J4889" s="6" t="s">
        <v>394</v>
      </c>
      <c r="K4889" s="10">
        <v>1.425</v>
      </c>
      <c r="L4889" s="10">
        <v>7.5</v>
      </c>
      <c r="M4889" s="6" t="s">
        <v>425</v>
      </c>
      <c r="N4889" s="6">
        <f>IF(OR($G4889="FCC",$G4889="Hydrocracker",$G4889="Reformer"),IF(COUNTIFS($D:$D,$D4889,$A:$A,$A4889,$B:$B,$B4889,$G:$G,"CDU",$J:$J,"PLANNED")&gt;0,"tied","standalone"),"")</f>
        <v/>
      </c>
    </row>
    <row r="4890" spans="1:14">
      <c r="A4890" s="6">
        <v>2024</v>
      </c>
      <c r="B4890" s="6">
        <v>12</v>
      </c>
      <c r="C4890" s="6" t="s">
        <v>71</v>
      </c>
      <c r="D4890" s="6" t="s">
        <v>487</v>
      </c>
      <c r="E4890" s="6" t="s">
        <v>488</v>
      </c>
      <c r="F4890" s="6" t="str">
        <f>IF($M4890="PADD I","PADD 1",IF($M4890="PADD II","PADD 2",IF($M4890="PADD III","PADD 3",IF($M4890="PADD IV","PADD 4",IF($M4890="PADD V","PADD 5","")))))</f>
        <v>PADD 4</v>
      </c>
      <c r="G4890" s="6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6" t="s">
        <v>428</v>
      </c>
      <c r="I4890" s="6" t="s">
        <v>606</v>
      </c>
      <c r="J4890" s="6" t="s">
        <v>394</v>
      </c>
      <c r="K4890" s="10">
        <v>1.3408</v>
      </c>
      <c r="L4890" s="10">
        <v>8.380000000000001</v>
      </c>
      <c r="M4890" s="6" t="s">
        <v>480</v>
      </c>
      <c r="N4890" s="6">
        <f>IF(OR($G4890="FCC",$G4890="Hydrocracker",$G4890="Reformer"),IF(COUNTIFS($D:$D,$D4890,$A:$A,$A4890,$B:$B,$B4890,$G:$G,"CDU",$J:$J,"PLANNED")&gt;0,"tied","standalone"),"")</f>
        <v/>
      </c>
    </row>
    <row r="4891" spans="1:14">
      <c r="A4891" s="6">
        <v>2024</v>
      </c>
      <c r="B4891" s="6">
        <v>12</v>
      </c>
      <c r="C4891" s="6" t="s">
        <v>71</v>
      </c>
      <c r="D4891" s="6" t="s">
        <v>518</v>
      </c>
      <c r="E4891" s="6" t="s">
        <v>419</v>
      </c>
      <c r="F4891" s="6" t="str">
        <f>IF($M4891="PADD I","PADD 1",IF($M4891="PADD II","PADD 2",IF($M4891="PADD III","PADD 3",IF($M4891="PADD IV","PADD 4",IF($M4891="PADD V","PADD 5","")))))</f>
        <v>PADD 3</v>
      </c>
      <c r="G4891" s="6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6" t="s">
        <v>471</v>
      </c>
      <c r="I4891" s="6" t="s">
        <v>685</v>
      </c>
      <c r="J4891" s="6" t="s">
        <v>394</v>
      </c>
      <c r="K4891" s="10">
        <v>1.33</v>
      </c>
      <c r="L4891" s="10">
        <v>7</v>
      </c>
      <c r="M4891" s="6" t="s">
        <v>421</v>
      </c>
      <c r="N4891" s="6" t="str">
        <f>IF(OR($G4891="FCC",$G4891="Hydrocracker",$G4891="Reformer"),IF(COUNTIFS($D:$D,$D4891,$A:$A,$A4891,$B:$B,$B4891,$G:$G,"CDU",$J:$J,"PLANNED")&gt;0,"tied","standalone"),"")</f>
        <v>standalone</v>
      </c>
    </row>
    <row r="4892" spans="1:14">
      <c r="A4892" s="6">
        <v>2024</v>
      </c>
      <c r="B4892" s="6">
        <v>12</v>
      </c>
      <c r="C4892" s="6" t="s">
        <v>71</v>
      </c>
      <c r="D4892" s="6" t="s">
        <v>507</v>
      </c>
      <c r="E4892" s="6" t="s">
        <v>438</v>
      </c>
      <c r="F4892" s="6" t="str">
        <f>IF($M4892="PADD I","PADD 1",IF($M4892="PADD II","PADD 2",IF($M4892="PADD III","PADD 3",IF($M4892="PADD IV","PADD 4",IF($M4892="PADD V","PADD 5","")))))</f>
        <v>PADD 5</v>
      </c>
      <c r="G4892" s="6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6" t="s">
        <v>39</v>
      </c>
      <c r="I4892" s="6" t="s">
        <v>138</v>
      </c>
      <c r="J4892" s="6" t="s">
        <v>394</v>
      </c>
      <c r="K4892" s="10">
        <v>1.2</v>
      </c>
      <c r="L4892" s="10">
        <v>40</v>
      </c>
      <c r="M4892" s="6" t="s">
        <v>436</v>
      </c>
      <c r="N4892" s="6">
        <f>IF(OR($G4892="FCC",$G4892="Hydrocracker",$G4892="Reformer"),IF(COUNTIFS($D:$D,$D4892,$A:$A,$A4892,$B:$B,$B4892,$G:$G,"CDU",$J:$J,"PLANNED")&gt;0,"tied","standalone"),"")</f>
        <v/>
      </c>
    </row>
    <row r="4893" spans="1:14">
      <c r="A4893" s="6">
        <v>2024</v>
      </c>
      <c r="B4893" s="6">
        <v>12</v>
      </c>
      <c r="C4893" s="6" t="s">
        <v>71</v>
      </c>
      <c r="D4893" s="6" t="s">
        <v>812</v>
      </c>
      <c r="E4893" s="6" t="s">
        <v>813</v>
      </c>
      <c r="F4893" s="6" t="str">
        <f>IF($M4893="PADD I","PADD 1",IF($M4893="PADD II","PADD 2",IF($M4893="PADD III","PADD 3",IF($M4893="PADD IV","PADD 4",IF($M4893="PADD V","PADD 5","")))))</f>
        <v>PADD 2</v>
      </c>
      <c r="G4893" s="6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6" t="s">
        <v>39</v>
      </c>
      <c r="I4893" s="6" t="s">
        <v>379</v>
      </c>
      <c r="J4893" s="6" t="s">
        <v>394</v>
      </c>
      <c r="K4893" s="10">
        <v>1.17</v>
      </c>
      <c r="L4893" s="10">
        <v>39</v>
      </c>
      <c r="M4893" s="6" t="s">
        <v>425</v>
      </c>
      <c r="N4893" s="6">
        <f>IF(OR($G4893="FCC",$G4893="Hydrocracker",$G4893="Reformer"),IF(COUNTIFS($D:$D,$D4893,$A:$A,$A4893,$B:$B,$B4893,$G:$G,"CDU",$J:$J,"PLANNED")&gt;0,"tied","standalone"),"")</f>
        <v/>
      </c>
    </row>
    <row r="4894" spans="1:14">
      <c r="A4894" s="6">
        <v>2024</v>
      </c>
      <c r="B4894" s="6">
        <v>12</v>
      </c>
      <c r="C4894" s="6" t="s">
        <v>71</v>
      </c>
      <c r="D4894" s="6" t="s">
        <v>928</v>
      </c>
      <c r="E4894" s="6" t="s">
        <v>502</v>
      </c>
      <c r="F4894" s="6" t="str">
        <f>IF($M4894="PADD I","PADD 1",IF($M4894="PADD II","PADD 2",IF($M4894="PADD III","PADD 3",IF($M4894="PADD IV","PADD 4",IF($M4894="PADD V","PADD 5","")))))</f>
        <v>PADD 2</v>
      </c>
      <c r="G4894" s="6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6" t="s">
        <v>428</v>
      </c>
      <c r="I4894" s="6" t="s">
        <v>586</v>
      </c>
      <c r="J4894" s="6" t="s">
        <v>394</v>
      </c>
      <c r="K4894" s="10">
        <v>0.9</v>
      </c>
      <c r="L4894" s="10">
        <v>30</v>
      </c>
      <c r="M4894" s="6" t="s">
        <v>425</v>
      </c>
      <c r="N4894" s="6">
        <f>IF(OR($G4894="FCC",$G4894="Hydrocracker",$G4894="Reformer"),IF(COUNTIFS($D:$D,$D4894,$A:$A,$A4894,$B:$B,$B4894,$G:$G,"CDU",$J:$J,"PLANNED")&gt;0,"tied","standalone"),"")</f>
        <v/>
      </c>
    </row>
    <row r="4895" spans="1:14">
      <c r="A4895" s="6">
        <v>2024</v>
      </c>
      <c r="B4895" s="6">
        <v>12</v>
      </c>
      <c r="C4895" s="6" t="s">
        <v>71</v>
      </c>
      <c r="D4895" s="6" t="s">
        <v>689</v>
      </c>
      <c r="E4895" s="6" t="s">
        <v>502</v>
      </c>
      <c r="F4895" s="6" t="str">
        <f>IF($M4895="PADD I","PADD 1",IF($M4895="PADD II","PADD 2",IF($M4895="PADD III","PADD 3",IF($M4895="PADD IV","PADD 4",IF($M4895="PADD V","PADD 5","")))))</f>
        <v>PADD 5</v>
      </c>
      <c r="G4895" s="6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6" t="s">
        <v>485</v>
      </c>
      <c r="I4895" s="6" t="s">
        <v>1146</v>
      </c>
      <c r="J4895" s="6" t="s">
        <v>398</v>
      </c>
      <c r="K4895" s="10">
        <v>0.759</v>
      </c>
      <c r="L4895" s="10">
        <v>25.3</v>
      </c>
      <c r="M4895" s="6" t="s">
        <v>436</v>
      </c>
      <c r="N4895" s="6">
        <f>IF(OR($G4895="FCC",$G4895="Hydrocracker",$G4895="Reformer"),IF(COUNTIFS($D:$D,$D4895,$A:$A,$A4895,$B:$B,$B4895,$G:$G,"CDU",$J:$J,"PLANNED")&gt;0,"tied","standalone"),"")</f>
        <v/>
      </c>
    </row>
    <row r="4896" spans="1:14">
      <c r="A4896" s="6">
        <v>2024</v>
      </c>
      <c r="B4896" s="6">
        <v>12</v>
      </c>
      <c r="C4896" s="6" t="s">
        <v>71</v>
      </c>
      <c r="D4896" s="6" t="s">
        <v>788</v>
      </c>
      <c r="E4896" s="6" t="s">
        <v>602</v>
      </c>
      <c r="F4896" s="6" t="str">
        <f>IF($M4896="PADD I","PADD 1",IF($M4896="PADD II","PADD 2",IF($M4896="PADD III","PADD 3",IF($M4896="PADD IV","PADD 4",IF($M4896="PADD V","PADD 5","")))))</f>
        <v>PADD 3</v>
      </c>
      <c r="G4896" s="6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6" t="s">
        <v>428</v>
      </c>
      <c r="I4896" s="6" t="s">
        <v>481</v>
      </c>
      <c r="J4896" s="6" t="s">
        <v>398</v>
      </c>
      <c r="K4896" s="10">
        <v>0.72</v>
      </c>
      <c r="L4896" s="10">
        <v>24</v>
      </c>
      <c r="M4896" s="6" t="s">
        <v>421</v>
      </c>
      <c r="N4896" s="6">
        <f>IF(OR($G4896="FCC",$G4896="Hydrocracker",$G4896="Reformer"),IF(COUNTIFS($D:$D,$D4896,$A:$A,$A4896,$B:$B,$B4896,$G:$G,"CDU",$J:$J,"PLANNED")&gt;0,"tied","standalone"),"")</f>
        <v/>
      </c>
    </row>
    <row r="4897" spans="1:14">
      <c r="A4897" s="6">
        <v>2024</v>
      </c>
      <c r="B4897" s="6">
        <v>12</v>
      </c>
      <c r="C4897" s="6" t="s">
        <v>71</v>
      </c>
      <c r="D4897" s="6" t="s">
        <v>788</v>
      </c>
      <c r="E4897" s="6" t="s">
        <v>602</v>
      </c>
      <c r="F4897" s="6" t="str">
        <f>IF($M4897="PADD I","PADD 1",IF($M4897="PADD II","PADD 2",IF($M4897="PADD III","PADD 3",IF($M4897="PADD IV","PADD 4",IF($M4897="PADD V","PADD 5","")))))</f>
        <v>PADD 3</v>
      </c>
      <c r="G4897" s="6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6" t="s">
        <v>44</v>
      </c>
      <c r="I4897" s="6" t="s">
        <v>508</v>
      </c>
      <c r="J4897" s="6" t="s">
        <v>398</v>
      </c>
      <c r="K4897" s="10">
        <v>0.54</v>
      </c>
      <c r="L4897" s="10">
        <v>18</v>
      </c>
      <c r="M4897" s="6" t="s">
        <v>421</v>
      </c>
      <c r="N4897" s="6">
        <f>IF(OR($G4897="FCC",$G4897="Hydrocracker",$G4897="Reformer"),IF(COUNTIFS($D:$D,$D4897,$A:$A,$A4897,$B:$B,$B4897,$G:$G,"CDU",$J:$J,"PLANNED")&gt;0,"tied","standalone"),"")</f>
        <v/>
      </c>
    </row>
    <row r="4898" spans="1:14">
      <c r="A4898" s="6">
        <v>2024</v>
      </c>
      <c r="B4898" s="6">
        <v>12</v>
      </c>
      <c r="C4898" s="6" t="s">
        <v>71</v>
      </c>
      <c r="D4898" s="6" t="s">
        <v>682</v>
      </c>
      <c r="E4898" s="6" t="s">
        <v>683</v>
      </c>
      <c r="F4898" s="6" t="str">
        <f>IF($M4898="PADD I","PADD 1",IF($M4898="PADD II","PADD 2",IF($M4898="PADD III","PADD 3",IF($M4898="PADD IV","PADD 4",IF($M4898="PADD V","PADD 5","")))))</f>
        <v>PADD 4</v>
      </c>
      <c r="G4898" s="6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6" t="s">
        <v>471</v>
      </c>
      <c r="I4898" s="6" t="s">
        <v>1120</v>
      </c>
      <c r="J4898" s="6" t="s">
        <v>394</v>
      </c>
      <c r="K4898" s="10">
        <v>0.51</v>
      </c>
      <c r="L4898" s="10">
        <v>8.5</v>
      </c>
      <c r="M4898" s="6" t="s">
        <v>480</v>
      </c>
      <c r="N4898" s="6" t="str">
        <f>IF(OR($G4898="FCC",$G4898="Hydrocracker",$G4898="Reformer"),IF(COUNTIFS($D:$D,$D4898,$A:$A,$A4898,$B:$B,$B4898,$G:$G,"CDU",$J:$J,"PLANNED")&gt;0,"tied","standalone"),"")</f>
        <v>standalone</v>
      </c>
    </row>
    <row r="4899" spans="1:14">
      <c r="A4899" s="6">
        <v>2024</v>
      </c>
      <c r="B4899" s="6">
        <v>12</v>
      </c>
      <c r="C4899" s="6" t="s">
        <v>71</v>
      </c>
      <c r="D4899" s="6" t="s">
        <v>812</v>
      </c>
      <c r="E4899" s="6" t="s">
        <v>813</v>
      </c>
      <c r="F4899" s="6" t="str">
        <f>IF($M4899="PADD I","PADD 1",IF($M4899="PADD II","PADD 2",IF($M4899="PADD III","PADD 3",IF($M4899="PADD IV","PADD 4",IF($M4899="PADD V","PADD 5","")))))</f>
        <v>PADD 2</v>
      </c>
      <c r="G4899" s="6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6" t="s">
        <v>428</v>
      </c>
      <c r="I4899" s="6" t="s">
        <v>862</v>
      </c>
      <c r="J4899" s="6" t="s">
        <v>394</v>
      </c>
      <c r="K4899" s="10">
        <v>0.45</v>
      </c>
      <c r="L4899" s="10">
        <v>15</v>
      </c>
      <c r="M4899" s="6" t="s">
        <v>425</v>
      </c>
      <c r="N4899" s="6">
        <f>IF(OR($G4899="FCC",$G4899="Hydrocracker",$G4899="Reformer"),IF(COUNTIFS($D:$D,$D4899,$A:$A,$A4899,$B:$B,$B4899,$G:$G,"CDU",$J:$J,"PLANNED")&gt;0,"tied","standalone"),"")</f>
        <v/>
      </c>
    </row>
    <row r="4900" spans="1:14">
      <c r="A4900" s="6">
        <v>2024</v>
      </c>
      <c r="B4900" s="6">
        <v>12</v>
      </c>
      <c r="C4900" s="6" t="s">
        <v>71</v>
      </c>
      <c r="D4900" s="6" t="s">
        <v>788</v>
      </c>
      <c r="E4900" s="6" t="s">
        <v>602</v>
      </c>
      <c r="F4900" s="6" t="str">
        <f>IF($M4900="PADD I","PADD 1",IF($M4900="PADD II","PADD 2",IF($M4900="PADD III","PADD 3",IF($M4900="PADD IV","PADD 4",IF($M4900="PADD V","PADD 5","")))))</f>
        <v>PADD 3</v>
      </c>
      <c r="G4900" s="6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6" t="s">
        <v>471</v>
      </c>
      <c r="I4900" s="6" t="s">
        <v>15</v>
      </c>
      <c r="J4900" s="6" t="s">
        <v>398</v>
      </c>
      <c r="K4900" s="10">
        <v>0.39</v>
      </c>
      <c r="L4900" s="10">
        <v>13</v>
      </c>
      <c r="M4900" s="6" t="s">
        <v>421</v>
      </c>
      <c r="N4900" s="6" t="str">
        <f>IF(OR($G4900="FCC",$G4900="Hydrocracker",$G4900="Reformer"),IF(COUNTIFS($D:$D,$D4900,$A:$A,$A4900,$B:$B,$B4900,$G:$G,"CDU",$J:$J,"PLANNED")&gt;0,"tied","standalone"),"")</f>
        <v>tied</v>
      </c>
    </row>
    <row r="4901" spans="1:14">
      <c r="A4901" s="6">
        <v>2024</v>
      </c>
      <c r="B4901" s="6">
        <v>12</v>
      </c>
      <c r="C4901" s="6" t="s">
        <v>71</v>
      </c>
      <c r="D4901" s="6" t="s">
        <v>788</v>
      </c>
      <c r="E4901" s="6" t="s">
        <v>602</v>
      </c>
      <c r="F4901" s="6" t="str">
        <f>IF($M4901="PADD I","PADD 1",IF($M4901="PADD II","PADD 2",IF($M4901="PADD III","PADD 3",IF($M4901="PADD IV","PADD 4",IF($M4901="PADD V","PADD 5","")))))</f>
        <v>PADD 3</v>
      </c>
      <c r="G4901" s="6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6" t="s">
        <v>44</v>
      </c>
      <c r="I4901" s="6" t="s">
        <v>551</v>
      </c>
      <c r="J4901" s="6" t="s">
        <v>398</v>
      </c>
      <c r="K4901" s="10">
        <v>0.24</v>
      </c>
      <c r="L4901" s="10">
        <v>8</v>
      </c>
      <c r="M4901" s="6" t="s">
        <v>421</v>
      </c>
      <c r="N4901" s="6">
        <f>IF(OR($G4901="FCC",$G4901="Hydrocracker",$G4901="Reformer"),IF(COUNTIFS($D:$D,$D4901,$A:$A,$A4901,$B:$B,$B4901,$G:$G,"CDU",$J:$J,"PLANNED")&gt;0,"tied","standalone"),"")</f>
        <v/>
      </c>
    </row>
    <row r="4902" spans="1:14">
      <c r="A4902" s="6">
        <v>2024</v>
      </c>
      <c r="B4902" s="6">
        <v>12</v>
      </c>
      <c r="C4902" s="6" t="s">
        <v>71</v>
      </c>
      <c r="D4902" s="6" t="s">
        <v>788</v>
      </c>
      <c r="E4902" s="6" t="s">
        <v>602</v>
      </c>
      <c r="F4902" s="6" t="str">
        <f>IF($M4902="PADD I","PADD 1",IF($M4902="PADD II","PADD 2",IF($M4902="PADD III","PADD 3",IF($M4902="PADD IV","PADD 4",IF($M4902="PADD V","PADD 5","")))))</f>
        <v>PADD 3</v>
      </c>
      <c r="G4902" s="6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6" t="s">
        <v>510</v>
      </c>
      <c r="I4902" s="6" t="s">
        <v>511</v>
      </c>
      <c r="J4902" s="6" t="s">
        <v>398</v>
      </c>
      <c r="K4902" s="10">
        <v>0.18</v>
      </c>
      <c r="L4902" s="10">
        <v>6</v>
      </c>
      <c r="M4902" s="6" t="s">
        <v>421</v>
      </c>
      <c r="N4902" s="6">
        <f>IF(OR($G4902="FCC",$G4902="Hydrocracker",$G4902="Reformer"),IF(COUNTIFS($D:$D,$D4902,$A:$A,$A4902,$B:$B,$B4902,$G:$G,"CDU",$J:$J,"PLANNED")&gt;0,"tied","standalone"),"")</f>
        <v/>
      </c>
    </row>
    <row r="4903" spans="1:14">
      <c r="A4903" s="6">
        <v>2024</v>
      </c>
      <c r="B4903" s="6">
        <v>12</v>
      </c>
      <c r="C4903" s="6" t="s">
        <v>71</v>
      </c>
      <c r="D4903" s="6" t="s">
        <v>788</v>
      </c>
      <c r="E4903" s="6" t="s">
        <v>602</v>
      </c>
      <c r="F4903" s="6" t="str">
        <f>IF($M4903="PADD I","PADD 1",IF($M4903="PADD II","PADD 2",IF($M4903="PADD III","PADD 3",IF($M4903="PADD IV","PADD 4",IF($M4903="PADD V","PADD 5","")))))</f>
        <v>PADD 3</v>
      </c>
      <c r="G4903" s="6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6" t="s">
        <v>618</v>
      </c>
      <c r="I4903" s="6" t="s">
        <v>1314</v>
      </c>
      <c r="J4903" s="6" t="s">
        <v>398</v>
      </c>
      <c r="K4903" s="10">
        <v>0.102</v>
      </c>
      <c r="L4903" s="10">
        <v>3.4</v>
      </c>
      <c r="M4903" s="6" t="s">
        <v>421</v>
      </c>
      <c r="N4903" s="6">
        <f>IF(OR($G4903="FCC",$G4903="Hydrocracker",$G4903="Reformer"),IF(COUNTIFS($D:$D,$D4903,$A:$A,$A4903,$B:$B,$B4903,$G:$G,"CDU",$J:$J,"PLANNED")&gt;0,"tied","standalone"),"")</f>
        <v/>
      </c>
    </row>
    <row r="4904" spans="1:14">
      <c r="A4904" s="6">
        <v>2024</v>
      </c>
      <c r="B4904" s="6">
        <v>12</v>
      </c>
      <c r="C4904" s="6" t="s">
        <v>71</v>
      </c>
      <c r="D4904" s="6" t="s">
        <v>788</v>
      </c>
      <c r="E4904" s="6" t="s">
        <v>602</v>
      </c>
      <c r="F4904" s="6" t="str">
        <f>IF($M4904="PADD I","PADD 1",IF($M4904="PADD II","PADD 2",IF($M4904="PADD III","PADD 3",IF($M4904="PADD IV","PADD 4",IF($M4904="PADD V","PADD 5","")))))</f>
        <v>PADD 3</v>
      </c>
      <c r="G4904" s="6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6" t="s">
        <v>947</v>
      </c>
      <c r="I4904" s="6" t="s">
        <v>947</v>
      </c>
      <c r="J4904" s="6" t="s">
        <v>398</v>
      </c>
      <c r="K4904" s="10">
        <v>0.054</v>
      </c>
      <c r="L4904" s="10">
        <v>1.8</v>
      </c>
      <c r="M4904" s="6" t="s">
        <v>421</v>
      </c>
      <c r="N4904" s="6">
        <f>IF(OR($G4904="FCC",$G4904="Hydrocracker",$G4904="Reformer"),IF(COUNTIFS($D:$D,$D4904,$A:$A,$A4904,$B:$B,$B4904,$G:$G,"CDU",$J:$J,"PLANNED")&gt;0,"tied","standalone"),"")</f>
        <v/>
      </c>
    </row>
    <row r="4905" spans="1:14">
      <c r="A4905" s="6">
        <v>2025</v>
      </c>
      <c r="B4905" s="6">
        <v>1</v>
      </c>
      <c r="C4905" s="6" t="s">
        <v>60</v>
      </c>
      <c r="D4905" s="6" t="s">
        <v>437</v>
      </c>
      <c r="E4905" s="6" t="s">
        <v>438</v>
      </c>
      <c r="F4905" s="6" t="str">
        <f>IF($M4905="PADD I","PADD 1",IF($M4905="PADD II","PADD 2",IF($M4905="PADD III","PADD 3",IF($M4905="PADD IV","PADD 4",IF($M4905="PADD V","PADD 5","")))))</f>
        <v>PADD 3</v>
      </c>
      <c r="G4905" s="6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6" t="s">
        <v>39</v>
      </c>
      <c r="I4905" s="6" t="s">
        <v>1262</v>
      </c>
      <c r="J4905" s="6" t="s">
        <v>398</v>
      </c>
      <c r="K4905" s="10">
        <v>223.3</v>
      </c>
      <c r="L4905" s="10">
        <v>290</v>
      </c>
      <c r="M4905" s="6" t="s">
        <v>421</v>
      </c>
      <c r="N4905" s="6">
        <f>IF(OR($G4905="FCC",$G4905="Hydrocracker",$G4905="Reformer"),IF(COUNTIFS($D:$D,$D4905,$A:$A,$A4905,$B:$B,$B4905,$G:$G,"CDU",$J:$J,"PLANNED")&gt;0,"tied","standalone"),"")</f>
        <v/>
      </c>
    </row>
    <row r="4906" spans="1:14">
      <c r="A4906" s="6">
        <v>2025</v>
      </c>
      <c r="B4906" s="6">
        <v>1</v>
      </c>
      <c r="C4906" s="6" t="s">
        <v>60</v>
      </c>
      <c r="D4906" s="6" t="s">
        <v>828</v>
      </c>
      <c r="E4906" s="6" t="s">
        <v>829</v>
      </c>
      <c r="F4906" s="6" t="str">
        <f>IF($M4906="PADD I","PADD 1",IF($M4906="PADD II","PADD 2",IF($M4906="PADD III","PADD 3",IF($M4906="PADD IV","PADD 4",IF($M4906="PADD V","PADD 5","")))))</f>
        <v>PADD 3</v>
      </c>
      <c r="G4906" s="6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6" t="s">
        <v>39</v>
      </c>
      <c r="I4906" s="6" t="s">
        <v>830</v>
      </c>
      <c r="J4906" s="6" t="s">
        <v>398</v>
      </c>
      <c r="K4906" s="10">
        <v>120.17</v>
      </c>
      <c r="L4906" s="10">
        <v>197</v>
      </c>
      <c r="M4906" s="6" t="s">
        <v>421</v>
      </c>
      <c r="N4906" s="6">
        <f>IF(OR($G4906="FCC",$G4906="Hydrocracker",$G4906="Reformer"),IF(COUNTIFS($D:$D,$D4906,$A:$A,$A4906,$B:$B,$B4906,$G:$G,"CDU",$J:$J,"PLANNED")&gt;0,"tied","standalone"),"")</f>
        <v/>
      </c>
    </row>
    <row r="4907" spans="1:14">
      <c r="A4907" s="6">
        <v>2025</v>
      </c>
      <c r="B4907" s="6">
        <v>1</v>
      </c>
      <c r="C4907" s="6" t="s">
        <v>60</v>
      </c>
      <c r="D4907" s="6" t="s">
        <v>437</v>
      </c>
      <c r="E4907" s="6" t="s">
        <v>438</v>
      </c>
      <c r="F4907" s="6" t="str">
        <f>IF($M4907="PADD I","PADD 1",IF($M4907="PADD II","PADD 2",IF($M4907="PADD III","PADD 3",IF($M4907="PADD IV","PADD 4",IF($M4907="PADD V","PADD 5","")))))</f>
        <v>PADD 3</v>
      </c>
      <c r="G4907" s="6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6" t="s">
        <v>44</v>
      </c>
      <c r="I4907" s="6" t="s">
        <v>1140</v>
      </c>
      <c r="J4907" s="6" t="s">
        <v>398</v>
      </c>
      <c r="K4907" s="10">
        <v>100.05</v>
      </c>
      <c r="L4907" s="10">
        <v>115</v>
      </c>
      <c r="M4907" s="6" t="s">
        <v>421</v>
      </c>
      <c r="N4907" s="6">
        <f>IF(OR($G4907="FCC",$G4907="Hydrocracker",$G4907="Reformer"),IF(COUNTIFS($D:$D,$D4907,$A:$A,$A4907,$B:$B,$B4907,$G:$G,"CDU",$J:$J,"PLANNED")&gt;0,"tied","standalone"),"")</f>
        <v/>
      </c>
    </row>
    <row r="4908" spans="1:14">
      <c r="A4908" s="6">
        <v>2025</v>
      </c>
      <c r="B4908" s="6">
        <v>1</v>
      </c>
      <c r="C4908" s="6" t="s">
        <v>60</v>
      </c>
      <c r="D4908" s="6" t="s">
        <v>51</v>
      </c>
      <c r="E4908" s="6" t="s">
        <v>431</v>
      </c>
      <c r="F4908" s="6" t="str">
        <f>IF($M4908="PADD I","PADD 1",IF($M4908="PADD II","PADD 2",IF($M4908="PADD III","PADD 3",IF($M4908="PADD IV","PADD 4",IF($M4908="PADD V","PADD 5","")))))</f>
        <v>PADD 3</v>
      </c>
      <c r="G4908" s="6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6" t="s">
        <v>39</v>
      </c>
      <c r="I4908" s="6" t="s">
        <v>1317</v>
      </c>
      <c r="J4908" s="6" t="s">
        <v>398</v>
      </c>
      <c r="K4908" s="10">
        <v>95.84999999999999</v>
      </c>
      <c r="L4908" s="10">
        <v>135</v>
      </c>
      <c r="M4908" s="6" t="s">
        <v>421</v>
      </c>
      <c r="N4908" s="6">
        <f>IF(OR($G4908="FCC",$G4908="Hydrocracker",$G4908="Reformer"),IF(COUNTIFS($D:$D,$D4908,$A:$A,$A4908,$B:$B,$B4908,$G:$G,"CDU",$J:$J,"PLANNED")&gt;0,"tied","standalone"),"")</f>
        <v/>
      </c>
    </row>
    <row r="4909" spans="1:14">
      <c r="A4909" s="6">
        <v>2025</v>
      </c>
      <c r="B4909" s="6">
        <v>1</v>
      </c>
      <c r="C4909" s="6" t="s">
        <v>60</v>
      </c>
      <c r="D4909" s="6" t="s">
        <v>384</v>
      </c>
      <c r="E4909" s="6" t="s">
        <v>419</v>
      </c>
      <c r="F4909" s="6" t="str">
        <f>IF($M4909="PADD I","PADD 1",IF($M4909="PADD II","PADD 2",IF($M4909="PADD III","PADD 3",IF($M4909="PADD IV","PADD 4",IF($M4909="PADD V","PADD 5","")))))</f>
        <v>PADD 3</v>
      </c>
      <c r="G4909" s="6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6" t="s">
        <v>428</v>
      </c>
      <c r="I4909" s="6" t="s">
        <v>1318</v>
      </c>
      <c r="J4909" s="6" t="s">
        <v>398</v>
      </c>
      <c r="K4909" s="10">
        <v>87.33</v>
      </c>
      <c r="L4909" s="10">
        <v>123</v>
      </c>
      <c r="M4909" s="6" t="s">
        <v>421</v>
      </c>
      <c r="N4909" s="6">
        <f>IF(OR($G4909="FCC",$G4909="Hydrocracker",$G4909="Reformer"),IF(COUNTIFS($D:$D,$D4909,$A:$A,$A4909,$B:$B,$B4909,$G:$G,"CDU",$J:$J,"PLANNED")&gt;0,"tied","standalone"),"")</f>
        <v/>
      </c>
    </row>
    <row r="4910" spans="1:14">
      <c r="A4910" s="6">
        <v>2025</v>
      </c>
      <c r="B4910" s="6">
        <v>1</v>
      </c>
      <c r="C4910" s="6" t="s">
        <v>60</v>
      </c>
      <c r="D4910" s="6" t="s">
        <v>437</v>
      </c>
      <c r="E4910" s="6" t="s">
        <v>438</v>
      </c>
      <c r="F4910" s="6" t="str">
        <f>IF($M4910="PADD I","PADD 1",IF($M4910="PADD II","PADD 2",IF($M4910="PADD III","PADD 3",IF($M4910="PADD IV","PADD 4",IF($M4910="PADD V","PADD 5","")))))</f>
        <v>PADD 3</v>
      </c>
      <c r="G4910" s="6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6" t="s">
        <v>428</v>
      </c>
      <c r="I4910" s="6" t="s">
        <v>1319</v>
      </c>
      <c r="J4910" s="6" t="s">
        <v>398</v>
      </c>
      <c r="K4910" s="10">
        <v>86.625</v>
      </c>
      <c r="L4910" s="10">
        <v>112.5</v>
      </c>
      <c r="M4910" s="6" t="s">
        <v>421</v>
      </c>
      <c r="N4910" s="6">
        <f>IF(OR($G4910="FCC",$G4910="Hydrocracker",$G4910="Reformer"),IF(COUNTIFS($D:$D,$D4910,$A:$A,$A4910,$B:$B,$B4910,$G:$G,"CDU",$J:$J,"PLANNED")&gt;0,"tied","standalone"),"")</f>
        <v/>
      </c>
    </row>
    <row r="4911" spans="1:14">
      <c r="A4911" s="6">
        <v>2025</v>
      </c>
      <c r="B4911" s="6">
        <v>1</v>
      </c>
      <c r="C4911" s="6" t="s">
        <v>60</v>
      </c>
      <c r="D4911" s="6" t="s">
        <v>662</v>
      </c>
      <c r="E4911" s="6" t="s">
        <v>466</v>
      </c>
      <c r="F4911" s="6" t="str">
        <f>IF($M4911="PADD I","PADD 1",IF($M4911="PADD II","PADD 2",IF($M4911="PADD III","PADD 3",IF($M4911="PADD IV","PADD 4",IF($M4911="PADD V","PADD 5","")))))</f>
        <v>PADD 3</v>
      </c>
      <c r="G4911" s="6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6" t="s">
        <v>39</v>
      </c>
      <c r="I4911" s="6" t="s">
        <v>82</v>
      </c>
      <c r="J4911" s="6" t="s">
        <v>398</v>
      </c>
      <c r="K4911" s="10">
        <v>79.2</v>
      </c>
      <c r="L4911" s="10">
        <v>165</v>
      </c>
      <c r="M4911" s="6" t="s">
        <v>421</v>
      </c>
      <c r="N4911" s="6">
        <f>IF(OR($G4911="FCC",$G4911="Hydrocracker",$G4911="Reformer"),IF(COUNTIFS($D:$D,$D4911,$A:$A,$A4911,$B:$B,$B4911,$G:$G,"CDU",$J:$J,"PLANNED")&gt;0,"tied","standalone"),"")</f>
        <v/>
      </c>
    </row>
    <row r="4912" spans="1:14">
      <c r="A4912" s="6">
        <v>2025</v>
      </c>
      <c r="B4912" s="6">
        <v>1</v>
      </c>
      <c r="C4912" s="6" t="s">
        <v>60</v>
      </c>
      <c r="D4912" s="6" t="s">
        <v>384</v>
      </c>
      <c r="E4912" s="6" t="s">
        <v>419</v>
      </c>
      <c r="F4912" s="6" t="str">
        <f>IF($M4912="PADD I","PADD 1",IF($M4912="PADD II","PADD 2",IF($M4912="PADD III","PADD 3",IF($M4912="PADD IV","PADD 4",IF($M4912="PADD V","PADD 5","")))))</f>
        <v>PADD 3</v>
      </c>
      <c r="G4912" s="6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6" t="s">
        <v>44</v>
      </c>
      <c r="I4912" s="6" t="s">
        <v>1254</v>
      </c>
      <c r="J4912" s="6" t="s">
        <v>398</v>
      </c>
      <c r="K4912" s="10">
        <v>75.97</v>
      </c>
      <c r="L4912" s="10">
        <v>107</v>
      </c>
      <c r="M4912" s="6" t="s">
        <v>421</v>
      </c>
      <c r="N4912" s="6">
        <f>IF(OR($G4912="FCC",$G4912="Hydrocracker",$G4912="Reformer"),IF(COUNTIFS($D:$D,$D4912,$A:$A,$A4912,$B:$B,$B4912,$G:$G,"CDU",$J:$J,"PLANNED")&gt;0,"tied","standalone"),"")</f>
        <v/>
      </c>
    </row>
    <row r="4913" spans="1:14">
      <c r="A4913" s="6">
        <v>2025</v>
      </c>
      <c r="B4913" s="6">
        <v>1</v>
      </c>
      <c r="C4913" s="6" t="s">
        <v>60</v>
      </c>
      <c r="D4913" s="6" t="s">
        <v>505</v>
      </c>
      <c r="E4913" s="6" t="s">
        <v>455</v>
      </c>
      <c r="F4913" s="6" t="str">
        <f>IF($M4913="PADD I","PADD 1",IF($M4913="PADD II","PADD 2",IF($M4913="PADD III","PADD 3",IF($M4913="PADD IV","PADD 4",IF($M4913="PADD V","PADD 5","")))))</f>
        <v>PADD 3</v>
      </c>
      <c r="G4913" s="6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6" t="s">
        <v>426</v>
      </c>
      <c r="I4913" s="6" t="s">
        <v>106</v>
      </c>
      <c r="J4913" s="6" t="s">
        <v>394</v>
      </c>
      <c r="K4913" s="10">
        <v>71</v>
      </c>
      <c r="L4913" s="10">
        <v>100</v>
      </c>
      <c r="M4913" s="6" t="s">
        <v>421</v>
      </c>
      <c r="N4913" s="6" t="str">
        <f>IF(OR($G4913="FCC",$G4913="Hydrocracker",$G4913="Reformer"),IF(COUNTIFS($D:$D,$D4913,$A:$A,$A4913,$B:$B,$B4913,$G:$G,"CDU",$J:$J,"PLANNED")&gt;0,"tied","standalone"),"")</f>
        <v>standalone</v>
      </c>
    </row>
    <row r="4914" spans="1:14">
      <c r="A4914" s="6">
        <v>2025</v>
      </c>
      <c r="B4914" s="6">
        <v>1</v>
      </c>
      <c r="C4914" s="6" t="s">
        <v>60</v>
      </c>
      <c r="D4914" s="6" t="s">
        <v>384</v>
      </c>
      <c r="E4914" s="6" t="s">
        <v>419</v>
      </c>
      <c r="F4914" s="6" t="str">
        <f>IF($M4914="PADD I","PADD 1",IF($M4914="PADD II","PADD 2",IF($M4914="PADD III","PADD 3",IF($M4914="PADD IV","PADD 4",IF($M4914="PADD V","PADD 5","")))))</f>
        <v>PADD 3</v>
      </c>
      <c r="G4914" s="6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6" t="s">
        <v>39</v>
      </c>
      <c r="I4914" s="6" t="s">
        <v>779</v>
      </c>
      <c r="J4914" s="6" t="s">
        <v>394</v>
      </c>
      <c r="K4914" s="10">
        <v>65.92</v>
      </c>
      <c r="L4914" s="10">
        <v>206</v>
      </c>
      <c r="M4914" s="6" t="s">
        <v>421</v>
      </c>
      <c r="N4914" s="6">
        <f>IF(OR($G4914="FCC",$G4914="Hydrocracker",$G4914="Reformer"),IF(COUNTIFS($D:$D,$D4914,$A:$A,$A4914,$B:$B,$B4914,$G:$G,"CDU",$J:$J,"PLANNED")&gt;0,"tied","standalone"),"")</f>
        <v/>
      </c>
    </row>
    <row r="4915" spans="1:14">
      <c r="A4915" s="6">
        <v>2025</v>
      </c>
      <c r="B4915" s="6">
        <v>1</v>
      </c>
      <c r="C4915" s="6" t="s">
        <v>60</v>
      </c>
      <c r="D4915" s="6" t="s">
        <v>1264</v>
      </c>
      <c r="E4915" s="6" t="s">
        <v>1265</v>
      </c>
      <c r="F4915" s="6" t="str">
        <f>IF($M4915="PADD I","PADD 1",IF($M4915="PADD II","PADD 2",IF($M4915="PADD III","PADD 3",IF($M4915="PADD IV","PADD 4",IF($M4915="PADD V","PADD 5","")))))</f>
        <v>PADD 1</v>
      </c>
      <c r="G4915" s="6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6" t="s">
        <v>39</v>
      </c>
      <c r="I4915" s="6" t="s">
        <v>132</v>
      </c>
      <c r="J4915" s="6" t="s">
        <v>394</v>
      </c>
      <c r="K4915" s="10">
        <v>56</v>
      </c>
      <c r="L4915" s="10">
        <v>56</v>
      </c>
      <c r="M4915" s="6" t="s">
        <v>463</v>
      </c>
      <c r="N4915" s="6">
        <f>IF(OR($G4915="FCC",$G4915="Hydrocracker",$G4915="Reformer"),IF(COUNTIFS($D:$D,$D4915,$A:$A,$A4915,$B:$B,$B4915,$G:$G,"CDU",$J:$J,"PLANNED")&gt;0,"tied","standalone"),"")</f>
        <v/>
      </c>
    </row>
    <row r="4916" spans="1:14">
      <c r="A4916" s="6">
        <v>2025</v>
      </c>
      <c r="B4916" s="6">
        <v>1</v>
      </c>
      <c r="C4916" s="6" t="s">
        <v>60</v>
      </c>
      <c r="D4916" s="6" t="s">
        <v>726</v>
      </c>
      <c r="E4916" s="6" t="s">
        <v>727</v>
      </c>
      <c r="F4916" s="6" t="str">
        <f>IF($M4916="PADD I","PADD 1",IF($M4916="PADD II","PADD 2",IF($M4916="PADD III","PADD 3",IF($M4916="PADD IV","PADD 4",IF($M4916="PADD V","PADD 5","")))))</f>
        <v>PADD 1</v>
      </c>
      <c r="G4916" s="6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6" t="s">
        <v>39</v>
      </c>
      <c r="I4916" s="6" t="s">
        <v>728</v>
      </c>
      <c r="J4916" s="6" t="s">
        <v>394</v>
      </c>
      <c r="K4916" s="10">
        <v>56</v>
      </c>
      <c r="L4916" s="10">
        <v>56</v>
      </c>
      <c r="M4916" s="6" t="s">
        <v>463</v>
      </c>
      <c r="N4916" s="6">
        <f>IF(OR($G4916="FCC",$G4916="Hydrocracker",$G4916="Reformer"),IF(COUNTIFS($D:$D,$D4916,$A:$A,$A4916,$B:$B,$B4916,$G:$G,"CDU",$J:$J,"PLANNED")&gt;0,"tied","standalone"),"")</f>
        <v/>
      </c>
    </row>
    <row r="4917" spans="1:14">
      <c r="A4917" s="6">
        <v>2025</v>
      </c>
      <c r="B4917" s="6">
        <v>1</v>
      </c>
      <c r="C4917" s="6" t="s">
        <v>60</v>
      </c>
      <c r="D4917" s="6" t="s">
        <v>437</v>
      </c>
      <c r="E4917" s="6" t="s">
        <v>438</v>
      </c>
      <c r="F4917" s="6" t="str">
        <f>IF($M4917="PADD I","PADD 1",IF($M4917="PADD II","PADD 2",IF($M4917="PADD III","PADD 3",IF($M4917="PADD IV","PADD 4",IF($M4917="PADD V","PADD 5","")))))</f>
        <v>PADD 3</v>
      </c>
      <c r="G4917" s="6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6" t="s">
        <v>631</v>
      </c>
      <c r="I4917" s="6" t="s">
        <v>918</v>
      </c>
      <c r="J4917" s="6" t="s">
        <v>398</v>
      </c>
      <c r="K4917" s="10">
        <v>55.68</v>
      </c>
      <c r="L4917" s="10">
        <v>64</v>
      </c>
      <c r="M4917" s="6" t="s">
        <v>421</v>
      </c>
      <c r="N4917" s="6" t="str">
        <f>IF(OR($G4917="FCC",$G4917="Hydrocracker",$G4917="Reformer"),IF(COUNTIFS($D:$D,$D4917,$A:$A,$A4917,$B:$B,$B4917,$G:$G,"CDU",$J:$J,"PLANNED")&gt;0,"tied","standalone"),"")</f>
        <v>tied</v>
      </c>
    </row>
    <row r="4918" spans="1:14">
      <c r="A4918" s="6">
        <v>2025</v>
      </c>
      <c r="B4918" s="6">
        <v>1</v>
      </c>
      <c r="C4918" s="6" t="s">
        <v>60</v>
      </c>
      <c r="D4918" s="6" t="s">
        <v>726</v>
      </c>
      <c r="E4918" s="6" t="s">
        <v>727</v>
      </c>
      <c r="F4918" s="6" t="str">
        <f>IF($M4918="PADD I","PADD 1",IF($M4918="PADD II","PADD 2",IF($M4918="PADD III","PADD 3",IF($M4918="PADD IV","PADD 4",IF($M4918="PADD V","PADD 5","")))))</f>
        <v>PADD 1</v>
      </c>
      <c r="G4918" s="6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6" t="s">
        <v>39</v>
      </c>
      <c r="I4918" s="6" t="s">
        <v>1316</v>
      </c>
      <c r="J4918" s="6" t="s">
        <v>394</v>
      </c>
      <c r="K4918" s="10">
        <v>55</v>
      </c>
      <c r="L4918" s="10">
        <v>55</v>
      </c>
      <c r="M4918" s="6" t="s">
        <v>463</v>
      </c>
      <c r="N4918" s="6">
        <f>IF(OR($G4918="FCC",$G4918="Hydrocracker",$G4918="Reformer"),IF(COUNTIFS($D:$D,$D4918,$A:$A,$A4918,$B:$B,$B4918,$G:$G,"CDU",$J:$J,"PLANNED")&gt;0,"tied","standalone"),"")</f>
        <v/>
      </c>
    </row>
    <row r="4919" spans="1:14">
      <c r="A4919" s="6">
        <v>2025</v>
      </c>
      <c r="B4919" s="6">
        <v>1</v>
      </c>
      <c r="C4919" s="6" t="s">
        <v>60</v>
      </c>
      <c r="D4919" s="6" t="s">
        <v>373</v>
      </c>
      <c r="E4919" s="6" t="s">
        <v>438</v>
      </c>
      <c r="F4919" s="6" t="str">
        <f>IF($M4919="PADD I","PADD 1",IF($M4919="PADD II","PADD 2",IF($M4919="PADD III","PADD 3",IF($M4919="PADD IV","PADD 4",IF($M4919="PADD V","PADD 5","")))))</f>
        <v>PADD 3</v>
      </c>
      <c r="G4919" s="6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6" t="s">
        <v>39</v>
      </c>
      <c r="I4919" s="6" t="s">
        <v>100</v>
      </c>
      <c r="J4919" s="6" t="s">
        <v>398</v>
      </c>
      <c r="K4919" s="10">
        <v>53.625</v>
      </c>
      <c r="L4919" s="10">
        <v>137.5</v>
      </c>
      <c r="M4919" s="6" t="s">
        <v>421</v>
      </c>
      <c r="N4919" s="6">
        <f>IF(OR($G4919="FCC",$G4919="Hydrocracker",$G4919="Reformer"),IF(COUNTIFS($D:$D,$D4919,$A:$A,$A4919,$B:$B,$B4919,$G:$G,"CDU",$J:$J,"PLANNED")&gt;0,"tied","standalone"),"")</f>
        <v/>
      </c>
    </row>
    <row r="4920" spans="1:14">
      <c r="A4920" s="6">
        <v>2025</v>
      </c>
      <c r="B4920" s="6">
        <v>1</v>
      </c>
      <c r="C4920" s="6" t="s">
        <v>60</v>
      </c>
      <c r="D4920" s="6" t="s">
        <v>828</v>
      </c>
      <c r="E4920" s="6" t="s">
        <v>829</v>
      </c>
      <c r="F4920" s="6" t="str">
        <f>IF($M4920="PADD I","PADD 1",IF($M4920="PADD II","PADD 2",IF($M4920="PADD III","PADD 3",IF($M4920="PADD IV","PADD 4",IF($M4920="PADD V","PADD 5","")))))</f>
        <v>PADD 3</v>
      </c>
      <c r="G4920" s="6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6" t="s">
        <v>428</v>
      </c>
      <c r="I4920" s="6" t="s">
        <v>847</v>
      </c>
      <c r="J4920" s="6" t="s">
        <v>398</v>
      </c>
      <c r="K4920" s="10">
        <v>50.7093</v>
      </c>
      <c r="L4920" s="10">
        <v>83.13</v>
      </c>
      <c r="M4920" s="6" t="s">
        <v>421</v>
      </c>
      <c r="N4920" s="6">
        <f>IF(OR($G4920="FCC",$G4920="Hydrocracker",$G4920="Reformer"),IF(COUNTIFS($D:$D,$D4920,$A:$A,$A4920,$B:$B,$B4920,$G:$G,"CDU",$J:$J,"PLANNED")&gt;0,"tied","standalone"),"")</f>
        <v/>
      </c>
    </row>
    <row r="4921" spans="1:14">
      <c r="A4921" s="6">
        <v>2025</v>
      </c>
      <c r="B4921" s="6">
        <v>1</v>
      </c>
      <c r="C4921" s="6" t="s">
        <v>60</v>
      </c>
      <c r="D4921" s="6" t="s">
        <v>828</v>
      </c>
      <c r="E4921" s="6" t="s">
        <v>829</v>
      </c>
      <c r="F4921" s="6" t="str">
        <f>IF($M4921="PADD I","PADD 1",IF($M4921="PADD II","PADD 2",IF($M4921="PADD III","PADD 3",IF($M4921="PADD IV","PADD 4",IF($M4921="PADD V","PADD 5","")))))</f>
        <v>PADD 3</v>
      </c>
      <c r="G4921" s="6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6" t="s">
        <v>428</v>
      </c>
      <c r="I4921" s="6" t="s">
        <v>848</v>
      </c>
      <c r="J4921" s="6" t="s">
        <v>398</v>
      </c>
      <c r="K4921" s="10">
        <v>50.63</v>
      </c>
      <c r="L4921" s="10">
        <v>83</v>
      </c>
      <c r="M4921" s="6" t="s">
        <v>421</v>
      </c>
      <c r="N4921" s="6">
        <f>IF(OR($G4921="FCC",$G4921="Hydrocracker",$G4921="Reformer"),IF(COUNTIFS($D:$D,$D4921,$A:$A,$A4921,$B:$B,$B4921,$G:$G,"CDU",$J:$J,"PLANNED")&gt;0,"tied","standalone"),"")</f>
        <v/>
      </c>
    </row>
    <row r="4922" spans="1:14">
      <c r="A4922" s="6">
        <v>2025</v>
      </c>
      <c r="B4922" s="6">
        <v>1</v>
      </c>
      <c r="C4922" s="6" t="s">
        <v>60</v>
      </c>
      <c r="D4922" s="6" t="s">
        <v>996</v>
      </c>
      <c r="E4922" s="6" t="s">
        <v>455</v>
      </c>
      <c r="F4922" s="6" t="str">
        <f>IF($M4922="PADD I","PADD 1",IF($M4922="PADD II","PADD 2",IF($M4922="PADD III","PADD 3",IF($M4922="PADD IV","PADD 4",IF($M4922="PADD V","PADD 5","")))))</f>
        <v>PADD 5</v>
      </c>
      <c r="G4922" s="6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6" t="s">
        <v>44</v>
      </c>
      <c r="I4922" s="6" t="s">
        <v>1015</v>
      </c>
      <c r="J4922" s="6" t="s">
        <v>394</v>
      </c>
      <c r="K4922" s="10">
        <v>49.58</v>
      </c>
      <c r="L4922" s="10">
        <v>67</v>
      </c>
      <c r="M4922" s="6" t="s">
        <v>436</v>
      </c>
      <c r="N4922" s="6">
        <f>IF(OR($G4922="FCC",$G4922="Hydrocracker",$G4922="Reformer"),IF(COUNTIFS($D:$D,$D4922,$A:$A,$A4922,$B:$B,$B4922,$G:$G,"CDU",$J:$J,"PLANNED")&gt;0,"tied","standalone"),"")</f>
        <v/>
      </c>
    </row>
    <row r="4923" spans="1:14">
      <c r="A4923" s="6">
        <v>2025</v>
      </c>
      <c r="B4923" s="6">
        <v>1</v>
      </c>
      <c r="C4923" s="6" t="s">
        <v>60</v>
      </c>
      <c r="D4923" s="6" t="s">
        <v>597</v>
      </c>
      <c r="E4923" s="6" t="s">
        <v>441</v>
      </c>
      <c r="F4923" s="6" t="str">
        <f>IF($M4923="PADD I","PADD 1",IF($M4923="PADD II","PADD 2",IF($M4923="PADD III","PADD 3",IF($M4923="PADD IV","PADD 4",IF($M4923="PADD V","PADD 5","")))))</f>
        <v>PADD 5</v>
      </c>
      <c r="G4923" s="6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6" t="s">
        <v>426</v>
      </c>
      <c r="I4923" s="6" t="s">
        <v>106</v>
      </c>
      <c r="J4923" s="6" t="s">
        <v>398</v>
      </c>
      <c r="K4923" s="10">
        <v>48.8</v>
      </c>
      <c r="L4923" s="10">
        <v>80</v>
      </c>
      <c r="M4923" s="6" t="s">
        <v>436</v>
      </c>
      <c r="N4923" s="6" t="str">
        <f>IF(OR($G4923="FCC",$G4923="Hydrocracker",$G4923="Reformer"),IF(COUNTIFS($D:$D,$D4923,$A:$A,$A4923,$B:$B,$B4923,$G:$G,"CDU",$J:$J,"PLANNED")&gt;0,"tied","standalone"),"")</f>
        <v>standalone</v>
      </c>
    </row>
    <row r="4924" spans="1:14">
      <c r="A4924" s="6">
        <v>2025</v>
      </c>
      <c r="B4924" s="6">
        <v>1</v>
      </c>
      <c r="C4924" s="6" t="s">
        <v>60</v>
      </c>
      <c r="D4924" s="6" t="s">
        <v>662</v>
      </c>
      <c r="E4924" s="6" t="s">
        <v>466</v>
      </c>
      <c r="F4924" s="6" t="str">
        <f>IF($M4924="PADD I","PADD 1",IF($M4924="PADD II","PADD 2",IF($M4924="PADD III","PADD 3",IF($M4924="PADD IV","PADD 4",IF($M4924="PADD V","PADD 5","")))))</f>
        <v>PADD 3</v>
      </c>
      <c r="G4924" s="6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6" t="s">
        <v>428</v>
      </c>
      <c r="I4924" s="6" t="s">
        <v>481</v>
      </c>
      <c r="J4924" s="6" t="s">
        <v>394</v>
      </c>
      <c r="K4924" s="10">
        <v>44.356</v>
      </c>
      <c r="L4924" s="10">
        <v>85.3</v>
      </c>
      <c r="M4924" s="6" t="s">
        <v>421</v>
      </c>
      <c r="N4924" s="6">
        <f>IF(OR($G4924="FCC",$G4924="Hydrocracker",$G4924="Reformer"),IF(COUNTIFS($D:$D,$D4924,$A:$A,$A4924,$B:$B,$B4924,$G:$G,"CDU",$J:$J,"PLANNED")&gt;0,"tied","standalone"),"")</f>
        <v/>
      </c>
    </row>
    <row r="4925" spans="1:14">
      <c r="A4925" s="6">
        <v>2025</v>
      </c>
      <c r="B4925" s="6">
        <v>1</v>
      </c>
      <c r="C4925" s="6" t="s">
        <v>60</v>
      </c>
      <c r="D4925" s="6" t="s">
        <v>458</v>
      </c>
      <c r="E4925" s="6" t="s">
        <v>459</v>
      </c>
      <c r="F4925" s="6" t="str">
        <f>IF($M4925="PADD I","PADD 1",IF($M4925="PADD II","PADD 2",IF($M4925="PADD III","PADD 3",IF($M4925="PADD IV","PADD 4",IF($M4925="PADD V","PADD 5","")))))</f>
        <v>PADD 3</v>
      </c>
      <c r="G4925" s="6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6" t="s">
        <v>39</v>
      </c>
      <c r="I4925" s="6" t="s">
        <v>460</v>
      </c>
      <c r="J4925" s="6" t="s">
        <v>394</v>
      </c>
      <c r="K4925" s="10">
        <v>42.9</v>
      </c>
      <c r="L4925" s="10">
        <v>165</v>
      </c>
      <c r="M4925" s="6" t="s">
        <v>421</v>
      </c>
      <c r="N4925" s="6">
        <f>IF(OR($G4925="FCC",$G4925="Hydrocracker",$G4925="Reformer"),IF(COUNTIFS($D:$D,$D4925,$A:$A,$A4925,$B:$B,$B4925,$G:$G,"CDU",$J:$J,"PLANNED")&gt;0,"tied","standalone"),"")</f>
        <v/>
      </c>
    </row>
    <row r="4926" spans="1:14">
      <c r="A4926" s="6">
        <v>2025</v>
      </c>
      <c r="B4926" s="6">
        <v>1</v>
      </c>
      <c r="C4926" s="6" t="s">
        <v>60</v>
      </c>
      <c r="D4926" s="6" t="s">
        <v>576</v>
      </c>
      <c r="E4926" s="6" t="s">
        <v>455</v>
      </c>
      <c r="F4926" s="6" t="str">
        <f>IF($M4926="PADD I","PADD 1",IF($M4926="PADD II","PADD 2",IF($M4926="PADD III","PADD 3",IF($M4926="PADD IV","PADD 4",IF($M4926="PADD V","PADD 5","")))))</f>
        <v>PADD 3</v>
      </c>
      <c r="G4926" s="6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6" t="s">
        <v>39</v>
      </c>
      <c r="I4926" s="6" t="s">
        <v>691</v>
      </c>
      <c r="J4926" s="6" t="s">
        <v>394</v>
      </c>
      <c r="K4926" s="10">
        <v>40.25</v>
      </c>
      <c r="L4926" s="10">
        <v>115</v>
      </c>
      <c r="M4926" s="6" t="s">
        <v>421</v>
      </c>
      <c r="N4926" s="6">
        <f>IF(OR($G4926="FCC",$G4926="Hydrocracker",$G4926="Reformer"),IF(COUNTIFS($D:$D,$D4926,$A:$A,$A4926,$B:$B,$B4926,$G:$G,"CDU",$J:$J,"PLANNED")&gt;0,"tied","standalone"),"")</f>
        <v/>
      </c>
    </row>
    <row r="4927" spans="1:14">
      <c r="A4927" s="6">
        <v>2025</v>
      </c>
      <c r="B4927" s="6">
        <v>1</v>
      </c>
      <c r="C4927" s="6" t="s">
        <v>60</v>
      </c>
      <c r="D4927" s="6" t="s">
        <v>597</v>
      </c>
      <c r="E4927" s="6" t="s">
        <v>441</v>
      </c>
      <c r="F4927" s="6" t="str">
        <f>IF($M4927="PADD I","PADD 1",IF($M4927="PADD II","PADD 2",IF($M4927="PADD III","PADD 3",IF($M4927="PADD IV","PADD 4",IF($M4927="PADD V","PADD 5","")))))</f>
        <v>PADD 5</v>
      </c>
      <c r="G4927" s="6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6" t="s">
        <v>44</v>
      </c>
      <c r="I4927" s="6" t="s">
        <v>979</v>
      </c>
      <c r="J4927" s="6" t="s">
        <v>398</v>
      </c>
      <c r="K4927" s="10">
        <v>39.528</v>
      </c>
      <c r="L4927" s="10">
        <v>64.8</v>
      </c>
      <c r="M4927" s="6" t="s">
        <v>436</v>
      </c>
      <c r="N4927" s="6">
        <f>IF(OR($G4927="FCC",$G4927="Hydrocracker",$G4927="Reformer"),IF(COUNTIFS($D:$D,$D4927,$A:$A,$A4927,$B:$B,$B4927,$G:$G,"CDU",$J:$J,"PLANNED")&gt;0,"tied","standalone"),"")</f>
        <v/>
      </c>
    </row>
    <row r="4928" spans="1:14">
      <c r="A4928" s="6">
        <v>2025</v>
      </c>
      <c r="B4928" s="6">
        <v>1</v>
      </c>
      <c r="C4928" s="6" t="s">
        <v>60</v>
      </c>
      <c r="D4928" s="6" t="s">
        <v>437</v>
      </c>
      <c r="E4928" s="6" t="s">
        <v>438</v>
      </c>
      <c r="F4928" s="6" t="str">
        <f>IF($M4928="PADD I","PADD 1",IF($M4928="PADD II","PADD 2",IF($M4928="PADD III","PADD 3",IF($M4928="PADD IV","PADD 4",IF($M4928="PADD V","PADD 5","")))))</f>
        <v>PADD 3</v>
      </c>
      <c r="G4928" s="6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6" t="s">
        <v>44</v>
      </c>
      <c r="I4928" s="6" t="s">
        <v>1269</v>
      </c>
      <c r="J4928" s="6" t="s">
        <v>394</v>
      </c>
      <c r="K4928" s="10">
        <v>39.05</v>
      </c>
      <c r="L4928" s="10">
        <v>55</v>
      </c>
      <c r="M4928" s="6" t="s">
        <v>421</v>
      </c>
      <c r="N4928" s="6">
        <f>IF(OR($G4928="FCC",$G4928="Hydrocracker",$G4928="Reformer"),IF(COUNTIFS($D:$D,$D4928,$A:$A,$A4928,$B:$B,$B4928,$G:$G,"CDU",$J:$J,"PLANNED")&gt;0,"tied","standalone"),"")</f>
        <v/>
      </c>
    </row>
    <row r="4929" spans="1:14">
      <c r="A4929" s="6">
        <v>2025</v>
      </c>
      <c r="B4929" s="6">
        <v>1</v>
      </c>
      <c r="C4929" s="6" t="s">
        <v>60</v>
      </c>
      <c r="D4929" s="6" t="s">
        <v>996</v>
      </c>
      <c r="E4929" s="6" t="s">
        <v>455</v>
      </c>
      <c r="F4929" s="6" t="str">
        <f>IF($M4929="PADD I","PADD 1",IF($M4929="PADD II","PADD 2",IF($M4929="PADD III","PADD 3",IF($M4929="PADD IV","PADD 4",IF($M4929="PADD V","PADD 5","")))))</f>
        <v>PADD 5</v>
      </c>
      <c r="G4929" s="6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6" t="s">
        <v>426</v>
      </c>
      <c r="I4929" s="6" t="s">
        <v>997</v>
      </c>
      <c r="J4929" s="6" t="s">
        <v>398</v>
      </c>
      <c r="K4929" s="10">
        <v>38.34</v>
      </c>
      <c r="L4929" s="10">
        <v>54</v>
      </c>
      <c r="M4929" s="6" t="s">
        <v>436</v>
      </c>
      <c r="N4929" s="6" t="str">
        <f>IF(OR($G4929="FCC",$G4929="Hydrocracker",$G4929="Reformer"),IF(COUNTIFS($D:$D,$D4929,$A:$A,$A4929,$B:$B,$B4929,$G:$G,"CDU",$J:$J,"PLANNED")&gt;0,"tied","standalone"),"")</f>
        <v>standalone</v>
      </c>
    </row>
    <row r="4930" spans="1:14">
      <c r="A4930" s="6">
        <v>2025</v>
      </c>
      <c r="B4930" s="6">
        <v>1</v>
      </c>
      <c r="C4930" s="6" t="s">
        <v>60</v>
      </c>
      <c r="D4930" s="6" t="s">
        <v>437</v>
      </c>
      <c r="E4930" s="6" t="s">
        <v>438</v>
      </c>
      <c r="F4930" s="6" t="str">
        <f>IF($M4930="PADD I","PADD 1",IF($M4930="PADD II","PADD 2",IF($M4930="PADD III","PADD 3",IF($M4930="PADD IV","PADD 4",IF($M4930="PADD V","PADD 5","")))))</f>
        <v>PADD 3</v>
      </c>
      <c r="G4930" s="6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6" t="s">
        <v>494</v>
      </c>
      <c r="I4930" s="6" t="s">
        <v>526</v>
      </c>
      <c r="J4930" s="6" t="s">
        <v>394</v>
      </c>
      <c r="K4930" s="10">
        <v>36.4</v>
      </c>
      <c r="L4930" s="10">
        <v>70</v>
      </c>
      <c r="M4930" s="6" t="s">
        <v>421</v>
      </c>
      <c r="N4930" s="6" t="str">
        <f>IF(OR($G4930="FCC",$G4930="Hydrocracker",$G4930="Reformer"),IF(COUNTIFS($D:$D,$D4930,$A:$A,$A4930,$B:$B,$B4930,$G:$G,"CDU",$J:$J,"PLANNED")&gt;0,"tied","standalone"),"")</f>
        <v>tied</v>
      </c>
    </row>
    <row r="4931" spans="1:14">
      <c r="A4931" s="6">
        <v>2025</v>
      </c>
      <c r="B4931" s="6">
        <v>1</v>
      </c>
      <c r="C4931" s="6" t="s">
        <v>60</v>
      </c>
      <c r="D4931" s="6" t="s">
        <v>828</v>
      </c>
      <c r="E4931" s="6" t="s">
        <v>829</v>
      </c>
      <c r="F4931" s="6" t="str">
        <f>IF($M4931="PADD I","PADD 1",IF($M4931="PADD II","PADD 2",IF($M4931="PADD III","PADD 3",IF($M4931="PADD IV","PADD 4",IF($M4931="PADD V","PADD 5","")))))</f>
        <v>PADD 3</v>
      </c>
      <c r="G4931" s="6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6" t="s">
        <v>39</v>
      </c>
      <c r="I4931" s="6" t="s">
        <v>855</v>
      </c>
      <c r="J4931" s="6" t="s">
        <v>398</v>
      </c>
      <c r="K4931" s="10">
        <v>35.38</v>
      </c>
      <c r="L4931" s="10">
        <v>58</v>
      </c>
      <c r="M4931" s="6" t="s">
        <v>421</v>
      </c>
      <c r="N4931" s="6">
        <f>IF(OR($G4931="FCC",$G4931="Hydrocracker",$G4931="Reformer"),IF(COUNTIFS($D:$D,$D4931,$A:$A,$A4931,$B:$B,$B4931,$G:$G,"CDU",$J:$J,"PLANNED")&gt;0,"tied","standalone"),"")</f>
        <v/>
      </c>
    </row>
    <row r="4932" spans="1:14">
      <c r="A4932" s="6">
        <v>2025</v>
      </c>
      <c r="B4932" s="6">
        <v>1</v>
      </c>
      <c r="C4932" s="6" t="s">
        <v>60</v>
      </c>
      <c r="D4932" s="6" t="s">
        <v>828</v>
      </c>
      <c r="E4932" s="6" t="s">
        <v>829</v>
      </c>
      <c r="F4932" s="6" t="str">
        <f>IF($M4932="PADD I","PADD 1",IF($M4932="PADD II","PADD 2",IF($M4932="PADD III","PADD 3",IF($M4932="PADD IV","PADD 4",IF($M4932="PADD V","PADD 5","")))))</f>
        <v>PADD 3</v>
      </c>
      <c r="G4932" s="6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6" t="s">
        <v>471</v>
      </c>
      <c r="I4932" s="6" t="s">
        <v>854</v>
      </c>
      <c r="J4932" s="6" t="s">
        <v>398</v>
      </c>
      <c r="K4932" s="10">
        <v>35.38</v>
      </c>
      <c r="L4932" s="10">
        <v>58</v>
      </c>
      <c r="M4932" s="6" t="s">
        <v>421</v>
      </c>
      <c r="N4932" s="6" t="str">
        <f>IF(OR($G4932="FCC",$G4932="Hydrocracker",$G4932="Reformer"),IF(COUNTIFS($D:$D,$D4932,$A:$A,$A4932,$B:$B,$B4932,$G:$G,"CDU",$J:$J,"PLANNED")&gt;0,"tied","standalone"),"")</f>
        <v>tied</v>
      </c>
    </row>
    <row r="4933" spans="1:14">
      <c r="A4933" s="6">
        <v>2025</v>
      </c>
      <c r="B4933" s="6">
        <v>1</v>
      </c>
      <c r="C4933" s="6" t="s">
        <v>60</v>
      </c>
      <c r="D4933" s="6" t="s">
        <v>498</v>
      </c>
      <c r="E4933" s="6" t="s">
        <v>441</v>
      </c>
      <c r="F4933" s="6" t="str">
        <f>IF($M4933="PADD I","PADD 1",IF($M4933="PADD II","PADD 2",IF($M4933="PADD III","PADD 3",IF($M4933="PADD IV","PADD 4",IF($M4933="PADD V","PADD 5","")))))</f>
        <v>PADD 3</v>
      </c>
      <c r="G4933" s="6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6" t="s">
        <v>44</v>
      </c>
      <c r="I4933" s="6" t="s">
        <v>499</v>
      </c>
      <c r="J4933" s="6" t="s">
        <v>394</v>
      </c>
      <c r="K4933" s="10">
        <v>35</v>
      </c>
      <c r="L4933" s="10">
        <v>35</v>
      </c>
      <c r="M4933" s="6" t="s">
        <v>421</v>
      </c>
      <c r="N4933" s="6">
        <f>IF(OR($G4933="FCC",$G4933="Hydrocracker",$G4933="Reformer"),IF(COUNTIFS($D:$D,$D4933,$A:$A,$A4933,$B:$B,$B4933,$G:$G,"CDU",$J:$J,"PLANNED")&gt;0,"tied","standalone"),"")</f>
        <v/>
      </c>
    </row>
    <row r="4934" spans="1:14">
      <c r="A4934" s="6">
        <v>2025</v>
      </c>
      <c r="B4934" s="6">
        <v>1</v>
      </c>
      <c r="C4934" s="6" t="s">
        <v>60</v>
      </c>
      <c r="D4934" s="6" t="s">
        <v>437</v>
      </c>
      <c r="E4934" s="6" t="s">
        <v>438</v>
      </c>
      <c r="F4934" s="6" t="str">
        <f>IF($M4934="PADD I","PADD 1",IF($M4934="PADD II","PADD 2",IF($M4934="PADD III","PADD 3",IF($M4934="PADD IV","PADD 4",IF($M4934="PADD V","PADD 5","")))))</f>
        <v>PADD 3</v>
      </c>
      <c r="G4934" s="6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6" t="s">
        <v>44</v>
      </c>
      <c r="I4934" s="6" t="s">
        <v>1267</v>
      </c>
      <c r="J4934" s="6" t="s">
        <v>398</v>
      </c>
      <c r="K4934" s="10">
        <v>34.8</v>
      </c>
      <c r="L4934" s="10">
        <v>40</v>
      </c>
      <c r="M4934" s="6" t="s">
        <v>421</v>
      </c>
      <c r="N4934" s="6">
        <f>IF(OR($G4934="FCC",$G4934="Hydrocracker",$G4934="Reformer"),IF(COUNTIFS($D:$D,$D4934,$A:$A,$A4934,$B:$B,$B4934,$G:$G,"CDU",$J:$J,"PLANNED")&gt;0,"tied","standalone"),"")</f>
        <v/>
      </c>
    </row>
    <row r="4935" spans="1:14">
      <c r="A4935" s="6">
        <v>2025</v>
      </c>
      <c r="B4935" s="6">
        <v>1</v>
      </c>
      <c r="C4935" s="6" t="s">
        <v>60</v>
      </c>
      <c r="D4935" s="6" t="s">
        <v>828</v>
      </c>
      <c r="E4935" s="6" t="s">
        <v>829</v>
      </c>
      <c r="F4935" s="6" t="str">
        <f>IF($M4935="PADD I","PADD 1",IF($M4935="PADD II","PADD 2",IF($M4935="PADD III","PADD 3",IF($M4935="PADD IV","PADD 4",IF($M4935="PADD V","PADD 5","")))))</f>
        <v>PADD 3</v>
      </c>
      <c r="G4935" s="6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6" t="s">
        <v>426</v>
      </c>
      <c r="I4935" s="6" t="s">
        <v>856</v>
      </c>
      <c r="J4935" s="6" t="s">
        <v>398</v>
      </c>
      <c r="K4935" s="10">
        <v>33.55</v>
      </c>
      <c r="L4935" s="10">
        <v>55</v>
      </c>
      <c r="M4935" s="6" t="s">
        <v>421</v>
      </c>
      <c r="N4935" s="6" t="str">
        <f>IF(OR($G4935="FCC",$G4935="Hydrocracker",$G4935="Reformer"),IF(COUNTIFS($D:$D,$D4935,$A:$A,$A4935,$B:$B,$B4935,$G:$G,"CDU",$J:$J,"PLANNED")&gt;0,"tied","standalone"),"")</f>
        <v>tied</v>
      </c>
    </row>
    <row r="4936" spans="1:14">
      <c r="A4936" s="6">
        <v>2025</v>
      </c>
      <c r="B4936" s="6">
        <v>1</v>
      </c>
      <c r="C4936" s="6" t="s">
        <v>60</v>
      </c>
      <c r="D4936" s="6" t="s">
        <v>828</v>
      </c>
      <c r="E4936" s="6" t="s">
        <v>829</v>
      </c>
      <c r="F4936" s="6" t="str">
        <f>IF($M4936="PADD I","PADD 1",IF($M4936="PADD II","PADD 2",IF($M4936="PADD III","PADD 3",IF($M4936="PADD IV","PADD 4",IF($M4936="PADD V","PADD 5","")))))</f>
        <v>PADD 3</v>
      </c>
      <c r="G4936" s="6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6" t="s">
        <v>44</v>
      </c>
      <c r="I4936" s="6" t="s">
        <v>858</v>
      </c>
      <c r="J4936" s="6" t="s">
        <v>398</v>
      </c>
      <c r="K4936" s="10">
        <v>32.33</v>
      </c>
      <c r="L4936" s="10">
        <v>53</v>
      </c>
      <c r="M4936" s="6" t="s">
        <v>421</v>
      </c>
      <c r="N4936" s="6">
        <f>IF(OR($G4936="FCC",$G4936="Hydrocracker",$G4936="Reformer"),IF(COUNTIFS($D:$D,$D4936,$A:$A,$A4936,$B:$B,$B4936,$G:$G,"CDU",$J:$J,"PLANNED")&gt;0,"tied","standalone"),"")</f>
        <v/>
      </c>
    </row>
    <row r="4937" spans="1:14">
      <c r="A4937" s="6">
        <v>2025</v>
      </c>
      <c r="B4937" s="6">
        <v>1</v>
      </c>
      <c r="C4937" s="6" t="s">
        <v>60</v>
      </c>
      <c r="D4937" s="6" t="s">
        <v>996</v>
      </c>
      <c r="E4937" s="6" t="s">
        <v>455</v>
      </c>
      <c r="F4937" s="6" t="str">
        <f>IF($M4937="PADD I","PADD 1",IF($M4937="PADD II","PADD 2",IF($M4937="PADD III","PADD 3",IF($M4937="PADD IV","PADD 4",IF($M4937="PADD V","PADD 5","")))))</f>
        <v>PADD 5</v>
      </c>
      <c r="G4937" s="6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6" t="s">
        <v>39</v>
      </c>
      <c r="I4937" s="6" t="s">
        <v>1017</v>
      </c>
      <c r="J4937" s="6" t="s">
        <v>394</v>
      </c>
      <c r="K4937" s="10">
        <v>32.19</v>
      </c>
      <c r="L4937" s="10">
        <v>43.5</v>
      </c>
      <c r="M4937" s="6" t="s">
        <v>436</v>
      </c>
      <c r="N4937" s="6">
        <f>IF(OR($G4937="FCC",$G4937="Hydrocracker",$G4937="Reformer"),IF(COUNTIFS($D:$D,$D4937,$A:$A,$A4937,$B:$B,$B4937,$G:$G,"CDU",$J:$J,"PLANNED")&gt;0,"tied","standalone"),"")</f>
        <v/>
      </c>
    </row>
    <row r="4938" spans="1:14">
      <c r="A4938" s="6">
        <v>2025</v>
      </c>
      <c r="B4938" s="6">
        <v>1</v>
      </c>
      <c r="C4938" s="6" t="s">
        <v>60</v>
      </c>
      <c r="D4938" s="6" t="s">
        <v>996</v>
      </c>
      <c r="E4938" s="6" t="s">
        <v>455</v>
      </c>
      <c r="F4938" s="6" t="str">
        <f>IF($M4938="PADD I","PADD 1",IF($M4938="PADD II","PADD 2",IF($M4938="PADD III","PADD 3",IF($M4938="PADD IV","PADD 4",IF($M4938="PADD V","PADD 5","")))))</f>
        <v>PADD 5</v>
      </c>
      <c r="G4938" s="6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6" t="s">
        <v>39</v>
      </c>
      <c r="I4938" s="6" t="s">
        <v>1018</v>
      </c>
      <c r="J4938" s="6" t="s">
        <v>394</v>
      </c>
      <c r="K4938" s="10">
        <v>32.19</v>
      </c>
      <c r="L4938" s="10">
        <v>43.5</v>
      </c>
      <c r="M4938" s="6" t="s">
        <v>436</v>
      </c>
      <c r="N4938" s="6">
        <f>IF(OR($G4938="FCC",$G4938="Hydrocracker",$G4938="Reformer"),IF(COUNTIFS($D:$D,$D4938,$A:$A,$A4938,$B:$B,$B4938,$G:$G,"CDU",$J:$J,"PLANNED")&gt;0,"tied","standalone"),"")</f>
        <v/>
      </c>
    </row>
    <row r="4939" spans="1:14">
      <c r="A4939" s="6">
        <v>2025</v>
      </c>
      <c r="B4939" s="6">
        <v>1</v>
      </c>
      <c r="C4939" s="6" t="s">
        <v>60</v>
      </c>
      <c r="D4939" s="6" t="s">
        <v>726</v>
      </c>
      <c r="E4939" s="6" t="s">
        <v>727</v>
      </c>
      <c r="F4939" s="6" t="str">
        <f>IF($M4939="PADD I","PADD 1",IF($M4939="PADD II","PADD 2",IF($M4939="PADD III","PADD 3",IF($M4939="PADD IV","PADD 4",IF($M4939="PADD V","PADD 5","")))))</f>
        <v>PADD 1</v>
      </c>
      <c r="G4939" s="6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6" t="s">
        <v>428</v>
      </c>
      <c r="I4939" s="6" t="s">
        <v>1312</v>
      </c>
      <c r="J4939" s="6" t="s">
        <v>394</v>
      </c>
      <c r="K4939" s="10">
        <v>31</v>
      </c>
      <c r="L4939" s="10">
        <v>31</v>
      </c>
      <c r="M4939" s="6" t="s">
        <v>463</v>
      </c>
      <c r="N4939" s="6">
        <f>IF(OR($G4939="FCC",$G4939="Hydrocracker",$G4939="Reformer"),IF(COUNTIFS($D:$D,$D4939,$A:$A,$A4939,$B:$B,$B4939,$G:$G,"CDU",$J:$J,"PLANNED")&gt;0,"tied","standalone"),"")</f>
        <v/>
      </c>
    </row>
    <row r="4940" spans="1:14">
      <c r="A4940" s="6">
        <v>2025</v>
      </c>
      <c r="B4940" s="6">
        <v>1</v>
      </c>
      <c r="C4940" s="6" t="s">
        <v>60</v>
      </c>
      <c r="D4940" s="6" t="s">
        <v>828</v>
      </c>
      <c r="E4940" s="6" t="s">
        <v>829</v>
      </c>
      <c r="F4940" s="6" t="str">
        <f>IF($M4940="PADD I","PADD 1",IF($M4940="PADD II","PADD 2",IF($M4940="PADD III","PADD 3",IF($M4940="PADD IV","PADD 4",IF($M4940="PADD V","PADD 5","")))))</f>
        <v>PADD 3</v>
      </c>
      <c r="G4940" s="6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6" t="s">
        <v>44</v>
      </c>
      <c r="I4940" s="6" t="s">
        <v>859</v>
      </c>
      <c r="J4940" s="6" t="s">
        <v>398</v>
      </c>
      <c r="K4940" s="10">
        <v>30.5</v>
      </c>
      <c r="L4940" s="10">
        <v>50</v>
      </c>
      <c r="M4940" s="6" t="s">
        <v>421</v>
      </c>
      <c r="N4940" s="6">
        <f>IF(OR($G4940="FCC",$G4940="Hydrocracker",$G4940="Reformer"),IF(COUNTIFS($D:$D,$D4940,$A:$A,$A4940,$B:$B,$B4940,$G:$G,"CDU",$J:$J,"PLANNED")&gt;0,"tied","standalone"),"")</f>
        <v/>
      </c>
    </row>
    <row r="4941" spans="1:14">
      <c r="A4941" s="6">
        <v>2025</v>
      </c>
      <c r="B4941" s="6">
        <v>1</v>
      </c>
      <c r="C4941" s="6" t="s">
        <v>60</v>
      </c>
      <c r="D4941" s="6" t="s">
        <v>576</v>
      </c>
      <c r="E4941" s="6" t="s">
        <v>455</v>
      </c>
      <c r="F4941" s="6" t="str">
        <f>IF($M4941="PADD I","PADD 1",IF($M4941="PADD II","PADD 2",IF($M4941="PADD III","PADD 3",IF($M4941="PADD IV","PADD 4",IF($M4941="PADD V","PADD 5","")))))</f>
        <v>PADD 3</v>
      </c>
      <c r="G4941" s="6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6" t="s">
        <v>485</v>
      </c>
      <c r="I4941" s="6" t="s">
        <v>1004</v>
      </c>
      <c r="J4941" s="6" t="s">
        <v>394</v>
      </c>
      <c r="K4941" s="10">
        <v>30</v>
      </c>
      <c r="L4941" s="10">
        <v>30</v>
      </c>
      <c r="M4941" s="6" t="s">
        <v>421</v>
      </c>
      <c r="N4941" s="6">
        <f>IF(OR($G4941="FCC",$G4941="Hydrocracker",$G4941="Reformer"),IF(COUNTIFS($D:$D,$D4941,$A:$A,$A4941,$B:$B,$B4941,$G:$G,"CDU",$J:$J,"PLANNED")&gt;0,"tied","standalone"),"")</f>
        <v/>
      </c>
    </row>
    <row r="4942" spans="1:14">
      <c r="A4942" s="6">
        <v>2025</v>
      </c>
      <c r="B4942" s="6">
        <v>1</v>
      </c>
      <c r="C4942" s="6" t="s">
        <v>60</v>
      </c>
      <c r="D4942" s="6" t="s">
        <v>384</v>
      </c>
      <c r="E4942" s="6" t="s">
        <v>419</v>
      </c>
      <c r="F4942" s="6" t="str">
        <f>IF($M4942="PADD I","PADD 1",IF($M4942="PADD II","PADD 2",IF($M4942="PADD III","PADD 3",IF($M4942="PADD IV","PADD 4",IF($M4942="PADD V","PADD 5","")))))</f>
        <v>PADD 3</v>
      </c>
      <c r="G4942" s="6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6" t="s">
        <v>426</v>
      </c>
      <c r="I4942" s="6" t="s">
        <v>522</v>
      </c>
      <c r="J4942" s="6" t="s">
        <v>394</v>
      </c>
      <c r="K4942" s="10">
        <v>30</v>
      </c>
      <c r="L4942" s="10">
        <v>30</v>
      </c>
      <c r="M4942" s="6" t="s">
        <v>421</v>
      </c>
      <c r="N4942" s="6" t="str">
        <f>IF(OR($G4942="FCC",$G4942="Hydrocracker",$G4942="Reformer"),IF(COUNTIFS($D:$D,$D4942,$A:$A,$A4942,$B:$B,$B4942,$G:$G,"CDU",$J:$J,"PLANNED")&gt;0,"tied","standalone"),"")</f>
        <v>standalone</v>
      </c>
    </row>
    <row r="4943" spans="1:14">
      <c r="A4943" s="6">
        <v>2025</v>
      </c>
      <c r="B4943" s="6">
        <v>1</v>
      </c>
      <c r="C4943" s="6" t="s">
        <v>60</v>
      </c>
      <c r="D4943" s="6" t="s">
        <v>828</v>
      </c>
      <c r="E4943" s="6" t="s">
        <v>829</v>
      </c>
      <c r="F4943" s="6" t="str">
        <f>IF($M4943="PADD I","PADD 1",IF($M4943="PADD II","PADD 2",IF($M4943="PADD III","PADD 3",IF($M4943="PADD IV","PADD 4",IF($M4943="PADD V","PADD 5","")))))</f>
        <v>PADD 3</v>
      </c>
      <c r="G4943" s="6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6" t="s">
        <v>44</v>
      </c>
      <c r="I4943" s="6" t="s">
        <v>861</v>
      </c>
      <c r="J4943" s="6" t="s">
        <v>398</v>
      </c>
      <c r="K4943" s="10">
        <v>29.28</v>
      </c>
      <c r="L4943" s="10">
        <v>48</v>
      </c>
      <c r="M4943" s="6" t="s">
        <v>421</v>
      </c>
      <c r="N4943" s="6">
        <f>IF(OR($G4943="FCC",$G4943="Hydrocracker",$G4943="Reformer"),IF(COUNTIFS($D:$D,$D4943,$A:$A,$A4943,$B:$B,$B4943,$G:$G,"CDU",$J:$J,"PLANNED")&gt;0,"tied","standalone"),"")</f>
        <v/>
      </c>
    </row>
    <row r="4944" spans="1:14">
      <c r="A4944" s="6">
        <v>2025</v>
      </c>
      <c r="B4944" s="6">
        <v>1</v>
      </c>
      <c r="C4944" s="6" t="s">
        <v>60</v>
      </c>
      <c r="D4944" s="6" t="s">
        <v>996</v>
      </c>
      <c r="E4944" s="6" t="s">
        <v>455</v>
      </c>
      <c r="F4944" s="6" t="str">
        <f>IF($M4944="PADD I","PADD 1",IF($M4944="PADD II","PADD 2",IF($M4944="PADD III","PADD 3",IF($M4944="PADD IV","PADD 4",IF($M4944="PADD V","PADD 5","")))))</f>
        <v>PADD 5</v>
      </c>
      <c r="G4944" s="6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6" t="s">
        <v>428</v>
      </c>
      <c r="I4944" s="6" t="s">
        <v>1019</v>
      </c>
      <c r="J4944" s="6" t="s">
        <v>398</v>
      </c>
      <c r="K4944" s="10">
        <v>28.86</v>
      </c>
      <c r="L4944" s="10">
        <v>39</v>
      </c>
      <c r="M4944" s="6" t="s">
        <v>436</v>
      </c>
      <c r="N4944" s="6">
        <f>IF(OR($G4944="FCC",$G4944="Hydrocracker",$G4944="Reformer"),IF(COUNTIFS($D:$D,$D4944,$A:$A,$A4944,$B:$B,$B4944,$G:$G,"CDU",$J:$J,"PLANNED")&gt;0,"tied","standalone"),"")</f>
        <v/>
      </c>
    </row>
    <row r="4945" spans="1:14">
      <c r="A4945" s="6">
        <v>2025</v>
      </c>
      <c r="B4945" s="6">
        <v>1</v>
      </c>
      <c r="C4945" s="6" t="s">
        <v>60</v>
      </c>
      <c r="D4945" s="6" t="s">
        <v>901</v>
      </c>
      <c r="E4945" s="6" t="s">
        <v>902</v>
      </c>
      <c r="F4945" s="6" t="str">
        <f>IF($M4945="PADD I","PADD 1",IF($M4945="PADD II","PADD 2",IF($M4945="PADD III","PADD 3",IF($M4945="PADD IV","PADD 4",IF($M4945="PADD V","PADD 5","")))))</f>
        <v>PADD 3</v>
      </c>
      <c r="G4945" s="6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6" t="s">
        <v>39</v>
      </c>
      <c r="I4945" s="6" t="s">
        <v>904</v>
      </c>
      <c r="J4945" s="6" t="s">
        <v>394</v>
      </c>
      <c r="K4945" s="10">
        <v>28.47</v>
      </c>
      <c r="L4945" s="10">
        <v>73</v>
      </c>
      <c r="M4945" s="6" t="s">
        <v>421</v>
      </c>
      <c r="N4945" s="6">
        <f>IF(OR($G4945="FCC",$G4945="Hydrocracker",$G4945="Reformer"),IF(COUNTIFS($D:$D,$D4945,$A:$A,$A4945,$B:$B,$B4945,$G:$G,"CDU",$J:$J,"PLANNED")&gt;0,"tied","standalone"),"")</f>
        <v/>
      </c>
    </row>
    <row r="4946" spans="1:14">
      <c r="A4946" s="6">
        <v>2025</v>
      </c>
      <c r="B4946" s="6">
        <v>1</v>
      </c>
      <c r="C4946" s="6" t="s">
        <v>60</v>
      </c>
      <c r="D4946" s="6" t="s">
        <v>828</v>
      </c>
      <c r="E4946" s="6" t="s">
        <v>829</v>
      </c>
      <c r="F4946" s="6" t="str">
        <f>IF($M4946="PADD I","PADD 1",IF($M4946="PADD II","PADD 2",IF($M4946="PADD III","PADD 3",IF($M4946="PADD IV","PADD 4",IF($M4946="PADD V","PADD 5","")))))</f>
        <v>PADD 3</v>
      </c>
      <c r="G4946" s="6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6" t="s">
        <v>44</v>
      </c>
      <c r="I4946" s="6" t="s">
        <v>444</v>
      </c>
      <c r="J4946" s="6" t="s">
        <v>398</v>
      </c>
      <c r="K4946" s="10">
        <v>27.45</v>
      </c>
      <c r="L4946" s="10">
        <v>45</v>
      </c>
      <c r="M4946" s="6" t="s">
        <v>421</v>
      </c>
      <c r="N4946" s="6">
        <f>IF(OR($G4946="FCC",$G4946="Hydrocracker",$G4946="Reformer"),IF(COUNTIFS($D:$D,$D4946,$A:$A,$A4946,$B:$B,$B4946,$G:$G,"CDU",$J:$J,"PLANNED")&gt;0,"tied","standalone"),"")</f>
        <v/>
      </c>
    </row>
    <row r="4947" spans="1:14">
      <c r="A4947" s="6">
        <v>2025</v>
      </c>
      <c r="B4947" s="6">
        <v>1</v>
      </c>
      <c r="C4947" s="6" t="s">
        <v>60</v>
      </c>
      <c r="D4947" s="6" t="s">
        <v>764</v>
      </c>
      <c r="E4947" s="6" t="s">
        <v>455</v>
      </c>
      <c r="F4947" s="6" t="str">
        <f>IF($M4947="PADD I","PADD 1",IF($M4947="PADD II","PADD 2",IF($M4947="PADD III","PADD 3",IF($M4947="PADD IV","PADD 4",IF($M4947="PADD V","PADD 5","")))))</f>
        <v>PADD 3</v>
      </c>
      <c r="G4947" s="6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6" t="s">
        <v>426</v>
      </c>
      <c r="I4947" s="6" t="s">
        <v>106</v>
      </c>
      <c r="J4947" s="6" t="s">
        <v>394</v>
      </c>
      <c r="K4947" s="10">
        <v>26.6</v>
      </c>
      <c r="L4947" s="10">
        <v>76</v>
      </c>
      <c r="M4947" s="6" t="s">
        <v>421</v>
      </c>
      <c r="N4947" s="6" t="str">
        <f>IF(OR($G4947="FCC",$G4947="Hydrocracker",$G4947="Reformer"),IF(COUNTIFS($D:$D,$D4947,$A:$A,$A4947,$B:$B,$B4947,$G:$G,"CDU",$J:$J,"PLANNED")&gt;0,"tied","standalone"),"")</f>
        <v>standalone</v>
      </c>
    </row>
    <row r="4948" spans="1:14">
      <c r="A4948" s="6">
        <v>2025</v>
      </c>
      <c r="B4948" s="6">
        <v>1</v>
      </c>
      <c r="C4948" s="6" t="s">
        <v>60</v>
      </c>
      <c r="D4948" s="6" t="s">
        <v>51</v>
      </c>
      <c r="E4948" s="6" t="s">
        <v>431</v>
      </c>
      <c r="F4948" s="6" t="str">
        <f>IF($M4948="PADD I","PADD 1",IF($M4948="PADD II","PADD 2",IF($M4948="PADD III","PADD 3",IF($M4948="PADD IV","PADD 4",IF($M4948="PADD V","PADD 5","")))))</f>
        <v>PADD 3</v>
      </c>
      <c r="G4948" s="6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6" t="s">
        <v>485</v>
      </c>
      <c r="I4948" s="6" t="s">
        <v>1320</v>
      </c>
      <c r="J4948" s="6" t="s">
        <v>394</v>
      </c>
      <c r="K4948" s="10">
        <v>25.62</v>
      </c>
      <c r="L4948" s="10">
        <v>42</v>
      </c>
      <c r="M4948" s="6" t="s">
        <v>421</v>
      </c>
      <c r="N4948" s="6">
        <f>IF(OR($G4948="FCC",$G4948="Hydrocracker",$G4948="Reformer"),IF(COUNTIFS($D:$D,$D4948,$A:$A,$A4948,$B:$B,$B4948,$G:$G,"CDU",$J:$J,"PLANNED")&gt;0,"tied","standalone"),"")</f>
        <v/>
      </c>
    </row>
    <row r="4949" spans="1:14">
      <c r="A4949" s="6">
        <v>2025</v>
      </c>
      <c r="B4949" s="6">
        <v>1</v>
      </c>
      <c r="C4949" s="6" t="s">
        <v>60</v>
      </c>
      <c r="D4949" s="6" t="s">
        <v>496</v>
      </c>
      <c r="E4949" s="6" t="s">
        <v>441</v>
      </c>
      <c r="F4949" s="6" t="str">
        <f>IF($M4949="PADD I","PADD 1",IF($M4949="PADD II","PADD 2",IF($M4949="PADD III","PADD 3",IF($M4949="PADD IV","PADD 4",IF($M4949="PADD V","PADD 5","")))))</f>
        <v>PADD 3</v>
      </c>
      <c r="G4949" s="6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6" t="s">
        <v>39</v>
      </c>
      <c r="I4949" s="6" t="s">
        <v>82</v>
      </c>
      <c r="J4949" s="6" t="s">
        <v>398</v>
      </c>
      <c r="K4949" s="10">
        <v>23.5</v>
      </c>
      <c r="L4949" s="10">
        <v>25</v>
      </c>
      <c r="M4949" s="6" t="s">
        <v>421</v>
      </c>
      <c r="N4949" s="6">
        <f>IF(OR($G4949="FCC",$G4949="Hydrocracker",$G4949="Reformer"),IF(COUNTIFS($D:$D,$D4949,$A:$A,$A4949,$B:$B,$B4949,$G:$G,"CDU",$J:$J,"PLANNED")&gt;0,"tied","standalone"),"")</f>
        <v/>
      </c>
    </row>
    <row r="4950" spans="1:14">
      <c r="A4950" s="6">
        <v>2025</v>
      </c>
      <c r="B4950" s="6">
        <v>1</v>
      </c>
      <c r="C4950" s="6" t="s">
        <v>60</v>
      </c>
      <c r="D4950" s="6" t="s">
        <v>996</v>
      </c>
      <c r="E4950" s="6" t="s">
        <v>455</v>
      </c>
      <c r="F4950" s="6" t="str">
        <f>IF($M4950="PADD I","PADD 1",IF($M4950="PADD II","PADD 2",IF($M4950="PADD III","PADD 3",IF($M4950="PADD IV","PADD 4",IF($M4950="PADD V","PADD 5","")))))</f>
        <v>PADD 5</v>
      </c>
      <c r="G4950" s="6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6" t="s">
        <v>44</v>
      </c>
      <c r="I4950" s="6" t="s">
        <v>1020</v>
      </c>
      <c r="J4950" s="6" t="s">
        <v>398</v>
      </c>
      <c r="K4950" s="10">
        <v>23.43</v>
      </c>
      <c r="L4950" s="10">
        <v>33</v>
      </c>
      <c r="M4950" s="6" t="s">
        <v>436</v>
      </c>
      <c r="N4950" s="6">
        <f>IF(OR($G4950="FCC",$G4950="Hydrocracker",$G4950="Reformer"),IF(COUNTIFS($D:$D,$D4950,$A:$A,$A4950,$B:$B,$B4950,$G:$G,"CDU",$J:$J,"PLANNED")&gt;0,"tied","standalone"),"")</f>
        <v/>
      </c>
    </row>
    <row r="4951" spans="1:14">
      <c r="A4951" s="6">
        <v>2025</v>
      </c>
      <c r="B4951" s="6">
        <v>1</v>
      </c>
      <c r="C4951" s="6" t="s">
        <v>60</v>
      </c>
      <c r="D4951" s="6" t="s">
        <v>384</v>
      </c>
      <c r="E4951" s="6" t="s">
        <v>419</v>
      </c>
      <c r="F4951" s="6" t="str">
        <f>IF($M4951="PADD I","PADD 1",IF($M4951="PADD II","PADD 2",IF($M4951="PADD III","PADD 3",IF($M4951="PADD IV","PADD 4",IF($M4951="PADD V","PADD 5","")))))</f>
        <v>PADD 3</v>
      </c>
      <c r="G4951" s="6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6" t="s">
        <v>485</v>
      </c>
      <c r="I4951" s="6" t="s">
        <v>1255</v>
      </c>
      <c r="J4951" s="6" t="s">
        <v>394</v>
      </c>
      <c r="K4951" s="10">
        <v>22.688</v>
      </c>
      <c r="L4951" s="10">
        <v>70.90000000000001</v>
      </c>
      <c r="M4951" s="6" t="s">
        <v>421</v>
      </c>
      <c r="N4951" s="6">
        <f>IF(OR($G4951="FCC",$G4951="Hydrocracker",$G4951="Reformer"),IF(COUNTIFS($D:$D,$D4951,$A:$A,$A4951,$B:$B,$B4951,$G:$G,"CDU",$J:$J,"PLANNED")&gt;0,"tied","standalone"),"")</f>
        <v/>
      </c>
    </row>
    <row r="4952" spans="1:14">
      <c r="A4952" s="6">
        <v>2025</v>
      </c>
      <c r="B4952" s="6">
        <v>1</v>
      </c>
      <c r="C4952" s="6" t="s">
        <v>60</v>
      </c>
      <c r="D4952" s="6" t="s">
        <v>660</v>
      </c>
      <c r="E4952" s="6" t="s">
        <v>661</v>
      </c>
      <c r="F4952" s="6" t="str">
        <f>IF($M4952="PADD I","PADD 1",IF($M4952="PADD II","PADD 2",IF($M4952="PADD III","PADD 3",IF($M4952="PADD IV","PADD 4",IF($M4952="PADD V","PADD 5","")))))</f>
        <v>PADD 2</v>
      </c>
      <c r="G4952" s="6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6" t="s">
        <v>39</v>
      </c>
      <c r="I4952" s="6" t="s">
        <v>424</v>
      </c>
      <c r="J4952" s="6" t="s">
        <v>398</v>
      </c>
      <c r="K4952" s="10">
        <v>21.75</v>
      </c>
      <c r="L4952" s="10">
        <v>75</v>
      </c>
      <c r="M4952" s="6" t="s">
        <v>425</v>
      </c>
      <c r="N4952" s="6">
        <f>IF(OR($G4952="FCC",$G4952="Hydrocracker",$G4952="Reformer"),IF(COUNTIFS($D:$D,$D4952,$A:$A,$A4952,$B:$B,$B4952,$G:$G,"CDU",$J:$J,"PLANNED")&gt;0,"tied","standalone"),"")</f>
        <v/>
      </c>
    </row>
    <row r="4953" spans="1:14">
      <c r="A4953" s="6">
        <v>2025</v>
      </c>
      <c r="B4953" s="6">
        <v>1</v>
      </c>
      <c r="C4953" s="6" t="s">
        <v>60</v>
      </c>
      <c r="D4953" s="6" t="s">
        <v>461</v>
      </c>
      <c r="E4953" s="6" t="s">
        <v>419</v>
      </c>
      <c r="F4953" s="6" t="str">
        <f>IF($M4953="PADD I","PADD 1",IF($M4953="PADD II","PADD 2",IF($M4953="PADD III","PADD 3",IF($M4953="PADD IV","PADD 4",IF($M4953="PADD V","PADD 5","")))))</f>
        <v>PADD 1</v>
      </c>
      <c r="G4953" s="6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6" t="s">
        <v>510</v>
      </c>
      <c r="I4953" s="6" t="s">
        <v>616</v>
      </c>
      <c r="J4953" s="6" t="s">
        <v>398</v>
      </c>
      <c r="K4953" s="10">
        <v>21.34</v>
      </c>
      <c r="L4953" s="10">
        <v>22</v>
      </c>
      <c r="M4953" s="6" t="s">
        <v>463</v>
      </c>
      <c r="N4953" s="6">
        <f>IF(OR($G4953="FCC",$G4953="Hydrocracker",$G4953="Reformer"),IF(COUNTIFS($D:$D,$D4953,$A:$A,$A4953,$B:$B,$B4953,$G:$G,"CDU",$J:$J,"PLANNED")&gt;0,"tied","standalone"),"")</f>
        <v/>
      </c>
    </row>
    <row r="4954" spans="1:14">
      <c r="A4954" s="6">
        <v>2025</v>
      </c>
      <c r="B4954" s="6">
        <v>1</v>
      </c>
      <c r="C4954" s="6" t="s">
        <v>60</v>
      </c>
      <c r="D4954" s="6" t="s">
        <v>496</v>
      </c>
      <c r="E4954" s="6" t="s">
        <v>441</v>
      </c>
      <c r="F4954" s="6" t="str">
        <f>IF($M4954="PADD I","PADD 1",IF($M4954="PADD II","PADD 2",IF($M4954="PADD III","PADD 3",IF($M4954="PADD IV","PADD 4",IF($M4954="PADD V","PADD 5","")))))</f>
        <v>PADD 3</v>
      </c>
      <c r="G4954" s="6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6" t="s">
        <v>428</v>
      </c>
      <c r="I4954" s="6" t="s">
        <v>1091</v>
      </c>
      <c r="J4954" s="6" t="s">
        <v>394</v>
      </c>
      <c r="K4954" s="10">
        <v>21.32</v>
      </c>
      <c r="L4954" s="10">
        <v>41</v>
      </c>
      <c r="M4954" s="6" t="s">
        <v>421</v>
      </c>
      <c r="N4954" s="6">
        <f>IF(OR($G4954="FCC",$G4954="Hydrocracker",$G4954="Reformer"),IF(COUNTIFS($D:$D,$D4954,$A:$A,$A4954,$B:$B,$B4954,$G:$G,"CDU",$J:$J,"PLANNED")&gt;0,"tied","standalone"),"")</f>
        <v/>
      </c>
    </row>
    <row r="4955" spans="1:14">
      <c r="A4955" s="6">
        <v>2025</v>
      </c>
      <c r="B4955" s="6">
        <v>1</v>
      </c>
      <c r="C4955" s="6" t="s">
        <v>60</v>
      </c>
      <c r="D4955" s="6" t="s">
        <v>996</v>
      </c>
      <c r="E4955" s="6" t="s">
        <v>455</v>
      </c>
      <c r="F4955" s="6" t="str">
        <f>IF($M4955="PADD I","PADD 1",IF($M4955="PADD II","PADD 2",IF($M4955="PADD III","PADD 3",IF($M4955="PADD IV","PADD 4",IF($M4955="PADD V","PADD 5","")))))</f>
        <v>PADD 5</v>
      </c>
      <c r="G4955" s="6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6" t="s">
        <v>44</v>
      </c>
      <c r="I4955" s="6" t="s">
        <v>1021</v>
      </c>
      <c r="J4955" s="6" t="s">
        <v>398</v>
      </c>
      <c r="K4955" s="10">
        <v>21.3</v>
      </c>
      <c r="L4955" s="10">
        <v>30</v>
      </c>
      <c r="M4955" s="6" t="s">
        <v>436</v>
      </c>
      <c r="N4955" s="6">
        <f>IF(OR($G4955="FCC",$G4955="Hydrocracker",$G4955="Reformer"),IF(COUNTIFS($D:$D,$D4955,$A:$A,$A4955,$B:$B,$B4955,$G:$G,"CDU",$J:$J,"PLANNED")&gt;0,"tied","standalone"),"")</f>
        <v/>
      </c>
    </row>
    <row r="4956" spans="1:14">
      <c r="A4956" s="6">
        <v>2025</v>
      </c>
      <c r="B4956" s="6">
        <v>1</v>
      </c>
      <c r="C4956" s="6" t="s">
        <v>60</v>
      </c>
      <c r="D4956" s="6" t="s">
        <v>1221</v>
      </c>
      <c r="E4956" s="6" t="s">
        <v>1222</v>
      </c>
      <c r="F4956" s="6" t="str">
        <f>IF($M4956="PADD I","PADD 1",IF($M4956="PADD II","PADD 2",IF($M4956="PADD III","PADD 3",IF($M4956="PADD IV","PADD 4",IF($M4956="PADD V","PADD 5","")))))</f>
        <v>PADD 3</v>
      </c>
      <c r="G4956" s="6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6" t="s">
        <v>39</v>
      </c>
      <c r="I4956" s="6" t="s">
        <v>1223</v>
      </c>
      <c r="J4956" s="6" t="s">
        <v>398</v>
      </c>
      <c r="K4956" s="10">
        <v>21</v>
      </c>
      <c r="L4956" s="10">
        <v>50</v>
      </c>
      <c r="M4956" s="6" t="s">
        <v>421</v>
      </c>
      <c r="N4956" s="6">
        <f>IF(OR($G4956="FCC",$G4956="Hydrocracker",$G4956="Reformer"),IF(COUNTIFS($D:$D,$D4956,$A:$A,$A4956,$B:$B,$B4956,$G:$G,"CDU",$J:$J,"PLANNED")&gt;0,"tied","standalone"),"")</f>
        <v/>
      </c>
    </row>
    <row r="4957" spans="1:14">
      <c r="A4957" s="6">
        <v>2025</v>
      </c>
      <c r="B4957" s="6">
        <v>1</v>
      </c>
      <c r="C4957" s="6" t="s">
        <v>60</v>
      </c>
      <c r="D4957" s="6" t="s">
        <v>1221</v>
      </c>
      <c r="E4957" s="6" t="s">
        <v>1222</v>
      </c>
      <c r="F4957" s="6" t="str">
        <f>IF($M4957="PADD I","PADD 1",IF($M4957="PADD II","PADD 2",IF($M4957="PADD III","PADD 3",IF($M4957="PADD IV","PADD 4",IF($M4957="PADD V","PADD 5","")))))</f>
        <v>PADD 3</v>
      </c>
      <c r="G4957" s="6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6" t="s">
        <v>39</v>
      </c>
      <c r="I4957" s="6" t="s">
        <v>1225</v>
      </c>
      <c r="J4957" s="6" t="s">
        <v>398</v>
      </c>
      <c r="K4957" s="10">
        <v>21</v>
      </c>
      <c r="L4957" s="10">
        <v>50</v>
      </c>
      <c r="M4957" s="6" t="s">
        <v>421</v>
      </c>
      <c r="N4957" s="6">
        <f>IF(OR($G4957="FCC",$G4957="Hydrocracker",$G4957="Reformer"),IF(COUNTIFS($D:$D,$D4957,$A:$A,$A4957,$B:$B,$B4957,$G:$G,"CDU",$J:$J,"PLANNED")&gt;0,"tied","standalone"),"")</f>
        <v/>
      </c>
    </row>
    <row r="4958" spans="1:14">
      <c r="A4958" s="6">
        <v>2025</v>
      </c>
      <c r="B4958" s="6">
        <v>1</v>
      </c>
      <c r="C4958" s="6" t="s">
        <v>60</v>
      </c>
      <c r="D4958" s="6" t="s">
        <v>865</v>
      </c>
      <c r="E4958" s="6" t="s">
        <v>502</v>
      </c>
      <c r="F4958" s="6" t="str">
        <f>IF($M4958="PADD I","PADD 1",IF($M4958="PADD II","PADD 2",IF($M4958="PADD III","PADD 3",IF($M4958="PADD IV","PADD 4",IF($M4958="PADD V","PADD 5","")))))</f>
        <v>PADD 4</v>
      </c>
      <c r="G4958" s="6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6" t="s">
        <v>39</v>
      </c>
      <c r="I4958" s="6" t="s">
        <v>1281</v>
      </c>
      <c r="J4958" s="6" t="s">
        <v>394</v>
      </c>
      <c r="K4958" s="10">
        <v>19.63</v>
      </c>
      <c r="L4958" s="10">
        <v>75.5</v>
      </c>
      <c r="M4958" s="6" t="s">
        <v>480</v>
      </c>
      <c r="N4958" s="6">
        <f>IF(OR($G4958="FCC",$G4958="Hydrocracker",$G4958="Reformer"),IF(COUNTIFS($D:$D,$D4958,$A:$A,$A4958,$B:$B,$B4958,$G:$G,"CDU",$J:$J,"PLANNED")&gt;0,"tied","standalone"),"")</f>
        <v/>
      </c>
    </row>
    <row r="4959" spans="1:14">
      <c r="A4959" s="6">
        <v>2025</v>
      </c>
      <c r="B4959" s="6">
        <v>1</v>
      </c>
      <c r="C4959" s="6" t="s">
        <v>60</v>
      </c>
      <c r="D4959" s="6" t="s">
        <v>490</v>
      </c>
      <c r="E4959" s="6" t="s">
        <v>419</v>
      </c>
      <c r="F4959" s="6" t="str">
        <f>IF($M4959="PADD I","PADD 1",IF($M4959="PADD II","PADD 2",IF($M4959="PADD III","PADD 3",IF($M4959="PADD IV","PADD 4",IF($M4959="PADD V","PADD 5","")))))</f>
        <v>PADD 5</v>
      </c>
      <c r="G4959" s="6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6" t="s">
        <v>44</v>
      </c>
      <c r="I4959" s="6" t="s">
        <v>1321</v>
      </c>
      <c r="J4959" s="6" t="s">
        <v>394</v>
      </c>
      <c r="K4959" s="10">
        <v>19.25</v>
      </c>
      <c r="L4959" s="10">
        <v>55</v>
      </c>
      <c r="M4959" s="6" t="s">
        <v>436</v>
      </c>
      <c r="N4959" s="6">
        <f>IF(OR($G4959="FCC",$G4959="Hydrocracker",$G4959="Reformer"),IF(COUNTIFS($D:$D,$D4959,$A:$A,$A4959,$B:$B,$B4959,$G:$G,"CDU",$J:$J,"PLANNED")&gt;0,"tied","standalone"),"")</f>
        <v/>
      </c>
    </row>
    <row r="4960" spans="1:14">
      <c r="A4960" s="6">
        <v>2025</v>
      </c>
      <c r="B4960" s="6">
        <v>1</v>
      </c>
      <c r="C4960" s="6" t="s">
        <v>60</v>
      </c>
      <c r="D4960" s="6" t="s">
        <v>901</v>
      </c>
      <c r="E4960" s="6" t="s">
        <v>902</v>
      </c>
      <c r="F4960" s="6" t="str">
        <f>IF($M4960="PADD I","PADD 1",IF($M4960="PADD II","PADD 2",IF($M4960="PADD III","PADD 3",IF($M4960="PADD IV","PADD 4",IF($M4960="PADD V","PADD 5","")))))</f>
        <v>PADD 3</v>
      </c>
      <c r="G4960" s="6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6" t="s">
        <v>39</v>
      </c>
      <c r="I4960" s="6" t="s">
        <v>903</v>
      </c>
      <c r="J4960" s="6" t="s">
        <v>398</v>
      </c>
      <c r="K4960" s="10">
        <v>18.85</v>
      </c>
      <c r="L4960" s="10">
        <v>65</v>
      </c>
      <c r="M4960" s="6" t="s">
        <v>421</v>
      </c>
      <c r="N4960" s="6">
        <f>IF(OR($G4960="FCC",$G4960="Hydrocracker",$G4960="Reformer"),IF(COUNTIFS($D:$D,$D4960,$A:$A,$A4960,$B:$B,$B4960,$G:$G,"CDU",$J:$J,"PLANNED")&gt;0,"tied","standalone"),"")</f>
        <v/>
      </c>
    </row>
    <row r="4961" spans="1:14">
      <c r="A4961" s="6">
        <v>2025</v>
      </c>
      <c r="B4961" s="6">
        <v>1</v>
      </c>
      <c r="C4961" s="6" t="s">
        <v>60</v>
      </c>
      <c r="D4961" s="6" t="s">
        <v>901</v>
      </c>
      <c r="E4961" s="6" t="s">
        <v>902</v>
      </c>
      <c r="F4961" s="6" t="str">
        <f>IF($M4961="PADD I","PADD 1",IF($M4961="PADD II","PADD 2",IF($M4961="PADD III","PADD 3",IF($M4961="PADD IV","PADD 4",IF($M4961="PADD V","PADD 5","")))))</f>
        <v>PADD 3</v>
      </c>
      <c r="G4961" s="6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6" t="s">
        <v>39</v>
      </c>
      <c r="I4961" s="6" t="s">
        <v>904</v>
      </c>
      <c r="J4961" s="6" t="s">
        <v>398</v>
      </c>
      <c r="K4961" s="10">
        <v>18.85</v>
      </c>
      <c r="L4961" s="10">
        <v>65</v>
      </c>
      <c r="M4961" s="6" t="s">
        <v>421</v>
      </c>
      <c r="N4961" s="6">
        <f>IF(OR($G4961="FCC",$G4961="Hydrocracker",$G4961="Reformer"),IF(COUNTIFS($D:$D,$D4961,$A:$A,$A4961,$B:$B,$B4961,$G:$G,"CDU",$J:$J,"PLANNED")&gt;0,"tied","standalone"),"")</f>
        <v/>
      </c>
    </row>
    <row r="4962" spans="1:14">
      <c r="A4962" s="6">
        <v>2025</v>
      </c>
      <c r="B4962" s="6">
        <v>1</v>
      </c>
      <c r="C4962" s="6" t="s">
        <v>60</v>
      </c>
      <c r="D4962" s="6" t="s">
        <v>828</v>
      </c>
      <c r="E4962" s="6" t="s">
        <v>829</v>
      </c>
      <c r="F4962" s="6" t="str">
        <f>IF($M4962="PADD I","PADD 1",IF($M4962="PADD II","PADD 2",IF($M4962="PADD III","PADD 3",IF($M4962="PADD IV","PADD 4",IF($M4962="PADD V","PADD 5","")))))</f>
        <v>PADD 3</v>
      </c>
      <c r="G4962" s="6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6" t="s">
        <v>494</v>
      </c>
      <c r="I4962" s="6" t="s">
        <v>867</v>
      </c>
      <c r="J4962" s="6" t="s">
        <v>398</v>
      </c>
      <c r="K4962" s="10">
        <v>18.3</v>
      </c>
      <c r="L4962" s="10">
        <v>30</v>
      </c>
      <c r="M4962" s="6" t="s">
        <v>421</v>
      </c>
      <c r="N4962" s="6" t="str">
        <f>IF(OR($G4962="FCC",$G4962="Hydrocracker",$G4962="Reformer"),IF(COUNTIFS($D:$D,$D4962,$A:$A,$A4962,$B:$B,$B4962,$G:$G,"CDU",$J:$J,"PLANNED")&gt;0,"tied","standalone"),"")</f>
        <v>tied</v>
      </c>
    </row>
    <row r="4963" spans="1:14">
      <c r="A4963" s="6">
        <v>2025</v>
      </c>
      <c r="B4963" s="6">
        <v>1</v>
      </c>
      <c r="C4963" s="6" t="s">
        <v>60</v>
      </c>
      <c r="D4963" s="6" t="s">
        <v>828</v>
      </c>
      <c r="E4963" s="6" t="s">
        <v>829</v>
      </c>
      <c r="F4963" s="6" t="str">
        <f>IF($M4963="PADD I","PADD 1",IF($M4963="PADD II","PADD 2",IF($M4963="PADD III","PADD 3",IF($M4963="PADD IV","PADD 4",IF($M4963="PADD V","PADD 5","")))))</f>
        <v>PADD 3</v>
      </c>
      <c r="G4963" s="6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6" t="s">
        <v>44</v>
      </c>
      <c r="I4963" s="6" t="s">
        <v>868</v>
      </c>
      <c r="J4963" s="6" t="s">
        <v>398</v>
      </c>
      <c r="K4963" s="10">
        <v>18.3</v>
      </c>
      <c r="L4963" s="10">
        <v>30</v>
      </c>
      <c r="M4963" s="6" t="s">
        <v>421</v>
      </c>
      <c r="N4963" s="6">
        <f>IF(OR($G4963="FCC",$G4963="Hydrocracker",$G4963="Reformer"),IF(COUNTIFS($D:$D,$D4963,$A:$A,$A4963,$B:$B,$B4963,$G:$G,"CDU",$J:$J,"PLANNED")&gt;0,"tied","standalone"),"")</f>
        <v/>
      </c>
    </row>
    <row r="4964" spans="1:14">
      <c r="A4964" s="6">
        <v>2025</v>
      </c>
      <c r="B4964" s="6">
        <v>1</v>
      </c>
      <c r="C4964" s="6" t="s">
        <v>60</v>
      </c>
      <c r="D4964" s="6" t="s">
        <v>828</v>
      </c>
      <c r="E4964" s="6" t="s">
        <v>829</v>
      </c>
      <c r="F4964" s="6" t="str">
        <f>IF($M4964="PADD I","PADD 1",IF($M4964="PADD II","PADD 2",IF($M4964="PADD III","PADD 3",IF($M4964="PADD IV","PADD 4",IF($M4964="PADD V","PADD 5","")))))</f>
        <v>PADD 3</v>
      </c>
      <c r="G4964" s="6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6" t="s">
        <v>44</v>
      </c>
      <c r="I4964" s="6" t="s">
        <v>869</v>
      </c>
      <c r="J4964" s="6" t="s">
        <v>398</v>
      </c>
      <c r="K4964" s="10">
        <v>18.3</v>
      </c>
      <c r="L4964" s="10">
        <v>30</v>
      </c>
      <c r="M4964" s="6" t="s">
        <v>421</v>
      </c>
      <c r="N4964" s="6">
        <f>IF(OR($G4964="FCC",$G4964="Hydrocracker",$G4964="Reformer"),IF(COUNTIFS($D:$D,$D4964,$A:$A,$A4964,$B:$B,$B4964,$G:$G,"CDU",$J:$J,"PLANNED")&gt;0,"tied","standalone"),"")</f>
        <v/>
      </c>
    </row>
    <row r="4965" spans="1:14">
      <c r="A4965" s="6">
        <v>2025</v>
      </c>
      <c r="B4965" s="6">
        <v>1</v>
      </c>
      <c r="C4965" s="6" t="s">
        <v>60</v>
      </c>
      <c r="D4965" s="6" t="s">
        <v>51</v>
      </c>
      <c r="E4965" s="6" t="s">
        <v>431</v>
      </c>
      <c r="F4965" s="6" t="str">
        <f>IF($M4965="PADD I","PADD 1",IF($M4965="PADD II","PADD 2",IF($M4965="PADD III","PADD 3",IF($M4965="PADD IV","PADD 4",IF($M4965="PADD V","PADD 5","")))))</f>
        <v>PADD 3</v>
      </c>
      <c r="G4965" s="6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6" t="s">
        <v>485</v>
      </c>
      <c r="I4965" s="6" t="s">
        <v>1322</v>
      </c>
      <c r="J4965" s="6" t="s">
        <v>398</v>
      </c>
      <c r="K4965" s="10">
        <v>18.2825</v>
      </c>
      <c r="L4965" s="10">
        <v>25.75</v>
      </c>
      <c r="M4965" s="6" t="s">
        <v>421</v>
      </c>
      <c r="N4965" s="6">
        <f>IF(OR($G4965="FCC",$G4965="Hydrocracker",$G4965="Reformer"),IF(COUNTIFS($D:$D,$D4965,$A:$A,$A4965,$B:$B,$B4965,$G:$G,"CDU",$J:$J,"PLANNED")&gt;0,"tied","standalone"),"")</f>
        <v/>
      </c>
    </row>
    <row r="4966" spans="1:14">
      <c r="A4966" s="6">
        <v>2025</v>
      </c>
      <c r="B4966" s="6">
        <v>1</v>
      </c>
      <c r="C4966" s="6" t="s">
        <v>60</v>
      </c>
      <c r="D4966" s="6" t="s">
        <v>52</v>
      </c>
      <c r="E4966" s="6" t="s">
        <v>441</v>
      </c>
      <c r="F4966" s="6" t="str">
        <f>IF($M4966="PADD I","PADD 1",IF($M4966="PADD II","PADD 2",IF($M4966="PADD III","PADD 3",IF($M4966="PADD IV","PADD 4",IF($M4966="PADD V","PADD 5","")))))</f>
        <v>PADD 5</v>
      </c>
      <c r="G4966" s="6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6" t="s">
        <v>510</v>
      </c>
      <c r="I4966" s="6" t="s">
        <v>511</v>
      </c>
      <c r="J4966" s="6" t="s">
        <v>394</v>
      </c>
      <c r="K4966" s="10">
        <v>18.15</v>
      </c>
      <c r="L4966" s="10">
        <v>33</v>
      </c>
      <c r="M4966" s="6" t="s">
        <v>436</v>
      </c>
      <c r="N4966" s="6">
        <f>IF(OR($G4966="FCC",$G4966="Hydrocracker",$G4966="Reformer"),IF(COUNTIFS($D:$D,$D4966,$A:$A,$A4966,$B:$B,$B4966,$G:$G,"CDU",$J:$J,"PLANNED")&gt;0,"tied","standalone"),"")</f>
        <v/>
      </c>
    </row>
    <row r="4967" spans="1:14">
      <c r="A4967" s="6">
        <v>2025</v>
      </c>
      <c r="B4967" s="6">
        <v>1</v>
      </c>
      <c r="C4967" s="6" t="s">
        <v>60</v>
      </c>
      <c r="D4967" s="6" t="s">
        <v>465</v>
      </c>
      <c r="E4967" s="6" t="s">
        <v>466</v>
      </c>
      <c r="F4967" s="6" t="str">
        <f>IF($M4967="PADD I","PADD 1",IF($M4967="PADD II","PADD 2",IF($M4967="PADD III","PADD 3",IF($M4967="PADD IV","PADD 4",IF($M4967="PADD V","PADD 5","")))))</f>
        <v>PADD 3</v>
      </c>
      <c r="G4967" s="6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6" t="s">
        <v>485</v>
      </c>
      <c r="I4967" s="6" t="s">
        <v>503</v>
      </c>
      <c r="J4967" s="6" t="s">
        <v>394</v>
      </c>
      <c r="K4967" s="10">
        <v>17.68</v>
      </c>
      <c r="L4967" s="10">
        <v>34</v>
      </c>
      <c r="M4967" s="6" t="s">
        <v>421</v>
      </c>
      <c r="N4967" s="6">
        <f>IF(OR($G4967="FCC",$G4967="Hydrocracker",$G4967="Reformer"),IF(COUNTIFS($D:$D,$D4967,$A:$A,$A4967,$B:$B,$B4967,$G:$G,"CDU",$J:$J,"PLANNED")&gt;0,"tied","standalone"),"")</f>
        <v/>
      </c>
    </row>
    <row r="4968" spans="1:14">
      <c r="A4968" s="6">
        <v>2025</v>
      </c>
      <c r="B4968" s="6">
        <v>1</v>
      </c>
      <c r="C4968" s="6" t="s">
        <v>60</v>
      </c>
      <c r="D4968" s="6" t="s">
        <v>660</v>
      </c>
      <c r="E4968" s="6" t="s">
        <v>661</v>
      </c>
      <c r="F4968" s="6" t="str">
        <f>IF($M4968="PADD I","PADD 1",IF($M4968="PADD II","PADD 2",IF($M4968="PADD III","PADD 3",IF($M4968="PADD IV","PADD 4",IF($M4968="PADD V","PADD 5","")))))</f>
        <v>PADD 2</v>
      </c>
      <c r="G4968" s="6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6" t="s">
        <v>39</v>
      </c>
      <c r="I4968" s="6" t="s">
        <v>381</v>
      </c>
      <c r="J4968" s="6" t="s">
        <v>398</v>
      </c>
      <c r="K4968" s="10">
        <v>17.4</v>
      </c>
      <c r="L4968" s="10">
        <v>60</v>
      </c>
      <c r="M4968" s="6" t="s">
        <v>425</v>
      </c>
      <c r="N4968" s="6">
        <f>IF(OR($G4968="FCC",$G4968="Hydrocracker",$G4968="Reformer"),IF(COUNTIFS($D:$D,$D4968,$A:$A,$A4968,$B:$B,$B4968,$G:$G,"CDU",$J:$J,"PLANNED")&gt;0,"tied","standalone"),"")</f>
        <v/>
      </c>
    </row>
    <row r="4969" spans="1:14">
      <c r="A4969" s="6">
        <v>2025</v>
      </c>
      <c r="B4969" s="6">
        <v>1</v>
      </c>
      <c r="C4969" s="6" t="s">
        <v>60</v>
      </c>
      <c r="D4969" s="6" t="s">
        <v>576</v>
      </c>
      <c r="E4969" s="6" t="s">
        <v>455</v>
      </c>
      <c r="F4969" s="6" t="str">
        <f>IF($M4969="PADD I","PADD 1",IF($M4969="PADD II","PADD 2",IF($M4969="PADD III","PADD 3",IF($M4969="PADD IV","PADD 4",IF($M4969="PADD V","PADD 5","")))))</f>
        <v>PADD 3</v>
      </c>
      <c r="G4969" s="6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6" t="s">
        <v>428</v>
      </c>
      <c r="I4969" s="6" t="s">
        <v>699</v>
      </c>
      <c r="J4969" s="6" t="s">
        <v>394</v>
      </c>
      <c r="K4969" s="10">
        <v>16.8</v>
      </c>
      <c r="L4969" s="10">
        <v>48</v>
      </c>
      <c r="M4969" s="6" t="s">
        <v>421</v>
      </c>
      <c r="N4969" s="6">
        <f>IF(OR($G4969="FCC",$G4969="Hydrocracker",$G4969="Reformer"),IF(COUNTIFS($D:$D,$D4969,$A:$A,$A4969,$B:$B,$B4969,$G:$G,"CDU",$J:$J,"PLANNED")&gt;0,"tied","standalone"),"")</f>
        <v/>
      </c>
    </row>
    <row r="4970" spans="1:14">
      <c r="A4970" s="6">
        <v>2025</v>
      </c>
      <c r="B4970" s="6">
        <v>1</v>
      </c>
      <c r="C4970" s="6" t="s">
        <v>60</v>
      </c>
      <c r="D4970" s="6" t="s">
        <v>487</v>
      </c>
      <c r="E4970" s="6" t="s">
        <v>488</v>
      </c>
      <c r="F4970" s="6" t="str">
        <f>IF($M4970="PADD I","PADD 1",IF($M4970="PADD II","PADD 2",IF($M4970="PADD III","PADD 3",IF($M4970="PADD IV","PADD 4",IF($M4970="PADD V","PADD 5","")))))</f>
        <v>PADD 4</v>
      </c>
      <c r="G4970" s="6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6" t="s">
        <v>39</v>
      </c>
      <c r="I4970" s="6" t="s">
        <v>489</v>
      </c>
      <c r="J4970" s="6" t="s">
        <v>394</v>
      </c>
      <c r="K4970" s="10">
        <v>16.38</v>
      </c>
      <c r="L4970" s="10">
        <v>39</v>
      </c>
      <c r="M4970" s="6" t="s">
        <v>480</v>
      </c>
      <c r="N4970" s="6">
        <f>IF(OR($G4970="FCC",$G4970="Hydrocracker",$G4970="Reformer"),IF(COUNTIFS($D:$D,$D4970,$A:$A,$A4970,$B:$B,$B4970,$G:$G,"CDU",$J:$J,"PLANNED")&gt;0,"tied","standalone"),"")</f>
        <v/>
      </c>
    </row>
    <row r="4971" spans="1:14">
      <c r="A4971" s="6">
        <v>2025</v>
      </c>
      <c r="B4971" s="6">
        <v>1</v>
      </c>
      <c r="C4971" s="6" t="s">
        <v>60</v>
      </c>
      <c r="D4971" s="6" t="s">
        <v>996</v>
      </c>
      <c r="E4971" s="6" t="s">
        <v>455</v>
      </c>
      <c r="F4971" s="6" t="str">
        <f>IF($M4971="PADD I","PADD 1",IF($M4971="PADD II","PADD 2",IF($M4971="PADD III","PADD 3",IF($M4971="PADD IV","PADD 4",IF($M4971="PADD V","PADD 5","")))))</f>
        <v>PADD 5</v>
      </c>
      <c r="G4971" s="6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6" t="s">
        <v>510</v>
      </c>
      <c r="I4971" s="6" t="s">
        <v>1002</v>
      </c>
      <c r="J4971" s="6" t="s">
        <v>394</v>
      </c>
      <c r="K4971" s="10">
        <v>15.62</v>
      </c>
      <c r="L4971" s="10">
        <v>22</v>
      </c>
      <c r="M4971" s="6" t="s">
        <v>436</v>
      </c>
      <c r="N4971" s="6">
        <f>IF(OR($G4971="FCC",$G4971="Hydrocracker",$G4971="Reformer"),IF(COUNTIFS($D:$D,$D4971,$A:$A,$A4971,$B:$B,$B4971,$G:$G,"CDU",$J:$J,"PLANNED")&gt;0,"tied","standalone"),"")</f>
        <v/>
      </c>
    </row>
    <row r="4972" spans="1:14">
      <c r="A4972" s="6">
        <v>2025</v>
      </c>
      <c r="B4972" s="6">
        <v>1</v>
      </c>
      <c r="C4972" s="6" t="s">
        <v>60</v>
      </c>
      <c r="D4972" s="6" t="s">
        <v>505</v>
      </c>
      <c r="E4972" s="6" t="s">
        <v>455</v>
      </c>
      <c r="F4972" s="6" t="str">
        <f>IF($M4972="PADD I","PADD 1",IF($M4972="PADD II","PADD 2",IF($M4972="PADD III","PADD 3",IF($M4972="PADD IV","PADD 4",IF($M4972="PADD V","PADD 5","")))))</f>
        <v>PADD 3</v>
      </c>
      <c r="G4972" s="6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6" t="s">
        <v>44</v>
      </c>
      <c r="I4972" s="6" t="s">
        <v>1323</v>
      </c>
      <c r="J4972" s="6" t="s">
        <v>398</v>
      </c>
      <c r="K4972" s="10">
        <v>15.6</v>
      </c>
      <c r="L4972" s="10">
        <v>60</v>
      </c>
      <c r="M4972" s="6" t="s">
        <v>421</v>
      </c>
      <c r="N4972" s="6">
        <f>IF(OR($G4972="FCC",$G4972="Hydrocracker",$G4972="Reformer"),IF(COUNTIFS($D:$D,$D4972,$A:$A,$A4972,$B:$B,$B4972,$G:$G,"CDU",$J:$J,"PLANNED")&gt;0,"tied","standalone"),"")</f>
        <v/>
      </c>
    </row>
    <row r="4973" spans="1:14">
      <c r="A4973" s="6">
        <v>2025</v>
      </c>
      <c r="B4973" s="6">
        <v>1</v>
      </c>
      <c r="C4973" s="6" t="s">
        <v>60</v>
      </c>
      <c r="D4973" s="6" t="s">
        <v>437</v>
      </c>
      <c r="E4973" s="6" t="s">
        <v>438</v>
      </c>
      <c r="F4973" s="6" t="str">
        <f>IF($M4973="PADD I","PADD 1",IF($M4973="PADD II","PADD 2",IF($M4973="PADD III","PADD 3",IF($M4973="PADD IV","PADD 4",IF($M4973="PADD V","PADD 5","")))))</f>
        <v>PADD 3</v>
      </c>
      <c r="G4973" s="6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6" t="s">
        <v>471</v>
      </c>
      <c r="I4973" s="6" t="s">
        <v>633</v>
      </c>
      <c r="J4973" s="6" t="s">
        <v>394</v>
      </c>
      <c r="K4973" s="10">
        <v>15.065</v>
      </c>
      <c r="L4973" s="10">
        <v>65.5</v>
      </c>
      <c r="M4973" s="6" t="s">
        <v>421</v>
      </c>
      <c r="N4973" s="6" t="str">
        <f>IF(OR($G4973="FCC",$G4973="Hydrocracker",$G4973="Reformer"),IF(COUNTIFS($D:$D,$D4973,$A:$A,$A4973,$B:$B,$B4973,$G:$G,"CDU",$J:$J,"PLANNED")&gt;0,"tied","standalone"),"")</f>
        <v>tied</v>
      </c>
    </row>
    <row r="4974" spans="1:14">
      <c r="A4974" s="6">
        <v>2025</v>
      </c>
      <c r="B4974" s="6">
        <v>1</v>
      </c>
      <c r="C4974" s="6" t="s">
        <v>60</v>
      </c>
      <c r="D4974" s="6" t="s">
        <v>440</v>
      </c>
      <c r="E4974" s="6" t="s">
        <v>441</v>
      </c>
      <c r="F4974" s="6" t="str">
        <f>IF($M4974="PADD I","PADD 1",IF($M4974="PADD II","PADD 2",IF($M4974="PADD III","PADD 3",IF($M4974="PADD IV","PADD 4",IF($M4974="PADD V","PADD 5","")))))</f>
        <v>PADD 3</v>
      </c>
      <c r="G4974" s="6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6" t="s">
        <v>44</v>
      </c>
      <c r="I4974" s="6" t="s">
        <v>1134</v>
      </c>
      <c r="J4974" s="6" t="s">
        <v>398</v>
      </c>
      <c r="K4974" s="10">
        <v>14.4</v>
      </c>
      <c r="L4974" s="10">
        <v>45</v>
      </c>
      <c r="M4974" s="6" t="s">
        <v>421</v>
      </c>
      <c r="N4974" s="6">
        <f>IF(OR($G4974="FCC",$G4974="Hydrocracker",$G4974="Reformer"),IF(COUNTIFS($D:$D,$D4974,$A:$A,$A4974,$B:$B,$B4974,$G:$G,"CDU",$J:$J,"PLANNED")&gt;0,"tied","standalone"),"")</f>
        <v/>
      </c>
    </row>
    <row r="4975" spans="1:14">
      <c r="A4975" s="6">
        <v>2025</v>
      </c>
      <c r="B4975" s="6">
        <v>1</v>
      </c>
      <c r="C4975" s="6" t="s">
        <v>60</v>
      </c>
      <c r="D4975" s="6" t="s">
        <v>458</v>
      </c>
      <c r="E4975" s="6" t="s">
        <v>459</v>
      </c>
      <c r="F4975" s="6" t="str">
        <f>IF($M4975="PADD I","PADD 1",IF($M4975="PADD II","PADD 2",IF($M4975="PADD III","PADD 3",IF($M4975="PADD IV","PADD 4",IF($M4975="PADD V","PADD 5","")))))</f>
        <v>PADD 3</v>
      </c>
      <c r="G4975" s="6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6" t="s">
        <v>428</v>
      </c>
      <c r="I4975" s="6" t="s">
        <v>539</v>
      </c>
      <c r="J4975" s="6" t="s">
        <v>394</v>
      </c>
      <c r="K4975" s="10">
        <v>14.3</v>
      </c>
      <c r="L4975" s="10">
        <v>55</v>
      </c>
      <c r="M4975" s="6" t="s">
        <v>421</v>
      </c>
      <c r="N4975" s="6">
        <f>IF(OR($G4975="FCC",$G4975="Hydrocracker",$G4975="Reformer"),IF(COUNTIFS($D:$D,$D4975,$A:$A,$A4975,$B:$B,$B4975,$G:$G,"CDU",$J:$J,"PLANNED")&gt;0,"tied","standalone"),"")</f>
        <v/>
      </c>
    </row>
    <row r="4976" spans="1:14">
      <c r="A4976" s="6">
        <v>2025</v>
      </c>
      <c r="B4976" s="6">
        <v>1</v>
      </c>
      <c r="C4976" s="6" t="s">
        <v>60</v>
      </c>
      <c r="D4976" s="6" t="s">
        <v>540</v>
      </c>
      <c r="E4976" s="6" t="s">
        <v>541</v>
      </c>
      <c r="F4976" s="6" t="str">
        <f>IF($M4976="PADD I","PADD 1",IF($M4976="PADD II","PADD 2",IF($M4976="PADD III","PADD 3",IF($M4976="PADD IV","PADD 4",IF($M4976="PADD V","PADD 5","")))))</f>
        <v>PADD 3</v>
      </c>
      <c r="G4976" s="6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6" t="s">
        <v>485</v>
      </c>
      <c r="I4976" s="6" t="s">
        <v>737</v>
      </c>
      <c r="J4976" s="6" t="s">
        <v>398</v>
      </c>
      <c r="K4976" s="10">
        <v>14.04</v>
      </c>
      <c r="L4976" s="10">
        <v>54</v>
      </c>
      <c r="M4976" s="6" t="s">
        <v>421</v>
      </c>
      <c r="N4976" s="6">
        <f>IF(OR($G4976="FCC",$G4976="Hydrocracker",$G4976="Reformer"),IF(COUNTIFS($D:$D,$D4976,$A:$A,$A4976,$B:$B,$B4976,$G:$G,"CDU",$J:$J,"PLANNED")&gt;0,"tied","standalone"),"")</f>
        <v/>
      </c>
    </row>
    <row r="4977" spans="1:14">
      <c r="A4977" s="6">
        <v>2025</v>
      </c>
      <c r="B4977" s="6">
        <v>1</v>
      </c>
      <c r="C4977" s="6" t="s">
        <v>60</v>
      </c>
      <c r="D4977" s="6" t="s">
        <v>49</v>
      </c>
      <c r="E4977" s="6" t="s">
        <v>438</v>
      </c>
      <c r="F4977" s="6" t="str">
        <f>IF($M4977="PADD I","PADD 1",IF($M4977="PADD II","PADD 2",IF($M4977="PADD III","PADD 3",IF($M4977="PADD IV","PADD 4",IF($M4977="PADD V","PADD 5","")))))</f>
        <v>PADD 2</v>
      </c>
      <c r="G4977" s="6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6" t="s">
        <v>44</v>
      </c>
      <c r="I4977" s="6" t="s">
        <v>811</v>
      </c>
      <c r="J4977" s="6" t="s">
        <v>394</v>
      </c>
      <c r="K4977" s="10">
        <v>13.92</v>
      </c>
      <c r="L4977" s="10">
        <v>24</v>
      </c>
      <c r="M4977" s="6" t="s">
        <v>425</v>
      </c>
      <c r="N4977" s="6">
        <f>IF(OR($G4977="FCC",$G4977="Hydrocracker",$G4977="Reformer"),IF(COUNTIFS($D:$D,$D4977,$A:$A,$A4977,$B:$B,$B4977,$G:$G,"CDU",$J:$J,"PLANNED")&gt;0,"tied","standalone"),"")</f>
        <v/>
      </c>
    </row>
    <row r="4978" spans="1:14">
      <c r="A4978" s="6">
        <v>2025</v>
      </c>
      <c r="B4978" s="6">
        <v>1</v>
      </c>
      <c r="C4978" s="6" t="s">
        <v>60</v>
      </c>
      <c r="D4978" s="6" t="s">
        <v>484</v>
      </c>
      <c r="E4978" s="6" t="s">
        <v>438</v>
      </c>
      <c r="F4978" s="6" t="str">
        <f>IF($M4978="PADD I","PADD 1",IF($M4978="PADD II","PADD 2",IF($M4978="PADD III","PADD 3",IF($M4978="PADD IV","PADD 4",IF($M4978="PADD V","PADD 5","")))))</f>
        <v>PADD 5</v>
      </c>
      <c r="G4978" s="6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6" t="s">
        <v>39</v>
      </c>
      <c r="I4978" s="6" t="s">
        <v>713</v>
      </c>
      <c r="J4978" s="6" t="s">
        <v>394</v>
      </c>
      <c r="K4978" s="10">
        <v>13.39</v>
      </c>
      <c r="L4978" s="10">
        <v>103</v>
      </c>
      <c r="M4978" s="6" t="s">
        <v>436</v>
      </c>
      <c r="N4978" s="6">
        <f>IF(OR($G4978="FCC",$G4978="Hydrocracker",$G4978="Reformer"),IF(COUNTIFS($D:$D,$D4978,$A:$A,$A4978,$B:$B,$B4978,$G:$G,"CDU",$J:$J,"PLANNED")&gt;0,"tied","standalone"),"")</f>
        <v/>
      </c>
    </row>
    <row r="4979" spans="1:14">
      <c r="A4979" s="6">
        <v>2025</v>
      </c>
      <c r="B4979" s="6">
        <v>1</v>
      </c>
      <c r="C4979" s="6" t="s">
        <v>60</v>
      </c>
      <c r="D4979" s="6" t="s">
        <v>996</v>
      </c>
      <c r="E4979" s="6" t="s">
        <v>455</v>
      </c>
      <c r="F4979" s="6" t="str">
        <f>IF($M4979="PADD I","PADD 1",IF($M4979="PADD II","PADD 2",IF($M4979="PADD III","PADD 3",IF($M4979="PADD IV","PADD 4",IF($M4979="PADD V","PADD 5","")))))</f>
        <v>PADD 5</v>
      </c>
      <c r="G4979" s="6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6" t="s">
        <v>471</v>
      </c>
      <c r="I4979" s="6" t="s">
        <v>1023</v>
      </c>
      <c r="J4979" s="6" t="s">
        <v>394</v>
      </c>
      <c r="K4979" s="10">
        <v>13.32</v>
      </c>
      <c r="L4979" s="10">
        <v>18</v>
      </c>
      <c r="M4979" s="6" t="s">
        <v>436</v>
      </c>
      <c r="N4979" s="6" t="str">
        <f>IF(OR($G4979="FCC",$G4979="Hydrocracker",$G4979="Reformer"),IF(COUNTIFS($D:$D,$D4979,$A:$A,$A4979,$B:$B,$B4979,$G:$G,"CDU",$J:$J,"PLANNED")&gt;0,"tied","standalone"),"")</f>
        <v>standalone</v>
      </c>
    </row>
    <row r="4980" spans="1:14">
      <c r="A4980" s="6">
        <v>2025</v>
      </c>
      <c r="B4980" s="6">
        <v>1</v>
      </c>
      <c r="C4980" s="6" t="s">
        <v>60</v>
      </c>
      <c r="D4980" s="6" t="s">
        <v>1278</v>
      </c>
      <c r="E4980" s="6" t="s">
        <v>661</v>
      </c>
      <c r="F4980" s="6" t="str">
        <f>IF($M4980="PADD I","PADD 1",IF($M4980="PADD II","PADD 2",IF($M4980="PADD III","PADD 3",IF($M4980="PADD IV","PADD 4",IF($M4980="PADD V","PADD 5","")))))</f>
        <v>PADD 2</v>
      </c>
      <c r="G4980" s="6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6" t="s">
        <v>44</v>
      </c>
      <c r="I4980" s="6" t="s">
        <v>551</v>
      </c>
      <c r="J4980" s="6" t="s">
        <v>394</v>
      </c>
      <c r="K4980" s="10">
        <v>13.125</v>
      </c>
      <c r="L4980" s="10">
        <v>37.5</v>
      </c>
      <c r="M4980" s="6" t="s">
        <v>425</v>
      </c>
      <c r="N4980" s="6">
        <f>IF(OR($G4980="FCC",$G4980="Hydrocracker",$G4980="Reformer"),IF(COUNTIFS($D:$D,$D4980,$A:$A,$A4980,$B:$B,$B4980,$G:$G,"CDU",$J:$J,"PLANNED")&gt;0,"tied","standalone"),"")</f>
        <v/>
      </c>
    </row>
    <row r="4981" spans="1:14">
      <c r="A4981" s="6">
        <v>2025</v>
      </c>
      <c r="B4981" s="6">
        <v>1</v>
      </c>
      <c r="C4981" s="6" t="s">
        <v>60</v>
      </c>
      <c r="D4981" s="6" t="s">
        <v>540</v>
      </c>
      <c r="E4981" s="6" t="s">
        <v>541</v>
      </c>
      <c r="F4981" s="6" t="str">
        <f>IF($M4981="PADD I","PADD 1",IF($M4981="PADD II","PADD 2",IF($M4981="PADD III","PADD 3",IF($M4981="PADD IV","PADD 4",IF($M4981="PADD V","PADD 5","")))))</f>
        <v>PADD 3</v>
      </c>
      <c r="G4981" s="6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6" t="s">
        <v>44</v>
      </c>
      <c r="I4981" s="6" t="s">
        <v>897</v>
      </c>
      <c r="J4981" s="6" t="s">
        <v>398</v>
      </c>
      <c r="K4981" s="10">
        <v>13</v>
      </c>
      <c r="L4981" s="10">
        <v>50</v>
      </c>
      <c r="M4981" s="6" t="s">
        <v>421</v>
      </c>
      <c r="N4981" s="6">
        <f>IF(OR($G4981="FCC",$G4981="Hydrocracker",$G4981="Reformer"),IF(COUNTIFS($D:$D,$D4981,$A:$A,$A4981,$B:$B,$B4981,$G:$G,"CDU",$J:$J,"PLANNED")&gt;0,"tied","standalone"),"")</f>
        <v/>
      </c>
    </row>
    <row r="4982" spans="1:14">
      <c r="A4982" s="6">
        <v>2025</v>
      </c>
      <c r="B4982" s="6">
        <v>1</v>
      </c>
      <c r="C4982" s="6" t="s">
        <v>60</v>
      </c>
      <c r="D4982" s="6" t="s">
        <v>515</v>
      </c>
      <c r="E4982" s="6" t="s">
        <v>419</v>
      </c>
      <c r="F4982" s="6" t="str">
        <f>IF($M4982="PADD I","PADD 1",IF($M4982="PADD II","PADD 2",IF($M4982="PADD III","PADD 3",IF($M4982="PADD IV","PADD 4",IF($M4982="PADD V","PADD 5","")))))</f>
        <v>PADD 5</v>
      </c>
      <c r="G4982" s="6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6" t="s">
        <v>44</v>
      </c>
      <c r="I4982" s="6" t="s">
        <v>516</v>
      </c>
      <c r="J4982" s="6" t="s">
        <v>398</v>
      </c>
      <c r="K4982" s="10">
        <v>13</v>
      </c>
      <c r="L4982" s="10">
        <v>50</v>
      </c>
      <c r="M4982" s="6" t="s">
        <v>436</v>
      </c>
      <c r="N4982" s="6">
        <f>IF(OR($G4982="FCC",$G4982="Hydrocracker",$G4982="Reformer"),IF(COUNTIFS($D:$D,$D4982,$A:$A,$A4982,$B:$B,$B4982,$G:$G,"CDU",$J:$J,"PLANNED")&gt;0,"tied","standalone"),"")</f>
        <v/>
      </c>
    </row>
    <row r="4983" spans="1:14">
      <c r="A4983" s="6">
        <v>2025</v>
      </c>
      <c r="B4983" s="6">
        <v>1</v>
      </c>
      <c r="C4983" s="6" t="s">
        <v>60</v>
      </c>
      <c r="D4983" s="6" t="s">
        <v>540</v>
      </c>
      <c r="E4983" s="6" t="s">
        <v>541</v>
      </c>
      <c r="F4983" s="6" t="str">
        <f>IF($M4983="PADD I","PADD 1",IF($M4983="PADD II","PADD 2",IF($M4983="PADD III","PADD 3",IF($M4983="PADD IV","PADD 4",IF($M4983="PADD V","PADD 5","")))))</f>
        <v>PADD 3</v>
      </c>
      <c r="G4983" s="6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6" t="s">
        <v>426</v>
      </c>
      <c r="I4983" s="6" t="s">
        <v>522</v>
      </c>
      <c r="J4983" s="6" t="s">
        <v>398</v>
      </c>
      <c r="K4983" s="10">
        <v>12.96</v>
      </c>
      <c r="L4983" s="10">
        <v>81</v>
      </c>
      <c r="M4983" s="6" t="s">
        <v>421</v>
      </c>
      <c r="N4983" s="6" t="str">
        <f>IF(OR($G4983="FCC",$G4983="Hydrocracker",$G4983="Reformer"),IF(COUNTIFS($D:$D,$D4983,$A:$A,$A4983,$B:$B,$B4983,$G:$G,"CDU",$J:$J,"PLANNED")&gt;0,"tied","standalone"),"")</f>
        <v>standalone</v>
      </c>
    </row>
    <row r="4984" spans="1:14">
      <c r="A4984" s="6">
        <v>2025</v>
      </c>
      <c r="B4984" s="6">
        <v>1</v>
      </c>
      <c r="C4984" s="6" t="s">
        <v>60</v>
      </c>
      <c r="D4984" s="6" t="s">
        <v>662</v>
      </c>
      <c r="E4984" s="6" t="s">
        <v>466</v>
      </c>
      <c r="F4984" s="6" t="str">
        <f>IF($M4984="PADD I","PADD 1",IF($M4984="PADD II","PADD 2",IF($M4984="PADD III","PADD 3",IF($M4984="PADD IV","PADD 4",IF($M4984="PADD V","PADD 5","")))))</f>
        <v>PADD 3</v>
      </c>
      <c r="G4984" s="6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6" t="s">
        <v>485</v>
      </c>
      <c r="I4984" s="6" t="s">
        <v>491</v>
      </c>
      <c r="J4984" s="6" t="s">
        <v>394</v>
      </c>
      <c r="K4984" s="10">
        <v>12.76</v>
      </c>
      <c r="L4984" s="10">
        <v>44</v>
      </c>
      <c r="M4984" s="6" t="s">
        <v>421</v>
      </c>
      <c r="N4984" s="6">
        <f>IF(OR($G4984="FCC",$G4984="Hydrocracker",$G4984="Reformer"),IF(COUNTIFS($D:$D,$D4984,$A:$A,$A4984,$B:$B,$B4984,$G:$G,"CDU",$J:$J,"PLANNED")&gt;0,"tied","standalone"),"")</f>
        <v/>
      </c>
    </row>
    <row r="4985" spans="1:14">
      <c r="A4985" s="6">
        <v>2025</v>
      </c>
      <c r="B4985" s="6">
        <v>1</v>
      </c>
      <c r="C4985" s="6" t="s">
        <v>60</v>
      </c>
      <c r="D4985" s="6" t="s">
        <v>505</v>
      </c>
      <c r="E4985" s="6" t="s">
        <v>455</v>
      </c>
      <c r="F4985" s="6" t="str">
        <f>IF($M4985="PADD I","PADD 1",IF($M4985="PADD II","PADD 2",IF($M4985="PADD III","PADD 3",IF($M4985="PADD IV","PADD 4",IF($M4985="PADD V","PADD 5","")))))</f>
        <v>PADD 3</v>
      </c>
      <c r="G4985" s="6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6" t="s">
        <v>44</v>
      </c>
      <c r="I4985" s="6" t="s">
        <v>1324</v>
      </c>
      <c r="J4985" s="6" t="s">
        <v>398</v>
      </c>
      <c r="K4985" s="10">
        <v>12.74</v>
      </c>
      <c r="L4985" s="10">
        <v>49</v>
      </c>
      <c r="M4985" s="6" t="s">
        <v>421</v>
      </c>
      <c r="N4985" s="6">
        <f>IF(OR($G4985="FCC",$G4985="Hydrocracker",$G4985="Reformer"),IF(COUNTIFS($D:$D,$D4985,$A:$A,$A4985,$B:$B,$B4985,$G:$G,"CDU",$J:$J,"PLANNED")&gt;0,"tied","standalone"),"")</f>
        <v/>
      </c>
    </row>
    <row r="4986" spans="1:14">
      <c r="A4986" s="6">
        <v>2025</v>
      </c>
      <c r="B4986" s="6">
        <v>1</v>
      </c>
      <c r="C4986" s="6" t="s">
        <v>60</v>
      </c>
      <c r="D4986" s="6" t="s">
        <v>540</v>
      </c>
      <c r="E4986" s="6" t="s">
        <v>541</v>
      </c>
      <c r="F4986" s="6" t="str">
        <f>IF($M4986="PADD I","PADD 1",IF($M4986="PADD II","PADD 2",IF($M4986="PADD III","PADD 3",IF($M4986="PADD IV","PADD 4",IF($M4986="PADD V","PADD 5","")))))</f>
        <v>PADD 3</v>
      </c>
      <c r="G4986" s="6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6" t="s">
        <v>471</v>
      </c>
      <c r="I4986" s="6" t="s">
        <v>1000</v>
      </c>
      <c r="J4986" s="6" t="s">
        <v>398</v>
      </c>
      <c r="K4986" s="10">
        <v>12.74</v>
      </c>
      <c r="L4986" s="10">
        <v>49</v>
      </c>
      <c r="M4986" s="6" t="s">
        <v>421</v>
      </c>
      <c r="N4986" s="6" t="str">
        <f>IF(OR($G4986="FCC",$G4986="Hydrocracker",$G4986="Reformer"),IF(COUNTIFS($D:$D,$D4986,$A:$A,$A4986,$B:$B,$B4986,$G:$G,"CDU",$J:$J,"PLANNED")&gt;0,"tied","standalone"),"")</f>
        <v>standalone</v>
      </c>
    </row>
    <row r="4987" spans="1:14">
      <c r="A4987" s="6">
        <v>2025</v>
      </c>
      <c r="B4987" s="6">
        <v>1</v>
      </c>
      <c r="C4987" s="6" t="s">
        <v>60</v>
      </c>
      <c r="D4987" s="6" t="s">
        <v>996</v>
      </c>
      <c r="E4987" s="6" t="s">
        <v>455</v>
      </c>
      <c r="F4987" s="6" t="str">
        <f>IF($M4987="PADD I","PADD 1",IF($M4987="PADD II","PADD 2",IF($M4987="PADD III","PADD 3",IF($M4987="PADD IV","PADD 4",IF($M4987="PADD V","PADD 5","")))))</f>
        <v>PADD 5</v>
      </c>
      <c r="G4987" s="6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6" t="s">
        <v>618</v>
      </c>
      <c r="I4987" s="6" t="s">
        <v>1024</v>
      </c>
      <c r="J4987" s="6" t="s">
        <v>398</v>
      </c>
      <c r="K4987" s="10">
        <v>12.07</v>
      </c>
      <c r="L4987" s="10">
        <v>17</v>
      </c>
      <c r="M4987" s="6" t="s">
        <v>436</v>
      </c>
      <c r="N4987" s="6">
        <f>IF(OR($G4987="FCC",$G4987="Hydrocracker",$G4987="Reformer"),IF(COUNTIFS($D:$D,$D4987,$A:$A,$A4987,$B:$B,$B4987,$G:$G,"CDU",$J:$J,"PLANNED")&gt;0,"tied","standalone"),"")</f>
        <v/>
      </c>
    </row>
    <row r="4988" spans="1:14">
      <c r="A4988" s="6">
        <v>2025</v>
      </c>
      <c r="B4988" s="6">
        <v>1</v>
      </c>
      <c r="C4988" s="6" t="s">
        <v>60</v>
      </c>
      <c r="D4988" s="6" t="s">
        <v>696</v>
      </c>
      <c r="E4988" s="6" t="s">
        <v>455</v>
      </c>
      <c r="F4988" s="6" t="str">
        <f>IF($M4988="PADD I","PADD 1",IF($M4988="PADD II","PADD 2",IF($M4988="PADD III","PADD 3",IF($M4988="PADD IV","PADD 4",IF($M4988="PADD V","PADD 5","")))))</f>
        <v>PADD 3</v>
      </c>
      <c r="G4988" s="6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6" t="s">
        <v>44</v>
      </c>
      <c r="I4988" s="6" t="s">
        <v>893</v>
      </c>
      <c r="J4988" s="6" t="s">
        <v>394</v>
      </c>
      <c r="K4988" s="10">
        <v>11.7</v>
      </c>
      <c r="L4988" s="10">
        <v>30</v>
      </c>
      <c r="M4988" s="6" t="s">
        <v>421</v>
      </c>
      <c r="N4988" s="6">
        <f>IF(OR($G4988="FCC",$G4988="Hydrocracker",$G4988="Reformer"),IF(COUNTIFS($D:$D,$D4988,$A:$A,$A4988,$B:$B,$B4988,$G:$G,"CDU",$J:$J,"PLANNED")&gt;0,"tied","standalone"),"")</f>
        <v/>
      </c>
    </row>
    <row r="4989" spans="1:14">
      <c r="A4989" s="6">
        <v>2025</v>
      </c>
      <c r="B4989" s="6">
        <v>1</v>
      </c>
      <c r="C4989" s="6" t="s">
        <v>60</v>
      </c>
      <c r="D4989" s="6" t="s">
        <v>901</v>
      </c>
      <c r="E4989" s="6" t="s">
        <v>902</v>
      </c>
      <c r="F4989" s="6" t="str">
        <f>IF($M4989="PADD I","PADD 1",IF($M4989="PADD II","PADD 2",IF($M4989="PADD III","PADD 3",IF($M4989="PADD IV","PADD 4",IF($M4989="PADD V","PADD 5","")))))</f>
        <v>PADD 3</v>
      </c>
      <c r="G4989" s="6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6" t="s">
        <v>428</v>
      </c>
      <c r="I4989" s="6" t="s">
        <v>910</v>
      </c>
      <c r="J4989" s="6" t="s">
        <v>394</v>
      </c>
      <c r="K4989" s="10">
        <v>11.52</v>
      </c>
      <c r="L4989" s="10">
        <v>36</v>
      </c>
      <c r="M4989" s="6" t="s">
        <v>421</v>
      </c>
      <c r="N4989" s="6">
        <f>IF(OR($G4989="FCC",$G4989="Hydrocracker",$G4989="Reformer"),IF(COUNTIFS($D:$D,$D4989,$A:$A,$A4989,$B:$B,$B4989,$G:$G,"CDU",$J:$J,"PLANNED")&gt;0,"tied","standalone"),"")</f>
        <v/>
      </c>
    </row>
    <row r="4990" spans="1:14">
      <c r="A4990" s="6">
        <v>2025</v>
      </c>
      <c r="B4990" s="6">
        <v>1</v>
      </c>
      <c r="C4990" s="6" t="s">
        <v>60</v>
      </c>
      <c r="D4990" s="6" t="s">
        <v>996</v>
      </c>
      <c r="E4990" s="6" t="s">
        <v>455</v>
      </c>
      <c r="F4990" s="6" t="str">
        <f>IF($M4990="PADD I","PADD 1",IF($M4990="PADD II","PADD 2",IF($M4990="PADD III","PADD 3",IF($M4990="PADD IV","PADD 4",IF($M4990="PADD V","PADD 5","")))))</f>
        <v>PADD 5</v>
      </c>
      <c r="G4990" s="6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6" t="s">
        <v>485</v>
      </c>
      <c r="I4990" s="6" t="s">
        <v>1022</v>
      </c>
      <c r="J4990" s="6" t="s">
        <v>394</v>
      </c>
      <c r="K4990" s="10">
        <v>11.1</v>
      </c>
      <c r="L4990" s="10">
        <v>15</v>
      </c>
      <c r="M4990" s="6" t="s">
        <v>436</v>
      </c>
      <c r="N4990" s="6">
        <f>IF(OR($G4990="FCC",$G4990="Hydrocracker",$G4990="Reformer"),IF(COUNTIFS($D:$D,$D4990,$A:$A,$A4990,$B:$B,$B4990,$G:$G,"CDU",$J:$J,"PLANNED")&gt;0,"tied","standalone"),"")</f>
        <v/>
      </c>
    </row>
    <row r="4991" spans="1:14">
      <c r="A4991" s="6">
        <v>2025</v>
      </c>
      <c r="B4991" s="6">
        <v>1</v>
      </c>
      <c r="C4991" s="6" t="s">
        <v>60</v>
      </c>
      <c r="D4991" s="6" t="s">
        <v>996</v>
      </c>
      <c r="E4991" s="6" t="s">
        <v>455</v>
      </c>
      <c r="F4991" s="6" t="str">
        <f>IF($M4991="PADD I","PADD 1",IF($M4991="PADD II","PADD 2",IF($M4991="PADD III","PADD 3",IF($M4991="PADD IV","PADD 4",IF($M4991="PADD V","PADD 5","")))))</f>
        <v>PADD 5</v>
      </c>
      <c r="G4991" s="6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6" t="s">
        <v>485</v>
      </c>
      <c r="I4991" s="6" t="s">
        <v>1025</v>
      </c>
      <c r="J4991" s="6" t="s">
        <v>394</v>
      </c>
      <c r="K4991" s="10">
        <v>11.1</v>
      </c>
      <c r="L4991" s="10">
        <v>15</v>
      </c>
      <c r="M4991" s="6" t="s">
        <v>436</v>
      </c>
      <c r="N4991" s="6">
        <f>IF(OR($G4991="FCC",$G4991="Hydrocracker",$G4991="Reformer"),IF(COUNTIFS($D:$D,$D4991,$A:$A,$A4991,$B:$B,$B4991,$G:$G,"CDU",$J:$J,"PLANNED")&gt;0,"tied","standalone"),"")</f>
        <v/>
      </c>
    </row>
    <row r="4992" spans="1:14">
      <c r="A4992" s="6">
        <v>2025</v>
      </c>
      <c r="B4992" s="6">
        <v>1</v>
      </c>
      <c r="C4992" s="6" t="s">
        <v>60</v>
      </c>
      <c r="D4992" s="6" t="s">
        <v>395</v>
      </c>
      <c r="E4992" s="6" t="s">
        <v>433</v>
      </c>
      <c r="F4992" s="6" t="str">
        <f>IF($M4992="PADD I","PADD 1",IF($M4992="PADD II","PADD 2",IF($M4992="PADD III","PADD 3",IF($M4992="PADD IV","PADD 4",IF($M4992="PADD V","PADD 5","")))))</f>
        <v>PADD 2</v>
      </c>
      <c r="G4992" s="6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6" t="s">
        <v>471</v>
      </c>
      <c r="I4992" s="6" t="s">
        <v>566</v>
      </c>
      <c r="J4992" s="6" t="s">
        <v>398</v>
      </c>
      <c r="K4992" s="10">
        <v>10.65</v>
      </c>
      <c r="L4992" s="10">
        <v>15</v>
      </c>
      <c r="M4992" s="6" t="s">
        <v>425</v>
      </c>
      <c r="N4992" s="6" t="str">
        <f>IF(OR($G4992="FCC",$G4992="Hydrocracker",$G4992="Reformer"),IF(COUNTIFS($D:$D,$D4992,$A:$A,$A4992,$B:$B,$B4992,$G:$G,"CDU",$J:$J,"PLANNED")&gt;0,"tied","standalone"),"")</f>
        <v>standalone</v>
      </c>
    </row>
    <row r="4993" spans="1:14">
      <c r="A4993" s="6">
        <v>2025</v>
      </c>
      <c r="B4993" s="6">
        <v>1</v>
      </c>
      <c r="C4993" s="6" t="s">
        <v>60</v>
      </c>
      <c r="D4993" s="6" t="s">
        <v>937</v>
      </c>
      <c r="E4993" s="6" t="s">
        <v>455</v>
      </c>
      <c r="F4993" s="6" t="str">
        <f>IF($M4993="PADD I","PADD 1",IF($M4993="PADD II","PADD 2",IF($M4993="PADD III","PADD 3",IF($M4993="PADD IV","PADD 4",IF($M4993="PADD V","PADD 5","")))))</f>
        <v>PADD 3</v>
      </c>
      <c r="G4993" s="6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6" t="s">
        <v>494</v>
      </c>
      <c r="I4993" s="6" t="s">
        <v>1072</v>
      </c>
      <c r="J4993" s="6" t="s">
        <v>398</v>
      </c>
      <c r="K4993" s="10">
        <v>10.5</v>
      </c>
      <c r="L4993" s="10">
        <v>30</v>
      </c>
      <c r="M4993" s="6" t="s">
        <v>421</v>
      </c>
      <c r="N4993" s="6" t="str">
        <f>IF(OR($G4993="FCC",$G4993="Hydrocracker",$G4993="Reformer"),IF(COUNTIFS($D:$D,$D4993,$A:$A,$A4993,$B:$B,$B4993,$G:$G,"CDU",$J:$J,"PLANNED")&gt;0,"tied","standalone"),"")</f>
        <v>standalone</v>
      </c>
    </row>
    <row r="4994" spans="1:14">
      <c r="A4994" s="6">
        <v>2025</v>
      </c>
      <c r="B4994" s="6">
        <v>1</v>
      </c>
      <c r="C4994" s="6" t="s">
        <v>60</v>
      </c>
      <c r="D4994" s="6" t="s">
        <v>41</v>
      </c>
      <c r="E4994" s="6" t="s">
        <v>786</v>
      </c>
      <c r="F4994" s="6" t="str">
        <f>IF($M4994="PADD I","PADD 1",IF($M4994="PADD II","PADD 2",IF($M4994="PADD III","PADD 3",IF($M4994="PADD IV","PADD 4",IF($M4994="PADD V","PADD 5","")))))</f>
        <v>PADD 1</v>
      </c>
      <c r="G4994" s="6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6" t="s">
        <v>494</v>
      </c>
      <c r="I4994" s="6" t="s">
        <v>495</v>
      </c>
      <c r="J4994" s="6" t="s">
        <v>394</v>
      </c>
      <c r="K4994" s="10">
        <v>10.35</v>
      </c>
      <c r="L4994" s="10">
        <v>23</v>
      </c>
      <c r="M4994" s="6" t="s">
        <v>463</v>
      </c>
      <c r="N4994" s="6" t="str">
        <f>IF(OR($G4994="FCC",$G4994="Hydrocracker",$G4994="Reformer"),IF(COUNTIFS($D:$D,$D4994,$A:$A,$A4994,$B:$B,$B4994,$G:$G,"CDU",$J:$J,"PLANNED")&gt;0,"tied","standalone"),"")</f>
        <v>standalone</v>
      </c>
    </row>
    <row r="4995" spans="1:14">
      <c r="A4995" s="6">
        <v>2025</v>
      </c>
      <c r="B4995" s="6">
        <v>1</v>
      </c>
      <c r="C4995" s="6" t="s">
        <v>60</v>
      </c>
      <c r="D4995" s="6" t="s">
        <v>430</v>
      </c>
      <c r="E4995" s="6" t="s">
        <v>431</v>
      </c>
      <c r="F4995" s="6" t="str">
        <f>IF($M4995="PADD I","PADD 1",IF($M4995="PADD II","PADD 2",IF($M4995="PADD III","PADD 3",IF($M4995="PADD IV","PADD 4",IF($M4995="PADD V","PADD 5","")))))</f>
        <v>PADD 3</v>
      </c>
      <c r="G4995" s="6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6" t="s">
        <v>39</v>
      </c>
      <c r="I4995" s="6" t="s">
        <v>896</v>
      </c>
      <c r="J4995" s="6" t="s">
        <v>394</v>
      </c>
      <c r="K4995" s="10">
        <v>9.699999999999999</v>
      </c>
      <c r="L4995" s="10">
        <v>97</v>
      </c>
      <c r="M4995" s="6" t="s">
        <v>421</v>
      </c>
      <c r="N4995" s="6">
        <f>IF(OR($G4995="FCC",$G4995="Hydrocracker",$G4995="Reformer"),IF(COUNTIFS($D:$D,$D4995,$A:$A,$A4995,$B:$B,$B4995,$G:$G,"CDU",$J:$J,"PLANNED")&gt;0,"tied","standalone"),"")</f>
        <v/>
      </c>
    </row>
    <row r="4996" spans="1:14">
      <c r="A4996" s="6">
        <v>2025</v>
      </c>
      <c r="B4996" s="6">
        <v>1</v>
      </c>
      <c r="C4996" s="6" t="s">
        <v>60</v>
      </c>
      <c r="D4996" s="6" t="s">
        <v>660</v>
      </c>
      <c r="E4996" s="6" t="s">
        <v>661</v>
      </c>
      <c r="F4996" s="6" t="str">
        <f>IF($M4996="PADD I","PADD 1",IF($M4996="PADD II","PADD 2",IF($M4996="PADD III","PADD 3",IF($M4996="PADD IV","PADD 4",IF($M4996="PADD V","PADD 5","")))))</f>
        <v>PADD 2</v>
      </c>
      <c r="G4996" s="6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6" t="s">
        <v>44</v>
      </c>
      <c r="I4996" s="6" t="s">
        <v>672</v>
      </c>
      <c r="J4996" s="6" t="s">
        <v>398</v>
      </c>
      <c r="K4996" s="10">
        <v>9.6</v>
      </c>
      <c r="L4996" s="10">
        <v>30</v>
      </c>
      <c r="M4996" s="6" t="s">
        <v>425</v>
      </c>
      <c r="N4996" s="6">
        <f>IF(OR($G4996="FCC",$G4996="Hydrocracker",$G4996="Reformer"),IF(COUNTIFS($D:$D,$D4996,$A:$A,$A4996,$B:$B,$B4996,$G:$G,"CDU",$J:$J,"PLANNED")&gt;0,"tied","standalone"),"")</f>
        <v/>
      </c>
    </row>
    <row r="4997" spans="1:14">
      <c r="A4997" s="6">
        <v>2025</v>
      </c>
      <c r="B4997" s="6">
        <v>1</v>
      </c>
      <c r="C4997" s="6" t="s">
        <v>60</v>
      </c>
      <c r="D4997" s="6" t="s">
        <v>373</v>
      </c>
      <c r="E4997" s="6" t="s">
        <v>438</v>
      </c>
      <c r="F4997" s="6" t="str">
        <f>IF($M4997="PADD I","PADD 1",IF($M4997="PADD II","PADD 2",IF($M4997="PADD III","PADD 3",IF($M4997="PADD IV","PADD 4",IF($M4997="PADD V","PADD 5","")))))</f>
        <v>PADD 3</v>
      </c>
      <c r="G4997" s="6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6" t="s">
        <v>44</v>
      </c>
      <c r="I4997" s="6" t="s">
        <v>694</v>
      </c>
      <c r="J4997" s="6" t="s">
        <v>398</v>
      </c>
      <c r="K4997" s="10">
        <v>9.6</v>
      </c>
      <c r="L4997" s="10">
        <v>60</v>
      </c>
      <c r="M4997" s="6" t="s">
        <v>421</v>
      </c>
      <c r="N4997" s="6">
        <f>IF(OR($G4997="FCC",$G4997="Hydrocracker",$G4997="Reformer"),IF(COUNTIFS($D:$D,$D4997,$A:$A,$A4997,$B:$B,$B4997,$G:$G,"CDU",$J:$J,"PLANNED")&gt;0,"tied","standalone"),"")</f>
        <v/>
      </c>
    </row>
    <row r="4998" spans="1:14">
      <c r="A4998" s="6">
        <v>2025</v>
      </c>
      <c r="B4998" s="6">
        <v>1</v>
      </c>
      <c r="C4998" s="6" t="s">
        <v>60</v>
      </c>
      <c r="D4998" s="6" t="s">
        <v>937</v>
      </c>
      <c r="E4998" s="6" t="s">
        <v>455</v>
      </c>
      <c r="F4998" s="6" t="str">
        <f>IF($M4998="PADD I","PADD 1",IF($M4998="PADD II","PADD 2",IF($M4998="PADD III","PADD 3",IF($M4998="PADD IV","PADD 4",IF($M4998="PADD V","PADD 5","")))))</f>
        <v>PADD 3</v>
      </c>
      <c r="G4998" s="6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6" t="s">
        <v>39</v>
      </c>
      <c r="I4998" s="6" t="s">
        <v>132</v>
      </c>
      <c r="J4998" s="6" t="s">
        <v>394</v>
      </c>
      <c r="K4998" s="10">
        <v>9.5</v>
      </c>
      <c r="L4998" s="10">
        <v>95</v>
      </c>
      <c r="M4998" s="6" t="s">
        <v>421</v>
      </c>
      <c r="N4998" s="6">
        <f>IF(OR($G4998="FCC",$G4998="Hydrocracker",$G4998="Reformer"),IF(COUNTIFS($D:$D,$D4998,$A:$A,$A4998,$B:$B,$B4998,$G:$G,"CDU",$J:$J,"PLANNED")&gt;0,"tied","standalone"),"")</f>
        <v/>
      </c>
    </row>
    <row r="4999" spans="1:14">
      <c r="A4999" s="6">
        <v>2025</v>
      </c>
      <c r="B4999" s="6">
        <v>1</v>
      </c>
      <c r="C4999" s="6" t="s">
        <v>60</v>
      </c>
      <c r="D4999" s="6" t="s">
        <v>1278</v>
      </c>
      <c r="E4999" s="6" t="s">
        <v>661</v>
      </c>
      <c r="F4999" s="6" t="str">
        <f>IF($M4999="PADD I","PADD 1",IF($M4999="PADD II","PADD 2",IF($M4999="PADD III","PADD 3",IF($M4999="PADD IV","PADD 4",IF($M4999="PADD V","PADD 5","")))))</f>
        <v>PADD 2</v>
      </c>
      <c r="G4999" s="6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6" t="s">
        <v>471</v>
      </c>
      <c r="I4999" s="6" t="s">
        <v>15</v>
      </c>
      <c r="J4999" s="6" t="s">
        <v>394</v>
      </c>
      <c r="K4999" s="10">
        <v>9.275</v>
      </c>
      <c r="L4999" s="10">
        <v>26.5</v>
      </c>
      <c r="M4999" s="6" t="s">
        <v>425</v>
      </c>
      <c r="N4999" s="6" t="str">
        <f>IF(OR($G4999="FCC",$G4999="Hydrocracker",$G4999="Reformer"),IF(COUNTIFS($D:$D,$D4999,$A:$A,$A4999,$B:$B,$B4999,$G:$G,"CDU",$J:$J,"PLANNED")&gt;0,"tied","standalone"),"")</f>
        <v>standalone</v>
      </c>
    </row>
    <row r="5000" spans="1:14">
      <c r="A5000" s="6">
        <v>2025</v>
      </c>
      <c r="B5000" s="6">
        <v>1</v>
      </c>
      <c r="C5000" s="6" t="s">
        <v>60</v>
      </c>
      <c r="D5000" s="6" t="s">
        <v>380</v>
      </c>
      <c r="E5000" s="6" t="s">
        <v>423</v>
      </c>
      <c r="F5000" s="6" t="str">
        <f>IF($M5000="PADD I","PADD 1",IF($M5000="PADD II","PADD 2",IF($M5000="PADD III","PADD 3",IF($M5000="PADD IV","PADD 4",IF($M5000="PADD V","PADD 5","")))))</f>
        <v>PADD 2</v>
      </c>
      <c r="G5000" s="6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6" t="s">
        <v>471</v>
      </c>
      <c r="I5000" s="6" t="s">
        <v>966</v>
      </c>
      <c r="J5000" s="6" t="s">
        <v>394</v>
      </c>
      <c r="K5000" s="10">
        <v>9.199999999999999</v>
      </c>
      <c r="L5000" s="10">
        <v>40</v>
      </c>
      <c r="M5000" s="6" t="s">
        <v>425</v>
      </c>
      <c r="N5000" s="6" t="str">
        <f>IF(OR($G5000="FCC",$G5000="Hydrocracker",$G5000="Reformer"),IF(COUNTIFS($D:$D,$D5000,$A:$A,$A5000,$B:$B,$B5000,$G:$G,"CDU",$J:$J,"PLANNED")&gt;0,"tied","standalone"),"")</f>
        <v>standalone</v>
      </c>
    </row>
    <row r="5001" spans="1:14">
      <c r="A5001" s="6">
        <v>2025</v>
      </c>
      <c r="B5001" s="6">
        <v>1</v>
      </c>
      <c r="C5001" s="6" t="s">
        <v>60</v>
      </c>
      <c r="D5001" s="6" t="s">
        <v>828</v>
      </c>
      <c r="E5001" s="6" t="s">
        <v>829</v>
      </c>
      <c r="F5001" s="6" t="str">
        <f>IF($M5001="PADD I","PADD 1",IF($M5001="PADD II","PADD 2",IF($M5001="PADD III","PADD 3",IF($M5001="PADD IV","PADD 4",IF($M5001="PADD V","PADD 5","")))))</f>
        <v>PADD 3</v>
      </c>
      <c r="G5001" s="6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6" t="s">
        <v>510</v>
      </c>
      <c r="I5001" s="6" t="s">
        <v>666</v>
      </c>
      <c r="J5001" s="6" t="s">
        <v>398</v>
      </c>
      <c r="K5001" s="10">
        <v>8.967000000000001</v>
      </c>
      <c r="L5001" s="10">
        <v>14.7</v>
      </c>
      <c r="M5001" s="6" t="s">
        <v>421</v>
      </c>
      <c r="N5001" s="6">
        <f>IF(OR($G5001="FCC",$G5001="Hydrocracker",$G5001="Reformer"),IF(COUNTIFS($D:$D,$D5001,$A:$A,$A5001,$B:$B,$B5001,$G:$G,"CDU",$J:$J,"PLANNED")&gt;0,"tied","standalone"),"")</f>
        <v/>
      </c>
    </row>
    <row r="5002" spans="1:14">
      <c r="A5002" s="6">
        <v>2025</v>
      </c>
      <c r="B5002" s="6">
        <v>1</v>
      </c>
      <c r="C5002" s="6" t="s">
        <v>60</v>
      </c>
      <c r="D5002" s="6" t="s">
        <v>487</v>
      </c>
      <c r="E5002" s="6" t="s">
        <v>488</v>
      </c>
      <c r="F5002" s="6" t="str">
        <f>IF($M5002="PADD I","PADD 1",IF($M5002="PADD II","PADD 2",IF($M5002="PADD III","PADD 3",IF($M5002="PADD IV","PADD 4",IF($M5002="PADD V","PADD 5","")))))</f>
        <v>PADD 4</v>
      </c>
      <c r="G5002" s="6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6" t="s">
        <v>44</v>
      </c>
      <c r="I5002" s="6" t="s">
        <v>543</v>
      </c>
      <c r="J5002" s="6" t="s">
        <v>394</v>
      </c>
      <c r="K5002" s="10">
        <v>8.82</v>
      </c>
      <c r="L5002" s="10">
        <v>21</v>
      </c>
      <c r="M5002" s="6" t="s">
        <v>480</v>
      </c>
      <c r="N5002" s="6">
        <f>IF(OR($G5002="FCC",$G5002="Hydrocracker",$G5002="Reformer"),IF(COUNTIFS($D:$D,$D5002,$A:$A,$A5002,$B:$B,$B5002,$G:$G,"CDU",$J:$J,"PLANNED")&gt;0,"tied","standalone"),"")</f>
        <v/>
      </c>
    </row>
    <row r="5003" spans="1:14">
      <c r="A5003" s="6">
        <v>2025</v>
      </c>
      <c r="B5003" s="6">
        <v>1</v>
      </c>
      <c r="C5003" s="6" t="s">
        <v>60</v>
      </c>
      <c r="D5003" s="6" t="s">
        <v>849</v>
      </c>
      <c r="E5003" s="6" t="s">
        <v>441</v>
      </c>
      <c r="F5003" s="6" t="str">
        <f>IF($M5003="PADD I","PADD 1",IF($M5003="PADD II","PADD 2",IF($M5003="PADD III","PADD 3",IF($M5003="PADD IV","PADD 4",IF($M5003="PADD V","PADD 5","")))))</f>
        <v>PADD 4</v>
      </c>
      <c r="G5003" s="6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6" t="s">
        <v>485</v>
      </c>
      <c r="I5003" s="6" t="s">
        <v>1238</v>
      </c>
      <c r="J5003" s="6" t="s">
        <v>394</v>
      </c>
      <c r="K5003" s="10">
        <v>8.199999999999999</v>
      </c>
      <c r="L5003" s="10">
        <v>8.199999999999999</v>
      </c>
      <c r="M5003" s="6" t="s">
        <v>480</v>
      </c>
      <c r="N5003" s="6">
        <f>IF(OR($G5003="FCC",$G5003="Hydrocracker",$G5003="Reformer"),IF(COUNTIFS($D:$D,$D5003,$A:$A,$A5003,$B:$B,$B5003,$G:$G,"CDU",$J:$J,"PLANNED")&gt;0,"tied","standalone"),"")</f>
        <v/>
      </c>
    </row>
    <row r="5004" spans="1:14">
      <c r="A5004" s="6">
        <v>2025</v>
      </c>
      <c r="B5004" s="6">
        <v>1</v>
      </c>
      <c r="C5004" s="6" t="s">
        <v>60</v>
      </c>
      <c r="D5004" s="6" t="s">
        <v>540</v>
      </c>
      <c r="E5004" s="6" t="s">
        <v>541</v>
      </c>
      <c r="F5004" s="6" t="str">
        <f>IF($M5004="PADD I","PADD 1",IF($M5004="PADD II","PADD 2",IF($M5004="PADD III","PADD 3",IF($M5004="PADD IV","PADD 4",IF($M5004="PADD V","PADD 5","")))))</f>
        <v>PADD 3</v>
      </c>
      <c r="G5004" s="6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6" t="s">
        <v>426</v>
      </c>
      <c r="I5004" s="6" t="s">
        <v>522</v>
      </c>
      <c r="J5004" s="6" t="s">
        <v>394</v>
      </c>
      <c r="K5004" s="10">
        <v>8.1</v>
      </c>
      <c r="L5004" s="10">
        <v>81</v>
      </c>
      <c r="M5004" s="6" t="s">
        <v>421</v>
      </c>
      <c r="N5004" s="6" t="str">
        <f>IF(OR($G5004="FCC",$G5004="Hydrocracker",$G5004="Reformer"),IF(COUNTIFS($D:$D,$D5004,$A:$A,$A5004,$B:$B,$B5004,$G:$G,"CDU",$J:$J,"PLANNED")&gt;0,"tied","standalone"),"")</f>
        <v>standalone</v>
      </c>
    </row>
    <row r="5005" spans="1:14">
      <c r="A5005" s="6">
        <v>2025</v>
      </c>
      <c r="B5005" s="6">
        <v>1</v>
      </c>
      <c r="C5005" s="6" t="s">
        <v>60</v>
      </c>
      <c r="D5005" s="6" t="s">
        <v>937</v>
      </c>
      <c r="E5005" s="6" t="s">
        <v>455</v>
      </c>
      <c r="F5005" s="6" t="str">
        <f>IF($M5005="PADD I","PADD 1",IF($M5005="PADD II","PADD 2",IF($M5005="PADD III","PADD 3",IF($M5005="PADD IV","PADD 4",IF($M5005="PADD V","PADD 5","")))))</f>
        <v>PADD 3</v>
      </c>
      <c r="G5005" s="6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6" t="s">
        <v>471</v>
      </c>
      <c r="I5005" s="6" t="s">
        <v>589</v>
      </c>
      <c r="J5005" s="6" t="s">
        <v>398</v>
      </c>
      <c r="K5005" s="10">
        <v>8.050000000000001</v>
      </c>
      <c r="L5005" s="10">
        <v>23</v>
      </c>
      <c r="M5005" s="6" t="s">
        <v>421</v>
      </c>
      <c r="N5005" s="6" t="str">
        <f>IF(OR($G5005="FCC",$G5005="Hydrocracker",$G5005="Reformer"),IF(COUNTIFS($D:$D,$D5005,$A:$A,$A5005,$B:$B,$B5005,$G:$G,"CDU",$J:$J,"PLANNED")&gt;0,"tied","standalone"),"")</f>
        <v>standalone</v>
      </c>
    </row>
    <row r="5006" spans="1:14">
      <c r="A5006" s="6">
        <v>2025</v>
      </c>
      <c r="B5006" s="6">
        <v>1</v>
      </c>
      <c r="C5006" s="6" t="s">
        <v>60</v>
      </c>
      <c r="D5006" s="6" t="s">
        <v>660</v>
      </c>
      <c r="E5006" s="6" t="s">
        <v>661</v>
      </c>
      <c r="F5006" s="6" t="str">
        <f>IF($M5006="PADD I","PADD 1",IF($M5006="PADD II","PADD 2",IF($M5006="PADD III","PADD 3",IF($M5006="PADD IV","PADD 4",IF($M5006="PADD V","PADD 5","")))))</f>
        <v>PADD 2</v>
      </c>
      <c r="G5006" s="6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6" t="s">
        <v>471</v>
      </c>
      <c r="I5006" s="6" t="s">
        <v>15</v>
      </c>
      <c r="J5006" s="6" t="s">
        <v>398</v>
      </c>
      <c r="K5006" s="10">
        <v>8</v>
      </c>
      <c r="L5006" s="10">
        <v>25</v>
      </c>
      <c r="M5006" s="6" t="s">
        <v>425</v>
      </c>
      <c r="N5006" s="6" t="str">
        <f>IF(OR($G5006="FCC",$G5006="Hydrocracker",$G5006="Reformer"),IF(COUNTIFS($D:$D,$D5006,$A:$A,$A5006,$B:$B,$B5006,$G:$G,"CDU",$J:$J,"PLANNED")&gt;0,"tied","standalone"),"")</f>
        <v>tied</v>
      </c>
    </row>
    <row r="5007" spans="1:14">
      <c r="A5007" s="6">
        <v>2025</v>
      </c>
      <c r="B5007" s="6">
        <v>1</v>
      </c>
      <c r="C5007" s="6" t="s">
        <v>60</v>
      </c>
      <c r="D5007" s="6" t="s">
        <v>660</v>
      </c>
      <c r="E5007" s="6" t="s">
        <v>661</v>
      </c>
      <c r="F5007" s="6" t="str">
        <f>IF($M5007="PADD I","PADD 1",IF($M5007="PADD II","PADD 2",IF($M5007="PADD III","PADD 3",IF($M5007="PADD IV","PADD 4",IF($M5007="PADD V","PADD 5","")))))</f>
        <v>PADD 2</v>
      </c>
      <c r="G5007" s="6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6" t="s">
        <v>44</v>
      </c>
      <c r="I5007" s="6" t="s">
        <v>674</v>
      </c>
      <c r="J5007" s="6" t="s">
        <v>398</v>
      </c>
      <c r="K5007" s="10">
        <v>8</v>
      </c>
      <c r="L5007" s="10">
        <v>25</v>
      </c>
      <c r="M5007" s="6" t="s">
        <v>425</v>
      </c>
      <c r="N5007" s="6">
        <f>IF(OR($G5007="FCC",$G5007="Hydrocracker",$G5007="Reformer"),IF(COUNTIFS($D:$D,$D5007,$A:$A,$A5007,$B:$B,$B5007,$G:$G,"CDU",$J:$J,"PLANNED")&gt;0,"tied","standalone"),"")</f>
        <v/>
      </c>
    </row>
    <row r="5008" spans="1:14">
      <c r="A5008" s="6">
        <v>2025</v>
      </c>
      <c r="B5008" s="6">
        <v>1</v>
      </c>
      <c r="C5008" s="6" t="s">
        <v>60</v>
      </c>
      <c r="D5008" s="6" t="s">
        <v>660</v>
      </c>
      <c r="E5008" s="6" t="s">
        <v>661</v>
      </c>
      <c r="F5008" s="6" t="str">
        <f>IF($M5008="PADD I","PADD 1",IF($M5008="PADD II","PADD 2",IF($M5008="PADD III","PADD 3",IF($M5008="PADD IV","PADD 4",IF($M5008="PADD V","PADD 5","")))))</f>
        <v>PADD 2</v>
      </c>
      <c r="G5008" s="6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6" t="s">
        <v>44</v>
      </c>
      <c r="I5008" s="6" t="s">
        <v>508</v>
      </c>
      <c r="J5008" s="6" t="s">
        <v>398</v>
      </c>
      <c r="K5008" s="10">
        <v>8</v>
      </c>
      <c r="L5008" s="10">
        <v>25</v>
      </c>
      <c r="M5008" s="6" t="s">
        <v>425</v>
      </c>
      <c r="N5008" s="6">
        <f>IF(OR($G5008="FCC",$G5008="Hydrocracker",$G5008="Reformer"),IF(COUNTIFS($D:$D,$D5008,$A:$A,$A5008,$B:$B,$B5008,$G:$G,"CDU",$J:$J,"PLANNED")&gt;0,"tied","standalone"),"")</f>
        <v/>
      </c>
    </row>
    <row r="5009" spans="1:14">
      <c r="A5009" s="6">
        <v>2025</v>
      </c>
      <c r="B5009" s="6">
        <v>1</v>
      </c>
      <c r="C5009" s="6" t="s">
        <v>60</v>
      </c>
      <c r="D5009" s="6" t="s">
        <v>937</v>
      </c>
      <c r="E5009" s="6" t="s">
        <v>455</v>
      </c>
      <c r="F5009" s="6" t="str">
        <f>IF($M5009="PADD I","PADD 1",IF($M5009="PADD II","PADD 2",IF($M5009="PADD III","PADD 3",IF($M5009="PADD IV","PADD 4",IF($M5009="PADD V","PADD 5","")))))</f>
        <v>PADD 3</v>
      </c>
      <c r="G5009" s="6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6" t="s">
        <v>44</v>
      </c>
      <c r="I5009" s="6" t="s">
        <v>543</v>
      </c>
      <c r="J5009" s="6" t="s">
        <v>398</v>
      </c>
      <c r="K5009" s="10">
        <v>7.7</v>
      </c>
      <c r="L5009" s="10">
        <v>22</v>
      </c>
      <c r="M5009" s="6" t="s">
        <v>421</v>
      </c>
      <c r="N5009" s="6">
        <f>IF(OR($G5009="FCC",$G5009="Hydrocracker",$G5009="Reformer"),IF(COUNTIFS($D:$D,$D5009,$A:$A,$A5009,$B:$B,$B5009,$G:$G,"CDU",$J:$J,"PLANNED")&gt;0,"tied","standalone"),"")</f>
        <v/>
      </c>
    </row>
    <row r="5010" spans="1:14">
      <c r="A5010" s="6">
        <v>2025</v>
      </c>
      <c r="B5010" s="6">
        <v>1</v>
      </c>
      <c r="C5010" s="6" t="s">
        <v>60</v>
      </c>
      <c r="D5010" s="6" t="s">
        <v>937</v>
      </c>
      <c r="E5010" s="6" t="s">
        <v>455</v>
      </c>
      <c r="F5010" s="6" t="str">
        <f>IF($M5010="PADD I","PADD 1",IF($M5010="PADD II","PADD 2",IF($M5010="PADD III","PADD 3",IF($M5010="PADD IV","PADD 4",IF($M5010="PADD V","PADD 5","")))))</f>
        <v>PADD 3</v>
      </c>
      <c r="G5010" s="6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6" t="s">
        <v>426</v>
      </c>
      <c r="I5010" s="6" t="s">
        <v>856</v>
      </c>
      <c r="J5010" s="6" t="s">
        <v>398</v>
      </c>
      <c r="K5010" s="10">
        <v>7.68</v>
      </c>
      <c r="L5010" s="10">
        <v>24</v>
      </c>
      <c r="M5010" s="6" t="s">
        <v>421</v>
      </c>
      <c r="N5010" s="6" t="str">
        <f>IF(OR($G5010="FCC",$G5010="Hydrocracker",$G5010="Reformer"),IF(COUNTIFS($D:$D,$D5010,$A:$A,$A5010,$B:$B,$B5010,$G:$G,"CDU",$J:$J,"PLANNED")&gt;0,"tied","standalone"),"")</f>
        <v>standalone</v>
      </c>
    </row>
    <row r="5011" spans="1:14">
      <c r="A5011" s="6">
        <v>2025</v>
      </c>
      <c r="B5011" s="6">
        <v>1</v>
      </c>
      <c r="C5011" s="6" t="s">
        <v>60</v>
      </c>
      <c r="D5011" s="6" t="s">
        <v>660</v>
      </c>
      <c r="E5011" s="6" t="s">
        <v>661</v>
      </c>
      <c r="F5011" s="6" t="str">
        <f>IF($M5011="PADD I","PADD 1",IF($M5011="PADD II","PADD 2",IF($M5011="PADD III","PADD 3",IF($M5011="PADD IV","PADD 4",IF($M5011="PADD V","PADD 5","")))))</f>
        <v>PADD 2</v>
      </c>
      <c r="G5011" s="6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6" t="s">
        <v>44</v>
      </c>
      <c r="I5011" s="6" t="s">
        <v>676</v>
      </c>
      <c r="J5011" s="6" t="s">
        <v>398</v>
      </c>
      <c r="K5011" s="10">
        <v>7.36</v>
      </c>
      <c r="L5011" s="10">
        <v>23</v>
      </c>
      <c r="M5011" s="6" t="s">
        <v>425</v>
      </c>
      <c r="N5011" s="6">
        <f>IF(OR($G5011="FCC",$G5011="Hydrocracker",$G5011="Reformer"),IF(COUNTIFS($D:$D,$D5011,$A:$A,$A5011,$B:$B,$B5011,$G:$G,"CDU",$J:$J,"PLANNED")&gt;0,"tied","standalone"),"")</f>
        <v/>
      </c>
    </row>
    <row r="5012" spans="1:14">
      <c r="A5012" s="6">
        <v>2025</v>
      </c>
      <c r="B5012" s="6">
        <v>1</v>
      </c>
      <c r="C5012" s="6" t="s">
        <v>60</v>
      </c>
      <c r="D5012" s="6" t="s">
        <v>507</v>
      </c>
      <c r="E5012" s="6" t="s">
        <v>438</v>
      </c>
      <c r="F5012" s="6" t="str">
        <f>IF($M5012="PADD I","PADD 1",IF($M5012="PADD II","PADD 2",IF($M5012="PADD III","PADD 3",IF($M5012="PADD IV","PADD 4",IF($M5012="PADD V","PADD 5","")))))</f>
        <v>PADD 5</v>
      </c>
      <c r="G5012" s="6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6" t="s">
        <v>494</v>
      </c>
      <c r="I5012" s="6" t="s">
        <v>14</v>
      </c>
      <c r="J5012" s="6" t="s">
        <v>394</v>
      </c>
      <c r="K5012" s="10">
        <v>7.15</v>
      </c>
      <c r="L5012" s="10">
        <v>55</v>
      </c>
      <c r="M5012" s="6" t="s">
        <v>436</v>
      </c>
      <c r="N5012" s="6" t="str">
        <f>IF(OR($G5012="FCC",$G5012="Hydrocracker",$G5012="Reformer"),IF(COUNTIFS($D:$D,$D5012,$A:$A,$A5012,$B:$B,$B5012,$G:$G,"CDU",$J:$J,"PLANNED")&gt;0,"tied","standalone"),"")</f>
        <v>standalone</v>
      </c>
    </row>
    <row r="5013" spans="1:14">
      <c r="A5013" s="6">
        <v>2025</v>
      </c>
      <c r="B5013" s="6">
        <v>1</v>
      </c>
      <c r="C5013" s="6" t="s">
        <v>60</v>
      </c>
      <c r="D5013" s="6" t="s">
        <v>660</v>
      </c>
      <c r="E5013" s="6" t="s">
        <v>661</v>
      </c>
      <c r="F5013" s="6" t="str">
        <f>IF($M5013="PADD I","PADD 1",IF($M5013="PADD II","PADD 2",IF($M5013="PADD III","PADD 3",IF($M5013="PADD IV","PADD 4",IF($M5013="PADD V","PADD 5","")))))</f>
        <v>PADD 2</v>
      </c>
      <c r="G5013" s="6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6" t="s">
        <v>618</v>
      </c>
      <c r="I5013" s="6" t="s">
        <v>654</v>
      </c>
      <c r="J5013" s="6" t="s">
        <v>398</v>
      </c>
      <c r="K5013" s="10">
        <v>7.104</v>
      </c>
      <c r="L5013" s="10">
        <v>22.2</v>
      </c>
      <c r="M5013" s="6" t="s">
        <v>425</v>
      </c>
      <c r="N5013" s="6">
        <f>IF(OR($G5013="FCC",$G5013="Hydrocracker",$G5013="Reformer"),IF(COUNTIFS($D:$D,$D5013,$A:$A,$A5013,$B:$B,$B5013,$G:$G,"CDU",$J:$J,"PLANNED")&gt;0,"tied","standalone"),"")</f>
        <v/>
      </c>
    </row>
    <row r="5014" spans="1:14">
      <c r="A5014" s="6">
        <v>2025</v>
      </c>
      <c r="B5014" s="6">
        <v>1</v>
      </c>
      <c r="C5014" s="6" t="s">
        <v>60</v>
      </c>
      <c r="D5014" s="6" t="s">
        <v>937</v>
      </c>
      <c r="E5014" s="6" t="s">
        <v>455</v>
      </c>
      <c r="F5014" s="6" t="str">
        <f>IF($M5014="PADD I","PADD 1",IF($M5014="PADD II","PADD 2",IF($M5014="PADD III","PADD 3",IF($M5014="PADD IV","PADD 4",IF($M5014="PADD V","PADD 5","")))))</f>
        <v>PADD 3</v>
      </c>
      <c r="G5014" s="6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6" t="s">
        <v>44</v>
      </c>
      <c r="I5014" s="6" t="s">
        <v>968</v>
      </c>
      <c r="J5014" s="6" t="s">
        <v>398</v>
      </c>
      <c r="K5014" s="10">
        <v>7</v>
      </c>
      <c r="L5014" s="10">
        <v>20</v>
      </c>
      <c r="M5014" s="6" t="s">
        <v>421</v>
      </c>
      <c r="N5014" s="6">
        <f>IF(OR($G5014="FCC",$G5014="Hydrocracker",$G5014="Reformer"),IF(COUNTIFS($D:$D,$D5014,$A:$A,$A5014,$B:$B,$B5014,$G:$G,"CDU",$J:$J,"PLANNED")&gt;0,"tied","standalone"),"")</f>
        <v/>
      </c>
    </row>
    <row r="5015" spans="1:14">
      <c r="A5015" s="6">
        <v>2025</v>
      </c>
      <c r="B5015" s="6">
        <v>1</v>
      </c>
      <c r="C5015" s="6" t="s">
        <v>60</v>
      </c>
      <c r="D5015" s="6" t="s">
        <v>901</v>
      </c>
      <c r="E5015" s="6" t="s">
        <v>902</v>
      </c>
      <c r="F5015" s="6" t="str">
        <f>IF($M5015="PADD I","PADD 1",IF($M5015="PADD II","PADD 2",IF($M5015="PADD III","PADD 3",IF($M5015="PADD IV","PADD 4",IF($M5015="PADD V","PADD 5","")))))</f>
        <v>PADD 3</v>
      </c>
      <c r="G5015" s="6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6" t="s">
        <v>428</v>
      </c>
      <c r="I5015" s="6" t="s">
        <v>910</v>
      </c>
      <c r="J5015" s="6" t="s">
        <v>398</v>
      </c>
      <c r="K5015" s="10">
        <v>6.84</v>
      </c>
      <c r="L5015" s="10">
        <v>36</v>
      </c>
      <c r="M5015" s="6" t="s">
        <v>421</v>
      </c>
      <c r="N5015" s="6">
        <f>IF(OR($G5015="FCC",$G5015="Hydrocracker",$G5015="Reformer"),IF(COUNTIFS($D:$D,$D5015,$A:$A,$A5015,$B:$B,$B5015,$G:$G,"CDU",$J:$J,"PLANNED")&gt;0,"tied","standalone"),"")</f>
        <v/>
      </c>
    </row>
    <row r="5016" spans="1:14">
      <c r="A5016" s="6">
        <v>2025</v>
      </c>
      <c r="B5016" s="6">
        <v>1</v>
      </c>
      <c r="C5016" s="6" t="s">
        <v>60</v>
      </c>
      <c r="D5016" s="6" t="s">
        <v>764</v>
      </c>
      <c r="E5016" s="6" t="s">
        <v>455</v>
      </c>
      <c r="F5016" s="6" t="str">
        <f>IF($M5016="PADD I","PADD 1",IF($M5016="PADD II","PADD 2",IF($M5016="PADD III","PADD 3",IF($M5016="PADD IV","PADD 4",IF($M5016="PADD V","PADD 5","")))))</f>
        <v>PADD 3</v>
      </c>
      <c r="G5016" s="6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6" t="s">
        <v>494</v>
      </c>
      <c r="I5016" s="6" t="s">
        <v>14</v>
      </c>
      <c r="J5016" s="6" t="s">
        <v>394</v>
      </c>
      <c r="K5016" s="10">
        <v>6.785</v>
      </c>
      <c r="L5016" s="10">
        <v>29.5</v>
      </c>
      <c r="M5016" s="6" t="s">
        <v>421</v>
      </c>
      <c r="N5016" s="6" t="str">
        <f>IF(OR($G5016="FCC",$G5016="Hydrocracker",$G5016="Reformer"),IF(COUNTIFS($D:$D,$D5016,$A:$A,$A5016,$B:$B,$B5016,$G:$G,"CDU",$J:$J,"PLANNED")&gt;0,"tied","standalone"),"")</f>
        <v>standalone</v>
      </c>
    </row>
    <row r="5017" spans="1:14">
      <c r="A5017" s="6">
        <v>2025</v>
      </c>
      <c r="B5017" s="6">
        <v>1</v>
      </c>
      <c r="C5017" s="6" t="s">
        <v>60</v>
      </c>
      <c r="D5017" s="6" t="s">
        <v>484</v>
      </c>
      <c r="E5017" s="6" t="s">
        <v>438</v>
      </c>
      <c r="F5017" s="6" t="str">
        <f>IF($M5017="PADD I","PADD 1",IF($M5017="PADD II","PADD 2",IF($M5017="PADD III","PADD 3",IF($M5017="PADD IV","PADD 4",IF($M5017="PADD V","PADD 5","")))))</f>
        <v>PADD 5</v>
      </c>
      <c r="G5017" s="6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6" t="s">
        <v>485</v>
      </c>
      <c r="I5017" s="6" t="s">
        <v>486</v>
      </c>
      <c r="J5017" s="6" t="s">
        <v>394</v>
      </c>
      <c r="K5017" s="10">
        <v>6.72</v>
      </c>
      <c r="L5017" s="10">
        <v>42</v>
      </c>
      <c r="M5017" s="6" t="s">
        <v>436</v>
      </c>
      <c r="N5017" s="6">
        <f>IF(OR($G5017="FCC",$G5017="Hydrocracker",$G5017="Reformer"),IF(COUNTIFS($D:$D,$D5017,$A:$A,$A5017,$B:$B,$B5017,$G:$G,"CDU",$J:$J,"PLANNED")&gt;0,"tied","standalone"),"")</f>
        <v/>
      </c>
    </row>
    <row r="5018" spans="1:14">
      <c r="A5018" s="6">
        <v>2025</v>
      </c>
      <c r="B5018" s="6">
        <v>1</v>
      </c>
      <c r="C5018" s="6" t="s">
        <v>60</v>
      </c>
      <c r="D5018" s="6" t="s">
        <v>515</v>
      </c>
      <c r="E5018" s="6" t="s">
        <v>419</v>
      </c>
      <c r="F5018" s="6" t="str">
        <f>IF($M5018="PADD I","PADD 1",IF($M5018="PADD II","PADD 2",IF($M5018="PADD III","PADD 3",IF($M5018="PADD IV","PADD 4",IF($M5018="PADD V","PADD 5","")))))</f>
        <v>PADD 5</v>
      </c>
      <c r="G5018" s="6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6" t="s">
        <v>44</v>
      </c>
      <c r="I5018" s="6" t="s">
        <v>516</v>
      </c>
      <c r="J5018" s="6" t="s">
        <v>398</v>
      </c>
      <c r="K5018" s="10">
        <v>6.5</v>
      </c>
      <c r="L5018" s="10">
        <v>50</v>
      </c>
      <c r="M5018" s="6" t="s">
        <v>436</v>
      </c>
      <c r="N5018" s="6">
        <f>IF(OR($G5018="FCC",$G5018="Hydrocracker",$G5018="Reformer"),IF(COUNTIFS($D:$D,$D5018,$A:$A,$A5018,$B:$B,$B5018,$G:$G,"CDU",$J:$J,"PLANNED")&gt;0,"tied","standalone"),"")</f>
        <v/>
      </c>
    </row>
    <row r="5019" spans="1:14">
      <c r="A5019" s="6">
        <v>2025</v>
      </c>
      <c r="B5019" s="6">
        <v>1</v>
      </c>
      <c r="C5019" s="6" t="s">
        <v>60</v>
      </c>
      <c r="D5019" s="6" t="s">
        <v>373</v>
      </c>
      <c r="E5019" s="6" t="s">
        <v>438</v>
      </c>
      <c r="F5019" s="6" t="str">
        <f>IF($M5019="PADD I","PADD 1",IF($M5019="PADD II","PADD 2",IF($M5019="PADD III","PADD 3",IF($M5019="PADD IV","PADD 4",IF($M5019="PADD V","PADD 5","")))))</f>
        <v>PADD 3</v>
      </c>
      <c r="G5019" s="6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6" t="s">
        <v>428</v>
      </c>
      <c r="I5019" s="6" t="s">
        <v>1142</v>
      </c>
      <c r="J5019" s="6" t="s">
        <v>398</v>
      </c>
      <c r="K5019" s="10">
        <v>6.435</v>
      </c>
      <c r="L5019" s="10">
        <v>16.5</v>
      </c>
      <c r="M5019" s="6" t="s">
        <v>421</v>
      </c>
      <c r="N5019" s="6">
        <f>IF(OR($G5019="FCC",$G5019="Hydrocracker",$G5019="Reformer"),IF(COUNTIFS($D:$D,$D5019,$A:$A,$A5019,$B:$B,$B5019,$G:$G,"CDU",$J:$J,"PLANNED")&gt;0,"tied","standalone"),"")</f>
        <v/>
      </c>
    </row>
    <row r="5020" spans="1:14">
      <c r="A5020" s="6">
        <v>2025</v>
      </c>
      <c r="B5020" s="6">
        <v>1</v>
      </c>
      <c r="C5020" s="6" t="s">
        <v>60</v>
      </c>
      <c r="D5020" s="6" t="s">
        <v>660</v>
      </c>
      <c r="E5020" s="6" t="s">
        <v>661</v>
      </c>
      <c r="F5020" s="6" t="str">
        <f>IF($M5020="PADD I","PADD 1",IF($M5020="PADD II","PADD 2",IF($M5020="PADD III","PADD 3",IF($M5020="PADD IV","PADD 4",IF($M5020="PADD V","PADD 5","")))))</f>
        <v>PADD 2</v>
      </c>
      <c r="G5020" s="6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6" t="s">
        <v>44</v>
      </c>
      <c r="I5020" s="6" t="s">
        <v>679</v>
      </c>
      <c r="J5020" s="6" t="s">
        <v>398</v>
      </c>
      <c r="K5020" s="10">
        <v>6.4</v>
      </c>
      <c r="L5020" s="10">
        <v>20</v>
      </c>
      <c r="M5020" s="6" t="s">
        <v>425</v>
      </c>
      <c r="N5020" s="6">
        <f>IF(OR($G5020="FCC",$G5020="Hydrocracker",$G5020="Reformer"),IF(COUNTIFS($D:$D,$D5020,$A:$A,$A5020,$B:$B,$B5020,$G:$G,"CDU",$J:$J,"PLANNED")&gt;0,"tied","standalone"),"")</f>
        <v/>
      </c>
    </row>
    <row r="5021" spans="1:14">
      <c r="A5021" s="6">
        <v>2025</v>
      </c>
      <c r="B5021" s="6">
        <v>1</v>
      </c>
      <c r="C5021" s="6" t="s">
        <v>60</v>
      </c>
      <c r="D5021" s="6" t="s">
        <v>660</v>
      </c>
      <c r="E5021" s="6" t="s">
        <v>661</v>
      </c>
      <c r="F5021" s="6" t="str">
        <f>IF($M5021="PADD I","PADD 1",IF($M5021="PADD II","PADD 2",IF($M5021="PADD III","PADD 3",IF($M5021="PADD IV","PADD 4",IF($M5021="PADD V","PADD 5","")))))</f>
        <v>PADD 2</v>
      </c>
      <c r="G5021" s="6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6" t="s">
        <v>428</v>
      </c>
      <c r="I5021" s="6" t="s">
        <v>677</v>
      </c>
      <c r="J5021" s="6" t="s">
        <v>398</v>
      </c>
      <c r="K5021" s="10">
        <v>6.38</v>
      </c>
      <c r="L5021" s="10">
        <v>22</v>
      </c>
      <c r="M5021" s="6" t="s">
        <v>425</v>
      </c>
      <c r="N5021" s="6">
        <f>IF(OR($G5021="FCC",$G5021="Hydrocracker",$G5021="Reformer"),IF(COUNTIFS($D:$D,$D5021,$A:$A,$A5021,$B:$B,$B5021,$G:$G,"CDU",$J:$J,"PLANNED")&gt;0,"tied","standalone"),"")</f>
        <v/>
      </c>
    </row>
    <row r="5022" spans="1:14">
      <c r="A5022" s="6">
        <v>2025</v>
      </c>
      <c r="B5022" s="6">
        <v>1</v>
      </c>
      <c r="C5022" s="6" t="s">
        <v>60</v>
      </c>
      <c r="D5022" s="6" t="s">
        <v>660</v>
      </c>
      <c r="E5022" s="6" t="s">
        <v>661</v>
      </c>
      <c r="F5022" s="6" t="str">
        <f>IF($M5022="PADD I","PADD 1",IF($M5022="PADD II","PADD 2",IF($M5022="PADD III","PADD 3",IF($M5022="PADD IV","PADD 4",IF($M5022="PADD V","PADD 5","")))))</f>
        <v>PADD 2</v>
      </c>
      <c r="G5022" s="6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6" t="s">
        <v>426</v>
      </c>
      <c r="I5022" s="6" t="s">
        <v>106</v>
      </c>
      <c r="J5022" s="6" t="s">
        <v>398</v>
      </c>
      <c r="K5022" s="10">
        <v>6.08</v>
      </c>
      <c r="L5022" s="10">
        <v>32</v>
      </c>
      <c r="M5022" s="6" t="s">
        <v>425</v>
      </c>
      <c r="N5022" s="6" t="str">
        <f>IF(OR($G5022="FCC",$G5022="Hydrocracker",$G5022="Reformer"),IF(COUNTIFS($D:$D,$D5022,$A:$A,$A5022,$B:$B,$B5022,$G:$G,"CDU",$J:$J,"PLANNED")&gt;0,"tied","standalone"),"")</f>
        <v>tied</v>
      </c>
    </row>
    <row r="5023" spans="1:14">
      <c r="A5023" s="6">
        <v>2025</v>
      </c>
      <c r="B5023" s="6">
        <v>1</v>
      </c>
      <c r="C5023" s="6" t="s">
        <v>60</v>
      </c>
      <c r="D5023" s="6" t="s">
        <v>660</v>
      </c>
      <c r="E5023" s="6" t="s">
        <v>661</v>
      </c>
      <c r="F5023" s="6" t="str">
        <f>IF($M5023="PADD I","PADD 1",IF($M5023="PADD II","PADD 2",IF($M5023="PADD III","PADD 3",IF($M5023="PADD IV","PADD 4",IF($M5023="PADD V","PADD 5","")))))</f>
        <v>PADD 2</v>
      </c>
      <c r="G5023" s="6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6" t="s">
        <v>428</v>
      </c>
      <c r="I5023" s="6" t="s">
        <v>544</v>
      </c>
      <c r="J5023" s="6" t="s">
        <v>398</v>
      </c>
      <c r="K5023" s="10">
        <v>5.8</v>
      </c>
      <c r="L5023" s="10">
        <v>20</v>
      </c>
      <c r="M5023" s="6" t="s">
        <v>425</v>
      </c>
      <c r="N5023" s="6">
        <f>IF(OR($G5023="FCC",$G5023="Hydrocracker",$G5023="Reformer"),IF(COUNTIFS($D:$D,$D5023,$A:$A,$A5023,$B:$B,$B5023,$G:$G,"CDU",$J:$J,"PLANNED")&gt;0,"tied","standalone"),"")</f>
        <v/>
      </c>
    </row>
    <row r="5024" spans="1:14">
      <c r="A5024" s="6">
        <v>2025</v>
      </c>
      <c r="B5024" s="6">
        <v>1</v>
      </c>
      <c r="C5024" s="6" t="s">
        <v>60</v>
      </c>
      <c r="D5024" s="6" t="s">
        <v>484</v>
      </c>
      <c r="E5024" s="6" t="s">
        <v>438</v>
      </c>
      <c r="F5024" s="6" t="str">
        <f>IF($M5024="PADD I","PADD 1",IF($M5024="PADD II","PADD 2",IF($M5024="PADD III","PADD 3",IF($M5024="PADD IV","PADD 4",IF($M5024="PADD V","PADD 5","")))))</f>
        <v>PADD 5</v>
      </c>
      <c r="G5024" s="6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6" t="s">
        <v>44</v>
      </c>
      <c r="I5024" s="6" t="s">
        <v>955</v>
      </c>
      <c r="J5024" s="6" t="s">
        <v>394</v>
      </c>
      <c r="K5024" s="10">
        <v>5.75</v>
      </c>
      <c r="L5024" s="10">
        <v>25</v>
      </c>
      <c r="M5024" s="6" t="s">
        <v>436</v>
      </c>
      <c r="N5024" s="6">
        <f>IF(OR($G5024="FCC",$G5024="Hydrocracker",$G5024="Reformer"),IF(COUNTIFS($D:$D,$D5024,$A:$A,$A5024,$B:$B,$B5024,$G:$G,"CDU",$J:$J,"PLANNED")&gt;0,"tied","standalone"),"")</f>
        <v/>
      </c>
    </row>
    <row r="5025" spans="1:14">
      <c r="A5025" s="6">
        <v>2025</v>
      </c>
      <c r="B5025" s="6">
        <v>1</v>
      </c>
      <c r="C5025" s="6" t="s">
        <v>60</v>
      </c>
      <c r="D5025" s="6" t="s">
        <v>660</v>
      </c>
      <c r="E5025" s="6" t="s">
        <v>661</v>
      </c>
      <c r="F5025" s="6" t="str">
        <f>IF($M5025="PADD I","PADD 1",IF($M5025="PADD II","PADD 2",IF($M5025="PADD III","PADD 3",IF($M5025="PADD IV","PADD 4",IF($M5025="PADD V","PADD 5","")))))</f>
        <v>PADD 2</v>
      </c>
      <c r="G5025" s="6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6" t="s">
        <v>485</v>
      </c>
      <c r="I5025" s="6" t="s">
        <v>491</v>
      </c>
      <c r="J5025" s="6" t="s">
        <v>398</v>
      </c>
      <c r="K5025" s="10">
        <v>5.655</v>
      </c>
      <c r="L5025" s="10">
        <v>19.5</v>
      </c>
      <c r="M5025" s="6" t="s">
        <v>425</v>
      </c>
      <c r="N5025" s="6">
        <f>IF(OR($G5025="FCC",$G5025="Hydrocracker",$G5025="Reformer"),IF(COUNTIFS($D:$D,$D5025,$A:$A,$A5025,$B:$B,$B5025,$G:$G,"CDU",$J:$J,"PLANNED")&gt;0,"tied","standalone"),"")</f>
        <v/>
      </c>
    </row>
    <row r="5026" spans="1:14">
      <c r="A5026" s="6">
        <v>2025</v>
      </c>
      <c r="B5026" s="6">
        <v>1</v>
      </c>
      <c r="C5026" s="6" t="s">
        <v>60</v>
      </c>
      <c r="D5026" s="6" t="s">
        <v>395</v>
      </c>
      <c r="E5026" s="6" t="s">
        <v>433</v>
      </c>
      <c r="F5026" s="6" t="str">
        <f>IF($M5026="PADD I","PADD 1",IF($M5026="PADD II","PADD 2",IF($M5026="PADD III","PADD 3",IF($M5026="PADD IV","PADD 4",IF($M5026="PADD V","PADD 5","")))))</f>
        <v>PADD 2</v>
      </c>
      <c r="G5026" s="6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6" t="s">
        <v>39</v>
      </c>
      <c r="I5026" s="6" t="s">
        <v>434</v>
      </c>
      <c r="J5026" s="6" t="s">
        <v>394</v>
      </c>
      <c r="K5026" s="10">
        <v>5.64</v>
      </c>
      <c r="L5026" s="10">
        <v>94</v>
      </c>
      <c r="M5026" s="6" t="s">
        <v>425</v>
      </c>
      <c r="N5026" s="6">
        <f>IF(OR($G5026="FCC",$G5026="Hydrocracker",$G5026="Reformer"),IF(COUNTIFS($D:$D,$D5026,$A:$A,$A5026,$B:$B,$B5026,$G:$G,"CDU",$J:$J,"PLANNED")&gt;0,"tied","standalone"),"")</f>
        <v/>
      </c>
    </row>
    <row r="5027" spans="1:14">
      <c r="A5027" s="6">
        <v>2025</v>
      </c>
      <c r="B5027" s="6">
        <v>1</v>
      </c>
      <c r="C5027" s="6" t="s">
        <v>60</v>
      </c>
      <c r="D5027" s="6" t="s">
        <v>368</v>
      </c>
      <c r="E5027" s="6" t="s">
        <v>715</v>
      </c>
      <c r="F5027" s="6" t="str">
        <f>IF($M5027="PADD I","PADD 1",IF($M5027="PADD II","PADD 2",IF($M5027="PADD III","PADD 3",IF($M5027="PADD IV","PADD 4",IF($M5027="PADD V","PADD 5","")))))</f>
        <v>PADD 3</v>
      </c>
      <c r="G5027" s="6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6" t="s">
        <v>485</v>
      </c>
      <c r="I5027" s="6" t="s">
        <v>491</v>
      </c>
      <c r="J5027" s="6" t="s">
        <v>394</v>
      </c>
      <c r="K5027" s="10">
        <v>5.5588</v>
      </c>
      <c r="L5027" s="10">
        <v>21.38</v>
      </c>
      <c r="M5027" s="6" t="s">
        <v>421</v>
      </c>
      <c r="N5027" s="6">
        <f>IF(OR($G5027="FCC",$G5027="Hydrocracker",$G5027="Reformer"),IF(COUNTIFS($D:$D,$D5027,$A:$A,$A5027,$B:$B,$B5027,$G:$G,"CDU",$J:$J,"PLANNED")&gt;0,"tied","standalone"),"")</f>
        <v/>
      </c>
    </row>
    <row r="5028" spans="1:14">
      <c r="A5028" s="6">
        <v>2025</v>
      </c>
      <c r="B5028" s="6">
        <v>1</v>
      </c>
      <c r="C5028" s="6" t="s">
        <v>60</v>
      </c>
      <c r="D5028" s="6" t="s">
        <v>54</v>
      </c>
      <c r="E5028" s="6" t="s">
        <v>593</v>
      </c>
      <c r="F5028" s="6" t="str">
        <f>IF($M5028="PADD I","PADD 1",IF($M5028="PADD II","PADD 2",IF($M5028="PADD III","PADD 3",IF($M5028="PADD IV","PADD 4",IF($M5028="PADD V","PADD 5","")))))</f>
        <v>PADD 5</v>
      </c>
      <c r="G5028" s="6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6" t="s">
        <v>494</v>
      </c>
      <c r="I5028" s="6" t="s">
        <v>14</v>
      </c>
      <c r="J5028" s="6" t="s">
        <v>394</v>
      </c>
      <c r="K5028" s="10">
        <v>5.5</v>
      </c>
      <c r="L5028" s="10">
        <v>55</v>
      </c>
      <c r="M5028" s="6" t="s">
        <v>436</v>
      </c>
      <c r="N5028" s="6" t="str">
        <f>IF(OR($G5028="FCC",$G5028="Hydrocracker",$G5028="Reformer"),IF(COUNTIFS($D:$D,$D5028,$A:$A,$A5028,$B:$B,$B5028,$G:$G,"CDU",$J:$J,"PLANNED")&gt;0,"tied","standalone"),"")</f>
        <v>standalone</v>
      </c>
    </row>
    <row r="5029" spans="1:14">
      <c r="A5029" s="6">
        <v>2025</v>
      </c>
      <c r="B5029" s="6">
        <v>1</v>
      </c>
      <c r="C5029" s="6" t="s">
        <v>60</v>
      </c>
      <c r="D5029" s="6" t="s">
        <v>505</v>
      </c>
      <c r="E5029" s="6" t="s">
        <v>455</v>
      </c>
      <c r="F5029" s="6" t="str">
        <f>IF($M5029="PADD I","PADD 1",IF($M5029="PADD II","PADD 2",IF($M5029="PADD III","PADD 3",IF($M5029="PADD IV","PADD 4",IF($M5029="PADD V","PADD 5","")))))</f>
        <v>PADD 3</v>
      </c>
      <c r="G5029" s="6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6" t="s">
        <v>510</v>
      </c>
      <c r="I5029" s="6" t="s">
        <v>511</v>
      </c>
      <c r="J5029" s="6" t="s">
        <v>398</v>
      </c>
      <c r="K5029" s="10">
        <v>5.46</v>
      </c>
      <c r="L5029" s="10">
        <v>21</v>
      </c>
      <c r="M5029" s="6" t="s">
        <v>421</v>
      </c>
      <c r="N5029" s="6">
        <f>IF(OR($G5029="FCC",$G5029="Hydrocracker",$G5029="Reformer"),IF(COUNTIFS($D:$D,$D5029,$A:$A,$A5029,$B:$B,$B5029,$G:$G,"CDU",$J:$J,"PLANNED")&gt;0,"tied","standalone"),"")</f>
        <v/>
      </c>
    </row>
    <row r="5030" spans="1:14">
      <c r="A5030" s="6">
        <v>2025</v>
      </c>
      <c r="B5030" s="6">
        <v>1</v>
      </c>
      <c r="C5030" s="6" t="s">
        <v>60</v>
      </c>
      <c r="D5030" s="6" t="s">
        <v>540</v>
      </c>
      <c r="E5030" s="6" t="s">
        <v>541</v>
      </c>
      <c r="F5030" s="6" t="str">
        <f>IF($M5030="PADD I","PADD 1",IF($M5030="PADD II","PADD 2",IF($M5030="PADD III","PADD 3",IF($M5030="PADD IV","PADD 4",IF($M5030="PADD V","PADD 5","")))))</f>
        <v>PADD 3</v>
      </c>
      <c r="G5030" s="6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6" t="s">
        <v>485</v>
      </c>
      <c r="I5030" s="6" t="s">
        <v>737</v>
      </c>
      <c r="J5030" s="6" t="s">
        <v>394</v>
      </c>
      <c r="K5030" s="10">
        <v>5.4</v>
      </c>
      <c r="L5030" s="10">
        <v>54</v>
      </c>
      <c r="M5030" s="6" t="s">
        <v>421</v>
      </c>
      <c r="N5030" s="6">
        <f>IF(OR($G5030="FCC",$G5030="Hydrocracker",$G5030="Reformer"),IF(COUNTIFS($D:$D,$D5030,$A:$A,$A5030,$B:$B,$B5030,$G:$G,"CDU",$J:$J,"PLANNED")&gt;0,"tied","standalone"),"")</f>
        <v/>
      </c>
    </row>
    <row r="5031" spans="1:14">
      <c r="A5031" s="6">
        <v>2025</v>
      </c>
      <c r="B5031" s="6">
        <v>1</v>
      </c>
      <c r="C5031" s="6" t="s">
        <v>60</v>
      </c>
      <c r="D5031" s="6" t="s">
        <v>764</v>
      </c>
      <c r="E5031" s="6" t="s">
        <v>455</v>
      </c>
      <c r="F5031" s="6" t="str">
        <f>IF($M5031="PADD I","PADD 1",IF($M5031="PADD II","PADD 2",IF($M5031="PADD III","PADD 3",IF($M5031="PADD IV","PADD 4",IF($M5031="PADD V","PADD 5","")))))</f>
        <v>PADD 3</v>
      </c>
      <c r="G5031" s="6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6" t="s">
        <v>471</v>
      </c>
      <c r="I5031" s="6" t="s">
        <v>914</v>
      </c>
      <c r="J5031" s="6" t="s">
        <v>394</v>
      </c>
      <c r="K5031" s="10">
        <v>5.32</v>
      </c>
      <c r="L5031" s="10">
        <v>28</v>
      </c>
      <c r="M5031" s="6" t="s">
        <v>421</v>
      </c>
      <c r="N5031" s="6" t="str">
        <f>IF(OR($G5031="FCC",$G5031="Hydrocracker",$G5031="Reformer"),IF(COUNTIFS($D:$D,$D5031,$A:$A,$A5031,$B:$B,$B5031,$G:$G,"CDU",$J:$J,"PLANNED")&gt;0,"tied","standalone"),"")</f>
        <v>standalone</v>
      </c>
    </row>
    <row r="5032" spans="1:14">
      <c r="A5032" s="6">
        <v>2025</v>
      </c>
      <c r="B5032" s="6">
        <v>1</v>
      </c>
      <c r="C5032" s="6" t="s">
        <v>60</v>
      </c>
      <c r="D5032" s="6" t="s">
        <v>490</v>
      </c>
      <c r="E5032" s="6" t="s">
        <v>419</v>
      </c>
      <c r="F5032" s="6" t="str">
        <f>IF($M5032="PADD I","PADD 1",IF($M5032="PADD II","PADD 2",IF($M5032="PADD III","PADD 3",IF($M5032="PADD IV","PADD 4",IF($M5032="PADD V","PADD 5","")))))</f>
        <v>PADD 5</v>
      </c>
      <c r="G5032" s="6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6" t="s">
        <v>485</v>
      </c>
      <c r="I5032" s="6" t="s">
        <v>491</v>
      </c>
      <c r="J5032" s="6" t="s">
        <v>394</v>
      </c>
      <c r="K5032" s="10">
        <v>5.3</v>
      </c>
      <c r="L5032" s="10">
        <v>53</v>
      </c>
      <c r="M5032" s="6" t="s">
        <v>436</v>
      </c>
      <c r="N5032" s="6">
        <f>IF(OR($G5032="FCC",$G5032="Hydrocracker",$G5032="Reformer"),IF(COUNTIFS($D:$D,$D5032,$A:$A,$A5032,$B:$B,$B5032,$G:$G,"CDU",$J:$J,"PLANNED")&gt;0,"tied","standalone"),"")</f>
        <v/>
      </c>
    </row>
    <row r="5033" spans="1:14">
      <c r="A5033" s="6">
        <v>2025</v>
      </c>
      <c r="B5033" s="6">
        <v>1</v>
      </c>
      <c r="C5033" s="6" t="s">
        <v>60</v>
      </c>
      <c r="D5033" s="6" t="s">
        <v>540</v>
      </c>
      <c r="E5033" s="6" t="s">
        <v>541</v>
      </c>
      <c r="F5033" s="6" t="str">
        <f>IF($M5033="PADD I","PADD 1",IF($M5033="PADD II","PADD 2",IF($M5033="PADD III","PADD 3",IF($M5033="PADD IV","PADD 4",IF($M5033="PADD V","PADD 5","")))))</f>
        <v>PADD 3</v>
      </c>
      <c r="G5033" s="6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6" t="s">
        <v>44</v>
      </c>
      <c r="I5033" s="6" t="s">
        <v>897</v>
      </c>
      <c r="J5033" s="6" t="s">
        <v>394</v>
      </c>
      <c r="K5033" s="10">
        <v>5</v>
      </c>
      <c r="L5033" s="10">
        <v>50</v>
      </c>
      <c r="M5033" s="6" t="s">
        <v>421</v>
      </c>
      <c r="N5033" s="6">
        <f>IF(OR($G5033="FCC",$G5033="Hydrocracker",$G5033="Reformer"),IF(COUNTIFS($D:$D,$D5033,$A:$A,$A5033,$B:$B,$B5033,$G:$G,"CDU",$J:$J,"PLANNED")&gt;0,"tied","standalone"),"")</f>
        <v/>
      </c>
    </row>
    <row r="5034" spans="1:14">
      <c r="A5034" s="6">
        <v>2025</v>
      </c>
      <c r="B5034" s="6">
        <v>1</v>
      </c>
      <c r="C5034" s="6" t="s">
        <v>60</v>
      </c>
      <c r="D5034" s="6" t="s">
        <v>540</v>
      </c>
      <c r="E5034" s="6" t="s">
        <v>541</v>
      </c>
      <c r="F5034" s="6" t="str">
        <f>IF($M5034="PADD I","PADD 1",IF($M5034="PADD II","PADD 2",IF($M5034="PADD III","PADD 3",IF($M5034="PADD IV","PADD 4",IF($M5034="PADD V","PADD 5","")))))</f>
        <v>PADD 3</v>
      </c>
      <c r="G5034" s="6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6" t="s">
        <v>471</v>
      </c>
      <c r="I5034" s="6" t="s">
        <v>1000</v>
      </c>
      <c r="J5034" s="6" t="s">
        <v>394</v>
      </c>
      <c r="K5034" s="10">
        <v>4.9</v>
      </c>
      <c r="L5034" s="10">
        <v>49</v>
      </c>
      <c r="M5034" s="6" t="s">
        <v>421</v>
      </c>
      <c r="N5034" s="6" t="str">
        <f>IF(OR($G5034="FCC",$G5034="Hydrocracker",$G5034="Reformer"),IF(COUNTIFS($D:$D,$D5034,$A:$A,$A5034,$B:$B,$B5034,$G:$G,"CDU",$J:$J,"PLANNED")&gt;0,"tied","standalone"),"")</f>
        <v>standalone</v>
      </c>
    </row>
    <row r="5035" spans="1:14">
      <c r="A5035" s="6">
        <v>2025</v>
      </c>
      <c r="B5035" s="6">
        <v>1</v>
      </c>
      <c r="C5035" s="6" t="s">
        <v>60</v>
      </c>
      <c r="D5035" s="6" t="s">
        <v>540</v>
      </c>
      <c r="E5035" s="6" t="s">
        <v>541</v>
      </c>
      <c r="F5035" s="6" t="str">
        <f>IF($M5035="PADD I","PADD 1",IF($M5035="PADD II","PADD 2",IF($M5035="PADD III","PADD 3",IF($M5035="PADD IV","PADD 4",IF($M5035="PADD V","PADD 5","")))))</f>
        <v>PADD 3</v>
      </c>
      <c r="G5035" s="6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6" t="s">
        <v>510</v>
      </c>
      <c r="I5035" s="6" t="s">
        <v>1243</v>
      </c>
      <c r="J5035" s="6" t="s">
        <v>398</v>
      </c>
      <c r="K5035" s="10">
        <v>4.68</v>
      </c>
      <c r="L5035" s="10">
        <v>18</v>
      </c>
      <c r="M5035" s="6" t="s">
        <v>421</v>
      </c>
      <c r="N5035" s="6">
        <f>IF(OR($G5035="FCC",$G5035="Hydrocracker",$G5035="Reformer"),IF(COUNTIFS($D:$D,$D5035,$A:$A,$A5035,$B:$B,$B5035,$G:$G,"CDU",$J:$J,"PLANNED")&gt;0,"tied","standalone"),"")</f>
        <v/>
      </c>
    </row>
    <row r="5036" spans="1:14">
      <c r="A5036" s="6">
        <v>2025</v>
      </c>
      <c r="B5036" s="6">
        <v>1</v>
      </c>
      <c r="C5036" s="6" t="s">
        <v>60</v>
      </c>
      <c r="D5036" s="6" t="s">
        <v>1325</v>
      </c>
      <c r="E5036" s="6" t="s">
        <v>1326</v>
      </c>
      <c r="F5036" s="6" t="str">
        <f>IF($M5036="PADD I","PADD 1",IF($M5036="PADD II","PADD 2",IF($M5036="PADD III","PADD 3",IF($M5036="PADD IV","PADD 4",IF($M5036="PADD V","PADD 5","")))))</f>
        <v>PADD 3</v>
      </c>
      <c r="G5036" s="6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6" t="s">
        <v>39</v>
      </c>
      <c r="I5036" s="6" t="s">
        <v>82</v>
      </c>
      <c r="J5036" s="6" t="s">
        <v>398</v>
      </c>
      <c r="K5036" s="10">
        <v>4.6</v>
      </c>
      <c r="L5036" s="10">
        <v>20</v>
      </c>
      <c r="M5036" s="6" t="s">
        <v>421</v>
      </c>
      <c r="N5036" s="6">
        <f>IF(OR($G5036="FCC",$G5036="Hydrocracker",$G5036="Reformer"),IF(COUNTIFS($D:$D,$D5036,$A:$A,$A5036,$B:$B,$B5036,$G:$G,"CDU",$J:$J,"PLANNED")&gt;0,"tied","standalone"),"")</f>
        <v/>
      </c>
    </row>
    <row r="5037" spans="1:14">
      <c r="A5037" s="6">
        <v>2025</v>
      </c>
      <c r="B5037" s="6">
        <v>1</v>
      </c>
      <c r="C5037" s="6" t="s">
        <v>60</v>
      </c>
      <c r="D5037" s="6" t="s">
        <v>937</v>
      </c>
      <c r="E5037" s="6" t="s">
        <v>455</v>
      </c>
      <c r="F5037" s="6" t="str">
        <f>IF($M5037="PADD I","PADD 1",IF($M5037="PADD II","PADD 2",IF($M5037="PADD III","PADD 3",IF($M5037="PADD IV","PADD 4",IF($M5037="PADD V","PADD 5","")))))</f>
        <v>PADD 3</v>
      </c>
      <c r="G5037" s="6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6" t="s">
        <v>426</v>
      </c>
      <c r="I5037" s="6" t="s">
        <v>856</v>
      </c>
      <c r="J5037" s="6" t="s">
        <v>394</v>
      </c>
      <c r="K5037" s="10">
        <v>4.56</v>
      </c>
      <c r="L5037" s="10">
        <v>24</v>
      </c>
      <c r="M5037" s="6" t="s">
        <v>421</v>
      </c>
      <c r="N5037" s="6" t="str">
        <f>IF(OR($G5037="FCC",$G5037="Hydrocracker",$G5037="Reformer"),IF(COUNTIFS($D:$D,$D5037,$A:$A,$A5037,$B:$B,$B5037,$G:$G,"CDU",$J:$J,"PLANNED")&gt;0,"tied","standalone"),"")</f>
        <v>standalone</v>
      </c>
    </row>
    <row r="5038" spans="1:14">
      <c r="A5038" s="6">
        <v>2025</v>
      </c>
      <c r="B5038" s="6">
        <v>1</v>
      </c>
      <c r="C5038" s="6" t="s">
        <v>60</v>
      </c>
      <c r="D5038" s="6" t="s">
        <v>865</v>
      </c>
      <c r="E5038" s="6" t="s">
        <v>502</v>
      </c>
      <c r="F5038" s="6" t="str">
        <f>IF($M5038="PADD I","PADD 1",IF($M5038="PADD II","PADD 2",IF($M5038="PADD III","PADD 3",IF($M5038="PADD IV","PADD 4",IF($M5038="PADD V","PADD 5","")))))</f>
        <v>PADD 4</v>
      </c>
      <c r="G5038" s="6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6" t="s">
        <v>39</v>
      </c>
      <c r="I5038" s="6" t="s">
        <v>1281</v>
      </c>
      <c r="J5038" s="6" t="s">
        <v>394</v>
      </c>
      <c r="K5038" s="10">
        <v>4.53</v>
      </c>
      <c r="L5038" s="10">
        <v>75.5</v>
      </c>
      <c r="M5038" s="6" t="s">
        <v>480</v>
      </c>
      <c r="N5038" s="6">
        <f>IF(OR($G5038="FCC",$G5038="Hydrocracker",$G5038="Reformer"),IF(COUNTIFS($D:$D,$D5038,$A:$A,$A5038,$B:$B,$B5038,$G:$G,"CDU",$J:$J,"PLANNED")&gt;0,"tied","standalone"),"")</f>
        <v/>
      </c>
    </row>
    <row r="5039" spans="1:14">
      <c r="A5039" s="6">
        <v>2025</v>
      </c>
      <c r="B5039" s="6">
        <v>1</v>
      </c>
      <c r="C5039" s="6" t="s">
        <v>60</v>
      </c>
      <c r="D5039" s="6" t="s">
        <v>430</v>
      </c>
      <c r="E5039" s="6" t="s">
        <v>431</v>
      </c>
      <c r="F5039" s="6" t="str">
        <f>IF($M5039="PADD I","PADD 1",IF($M5039="PADD II","PADD 2",IF($M5039="PADD III","PADD 3",IF($M5039="PADD IV","PADD 4",IF($M5039="PADD V","PADD 5","")))))</f>
        <v>PADD 3</v>
      </c>
      <c r="G5039" s="6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6" t="s">
        <v>428</v>
      </c>
      <c r="I5039" s="6" t="s">
        <v>1037</v>
      </c>
      <c r="J5039" s="6" t="s">
        <v>394</v>
      </c>
      <c r="K5039" s="10">
        <v>4.4</v>
      </c>
      <c r="L5039" s="10">
        <v>44</v>
      </c>
      <c r="M5039" s="6" t="s">
        <v>421</v>
      </c>
      <c r="N5039" s="6">
        <f>IF(OR($G5039="FCC",$G5039="Hydrocracker",$G5039="Reformer"),IF(COUNTIFS($D:$D,$D5039,$A:$A,$A5039,$B:$B,$B5039,$G:$G,"CDU",$J:$J,"PLANNED")&gt;0,"tied","standalone"),"")</f>
        <v/>
      </c>
    </row>
    <row r="5040" spans="1:14">
      <c r="A5040" s="6">
        <v>2025</v>
      </c>
      <c r="B5040" s="6">
        <v>1</v>
      </c>
      <c r="C5040" s="6" t="s">
        <v>60</v>
      </c>
      <c r="D5040" s="6" t="s">
        <v>901</v>
      </c>
      <c r="E5040" s="6" t="s">
        <v>902</v>
      </c>
      <c r="F5040" s="6" t="str">
        <f>IF($M5040="PADD I","PADD 1",IF($M5040="PADD II","PADD 2",IF($M5040="PADD III","PADD 3",IF($M5040="PADD IV","PADD 4",IF($M5040="PADD V","PADD 5","")))))</f>
        <v>PADD 3</v>
      </c>
      <c r="G5040" s="6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6" t="s">
        <v>39</v>
      </c>
      <c r="I5040" s="6" t="s">
        <v>904</v>
      </c>
      <c r="J5040" s="6" t="s">
        <v>394</v>
      </c>
      <c r="K5040" s="10">
        <v>4.38</v>
      </c>
      <c r="L5040" s="10">
        <v>73</v>
      </c>
      <c r="M5040" s="6" t="s">
        <v>421</v>
      </c>
      <c r="N5040" s="6">
        <f>IF(OR($G5040="FCC",$G5040="Hydrocracker",$G5040="Reformer"),IF(COUNTIFS($D:$D,$D5040,$A:$A,$A5040,$B:$B,$B5040,$G:$G,"CDU",$J:$J,"PLANNED")&gt;0,"tied","standalone"),"")</f>
        <v/>
      </c>
    </row>
    <row r="5041" spans="1:14">
      <c r="A5041" s="6">
        <v>2025</v>
      </c>
      <c r="B5041" s="6">
        <v>1</v>
      </c>
      <c r="C5041" s="6" t="s">
        <v>60</v>
      </c>
      <c r="D5041" s="6" t="s">
        <v>937</v>
      </c>
      <c r="E5041" s="6" t="s">
        <v>455</v>
      </c>
      <c r="F5041" s="6" t="str">
        <f>IF($M5041="PADD I","PADD 1",IF($M5041="PADD II","PADD 2",IF($M5041="PADD III","PADD 3",IF($M5041="PADD IV","PADD 4",IF($M5041="PADD V","PADD 5","")))))</f>
        <v>PADD 3</v>
      </c>
      <c r="G5041" s="6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6" t="s">
        <v>471</v>
      </c>
      <c r="I5041" s="6" t="s">
        <v>609</v>
      </c>
      <c r="J5041" s="6" t="s">
        <v>394</v>
      </c>
      <c r="K5041" s="10">
        <v>4.29</v>
      </c>
      <c r="L5041" s="10">
        <v>11</v>
      </c>
      <c r="M5041" s="6" t="s">
        <v>421</v>
      </c>
      <c r="N5041" s="6" t="str">
        <f>IF(OR($G5041="FCC",$G5041="Hydrocracker",$G5041="Reformer"),IF(COUNTIFS($D:$D,$D5041,$A:$A,$A5041,$B:$B,$B5041,$G:$G,"CDU",$J:$J,"PLANNED")&gt;0,"tied","standalone"),"")</f>
        <v>standalone</v>
      </c>
    </row>
    <row r="5042" spans="1:14">
      <c r="A5042" s="6">
        <v>2025</v>
      </c>
      <c r="B5042" s="6">
        <v>1</v>
      </c>
      <c r="C5042" s="6" t="s">
        <v>60</v>
      </c>
      <c r="D5042" s="6" t="s">
        <v>937</v>
      </c>
      <c r="E5042" s="6" t="s">
        <v>455</v>
      </c>
      <c r="F5042" s="6" t="str">
        <f>IF($M5042="PADD I","PADD 1",IF($M5042="PADD II","PADD 2",IF($M5042="PADD III","PADD 3",IF($M5042="PADD IV","PADD 4",IF($M5042="PADD V","PADD 5","")))))</f>
        <v>PADD 3</v>
      </c>
      <c r="G5042" s="6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6" t="s">
        <v>44</v>
      </c>
      <c r="I5042" s="6" t="s">
        <v>543</v>
      </c>
      <c r="J5042" s="6" t="s">
        <v>394</v>
      </c>
      <c r="K5042" s="10">
        <v>4.18</v>
      </c>
      <c r="L5042" s="10">
        <v>22</v>
      </c>
      <c r="M5042" s="6" t="s">
        <v>421</v>
      </c>
      <c r="N5042" s="6">
        <f>IF(OR($G5042="FCC",$G5042="Hydrocracker",$G5042="Reformer"),IF(COUNTIFS($D:$D,$D5042,$A:$A,$A5042,$B:$B,$B5042,$G:$G,"CDU",$J:$J,"PLANNED")&gt;0,"tied","standalone"),"")</f>
        <v/>
      </c>
    </row>
    <row r="5043" spans="1:14">
      <c r="A5043" s="6">
        <v>2025</v>
      </c>
      <c r="B5043" s="6">
        <v>1</v>
      </c>
      <c r="C5043" s="6" t="s">
        <v>60</v>
      </c>
      <c r="D5043" s="6" t="s">
        <v>484</v>
      </c>
      <c r="E5043" s="6" t="s">
        <v>438</v>
      </c>
      <c r="F5043" s="6" t="str">
        <f>IF($M5043="PADD I","PADD 1",IF($M5043="PADD II","PADD 2",IF($M5043="PADD III","PADD 3",IF($M5043="PADD IV","PADD 4",IF($M5043="PADD V","PADD 5","")))))</f>
        <v>PADD 5</v>
      </c>
      <c r="G5043" s="6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6" t="s">
        <v>494</v>
      </c>
      <c r="I5043" s="6" t="s">
        <v>14</v>
      </c>
      <c r="J5043" s="6" t="s">
        <v>394</v>
      </c>
      <c r="K5043" s="10">
        <v>4.16</v>
      </c>
      <c r="L5043" s="10">
        <v>32</v>
      </c>
      <c r="M5043" s="6" t="s">
        <v>436</v>
      </c>
      <c r="N5043" s="6" t="str">
        <f>IF(OR($G5043="FCC",$G5043="Hydrocracker",$G5043="Reformer"),IF(COUNTIFS($D:$D,$D5043,$A:$A,$A5043,$B:$B,$B5043,$G:$G,"CDU",$J:$J,"PLANNED")&gt;0,"tied","standalone"),"")</f>
        <v>standalone</v>
      </c>
    </row>
    <row r="5044" spans="1:14">
      <c r="A5044" s="6">
        <v>2025</v>
      </c>
      <c r="B5044" s="6">
        <v>1</v>
      </c>
      <c r="C5044" s="6" t="s">
        <v>60</v>
      </c>
      <c r="D5044" s="6" t="s">
        <v>712</v>
      </c>
      <c r="E5044" s="6" t="s">
        <v>602</v>
      </c>
      <c r="F5044" s="6" t="str">
        <f>IF($M5044="PADD I","PADD 1",IF($M5044="PADD II","PADD 2",IF($M5044="PADD III","PADD 3",IF($M5044="PADD IV","PADD 4",IF($M5044="PADD V","PADD 5","")))))</f>
        <v>PADD 3</v>
      </c>
      <c r="G5044" s="6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6" t="s">
        <v>44</v>
      </c>
      <c r="I5044" s="6" t="s">
        <v>977</v>
      </c>
      <c r="J5044" s="6" t="s">
        <v>398</v>
      </c>
      <c r="K5044" s="10">
        <v>4.08</v>
      </c>
      <c r="L5044" s="10">
        <v>25.5</v>
      </c>
      <c r="M5044" s="6" t="s">
        <v>421</v>
      </c>
      <c r="N5044" s="6">
        <f>IF(OR($G5044="FCC",$G5044="Hydrocracker",$G5044="Reformer"),IF(COUNTIFS($D:$D,$D5044,$A:$A,$A5044,$B:$B,$B5044,$G:$G,"CDU",$J:$J,"PLANNED")&gt;0,"tied","standalone"),"")</f>
        <v/>
      </c>
    </row>
    <row r="5045" spans="1:14">
      <c r="A5045" s="6">
        <v>2025</v>
      </c>
      <c r="B5045" s="6">
        <v>1</v>
      </c>
      <c r="C5045" s="6" t="s">
        <v>60</v>
      </c>
      <c r="D5045" s="6" t="s">
        <v>484</v>
      </c>
      <c r="E5045" s="6" t="s">
        <v>438</v>
      </c>
      <c r="F5045" s="6" t="str">
        <f>IF($M5045="PADD I","PADD 1",IF($M5045="PADD II","PADD 2",IF($M5045="PADD III","PADD 3",IF($M5045="PADD IV","PADD 4",IF($M5045="PADD V","PADD 5","")))))</f>
        <v>PADD 5</v>
      </c>
      <c r="G5045" s="6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6" t="s">
        <v>471</v>
      </c>
      <c r="I5045" s="6" t="s">
        <v>721</v>
      </c>
      <c r="J5045" s="6" t="s">
        <v>394</v>
      </c>
      <c r="K5045" s="10">
        <v>3.9</v>
      </c>
      <c r="L5045" s="10">
        <v>15</v>
      </c>
      <c r="M5045" s="6" t="s">
        <v>436</v>
      </c>
      <c r="N5045" s="6" t="str">
        <f>IF(OR($G5045="FCC",$G5045="Hydrocracker",$G5045="Reformer"),IF(COUNTIFS($D:$D,$D5045,$A:$A,$A5045,$B:$B,$B5045,$G:$G,"CDU",$J:$J,"PLANNED")&gt;0,"tied","standalone"),"")</f>
        <v>standalone</v>
      </c>
    </row>
    <row r="5046" spans="1:14">
      <c r="A5046" s="6">
        <v>2025</v>
      </c>
      <c r="B5046" s="6">
        <v>1</v>
      </c>
      <c r="C5046" s="6" t="s">
        <v>60</v>
      </c>
      <c r="D5046" s="6" t="s">
        <v>937</v>
      </c>
      <c r="E5046" s="6" t="s">
        <v>455</v>
      </c>
      <c r="F5046" s="6" t="str">
        <f>IF($M5046="PADD I","PADD 1",IF($M5046="PADD II","PADD 2",IF($M5046="PADD III","PADD 3",IF($M5046="PADD IV","PADD 4",IF($M5046="PADD V","PADD 5","")))))</f>
        <v>PADD 3</v>
      </c>
      <c r="G5046" s="6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6" t="s">
        <v>44</v>
      </c>
      <c r="I5046" s="6" t="s">
        <v>1327</v>
      </c>
      <c r="J5046" s="6" t="s">
        <v>394</v>
      </c>
      <c r="K5046" s="10">
        <v>3.8</v>
      </c>
      <c r="L5046" s="10">
        <v>20</v>
      </c>
      <c r="M5046" s="6" t="s">
        <v>421</v>
      </c>
      <c r="N5046" s="6">
        <f>IF(OR($G5046="FCC",$G5046="Hydrocracker",$G5046="Reformer"),IF(COUNTIFS($D:$D,$D5046,$A:$A,$A5046,$B:$B,$B5046,$G:$G,"CDU",$J:$J,"PLANNED")&gt;0,"tied","standalone"),"")</f>
        <v/>
      </c>
    </row>
    <row r="5047" spans="1:14">
      <c r="A5047" s="6">
        <v>2025</v>
      </c>
      <c r="B5047" s="6">
        <v>1</v>
      </c>
      <c r="C5047" s="6" t="s">
        <v>60</v>
      </c>
      <c r="D5047" s="6" t="s">
        <v>937</v>
      </c>
      <c r="E5047" s="6" t="s">
        <v>455</v>
      </c>
      <c r="F5047" s="6" t="str">
        <f>IF($M5047="PADD I","PADD 1",IF($M5047="PADD II","PADD 2",IF($M5047="PADD III","PADD 3",IF($M5047="PADD IV","PADD 4",IF($M5047="PADD V","PADD 5","")))))</f>
        <v>PADD 3</v>
      </c>
      <c r="G5047" s="6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6" t="s">
        <v>44</v>
      </c>
      <c r="I5047" s="6" t="s">
        <v>697</v>
      </c>
      <c r="J5047" s="6" t="s">
        <v>394</v>
      </c>
      <c r="K5047" s="10">
        <v>3.8</v>
      </c>
      <c r="L5047" s="10">
        <v>20</v>
      </c>
      <c r="M5047" s="6" t="s">
        <v>421</v>
      </c>
      <c r="N5047" s="6">
        <f>IF(OR($G5047="FCC",$G5047="Hydrocracker",$G5047="Reformer"),IF(COUNTIFS($D:$D,$D5047,$A:$A,$A5047,$B:$B,$B5047,$G:$G,"CDU",$J:$J,"PLANNED")&gt;0,"tied","standalone"),"")</f>
        <v/>
      </c>
    </row>
    <row r="5048" spans="1:14">
      <c r="A5048" s="6">
        <v>2025</v>
      </c>
      <c r="B5048" s="6">
        <v>1</v>
      </c>
      <c r="C5048" s="6" t="s">
        <v>60</v>
      </c>
      <c r="D5048" s="6" t="s">
        <v>937</v>
      </c>
      <c r="E5048" s="6" t="s">
        <v>455</v>
      </c>
      <c r="F5048" s="6" t="str">
        <f>IF($M5048="PADD I","PADD 1",IF($M5048="PADD II","PADD 2",IF($M5048="PADD III","PADD 3",IF($M5048="PADD IV","PADD 4",IF($M5048="PADD V","PADD 5","")))))</f>
        <v>PADD 3</v>
      </c>
      <c r="G5048" s="6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6" t="s">
        <v>44</v>
      </c>
      <c r="I5048" s="6" t="s">
        <v>968</v>
      </c>
      <c r="J5048" s="6" t="s">
        <v>394</v>
      </c>
      <c r="K5048" s="10">
        <v>3.8</v>
      </c>
      <c r="L5048" s="10">
        <v>20</v>
      </c>
      <c r="M5048" s="6" t="s">
        <v>421</v>
      </c>
      <c r="N5048" s="6">
        <f>IF(OR($G5048="FCC",$G5048="Hydrocracker",$G5048="Reformer"),IF(COUNTIFS($D:$D,$D5048,$A:$A,$A5048,$B:$B,$B5048,$G:$G,"CDU",$J:$J,"PLANNED")&gt;0,"tied","standalone"),"")</f>
        <v/>
      </c>
    </row>
    <row r="5049" spans="1:14">
      <c r="A5049" s="6">
        <v>2025</v>
      </c>
      <c r="B5049" s="6">
        <v>1</v>
      </c>
      <c r="C5049" s="6" t="s">
        <v>60</v>
      </c>
      <c r="D5049" s="6" t="s">
        <v>626</v>
      </c>
      <c r="E5049" s="6" t="s">
        <v>419</v>
      </c>
      <c r="F5049" s="6" t="str">
        <f>IF($M5049="PADD I","PADD 1",IF($M5049="PADD II","PADD 2",IF($M5049="PADD III","PADD 3",IF($M5049="PADD IV","PADD 4",IF($M5049="PADD V","PADD 5","")))))</f>
        <v>PADD 3</v>
      </c>
      <c r="G5049" s="6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6" t="s">
        <v>426</v>
      </c>
      <c r="I5049" s="6" t="s">
        <v>106</v>
      </c>
      <c r="J5049" s="6" t="s">
        <v>394</v>
      </c>
      <c r="K5049" s="10">
        <v>3.696</v>
      </c>
      <c r="L5049" s="10">
        <v>23.1</v>
      </c>
      <c r="M5049" s="6" t="s">
        <v>421</v>
      </c>
      <c r="N5049" s="6" t="str">
        <f>IF(OR($G5049="FCC",$G5049="Hydrocracker",$G5049="Reformer"),IF(COUNTIFS($D:$D,$D5049,$A:$A,$A5049,$B:$B,$B5049,$G:$G,"CDU",$J:$J,"PLANNED")&gt;0,"tied","standalone"),"")</f>
        <v>standalone</v>
      </c>
    </row>
    <row r="5050" spans="1:14">
      <c r="A5050" s="6">
        <v>2025</v>
      </c>
      <c r="B5050" s="6">
        <v>1</v>
      </c>
      <c r="C5050" s="6" t="s">
        <v>60</v>
      </c>
      <c r="D5050" s="6" t="s">
        <v>937</v>
      </c>
      <c r="E5050" s="6" t="s">
        <v>455</v>
      </c>
      <c r="F5050" s="6" t="str">
        <f>IF($M5050="PADD I","PADD 1",IF($M5050="PADD II","PADD 2",IF($M5050="PADD III","PADD 3",IF($M5050="PADD IV","PADD 4",IF($M5050="PADD V","PADD 5","")))))</f>
        <v>PADD 3</v>
      </c>
      <c r="G5050" s="6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6" t="s">
        <v>428</v>
      </c>
      <c r="I5050" s="6" t="s">
        <v>481</v>
      </c>
      <c r="J5050" s="6" t="s">
        <v>394</v>
      </c>
      <c r="K5050" s="10">
        <v>3.64</v>
      </c>
      <c r="L5050" s="10">
        <v>28</v>
      </c>
      <c r="M5050" s="6" t="s">
        <v>421</v>
      </c>
      <c r="N5050" s="6">
        <f>IF(OR($G5050="FCC",$G5050="Hydrocracker",$G5050="Reformer"),IF(COUNTIFS($D:$D,$D5050,$A:$A,$A5050,$B:$B,$B5050,$G:$G,"CDU",$J:$J,"PLANNED")&gt;0,"tied","standalone"),"")</f>
        <v/>
      </c>
    </row>
    <row r="5051" spans="1:14">
      <c r="A5051" s="6">
        <v>2025</v>
      </c>
      <c r="B5051" s="6">
        <v>1</v>
      </c>
      <c r="C5051" s="6" t="s">
        <v>60</v>
      </c>
      <c r="D5051" s="6" t="s">
        <v>518</v>
      </c>
      <c r="E5051" s="6" t="s">
        <v>419</v>
      </c>
      <c r="F5051" s="6" t="str">
        <f>IF($M5051="PADD I","PADD 1",IF($M5051="PADD II","PADD 2",IF($M5051="PADD III","PADD 3",IF($M5051="PADD IV","PADD 4",IF($M5051="PADD V","PADD 5","")))))</f>
        <v>PADD 3</v>
      </c>
      <c r="G5051" s="6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6" t="s">
        <v>471</v>
      </c>
      <c r="I5051" s="6" t="s">
        <v>685</v>
      </c>
      <c r="J5051" s="6" t="s">
        <v>394</v>
      </c>
      <c r="K5051" s="10">
        <v>3.64</v>
      </c>
      <c r="L5051" s="10">
        <v>7</v>
      </c>
      <c r="M5051" s="6" t="s">
        <v>421</v>
      </c>
      <c r="N5051" s="6" t="str">
        <f>IF(OR($G5051="FCC",$G5051="Hydrocracker",$G5051="Reformer"),IF(COUNTIFS($D:$D,$D5051,$A:$A,$A5051,$B:$B,$B5051,$G:$G,"CDU",$J:$J,"PLANNED")&gt;0,"tied","standalone"),"")</f>
        <v>standalone</v>
      </c>
    </row>
    <row r="5052" spans="1:14">
      <c r="A5052" s="6">
        <v>2025</v>
      </c>
      <c r="B5052" s="6">
        <v>1</v>
      </c>
      <c r="C5052" s="6" t="s">
        <v>60</v>
      </c>
      <c r="D5052" s="6" t="s">
        <v>487</v>
      </c>
      <c r="E5052" s="6" t="s">
        <v>488</v>
      </c>
      <c r="F5052" s="6" t="str">
        <f>IF($M5052="PADD I","PADD 1",IF($M5052="PADD II","PADD 2",IF($M5052="PADD III","PADD 3",IF($M5052="PADD IV","PADD 4",IF($M5052="PADD V","PADD 5","")))))</f>
        <v>PADD 4</v>
      </c>
      <c r="G5052" s="6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6" t="s">
        <v>428</v>
      </c>
      <c r="I5052" s="6" t="s">
        <v>606</v>
      </c>
      <c r="J5052" s="6" t="s">
        <v>394</v>
      </c>
      <c r="K5052" s="10">
        <v>3.5196</v>
      </c>
      <c r="L5052" s="10">
        <v>8.380000000000001</v>
      </c>
      <c r="M5052" s="6" t="s">
        <v>480</v>
      </c>
      <c r="N5052" s="6">
        <f>IF(OR($G5052="FCC",$G5052="Hydrocracker",$G5052="Reformer"),IF(COUNTIFS($D:$D,$D5052,$A:$A,$A5052,$B:$B,$B5052,$G:$G,"CDU",$J:$J,"PLANNED")&gt;0,"tied","standalone"),"")</f>
        <v/>
      </c>
    </row>
    <row r="5053" spans="1:14">
      <c r="A5053" s="6">
        <v>2025</v>
      </c>
      <c r="B5053" s="6">
        <v>1</v>
      </c>
      <c r="C5053" s="6" t="s">
        <v>60</v>
      </c>
      <c r="D5053" s="6" t="s">
        <v>41</v>
      </c>
      <c r="E5053" s="6" t="s">
        <v>786</v>
      </c>
      <c r="F5053" s="6" t="str">
        <f>IF($M5053="PADD I","PADD 1",IF($M5053="PADD II","PADD 2",IF($M5053="PADD III","PADD 3",IF($M5053="PADD IV","PADD 4",IF($M5053="PADD V","PADD 5","")))))</f>
        <v>PADD 1</v>
      </c>
      <c r="G5053" s="6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6" t="s">
        <v>510</v>
      </c>
      <c r="I5053" s="6" t="s">
        <v>810</v>
      </c>
      <c r="J5053" s="6" t="s">
        <v>398</v>
      </c>
      <c r="K5053" s="10">
        <v>3.48</v>
      </c>
      <c r="L5053" s="10">
        <v>12</v>
      </c>
      <c r="M5053" s="6" t="s">
        <v>463</v>
      </c>
      <c r="N5053" s="6">
        <f>IF(OR($G5053="FCC",$G5053="Hydrocracker",$G5053="Reformer"),IF(COUNTIFS($D:$D,$D5053,$A:$A,$A5053,$B:$B,$B5053,$G:$G,"CDU",$J:$J,"PLANNED")&gt;0,"tied","standalone"),"")</f>
        <v/>
      </c>
    </row>
    <row r="5054" spans="1:14">
      <c r="A5054" s="6">
        <v>2025</v>
      </c>
      <c r="B5054" s="6">
        <v>1</v>
      </c>
      <c r="C5054" s="6" t="s">
        <v>60</v>
      </c>
      <c r="D5054" s="6" t="s">
        <v>377</v>
      </c>
      <c r="E5054" s="6" t="s">
        <v>466</v>
      </c>
      <c r="F5054" s="6" t="str">
        <f>IF($M5054="PADD I","PADD 1",IF($M5054="PADD II","PADD 2",IF($M5054="PADD III","PADD 3",IF($M5054="PADD IV","PADD 4",IF($M5054="PADD V","PADD 5","")))))</f>
        <v>PADD 2</v>
      </c>
      <c r="G5054" s="6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6" t="s">
        <v>485</v>
      </c>
      <c r="I5054" s="6" t="s">
        <v>1109</v>
      </c>
      <c r="J5054" s="6" t="s">
        <v>398</v>
      </c>
      <c r="K5054" s="10">
        <v>3.2604</v>
      </c>
      <c r="L5054" s="10">
        <v>12.54</v>
      </c>
      <c r="M5054" s="6" t="s">
        <v>425</v>
      </c>
      <c r="N5054" s="6">
        <f>IF(OR($G5054="FCC",$G5054="Hydrocracker",$G5054="Reformer"),IF(COUNTIFS($D:$D,$D5054,$A:$A,$A5054,$B:$B,$B5054,$G:$G,"CDU",$J:$J,"PLANNED")&gt;0,"tied","standalone"),"")</f>
        <v/>
      </c>
    </row>
    <row r="5055" spans="1:14">
      <c r="A5055" s="6">
        <v>2025</v>
      </c>
      <c r="B5055" s="6">
        <v>1</v>
      </c>
      <c r="C5055" s="6" t="s">
        <v>60</v>
      </c>
      <c r="D5055" s="6" t="s">
        <v>484</v>
      </c>
      <c r="E5055" s="6" t="s">
        <v>438</v>
      </c>
      <c r="F5055" s="6" t="str">
        <f>IF($M5055="PADD I","PADD 1",IF($M5055="PADD II","PADD 2",IF($M5055="PADD III","PADD 3",IF($M5055="PADD IV","PADD 4",IF($M5055="PADD V","PADD 5","")))))</f>
        <v>PADD 5</v>
      </c>
      <c r="G5055" s="6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6" t="s">
        <v>44</v>
      </c>
      <c r="I5055" s="6" t="s">
        <v>953</v>
      </c>
      <c r="J5055" s="6" t="s">
        <v>394</v>
      </c>
      <c r="K5055" s="10">
        <v>3.25</v>
      </c>
      <c r="L5055" s="10">
        <v>25</v>
      </c>
      <c r="M5055" s="6" t="s">
        <v>436</v>
      </c>
      <c r="N5055" s="6">
        <f>IF(OR($G5055="FCC",$G5055="Hydrocracker",$G5055="Reformer"),IF(COUNTIFS($D:$D,$D5055,$A:$A,$A5055,$B:$B,$B5055,$G:$G,"CDU",$J:$J,"PLANNED")&gt;0,"tied","standalone"),"")</f>
        <v/>
      </c>
    </row>
    <row r="5056" spans="1:14">
      <c r="A5056" s="6">
        <v>2025</v>
      </c>
      <c r="B5056" s="6">
        <v>1</v>
      </c>
      <c r="C5056" s="6" t="s">
        <v>60</v>
      </c>
      <c r="D5056" s="6" t="s">
        <v>484</v>
      </c>
      <c r="E5056" s="6" t="s">
        <v>438</v>
      </c>
      <c r="F5056" s="6" t="str">
        <f>IF($M5056="PADD I","PADD 1",IF($M5056="PADD II","PADD 2",IF($M5056="PADD III","PADD 3",IF($M5056="PADD IV","PADD 4",IF($M5056="PADD V","PADD 5","")))))</f>
        <v>PADD 5</v>
      </c>
      <c r="G5056" s="6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6" t="s">
        <v>44</v>
      </c>
      <c r="I5056" s="6" t="s">
        <v>955</v>
      </c>
      <c r="J5056" s="6" t="s">
        <v>394</v>
      </c>
      <c r="K5056" s="10">
        <v>3.25</v>
      </c>
      <c r="L5056" s="10">
        <v>25</v>
      </c>
      <c r="M5056" s="6" t="s">
        <v>436</v>
      </c>
      <c r="N5056" s="6">
        <f>IF(OR($G5056="FCC",$G5056="Hydrocracker",$G5056="Reformer"),IF(COUNTIFS($D:$D,$D5056,$A:$A,$A5056,$B:$B,$B5056,$G:$G,"CDU",$J:$J,"PLANNED")&gt;0,"tied","standalone"),"")</f>
        <v/>
      </c>
    </row>
    <row r="5057" spans="1:14">
      <c r="A5057" s="6">
        <v>2025</v>
      </c>
      <c r="B5057" s="6">
        <v>1</v>
      </c>
      <c r="C5057" s="6" t="s">
        <v>60</v>
      </c>
      <c r="D5057" s="6" t="s">
        <v>712</v>
      </c>
      <c r="E5057" s="6" t="s">
        <v>602</v>
      </c>
      <c r="F5057" s="6" t="str">
        <f>IF($M5057="PADD I","PADD 1",IF($M5057="PADD II","PADD 2",IF($M5057="PADD III","PADD 3",IF($M5057="PADD IV","PADD 4",IF($M5057="PADD V","PADD 5","")))))</f>
        <v>PADD 3</v>
      </c>
      <c r="G5057" s="6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6" t="s">
        <v>426</v>
      </c>
      <c r="I5057" s="6" t="s">
        <v>106</v>
      </c>
      <c r="J5057" s="6" t="s">
        <v>398</v>
      </c>
      <c r="K5057" s="10">
        <v>3.25</v>
      </c>
      <c r="L5057" s="10">
        <v>25</v>
      </c>
      <c r="M5057" s="6" t="s">
        <v>421</v>
      </c>
      <c r="N5057" s="6" t="str">
        <f>IF(OR($G5057="FCC",$G5057="Hydrocracker",$G5057="Reformer"),IF(COUNTIFS($D:$D,$D5057,$A:$A,$A5057,$B:$B,$B5057,$G:$G,"CDU",$J:$J,"PLANNED")&gt;0,"tied","standalone"),"")</f>
        <v>standalone</v>
      </c>
    </row>
    <row r="5058" spans="1:14">
      <c r="A5058" s="6">
        <v>2025</v>
      </c>
      <c r="B5058" s="6">
        <v>1</v>
      </c>
      <c r="C5058" s="6" t="s">
        <v>60</v>
      </c>
      <c r="D5058" s="6" t="s">
        <v>41</v>
      </c>
      <c r="E5058" s="6" t="s">
        <v>786</v>
      </c>
      <c r="F5058" s="6" t="str">
        <f>IF($M5058="PADD I","PADD 1",IF($M5058="PADD II","PADD 2",IF($M5058="PADD III","PADD 3",IF($M5058="PADD IV","PADD 4",IF($M5058="PADD V","PADD 5","")))))</f>
        <v>PADD 1</v>
      </c>
      <c r="G5058" s="6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6" t="s">
        <v>39</v>
      </c>
      <c r="I5058" s="6" t="s">
        <v>1030</v>
      </c>
      <c r="J5058" s="6" t="s">
        <v>394</v>
      </c>
      <c r="K5058" s="10">
        <v>3.12</v>
      </c>
      <c r="L5058" s="10">
        <v>104</v>
      </c>
      <c r="M5058" s="6" t="s">
        <v>463</v>
      </c>
      <c r="N5058" s="6">
        <f>IF(OR($G5058="FCC",$G5058="Hydrocracker",$G5058="Reformer"),IF(COUNTIFS($D:$D,$D5058,$A:$A,$A5058,$B:$B,$B5058,$G:$G,"CDU",$J:$J,"PLANNED")&gt;0,"tied","standalone"),"")</f>
        <v/>
      </c>
    </row>
    <row r="5059" spans="1:14">
      <c r="A5059" s="6">
        <v>2025</v>
      </c>
      <c r="B5059" s="6">
        <v>1</v>
      </c>
      <c r="C5059" s="6" t="s">
        <v>60</v>
      </c>
      <c r="D5059" s="6" t="s">
        <v>937</v>
      </c>
      <c r="E5059" s="6" t="s">
        <v>455</v>
      </c>
      <c r="F5059" s="6" t="str">
        <f>IF($M5059="PADD I","PADD 1",IF($M5059="PADD II","PADD 2",IF($M5059="PADD III","PADD 3",IF($M5059="PADD IV","PADD 4",IF($M5059="PADD V","PADD 5","")))))</f>
        <v>PADD 3</v>
      </c>
      <c r="G5059" s="6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6" t="s">
        <v>494</v>
      </c>
      <c r="I5059" s="6" t="s">
        <v>1072</v>
      </c>
      <c r="J5059" s="6" t="s">
        <v>394</v>
      </c>
      <c r="K5059" s="10">
        <v>3</v>
      </c>
      <c r="L5059" s="10">
        <v>30</v>
      </c>
      <c r="M5059" s="6" t="s">
        <v>421</v>
      </c>
      <c r="N5059" s="6" t="str">
        <f>IF(OR($G5059="FCC",$G5059="Hydrocracker",$G5059="Reformer"),IF(COUNTIFS($D:$D,$D5059,$A:$A,$A5059,$B:$B,$B5059,$G:$G,"CDU",$J:$J,"PLANNED")&gt;0,"tied","standalone"),"")</f>
        <v>standalone</v>
      </c>
    </row>
    <row r="5060" spans="1:14">
      <c r="A5060" s="6">
        <v>2025</v>
      </c>
      <c r="B5060" s="6">
        <v>1</v>
      </c>
      <c r="C5060" s="6" t="s">
        <v>60</v>
      </c>
      <c r="D5060" s="6" t="s">
        <v>484</v>
      </c>
      <c r="E5060" s="6" t="s">
        <v>438</v>
      </c>
      <c r="F5060" s="6" t="str">
        <f>IF($M5060="PADD I","PADD 1",IF($M5060="PADD II","PADD 2",IF($M5060="PADD III","PADD 3",IF($M5060="PADD IV","PADD 4",IF($M5060="PADD V","PADD 5","")))))</f>
        <v>PADD 5</v>
      </c>
      <c r="G5060" s="6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6" t="s">
        <v>471</v>
      </c>
      <c r="I5060" s="6" t="s">
        <v>721</v>
      </c>
      <c r="J5060" s="6" t="s">
        <v>394</v>
      </c>
      <c r="K5060" s="10">
        <v>2.99</v>
      </c>
      <c r="L5060" s="10">
        <v>13</v>
      </c>
      <c r="M5060" s="6" t="s">
        <v>436</v>
      </c>
      <c r="N5060" s="6" t="str">
        <f>IF(OR($G5060="FCC",$G5060="Hydrocracker",$G5060="Reformer"),IF(COUNTIFS($D:$D,$D5060,$A:$A,$A5060,$B:$B,$B5060,$G:$G,"CDU",$J:$J,"PLANNED")&gt;0,"tied","standalone"),"")</f>
        <v>standalone</v>
      </c>
    </row>
    <row r="5061" spans="1:14">
      <c r="A5061" s="6">
        <v>2025</v>
      </c>
      <c r="B5061" s="6">
        <v>1</v>
      </c>
      <c r="C5061" s="6" t="s">
        <v>60</v>
      </c>
      <c r="D5061" s="6" t="s">
        <v>712</v>
      </c>
      <c r="E5061" s="6" t="s">
        <v>602</v>
      </c>
      <c r="F5061" s="6" t="str">
        <f>IF($M5061="PADD I","PADD 1",IF($M5061="PADD II","PADD 2",IF($M5061="PADD III","PADD 3",IF($M5061="PADD IV","PADD 4",IF($M5061="PADD V","PADD 5","")))))</f>
        <v>PADD 3</v>
      </c>
      <c r="G5061" s="6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6" t="s">
        <v>44</v>
      </c>
      <c r="I5061" s="6" t="s">
        <v>785</v>
      </c>
      <c r="J5061" s="6" t="s">
        <v>398</v>
      </c>
      <c r="K5061" s="10">
        <v>2.99</v>
      </c>
      <c r="L5061" s="10">
        <v>23</v>
      </c>
      <c r="M5061" s="6" t="s">
        <v>421</v>
      </c>
      <c r="N5061" s="6">
        <f>IF(OR($G5061="FCC",$G5061="Hydrocracker",$G5061="Reformer"),IF(COUNTIFS($D:$D,$D5061,$A:$A,$A5061,$B:$B,$B5061,$G:$G,"CDU",$J:$J,"PLANNED")&gt;0,"tied","standalone"),"")</f>
        <v/>
      </c>
    </row>
    <row r="5062" spans="1:14">
      <c r="A5062" s="6">
        <v>2025</v>
      </c>
      <c r="B5062" s="6">
        <v>1</v>
      </c>
      <c r="C5062" s="6" t="s">
        <v>60</v>
      </c>
      <c r="D5062" s="6" t="s">
        <v>1273</v>
      </c>
      <c r="E5062" s="6" t="s">
        <v>1089</v>
      </c>
      <c r="F5062" s="6" t="str">
        <f>IF($M5062="PADD I","PADD 1",IF($M5062="PADD II","PADD 2",IF($M5062="PADD III","PADD 3",IF($M5062="PADD IV","PADD 4",IF($M5062="PADD V","PADD 5","")))))</f>
        <v>PADD 2</v>
      </c>
      <c r="G5062" s="6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6" t="s">
        <v>471</v>
      </c>
      <c r="I5062" s="6" t="s">
        <v>15</v>
      </c>
      <c r="J5062" s="6" t="s">
        <v>394</v>
      </c>
      <c r="K5062" s="10">
        <v>2.8875</v>
      </c>
      <c r="L5062" s="10">
        <v>8.25</v>
      </c>
      <c r="M5062" s="6" t="s">
        <v>425</v>
      </c>
      <c r="N5062" s="6" t="str">
        <f>IF(OR($G5062="FCC",$G5062="Hydrocracker",$G5062="Reformer"),IF(COUNTIFS($D:$D,$D5062,$A:$A,$A5062,$B:$B,$B5062,$G:$G,"CDU",$J:$J,"PLANNED")&gt;0,"tied","standalone"),"")</f>
        <v>standalone</v>
      </c>
    </row>
    <row r="5063" spans="1:14">
      <c r="A5063" s="6">
        <v>2025</v>
      </c>
      <c r="B5063" s="6">
        <v>1</v>
      </c>
      <c r="C5063" s="6" t="s">
        <v>60</v>
      </c>
      <c r="D5063" s="6" t="s">
        <v>937</v>
      </c>
      <c r="E5063" s="6" t="s">
        <v>455</v>
      </c>
      <c r="F5063" s="6" t="str">
        <f>IF($M5063="PADD I","PADD 1",IF($M5063="PADD II","PADD 2",IF($M5063="PADD III","PADD 3",IF($M5063="PADD IV","PADD 4",IF($M5063="PADD V","PADD 5","")))))</f>
        <v>PADD 3</v>
      </c>
      <c r="G5063" s="6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6" t="s">
        <v>687</v>
      </c>
      <c r="I5063" s="6" t="s">
        <v>1328</v>
      </c>
      <c r="J5063" s="6" t="s">
        <v>394</v>
      </c>
      <c r="K5063" s="10">
        <v>2.85</v>
      </c>
      <c r="L5063" s="10">
        <v>15</v>
      </c>
      <c r="M5063" s="6" t="s">
        <v>421</v>
      </c>
      <c r="N5063" s="6">
        <f>IF(OR($G5063="FCC",$G5063="Hydrocracker",$G5063="Reformer"),IF(COUNTIFS($D:$D,$D5063,$A:$A,$A5063,$B:$B,$B5063,$G:$G,"CDU",$J:$J,"PLANNED")&gt;0,"tied","standalone"),"")</f>
        <v/>
      </c>
    </row>
    <row r="5064" spans="1:14">
      <c r="A5064" s="6">
        <v>2025</v>
      </c>
      <c r="B5064" s="6">
        <v>1</v>
      </c>
      <c r="C5064" s="6" t="s">
        <v>60</v>
      </c>
      <c r="D5064" s="6" t="s">
        <v>712</v>
      </c>
      <c r="E5064" s="6" t="s">
        <v>602</v>
      </c>
      <c r="F5064" s="6" t="str">
        <f>IF($M5064="PADD I","PADD 1",IF($M5064="PADD II","PADD 2",IF($M5064="PADD III","PADD 3",IF($M5064="PADD IV","PADD 4",IF($M5064="PADD V","PADD 5","")))))</f>
        <v>PADD 3</v>
      </c>
      <c r="G5064" s="6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6" t="s">
        <v>471</v>
      </c>
      <c r="I5064" s="6" t="s">
        <v>1099</v>
      </c>
      <c r="J5064" s="6" t="s">
        <v>398</v>
      </c>
      <c r="K5064" s="10">
        <v>2.795</v>
      </c>
      <c r="L5064" s="10">
        <v>21.5</v>
      </c>
      <c r="M5064" s="6" t="s">
        <v>421</v>
      </c>
      <c r="N5064" s="6" t="str">
        <f>IF(OR($G5064="FCC",$G5064="Hydrocracker",$G5064="Reformer"),IF(COUNTIFS($D:$D,$D5064,$A:$A,$A5064,$B:$B,$B5064,$G:$G,"CDU",$J:$J,"PLANNED")&gt;0,"tied","standalone"),"")</f>
        <v>standalone</v>
      </c>
    </row>
    <row r="5065" spans="1:14">
      <c r="A5065" s="6">
        <v>2025</v>
      </c>
      <c r="B5065" s="6">
        <v>1</v>
      </c>
      <c r="C5065" s="6" t="s">
        <v>60</v>
      </c>
      <c r="D5065" s="6" t="s">
        <v>1205</v>
      </c>
      <c r="E5065" s="6" t="s">
        <v>1206</v>
      </c>
      <c r="F5065" s="6" t="str">
        <f>IF($M5065="PADD I","PADD 1",IF($M5065="PADD II","PADD 2",IF($M5065="PADD III","PADD 3",IF($M5065="PADD IV","PADD 4",IF($M5065="PADD V","PADD 5","")))))</f>
        <v>PADD 5</v>
      </c>
      <c r="G5065" s="6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6" t="s">
        <v>39</v>
      </c>
      <c r="I5065" s="6" t="s">
        <v>82</v>
      </c>
      <c r="J5065" s="6" t="s">
        <v>398</v>
      </c>
      <c r="K5065" s="10">
        <v>2.72</v>
      </c>
      <c r="L5065" s="10">
        <v>8.5</v>
      </c>
      <c r="M5065" s="6" t="s">
        <v>436</v>
      </c>
      <c r="N5065" s="6">
        <f>IF(OR($G5065="FCC",$G5065="Hydrocracker",$G5065="Reformer"),IF(COUNTIFS($D:$D,$D5065,$A:$A,$A5065,$B:$B,$B5065,$G:$G,"CDU",$J:$J,"PLANNED")&gt;0,"tied","standalone"),"")</f>
        <v/>
      </c>
    </row>
    <row r="5066" spans="1:14">
      <c r="A5066" s="6">
        <v>2025</v>
      </c>
      <c r="B5066" s="6">
        <v>1</v>
      </c>
      <c r="C5066" s="6" t="s">
        <v>60</v>
      </c>
      <c r="D5066" s="6" t="s">
        <v>928</v>
      </c>
      <c r="E5066" s="6" t="s">
        <v>502</v>
      </c>
      <c r="F5066" s="6" t="str">
        <f>IF($M5066="PADD I","PADD 1",IF($M5066="PADD II","PADD 2",IF($M5066="PADD III","PADD 3",IF($M5066="PADD IV","PADD 4",IF($M5066="PADD V","PADD 5","")))))</f>
        <v>PADD 2</v>
      </c>
      <c r="G5066" s="6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6" t="s">
        <v>485</v>
      </c>
      <c r="I5066" s="6" t="s">
        <v>491</v>
      </c>
      <c r="J5066" s="6" t="s">
        <v>394</v>
      </c>
      <c r="K5066" s="10">
        <v>2.72</v>
      </c>
      <c r="L5066" s="10">
        <v>8.5</v>
      </c>
      <c r="M5066" s="6" t="s">
        <v>425</v>
      </c>
      <c r="N5066" s="6">
        <f>IF(OR($G5066="FCC",$G5066="Hydrocracker",$G5066="Reformer"),IF(COUNTIFS($D:$D,$D5066,$A:$A,$A5066,$B:$B,$B5066,$G:$G,"CDU",$J:$J,"PLANNED")&gt;0,"tied","standalone"),"")</f>
        <v/>
      </c>
    </row>
    <row r="5067" spans="1:14">
      <c r="A5067" s="6">
        <v>2025</v>
      </c>
      <c r="B5067" s="6">
        <v>1</v>
      </c>
      <c r="C5067" s="6" t="s">
        <v>60</v>
      </c>
      <c r="D5067" s="6" t="s">
        <v>448</v>
      </c>
      <c r="E5067" s="6" t="s">
        <v>449</v>
      </c>
      <c r="F5067" s="6" t="str">
        <f>IF($M5067="PADD I","PADD 1",IF($M5067="PADD II","PADD 2",IF($M5067="PADD III","PADD 3",IF($M5067="PADD IV","PADD 4",IF($M5067="PADD V","PADD 5","")))))</f>
        <v>PADD 3</v>
      </c>
      <c r="G5067" s="6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6" t="s">
        <v>426</v>
      </c>
      <c r="I5067" s="6" t="s">
        <v>1086</v>
      </c>
      <c r="J5067" s="6" t="s">
        <v>394</v>
      </c>
      <c r="K5067" s="10">
        <v>2.7</v>
      </c>
      <c r="L5067" s="10">
        <v>90</v>
      </c>
      <c r="M5067" s="6" t="s">
        <v>421</v>
      </c>
      <c r="N5067" s="6" t="str">
        <f>IF(OR($G5067="FCC",$G5067="Hydrocracker",$G5067="Reformer"),IF(COUNTIFS($D:$D,$D5067,$A:$A,$A5067,$B:$B,$B5067,$G:$G,"CDU",$J:$J,"PLANNED")&gt;0,"tied","standalone"),"")</f>
        <v>standalone</v>
      </c>
    </row>
    <row r="5068" spans="1:14">
      <c r="A5068" s="6">
        <v>2025</v>
      </c>
      <c r="B5068" s="6">
        <v>1</v>
      </c>
      <c r="C5068" s="6" t="s">
        <v>60</v>
      </c>
      <c r="D5068" s="6" t="s">
        <v>824</v>
      </c>
      <c r="E5068" s="6" t="s">
        <v>825</v>
      </c>
      <c r="F5068" s="6" t="str">
        <f>IF($M5068="PADD I","PADD 1",IF($M5068="PADD II","PADD 2",IF($M5068="PADD III","PADD 3",IF($M5068="PADD IV","PADD 4",IF($M5068="PADD V","PADD 5","")))))</f>
        <v>PADD 1</v>
      </c>
      <c r="G5068" s="6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6" t="s">
        <v>44</v>
      </c>
      <c r="I5068" s="6" t="s">
        <v>1203</v>
      </c>
      <c r="J5068" s="6" t="s">
        <v>394</v>
      </c>
      <c r="K5068" s="10">
        <v>2.66</v>
      </c>
      <c r="L5068" s="10">
        <v>14</v>
      </c>
      <c r="M5068" s="6" t="s">
        <v>463</v>
      </c>
      <c r="N5068" s="6">
        <f>IF(OR($G5068="FCC",$G5068="Hydrocracker",$G5068="Reformer"),IF(COUNTIFS($D:$D,$D5068,$A:$A,$A5068,$B:$B,$B5068,$G:$G,"CDU",$J:$J,"PLANNED")&gt;0,"tied","standalone"),"")</f>
        <v/>
      </c>
    </row>
    <row r="5069" spans="1:14">
      <c r="A5069" s="6">
        <v>2025</v>
      </c>
      <c r="B5069" s="6">
        <v>1</v>
      </c>
      <c r="C5069" s="6" t="s">
        <v>60</v>
      </c>
      <c r="D5069" s="6" t="s">
        <v>660</v>
      </c>
      <c r="E5069" s="6" t="s">
        <v>661</v>
      </c>
      <c r="F5069" s="6" t="str">
        <f>IF($M5069="PADD I","PADD 1",IF($M5069="PADD II","PADD 2",IF($M5069="PADD III","PADD 3",IF($M5069="PADD IV","PADD 4",IF($M5069="PADD V","PADD 5","")))))</f>
        <v>PADD 2</v>
      </c>
      <c r="G5069" s="6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6" t="s">
        <v>510</v>
      </c>
      <c r="I5069" s="6" t="s">
        <v>666</v>
      </c>
      <c r="J5069" s="6" t="s">
        <v>398</v>
      </c>
      <c r="K5069" s="10">
        <v>2.56</v>
      </c>
      <c r="L5069" s="10">
        <v>8</v>
      </c>
      <c r="M5069" s="6" t="s">
        <v>425</v>
      </c>
      <c r="N5069" s="6">
        <f>IF(OR($G5069="FCC",$G5069="Hydrocracker",$G5069="Reformer"),IF(COUNTIFS($D:$D,$D5069,$A:$A,$A5069,$B:$B,$B5069,$G:$G,"CDU",$J:$J,"PLANNED")&gt;0,"tied","standalone"),"")</f>
        <v/>
      </c>
    </row>
    <row r="5070" spans="1:14">
      <c r="A5070" s="6">
        <v>2025</v>
      </c>
      <c r="B5070" s="6">
        <v>1</v>
      </c>
      <c r="C5070" s="6" t="s">
        <v>60</v>
      </c>
      <c r="D5070" s="6" t="s">
        <v>937</v>
      </c>
      <c r="E5070" s="6" t="s">
        <v>455</v>
      </c>
      <c r="F5070" s="6" t="str">
        <f>IF($M5070="PADD I","PADD 1",IF($M5070="PADD II","PADD 2",IF($M5070="PADD III","PADD 3",IF($M5070="PADD IV","PADD 4",IF($M5070="PADD V","PADD 5","")))))</f>
        <v>PADD 3</v>
      </c>
      <c r="G5070" s="6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6" t="s">
        <v>471</v>
      </c>
      <c r="I5070" s="6" t="s">
        <v>589</v>
      </c>
      <c r="J5070" s="6" t="s">
        <v>394</v>
      </c>
      <c r="K5070" s="10">
        <v>2.3</v>
      </c>
      <c r="L5070" s="10">
        <v>23</v>
      </c>
      <c r="M5070" s="6" t="s">
        <v>421</v>
      </c>
      <c r="N5070" s="6" t="str">
        <f>IF(OR($G5070="FCC",$G5070="Hydrocracker",$G5070="Reformer"),IF(COUNTIFS($D:$D,$D5070,$A:$A,$A5070,$B:$B,$B5070,$G:$G,"CDU",$J:$J,"PLANNED")&gt;0,"tied","standalone"),"")</f>
        <v>standalone</v>
      </c>
    </row>
    <row r="5071" spans="1:14">
      <c r="A5071" s="6">
        <v>2025</v>
      </c>
      <c r="B5071" s="6">
        <v>1</v>
      </c>
      <c r="C5071" s="6" t="s">
        <v>60</v>
      </c>
      <c r="D5071" s="6" t="s">
        <v>937</v>
      </c>
      <c r="E5071" s="6" t="s">
        <v>455</v>
      </c>
      <c r="F5071" s="6" t="str">
        <f>IF($M5071="PADD I","PADD 1",IF($M5071="PADD II","PADD 2",IF($M5071="PADD III","PADD 3",IF($M5071="PADD IV","PADD 4",IF($M5071="PADD V","PADD 5","")))))</f>
        <v>PADD 3</v>
      </c>
      <c r="G5071" s="6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6" t="s">
        <v>510</v>
      </c>
      <c r="I5071" s="6" t="s">
        <v>666</v>
      </c>
      <c r="J5071" s="6" t="s">
        <v>398</v>
      </c>
      <c r="K5071" s="10">
        <v>2.275</v>
      </c>
      <c r="L5071" s="10">
        <v>6.5</v>
      </c>
      <c r="M5071" s="6" t="s">
        <v>421</v>
      </c>
      <c r="N5071" s="6">
        <f>IF(OR($G5071="FCC",$G5071="Hydrocracker",$G5071="Reformer"),IF(COUNTIFS($D:$D,$D5071,$A:$A,$A5071,$B:$B,$B5071,$G:$G,"CDU",$J:$J,"PLANNED")&gt;0,"tied","standalone"),"")</f>
        <v/>
      </c>
    </row>
    <row r="5072" spans="1:14">
      <c r="A5072" s="6">
        <v>2025</v>
      </c>
      <c r="B5072" s="6">
        <v>1</v>
      </c>
      <c r="C5072" s="6" t="s">
        <v>60</v>
      </c>
      <c r="D5072" s="6" t="s">
        <v>1205</v>
      </c>
      <c r="E5072" s="6" t="s">
        <v>1206</v>
      </c>
      <c r="F5072" s="6" t="str">
        <f>IF($M5072="PADD I","PADD 1",IF($M5072="PADD II","PADD 2",IF($M5072="PADD III","PADD 3",IF($M5072="PADD IV","PADD 4",IF($M5072="PADD V","PADD 5","")))))</f>
        <v>PADD 5</v>
      </c>
      <c r="G5072" s="6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6" t="s">
        <v>428</v>
      </c>
      <c r="I5072" s="6" t="s">
        <v>481</v>
      </c>
      <c r="J5072" s="6" t="s">
        <v>398</v>
      </c>
      <c r="K5072" s="10">
        <v>2.24</v>
      </c>
      <c r="L5072" s="10">
        <v>7</v>
      </c>
      <c r="M5072" s="6" t="s">
        <v>436</v>
      </c>
      <c r="N5072" s="6">
        <f>IF(OR($G5072="FCC",$G5072="Hydrocracker",$G5072="Reformer"),IF(COUNTIFS($D:$D,$D5072,$A:$A,$A5072,$B:$B,$B5072,$G:$G,"CDU",$J:$J,"PLANNED")&gt;0,"tied","standalone"),"")</f>
        <v/>
      </c>
    </row>
    <row r="5073" spans="1:14">
      <c r="A5073" s="6">
        <v>2025</v>
      </c>
      <c r="B5073" s="6">
        <v>1</v>
      </c>
      <c r="C5073" s="6" t="s">
        <v>60</v>
      </c>
      <c r="D5073" s="6" t="s">
        <v>937</v>
      </c>
      <c r="E5073" s="6" t="s">
        <v>455</v>
      </c>
      <c r="F5073" s="6" t="str">
        <f>IF($M5073="PADD I","PADD 1",IF($M5073="PADD II","PADD 2",IF($M5073="PADD III","PADD 3",IF($M5073="PADD IV","PADD 4",IF($M5073="PADD V","PADD 5","")))))</f>
        <v>PADD 3</v>
      </c>
      <c r="G5073" s="6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6" t="s">
        <v>687</v>
      </c>
      <c r="I5073" s="6" t="s">
        <v>1329</v>
      </c>
      <c r="J5073" s="6" t="s">
        <v>398</v>
      </c>
      <c r="K5073" s="10">
        <v>2.1</v>
      </c>
      <c r="L5073" s="10">
        <v>6</v>
      </c>
      <c r="M5073" s="6" t="s">
        <v>421</v>
      </c>
      <c r="N5073" s="6">
        <f>IF(OR($G5073="FCC",$G5073="Hydrocracker",$G5073="Reformer"),IF(COUNTIFS($D:$D,$D5073,$A:$A,$A5073,$B:$B,$B5073,$G:$G,"CDU",$J:$J,"PLANNED")&gt;0,"tied","standalone"),"")</f>
        <v/>
      </c>
    </row>
    <row r="5074" spans="1:14">
      <c r="A5074" s="6">
        <v>2025</v>
      </c>
      <c r="B5074" s="6">
        <v>1</v>
      </c>
      <c r="C5074" s="6" t="s">
        <v>60</v>
      </c>
      <c r="D5074" s="6" t="s">
        <v>487</v>
      </c>
      <c r="E5074" s="6" t="s">
        <v>488</v>
      </c>
      <c r="F5074" s="6" t="str">
        <f>IF($M5074="PADD I","PADD 1",IF($M5074="PADD II","PADD 2",IF($M5074="PADD III","PADD 3",IF($M5074="PADD IV","PADD 4",IF($M5074="PADD V","PADD 5","")))))</f>
        <v>PADD 4</v>
      </c>
      <c r="G5074" s="6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6" t="s">
        <v>44</v>
      </c>
      <c r="I5074" s="6" t="s">
        <v>543</v>
      </c>
      <c r="J5074" s="6" t="s">
        <v>394</v>
      </c>
      <c r="K5074" s="10">
        <v>2.1</v>
      </c>
      <c r="L5074" s="10">
        <v>21</v>
      </c>
      <c r="M5074" s="6" t="s">
        <v>480</v>
      </c>
      <c r="N5074" s="6">
        <f>IF(OR($G5074="FCC",$G5074="Hydrocracker",$G5074="Reformer"),IF(COUNTIFS($D:$D,$D5074,$A:$A,$A5074,$B:$B,$B5074,$G:$G,"CDU",$J:$J,"PLANNED")&gt;0,"tied","standalone"),"")</f>
        <v/>
      </c>
    </row>
    <row r="5075" spans="1:14">
      <c r="A5075" s="6">
        <v>2025</v>
      </c>
      <c r="B5075" s="6">
        <v>1</v>
      </c>
      <c r="C5075" s="6" t="s">
        <v>60</v>
      </c>
      <c r="D5075" s="6" t="s">
        <v>678</v>
      </c>
      <c r="E5075" s="6" t="s">
        <v>438</v>
      </c>
      <c r="F5075" s="6" t="str">
        <f>IF($M5075="PADD I","PADD 1",IF($M5075="PADD II","PADD 2",IF($M5075="PADD III","PADD 3",IF($M5075="PADD IV","PADD 4",IF($M5075="PADD V","PADD 5","")))))</f>
        <v>PADD 3</v>
      </c>
      <c r="G5075" s="6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6" t="s">
        <v>39</v>
      </c>
      <c r="I5075" s="6" t="s">
        <v>1098</v>
      </c>
      <c r="J5075" s="6" t="s">
        <v>394</v>
      </c>
      <c r="K5075" s="10">
        <v>2.01</v>
      </c>
      <c r="L5075" s="10">
        <v>67</v>
      </c>
      <c r="M5075" s="6" t="s">
        <v>421</v>
      </c>
      <c r="N5075" s="6">
        <f>IF(OR($G5075="FCC",$G5075="Hydrocracker",$G5075="Reformer"),IF(COUNTIFS($D:$D,$D5075,$A:$A,$A5075,$B:$B,$B5075,$G:$G,"CDU",$J:$J,"PLANNED")&gt;0,"tied","standalone"),"")</f>
        <v/>
      </c>
    </row>
    <row r="5076" spans="1:14">
      <c r="A5076" s="6">
        <v>2025</v>
      </c>
      <c r="B5076" s="6">
        <v>1</v>
      </c>
      <c r="C5076" s="6" t="s">
        <v>60</v>
      </c>
      <c r="D5076" s="6" t="s">
        <v>52</v>
      </c>
      <c r="E5076" s="6" t="s">
        <v>441</v>
      </c>
      <c r="F5076" s="6" t="str">
        <f>IF($M5076="PADD I","PADD 1",IF($M5076="PADD II","PADD 2",IF($M5076="PADD III","PADD 3",IF($M5076="PADD IV","PADD 4",IF($M5076="PADD V","PADD 5","")))))</f>
        <v>PADD 5</v>
      </c>
      <c r="G5076" s="6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6" t="s">
        <v>510</v>
      </c>
      <c r="I5076" s="6" t="s">
        <v>511</v>
      </c>
      <c r="J5076" s="6" t="s">
        <v>394</v>
      </c>
      <c r="K5076" s="10">
        <v>1.98</v>
      </c>
      <c r="L5076" s="10">
        <v>33</v>
      </c>
      <c r="M5076" s="6" t="s">
        <v>436</v>
      </c>
      <c r="N5076" s="6">
        <f>IF(OR($G5076="FCC",$G5076="Hydrocracker",$G5076="Reformer"),IF(COUNTIFS($D:$D,$D5076,$A:$A,$A5076,$B:$B,$B5076,$G:$G,"CDU",$J:$J,"PLANNED")&gt;0,"tied","standalone"),"")</f>
        <v/>
      </c>
    </row>
    <row r="5077" spans="1:14">
      <c r="A5077" s="6">
        <v>2025</v>
      </c>
      <c r="B5077" s="6">
        <v>1</v>
      </c>
      <c r="C5077" s="6" t="s">
        <v>60</v>
      </c>
      <c r="D5077" s="6" t="s">
        <v>680</v>
      </c>
      <c r="E5077" s="6" t="s">
        <v>541</v>
      </c>
      <c r="F5077" s="6" t="str">
        <f>IF($M5077="PADD I","PADD 1",IF($M5077="PADD II","PADD 2",IF($M5077="PADD III","PADD 3",IF($M5077="PADD IV","PADD 4",IF($M5077="PADD V","PADD 5","")))))</f>
        <v>PADD 3</v>
      </c>
      <c r="G5077" s="6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6" t="s">
        <v>44</v>
      </c>
      <c r="I5077" s="6" t="s">
        <v>514</v>
      </c>
      <c r="J5077" s="6" t="s">
        <v>394</v>
      </c>
      <c r="K5077" s="10">
        <v>1.92</v>
      </c>
      <c r="L5077" s="10">
        <v>12</v>
      </c>
      <c r="M5077" s="6" t="s">
        <v>421</v>
      </c>
      <c r="N5077" s="6">
        <f>IF(OR($G5077="FCC",$G5077="Hydrocracker",$G5077="Reformer"),IF(COUNTIFS($D:$D,$D5077,$A:$A,$A5077,$B:$B,$B5077,$G:$G,"CDU",$J:$J,"PLANNED")&gt;0,"tied","standalone"),"")</f>
        <v/>
      </c>
    </row>
    <row r="5078" spans="1:14">
      <c r="A5078" s="6">
        <v>2025</v>
      </c>
      <c r="B5078" s="6">
        <v>1</v>
      </c>
      <c r="C5078" s="6" t="s">
        <v>60</v>
      </c>
      <c r="D5078" s="6" t="s">
        <v>937</v>
      </c>
      <c r="E5078" s="6" t="s">
        <v>455</v>
      </c>
      <c r="F5078" s="6" t="str">
        <f>IF($M5078="PADD I","PADD 1",IF($M5078="PADD II","PADD 2",IF($M5078="PADD III","PADD 3",IF($M5078="PADD IV","PADD 4",IF($M5078="PADD V","PADD 5","")))))</f>
        <v>PADD 3</v>
      </c>
      <c r="G5078" s="6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6" t="s">
        <v>44</v>
      </c>
      <c r="I5078" s="6" t="s">
        <v>1330</v>
      </c>
      <c r="J5078" s="6" t="s">
        <v>394</v>
      </c>
      <c r="K5078" s="10">
        <v>1.9</v>
      </c>
      <c r="L5078" s="10">
        <v>10</v>
      </c>
      <c r="M5078" s="6" t="s">
        <v>421</v>
      </c>
      <c r="N5078" s="6">
        <f>IF(OR($G5078="FCC",$G5078="Hydrocracker",$G5078="Reformer"),IF(COUNTIFS($D:$D,$D5078,$A:$A,$A5078,$B:$B,$B5078,$G:$G,"CDU",$J:$J,"PLANNED")&gt;0,"tied","standalone"),"")</f>
        <v/>
      </c>
    </row>
    <row r="5079" spans="1:14">
      <c r="A5079" s="6">
        <v>2025</v>
      </c>
      <c r="B5079" s="6">
        <v>1</v>
      </c>
      <c r="C5079" s="6" t="s">
        <v>60</v>
      </c>
      <c r="D5079" s="6" t="s">
        <v>1205</v>
      </c>
      <c r="E5079" s="6" t="s">
        <v>1206</v>
      </c>
      <c r="F5079" s="6" t="str">
        <f>IF($M5079="PADD I","PADD 1",IF($M5079="PADD II","PADD 2",IF($M5079="PADD III","PADD 3",IF($M5079="PADD IV","PADD 4",IF($M5079="PADD V","PADD 5","")))))</f>
        <v>PADD 5</v>
      </c>
      <c r="G5079" s="6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6" t="s">
        <v>573</v>
      </c>
      <c r="I5079" s="6" t="s">
        <v>574</v>
      </c>
      <c r="J5079" s="6" t="s">
        <v>398</v>
      </c>
      <c r="K5079" s="10">
        <v>1.856</v>
      </c>
      <c r="L5079" s="10">
        <v>5.8</v>
      </c>
      <c r="M5079" s="6" t="s">
        <v>436</v>
      </c>
      <c r="N5079" s="6">
        <f>IF(OR($G5079="FCC",$G5079="Hydrocracker",$G5079="Reformer"),IF(COUNTIFS($D:$D,$D5079,$A:$A,$A5079,$B:$B,$B5079,$G:$G,"CDU",$J:$J,"PLANNED")&gt;0,"tied","standalone"),"")</f>
        <v/>
      </c>
    </row>
    <row r="5080" spans="1:14">
      <c r="A5080" s="6">
        <v>2025</v>
      </c>
      <c r="B5080" s="6">
        <v>1</v>
      </c>
      <c r="C5080" s="6" t="s">
        <v>60</v>
      </c>
      <c r="D5080" s="6" t="s">
        <v>540</v>
      </c>
      <c r="E5080" s="6" t="s">
        <v>541</v>
      </c>
      <c r="F5080" s="6" t="str">
        <f>IF($M5080="PADD I","PADD 1",IF($M5080="PADD II","PADD 2",IF($M5080="PADD III","PADD 3",IF($M5080="PADD IV","PADD 4",IF($M5080="PADD V","PADD 5","")))))</f>
        <v>PADD 3</v>
      </c>
      <c r="G5080" s="6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6" t="s">
        <v>510</v>
      </c>
      <c r="I5080" s="6" t="s">
        <v>1243</v>
      </c>
      <c r="J5080" s="6" t="s">
        <v>394</v>
      </c>
      <c r="K5080" s="10">
        <v>1.8</v>
      </c>
      <c r="L5080" s="10">
        <v>18</v>
      </c>
      <c r="M5080" s="6" t="s">
        <v>421</v>
      </c>
      <c r="N5080" s="6">
        <f>IF(OR($G5080="FCC",$G5080="Hydrocracker",$G5080="Reformer"),IF(COUNTIFS($D:$D,$D5080,$A:$A,$A5080,$B:$B,$B5080,$G:$G,"CDU",$J:$J,"PLANNED")&gt;0,"tied","standalone"),"")</f>
        <v/>
      </c>
    </row>
    <row r="5081" spans="1:14">
      <c r="A5081" s="6">
        <v>2025</v>
      </c>
      <c r="B5081" s="6">
        <v>1</v>
      </c>
      <c r="C5081" s="6" t="s">
        <v>60</v>
      </c>
      <c r="D5081" s="6" t="s">
        <v>484</v>
      </c>
      <c r="E5081" s="6" t="s">
        <v>438</v>
      </c>
      <c r="F5081" s="6" t="str">
        <f>IF($M5081="PADD I","PADD 1",IF($M5081="PADD II","PADD 2",IF($M5081="PADD III","PADD 3",IF($M5081="PADD IV","PADD 4",IF($M5081="PADD V","PADD 5","")))))</f>
        <v>PADD 5</v>
      </c>
      <c r="G5081" s="6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6" t="s">
        <v>471</v>
      </c>
      <c r="I5081" s="6" t="s">
        <v>956</v>
      </c>
      <c r="J5081" s="6" t="s">
        <v>394</v>
      </c>
      <c r="K5081" s="10">
        <v>1.69</v>
      </c>
      <c r="L5081" s="10">
        <v>13</v>
      </c>
      <c r="M5081" s="6" t="s">
        <v>436</v>
      </c>
      <c r="N5081" s="6" t="str">
        <f>IF(OR($G5081="FCC",$G5081="Hydrocracker",$G5081="Reformer"),IF(COUNTIFS($D:$D,$D5081,$A:$A,$A5081,$B:$B,$B5081,$G:$G,"CDU",$J:$J,"PLANNED")&gt;0,"tied","standalone"),"")</f>
        <v>standalone</v>
      </c>
    </row>
    <row r="5082" spans="1:14">
      <c r="A5082" s="6">
        <v>2025</v>
      </c>
      <c r="B5082" s="6">
        <v>1</v>
      </c>
      <c r="C5082" s="6" t="s">
        <v>60</v>
      </c>
      <c r="D5082" s="6" t="s">
        <v>484</v>
      </c>
      <c r="E5082" s="6" t="s">
        <v>438</v>
      </c>
      <c r="F5082" s="6" t="str">
        <f>IF($M5082="PADD I","PADD 1",IF($M5082="PADD II","PADD 2",IF($M5082="PADD III","PADD 3",IF($M5082="PADD IV","PADD 4",IF($M5082="PADD V","PADD 5","")))))</f>
        <v>PADD 5</v>
      </c>
      <c r="G5082" s="6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6" t="s">
        <v>471</v>
      </c>
      <c r="I5082" s="6" t="s">
        <v>721</v>
      </c>
      <c r="J5082" s="6" t="s">
        <v>394</v>
      </c>
      <c r="K5082" s="10">
        <v>1.69</v>
      </c>
      <c r="L5082" s="10">
        <v>13</v>
      </c>
      <c r="M5082" s="6" t="s">
        <v>436</v>
      </c>
      <c r="N5082" s="6" t="str">
        <f>IF(OR($G5082="FCC",$G5082="Hydrocracker",$G5082="Reformer"),IF(COUNTIFS($D:$D,$D5082,$A:$A,$A5082,$B:$B,$B5082,$G:$G,"CDU",$J:$J,"PLANNED")&gt;0,"tied","standalone"),"")</f>
        <v>standalone</v>
      </c>
    </row>
    <row r="5083" spans="1:14">
      <c r="A5083" s="6">
        <v>2025</v>
      </c>
      <c r="B5083" s="6">
        <v>1</v>
      </c>
      <c r="C5083" s="6" t="s">
        <v>60</v>
      </c>
      <c r="D5083" s="6" t="s">
        <v>41</v>
      </c>
      <c r="E5083" s="6" t="s">
        <v>786</v>
      </c>
      <c r="F5083" s="6" t="str">
        <f>IF($M5083="PADD I","PADD 1",IF($M5083="PADD II","PADD 2",IF($M5083="PADD III","PADD 3",IF($M5083="PADD IV","PADD 4",IF($M5083="PADD V","PADD 5","")))))</f>
        <v>PADD 1</v>
      </c>
      <c r="G5083" s="6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6" t="s">
        <v>428</v>
      </c>
      <c r="I5083" s="6" t="s">
        <v>1059</v>
      </c>
      <c r="J5083" s="6" t="s">
        <v>394</v>
      </c>
      <c r="K5083" s="10">
        <v>1.56</v>
      </c>
      <c r="L5083" s="10">
        <v>26</v>
      </c>
      <c r="M5083" s="6" t="s">
        <v>463</v>
      </c>
      <c r="N5083" s="6">
        <f>IF(OR($G5083="FCC",$G5083="Hydrocracker",$G5083="Reformer"),IF(COUNTIFS($D:$D,$D5083,$A:$A,$A5083,$B:$B,$B5083,$G:$G,"CDU",$J:$J,"PLANNED")&gt;0,"tied","standalone"),"")</f>
        <v/>
      </c>
    </row>
    <row r="5084" spans="1:14">
      <c r="A5084" s="6">
        <v>2025</v>
      </c>
      <c r="B5084" s="6">
        <v>1</v>
      </c>
      <c r="C5084" s="6" t="s">
        <v>60</v>
      </c>
      <c r="D5084" s="6" t="s">
        <v>712</v>
      </c>
      <c r="E5084" s="6" t="s">
        <v>602</v>
      </c>
      <c r="F5084" s="6" t="str">
        <f>IF($M5084="PADD I","PADD 1",IF($M5084="PADD II","PADD 2",IF($M5084="PADD III","PADD 3",IF($M5084="PADD IV","PADD 4",IF($M5084="PADD V","PADD 5","")))))</f>
        <v>PADD 3</v>
      </c>
      <c r="G5084" s="6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6" t="s">
        <v>44</v>
      </c>
      <c r="I5084" s="6" t="s">
        <v>878</v>
      </c>
      <c r="J5084" s="6" t="s">
        <v>398</v>
      </c>
      <c r="K5084" s="10">
        <v>1.56</v>
      </c>
      <c r="L5084" s="10">
        <v>12</v>
      </c>
      <c r="M5084" s="6" t="s">
        <v>421</v>
      </c>
      <c r="N5084" s="6">
        <f>IF(OR($G5084="FCC",$G5084="Hydrocracker",$G5084="Reformer"),IF(COUNTIFS($D:$D,$D5084,$A:$A,$A5084,$B:$B,$B5084,$G:$G,"CDU",$J:$J,"PLANNED")&gt;0,"tied","standalone"),"")</f>
        <v/>
      </c>
    </row>
    <row r="5085" spans="1:14">
      <c r="A5085" s="6">
        <v>2025</v>
      </c>
      <c r="B5085" s="6">
        <v>1</v>
      </c>
      <c r="C5085" s="6" t="s">
        <v>60</v>
      </c>
      <c r="D5085" s="6" t="s">
        <v>626</v>
      </c>
      <c r="E5085" s="6" t="s">
        <v>419</v>
      </c>
      <c r="F5085" s="6" t="str">
        <f>IF($M5085="PADD I","PADD 1",IF($M5085="PADD II","PADD 2",IF($M5085="PADD III","PADD 3",IF($M5085="PADD IV","PADD 4",IF($M5085="PADD V","PADD 5","")))))</f>
        <v>PADD 3</v>
      </c>
      <c r="G5085" s="6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6" t="s">
        <v>618</v>
      </c>
      <c r="I5085" s="6" t="s">
        <v>654</v>
      </c>
      <c r="J5085" s="6" t="s">
        <v>394</v>
      </c>
      <c r="K5085" s="10">
        <v>1.5</v>
      </c>
      <c r="L5085" s="10">
        <v>25</v>
      </c>
      <c r="M5085" s="6" t="s">
        <v>421</v>
      </c>
      <c r="N5085" s="6">
        <f>IF(OR($G5085="FCC",$G5085="Hydrocracker",$G5085="Reformer"),IF(COUNTIFS($D:$D,$D5085,$A:$A,$A5085,$B:$B,$B5085,$G:$G,"CDU",$J:$J,"PLANNED")&gt;0,"tied","standalone"),"")</f>
        <v/>
      </c>
    </row>
    <row r="5086" spans="1:14">
      <c r="A5086" s="6">
        <v>2025</v>
      </c>
      <c r="B5086" s="6">
        <v>1</v>
      </c>
      <c r="C5086" s="6" t="s">
        <v>60</v>
      </c>
      <c r="D5086" s="6" t="s">
        <v>622</v>
      </c>
      <c r="E5086" s="6" t="s">
        <v>623</v>
      </c>
      <c r="F5086" s="6" t="str">
        <f>IF($M5086="PADD I","PADD 1",IF($M5086="PADD II","PADD 2",IF($M5086="PADD III","PADD 3",IF($M5086="PADD IV","PADD 4",IF($M5086="PADD V","PADD 5","")))))</f>
        <v>PADD 3</v>
      </c>
      <c r="G5086" s="6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6" t="s">
        <v>39</v>
      </c>
      <c r="I5086" s="6" t="s">
        <v>624</v>
      </c>
      <c r="J5086" s="6" t="s">
        <v>394</v>
      </c>
      <c r="K5086" s="10">
        <v>1.5</v>
      </c>
      <c r="L5086" s="10">
        <v>50</v>
      </c>
      <c r="M5086" s="6" t="s">
        <v>421</v>
      </c>
      <c r="N5086" s="6">
        <f>IF(OR($G5086="FCC",$G5086="Hydrocracker",$G5086="Reformer"),IF(COUNTIFS($D:$D,$D5086,$A:$A,$A5086,$B:$B,$B5086,$G:$G,"CDU",$J:$J,"PLANNED")&gt;0,"tied","standalone"),"")</f>
        <v/>
      </c>
    </row>
    <row r="5087" spans="1:14">
      <c r="A5087" s="6">
        <v>2025</v>
      </c>
      <c r="B5087" s="6">
        <v>1</v>
      </c>
      <c r="C5087" s="6" t="s">
        <v>60</v>
      </c>
      <c r="D5087" s="6" t="s">
        <v>937</v>
      </c>
      <c r="E5087" s="6" t="s">
        <v>455</v>
      </c>
      <c r="F5087" s="6" t="str">
        <f>IF($M5087="PADD I","PADD 1",IF($M5087="PADD II","PADD 2",IF($M5087="PADD III","PADD 3",IF($M5087="PADD IV","PADD 4",IF($M5087="PADD V","PADD 5","")))))</f>
        <v>PADD 3</v>
      </c>
      <c r="G5087" s="6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6" t="s">
        <v>471</v>
      </c>
      <c r="I5087" s="6" t="s">
        <v>589</v>
      </c>
      <c r="J5087" s="6" t="s">
        <v>394</v>
      </c>
      <c r="K5087" s="10">
        <v>1.38</v>
      </c>
      <c r="L5087" s="10">
        <v>23</v>
      </c>
      <c r="M5087" s="6" t="s">
        <v>421</v>
      </c>
      <c r="N5087" s="6" t="str">
        <f>IF(OR($G5087="FCC",$G5087="Hydrocracker",$G5087="Reformer"),IF(COUNTIFS($D:$D,$D5087,$A:$A,$A5087,$B:$B,$B5087,$G:$G,"CDU",$J:$J,"PLANNED")&gt;0,"tied","standalone"),"")</f>
        <v>standalone</v>
      </c>
    </row>
    <row r="5088" spans="1:14">
      <c r="A5088" s="6">
        <v>2025</v>
      </c>
      <c r="B5088" s="6">
        <v>1</v>
      </c>
      <c r="C5088" s="6" t="s">
        <v>60</v>
      </c>
      <c r="D5088" s="6" t="s">
        <v>662</v>
      </c>
      <c r="E5088" s="6" t="s">
        <v>466</v>
      </c>
      <c r="F5088" s="6" t="str">
        <f>IF($M5088="PADD I","PADD 1",IF($M5088="PADD II","PADD 2",IF($M5088="PADD III","PADD 3",IF($M5088="PADD IV","PADD 4",IF($M5088="PADD V","PADD 5","")))))</f>
        <v>PADD 3</v>
      </c>
      <c r="G5088" s="6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6" t="s">
        <v>485</v>
      </c>
      <c r="I5088" s="6" t="s">
        <v>491</v>
      </c>
      <c r="J5088" s="6" t="s">
        <v>394</v>
      </c>
      <c r="K5088" s="10">
        <v>1.32</v>
      </c>
      <c r="L5088" s="10">
        <v>44</v>
      </c>
      <c r="M5088" s="6" t="s">
        <v>421</v>
      </c>
      <c r="N5088" s="6">
        <f>IF(OR($G5088="FCC",$G5088="Hydrocracker",$G5088="Reformer"),IF(COUNTIFS($D:$D,$D5088,$A:$A,$A5088,$B:$B,$B5088,$G:$G,"CDU",$J:$J,"PLANNED")&gt;0,"tied","standalone"),"")</f>
        <v/>
      </c>
    </row>
    <row r="5089" spans="1:14">
      <c r="A5089" s="6">
        <v>2025</v>
      </c>
      <c r="B5089" s="6">
        <v>1</v>
      </c>
      <c r="C5089" s="6" t="s">
        <v>60</v>
      </c>
      <c r="D5089" s="6" t="s">
        <v>937</v>
      </c>
      <c r="E5089" s="6" t="s">
        <v>455</v>
      </c>
      <c r="F5089" s="6" t="str">
        <f>IF($M5089="PADD I","PADD 1",IF($M5089="PADD II","PADD 2",IF($M5089="PADD III","PADD 3",IF($M5089="PADD IV","PADD 4",IF($M5089="PADD V","PADD 5","")))))</f>
        <v>PADD 3</v>
      </c>
      <c r="G5089" s="6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6" t="s">
        <v>510</v>
      </c>
      <c r="I5089" s="6" t="s">
        <v>666</v>
      </c>
      <c r="J5089" s="6" t="s">
        <v>394</v>
      </c>
      <c r="K5089" s="10">
        <v>1.235</v>
      </c>
      <c r="L5089" s="10">
        <v>6.5</v>
      </c>
      <c r="M5089" s="6" t="s">
        <v>421</v>
      </c>
      <c r="N5089" s="6">
        <f>IF(OR($G5089="FCC",$G5089="Hydrocracker",$G5089="Reformer"),IF(COUNTIFS($D:$D,$D5089,$A:$A,$A5089,$B:$B,$B5089,$G:$G,"CDU",$J:$J,"PLANNED")&gt;0,"tied","standalone"),"")</f>
        <v/>
      </c>
    </row>
    <row r="5090" spans="1:14">
      <c r="A5090" s="6">
        <v>2025</v>
      </c>
      <c r="B5090" s="6">
        <v>1</v>
      </c>
      <c r="C5090" s="6" t="s">
        <v>60</v>
      </c>
      <c r="D5090" s="6" t="s">
        <v>613</v>
      </c>
      <c r="E5090" s="6" t="s">
        <v>446</v>
      </c>
      <c r="F5090" s="6" t="str">
        <f>IF($M5090="PADD I","PADD 1",IF($M5090="PADD II","PADD 2",IF($M5090="PADD III","PADD 3",IF($M5090="PADD IV","PADD 4",IF($M5090="PADD V","PADD 5","")))))</f>
        <v>PADD 3</v>
      </c>
      <c r="G5090" s="6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6" t="s">
        <v>44</v>
      </c>
      <c r="I5090" s="6" t="s">
        <v>614</v>
      </c>
      <c r="J5090" s="6" t="s">
        <v>394</v>
      </c>
      <c r="K5090" s="10">
        <v>1.227</v>
      </c>
      <c r="L5090" s="10">
        <v>40.9</v>
      </c>
      <c r="M5090" s="6" t="s">
        <v>421</v>
      </c>
      <c r="N5090" s="6">
        <f>IF(OR($G5090="FCC",$G5090="Hydrocracker",$G5090="Reformer"),IF(COUNTIFS($D:$D,$D5090,$A:$A,$A5090,$B:$B,$B5090,$G:$G,"CDU",$J:$J,"PLANNED")&gt;0,"tied","standalone"),"")</f>
        <v/>
      </c>
    </row>
    <row r="5091" spans="1:14">
      <c r="A5091" s="6">
        <v>2025</v>
      </c>
      <c r="B5091" s="6">
        <v>1</v>
      </c>
      <c r="C5091" s="6" t="s">
        <v>60</v>
      </c>
      <c r="D5091" s="6" t="s">
        <v>1325</v>
      </c>
      <c r="E5091" s="6" t="s">
        <v>1326</v>
      </c>
      <c r="F5091" s="6" t="str">
        <f>IF($M5091="PADD I","PADD 1",IF($M5091="PADD II","PADD 2",IF($M5091="PADD III","PADD 3",IF($M5091="PADD IV","PADD 4",IF($M5091="PADD V","PADD 5","")))))</f>
        <v>PADD 3</v>
      </c>
      <c r="G5091" s="6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6" t="s">
        <v>44</v>
      </c>
      <c r="I5091" s="6" t="s">
        <v>834</v>
      </c>
      <c r="J5091" s="6" t="s">
        <v>398</v>
      </c>
      <c r="K5091" s="10">
        <v>1.15</v>
      </c>
      <c r="L5091" s="10">
        <v>5</v>
      </c>
      <c r="M5091" s="6" t="s">
        <v>421</v>
      </c>
      <c r="N5091" s="6">
        <f>IF(OR($G5091="FCC",$G5091="Hydrocracker",$G5091="Reformer"),IF(COUNTIFS($D:$D,$D5091,$A:$A,$A5091,$B:$B,$B5091,$G:$G,"CDU",$J:$J,"PLANNED")&gt;0,"tied","standalone"),"")</f>
        <v/>
      </c>
    </row>
    <row r="5092" spans="1:14">
      <c r="A5092" s="6">
        <v>2025</v>
      </c>
      <c r="B5092" s="6">
        <v>1</v>
      </c>
      <c r="C5092" s="6" t="s">
        <v>60</v>
      </c>
      <c r="D5092" s="6" t="s">
        <v>1325</v>
      </c>
      <c r="E5092" s="6" t="s">
        <v>1326</v>
      </c>
      <c r="F5092" s="6" t="str">
        <f>IF($M5092="PADD I","PADD 1",IF($M5092="PADD II","PADD 2",IF($M5092="PADD III","PADD 3",IF($M5092="PADD IV","PADD 4",IF($M5092="PADD V","PADD 5","")))))</f>
        <v>PADD 3</v>
      </c>
      <c r="G5092" s="6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6" t="s">
        <v>618</v>
      </c>
      <c r="I5092" s="6" t="s">
        <v>763</v>
      </c>
      <c r="J5092" s="6" t="s">
        <v>398</v>
      </c>
      <c r="K5092" s="10">
        <v>1.15</v>
      </c>
      <c r="L5092" s="10">
        <v>5</v>
      </c>
      <c r="M5092" s="6" t="s">
        <v>421</v>
      </c>
      <c r="N5092" s="6">
        <f>IF(OR($G5092="FCC",$G5092="Hydrocracker",$G5092="Reformer"),IF(COUNTIFS($D:$D,$D5092,$A:$A,$A5092,$B:$B,$B5092,$G:$G,"CDU",$J:$J,"PLANNED")&gt;0,"tied","standalone"),"")</f>
        <v/>
      </c>
    </row>
    <row r="5093" spans="1:14">
      <c r="A5093" s="6">
        <v>2025</v>
      </c>
      <c r="B5093" s="6">
        <v>1</v>
      </c>
      <c r="C5093" s="6" t="s">
        <v>60</v>
      </c>
      <c r="D5093" s="6" t="s">
        <v>937</v>
      </c>
      <c r="E5093" s="6" t="s">
        <v>455</v>
      </c>
      <c r="F5093" s="6" t="str">
        <f>IF($M5093="PADD I","PADD 1",IF($M5093="PADD II","PADD 2",IF($M5093="PADD III","PADD 3",IF($M5093="PADD IV","PADD 4",IF($M5093="PADD V","PADD 5","")))))</f>
        <v>PADD 3</v>
      </c>
      <c r="G5093" s="6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6" t="s">
        <v>687</v>
      </c>
      <c r="I5093" s="6" t="s">
        <v>1329</v>
      </c>
      <c r="J5093" s="6" t="s">
        <v>394</v>
      </c>
      <c r="K5093" s="10">
        <v>1.14</v>
      </c>
      <c r="L5093" s="10">
        <v>6</v>
      </c>
      <c r="M5093" s="6" t="s">
        <v>421</v>
      </c>
      <c r="N5093" s="6">
        <f>IF(OR($G5093="FCC",$G5093="Hydrocracker",$G5093="Reformer"),IF(COUNTIFS($D:$D,$D5093,$A:$A,$A5093,$B:$B,$B5093,$G:$G,"CDU",$J:$J,"PLANNED")&gt;0,"tied","standalone"),"")</f>
        <v/>
      </c>
    </row>
    <row r="5094" spans="1:14">
      <c r="A5094" s="6">
        <v>2025</v>
      </c>
      <c r="B5094" s="6">
        <v>1</v>
      </c>
      <c r="C5094" s="6" t="s">
        <v>60</v>
      </c>
      <c r="D5094" s="6" t="s">
        <v>1325</v>
      </c>
      <c r="E5094" s="6" t="s">
        <v>1326</v>
      </c>
      <c r="F5094" s="6" t="str">
        <f>IF($M5094="PADD I","PADD 1",IF($M5094="PADD II","PADD 2",IF($M5094="PADD III","PADD 3",IF($M5094="PADD IV","PADD 4",IF($M5094="PADD V","PADD 5","")))))</f>
        <v>PADD 3</v>
      </c>
      <c r="G5094" s="6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6" t="s">
        <v>44</v>
      </c>
      <c r="I5094" s="6" t="s">
        <v>543</v>
      </c>
      <c r="J5094" s="6" t="s">
        <v>398</v>
      </c>
      <c r="K5094" s="10">
        <v>1.035</v>
      </c>
      <c r="L5094" s="10">
        <v>4.5</v>
      </c>
      <c r="M5094" s="6" t="s">
        <v>421</v>
      </c>
      <c r="N5094" s="6">
        <f>IF(OR($G5094="FCC",$G5094="Hydrocracker",$G5094="Reformer"),IF(COUNTIFS($D:$D,$D5094,$A:$A,$A5094,$B:$B,$B5094,$G:$G,"CDU",$J:$J,"PLANNED")&gt;0,"tied","standalone"),"")</f>
        <v/>
      </c>
    </row>
    <row r="5095" spans="1:14">
      <c r="A5095" s="6">
        <v>2025</v>
      </c>
      <c r="B5095" s="6">
        <v>1</v>
      </c>
      <c r="C5095" s="6" t="s">
        <v>60</v>
      </c>
      <c r="D5095" s="6" t="s">
        <v>789</v>
      </c>
      <c r="E5095" s="6" t="s">
        <v>455</v>
      </c>
      <c r="F5095" s="6" t="str">
        <f>IF($M5095="PADD I","PADD 1",IF($M5095="PADD II","PADD 2",IF($M5095="PADD III","PADD 3",IF($M5095="PADD IV","PADD 4",IF($M5095="PADD V","PADD 5","")))))</f>
        <v>PADD 2</v>
      </c>
      <c r="G5095" s="6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6" t="s">
        <v>44</v>
      </c>
      <c r="I5095" s="6" t="s">
        <v>790</v>
      </c>
      <c r="J5095" s="6" t="s">
        <v>394</v>
      </c>
      <c r="K5095" s="10">
        <v>0.96</v>
      </c>
      <c r="L5095" s="10">
        <v>32</v>
      </c>
      <c r="M5095" s="6" t="s">
        <v>425</v>
      </c>
      <c r="N5095" s="6">
        <f>IF(OR($G5095="FCC",$G5095="Hydrocracker",$G5095="Reformer"),IF(COUNTIFS($D:$D,$D5095,$A:$A,$A5095,$B:$B,$B5095,$G:$G,"CDU",$J:$J,"PLANNED")&gt;0,"tied","standalone"),"")</f>
        <v/>
      </c>
    </row>
    <row r="5096" spans="1:14">
      <c r="A5096" s="6">
        <v>2025</v>
      </c>
      <c r="B5096" s="6">
        <v>1</v>
      </c>
      <c r="C5096" s="6" t="s">
        <v>60</v>
      </c>
      <c r="D5096" s="6" t="s">
        <v>660</v>
      </c>
      <c r="E5096" s="6" t="s">
        <v>661</v>
      </c>
      <c r="F5096" s="6" t="str">
        <f>IF($M5096="PADD I","PADD 1",IF($M5096="PADD II","PADD 2",IF($M5096="PADD III","PADD 3",IF($M5096="PADD IV","PADD 4",IF($M5096="PADD V","PADD 5","")))))</f>
        <v>PADD 2</v>
      </c>
      <c r="G5096" s="6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6" t="s">
        <v>44</v>
      </c>
      <c r="I5096" s="6" t="s">
        <v>672</v>
      </c>
      <c r="J5096" s="6" t="s">
        <v>394</v>
      </c>
      <c r="K5096" s="10">
        <v>0.9</v>
      </c>
      <c r="L5096" s="10">
        <v>30</v>
      </c>
      <c r="M5096" s="6" t="s">
        <v>425</v>
      </c>
      <c r="N5096" s="6">
        <f>IF(OR($G5096="FCC",$G5096="Hydrocracker",$G5096="Reformer"),IF(COUNTIFS($D:$D,$D5096,$A:$A,$A5096,$B:$B,$B5096,$G:$G,"CDU",$J:$J,"PLANNED")&gt;0,"tied","standalone"),"")</f>
        <v/>
      </c>
    </row>
    <row r="5097" spans="1:14">
      <c r="A5097" s="6">
        <v>2025</v>
      </c>
      <c r="B5097" s="6">
        <v>1</v>
      </c>
      <c r="C5097" s="6" t="s">
        <v>60</v>
      </c>
      <c r="D5097" s="6" t="s">
        <v>712</v>
      </c>
      <c r="E5097" s="6" t="s">
        <v>602</v>
      </c>
      <c r="F5097" s="6" t="str">
        <f>IF($M5097="PADD I","PADD 1",IF($M5097="PADD II","PADD 2",IF($M5097="PADD III","PADD 3",IF($M5097="PADD IV","PADD 4",IF($M5097="PADD V","PADD 5","")))))</f>
        <v>PADD 3</v>
      </c>
      <c r="G5097" s="6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6" t="s">
        <v>44</v>
      </c>
      <c r="I5097" s="6" t="s">
        <v>894</v>
      </c>
      <c r="J5097" s="6" t="s">
        <v>398</v>
      </c>
      <c r="K5097" s="10">
        <v>0.8</v>
      </c>
      <c r="L5097" s="10">
        <v>5</v>
      </c>
      <c r="M5097" s="6" t="s">
        <v>421</v>
      </c>
      <c r="N5097" s="6">
        <f>IF(OR($G5097="FCC",$G5097="Hydrocracker",$G5097="Reformer"),IF(COUNTIFS($D:$D,$D5097,$A:$A,$A5097,$B:$B,$B5097,$G:$G,"CDU",$J:$J,"PLANNED")&gt;0,"tied","standalone"),"")</f>
        <v/>
      </c>
    </row>
    <row r="5098" spans="1:14">
      <c r="A5098" s="6">
        <v>2025</v>
      </c>
      <c r="B5098" s="6">
        <v>1</v>
      </c>
      <c r="C5098" s="6" t="s">
        <v>60</v>
      </c>
      <c r="D5098" s="6" t="s">
        <v>812</v>
      </c>
      <c r="E5098" s="6" t="s">
        <v>813</v>
      </c>
      <c r="F5098" s="6" t="str">
        <f>IF($M5098="PADD I","PADD 1",IF($M5098="PADD II","PADD 2",IF($M5098="PADD III","PADD 3",IF($M5098="PADD IV","PADD 4",IF($M5098="PADD V","PADD 5","")))))</f>
        <v>PADD 2</v>
      </c>
      <c r="G5098" s="6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6" t="s">
        <v>44</v>
      </c>
      <c r="I5098" s="6" t="s">
        <v>508</v>
      </c>
      <c r="J5098" s="6" t="s">
        <v>394</v>
      </c>
      <c r="K5098" s="10">
        <v>0.78</v>
      </c>
      <c r="L5098" s="10">
        <v>13</v>
      </c>
      <c r="M5098" s="6" t="s">
        <v>425</v>
      </c>
      <c r="N5098" s="6">
        <f>IF(OR($G5098="FCC",$G5098="Hydrocracker",$G5098="Reformer"),IF(COUNTIFS($D:$D,$D5098,$A:$A,$A5098,$B:$B,$B5098,$G:$G,"CDU",$J:$J,"PLANNED")&gt;0,"tied","standalone"),"")</f>
        <v/>
      </c>
    </row>
    <row r="5099" spans="1:14">
      <c r="A5099" s="6">
        <v>2025</v>
      </c>
      <c r="B5099" s="6">
        <v>1</v>
      </c>
      <c r="C5099" s="6" t="s">
        <v>60</v>
      </c>
      <c r="D5099" s="6" t="s">
        <v>689</v>
      </c>
      <c r="E5099" s="6" t="s">
        <v>502</v>
      </c>
      <c r="F5099" s="6" t="str">
        <f>IF($M5099="PADD I","PADD 1",IF($M5099="PADD II","PADD 2",IF($M5099="PADD III","PADD 3",IF($M5099="PADD IV","PADD 4",IF($M5099="PADD V","PADD 5","")))))</f>
        <v>PADD 5</v>
      </c>
      <c r="G5099" s="6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6" t="s">
        <v>485</v>
      </c>
      <c r="I5099" s="6" t="s">
        <v>1146</v>
      </c>
      <c r="J5099" s="6" t="s">
        <v>398</v>
      </c>
      <c r="K5099" s="10">
        <v>0.759</v>
      </c>
      <c r="L5099" s="10">
        <v>25.3</v>
      </c>
      <c r="M5099" s="6" t="s">
        <v>436</v>
      </c>
      <c r="N5099" s="6">
        <f>IF(OR($G5099="FCC",$G5099="Hydrocracker",$G5099="Reformer"),IF(COUNTIFS($D:$D,$D5099,$A:$A,$A5099,$B:$B,$B5099,$G:$G,"CDU",$J:$J,"PLANNED")&gt;0,"tied","standalone"),"")</f>
        <v/>
      </c>
    </row>
    <row r="5100" spans="1:14">
      <c r="A5100" s="6">
        <v>2025</v>
      </c>
      <c r="B5100" s="6">
        <v>1</v>
      </c>
      <c r="C5100" s="6" t="s">
        <v>60</v>
      </c>
      <c r="D5100" s="6" t="s">
        <v>507</v>
      </c>
      <c r="E5100" s="6" t="s">
        <v>438</v>
      </c>
      <c r="F5100" s="6" t="str">
        <f>IF($M5100="PADD I","PADD 1",IF($M5100="PADD II","PADD 2",IF($M5100="PADD III","PADD 3",IF($M5100="PADD IV","PADD 4",IF($M5100="PADD V","PADD 5","")))))</f>
        <v>PADD 5</v>
      </c>
      <c r="G5100" s="6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6" t="s">
        <v>44</v>
      </c>
      <c r="I5100" s="6" t="s">
        <v>1331</v>
      </c>
      <c r="J5100" s="6" t="s">
        <v>398</v>
      </c>
      <c r="K5100" s="10">
        <v>0.66</v>
      </c>
      <c r="L5100" s="10">
        <v>22</v>
      </c>
      <c r="M5100" s="6" t="s">
        <v>436</v>
      </c>
      <c r="N5100" s="6">
        <f>IF(OR($G5100="FCC",$G5100="Hydrocracker",$G5100="Reformer"),IF(COUNTIFS($D:$D,$D5100,$A:$A,$A5100,$B:$B,$B5100,$G:$G,"CDU",$J:$J,"PLANNED")&gt;0,"tied","standalone"),"")</f>
        <v/>
      </c>
    </row>
    <row r="5101" spans="1:14">
      <c r="A5101" s="6">
        <v>2025</v>
      </c>
      <c r="B5101" s="6">
        <v>1</v>
      </c>
      <c r="C5101" s="6" t="s">
        <v>60</v>
      </c>
      <c r="D5101" s="6" t="s">
        <v>1325</v>
      </c>
      <c r="E5101" s="6" t="s">
        <v>1326</v>
      </c>
      <c r="F5101" s="6" t="str">
        <f>IF($M5101="PADD I","PADD 1",IF($M5101="PADD II","PADD 2",IF($M5101="PADD III","PADD 3",IF($M5101="PADD IV","PADD 4",IF($M5101="PADD V","PADD 5","")))))</f>
        <v>PADD 3</v>
      </c>
      <c r="G5101" s="6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6" t="s">
        <v>471</v>
      </c>
      <c r="I5101" s="6" t="s">
        <v>1332</v>
      </c>
      <c r="J5101" s="6" t="s">
        <v>398</v>
      </c>
      <c r="K5101" s="10">
        <v>0.575</v>
      </c>
      <c r="L5101" s="10">
        <v>2.5</v>
      </c>
      <c r="M5101" s="6" t="s">
        <v>421</v>
      </c>
      <c r="N5101" s="6" t="str">
        <f>IF(OR($G5101="FCC",$G5101="Hydrocracker",$G5101="Reformer"),IF(COUNTIFS($D:$D,$D5101,$A:$A,$A5101,$B:$B,$B5101,$G:$G,"CDU",$J:$J,"PLANNED")&gt;0,"tied","standalone"),"")</f>
        <v>tied</v>
      </c>
    </row>
    <row r="5102" spans="1:14">
      <c r="A5102" s="6">
        <v>2025</v>
      </c>
      <c r="B5102" s="6">
        <v>1</v>
      </c>
      <c r="C5102" s="6" t="s">
        <v>60</v>
      </c>
      <c r="D5102" s="6" t="s">
        <v>1115</v>
      </c>
      <c r="E5102" s="6" t="s">
        <v>466</v>
      </c>
      <c r="F5102" s="6" t="str">
        <f>IF($M5102="PADD I","PADD 1",IF($M5102="PADD II","PADD 2",IF($M5102="PADD III","PADD 3",IF($M5102="PADD IV","PADD 4",IF($M5102="PADD V","PADD 5","")))))</f>
        <v>PADD 2</v>
      </c>
      <c r="G5102" s="6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6" t="s">
        <v>510</v>
      </c>
      <c r="I5102" s="6" t="s">
        <v>1116</v>
      </c>
      <c r="J5102" s="6" t="s">
        <v>394</v>
      </c>
      <c r="K5102" s="10">
        <v>0.5669999999999999</v>
      </c>
      <c r="L5102" s="10">
        <v>18.9</v>
      </c>
      <c r="M5102" s="6" t="s">
        <v>425</v>
      </c>
      <c r="N5102" s="6">
        <f>IF(OR($G5102="FCC",$G5102="Hydrocracker",$G5102="Reformer"),IF(COUNTIFS($D:$D,$D5102,$A:$A,$A5102,$B:$B,$B5102,$G:$G,"CDU",$J:$J,"PLANNED")&gt;0,"tied","standalone"),"")</f>
        <v/>
      </c>
    </row>
    <row r="5103" spans="1:14">
      <c r="A5103" s="6">
        <v>2025</v>
      </c>
      <c r="B5103" s="6">
        <v>1</v>
      </c>
      <c r="C5103" s="6" t="s">
        <v>60</v>
      </c>
      <c r="D5103" s="6" t="s">
        <v>789</v>
      </c>
      <c r="E5103" s="6" t="s">
        <v>455</v>
      </c>
      <c r="F5103" s="6" t="str">
        <f>IF($M5103="PADD I","PADD 1",IF($M5103="PADD II","PADD 2",IF($M5103="PADD III","PADD 3",IF($M5103="PADD IV","PADD 4",IF($M5103="PADD V","PADD 5","")))))</f>
        <v>PADD 2</v>
      </c>
      <c r="G5103" s="6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6" t="s">
        <v>494</v>
      </c>
      <c r="I5103" s="6" t="s">
        <v>845</v>
      </c>
      <c r="J5103" s="6" t="s">
        <v>394</v>
      </c>
      <c r="K5103" s="10">
        <v>0.42</v>
      </c>
      <c r="L5103" s="10">
        <v>14</v>
      </c>
      <c r="M5103" s="6" t="s">
        <v>425</v>
      </c>
      <c r="N5103" s="6" t="str">
        <f>IF(OR($G5103="FCC",$G5103="Hydrocracker",$G5103="Reformer"),IF(COUNTIFS($D:$D,$D5103,$A:$A,$A5103,$B:$B,$B5103,$G:$G,"CDU",$J:$J,"PLANNED")&gt;0,"tied","standalone"),"")</f>
        <v>standalone</v>
      </c>
    </row>
    <row r="5104" spans="1:14">
      <c r="A5104" s="6">
        <v>2025</v>
      </c>
      <c r="B5104" s="6">
        <v>1</v>
      </c>
      <c r="C5104" s="6" t="s">
        <v>60</v>
      </c>
      <c r="D5104" s="6" t="s">
        <v>378</v>
      </c>
      <c r="E5104" s="6" t="s">
        <v>477</v>
      </c>
      <c r="F5104" s="6" t="str">
        <f>IF($M5104="PADD I","PADD 1",IF($M5104="PADD II","PADD 2",IF($M5104="PADD III","PADD 3",IF($M5104="PADD IV","PADD 4",IF($M5104="PADD V","PADD 5","")))))</f>
        <v>PADD 3</v>
      </c>
      <c r="G5104" s="6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6" t="s">
        <v>510</v>
      </c>
      <c r="I5104" s="6" t="s">
        <v>1125</v>
      </c>
      <c r="J5104" s="6" t="s">
        <v>394</v>
      </c>
      <c r="K5104" s="10">
        <v>0.375</v>
      </c>
      <c r="L5104" s="10">
        <v>12.5</v>
      </c>
      <c r="M5104" s="6" t="s">
        <v>421</v>
      </c>
      <c r="N5104" s="6">
        <f>IF(OR($G5104="FCC",$G5104="Hydrocracker",$G5104="Reformer"),IF(COUNTIFS($D:$D,$D5104,$A:$A,$A5104,$B:$B,$B5104,$G:$G,"CDU",$J:$J,"PLANNED")&gt;0,"tied","standalone"),"")</f>
        <v/>
      </c>
    </row>
    <row r="5105" spans="1:14">
      <c r="A5105" s="6">
        <v>2025</v>
      </c>
      <c r="B5105" s="6">
        <v>1</v>
      </c>
      <c r="C5105" s="6" t="s">
        <v>60</v>
      </c>
      <c r="D5105" s="6" t="s">
        <v>1325</v>
      </c>
      <c r="E5105" s="6" t="s">
        <v>1326</v>
      </c>
      <c r="F5105" s="6" t="str">
        <f>IF($M5105="PADD I","PADD 1",IF($M5105="PADD II","PADD 2",IF($M5105="PADD III","PADD 3",IF($M5105="PADD IV","PADD 4",IF($M5105="PADD V","PADD 5","")))))</f>
        <v>PADD 3</v>
      </c>
      <c r="G5105" s="6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6" t="s">
        <v>471</v>
      </c>
      <c r="I5105" s="6" t="s">
        <v>1333</v>
      </c>
      <c r="J5105" s="6" t="s">
        <v>398</v>
      </c>
      <c r="K5105" s="10">
        <v>0.276</v>
      </c>
      <c r="L5105" s="10">
        <v>1.2</v>
      </c>
      <c r="M5105" s="6" t="s">
        <v>421</v>
      </c>
      <c r="N5105" s="6" t="str">
        <f>IF(OR($G5105="FCC",$G5105="Hydrocracker",$G5105="Reformer"),IF(COUNTIFS($D:$D,$D5105,$A:$A,$A5105,$B:$B,$B5105,$G:$G,"CDU",$J:$J,"PLANNED")&gt;0,"tied","standalone"),"")</f>
        <v>tied</v>
      </c>
    </row>
    <row r="5106" spans="1:14">
      <c r="A5106" s="6">
        <v>2025</v>
      </c>
      <c r="B5106" s="6">
        <v>1</v>
      </c>
      <c r="C5106" s="6" t="s">
        <v>60</v>
      </c>
      <c r="D5106" s="6" t="s">
        <v>928</v>
      </c>
      <c r="E5106" s="6" t="s">
        <v>502</v>
      </c>
      <c r="F5106" s="6" t="str">
        <f>IF($M5106="PADD I","PADD 1",IF($M5106="PADD II","PADD 2",IF($M5106="PADD III","PADD 3",IF($M5106="PADD IV","PADD 4",IF($M5106="PADD V","PADD 5","")))))</f>
        <v>PADD 2</v>
      </c>
      <c r="G5106" s="6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6" t="s">
        <v>485</v>
      </c>
      <c r="I5106" s="6" t="s">
        <v>491</v>
      </c>
      <c r="J5106" s="6" t="s">
        <v>394</v>
      </c>
      <c r="K5106" s="10">
        <v>0.255</v>
      </c>
      <c r="L5106" s="10">
        <v>8.5</v>
      </c>
      <c r="M5106" s="6" t="s">
        <v>425</v>
      </c>
      <c r="N5106" s="6">
        <f>IF(OR($G5106="FCC",$G5106="Hydrocracker",$G5106="Reformer"),IF(COUNTIFS($D:$D,$D5106,$A:$A,$A5106,$B:$B,$B5106,$G:$G,"CDU",$J:$J,"PLANNED")&gt;0,"tied","standalone"),"")</f>
        <v/>
      </c>
    </row>
    <row r="5107" spans="1:14">
      <c r="A5107" s="6">
        <v>2025</v>
      </c>
      <c r="B5107" s="6">
        <v>1</v>
      </c>
      <c r="C5107" s="6" t="s">
        <v>60</v>
      </c>
      <c r="D5107" s="6" t="s">
        <v>937</v>
      </c>
      <c r="E5107" s="6" t="s">
        <v>455</v>
      </c>
      <c r="F5107" s="6" t="str">
        <f>IF($M5107="PADD I","PADD 1",IF($M5107="PADD II","PADD 2",IF($M5107="PADD III","PADD 3",IF($M5107="PADD IV","PADD 4",IF($M5107="PADD V","PADD 5","")))))</f>
        <v>PADD 3</v>
      </c>
      <c r="G5107" s="6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6" t="s">
        <v>39</v>
      </c>
      <c r="I5107" s="6" t="s">
        <v>1334</v>
      </c>
      <c r="J5107" s="6" t="s">
        <v>394</v>
      </c>
      <c r="K5107" s="10">
        <v>0.25</v>
      </c>
      <c r="L5107" s="10">
        <v>2.5</v>
      </c>
      <c r="M5107" s="6" t="s">
        <v>421</v>
      </c>
      <c r="N5107" s="6">
        <f>IF(OR($G5107="FCC",$G5107="Hydrocracker",$G5107="Reformer"),IF(COUNTIFS($D:$D,$D5107,$A:$A,$A5107,$B:$B,$B5107,$G:$G,"CDU",$J:$J,"PLANNED")&gt;0,"tied","standalone"),"")</f>
        <v/>
      </c>
    </row>
    <row r="5108" spans="1:14">
      <c r="A5108" s="6">
        <v>2025</v>
      </c>
      <c r="B5108" s="6">
        <v>2</v>
      </c>
      <c r="C5108" s="6" t="s">
        <v>61</v>
      </c>
      <c r="D5108" s="6" t="s">
        <v>437</v>
      </c>
      <c r="E5108" s="6" t="s">
        <v>438</v>
      </c>
      <c r="F5108" s="6" t="str">
        <f>IF($M5108="PADD I","PADD 1",IF($M5108="PADD II","PADD 2",IF($M5108="PADD III","PADD 3",IF($M5108="PADD IV","PADD 4",IF($M5108="PADD V","PADD 5","")))))</f>
        <v>PADD 3</v>
      </c>
      <c r="G5108" s="6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6" t="s">
        <v>39</v>
      </c>
      <c r="I5108" s="6" t="s">
        <v>1262</v>
      </c>
      <c r="J5108" s="6" t="s">
        <v>398</v>
      </c>
      <c r="K5108" s="10">
        <v>290</v>
      </c>
      <c r="L5108" s="10">
        <v>290</v>
      </c>
      <c r="M5108" s="6" t="s">
        <v>421</v>
      </c>
      <c r="N5108" s="6">
        <f>IF(OR($G5108="FCC",$G5108="Hydrocracker",$G5108="Reformer"),IF(COUNTIFS($D:$D,$D5108,$A:$A,$A5108,$B:$B,$B5108,$G:$G,"CDU",$J:$J,"PLANNED")&gt;0,"tied","standalone"),"")</f>
        <v/>
      </c>
    </row>
    <row r="5109" spans="1:14">
      <c r="A5109" s="6">
        <v>2025</v>
      </c>
      <c r="B5109" s="6">
        <v>2</v>
      </c>
      <c r="C5109" s="6" t="s">
        <v>61</v>
      </c>
      <c r="D5109" s="6" t="s">
        <v>384</v>
      </c>
      <c r="E5109" s="6" t="s">
        <v>419</v>
      </c>
      <c r="F5109" s="6" t="str">
        <f>IF($M5109="PADD I","PADD 1",IF($M5109="PADD II","PADD 2",IF($M5109="PADD III","PADD 3",IF($M5109="PADD IV","PADD 4",IF($M5109="PADD V","PADD 5","")))))</f>
        <v>PADD 3</v>
      </c>
      <c r="G5109" s="6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6" t="s">
        <v>39</v>
      </c>
      <c r="I5109" s="6" t="s">
        <v>779</v>
      </c>
      <c r="J5109" s="6" t="s">
        <v>394</v>
      </c>
      <c r="K5109" s="10">
        <v>162.74</v>
      </c>
      <c r="L5109" s="10">
        <v>206</v>
      </c>
      <c r="M5109" s="6" t="s">
        <v>421</v>
      </c>
      <c r="N5109" s="6">
        <f>IF(OR($G5109="FCC",$G5109="Hydrocracker",$G5109="Reformer"),IF(COUNTIFS($D:$D,$D5109,$A:$A,$A5109,$B:$B,$B5109,$G:$G,"CDU",$J:$J,"PLANNED")&gt;0,"tied","standalone"),"")</f>
        <v/>
      </c>
    </row>
    <row r="5110" spans="1:14">
      <c r="A5110" s="6">
        <v>2025</v>
      </c>
      <c r="B5110" s="6">
        <v>2</v>
      </c>
      <c r="C5110" s="6" t="s">
        <v>61</v>
      </c>
      <c r="D5110" s="6" t="s">
        <v>375</v>
      </c>
      <c r="E5110" s="6" t="s">
        <v>435</v>
      </c>
      <c r="F5110" s="6" t="str">
        <f>IF($M5110="PADD I","PADD 1",IF($M5110="PADD II","PADD 2",IF($M5110="PADD III","PADD 3",IF($M5110="PADD IV","PADD 4",IF($M5110="PADD V","PADD 5","")))))</f>
        <v>PADD 5</v>
      </c>
      <c r="G5110" s="6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6" t="s">
        <v>39</v>
      </c>
      <c r="I5110" s="6" t="s">
        <v>94</v>
      </c>
      <c r="J5110" s="6" t="s">
        <v>394</v>
      </c>
      <c r="K5110" s="10">
        <v>148.8</v>
      </c>
      <c r="L5110" s="10">
        <v>155</v>
      </c>
      <c r="M5110" s="6" t="s">
        <v>436</v>
      </c>
      <c r="N5110" s="6">
        <f>IF(OR($G5110="FCC",$G5110="Hydrocracker",$G5110="Reformer"),IF(COUNTIFS($D:$D,$D5110,$A:$A,$A5110,$B:$B,$B5110,$G:$G,"CDU",$J:$J,"PLANNED")&gt;0,"tied","standalone"),"")</f>
        <v/>
      </c>
    </row>
    <row r="5111" spans="1:14">
      <c r="A5111" s="6">
        <v>2025</v>
      </c>
      <c r="B5111" s="6">
        <v>2</v>
      </c>
      <c r="C5111" s="6" t="s">
        <v>61</v>
      </c>
      <c r="D5111" s="6" t="s">
        <v>51</v>
      </c>
      <c r="E5111" s="6" t="s">
        <v>431</v>
      </c>
      <c r="F5111" s="6" t="str">
        <f>IF($M5111="PADD I","PADD 1",IF($M5111="PADD II","PADD 2",IF($M5111="PADD III","PADD 3",IF($M5111="PADD IV","PADD 4",IF($M5111="PADD V","PADD 5","")))))</f>
        <v>PADD 3</v>
      </c>
      <c r="G5111" s="6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6" t="s">
        <v>39</v>
      </c>
      <c r="I5111" s="6" t="s">
        <v>1317</v>
      </c>
      <c r="J5111" s="6" t="s">
        <v>398</v>
      </c>
      <c r="K5111" s="10">
        <v>135</v>
      </c>
      <c r="L5111" s="10">
        <v>135</v>
      </c>
      <c r="M5111" s="6" t="s">
        <v>421</v>
      </c>
      <c r="N5111" s="6">
        <f>IF(OR($G5111="FCC",$G5111="Hydrocracker",$G5111="Reformer"),IF(COUNTIFS($D:$D,$D5111,$A:$A,$A5111,$B:$B,$B5111,$G:$G,"CDU",$J:$J,"PLANNED")&gt;0,"tied","standalone"),"")</f>
        <v/>
      </c>
    </row>
    <row r="5112" spans="1:14">
      <c r="A5112" s="6">
        <v>2025</v>
      </c>
      <c r="B5112" s="6">
        <v>2</v>
      </c>
      <c r="C5112" s="6" t="s">
        <v>61</v>
      </c>
      <c r="D5112" s="6" t="s">
        <v>437</v>
      </c>
      <c r="E5112" s="6" t="s">
        <v>438</v>
      </c>
      <c r="F5112" s="6" t="str">
        <f>IF($M5112="PADD I","PADD 1",IF($M5112="PADD II","PADD 2",IF($M5112="PADD III","PADD 3",IF($M5112="PADD IV","PADD 4",IF($M5112="PADD V","PADD 5","")))))</f>
        <v>PADD 3</v>
      </c>
      <c r="G5112" s="6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6" t="s">
        <v>428</v>
      </c>
      <c r="I5112" s="6" t="s">
        <v>1319</v>
      </c>
      <c r="J5112" s="6" t="s">
        <v>398</v>
      </c>
      <c r="K5112" s="10">
        <v>112.5</v>
      </c>
      <c r="L5112" s="10">
        <v>112.5</v>
      </c>
      <c r="M5112" s="6" t="s">
        <v>421</v>
      </c>
      <c r="N5112" s="6">
        <f>IF(OR($G5112="FCC",$G5112="Hydrocracker",$G5112="Reformer"),IF(COUNTIFS($D:$D,$D5112,$A:$A,$A5112,$B:$B,$B5112,$G:$G,"CDU",$J:$J,"PLANNED")&gt;0,"tied","standalone"),"")</f>
        <v/>
      </c>
    </row>
    <row r="5113" spans="1:14">
      <c r="A5113" s="6">
        <v>2025</v>
      </c>
      <c r="B5113" s="6">
        <v>2</v>
      </c>
      <c r="C5113" s="6" t="s">
        <v>61</v>
      </c>
      <c r="D5113" s="6" t="s">
        <v>384</v>
      </c>
      <c r="E5113" s="6" t="s">
        <v>419</v>
      </c>
      <c r="F5113" s="6" t="str">
        <f>IF($M5113="PADD I","PADD 1",IF($M5113="PADD II","PADD 2",IF($M5113="PADD III","PADD 3",IF($M5113="PADD IV","PADD 4",IF($M5113="PADD V","PADD 5","")))))</f>
        <v>PADD 3</v>
      </c>
      <c r="G5113" s="6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6" t="s">
        <v>428</v>
      </c>
      <c r="I5113" s="6" t="s">
        <v>1318</v>
      </c>
      <c r="J5113" s="6" t="s">
        <v>398</v>
      </c>
      <c r="K5113" s="10">
        <v>105.78</v>
      </c>
      <c r="L5113" s="10">
        <v>123</v>
      </c>
      <c r="M5113" s="6" t="s">
        <v>421</v>
      </c>
      <c r="N5113" s="6">
        <f>IF(OR($G5113="FCC",$G5113="Hydrocracker",$G5113="Reformer"),IF(COUNTIFS($D:$D,$D5113,$A:$A,$A5113,$B:$B,$B5113,$G:$G,"CDU",$J:$J,"PLANNED")&gt;0,"tied","standalone"),"")</f>
        <v/>
      </c>
    </row>
    <row r="5114" spans="1:14">
      <c r="A5114" s="6">
        <v>2025</v>
      </c>
      <c r="B5114" s="6">
        <v>2</v>
      </c>
      <c r="C5114" s="6" t="s">
        <v>61</v>
      </c>
      <c r="D5114" s="6" t="s">
        <v>505</v>
      </c>
      <c r="E5114" s="6" t="s">
        <v>455</v>
      </c>
      <c r="F5114" s="6" t="str">
        <f>IF($M5114="PADD I","PADD 1",IF($M5114="PADD II","PADD 2",IF($M5114="PADD III","PADD 3",IF($M5114="PADD IV","PADD 4",IF($M5114="PADD V","PADD 5","")))))</f>
        <v>PADD 3</v>
      </c>
      <c r="G5114" s="6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6" t="s">
        <v>426</v>
      </c>
      <c r="I5114" s="6" t="s">
        <v>106</v>
      </c>
      <c r="J5114" s="6" t="s">
        <v>394</v>
      </c>
      <c r="K5114" s="10">
        <v>100</v>
      </c>
      <c r="L5114" s="10">
        <v>100</v>
      </c>
      <c r="M5114" s="6" t="s">
        <v>421</v>
      </c>
      <c r="N5114" s="6" t="str">
        <f>IF(OR($G5114="FCC",$G5114="Hydrocracker",$G5114="Reformer"),IF(COUNTIFS($D:$D,$D5114,$A:$A,$A5114,$B:$B,$B5114,$G:$G,"CDU",$J:$J,"PLANNED")&gt;0,"tied","standalone"),"")</f>
        <v>standalone</v>
      </c>
    </row>
    <row r="5115" spans="1:14">
      <c r="A5115" s="6">
        <v>2025</v>
      </c>
      <c r="B5115" s="6">
        <v>2</v>
      </c>
      <c r="C5115" s="6" t="s">
        <v>61</v>
      </c>
      <c r="D5115" s="6" t="s">
        <v>384</v>
      </c>
      <c r="E5115" s="6" t="s">
        <v>419</v>
      </c>
      <c r="F5115" s="6" t="str">
        <f>IF($M5115="PADD I","PADD 1",IF($M5115="PADD II","PADD 2",IF($M5115="PADD III","PADD 3",IF($M5115="PADD IV","PADD 4",IF($M5115="PADD V","PADD 5","")))))</f>
        <v>PADD 3</v>
      </c>
      <c r="G5115" s="6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6" t="s">
        <v>44</v>
      </c>
      <c r="I5115" s="6" t="s">
        <v>1254</v>
      </c>
      <c r="J5115" s="6" t="s">
        <v>398</v>
      </c>
      <c r="K5115" s="10">
        <v>92.02</v>
      </c>
      <c r="L5115" s="10">
        <v>107</v>
      </c>
      <c r="M5115" s="6" t="s">
        <v>421</v>
      </c>
      <c r="N5115" s="6">
        <f>IF(OR($G5115="FCC",$G5115="Hydrocracker",$G5115="Reformer"),IF(COUNTIFS($D:$D,$D5115,$A:$A,$A5115,$B:$B,$B5115,$G:$G,"CDU",$J:$J,"PLANNED")&gt;0,"tied","standalone"),"")</f>
        <v/>
      </c>
    </row>
    <row r="5116" spans="1:14">
      <c r="A5116" s="6">
        <v>2025</v>
      </c>
      <c r="B5116" s="6">
        <v>2</v>
      </c>
      <c r="C5116" s="6" t="s">
        <v>61</v>
      </c>
      <c r="D5116" s="6" t="s">
        <v>375</v>
      </c>
      <c r="E5116" s="6" t="s">
        <v>435</v>
      </c>
      <c r="F5116" s="6" t="str">
        <f>IF($M5116="PADD I","PADD 1",IF($M5116="PADD II","PADD 2",IF($M5116="PADD III","PADD 3",IF($M5116="PADD IV","PADD 4",IF($M5116="PADD V","PADD 5","")))))</f>
        <v>PADD 5</v>
      </c>
      <c r="G5116" s="6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6" t="s">
        <v>428</v>
      </c>
      <c r="I5116" s="6" t="s">
        <v>481</v>
      </c>
      <c r="J5116" s="6" t="s">
        <v>394</v>
      </c>
      <c r="K5116" s="10">
        <v>86.40000000000001</v>
      </c>
      <c r="L5116" s="10">
        <v>90</v>
      </c>
      <c r="M5116" s="6" t="s">
        <v>436</v>
      </c>
      <c r="N5116" s="6">
        <f>IF(OR($G5116="FCC",$G5116="Hydrocracker",$G5116="Reformer"),IF(COUNTIFS($D:$D,$D5116,$A:$A,$A5116,$B:$B,$B5116,$G:$G,"CDU",$J:$J,"PLANNED")&gt;0,"tied","standalone"),"")</f>
        <v/>
      </c>
    </row>
    <row r="5117" spans="1:14">
      <c r="A5117" s="6">
        <v>2025</v>
      </c>
      <c r="B5117" s="6">
        <v>2</v>
      </c>
      <c r="C5117" s="6" t="s">
        <v>61</v>
      </c>
      <c r="D5117" s="6" t="s">
        <v>540</v>
      </c>
      <c r="E5117" s="6" t="s">
        <v>541</v>
      </c>
      <c r="F5117" s="6" t="str">
        <f>IF($M5117="PADD I","PADD 1",IF($M5117="PADD II","PADD 2",IF($M5117="PADD III","PADD 3",IF($M5117="PADD IV","PADD 4",IF($M5117="PADD V","PADD 5","")))))</f>
        <v>PADD 3</v>
      </c>
      <c r="G5117" s="6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6" t="s">
        <v>426</v>
      </c>
      <c r="I5117" s="6" t="s">
        <v>522</v>
      </c>
      <c r="J5117" s="6" t="s">
        <v>398</v>
      </c>
      <c r="K5117" s="10">
        <v>81</v>
      </c>
      <c r="L5117" s="10">
        <v>81</v>
      </c>
      <c r="M5117" s="6" t="s">
        <v>421</v>
      </c>
      <c r="N5117" s="6" t="str">
        <f>IF(OR($G5117="FCC",$G5117="Hydrocracker",$G5117="Reformer"),IF(COUNTIFS($D:$D,$D5117,$A:$A,$A5117,$B:$B,$B5117,$G:$G,"CDU",$J:$J,"PLANNED")&gt;0,"tied","standalone"),"")</f>
        <v>standalone</v>
      </c>
    </row>
    <row r="5118" spans="1:14">
      <c r="A5118" s="6">
        <v>2025</v>
      </c>
      <c r="B5118" s="6">
        <v>2</v>
      </c>
      <c r="C5118" s="6" t="s">
        <v>61</v>
      </c>
      <c r="D5118" s="6" t="s">
        <v>373</v>
      </c>
      <c r="E5118" s="6" t="s">
        <v>438</v>
      </c>
      <c r="F5118" s="6" t="str">
        <f>IF($M5118="PADD I","PADD 1",IF($M5118="PADD II","PADD 2",IF($M5118="PADD III","PADD 3",IF($M5118="PADD IV","PADD 4",IF($M5118="PADD V","PADD 5","")))))</f>
        <v>PADD 3</v>
      </c>
      <c r="G5118" s="6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6" t="s">
        <v>39</v>
      </c>
      <c r="I5118" s="6" t="s">
        <v>100</v>
      </c>
      <c r="J5118" s="6" t="s">
        <v>398</v>
      </c>
      <c r="K5118" s="10">
        <v>78.375</v>
      </c>
      <c r="L5118" s="10">
        <v>137.5</v>
      </c>
      <c r="M5118" s="6" t="s">
        <v>421</v>
      </c>
      <c r="N5118" s="6">
        <f>IF(OR($G5118="FCC",$G5118="Hydrocracker",$G5118="Reformer"),IF(COUNTIFS($D:$D,$D5118,$A:$A,$A5118,$B:$B,$B5118,$G:$G,"CDU",$J:$J,"PLANNED")&gt;0,"tied","standalone"),"")</f>
        <v/>
      </c>
    </row>
    <row r="5119" spans="1:14">
      <c r="A5119" s="6">
        <v>2025</v>
      </c>
      <c r="B5119" s="6">
        <v>2</v>
      </c>
      <c r="C5119" s="6" t="s">
        <v>61</v>
      </c>
      <c r="D5119" s="6" t="s">
        <v>375</v>
      </c>
      <c r="E5119" s="6" t="s">
        <v>435</v>
      </c>
      <c r="F5119" s="6" t="str">
        <f>IF($M5119="PADD I","PADD 1",IF($M5119="PADD II","PADD 2",IF($M5119="PADD III","PADD 3",IF($M5119="PADD IV","PADD 4",IF($M5119="PADD V","PADD 5","")))))</f>
        <v>PADD 5</v>
      </c>
      <c r="G5119" s="6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6" t="s">
        <v>44</v>
      </c>
      <c r="I5119" s="6" t="s">
        <v>1335</v>
      </c>
      <c r="J5119" s="6" t="s">
        <v>394</v>
      </c>
      <c r="K5119" s="10">
        <v>77.5</v>
      </c>
      <c r="L5119" s="10">
        <v>77.5</v>
      </c>
      <c r="M5119" s="6" t="s">
        <v>436</v>
      </c>
      <c r="N5119" s="6">
        <f>IF(OR($G5119="FCC",$G5119="Hydrocracker",$G5119="Reformer"),IF(COUNTIFS($D:$D,$D5119,$A:$A,$A5119,$B:$B,$B5119,$G:$G,"CDU",$J:$J,"PLANNED")&gt;0,"tied","standalone"),"")</f>
        <v/>
      </c>
    </row>
    <row r="5120" spans="1:14">
      <c r="A5120" s="6">
        <v>2025</v>
      </c>
      <c r="B5120" s="6">
        <v>2</v>
      </c>
      <c r="C5120" s="6" t="s">
        <v>61</v>
      </c>
      <c r="D5120" s="6" t="s">
        <v>828</v>
      </c>
      <c r="E5120" s="6" t="s">
        <v>829</v>
      </c>
      <c r="F5120" s="6" t="str">
        <f>IF($M5120="PADD I","PADD 1",IF($M5120="PADD II","PADD 2",IF($M5120="PADD III","PADD 3",IF($M5120="PADD IV","PADD 4",IF($M5120="PADD V","PADD 5","")))))</f>
        <v>PADD 3</v>
      </c>
      <c r="G5120" s="6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6" t="s">
        <v>39</v>
      </c>
      <c r="I5120" s="6" t="s">
        <v>830</v>
      </c>
      <c r="J5120" s="6" t="s">
        <v>398</v>
      </c>
      <c r="K5120" s="10">
        <v>76.83</v>
      </c>
      <c r="L5120" s="10">
        <v>197</v>
      </c>
      <c r="M5120" s="6" t="s">
        <v>421</v>
      </c>
      <c r="N5120" s="6">
        <f>IF(OR($G5120="FCC",$G5120="Hydrocracker",$G5120="Reformer"),IF(COUNTIFS($D:$D,$D5120,$A:$A,$A5120,$B:$B,$B5120,$G:$G,"CDU",$J:$J,"PLANNED")&gt;0,"tied","standalone"),"")</f>
        <v/>
      </c>
    </row>
    <row r="5121" spans="1:14">
      <c r="A5121" s="6">
        <v>2025</v>
      </c>
      <c r="B5121" s="6">
        <v>2</v>
      </c>
      <c r="C5121" s="6" t="s">
        <v>61</v>
      </c>
      <c r="D5121" s="6" t="s">
        <v>660</v>
      </c>
      <c r="E5121" s="6" t="s">
        <v>661</v>
      </c>
      <c r="F5121" s="6" t="str">
        <f>IF($M5121="PADD I","PADD 1",IF($M5121="PADD II","PADD 2",IF($M5121="PADD III","PADD 3",IF($M5121="PADD IV","PADD 4",IF($M5121="PADD V","PADD 5","")))))</f>
        <v>PADD 2</v>
      </c>
      <c r="G5121" s="6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6" t="s">
        <v>39</v>
      </c>
      <c r="I5121" s="6" t="s">
        <v>424</v>
      </c>
      <c r="J5121" s="6" t="s">
        <v>398</v>
      </c>
      <c r="K5121" s="10">
        <v>75</v>
      </c>
      <c r="L5121" s="10">
        <v>75</v>
      </c>
      <c r="M5121" s="6" t="s">
        <v>425</v>
      </c>
      <c r="N5121" s="6">
        <f>IF(OR($G5121="FCC",$G5121="Hydrocracker",$G5121="Reformer"),IF(COUNTIFS($D:$D,$D5121,$A:$A,$A5121,$B:$B,$B5121,$G:$G,"CDU",$J:$J,"PLANNED")&gt;0,"tied","standalone"),"")</f>
        <v/>
      </c>
    </row>
    <row r="5122" spans="1:14">
      <c r="A5122" s="6">
        <v>2025</v>
      </c>
      <c r="B5122" s="6">
        <v>2</v>
      </c>
      <c r="C5122" s="6" t="s">
        <v>61</v>
      </c>
      <c r="D5122" s="6" t="s">
        <v>461</v>
      </c>
      <c r="E5122" s="6" t="s">
        <v>419</v>
      </c>
      <c r="F5122" s="6" t="str">
        <f>IF($M5122="PADD I","PADD 1",IF($M5122="PADD II","PADD 2",IF($M5122="PADD III","PADD 3",IF($M5122="PADD IV","PADD 4",IF($M5122="PADD V","PADD 5","")))))</f>
        <v>PADD 1</v>
      </c>
      <c r="G5122" s="6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6" t="s">
        <v>39</v>
      </c>
      <c r="I5122" s="6" t="s">
        <v>579</v>
      </c>
      <c r="J5122" s="6" t="s">
        <v>398</v>
      </c>
      <c r="K5122" s="10">
        <v>69.93000000000001</v>
      </c>
      <c r="L5122" s="10">
        <v>129.5</v>
      </c>
      <c r="M5122" s="6" t="s">
        <v>463</v>
      </c>
      <c r="N5122" s="6">
        <f>IF(OR($G5122="FCC",$G5122="Hydrocracker",$G5122="Reformer"),IF(COUNTIFS($D:$D,$D5122,$A:$A,$A5122,$B:$B,$B5122,$G:$G,"CDU",$J:$J,"PLANNED")&gt;0,"tied","standalone"),"")</f>
        <v/>
      </c>
    </row>
    <row r="5123" spans="1:14">
      <c r="A5123" s="6">
        <v>2025</v>
      </c>
      <c r="B5123" s="6">
        <v>2</v>
      </c>
      <c r="C5123" s="6" t="s">
        <v>61</v>
      </c>
      <c r="D5123" s="6" t="s">
        <v>461</v>
      </c>
      <c r="E5123" s="6" t="s">
        <v>419</v>
      </c>
      <c r="F5123" s="6" t="str">
        <f>IF($M5123="PADD I","PADD 1",IF($M5123="PADD II","PADD 2",IF($M5123="PADD III","PADD 3",IF($M5123="PADD IV","PADD 4",IF($M5123="PADD V","PADD 5","")))))</f>
        <v>PADD 1</v>
      </c>
      <c r="G5123" s="6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6" t="s">
        <v>39</v>
      </c>
      <c r="I5123" s="6" t="s">
        <v>462</v>
      </c>
      <c r="J5123" s="6" t="s">
        <v>398</v>
      </c>
      <c r="K5123" s="10">
        <v>69.66</v>
      </c>
      <c r="L5123" s="10">
        <v>129</v>
      </c>
      <c r="M5123" s="6" t="s">
        <v>463</v>
      </c>
      <c r="N5123" s="6">
        <f>IF(OR($G5123="FCC",$G5123="Hydrocracker",$G5123="Reformer"),IF(COUNTIFS($D:$D,$D5123,$A:$A,$A5123,$B:$B,$B5123,$G:$G,"CDU",$J:$J,"PLANNED")&gt;0,"tied","standalone"),"")</f>
        <v/>
      </c>
    </row>
    <row r="5124" spans="1:14">
      <c r="A5124" s="6">
        <v>2025</v>
      </c>
      <c r="B5124" s="6">
        <v>2</v>
      </c>
      <c r="C5124" s="6" t="s">
        <v>61</v>
      </c>
      <c r="D5124" s="6" t="s">
        <v>384</v>
      </c>
      <c r="E5124" s="6" t="s">
        <v>419</v>
      </c>
      <c r="F5124" s="6" t="str">
        <f>IF($M5124="PADD I","PADD 1",IF($M5124="PADD II","PADD 2",IF($M5124="PADD III","PADD 3",IF($M5124="PADD IV","PADD 4",IF($M5124="PADD V","PADD 5","")))))</f>
        <v>PADD 3</v>
      </c>
      <c r="G5124" s="6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6" t="s">
        <v>485</v>
      </c>
      <c r="I5124" s="6" t="s">
        <v>1255</v>
      </c>
      <c r="J5124" s="6" t="s">
        <v>394</v>
      </c>
      <c r="K5124" s="10">
        <v>63.101</v>
      </c>
      <c r="L5124" s="10">
        <v>70.90000000000001</v>
      </c>
      <c r="M5124" s="6" t="s">
        <v>421</v>
      </c>
      <c r="N5124" s="6">
        <f>IF(OR($G5124="FCC",$G5124="Hydrocracker",$G5124="Reformer"),IF(COUNTIFS($D:$D,$D5124,$A:$A,$A5124,$B:$B,$B5124,$G:$G,"CDU",$J:$J,"PLANNED")&gt;0,"tied","standalone"),"")</f>
        <v/>
      </c>
    </row>
    <row r="5125" spans="1:14">
      <c r="A5125" s="6">
        <v>2025</v>
      </c>
      <c r="B5125" s="6">
        <v>2</v>
      </c>
      <c r="C5125" s="6" t="s">
        <v>61</v>
      </c>
      <c r="D5125" s="6" t="s">
        <v>505</v>
      </c>
      <c r="E5125" s="6" t="s">
        <v>455</v>
      </c>
      <c r="F5125" s="6" t="str">
        <f>IF($M5125="PADD I","PADD 1",IF($M5125="PADD II","PADD 2",IF($M5125="PADD III","PADD 3",IF($M5125="PADD IV","PADD 4",IF($M5125="PADD V","PADD 5","")))))</f>
        <v>PADD 3</v>
      </c>
      <c r="G5125" s="6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6" t="s">
        <v>44</v>
      </c>
      <c r="I5125" s="6" t="s">
        <v>1323</v>
      </c>
      <c r="J5125" s="6" t="s">
        <v>398</v>
      </c>
      <c r="K5125" s="10">
        <v>60</v>
      </c>
      <c r="L5125" s="10">
        <v>60</v>
      </c>
      <c r="M5125" s="6" t="s">
        <v>421</v>
      </c>
      <c r="N5125" s="6">
        <f>IF(OR($G5125="FCC",$G5125="Hydrocracker",$G5125="Reformer"),IF(COUNTIFS($D:$D,$D5125,$A:$A,$A5125,$B:$B,$B5125,$G:$G,"CDU",$J:$J,"PLANNED")&gt;0,"tied","standalone"),"")</f>
        <v/>
      </c>
    </row>
    <row r="5126" spans="1:14">
      <c r="A5126" s="6">
        <v>2025</v>
      </c>
      <c r="B5126" s="6">
        <v>2</v>
      </c>
      <c r="C5126" s="6" t="s">
        <v>61</v>
      </c>
      <c r="D5126" s="6" t="s">
        <v>660</v>
      </c>
      <c r="E5126" s="6" t="s">
        <v>661</v>
      </c>
      <c r="F5126" s="6" t="str">
        <f>IF($M5126="PADD I","PADD 1",IF($M5126="PADD II","PADD 2",IF($M5126="PADD III","PADD 3",IF($M5126="PADD IV","PADD 4",IF($M5126="PADD V","PADD 5","")))))</f>
        <v>PADD 2</v>
      </c>
      <c r="G5126" s="6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6" t="s">
        <v>39</v>
      </c>
      <c r="I5126" s="6" t="s">
        <v>381</v>
      </c>
      <c r="J5126" s="6" t="s">
        <v>398</v>
      </c>
      <c r="K5126" s="10">
        <v>60</v>
      </c>
      <c r="L5126" s="10">
        <v>60</v>
      </c>
      <c r="M5126" s="6" t="s">
        <v>425</v>
      </c>
      <c r="N5126" s="6">
        <f>IF(OR($G5126="FCC",$G5126="Hydrocracker",$G5126="Reformer"),IF(COUNTIFS($D:$D,$D5126,$A:$A,$A5126,$B:$B,$B5126,$G:$G,"CDU",$J:$J,"PLANNED")&gt;0,"tied","standalone"),"")</f>
        <v/>
      </c>
    </row>
    <row r="5127" spans="1:14">
      <c r="A5127" s="6">
        <v>2025</v>
      </c>
      <c r="B5127" s="6">
        <v>2</v>
      </c>
      <c r="C5127" s="6" t="s">
        <v>61</v>
      </c>
      <c r="D5127" s="6" t="s">
        <v>395</v>
      </c>
      <c r="E5127" s="6" t="s">
        <v>433</v>
      </c>
      <c r="F5127" s="6" t="str">
        <f>IF($M5127="PADD I","PADD 1",IF($M5127="PADD II","PADD 2",IF($M5127="PADD III","PADD 3",IF($M5127="PADD IV","PADD 4",IF($M5127="PADD V","PADD 5","")))))</f>
        <v>PADD 2</v>
      </c>
      <c r="G5127" s="6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6" t="s">
        <v>39</v>
      </c>
      <c r="I5127" s="6" t="s">
        <v>1108</v>
      </c>
      <c r="J5127" s="6" t="s">
        <v>398</v>
      </c>
      <c r="K5127" s="10">
        <v>57.4</v>
      </c>
      <c r="L5127" s="10">
        <v>70</v>
      </c>
      <c r="M5127" s="6" t="s">
        <v>425</v>
      </c>
      <c r="N5127" s="6">
        <f>IF(OR($G5127="FCC",$G5127="Hydrocracker",$G5127="Reformer"),IF(COUNTIFS($D:$D,$D5127,$A:$A,$A5127,$B:$B,$B5127,$G:$G,"CDU",$J:$J,"PLANNED")&gt;0,"tied","standalone"),"")</f>
        <v/>
      </c>
    </row>
    <row r="5128" spans="1:14">
      <c r="A5128" s="6">
        <v>2025</v>
      </c>
      <c r="B5128" s="6">
        <v>2</v>
      </c>
      <c r="C5128" s="6" t="s">
        <v>61</v>
      </c>
      <c r="D5128" s="6" t="s">
        <v>1264</v>
      </c>
      <c r="E5128" s="6" t="s">
        <v>1265</v>
      </c>
      <c r="F5128" s="6" t="str">
        <f>IF($M5128="PADD I","PADD 1",IF($M5128="PADD II","PADD 2",IF($M5128="PADD III","PADD 3",IF($M5128="PADD IV","PADD 4",IF($M5128="PADD V","PADD 5","")))))</f>
        <v>PADD 1</v>
      </c>
      <c r="G5128" s="6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6" t="s">
        <v>39</v>
      </c>
      <c r="I5128" s="6" t="s">
        <v>132</v>
      </c>
      <c r="J5128" s="6" t="s">
        <v>394</v>
      </c>
      <c r="K5128" s="10">
        <v>56</v>
      </c>
      <c r="L5128" s="10">
        <v>56</v>
      </c>
      <c r="M5128" s="6" t="s">
        <v>463</v>
      </c>
      <c r="N5128" s="6">
        <f>IF(OR($G5128="FCC",$G5128="Hydrocracker",$G5128="Reformer"),IF(COUNTIFS($D:$D,$D5128,$A:$A,$A5128,$B:$B,$B5128,$G:$G,"CDU",$J:$J,"PLANNED")&gt;0,"tied","standalone"),"")</f>
        <v/>
      </c>
    </row>
    <row r="5129" spans="1:14">
      <c r="A5129" s="6">
        <v>2025</v>
      </c>
      <c r="B5129" s="6">
        <v>2</v>
      </c>
      <c r="C5129" s="6" t="s">
        <v>61</v>
      </c>
      <c r="D5129" s="6" t="s">
        <v>726</v>
      </c>
      <c r="E5129" s="6" t="s">
        <v>727</v>
      </c>
      <c r="F5129" s="6" t="str">
        <f>IF($M5129="PADD I","PADD 1",IF($M5129="PADD II","PADD 2",IF($M5129="PADD III","PADD 3",IF($M5129="PADD IV","PADD 4",IF($M5129="PADD V","PADD 5","")))))</f>
        <v>PADD 1</v>
      </c>
      <c r="G5129" s="6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6" t="s">
        <v>39</v>
      </c>
      <c r="I5129" s="6" t="s">
        <v>728</v>
      </c>
      <c r="J5129" s="6" t="s">
        <v>394</v>
      </c>
      <c r="K5129" s="10">
        <v>56</v>
      </c>
      <c r="L5129" s="10">
        <v>56</v>
      </c>
      <c r="M5129" s="6" t="s">
        <v>463</v>
      </c>
      <c r="N5129" s="6">
        <f>IF(OR($G5129="FCC",$G5129="Hydrocracker",$G5129="Reformer"),IF(COUNTIFS($D:$D,$D5129,$A:$A,$A5129,$B:$B,$B5129,$G:$G,"CDU",$J:$J,"PLANNED")&gt;0,"tied","standalone"),"")</f>
        <v/>
      </c>
    </row>
    <row r="5130" spans="1:14">
      <c r="A5130" s="6">
        <v>2025</v>
      </c>
      <c r="B5130" s="6">
        <v>2</v>
      </c>
      <c r="C5130" s="6" t="s">
        <v>61</v>
      </c>
      <c r="D5130" s="6" t="s">
        <v>726</v>
      </c>
      <c r="E5130" s="6" t="s">
        <v>727</v>
      </c>
      <c r="F5130" s="6" t="str">
        <f>IF($M5130="PADD I","PADD 1",IF($M5130="PADD II","PADD 2",IF($M5130="PADD III","PADD 3",IF($M5130="PADD IV","PADD 4",IF($M5130="PADD V","PADD 5","")))))</f>
        <v>PADD 1</v>
      </c>
      <c r="G5130" s="6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6" t="s">
        <v>39</v>
      </c>
      <c r="I5130" s="6" t="s">
        <v>1316</v>
      </c>
      <c r="J5130" s="6" t="s">
        <v>394</v>
      </c>
      <c r="K5130" s="10">
        <v>55</v>
      </c>
      <c r="L5130" s="10">
        <v>55</v>
      </c>
      <c r="M5130" s="6" t="s">
        <v>463</v>
      </c>
      <c r="N5130" s="6">
        <f>IF(OR($G5130="FCC",$G5130="Hydrocracker",$G5130="Reformer"),IF(COUNTIFS($D:$D,$D5130,$A:$A,$A5130,$B:$B,$B5130,$G:$G,"CDU",$J:$J,"PLANNED")&gt;0,"tied","standalone"),"")</f>
        <v/>
      </c>
    </row>
    <row r="5131" spans="1:14">
      <c r="A5131" s="6">
        <v>2025</v>
      </c>
      <c r="B5131" s="6">
        <v>2</v>
      </c>
      <c r="C5131" s="6" t="s">
        <v>61</v>
      </c>
      <c r="D5131" s="6" t="s">
        <v>540</v>
      </c>
      <c r="E5131" s="6" t="s">
        <v>541</v>
      </c>
      <c r="F5131" s="6" t="str">
        <f>IF($M5131="PADD I","PADD 1",IF($M5131="PADD II","PADD 2",IF($M5131="PADD III","PADD 3",IF($M5131="PADD IV","PADD 4",IF($M5131="PADD V","PADD 5","")))))</f>
        <v>PADD 3</v>
      </c>
      <c r="G5131" s="6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6" t="s">
        <v>485</v>
      </c>
      <c r="I5131" s="6" t="s">
        <v>737</v>
      </c>
      <c r="J5131" s="6" t="s">
        <v>398</v>
      </c>
      <c r="K5131" s="10">
        <v>54</v>
      </c>
      <c r="L5131" s="10">
        <v>54</v>
      </c>
      <c r="M5131" s="6" t="s">
        <v>421</v>
      </c>
      <c r="N5131" s="6">
        <f>IF(OR($G5131="FCC",$G5131="Hydrocracker",$G5131="Reformer"),IF(COUNTIFS($D:$D,$D5131,$A:$A,$A5131,$B:$B,$B5131,$G:$G,"CDU",$J:$J,"PLANNED")&gt;0,"tied","standalone"),"")</f>
        <v/>
      </c>
    </row>
    <row r="5132" spans="1:14">
      <c r="A5132" s="6">
        <v>2025</v>
      </c>
      <c r="B5132" s="6">
        <v>2</v>
      </c>
      <c r="C5132" s="6" t="s">
        <v>61</v>
      </c>
      <c r="D5132" s="6" t="s">
        <v>378</v>
      </c>
      <c r="E5132" s="6" t="s">
        <v>477</v>
      </c>
      <c r="F5132" s="6" t="str">
        <f>IF($M5132="PADD I","PADD 1",IF($M5132="PADD II","PADD 2",IF($M5132="PADD III","PADD 3",IF($M5132="PADD IV","PADD 4",IF($M5132="PADD V","PADD 5","")))))</f>
        <v>PADD 3</v>
      </c>
      <c r="G5132" s="6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6" t="s">
        <v>44</v>
      </c>
      <c r="I5132" s="6" t="s">
        <v>1258</v>
      </c>
      <c r="J5132" s="6" t="s">
        <v>394</v>
      </c>
      <c r="K5132" s="10">
        <v>53.32</v>
      </c>
      <c r="L5132" s="10">
        <v>62</v>
      </c>
      <c r="M5132" s="6" t="s">
        <v>421</v>
      </c>
      <c r="N5132" s="6">
        <f>IF(OR($G5132="FCC",$G5132="Hydrocracker",$G5132="Reformer"),IF(COUNTIFS($D:$D,$D5132,$A:$A,$A5132,$B:$B,$B5132,$G:$G,"CDU",$J:$J,"PLANNED")&gt;0,"tied","standalone"),"")</f>
        <v/>
      </c>
    </row>
    <row r="5133" spans="1:14">
      <c r="A5133" s="6">
        <v>2025</v>
      </c>
      <c r="B5133" s="6">
        <v>2</v>
      </c>
      <c r="C5133" s="6" t="s">
        <v>61</v>
      </c>
      <c r="D5133" s="6" t="s">
        <v>375</v>
      </c>
      <c r="E5133" s="6" t="s">
        <v>435</v>
      </c>
      <c r="F5133" s="6" t="str">
        <f>IF($M5133="PADD I","PADD 1",IF($M5133="PADD II","PADD 2",IF($M5133="PADD III","PADD 3",IF($M5133="PADD IV","PADD 4",IF($M5133="PADD V","PADD 5","")))))</f>
        <v>PADD 5</v>
      </c>
      <c r="G5133" s="6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6" t="s">
        <v>44</v>
      </c>
      <c r="I5133" s="6" t="s">
        <v>1224</v>
      </c>
      <c r="J5133" s="6" t="s">
        <v>394</v>
      </c>
      <c r="K5133" s="10">
        <v>50.2</v>
      </c>
      <c r="L5133" s="10">
        <v>50.2</v>
      </c>
      <c r="M5133" s="6" t="s">
        <v>436</v>
      </c>
      <c r="N5133" s="6">
        <f>IF(OR($G5133="FCC",$G5133="Hydrocracker",$G5133="Reformer"),IF(COUNTIFS($D:$D,$D5133,$A:$A,$A5133,$B:$B,$B5133,$G:$G,"CDU",$J:$J,"PLANNED")&gt;0,"tied","standalone"),"")</f>
        <v/>
      </c>
    </row>
    <row r="5134" spans="1:14">
      <c r="A5134" s="6">
        <v>2025</v>
      </c>
      <c r="B5134" s="6">
        <v>2</v>
      </c>
      <c r="C5134" s="6" t="s">
        <v>61</v>
      </c>
      <c r="D5134" s="6" t="s">
        <v>540</v>
      </c>
      <c r="E5134" s="6" t="s">
        <v>541</v>
      </c>
      <c r="F5134" s="6" t="str">
        <f>IF($M5134="PADD I","PADD 1",IF($M5134="PADD II","PADD 2",IF($M5134="PADD III","PADD 3",IF($M5134="PADD IV","PADD 4",IF($M5134="PADD V","PADD 5","")))))</f>
        <v>PADD 3</v>
      </c>
      <c r="G5134" s="6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6" t="s">
        <v>44</v>
      </c>
      <c r="I5134" s="6" t="s">
        <v>897</v>
      </c>
      <c r="J5134" s="6" t="s">
        <v>398</v>
      </c>
      <c r="K5134" s="10">
        <v>50</v>
      </c>
      <c r="L5134" s="10">
        <v>50</v>
      </c>
      <c r="M5134" s="6" t="s">
        <v>421</v>
      </c>
      <c r="N5134" s="6">
        <f>IF(OR($G5134="FCC",$G5134="Hydrocracker",$G5134="Reformer"),IF(COUNTIFS($D:$D,$D5134,$A:$A,$A5134,$B:$B,$B5134,$G:$G,"CDU",$J:$J,"PLANNED")&gt;0,"tied","standalone"),"")</f>
        <v/>
      </c>
    </row>
    <row r="5135" spans="1:14">
      <c r="A5135" s="6">
        <v>2025</v>
      </c>
      <c r="B5135" s="6">
        <v>2</v>
      </c>
      <c r="C5135" s="6" t="s">
        <v>61</v>
      </c>
      <c r="D5135" s="6" t="s">
        <v>1221</v>
      </c>
      <c r="E5135" s="6" t="s">
        <v>1222</v>
      </c>
      <c r="F5135" s="6" t="str">
        <f>IF($M5135="PADD I","PADD 1",IF($M5135="PADD II","PADD 2",IF($M5135="PADD III","PADD 3",IF($M5135="PADD IV","PADD 4",IF($M5135="PADD V","PADD 5","")))))</f>
        <v>PADD 3</v>
      </c>
      <c r="G5135" s="6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6" t="s">
        <v>39</v>
      </c>
      <c r="I5135" s="6" t="s">
        <v>1223</v>
      </c>
      <c r="J5135" s="6" t="s">
        <v>398</v>
      </c>
      <c r="K5135" s="10">
        <v>50</v>
      </c>
      <c r="L5135" s="10">
        <v>50</v>
      </c>
      <c r="M5135" s="6" t="s">
        <v>421</v>
      </c>
      <c r="N5135" s="6">
        <f>IF(OR($G5135="FCC",$G5135="Hydrocracker",$G5135="Reformer"),IF(COUNTIFS($D:$D,$D5135,$A:$A,$A5135,$B:$B,$B5135,$G:$G,"CDU",$J:$J,"PLANNED")&gt;0,"tied","standalone"),"")</f>
        <v/>
      </c>
    </row>
    <row r="5136" spans="1:14">
      <c r="A5136" s="6">
        <v>2025</v>
      </c>
      <c r="B5136" s="6">
        <v>2</v>
      </c>
      <c r="C5136" s="6" t="s">
        <v>61</v>
      </c>
      <c r="D5136" s="6" t="s">
        <v>1221</v>
      </c>
      <c r="E5136" s="6" t="s">
        <v>1222</v>
      </c>
      <c r="F5136" s="6" t="str">
        <f>IF($M5136="PADD I","PADD 1",IF($M5136="PADD II","PADD 2",IF($M5136="PADD III","PADD 3",IF($M5136="PADD IV","PADD 4",IF($M5136="PADD V","PADD 5","")))))</f>
        <v>PADD 3</v>
      </c>
      <c r="G5136" s="6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6" t="s">
        <v>39</v>
      </c>
      <c r="I5136" s="6" t="s">
        <v>1225</v>
      </c>
      <c r="J5136" s="6" t="s">
        <v>398</v>
      </c>
      <c r="K5136" s="10">
        <v>50</v>
      </c>
      <c r="L5136" s="10">
        <v>50</v>
      </c>
      <c r="M5136" s="6" t="s">
        <v>421</v>
      </c>
      <c r="N5136" s="6">
        <f>IF(OR($G5136="FCC",$G5136="Hydrocracker",$G5136="Reformer"),IF(COUNTIFS($D:$D,$D5136,$A:$A,$A5136,$B:$B,$B5136,$G:$G,"CDU",$J:$J,"PLANNED")&gt;0,"tied","standalone"),"")</f>
        <v/>
      </c>
    </row>
    <row r="5137" spans="1:14">
      <c r="A5137" s="6">
        <v>2025</v>
      </c>
      <c r="B5137" s="6">
        <v>2</v>
      </c>
      <c r="C5137" s="6" t="s">
        <v>61</v>
      </c>
      <c r="D5137" s="6" t="s">
        <v>505</v>
      </c>
      <c r="E5137" s="6" t="s">
        <v>455</v>
      </c>
      <c r="F5137" s="6" t="str">
        <f>IF($M5137="PADD I","PADD 1",IF($M5137="PADD II","PADD 2",IF($M5137="PADD III","PADD 3",IF($M5137="PADD IV","PADD 4",IF($M5137="PADD V","PADD 5","")))))</f>
        <v>PADD 3</v>
      </c>
      <c r="G5137" s="6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6" t="s">
        <v>44</v>
      </c>
      <c r="I5137" s="6" t="s">
        <v>1324</v>
      </c>
      <c r="J5137" s="6" t="s">
        <v>398</v>
      </c>
      <c r="K5137" s="10">
        <v>49</v>
      </c>
      <c r="L5137" s="10">
        <v>49</v>
      </c>
      <c r="M5137" s="6" t="s">
        <v>421</v>
      </c>
      <c r="N5137" s="6">
        <f>IF(OR($G5137="FCC",$G5137="Hydrocracker",$G5137="Reformer"),IF(COUNTIFS($D:$D,$D5137,$A:$A,$A5137,$B:$B,$B5137,$G:$G,"CDU",$J:$J,"PLANNED")&gt;0,"tied","standalone"),"")</f>
        <v/>
      </c>
    </row>
    <row r="5138" spans="1:14">
      <c r="A5138" s="6">
        <v>2025</v>
      </c>
      <c r="B5138" s="6">
        <v>2</v>
      </c>
      <c r="C5138" s="6" t="s">
        <v>61</v>
      </c>
      <c r="D5138" s="6" t="s">
        <v>540</v>
      </c>
      <c r="E5138" s="6" t="s">
        <v>541</v>
      </c>
      <c r="F5138" s="6" t="str">
        <f>IF($M5138="PADD I","PADD 1",IF($M5138="PADD II","PADD 2",IF($M5138="PADD III","PADD 3",IF($M5138="PADD IV","PADD 4",IF($M5138="PADD V","PADD 5","")))))</f>
        <v>PADD 3</v>
      </c>
      <c r="G5138" s="6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6" t="s">
        <v>471</v>
      </c>
      <c r="I5138" s="6" t="s">
        <v>1000</v>
      </c>
      <c r="J5138" s="6" t="s">
        <v>398</v>
      </c>
      <c r="K5138" s="10">
        <v>49</v>
      </c>
      <c r="L5138" s="10">
        <v>49</v>
      </c>
      <c r="M5138" s="6" t="s">
        <v>421</v>
      </c>
      <c r="N5138" s="6" t="str">
        <f>IF(OR($G5138="FCC",$G5138="Hydrocracker",$G5138="Reformer"),IF(COUNTIFS($D:$D,$D5138,$A:$A,$A5138,$B:$B,$B5138,$G:$G,"CDU",$J:$J,"PLANNED")&gt;0,"tied","standalone"),"")</f>
        <v>standalone</v>
      </c>
    </row>
    <row r="5139" spans="1:14">
      <c r="A5139" s="6">
        <v>2025</v>
      </c>
      <c r="B5139" s="6">
        <v>2</v>
      </c>
      <c r="C5139" s="6" t="s">
        <v>61</v>
      </c>
      <c r="D5139" s="6" t="s">
        <v>382</v>
      </c>
      <c r="E5139" s="6" t="s">
        <v>431</v>
      </c>
      <c r="F5139" s="6" t="str">
        <f>IF($M5139="PADD I","PADD 1",IF($M5139="PADD II","PADD 2",IF($M5139="PADD III","PADD 3",IF($M5139="PADD IV","PADD 4",IF($M5139="PADD V","PADD 5","")))))</f>
        <v>PADD 3</v>
      </c>
      <c r="G5139" s="6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6" t="s">
        <v>485</v>
      </c>
      <c r="I5139" s="6" t="s">
        <v>491</v>
      </c>
      <c r="J5139" s="6" t="s">
        <v>398</v>
      </c>
      <c r="K5139" s="10">
        <v>47.4</v>
      </c>
      <c r="L5139" s="10">
        <v>60</v>
      </c>
      <c r="M5139" s="6" t="s">
        <v>421</v>
      </c>
      <c r="N5139" s="6">
        <f>IF(OR($G5139="FCC",$G5139="Hydrocracker",$G5139="Reformer"),IF(COUNTIFS($D:$D,$D5139,$A:$A,$A5139,$B:$B,$B5139,$G:$G,"CDU",$J:$J,"PLANNED")&gt;0,"tied","standalone"),"")</f>
        <v/>
      </c>
    </row>
    <row r="5140" spans="1:14">
      <c r="A5140" s="6">
        <v>2025</v>
      </c>
      <c r="B5140" s="6">
        <v>2</v>
      </c>
      <c r="C5140" s="6" t="s">
        <v>61</v>
      </c>
      <c r="D5140" s="6" t="s">
        <v>576</v>
      </c>
      <c r="E5140" s="6" t="s">
        <v>455</v>
      </c>
      <c r="F5140" s="6" t="str">
        <f>IF($M5140="PADD I","PADD 1",IF($M5140="PADD II","PADD 2",IF($M5140="PADD III","PADD 3",IF($M5140="PADD IV","PADD 4",IF($M5140="PADD V","PADD 5","")))))</f>
        <v>PADD 3</v>
      </c>
      <c r="G5140" s="6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6" t="s">
        <v>44</v>
      </c>
      <c r="I5140" s="6" t="s">
        <v>1126</v>
      </c>
      <c r="J5140" s="6" t="s">
        <v>394</v>
      </c>
      <c r="K5140" s="10">
        <v>47.3</v>
      </c>
      <c r="L5140" s="10">
        <v>55</v>
      </c>
      <c r="M5140" s="6" t="s">
        <v>421</v>
      </c>
      <c r="N5140" s="6">
        <f>IF(OR($G5140="FCC",$G5140="Hydrocracker",$G5140="Reformer"),IF(COUNTIFS($D:$D,$D5140,$A:$A,$A5140,$B:$B,$B5140,$G:$G,"CDU",$J:$J,"PLANNED")&gt;0,"tied","standalone"),"")</f>
        <v/>
      </c>
    </row>
    <row r="5141" spans="1:14">
      <c r="A5141" s="6">
        <v>2025</v>
      </c>
      <c r="B5141" s="6">
        <v>2</v>
      </c>
      <c r="C5141" s="6" t="s">
        <v>61</v>
      </c>
      <c r="D5141" s="6" t="s">
        <v>375</v>
      </c>
      <c r="E5141" s="6" t="s">
        <v>435</v>
      </c>
      <c r="F5141" s="6" t="str">
        <f>IF($M5141="PADD I","PADD 1",IF($M5141="PADD II","PADD 2",IF($M5141="PADD III","PADD 3",IF($M5141="PADD IV","PADD 4",IF($M5141="PADD V","PADD 5","")))))</f>
        <v>PADD 5</v>
      </c>
      <c r="G5141" s="6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6" t="s">
        <v>494</v>
      </c>
      <c r="I5141" s="6" t="s">
        <v>548</v>
      </c>
      <c r="J5141" s="6" t="s">
        <v>394</v>
      </c>
      <c r="K5141" s="10">
        <v>42</v>
      </c>
      <c r="L5141" s="10">
        <v>42</v>
      </c>
      <c r="M5141" s="6" t="s">
        <v>436</v>
      </c>
      <c r="N5141" s="6" t="str">
        <f>IF(OR($G5141="FCC",$G5141="Hydrocracker",$G5141="Reformer"),IF(COUNTIFS($D:$D,$D5141,$A:$A,$A5141,$B:$B,$B5141,$G:$G,"CDU",$J:$J,"PLANNED")&gt;0,"tied","standalone"),"")</f>
        <v>standalone</v>
      </c>
    </row>
    <row r="5142" spans="1:14">
      <c r="A5142" s="6">
        <v>2025</v>
      </c>
      <c r="B5142" s="6">
        <v>2</v>
      </c>
      <c r="C5142" s="6" t="s">
        <v>61</v>
      </c>
      <c r="D5142" s="6" t="s">
        <v>437</v>
      </c>
      <c r="E5142" s="6" t="s">
        <v>438</v>
      </c>
      <c r="F5142" s="6" t="str">
        <f>IF($M5142="PADD I","PADD 1",IF($M5142="PADD II","PADD 2",IF($M5142="PADD III","PADD 3",IF($M5142="PADD IV","PADD 4",IF($M5142="PADD V","PADD 5","")))))</f>
        <v>PADD 3</v>
      </c>
      <c r="G5142" s="6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6" t="s">
        <v>44</v>
      </c>
      <c r="I5142" s="6" t="s">
        <v>1140</v>
      </c>
      <c r="J5142" s="6" t="s">
        <v>398</v>
      </c>
      <c r="K5142" s="10">
        <v>41.4</v>
      </c>
      <c r="L5142" s="10">
        <v>115</v>
      </c>
      <c r="M5142" s="6" t="s">
        <v>421</v>
      </c>
      <c r="N5142" s="6">
        <f>IF(OR($G5142="FCC",$G5142="Hydrocracker",$G5142="Reformer"),IF(COUNTIFS($D:$D,$D5142,$A:$A,$A5142,$B:$B,$B5142,$G:$G,"CDU",$J:$J,"PLANNED")&gt;0,"tied","standalone"),"")</f>
        <v/>
      </c>
    </row>
    <row r="5143" spans="1:14">
      <c r="A5143" s="6">
        <v>2025</v>
      </c>
      <c r="B5143" s="6">
        <v>2</v>
      </c>
      <c r="C5143" s="6" t="s">
        <v>61</v>
      </c>
      <c r="D5143" s="6" t="s">
        <v>576</v>
      </c>
      <c r="E5143" s="6" t="s">
        <v>455</v>
      </c>
      <c r="F5143" s="6" t="str">
        <f>IF($M5143="PADD I","PADD 1",IF($M5143="PADD II","PADD 2",IF($M5143="PADD III","PADD 3",IF($M5143="PADD IV","PADD 4",IF($M5143="PADD V","PADD 5","")))))</f>
        <v>PADD 3</v>
      </c>
      <c r="G5143" s="6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6" t="s">
        <v>44</v>
      </c>
      <c r="I5143" s="6" t="s">
        <v>1139</v>
      </c>
      <c r="J5143" s="6" t="s">
        <v>398</v>
      </c>
      <c r="K5143" s="10">
        <v>41.28</v>
      </c>
      <c r="L5143" s="10">
        <v>43</v>
      </c>
      <c r="M5143" s="6" t="s">
        <v>421</v>
      </c>
      <c r="N5143" s="6">
        <f>IF(OR($G5143="FCC",$G5143="Hydrocracker",$G5143="Reformer"),IF(COUNTIFS($D:$D,$D5143,$A:$A,$A5143,$B:$B,$B5143,$G:$G,"CDU",$J:$J,"PLANNED")&gt;0,"tied","standalone"),"")</f>
        <v/>
      </c>
    </row>
    <row r="5144" spans="1:14">
      <c r="A5144" s="6">
        <v>2025</v>
      </c>
      <c r="B5144" s="6">
        <v>2</v>
      </c>
      <c r="C5144" s="6" t="s">
        <v>61</v>
      </c>
      <c r="D5144" s="6" t="s">
        <v>461</v>
      </c>
      <c r="E5144" s="6" t="s">
        <v>419</v>
      </c>
      <c r="F5144" s="6" t="str">
        <f>IF($M5144="PADD I","PADD 1",IF($M5144="PADD II","PADD 2",IF($M5144="PADD III","PADD 3",IF($M5144="PADD IV","PADD 4",IF($M5144="PADD V","PADD 5","")))))</f>
        <v>PADD 1</v>
      </c>
      <c r="G5144" s="6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6" t="s">
        <v>428</v>
      </c>
      <c r="I5144" s="6" t="s">
        <v>481</v>
      </c>
      <c r="J5144" s="6" t="s">
        <v>398</v>
      </c>
      <c r="K5144" s="10">
        <v>40.5</v>
      </c>
      <c r="L5144" s="10">
        <v>75</v>
      </c>
      <c r="M5144" s="6" t="s">
        <v>463</v>
      </c>
      <c r="N5144" s="6">
        <f>IF(OR($G5144="FCC",$G5144="Hydrocracker",$G5144="Reformer"),IF(COUNTIFS($D:$D,$D5144,$A:$A,$A5144,$B:$B,$B5144,$G:$G,"CDU",$J:$J,"PLANNED")&gt;0,"tied","standalone"),"")</f>
        <v/>
      </c>
    </row>
    <row r="5145" spans="1:14">
      <c r="A5145" s="6">
        <v>2025</v>
      </c>
      <c r="B5145" s="6">
        <v>2</v>
      </c>
      <c r="C5145" s="6" t="s">
        <v>61</v>
      </c>
      <c r="D5145" s="6" t="s">
        <v>375</v>
      </c>
      <c r="E5145" s="6" t="s">
        <v>435</v>
      </c>
      <c r="F5145" s="6" t="str">
        <f>IF($M5145="PADD I","PADD 1",IF($M5145="PADD II","PADD 2",IF($M5145="PADD III","PADD 3",IF($M5145="PADD IV","PADD 4",IF($M5145="PADD V","PADD 5","")))))</f>
        <v>PADD 5</v>
      </c>
      <c r="G5145" s="6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6" t="s">
        <v>494</v>
      </c>
      <c r="I5145" s="6" t="s">
        <v>548</v>
      </c>
      <c r="J5145" s="6" t="s">
        <v>394</v>
      </c>
      <c r="K5145" s="10">
        <v>40.32</v>
      </c>
      <c r="L5145" s="10">
        <v>42</v>
      </c>
      <c r="M5145" s="6" t="s">
        <v>436</v>
      </c>
      <c r="N5145" s="6" t="str">
        <f>IF(OR($G5145="FCC",$G5145="Hydrocracker",$G5145="Reformer"),IF(COUNTIFS($D:$D,$D5145,$A:$A,$A5145,$B:$B,$B5145,$G:$G,"CDU",$J:$J,"PLANNED")&gt;0,"tied","standalone"),"")</f>
        <v>standalone</v>
      </c>
    </row>
    <row r="5146" spans="1:14">
      <c r="A5146" s="6">
        <v>2025</v>
      </c>
      <c r="B5146" s="6">
        <v>2</v>
      </c>
      <c r="C5146" s="6" t="s">
        <v>61</v>
      </c>
      <c r="D5146" s="6" t="s">
        <v>996</v>
      </c>
      <c r="E5146" s="6" t="s">
        <v>455</v>
      </c>
      <c r="F5146" s="6" t="str">
        <f>IF($M5146="PADD I","PADD 1",IF($M5146="PADD II","PADD 2",IF($M5146="PADD III","PADD 3",IF($M5146="PADD IV","PADD 4",IF($M5146="PADD V","PADD 5","")))))</f>
        <v>PADD 5</v>
      </c>
      <c r="G5146" s="6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6" t="s">
        <v>44</v>
      </c>
      <c r="I5146" s="6" t="s">
        <v>1015</v>
      </c>
      <c r="J5146" s="6" t="s">
        <v>394</v>
      </c>
      <c r="K5146" s="10">
        <v>38.19</v>
      </c>
      <c r="L5146" s="10">
        <v>67</v>
      </c>
      <c r="M5146" s="6" t="s">
        <v>436</v>
      </c>
      <c r="N5146" s="6">
        <f>IF(OR($G5146="FCC",$G5146="Hydrocracker",$G5146="Reformer"),IF(COUNTIFS($D:$D,$D5146,$A:$A,$A5146,$B:$B,$B5146,$G:$G,"CDU",$J:$J,"PLANNED")&gt;0,"tied","standalone"),"")</f>
        <v/>
      </c>
    </row>
    <row r="5147" spans="1:14">
      <c r="A5147" s="6">
        <v>2025</v>
      </c>
      <c r="B5147" s="6">
        <v>2</v>
      </c>
      <c r="C5147" s="6" t="s">
        <v>61</v>
      </c>
      <c r="D5147" s="6" t="s">
        <v>1278</v>
      </c>
      <c r="E5147" s="6" t="s">
        <v>661</v>
      </c>
      <c r="F5147" s="6" t="str">
        <f>IF($M5147="PADD I","PADD 1",IF($M5147="PADD II","PADD 2",IF($M5147="PADD III","PADD 3",IF($M5147="PADD IV","PADD 4",IF($M5147="PADD V","PADD 5","")))))</f>
        <v>PADD 2</v>
      </c>
      <c r="G5147" s="6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6" t="s">
        <v>44</v>
      </c>
      <c r="I5147" s="6" t="s">
        <v>551</v>
      </c>
      <c r="J5147" s="6" t="s">
        <v>394</v>
      </c>
      <c r="K5147" s="10">
        <v>37.5</v>
      </c>
      <c r="L5147" s="10">
        <v>37.5</v>
      </c>
      <c r="M5147" s="6" t="s">
        <v>425</v>
      </c>
      <c r="N5147" s="6">
        <f>IF(OR($G5147="FCC",$G5147="Hydrocracker",$G5147="Reformer"),IF(COUNTIFS($D:$D,$D5147,$A:$A,$A5147,$B:$B,$B5147,$G:$G,"CDU",$J:$J,"PLANNED")&gt;0,"tied","standalone"),"")</f>
        <v/>
      </c>
    </row>
    <row r="5148" spans="1:14">
      <c r="A5148" s="6">
        <v>2025</v>
      </c>
      <c r="B5148" s="6">
        <v>2</v>
      </c>
      <c r="C5148" s="6" t="s">
        <v>61</v>
      </c>
      <c r="D5148" s="6" t="s">
        <v>996</v>
      </c>
      <c r="E5148" s="6" t="s">
        <v>455</v>
      </c>
      <c r="F5148" s="6" t="str">
        <f>IF($M5148="PADD I","PADD 1",IF($M5148="PADD II","PADD 2",IF($M5148="PADD III","PADD 3",IF($M5148="PADD IV","PADD 4",IF($M5148="PADD V","PADD 5","")))))</f>
        <v>PADD 5</v>
      </c>
      <c r="G5148" s="6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6" t="s">
        <v>426</v>
      </c>
      <c r="I5148" s="6" t="s">
        <v>997</v>
      </c>
      <c r="J5148" s="6" t="s">
        <v>398</v>
      </c>
      <c r="K5148" s="10">
        <v>36.72</v>
      </c>
      <c r="L5148" s="10">
        <v>54</v>
      </c>
      <c r="M5148" s="6" t="s">
        <v>436</v>
      </c>
      <c r="N5148" s="6" t="str">
        <f>IF(OR($G5148="FCC",$G5148="Hydrocracker",$G5148="Reformer"),IF(COUNTIFS($D:$D,$D5148,$A:$A,$A5148,$B:$B,$B5148,$G:$G,"CDU",$J:$J,"PLANNED")&gt;0,"tied","standalone"),"")</f>
        <v>standalone</v>
      </c>
    </row>
    <row r="5149" spans="1:14">
      <c r="A5149" s="6">
        <v>2025</v>
      </c>
      <c r="B5149" s="6">
        <v>2</v>
      </c>
      <c r="C5149" s="6" t="s">
        <v>61</v>
      </c>
      <c r="D5149" s="6" t="s">
        <v>498</v>
      </c>
      <c r="E5149" s="6" t="s">
        <v>441</v>
      </c>
      <c r="F5149" s="6" t="str">
        <f>IF($M5149="PADD I","PADD 1",IF($M5149="PADD II","PADD 2",IF($M5149="PADD III","PADD 3",IF($M5149="PADD IV","PADD 4",IF($M5149="PADD V","PADD 5","")))))</f>
        <v>PADD 3</v>
      </c>
      <c r="G5149" s="6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6" t="s">
        <v>44</v>
      </c>
      <c r="I5149" s="6" t="s">
        <v>499</v>
      </c>
      <c r="J5149" s="6" t="s">
        <v>394</v>
      </c>
      <c r="K5149" s="10">
        <v>35</v>
      </c>
      <c r="L5149" s="10">
        <v>35</v>
      </c>
      <c r="M5149" s="6" t="s">
        <v>421</v>
      </c>
      <c r="N5149" s="6">
        <f>IF(OR($G5149="FCC",$G5149="Hydrocracker",$G5149="Reformer"),IF(COUNTIFS($D:$D,$D5149,$A:$A,$A5149,$B:$B,$B5149,$G:$G,"CDU",$J:$J,"PLANNED")&gt;0,"tied","standalone"),"")</f>
        <v/>
      </c>
    </row>
    <row r="5150" spans="1:14">
      <c r="A5150" s="6">
        <v>2025</v>
      </c>
      <c r="B5150" s="6">
        <v>2</v>
      </c>
      <c r="C5150" s="6" t="s">
        <v>61</v>
      </c>
      <c r="D5150" s="6" t="s">
        <v>373</v>
      </c>
      <c r="E5150" s="6" t="s">
        <v>438</v>
      </c>
      <c r="F5150" s="6" t="str">
        <f>IF($M5150="PADD I","PADD 1",IF($M5150="PADD II","PADD 2",IF($M5150="PADD III","PADD 3",IF($M5150="PADD IV","PADD 4",IF($M5150="PADD V","PADD 5","")))))</f>
        <v>PADD 3</v>
      </c>
      <c r="G5150" s="6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6" t="s">
        <v>44</v>
      </c>
      <c r="I5150" s="6" t="s">
        <v>694</v>
      </c>
      <c r="J5150" s="6" t="s">
        <v>398</v>
      </c>
      <c r="K5150" s="10">
        <v>34.2</v>
      </c>
      <c r="L5150" s="10">
        <v>60</v>
      </c>
      <c r="M5150" s="6" t="s">
        <v>421</v>
      </c>
      <c r="N5150" s="6">
        <f>IF(OR($G5150="FCC",$G5150="Hydrocracker",$G5150="Reformer"),IF(COUNTIFS($D:$D,$D5150,$A:$A,$A5150,$B:$B,$B5150,$G:$G,"CDU",$J:$J,"PLANNED")&gt;0,"tied","standalone"),"")</f>
        <v/>
      </c>
    </row>
    <row r="5151" spans="1:14">
      <c r="A5151" s="6">
        <v>2025</v>
      </c>
      <c r="B5151" s="6">
        <v>2</v>
      </c>
      <c r="C5151" s="6" t="s">
        <v>61</v>
      </c>
      <c r="D5151" s="6" t="s">
        <v>828</v>
      </c>
      <c r="E5151" s="6" t="s">
        <v>829</v>
      </c>
      <c r="F5151" s="6" t="str">
        <f>IF($M5151="PADD I","PADD 1",IF($M5151="PADD II","PADD 2",IF($M5151="PADD III","PADD 3",IF($M5151="PADD IV","PADD 4",IF($M5151="PADD V","PADD 5","")))))</f>
        <v>PADD 3</v>
      </c>
      <c r="G5151" s="6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6" t="s">
        <v>428</v>
      </c>
      <c r="I5151" s="6" t="s">
        <v>847</v>
      </c>
      <c r="J5151" s="6" t="s">
        <v>398</v>
      </c>
      <c r="K5151" s="10">
        <v>32.4207</v>
      </c>
      <c r="L5151" s="10">
        <v>83.13</v>
      </c>
      <c r="M5151" s="6" t="s">
        <v>421</v>
      </c>
      <c r="N5151" s="6">
        <f>IF(OR($G5151="FCC",$G5151="Hydrocracker",$G5151="Reformer"),IF(COUNTIFS($D:$D,$D5151,$A:$A,$A5151,$B:$B,$B5151,$G:$G,"CDU",$J:$J,"PLANNED")&gt;0,"tied","standalone"),"")</f>
        <v/>
      </c>
    </row>
    <row r="5152" spans="1:14">
      <c r="A5152" s="6">
        <v>2025</v>
      </c>
      <c r="B5152" s="6">
        <v>2</v>
      </c>
      <c r="C5152" s="6" t="s">
        <v>61</v>
      </c>
      <c r="D5152" s="6" t="s">
        <v>828</v>
      </c>
      <c r="E5152" s="6" t="s">
        <v>829</v>
      </c>
      <c r="F5152" s="6" t="str">
        <f>IF($M5152="PADD I","PADD 1",IF($M5152="PADD II","PADD 2",IF($M5152="PADD III","PADD 3",IF($M5152="PADD IV","PADD 4",IF($M5152="PADD V","PADD 5","")))))</f>
        <v>PADD 3</v>
      </c>
      <c r="G5152" s="6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6" t="s">
        <v>428</v>
      </c>
      <c r="I5152" s="6" t="s">
        <v>848</v>
      </c>
      <c r="J5152" s="6" t="s">
        <v>398</v>
      </c>
      <c r="K5152" s="10">
        <v>32.37</v>
      </c>
      <c r="L5152" s="10">
        <v>83</v>
      </c>
      <c r="M5152" s="6" t="s">
        <v>421</v>
      </c>
      <c r="N5152" s="6">
        <f>IF(OR($G5152="FCC",$G5152="Hydrocracker",$G5152="Reformer"),IF(COUNTIFS($D:$D,$D5152,$A:$A,$A5152,$B:$B,$B5152,$G:$G,"CDU",$J:$J,"PLANNED")&gt;0,"tied","standalone"),"")</f>
        <v/>
      </c>
    </row>
    <row r="5153" spans="1:14">
      <c r="A5153" s="6">
        <v>2025</v>
      </c>
      <c r="B5153" s="6">
        <v>2</v>
      </c>
      <c r="C5153" s="6" t="s">
        <v>61</v>
      </c>
      <c r="D5153" s="6" t="s">
        <v>660</v>
      </c>
      <c r="E5153" s="6" t="s">
        <v>661</v>
      </c>
      <c r="F5153" s="6" t="str">
        <f>IF($M5153="PADD I","PADD 1",IF($M5153="PADD II","PADD 2",IF($M5153="PADD III","PADD 3",IF($M5153="PADD IV","PADD 4",IF($M5153="PADD V","PADD 5","")))))</f>
        <v>PADD 2</v>
      </c>
      <c r="G5153" s="6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6" t="s">
        <v>426</v>
      </c>
      <c r="I5153" s="6" t="s">
        <v>106</v>
      </c>
      <c r="J5153" s="6" t="s">
        <v>398</v>
      </c>
      <c r="K5153" s="10">
        <v>32</v>
      </c>
      <c r="L5153" s="10">
        <v>32</v>
      </c>
      <c r="M5153" s="6" t="s">
        <v>425</v>
      </c>
      <c r="N5153" s="6" t="str">
        <f>IF(OR($G5153="FCC",$G5153="Hydrocracker",$G5153="Reformer"),IF(COUNTIFS($D:$D,$D5153,$A:$A,$A5153,$B:$B,$B5153,$G:$G,"CDU",$J:$J,"PLANNED")&gt;0,"tied","standalone"),"")</f>
        <v>tied</v>
      </c>
    </row>
    <row r="5154" spans="1:14">
      <c r="A5154" s="6">
        <v>2025</v>
      </c>
      <c r="B5154" s="6">
        <v>2</v>
      </c>
      <c r="C5154" s="6" t="s">
        <v>61</v>
      </c>
      <c r="D5154" s="6" t="s">
        <v>461</v>
      </c>
      <c r="E5154" s="6" t="s">
        <v>419</v>
      </c>
      <c r="F5154" s="6" t="str">
        <f>IF($M5154="PADD I","PADD 1",IF($M5154="PADD II","PADD 2",IF($M5154="PADD III","PADD 3",IF($M5154="PADD IV","PADD 4",IF($M5154="PADD V","PADD 5","")))))</f>
        <v>PADD 1</v>
      </c>
      <c r="G5154" s="6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6" t="s">
        <v>44</v>
      </c>
      <c r="I5154" s="6" t="s">
        <v>508</v>
      </c>
      <c r="J5154" s="6" t="s">
        <v>394</v>
      </c>
      <c r="K5154" s="10">
        <v>31.59</v>
      </c>
      <c r="L5154" s="10">
        <v>58.5</v>
      </c>
      <c r="M5154" s="6" t="s">
        <v>463</v>
      </c>
      <c r="N5154" s="6">
        <f>IF(OR($G5154="FCC",$G5154="Hydrocracker",$G5154="Reformer"),IF(COUNTIFS($D:$D,$D5154,$A:$A,$A5154,$B:$B,$B5154,$G:$G,"CDU",$J:$J,"PLANNED")&gt;0,"tied","standalone"),"")</f>
        <v/>
      </c>
    </row>
    <row r="5155" spans="1:14">
      <c r="A5155" s="6">
        <v>2025</v>
      </c>
      <c r="B5155" s="6">
        <v>2</v>
      </c>
      <c r="C5155" s="6" t="s">
        <v>61</v>
      </c>
      <c r="D5155" s="6" t="s">
        <v>430</v>
      </c>
      <c r="E5155" s="6" t="s">
        <v>431</v>
      </c>
      <c r="F5155" s="6" t="str">
        <f>IF($M5155="PADD I","PADD 1",IF($M5155="PADD II","PADD 2",IF($M5155="PADD III","PADD 3",IF($M5155="PADD IV","PADD 4",IF($M5155="PADD V","PADD 5","")))))</f>
        <v>PADD 3</v>
      </c>
      <c r="G5155" s="6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6" t="s">
        <v>428</v>
      </c>
      <c r="I5155" s="6" t="s">
        <v>900</v>
      </c>
      <c r="J5155" s="6" t="s">
        <v>394</v>
      </c>
      <c r="K5155" s="10">
        <v>31.24</v>
      </c>
      <c r="L5155" s="10">
        <v>44</v>
      </c>
      <c r="M5155" s="6" t="s">
        <v>421</v>
      </c>
      <c r="N5155" s="6">
        <f>IF(OR($G5155="FCC",$G5155="Hydrocracker",$G5155="Reformer"),IF(COUNTIFS($D:$D,$D5155,$A:$A,$A5155,$B:$B,$B5155,$G:$G,"CDU",$J:$J,"PLANNED")&gt;0,"tied","standalone"),"")</f>
        <v/>
      </c>
    </row>
    <row r="5156" spans="1:14">
      <c r="A5156" s="6">
        <v>2025</v>
      </c>
      <c r="B5156" s="6">
        <v>2</v>
      </c>
      <c r="C5156" s="6" t="s">
        <v>61</v>
      </c>
      <c r="D5156" s="6" t="s">
        <v>726</v>
      </c>
      <c r="E5156" s="6" t="s">
        <v>727</v>
      </c>
      <c r="F5156" s="6" t="str">
        <f>IF($M5156="PADD I","PADD 1",IF($M5156="PADD II","PADD 2",IF($M5156="PADD III","PADD 3",IF($M5156="PADD IV","PADD 4",IF($M5156="PADD V","PADD 5","")))))</f>
        <v>PADD 1</v>
      </c>
      <c r="G5156" s="6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6" t="s">
        <v>428</v>
      </c>
      <c r="I5156" s="6" t="s">
        <v>1312</v>
      </c>
      <c r="J5156" s="6" t="s">
        <v>394</v>
      </c>
      <c r="K5156" s="10">
        <v>31</v>
      </c>
      <c r="L5156" s="10">
        <v>31</v>
      </c>
      <c r="M5156" s="6" t="s">
        <v>463</v>
      </c>
      <c r="N5156" s="6">
        <f>IF(OR($G5156="FCC",$G5156="Hydrocracker",$G5156="Reformer"),IF(COUNTIFS($D:$D,$D5156,$A:$A,$A5156,$B:$B,$B5156,$G:$G,"CDU",$J:$J,"PLANNED")&gt;0,"tied","standalone"),"")</f>
        <v/>
      </c>
    </row>
    <row r="5157" spans="1:14">
      <c r="A5157" s="6">
        <v>2025</v>
      </c>
      <c r="B5157" s="6">
        <v>2</v>
      </c>
      <c r="C5157" s="6" t="s">
        <v>61</v>
      </c>
      <c r="D5157" s="6" t="s">
        <v>660</v>
      </c>
      <c r="E5157" s="6" t="s">
        <v>661</v>
      </c>
      <c r="F5157" s="6" t="str">
        <f>IF($M5157="PADD I","PADD 1",IF($M5157="PADD II","PADD 2",IF($M5157="PADD III","PADD 3",IF($M5157="PADD IV","PADD 4",IF($M5157="PADD V","PADD 5","")))))</f>
        <v>PADD 2</v>
      </c>
      <c r="G5157" s="6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6" t="s">
        <v>44</v>
      </c>
      <c r="I5157" s="6" t="s">
        <v>672</v>
      </c>
      <c r="J5157" s="6" t="s">
        <v>398</v>
      </c>
      <c r="K5157" s="10">
        <v>30</v>
      </c>
      <c r="L5157" s="10">
        <v>30</v>
      </c>
      <c r="M5157" s="6" t="s">
        <v>425</v>
      </c>
      <c r="N5157" s="6">
        <f>IF(OR($G5157="FCC",$G5157="Hydrocracker",$G5157="Reformer"),IF(COUNTIFS($D:$D,$D5157,$A:$A,$A5157,$B:$B,$B5157,$G:$G,"CDU",$J:$J,"PLANNED")&gt;0,"tied","standalone"),"")</f>
        <v/>
      </c>
    </row>
    <row r="5158" spans="1:14">
      <c r="A5158" s="6">
        <v>2025</v>
      </c>
      <c r="B5158" s="6">
        <v>2</v>
      </c>
      <c r="C5158" s="6" t="s">
        <v>61</v>
      </c>
      <c r="D5158" s="6" t="s">
        <v>937</v>
      </c>
      <c r="E5158" s="6" t="s">
        <v>455</v>
      </c>
      <c r="F5158" s="6" t="str">
        <f>IF($M5158="PADD I","PADD 1",IF($M5158="PADD II","PADD 2",IF($M5158="PADD III","PADD 3",IF($M5158="PADD IV","PADD 4",IF($M5158="PADD V","PADD 5","")))))</f>
        <v>PADD 3</v>
      </c>
      <c r="G5158" s="6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6" t="s">
        <v>494</v>
      </c>
      <c r="I5158" s="6" t="s">
        <v>1072</v>
      </c>
      <c r="J5158" s="6" t="s">
        <v>398</v>
      </c>
      <c r="K5158" s="10">
        <v>30</v>
      </c>
      <c r="L5158" s="10">
        <v>30</v>
      </c>
      <c r="M5158" s="6" t="s">
        <v>421</v>
      </c>
      <c r="N5158" s="6" t="str">
        <f>IF(OR($G5158="FCC",$G5158="Hydrocracker",$G5158="Reformer"),IF(COUNTIFS($D:$D,$D5158,$A:$A,$A5158,$B:$B,$B5158,$G:$G,"CDU",$J:$J,"PLANNED")&gt;0,"tied","standalone"),"")</f>
        <v>standalone</v>
      </c>
    </row>
    <row r="5159" spans="1:14">
      <c r="A5159" s="6">
        <v>2025</v>
      </c>
      <c r="B5159" s="6">
        <v>2</v>
      </c>
      <c r="C5159" s="6" t="s">
        <v>61</v>
      </c>
      <c r="D5159" s="6" t="s">
        <v>384</v>
      </c>
      <c r="E5159" s="6" t="s">
        <v>419</v>
      </c>
      <c r="F5159" s="6" t="str">
        <f>IF($M5159="PADD I","PADD 1",IF($M5159="PADD II","PADD 2",IF($M5159="PADD III","PADD 3",IF($M5159="PADD IV","PADD 4",IF($M5159="PADD V","PADD 5","")))))</f>
        <v>PADD 3</v>
      </c>
      <c r="G5159" s="6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6" t="s">
        <v>426</v>
      </c>
      <c r="I5159" s="6" t="s">
        <v>522</v>
      </c>
      <c r="J5159" s="6" t="s">
        <v>394</v>
      </c>
      <c r="K5159" s="10">
        <v>30</v>
      </c>
      <c r="L5159" s="10">
        <v>30</v>
      </c>
      <c r="M5159" s="6" t="s">
        <v>421</v>
      </c>
      <c r="N5159" s="6" t="str">
        <f>IF(OR($G5159="FCC",$G5159="Hydrocracker",$G5159="Reformer"),IF(COUNTIFS($D:$D,$D5159,$A:$A,$A5159,$B:$B,$B5159,$G:$G,"CDU",$J:$J,"PLANNED")&gt;0,"tied","standalone"),"")</f>
        <v>standalone</v>
      </c>
    </row>
    <row r="5160" spans="1:14">
      <c r="A5160" s="6">
        <v>2025</v>
      </c>
      <c r="B5160" s="6">
        <v>2</v>
      </c>
      <c r="C5160" s="6" t="s">
        <v>61</v>
      </c>
      <c r="D5160" s="6" t="s">
        <v>375</v>
      </c>
      <c r="E5160" s="6" t="s">
        <v>435</v>
      </c>
      <c r="F5160" s="6" t="str">
        <f>IF($M5160="PADD I","PADD 1",IF($M5160="PADD II","PADD 2",IF($M5160="PADD III","PADD 3",IF($M5160="PADD IV","PADD 4",IF($M5160="PADD V","PADD 5","")))))</f>
        <v>PADD 5</v>
      </c>
      <c r="G5160" s="6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6" t="s">
        <v>471</v>
      </c>
      <c r="I5160" s="6" t="s">
        <v>15</v>
      </c>
      <c r="J5160" s="6" t="s">
        <v>394</v>
      </c>
      <c r="K5160" s="10">
        <v>29.76</v>
      </c>
      <c r="L5160" s="10">
        <v>31</v>
      </c>
      <c r="M5160" s="6" t="s">
        <v>436</v>
      </c>
      <c r="N5160" s="6" t="str">
        <f>IF(OR($G5160="FCC",$G5160="Hydrocracker",$G5160="Reformer"),IF(COUNTIFS($D:$D,$D5160,$A:$A,$A5160,$B:$B,$B5160,$G:$G,"CDU",$J:$J,"PLANNED")&gt;0,"tied","standalone"),"")</f>
        <v>standalone</v>
      </c>
    </row>
    <row r="5161" spans="1:14">
      <c r="A5161" s="6">
        <v>2025</v>
      </c>
      <c r="B5161" s="6">
        <v>2</v>
      </c>
      <c r="C5161" s="6" t="s">
        <v>61</v>
      </c>
      <c r="D5161" s="6" t="s">
        <v>51</v>
      </c>
      <c r="E5161" s="6" t="s">
        <v>431</v>
      </c>
      <c r="F5161" s="6" t="str">
        <f>IF($M5161="PADD I","PADD 1",IF($M5161="PADD II","PADD 2",IF($M5161="PADD III","PADD 3",IF($M5161="PADD IV","PADD 4",IF($M5161="PADD V","PADD 5","")))))</f>
        <v>PADD 3</v>
      </c>
      <c r="G5161" s="6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6" t="s">
        <v>485</v>
      </c>
      <c r="I5161" s="6" t="s">
        <v>1320</v>
      </c>
      <c r="J5161" s="6" t="s">
        <v>394</v>
      </c>
      <c r="K5161" s="10">
        <v>28.56</v>
      </c>
      <c r="L5161" s="10">
        <v>42</v>
      </c>
      <c r="M5161" s="6" t="s">
        <v>421</v>
      </c>
      <c r="N5161" s="6">
        <f>IF(OR($G5161="FCC",$G5161="Hydrocracker",$G5161="Reformer"),IF(COUNTIFS($D:$D,$D5161,$A:$A,$A5161,$B:$B,$B5161,$G:$G,"CDU",$J:$J,"PLANNED")&gt;0,"tied","standalone"),"")</f>
        <v/>
      </c>
    </row>
    <row r="5162" spans="1:14">
      <c r="A5162" s="6">
        <v>2025</v>
      </c>
      <c r="B5162" s="6">
        <v>2</v>
      </c>
      <c r="C5162" s="6" t="s">
        <v>61</v>
      </c>
      <c r="D5162" s="6" t="s">
        <v>375</v>
      </c>
      <c r="E5162" s="6" t="s">
        <v>435</v>
      </c>
      <c r="F5162" s="6" t="str">
        <f>IF($M5162="PADD I","PADD 1",IF($M5162="PADD II","PADD 2",IF($M5162="PADD III","PADD 3",IF($M5162="PADD IV","PADD 4",IF($M5162="PADD V","PADD 5","")))))</f>
        <v>PADD 5</v>
      </c>
      <c r="G5162" s="6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6" t="s">
        <v>44</v>
      </c>
      <c r="I5162" s="6" t="s">
        <v>551</v>
      </c>
      <c r="J5162" s="6" t="s">
        <v>394</v>
      </c>
      <c r="K5162" s="10">
        <v>28</v>
      </c>
      <c r="L5162" s="10">
        <v>28</v>
      </c>
      <c r="M5162" s="6" t="s">
        <v>436</v>
      </c>
      <c r="N5162" s="6">
        <f>IF(OR($G5162="FCC",$G5162="Hydrocracker",$G5162="Reformer"),IF(COUNTIFS($D:$D,$D5162,$A:$A,$A5162,$B:$B,$B5162,$G:$G,"CDU",$J:$J,"PLANNED")&gt;0,"tied","standalone"),"")</f>
        <v/>
      </c>
    </row>
    <row r="5163" spans="1:14">
      <c r="A5163" s="6">
        <v>2025</v>
      </c>
      <c r="B5163" s="6">
        <v>2</v>
      </c>
      <c r="C5163" s="6" t="s">
        <v>61</v>
      </c>
      <c r="D5163" s="6" t="s">
        <v>996</v>
      </c>
      <c r="E5163" s="6" t="s">
        <v>455</v>
      </c>
      <c r="F5163" s="6" t="str">
        <f>IF($M5163="PADD I","PADD 1",IF($M5163="PADD II","PADD 2",IF($M5163="PADD III","PADD 3",IF($M5163="PADD IV","PADD 4",IF($M5163="PADD V","PADD 5","")))))</f>
        <v>PADD 5</v>
      </c>
      <c r="G5163" s="6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6" t="s">
        <v>428</v>
      </c>
      <c r="I5163" s="6" t="s">
        <v>1019</v>
      </c>
      <c r="J5163" s="6" t="s">
        <v>398</v>
      </c>
      <c r="K5163" s="10">
        <v>26.52</v>
      </c>
      <c r="L5163" s="10">
        <v>39</v>
      </c>
      <c r="M5163" s="6" t="s">
        <v>436</v>
      </c>
      <c r="N5163" s="6">
        <f>IF(OR($G5163="FCC",$G5163="Hydrocracker",$G5163="Reformer"),IF(COUNTIFS($D:$D,$D5163,$A:$A,$A5163,$B:$B,$B5163,$G:$G,"CDU",$J:$J,"PLANNED")&gt;0,"tied","standalone"),"")</f>
        <v/>
      </c>
    </row>
    <row r="5164" spans="1:14">
      <c r="A5164" s="6">
        <v>2025</v>
      </c>
      <c r="B5164" s="6">
        <v>2</v>
      </c>
      <c r="C5164" s="6" t="s">
        <v>61</v>
      </c>
      <c r="D5164" s="6" t="s">
        <v>1278</v>
      </c>
      <c r="E5164" s="6" t="s">
        <v>661</v>
      </c>
      <c r="F5164" s="6" t="str">
        <f>IF($M5164="PADD I","PADD 1",IF($M5164="PADD II","PADD 2",IF($M5164="PADD III","PADD 3",IF($M5164="PADD IV","PADD 4",IF($M5164="PADD V","PADD 5","")))))</f>
        <v>PADD 2</v>
      </c>
      <c r="G5164" s="6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6" t="s">
        <v>471</v>
      </c>
      <c r="I5164" s="6" t="s">
        <v>15</v>
      </c>
      <c r="J5164" s="6" t="s">
        <v>394</v>
      </c>
      <c r="K5164" s="10">
        <v>26.5</v>
      </c>
      <c r="L5164" s="10">
        <v>26.5</v>
      </c>
      <c r="M5164" s="6" t="s">
        <v>425</v>
      </c>
      <c r="N5164" s="6" t="str">
        <f>IF(OR($G5164="FCC",$G5164="Hydrocracker",$G5164="Reformer"),IF(COUNTIFS($D:$D,$D5164,$A:$A,$A5164,$B:$B,$B5164,$G:$G,"CDU",$J:$J,"PLANNED")&gt;0,"tied","standalone"),"")</f>
        <v>standalone</v>
      </c>
    </row>
    <row r="5165" spans="1:14">
      <c r="A5165" s="6">
        <v>2025</v>
      </c>
      <c r="B5165" s="6">
        <v>2</v>
      </c>
      <c r="C5165" s="6" t="s">
        <v>61</v>
      </c>
      <c r="D5165" s="6" t="s">
        <v>375</v>
      </c>
      <c r="E5165" s="6" t="s">
        <v>435</v>
      </c>
      <c r="F5165" s="6" t="str">
        <f>IF($M5165="PADD I","PADD 1",IF($M5165="PADD II","PADD 2",IF($M5165="PADD III","PADD 3",IF($M5165="PADD IV","PADD 4",IF($M5165="PADD V","PADD 5","")))))</f>
        <v>PADD 5</v>
      </c>
      <c r="G5165" s="6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6" t="s">
        <v>44</v>
      </c>
      <c r="I5165" s="6" t="s">
        <v>1233</v>
      </c>
      <c r="J5165" s="6" t="s">
        <v>394</v>
      </c>
      <c r="K5165" s="10">
        <v>26</v>
      </c>
      <c r="L5165" s="10">
        <v>26</v>
      </c>
      <c r="M5165" s="6" t="s">
        <v>436</v>
      </c>
      <c r="N5165" s="6">
        <f>IF(OR($G5165="FCC",$G5165="Hydrocracker",$G5165="Reformer"),IF(COUNTIFS($D:$D,$D5165,$A:$A,$A5165,$B:$B,$B5165,$G:$G,"CDU",$J:$J,"PLANNED")&gt;0,"tied","standalone"),"")</f>
        <v/>
      </c>
    </row>
    <row r="5166" spans="1:14">
      <c r="A5166" s="6">
        <v>2025</v>
      </c>
      <c r="B5166" s="6">
        <v>2</v>
      </c>
      <c r="C5166" s="6" t="s">
        <v>61</v>
      </c>
      <c r="D5166" s="6" t="s">
        <v>51</v>
      </c>
      <c r="E5166" s="6" t="s">
        <v>431</v>
      </c>
      <c r="F5166" s="6" t="str">
        <f>IF($M5166="PADD I","PADD 1",IF($M5166="PADD II","PADD 2",IF($M5166="PADD III","PADD 3",IF($M5166="PADD IV","PADD 4",IF($M5166="PADD V","PADD 5","")))))</f>
        <v>PADD 3</v>
      </c>
      <c r="G5166" s="6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6" t="s">
        <v>485</v>
      </c>
      <c r="I5166" s="6" t="s">
        <v>1322</v>
      </c>
      <c r="J5166" s="6" t="s">
        <v>398</v>
      </c>
      <c r="K5166" s="10">
        <v>25.75</v>
      </c>
      <c r="L5166" s="10">
        <v>25.75</v>
      </c>
      <c r="M5166" s="6" t="s">
        <v>421</v>
      </c>
      <c r="N5166" s="6">
        <f>IF(OR($G5166="FCC",$G5166="Hydrocracker",$G5166="Reformer"),IF(COUNTIFS($D:$D,$D5166,$A:$A,$A5166,$B:$B,$B5166,$G:$G,"CDU",$J:$J,"PLANNED")&gt;0,"tied","standalone"),"")</f>
        <v/>
      </c>
    </row>
    <row r="5167" spans="1:14">
      <c r="A5167" s="6">
        <v>2025</v>
      </c>
      <c r="B5167" s="6">
        <v>2</v>
      </c>
      <c r="C5167" s="6" t="s">
        <v>61</v>
      </c>
      <c r="D5167" s="6" t="s">
        <v>660</v>
      </c>
      <c r="E5167" s="6" t="s">
        <v>661</v>
      </c>
      <c r="F5167" s="6" t="str">
        <f>IF($M5167="PADD I","PADD 1",IF($M5167="PADD II","PADD 2",IF($M5167="PADD III","PADD 3",IF($M5167="PADD IV","PADD 4",IF($M5167="PADD V","PADD 5","")))))</f>
        <v>PADD 2</v>
      </c>
      <c r="G5167" s="6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6" t="s">
        <v>471</v>
      </c>
      <c r="I5167" s="6" t="s">
        <v>15</v>
      </c>
      <c r="J5167" s="6" t="s">
        <v>398</v>
      </c>
      <c r="K5167" s="10">
        <v>25</v>
      </c>
      <c r="L5167" s="10">
        <v>25</v>
      </c>
      <c r="M5167" s="6" t="s">
        <v>425</v>
      </c>
      <c r="N5167" s="6" t="str">
        <f>IF(OR($G5167="FCC",$G5167="Hydrocracker",$G5167="Reformer"),IF(COUNTIFS($D:$D,$D5167,$A:$A,$A5167,$B:$B,$B5167,$G:$G,"CDU",$J:$J,"PLANNED")&gt;0,"tied","standalone"),"")</f>
        <v>tied</v>
      </c>
    </row>
    <row r="5168" spans="1:14">
      <c r="A5168" s="6">
        <v>2025</v>
      </c>
      <c r="B5168" s="6">
        <v>2</v>
      </c>
      <c r="C5168" s="6" t="s">
        <v>61</v>
      </c>
      <c r="D5168" s="6" t="s">
        <v>660</v>
      </c>
      <c r="E5168" s="6" t="s">
        <v>661</v>
      </c>
      <c r="F5168" s="6" t="str">
        <f>IF($M5168="PADD I","PADD 1",IF($M5168="PADD II","PADD 2",IF($M5168="PADD III","PADD 3",IF($M5168="PADD IV","PADD 4",IF($M5168="PADD V","PADD 5","")))))</f>
        <v>PADD 2</v>
      </c>
      <c r="G5168" s="6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6" t="s">
        <v>44</v>
      </c>
      <c r="I5168" s="6" t="s">
        <v>674</v>
      </c>
      <c r="J5168" s="6" t="s">
        <v>398</v>
      </c>
      <c r="K5168" s="10">
        <v>25</v>
      </c>
      <c r="L5168" s="10">
        <v>25</v>
      </c>
      <c r="M5168" s="6" t="s">
        <v>425</v>
      </c>
      <c r="N5168" s="6">
        <f>IF(OR($G5168="FCC",$G5168="Hydrocracker",$G5168="Reformer"),IF(COUNTIFS($D:$D,$D5168,$A:$A,$A5168,$B:$B,$B5168,$G:$G,"CDU",$J:$J,"PLANNED")&gt;0,"tied","standalone"),"")</f>
        <v/>
      </c>
    </row>
    <row r="5169" spans="1:14">
      <c r="A5169" s="6">
        <v>2025</v>
      </c>
      <c r="B5169" s="6">
        <v>2</v>
      </c>
      <c r="C5169" s="6" t="s">
        <v>61</v>
      </c>
      <c r="D5169" s="6" t="s">
        <v>660</v>
      </c>
      <c r="E5169" s="6" t="s">
        <v>661</v>
      </c>
      <c r="F5169" s="6" t="str">
        <f>IF($M5169="PADD I","PADD 1",IF($M5169="PADD II","PADD 2",IF($M5169="PADD III","PADD 3",IF($M5169="PADD IV","PADD 4",IF($M5169="PADD V","PADD 5","")))))</f>
        <v>PADD 2</v>
      </c>
      <c r="G5169" s="6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6" t="s">
        <v>44</v>
      </c>
      <c r="I5169" s="6" t="s">
        <v>508</v>
      </c>
      <c r="J5169" s="6" t="s">
        <v>398</v>
      </c>
      <c r="K5169" s="10">
        <v>25</v>
      </c>
      <c r="L5169" s="10">
        <v>25</v>
      </c>
      <c r="M5169" s="6" t="s">
        <v>425</v>
      </c>
      <c r="N5169" s="6">
        <f>IF(OR($G5169="FCC",$G5169="Hydrocracker",$G5169="Reformer"),IF(COUNTIFS($D:$D,$D5169,$A:$A,$A5169,$B:$B,$B5169,$G:$G,"CDU",$J:$J,"PLANNED")&gt;0,"tied","standalone"),"")</f>
        <v/>
      </c>
    </row>
    <row r="5170" spans="1:14">
      <c r="A5170" s="6">
        <v>2025</v>
      </c>
      <c r="B5170" s="6">
        <v>2</v>
      </c>
      <c r="C5170" s="6" t="s">
        <v>61</v>
      </c>
      <c r="D5170" s="6" t="s">
        <v>540</v>
      </c>
      <c r="E5170" s="6" t="s">
        <v>541</v>
      </c>
      <c r="F5170" s="6" t="str">
        <f>IF($M5170="PADD I","PADD 1",IF($M5170="PADD II","PADD 2",IF($M5170="PADD III","PADD 3",IF($M5170="PADD IV","PADD 4",IF($M5170="PADD V","PADD 5","")))))</f>
        <v>PADD 3</v>
      </c>
      <c r="G5170" s="6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6" t="s">
        <v>44</v>
      </c>
      <c r="I5170" s="6" t="s">
        <v>897</v>
      </c>
      <c r="J5170" s="6" t="s">
        <v>394</v>
      </c>
      <c r="K5170" s="10">
        <v>25</v>
      </c>
      <c r="L5170" s="10">
        <v>50</v>
      </c>
      <c r="M5170" s="6" t="s">
        <v>421</v>
      </c>
      <c r="N5170" s="6">
        <f>IF(OR($G5170="FCC",$G5170="Hydrocracker",$G5170="Reformer"),IF(COUNTIFS($D:$D,$D5170,$A:$A,$A5170,$B:$B,$B5170,$G:$G,"CDU",$J:$J,"PLANNED")&gt;0,"tied","standalone"),"")</f>
        <v/>
      </c>
    </row>
    <row r="5171" spans="1:14">
      <c r="A5171" s="6">
        <v>2025</v>
      </c>
      <c r="B5171" s="6">
        <v>2</v>
      </c>
      <c r="C5171" s="6" t="s">
        <v>61</v>
      </c>
      <c r="D5171" s="6" t="s">
        <v>996</v>
      </c>
      <c r="E5171" s="6" t="s">
        <v>455</v>
      </c>
      <c r="F5171" s="6" t="str">
        <f>IF($M5171="PADD I","PADD 1",IF($M5171="PADD II","PADD 2",IF($M5171="PADD III","PADD 3",IF($M5171="PADD IV","PADD 4",IF($M5171="PADD V","PADD 5","")))))</f>
        <v>PADD 5</v>
      </c>
      <c r="G5171" s="6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6" t="s">
        <v>39</v>
      </c>
      <c r="I5171" s="6" t="s">
        <v>1017</v>
      </c>
      <c r="J5171" s="6" t="s">
        <v>394</v>
      </c>
      <c r="K5171" s="10">
        <v>24.795</v>
      </c>
      <c r="L5171" s="10">
        <v>43.5</v>
      </c>
      <c r="M5171" s="6" t="s">
        <v>436</v>
      </c>
      <c r="N5171" s="6">
        <f>IF(OR($G5171="FCC",$G5171="Hydrocracker",$G5171="Reformer"),IF(COUNTIFS($D:$D,$D5171,$A:$A,$A5171,$B:$B,$B5171,$G:$G,"CDU",$J:$J,"PLANNED")&gt;0,"tied","standalone"),"")</f>
        <v/>
      </c>
    </row>
    <row r="5172" spans="1:14">
      <c r="A5172" s="6">
        <v>2025</v>
      </c>
      <c r="B5172" s="6">
        <v>2</v>
      </c>
      <c r="C5172" s="6" t="s">
        <v>61</v>
      </c>
      <c r="D5172" s="6" t="s">
        <v>937</v>
      </c>
      <c r="E5172" s="6" t="s">
        <v>455</v>
      </c>
      <c r="F5172" s="6" t="str">
        <f>IF($M5172="PADD I","PADD 1",IF($M5172="PADD II","PADD 2",IF($M5172="PADD III","PADD 3",IF($M5172="PADD IV","PADD 4",IF($M5172="PADD V","PADD 5","")))))</f>
        <v>PADD 3</v>
      </c>
      <c r="G5172" s="6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6" t="s">
        <v>426</v>
      </c>
      <c r="I5172" s="6" t="s">
        <v>856</v>
      </c>
      <c r="J5172" s="6" t="s">
        <v>398</v>
      </c>
      <c r="K5172" s="10">
        <v>24</v>
      </c>
      <c r="L5172" s="10">
        <v>24</v>
      </c>
      <c r="M5172" s="6" t="s">
        <v>421</v>
      </c>
      <c r="N5172" s="6" t="str">
        <f>IF(OR($G5172="FCC",$G5172="Hydrocracker",$G5172="Reformer"),IF(COUNTIFS($D:$D,$D5172,$A:$A,$A5172,$B:$B,$B5172,$G:$G,"CDU",$J:$J,"PLANNED")&gt;0,"tied","standalone"),"")</f>
        <v>standalone</v>
      </c>
    </row>
    <row r="5173" spans="1:14">
      <c r="A5173" s="6">
        <v>2025</v>
      </c>
      <c r="B5173" s="6">
        <v>2</v>
      </c>
      <c r="C5173" s="6" t="s">
        <v>61</v>
      </c>
      <c r="D5173" s="6" t="s">
        <v>375</v>
      </c>
      <c r="E5173" s="6" t="s">
        <v>435</v>
      </c>
      <c r="F5173" s="6" t="str">
        <f>IF($M5173="PADD I","PADD 1",IF($M5173="PADD II","PADD 2",IF($M5173="PADD III","PADD 3",IF($M5173="PADD IV","PADD 4",IF($M5173="PADD V","PADD 5","")))))</f>
        <v>PADD 5</v>
      </c>
      <c r="G5173" s="6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6" t="s">
        <v>485</v>
      </c>
      <c r="I5173" s="6" t="s">
        <v>863</v>
      </c>
      <c r="J5173" s="6" t="s">
        <v>394</v>
      </c>
      <c r="K5173" s="10">
        <v>24</v>
      </c>
      <c r="L5173" s="10">
        <v>25</v>
      </c>
      <c r="M5173" s="6" t="s">
        <v>436</v>
      </c>
      <c r="N5173" s="6">
        <f>IF(OR($G5173="FCC",$G5173="Hydrocracker",$G5173="Reformer"),IF(COUNTIFS($D:$D,$D5173,$A:$A,$A5173,$B:$B,$B5173,$G:$G,"CDU",$J:$J,"PLANNED")&gt;0,"tied","standalone"),"")</f>
        <v/>
      </c>
    </row>
    <row r="5174" spans="1:14">
      <c r="A5174" s="6">
        <v>2025</v>
      </c>
      <c r="B5174" s="6">
        <v>2</v>
      </c>
      <c r="C5174" s="6" t="s">
        <v>61</v>
      </c>
      <c r="D5174" s="6" t="s">
        <v>430</v>
      </c>
      <c r="E5174" s="6" t="s">
        <v>431</v>
      </c>
      <c r="F5174" s="6" t="str">
        <f>IF($M5174="PADD I","PADD 1",IF($M5174="PADD II","PADD 2",IF($M5174="PADD III","PADD 3",IF($M5174="PADD IV","PADD 4",IF($M5174="PADD V","PADD 5","")))))</f>
        <v>PADD 3</v>
      </c>
      <c r="G5174" s="6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6" t="s">
        <v>485</v>
      </c>
      <c r="I5174" s="6" t="s">
        <v>565</v>
      </c>
      <c r="J5174" s="6" t="s">
        <v>398</v>
      </c>
      <c r="K5174" s="10">
        <v>23.65</v>
      </c>
      <c r="L5174" s="10">
        <v>27.5</v>
      </c>
      <c r="M5174" s="6" t="s">
        <v>421</v>
      </c>
      <c r="N5174" s="6">
        <f>IF(OR($G5174="FCC",$G5174="Hydrocracker",$G5174="Reformer"),IF(COUNTIFS($D:$D,$D5174,$A:$A,$A5174,$B:$B,$B5174,$G:$G,"CDU",$J:$J,"PLANNED")&gt;0,"tied","standalone"),"")</f>
        <v/>
      </c>
    </row>
    <row r="5175" spans="1:14">
      <c r="A5175" s="6">
        <v>2025</v>
      </c>
      <c r="B5175" s="6">
        <v>2</v>
      </c>
      <c r="C5175" s="6" t="s">
        <v>61</v>
      </c>
      <c r="D5175" s="6" t="s">
        <v>437</v>
      </c>
      <c r="E5175" s="6" t="s">
        <v>438</v>
      </c>
      <c r="F5175" s="6" t="str">
        <f>IF($M5175="PADD I","PADD 1",IF($M5175="PADD II","PADD 2",IF($M5175="PADD III","PADD 3",IF($M5175="PADD IV","PADD 4",IF($M5175="PADD V","PADD 5","")))))</f>
        <v>PADD 3</v>
      </c>
      <c r="G5175" s="6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6" t="s">
        <v>631</v>
      </c>
      <c r="I5175" s="6" t="s">
        <v>918</v>
      </c>
      <c r="J5175" s="6" t="s">
        <v>398</v>
      </c>
      <c r="K5175" s="10">
        <v>23.04</v>
      </c>
      <c r="L5175" s="10">
        <v>64</v>
      </c>
      <c r="M5175" s="6" t="s">
        <v>421</v>
      </c>
      <c r="N5175" s="6" t="str">
        <f>IF(OR($G5175="FCC",$G5175="Hydrocracker",$G5175="Reformer"),IF(COUNTIFS($D:$D,$D5175,$A:$A,$A5175,$B:$B,$B5175,$G:$G,"CDU",$J:$J,"PLANNED")&gt;0,"tied","standalone"),"")</f>
        <v>tied</v>
      </c>
    </row>
    <row r="5176" spans="1:14">
      <c r="A5176" s="6">
        <v>2025</v>
      </c>
      <c r="B5176" s="6">
        <v>2</v>
      </c>
      <c r="C5176" s="6" t="s">
        <v>61</v>
      </c>
      <c r="D5176" s="6" t="s">
        <v>937</v>
      </c>
      <c r="E5176" s="6" t="s">
        <v>455</v>
      </c>
      <c r="F5176" s="6" t="str">
        <f>IF($M5176="PADD I","PADD 1",IF($M5176="PADD II","PADD 2",IF($M5176="PADD III","PADD 3",IF($M5176="PADD IV","PADD 4",IF($M5176="PADD V","PADD 5","")))))</f>
        <v>PADD 3</v>
      </c>
      <c r="G5176" s="6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6" t="s">
        <v>471</v>
      </c>
      <c r="I5176" s="6" t="s">
        <v>589</v>
      </c>
      <c r="J5176" s="6" t="s">
        <v>398</v>
      </c>
      <c r="K5176" s="10">
        <v>23</v>
      </c>
      <c r="L5176" s="10">
        <v>23</v>
      </c>
      <c r="M5176" s="6" t="s">
        <v>421</v>
      </c>
      <c r="N5176" s="6" t="str">
        <f>IF(OR($G5176="FCC",$G5176="Hydrocracker",$G5176="Reformer"),IF(COUNTIFS($D:$D,$D5176,$A:$A,$A5176,$B:$B,$B5176,$G:$G,"CDU",$J:$J,"PLANNED")&gt;0,"tied","standalone"),"")</f>
        <v>standalone</v>
      </c>
    </row>
    <row r="5177" spans="1:14">
      <c r="A5177" s="6">
        <v>2025</v>
      </c>
      <c r="B5177" s="6">
        <v>2</v>
      </c>
      <c r="C5177" s="6" t="s">
        <v>61</v>
      </c>
      <c r="D5177" s="6" t="s">
        <v>660</v>
      </c>
      <c r="E5177" s="6" t="s">
        <v>661</v>
      </c>
      <c r="F5177" s="6" t="str">
        <f>IF($M5177="PADD I","PADD 1",IF($M5177="PADD II","PADD 2",IF($M5177="PADD III","PADD 3",IF($M5177="PADD IV","PADD 4",IF($M5177="PADD V","PADD 5","")))))</f>
        <v>PADD 2</v>
      </c>
      <c r="G5177" s="6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6" t="s">
        <v>44</v>
      </c>
      <c r="I5177" s="6" t="s">
        <v>676</v>
      </c>
      <c r="J5177" s="6" t="s">
        <v>398</v>
      </c>
      <c r="K5177" s="10">
        <v>23</v>
      </c>
      <c r="L5177" s="10">
        <v>23</v>
      </c>
      <c r="M5177" s="6" t="s">
        <v>425</v>
      </c>
      <c r="N5177" s="6">
        <f>IF(OR($G5177="FCC",$G5177="Hydrocracker",$G5177="Reformer"),IF(COUNTIFS($D:$D,$D5177,$A:$A,$A5177,$B:$B,$B5177,$G:$G,"CDU",$J:$J,"PLANNED")&gt;0,"tied","standalone"),"")</f>
        <v/>
      </c>
    </row>
    <row r="5178" spans="1:14">
      <c r="A5178" s="6">
        <v>2025</v>
      </c>
      <c r="B5178" s="6">
        <v>2</v>
      </c>
      <c r="C5178" s="6" t="s">
        <v>61</v>
      </c>
      <c r="D5178" s="6" t="s">
        <v>41</v>
      </c>
      <c r="E5178" s="6" t="s">
        <v>786</v>
      </c>
      <c r="F5178" s="6" t="str">
        <f>IF($M5178="PADD I","PADD 1",IF($M5178="PADD II","PADD 2",IF($M5178="PADD III","PADD 3",IF($M5178="PADD IV","PADD 4",IF($M5178="PADD V","PADD 5","")))))</f>
        <v>PADD 1</v>
      </c>
      <c r="G5178" s="6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6" t="s">
        <v>494</v>
      </c>
      <c r="I5178" s="6" t="s">
        <v>495</v>
      </c>
      <c r="J5178" s="6" t="s">
        <v>394</v>
      </c>
      <c r="K5178" s="10">
        <v>23</v>
      </c>
      <c r="L5178" s="10">
        <v>23</v>
      </c>
      <c r="M5178" s="6" t="s">
        <v>463</v>
      </c>
      <c r="N5178" s="6" t="str">
        <f>IF(OR($G5178="FCC",$G5178="Hydrocracker",$G5178="Reformer"),IF(COUNTIFS($D:$D,$D5178,$A:$A,$A5178,$B:$B,$B5178,$G:$G,"CDU",$J:$J,"PLANNED")&gt;0,"tied","standalone"),"")</f>
        <v>standalone</v>
      </c>
    </row>
    <row r="5179" spans="1:14">
      <c r="A5179" s="6">
        <v>2025</v>
      </c>
      <c r="B5179" s="6">
        <v>2</v>
      </c>
      <c r="C5179" s="6" t="s">
        <v>61</v>
      </c>
      <c r="D5179" s="6" t="s">
        <v>373</v>
      </c>
      <c r="E5179" s="6" t="s">
        <v>438</v>
      </c>
      <c r="F5179" s="6" t="str">
        <f>IF($M5179="PADD I","PADD 1",IF($M5179="PADD II","PADD 2",IF($M5179="PADD III","PADD 3",IF($M5179="PADD IV","PADD 4",IF($M5179="PADD V","PADD 5","")))))</f>
        <v>PADD 3</v>
      </c>
      <c r="G5179" s="6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6" t="s">
        <v>39</v>
      </c>
      <c r="I5179" s="6" t="s">
        <v>100</v>
      </c>
      <c r="J5179" s="6" t="s">
        <v>394</v>
      </c>
      <c r="K5179" s="10">
        <v>22.75</v>
      </c>
      <c r="L5179" s="10">
        <v>325</v>
      </c>
      <c r="M5179" s="6" t="s">
        <v>421</v>
      </c>
      <c r="N5179" s="6">
        <f>IF(OR($G5179="FCC",$G5179="Hydrocracker",$G5179="Reformer"),IF(COUNTIFS($D:$D,$D5179,$A:$A,$A5179,$B:$B,$B5179,$G:$G,"CDU",$J:$J,"PLANNED")&gt;0,"tied","standalone"),"")</f>
        <v/>
      </c>
    </row>
    <row r="5180" spans="1:14">
      <c r="A5180" s="6">
        <v>2025</v>
      </c>
      <c r="B5180" s="6">
        <v>2</v>
      </c>
      <c r="C5180" s="6" t="s">
        <v>61</v>
      </c>
      <c r="D5180" s="6" t="s">
        <v>828</v>
      </c>
      <c r="E5180" s="6" t="s">
        <v>829</v>
      </c>
      <c r="F5180" s="6" t="str">
        <f>IF($M5180="PADD I","PADD 1",IF($M5180="PADD II","PADD 2",IF($M5180="PADD III","PADD 3",IF($M5180="PADD IV","PADD 4",IF($M5180="PADD V","PADD 5","")))))</f>
        <v>PADD 3</v>
      </c>
      <c r="G5180" s="6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6" t="s">
        <v>39</v>
      </c>
      <c r="I5180" s="6" t="s">
        <v>855</v>
      </c>
      <c r="J5180" s="6" t="s">
        <v>398</v>
      </c>
      <c r="K5180" s="10">
        <v>22.62</v>
      </c>
      <c r="L5180" s="10">
        <v>58</v>
      </c>
      <c r="M5180" s="6" t="s">
        <v>421</v>
      </c>
      <c r="N5180" s="6">
        <f>IF(OR($G5180="FCC",$G5180="Hydrocracker",$G5180="Reformer"),IF(COUNTIFS($D:$D,$D5180,$A:$A,$A5180,$B:$B,$B5180,$G:$G,"CDU",$J:$J,"PLANNED")&gt;0,"tied","standalone"),"")</f>
        <v/>
      </c>
    </row>
    <row r="5181" spans="1:14">
      <c r="A5181" s="6">
        <v>2025</v>
      </c>
      <c r="B5181" s="6">
        <v>2</v>
      </c>
      <c r="C5181" s="6" t="s">
        <v>61</v>
      </c>
      <c r="D5181" s="6" t="s">
        <v>828</v>
      </c>
      <c r="E5181" s="6" t="s">
        <v>829</v>
      </c>
      <c r="F5181" s="6" t="str">
        <f>IF($M5181="PADD I","PADD 1",IF($M5181="PADD II","PADD 2",IF($M5181="PADD III","PADD 3",IF($M5181="PADD IV","PADD 4",IF($M5181="PADD V","PADD 5","")))))</f>
        <v>PADD 3</v>
      </c>
      <c r="G5181" s="6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6" t="s">
        <v>471</v>
      </c>
      <c r="I5181" s="6" t="s">
        <v>854</v>
      </c>
      <c r="J5181" s="6" t="s">
        <v>398</v>
      </c>
      <c r="K5181" s="10">
        <v>22.62</v>
      </c>
      <c r="L5181" s="10">
        <v>58</v>
      </c>
      <c r="M5181" s="6" t="s">
        <v>421</v>
      </c>
      <c r="N5181" s="6" t="str">
        <f>IF(OR($G5181="FCC",$G5181="Hydrocracker",$G5181="Reformer"),IF(COUNTIFS($D:$D,$D5181,$A:$A,$A5181,$B:$B,$B5181,$G:$G,"CDU",$J:$J,"PLANNED")&gt;0,"tied","standalone"),"")</f>
        <v>tied</v>
      </c>
    </row>
    <row r="5182" spans="1:14">
      <c r="A5182" s="6">
        <v>2025</v>
      </c>
      <c r="B5182" s="6">
        <v>2</v>
      </c>
      <c r="C5182" s="6" t="s">
        <v>61</v>
      </c>
      <c r="D5182" s="6" t="s">
        <v>996</v>
      </c>
      <c r="E5182" s="6" t="s">
        <v>455</v>
      </c>
      <c r="F5182" s="6" t="str">
        <f>IF($M5182="PADD I","PADD 1",IF($M5182="PADD II","PADD 2",IF($M5182="PADD III","PADD 3",IF($M5182="PADD IV","PADD 4",IF($M5182="PADD V","PADD 5","")))))</f>
        <v>PADD 5</v>
      </c>
      <c r="G5182" s="6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6" t="s">
        <v>44</v>
      </c>
      <c r="I5182" s="6" t="s">
        <v>1020</v>
      </c>
      <c r="J5182" s="6" t="s">
        <v>398</v>
      </c>
      <c r="K5182" s="10">
        <v>22.44</v>
      </c>
      <c r="L5182" s="10">
        <v>33</v>
      </c>
      <c r="M5182" s="6" t="s">
        <v>436</v>
      </c>
      <c r="N5182" s="6">
        <f>IF(OR($G5182="FCC",$G5182="Hydrocracker",$G5182="Reformer"),IF(COUNTIFS($D:$D,$D5182,$A:$A,$A5182,$B:$B,$B5182,$G:$G,"CDU",$J:$J,"PLANNED")&gt;0,"tied","standalone"),"")</f>
        <v/>
      </c>
    </row>
    <row r="5183" spans="1:14">
      <c r="A5183" s="6">
        <v>2025</v>
      </c>
      <c r="B5183" s="6">
        <v>2</v>
      </c>
      <c r="C5183" s="6" t="s">
        <v>61</v>
      </c>
      <c r="D5183" s="6" t="s">
        <v>660</v>
      </c>
      <c r="E5183" s="6" t="s">
        <v>661</v>
      </c>
      <c r="F5183" s="6" t="str">
        <f>IF($M5183="PADD I","PADD 1",IF($M5183="PADD II","PADD 2",IF($M5183="PADD III","PADD 3",IF($M5183="PADD IV","PADD 4",IF($M5183="PADD V","PADD 5","")))))</f>
        <v>PADD 2</v>
      </c>
      <c r="G5183" s="6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6" t="s">
        <v>618</v>
      </c>
      <c r="I5183" s="6" t="s">
        <v>654</v>
      </c>
      <c r="J5183" s="6" t="s">
        <v>398</v>
      </c>
      <c r="K5183" s="10">
        <v>22.2</v>
      </c>
      <c r="L5183" s="10">
        <v>22.2</v>
      </c>
      <c r="M5183" s="6" t="s">
        <v>425</v>
      </c>
      <c r="N5183" s="6">
        <f>IF(OR($G5183="FCC",$G5183="Hydrocracker",$G5183="Reformer"),IF(COUNTIFS($D:$D,$D5183,$A:$A,$A5183,$B:$B,$B5183,$G:$G,"CDU",$J:$J,"PLANNED")&gt;0,"tied","standalone"),"")</f>
        <v/>
      </c>
    </row>
    <row r="5184" spans="1:14">
      <c r="A5184" s="6">
        <v>2025</v>
      </c>
      <c r="B5184" s="6">
        <v>2</v>
      </c>
      <c r="C5184" s="6" t="s">
        <v>61</v>
      </c>
      <c r="D5184" s="6" t="s">
        <v>937</v>
      </c>
      <c r="E5184" s="6" t="s">
        <v>455</v>
      </c>
      <c r="F5184" s="6" t="str">
        <f>IF($M5184="PADD I","PADD 1",IF($M5184="PADD II","PADD 2",IF($M5184="PADD III","PADD 3",IF($M5184="PADD IV","PADD 4",IF($M5184="PADD V","PADD 5","")))))</f>
        <v>PADD 3</v>
      </c>
      <c r="G5184" s="6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6" t="s">
        <v>44</v>
      </c>
      <c r="I5184" s="6" t="s">
        <v>543</v>
      </c>
      <c r="J5184" s="6" t="s">
        <v>398</v>
      </c>
      <c r="K5184" s="10">
        <v>22</v>
      </c>
      <c r="L5184" s="10">
        <v>22</v>
      </c>
      <c r="M5184" s="6" t="s">
        <v>421</v>
      </c>
      <c r="N5184" s="6">
        <f>IF(OR($G5184="FCC",$G5184="Hydrocracker",$G5184="Reformer"),IF(COUNTIFS($D:$D,$D5184,$A:$A,$A5184,$B:$B,$B5184,$G:$G,"CDU",$J:$J,"PLANNED")&gt;0,"tied","standalone"),"")</f>
        <v/>
      </c>
    </row>
    <row r="5185" spans="1:14">
      <c r="A5185" s="6">
        <v>2025</v>
      </c>
      <c r="B5185" s="6">
        <v>2</v>
      </c>
      <c r="C5185" s="6" t="s">
        <v>61</v>
      </c>
      <c r="D5185" s="6" t="s">
        <v>660</v>
      </c>
      <c r="E5185" s="6" t="s">
        <v>661</v>
      </c>
      <c r="F5185" s="6" t="str">
        <f>IF($M5185="PADD I","PADD 1",IF($M5185="PADD II","PADD 2",IF($M5185="PADD III","PADD 3",IF($M5185="PADD IV","PADD 4",IF($M5185="PADD V","PADD 5","")))))</f>
        <v>PADD 2</v>
      </c>
      <c r="G5185" s="6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6" t="s">
        <v>428</v>
      </c>
      <c r="I5185" s="6" t="s">
        <v>677</v>
      </c>
      <c r="J5185" s="6" t="s">
        <v>398</v>
      </c>
      <c r="K5185" s="10">
        <v>22</v>
      </c>
      <c r="L5185" s="10">
        <v>22</v>
      </c>
      <c r="M5185" s="6" t="s">
        <v>425</v>
      </c>
      <c r="N5185" s="6">
        <f>IF(OR($G5185="FCC",$G5185="Hydrocracker",$G5185="Reformer"),IF(COUNTIFS($D:$D,$D5185,$A:$A,$A5185,$B:$B,$B5185,$G:$G,"CDU",$J:$J,"PLANNED")&gt;0,"tied","standalone"),"")</f>
        <v/>
      </c>
    </row>
    <row r="5186" spans="1:14">
      <c r="A5186" s="6">
        <v>2025</v>
      </c>
      <c r="B5186" s="6">
        <v>2</v>
      </c>
      <c r="C5186" s="6" t="s">
        <v>61</v>
      </c>
      <c r="D5186" s="6" t="s">
        <v>996</v>
      </c>
      <c r="E5186" s="6" t="s">
        <v>455</v>
      </c>
      <c r="F5186" s="6" t="str">
        <f>IF($M5186="PADD I","PADD 1",IF($M5186="PADD II","PADD 2",IF($M5186="PADD III","PADD 3",IF($M5186="PADD IV","PADD 4",IF($M5186="PADD V","PADD 5","")))))</f>
        <v>PADD 5</v>
      </c>
      <c r="G5186" s="6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6" t="s">
        <v>510</v>
      </c>
      <c r="I5186" s="6" t="s">
        <v>1002</v>
      </c>
      <c r="J5186" s="6" t="s">
        <v>394</v>
      </c>
      <c r="K5186" s="10">
        <v>22</v>
      </c>
      <c r="L5186" s="10">
        <v>22</v>
      </c>
      <c r="M5186" s="6" t="s">
        <v>436</v>
      </c>
      <c r="N5186" s="6">
        <f>IF(OR($G5186="FCC",$G5186="Hydrocracker",$G5186="Reformer"),IF(COUNTIFS($D:$D,$D5186,$A:$A,$A5186,$B:$B,$B5186,$G:$G,"CDU",$J:$J,"PLANNED")&gt;0,"tied","standalone"),"")</f>
        <v/>
      </c>
    </row>
    <row r="5187" spans="1:14">
      <c r="A5187" s="6">
        <v>2025</v>
      </c>
      <c r="B5187" s="6">
        <v>2</v>
      </c>
      <c r="C5187" s="6" t="s">
        <v>61</v>
      </c>
      <c r="D5187" s="6" t="s">
        <v>828</v>
      </c>
      <c r="E5187" s="6" t="s">
        <v>829</v>
      </c>
      <c r="F5187" s="6" t="str">
        <f>IF($M5187="PADD I","PADD 1",IF($M5187="PADD II","PADD 2",IF($M5187="PADD III","PADD 3",IF($M5187="PADD IV","PADD 4",IF($M5187="PADD V","PADD 5","")))))</f>
        <v>PADD 3</v>
      </c>
      <c r="G5187" s="6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6" t="s">
        <v>426</v>
      </c>
      <c r="I5187" s="6" t="s">
        <v>856</v>
      </c>
      <c r="J5187" s="6" t="s">
        <v>398</v>
      </c>
      <c r="K5187" s="10">
        <v>21.45</v>
      </c>
      <c r="L5187" s="10">
        <v>55</v>
      </c>
      <c r="M5187" s="6" t="s">
        <v>421</v>
      </c>
      <c r="N5187" s="6" t="str">
        <f>IF(OR($G5187="FCC",$G5187="Hydrocracker",$G5187="Reformer"),IF(COUNTIFS($D:$D,$D5187,$A:$A,$A5187,$B:$B,$B5187,$G:$G,"CDU",$J:$J,"PLANNED")&gt;0,"tied","standalone"),"")</f>
        <v>tied</v>
      </c>
    </row>
    <row r="5188" spans="1:14">
      <c r="A5188" s="6">
        <v>2025</v>
      </c>
      <c r="B5188" s="6">
        <v>2</v>
      </c>
      <c r="C5188" s="6" t="s">
        <v>61</v>
      </c>
      <c r="D5188" s="6" t="s">
        <v>375</v>
      </c>
      <c r="E5188" s="6" t="s">
        <v>435</v>
      </c>
      <c r="F5188" s="6" t="str">
        <f>IF($M5188="PADD I","PADD 1",IF($M5188="PADD II","PADD 2",IF($M5188="PADD III","PADD 3",IF($M5188="PADD IV","PADD 4",IF($M5188="PADD V","PADD 5","")))))</f>
        <v>PADD 5</v>
      </c>
      <c r="G5188" s="6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6" t="s">
        <v>485</v>
      </c>
      <c r="I5188" s="6" t="s">
        <v>491</v>
      </c>
      <c r="J5188" s="6" t="s">
        <v>394</v>
      </c>
      <c r="K5188" s="10">
        <v>21.12</v>
      </c>
      <c r="L5188" s="10">
        <v>22</v>
      </c>
      <c r="M5188" s="6" t="s">
        <v>436</v>
      </c>
      <c r="N5188" s="6">
        <f>IF(OR($G5188="FCC",$G5188="Hydrocracker",$G5188="Reformer"),IF(COUNTIFS($D:$D,$D5188,$A:$A,$A5188,$B:$B,$B5188,$G:$G,"CDU",$J:$J,"PLANNED")&gt;0,"tied","standalone"),"")</f>
        <v/>
      </c>
    </row>
    <row r="5189" spans="1:14">
      <c r="A5189" s="6">
        <v>2025</v>
      </c>
      <c r="B5189" s="6">
        <v>2</v>
      </c>
      <c r="C5189" s="6" t="s">
        <v>61</v>
      </c>
      <c r="D5189" s="6" t="s">
        <v>505</v>
      </c>
      <c r="E5189" s="6" t="s">
        <v>455</v>
      </c>
      <c r="F5189" s="6" t="str">
        <f>IF($M5189="PADD I","PADD 1",IF($M5189="PADD II","PADD 2",IF($M5189="PADD III","PADD 3",IF($M5189="PADD IV","PADD 4",IF($M5189="PADD V","PADD 5","")))))</f>
        <v>PADD 3</v>
      </c>
      <c r="G5189" s="6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6" t="s">
        <v>510</v>
      </c>
      <c r="I5189" s="6" t="s">
        <v>511</v>
      </c>
      <c r="J5189" s="6" t="s">
        <v>398</v>
      </c>
      <c r="K5189" s="10">
        <v>21</v>
      </c>
      <c r="L5189" s="10">
        <v>21</v>
      </c>
      <c r="M5189" s="6" t="s">
        <v>421</v>
      </c>
      <c r="N5189" s="6">
        <f>IF(OR($G5189="FCC",$G5189="Hydrocracker",$G5189="Reformer"),IF(COUNTIFS($D:$D,$D5189,$A:$A,$A5189,$B:$B,$B5189,$G:$G,"CDU",$J:$J,"PLANNED")&gt;0,"tied","standalone"),"")</f>
        <v/>
      </c>
    </row>
    <row r="5190" spans="1:14">
      <c r="A5190" s="6">
        <v>2025</v>
      </c>
      <c r="B5190" s="6">
        <v>2</v>
      </c>
      <c r="C5190" s="6" t="s">
        <v>61</v>
      </c>
      <c r="D5190" s="6" t="s">
        <v>496</v>
      </c>
      <c r="E5190" s="6" t="s">
        <v>441</v>
      </c>
      <c r="F5190" s="6" t="str">
        <f>IF($M5190="PADD I","PADD 1",IF($M5190="PADD II","PADD 2",IF($M5190="PADD III","PADD 3",IF($M5190="PADD IV","PADD 4",IF($M5190="PADD V","PADD 5","")))))</f>
        <v>PADD 3</v>
      </c>
      <c r="G5190" s="6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6" t="s">
        <v>39</v>
      </c>
      <c r="I5190" s="6" t="s">
        <v>82</v>
      </c>
      <c r="J5190" s="6" t="s">
        <v>394</v>
      </c>
      <c r="K5190" s="10">
        <v>20.826</v>
      </c>
      <c r="L5190" s="10">
        <v>115.7</v>
      </c>
      <c r="M5190" s="6" t="s">
        <v>421</v>
      </c>
      <c r="N5190" s="6">
        <f>IF(OR($G5190="FCC",$G5190="Hydrocracker",$G5190="Reformer"),IF(COUNTIFS($D:$D,$D5190,$A:$A,$A5190,$B:$B,$B5190,$G:$G,"CDU",$J:$J,"PLANNED")&gt;0,"tied","standalone"),"")</f>
        <v/>
      </c>
    </row>
    <row r="5191" spans="1:14">
      <c r="A5191" s="6">
        <v>2025</v>
      </c>
      <c r="B5191" s="6">
        <v>2</v>
      </c>
      <c r="C5191" s="6" t="s">
        <v>61</v>
      </c>
      <c r="D5191" s="6" t="s">
        <v>828</v>
      </c>
      <c r="E5191" s="6" t="s">
        <v>829</v>
      </c>
      <c r="F5191" s="6" t="str">
        <f>IF($M5191="PADD I","PADD 1",IF($M5191="PADD II","PADD 2",IF($M5191="PADD III","PADD 3",IF($M5191="PADD IV","PADD 4",IF($M5191="PADD V","PADD 5","")))))</f>
        <v>PADD 3</v>
      </c>
      <c r="G5191" s="6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6" t="s">
        <v>44</v>
      </c>
      <c r="I5191" s="6" t="s">
        <v>858</v>
      </c>
      <c r="J5191" s="6" t="s">
        <v>398</v>
      </c>
      <c r="K5191" s="10">
        <v>20.67</v>
      </c>
      <c r="L5191" s="10">
        <v>53</v>
      </c>
      <c r="M5191" s="6" t="s">
        <v>421</v>
      </c>
      <c r="N5191" s="6">
        <f>IF(OR($G5191="FCC",$G5191="Hydrocracker",$G5191="Reformer"),IF(COUNTIFS($D:$D,$D5191,$A:$A,$A5191,$B:$B,$B5191,$G:$G,"CDU",$J:$J,"PLANNED")&gt;0,"tied","standalone"),"")</f>
        <v/>
      </c>
    </row>
    <row r="5192" spans="1:14">
      <c r="A5192" s="6">
        <v>2025</v>
      </c>
      <c r="B5192" s="6">
        <v>2</v>
      </c>
      <c r="C5192" s="6" t="s">
        <v>61</v>
      </c>
      <c r="D5192" s="6" t="s">
        <v>996</v>
      </c>
      <c r="E5192" s="6" t="s">
        <v>455</v>
      </c>
      <c r="F5192" s="6" t="str">
        <f>IF($M5192="PADD I","PADD 1",IF($M5192="PADD II","PADD 2",IF($M5192="PADD III","PADD 3",IF($M5192="PADD IV","PADD 4",IF($M5192="PADD V","PADD 5","")))))</f>
        <v>PADD 5</v>
      </c>
      <c r="G5192" s="6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6" t="s">
        <v>44</v>
      </c>
      <c r="I5192" s="6" t="s">
        <v>1021</v>
      </c>
      <c r="J5192" s="6" t="s">
        <v>398</v>
      </c>
      <c r="K5192" s="10">
        <v>20.4</v>
      </c>
      <c r="L5192" s="10">
        <v>30</v>
      </c>
      <c r="M5192" s="6" t="s">
        <v>436</v>
      </c>
      <c r="N5192" s="6">
        <f>IF(OR($G5192="FCC",$G5192="Hydrocracker",$G5192="Reformer"),IF(COUNTIFS($D:$D,$D5192,$A:$A,$A5192,$B:$B,$B5192,$G:$G,"CDU",$J:$J,"PLANNED")&gt;0,"tied","standalone"),"")</f>
        <v/>
      </c>
    </row>
    <row r="5193" spans="1:14">
      <c r="A5193" s="6">
        <v>2025</v>
      </c>
      <c r="B5193" s="6">
        <v>2</v>
      </c>
      <c r="C5193" s="6" t="s">
        <v>61</v>
      </c>
      <c r="D5193" s="6" t="s">
        <v>437</v>
      </c>
      <c r="E5193" s="6" t="s">
        <v>438</v>
      </c>
      <c r="F5193" s="6" t="str">
        <f>IF($M5193="PADD I","PADD 1",IF($M5193="PADD II","PADD 2",IF($M5193="PADD III","PADD 3",IF($M5193="PADD IV","PADD 4",IF($M5193="PADD V","PADD 5","")))))</f>
        <v>PADD 3</v>
      </c>
      <c r="G5193" s="6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6" t="s">
        <v>494</v>
      </c>
      <c r="I5193" s="6" t="s">
        <v>526</v>
      </c>
      <c r="J5193" s="6" t="s">
        <v>394</v>
      </c>
      <c r="K5193" s="10">
        <v>20.3</v>
      </c>
      <c r="L5193" s="10">
        <v>70</v>
      </c>
      <c r="M5193" s="6" t="s">
        <v>421</v>
      </c>
      <c r="N5193" s="6" t="str">
        <f>IF(OR($G5193="FCC",$G5193="Hydrocracker",$G5193="Reformer"),IF(COUNTIFS($D:$D,$D5193,$A:$A,$A5193,$B:$B,$B5193,$G:$G,"CDU",$J:$J,"PLANNED")&gt;0,"tied","standalone"),"")</f>
        <v>tied</v>
      </c>
    </row>
    <row r="5194" spans="1:14">
      <c r="A5194" s="6">
        <v>2025</v>
      </c>
      <c r="B5194" s="6">
        <v>2</v>
      </c>
      <c r="C5194" s="6" t="s">
        <v>61</v>
      </c>
      <c r="D5194" s="6" t="s">
        <v>937</v>
      </c>
      <c r="E5194" s="6" t="s">
        <v>455</v>
      </c>
      <c r="F5194" s="6" t="str">
        <f>IF($M5194="PADD I","PADD 1",IF($M5194="PADD II","PADD 2",IF($M5194="PADD III","PADD 3",IF($M5194="PADD IV","PADD 4",IF($M5194="PADD V","PADD 5","")))))</f>
        <v>PADD 3</v>
      </c>
      <c r="G5194" s="6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6" t="s">
        <v>44</v>
      </c>
      <c r="I5194" s="6" t="s">
        <v>968</v>
      </c>
      <c r="J5194" s="6" t="s">
        <v>398</v>
      </c>
      <c r="K5194" s="10">
        <v>20</v>
      </c>
      <c r="L5194" s="10">
        <v>20</v>
      </c>
      <c r="M5194" s="6" t="s">
        <v>421</v>
      </c>
      <c r="N5194" s="6">
        <f>IF(OR($G5194="FCC",$G5194="Hydrocracker",$G5194="Reformer"),IF(COUNTIFS($D:$D,$D5194,$A:$A,$A5194,$B:$B,$B5194,$G:$G,"CDU",$J:$J,"PLANNED")&gt;0,"tied","standalone"),"")</f>
        <v/>
      </c>
    </row>
    <row r="5195" spans="1:14">
      <c r="A5195" s="6">
        <v>2025</v>
      </c>
      <c r="B5195" s="6">
        <v>2</v>
      </c>
      <c r="C5195" s="6" t="s">
        <v>61</v>
      </c>
      <c r="D5195" s="6" t="s">
        <v>660</v>
      </c>
      <c r="E5195" s="6" t="s">
        <v>661</v>
      </c>
      <c r="F5195" s="6" t="str">
        <f>IF($M5195="PADD I","PADD 1",IF($M5195="PADD II","PADD 2",IF($M5195="PADD III","PADD 3",IF($M5195="PADD IV","PADD 4",IF($M5195="PADD V","PADD 5","")))))</f>
        <v>PADD 2</v>
      </c>
      <c r="G5195" s="6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6" t="s">
        <v>44</v>
      </c>
      <c r="I5195" s="6" t="s">
        <v>679</v>
      </c>
      <c r="J5195" s="6" t="s">
        <v>398</v>
      </c>
      <c r="K5195" s="10">
        <v>20</v>
      </c>
      <c r="L5195" s="10">
        <v>20</v>
      </c>
      <c r="M5195" s="6" t="s">
        <v>425</v>
      </c>
      <c r="N5195" s="6">
        <f>IF(OR($G5195="FCC",$G5195="Hydrocracker",$G5195="Reformer"),IF(COUNTIFS($D:$D,$D5195,$A:$A,$A5195,$B:$B,$B5195,$G:$G,"CDU",$J:$J,"PLANNED")&gt;0,"tied","standalone"),"")</f>
        <v/>
      </c>
    </row>
    <row r="5196" spans="1:14">
      <c r="A5196" s="6">
        <v>2025</v>
      </c>
      <c r="B5196" s="6">
        <v>2</v>
      </c>
      <c r="C5196" s="6" t="s">
        <v>61</v>
      </c>
      <c r="D5196" s="6" t="s">
        <v>660</v>
      </c>
      <c r="E5196" s="6" t="s">
        <v>661</v>
      </c>
      <c r="F5196" s="6" t="str">
        <f>IF($M5196="PADD I","PADD 1",IF($M5196="PADD II","PADD 2",IF($M5196="PADD III","PADD 3",IF($M5196="PADD IV","PADD 4",IF($M5196="PADD V","PADD 5","")))))</f>
        <v>PADD 2</v>
      </c>
      <c r="G5196" s="6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6" t="s">
        <v>428</v>
      </c>
      <c r="I5196" s="6" t="s">
        <v>544</v>
      </c>
      <c r="J5196" s="6" t="s">
        <v>398</v>
      </c>
      <c r="K5196" s="10">
        <v>20</v>
      </c>
      <c r="L5196" s="10">
        <v>20</v>
      </c>
      <c r="M5196" s="6" t="s">
        <v>425</v>
      </c>
      <c r="N5196" s="6">
        <f>IF(OR($G5196="FCC",$G5196="Hydrocracker",$G5196="Reformer"),IF(COUNTIFS($D:$D,$D5196,$A:$A,$A5196,$B:$B,$B5196,$G:$G,"CDU",$J:$J,"PLANNED")&gt;0,"tied","standalone"),"")</f>
        <v/>
      </c>
    </row>
    <row r="5197" spans="1:14">
      <c r="A5197" s="6">
        <v>2025</v>
      </c>
      <c r="B5197" s="6">
        <v>2</v>
      </c>
      <c r="C5197" s="6" t="s">
        <v>61</v>
      </c>
      <c r="D5197" s="6" t="s">
        <v>382</v>
      </c>
      <c r="E5197" s="6" t="s">
        <v>431</v>
      </c>
      <c r="F5197" s="6" t="str">
        <f>IF($M5197="PADD I","PADD 1",IF($M5197="PADD II","PADD 2",IF($M5197="PADD III","PADD 3",IF($M5197="PADD IV","PADD 4",IF($M5197="PADD V","PADD 5","")))))</f>
        <v>PADD 3</v>
      </c>
      <c r="G5197" s="6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6" t="s">
        <v>44</v>
      </c>
      <c r="I5197" s="6" t="s">
        <v>993</v>
      </c>
      <c r="J5197" s="6" t="s">
        <v>394</v>
      </c>
      <c r="K5197" s="10">
        <v>20</v>
      </c>
      <c r="L5197" s="10">
        <v>40</v>
      </c>
      <c r="M5197" s="6" t="s">
        <v>421</v>
      </c>
      <c r="N5197" s="6">
        <f>IF(OR($G5197="FCC",$G5197="Hydrocracker",$G5197="Reformer"),IF(COUNTIFS($D:$D,$D5197,$A:$A,$A5197,$B:$B,$B5197,$G:$G,"CDU",$J:$J,"PLANNED")&gt;0,"tied","standalone"),"")</f>
        <v/>
      </c>
    </row>
    <row r="5198" spans="1:14">
      <c r="A5198" s="6">
        <v>2025</v>
      </c>
      <c r="B5198" s="6">
        <v>2</v>
      </c>
      <c r="C5198" s="6" t="s">
        <v>61</v>
      </c>
      <c r="D5198" s="6" t="s">
        <v>368</v>
      </c>
      <c r="E5198" s="6" t="s">
        <v>715</v>
      </c>
      <c r="F5198" s="6" t="str">
        <f>IF($M5198="PADD I","PADD 1",IF($M5198="PADD II","PADD 2",IF($M5198="PADD III","PADD 3",IF($M5198="PADD IV","PADD 4",IF($M5198="PADD V","PADD 5","")))))</f>
        <v>PADD 3</v>
      </c>
      <c r="G5198" s="6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6" t="s">
        <v>485</v>
      </c>
      <c r="I5198" s="6" t="s">
        <v>491</v>
      </c>
      <c r="J5198" s="6" t="s">
        <v>394</v>
      </c>
      <c r="K5198" s="10">
        <v>19.8834</v>
      </c>
      <c r="L5198" s="10">
        <v>21.38</v>
      </c>
      <c r="M5198" s="6" t="s">
        <v>421</v>
      </c>
      <c r="N5198" s="6">
        <f>IF(OR($G5198="FCC",$G5198="Hydrocracker",$G5198="Reformer"),IF(COUNTIFS($D:$D,$D5198,$A:$A,$A5198,$B:$B,$B5198,$G:$G,"CDU",$J:$J,"PLANNED")&gt;0,"tied","standalone"),"")</f>
        <v/>
      </c>
    </row>
    <row r="5199" spans="1:14">
      <c r="A5199" s="6">
        <v>2025</v>
      </c>
      <c r="B5199" s="6">
        <v>2</v>
      </c>
      <c r="C5199" s="6" t="s">
        <v>61</v>
      </c>
      <c r="D5199" s="6" t="s">
        <v>626</v>
      </c>
      <c r="E5199" s="6" t="s">
        <v>419</v>
      </c>
      <c r="F5199" s="6" t="str">
        <f>IF($M5199="PADD I","PADD 1",IF($M5199="PADD II","PADD 2",IF($M5199="PADD III","PADD 3",IF($M5199="PADD IV","PADD 4",IF($M5199="PADD V","PADD 5","")))))</f>
        <v>PADD 3</v>
      </c>
      <c r="G5199" s="6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6" t="s">
        <v>426</v>
      </c>
      <c r="I5199" s="6" t="s">
        <v>106</v>
      </c>
      <c r="J5199" s="6" t="s">
        <v>394</v>
      </c>
      <c r="K5199" s="10">
        <v>19.866</v>
      </c>
      <c r="L5199" s="10">
        <v>46.2</v>
      </c>
      <c r="M5199" s="6" t="s">
        <v>421</v>
      </c>
      <c r="N5199" s="6" t="str">
        <f>IF(OR($G5199="FCC",$G5199="Hydrocracker",$G5199="Reformer"),IF(COUNTIFS($D:$D,$D5199,$A:$A,$A5199,$B:$B,$B5199,$G:$G,"CDU",$J:$J,"PLANNED")&gt;0,"tied","standalone"),"")</f>
        <v>standalone</v>
      </c>
    </row>
    <row r="5200" spans="1:14">
      <c r="A5200" s="6">
        <v>2025</v>
      </c>
      <c r="B5200" s="6">
        <v>2</v>
      </c>
      <c r="C5200" s="6" t="s">
        <v>61</v>
      </c>
      <c r="D5200" s="6" t="s">
        <v>660</v>
      </c>
      <c r="E5200" s="6" t="s">
        <v>661</v>
      </c>
      <c r="F5200" s="6" t="str">
        <f>IF($M5200="PADD I","PADD 1",IF($M5200="PADD II","PADD 2",IF($M5200="PADD III","PADD 3",IF($M5200="PADD IV","PADD 4",IF($M5200="PADD V","PADD 5","")))))</f>
        <v>PADD 2</v>
      </c>
      <c r="G5200" s="6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6" t="s">
        <v>485</v>
      </c>
      <c r="I5200" s="6" t="s">
        <v>491</v>
      </c>
      <c r="J5200" s="6" t="s">
        <v>398</v>
      </c>
      <c r="K5200" s="10">
        <v>19.5</v>
      </c>
      <c r="L5200" s="10">
        <v>19.5</v>
      </c>
      <c r="M5200" s="6" t="s">
        <v>425</v>
      </c>
      <c r="N5200" s="6">
        <f>IF(OR($G5200="FCC",$G5200="Hydrocracker",$G5200="Reformer"),IF(COUNTIFS($D:$D,$D5200,$A:$A,$A5200,$B:$B,$B5200,$G:$G,"CDU",$J:$J,"PLANNED")&gt;0,"tied","standalone"),"")</f>
        <v/>
      </c>
    </row>
    <row r="5201" spans="1:14">
      <c r="A5201" s="6">
        <v>2025</v>
      </c>
      <c r="B5201" s="6">
        <v>2</v>
      </c>
      <c r="C5201" s="6" t="s">
        <v>61</v>
      </c>
      <c r="D5201" s="6" t="s">
        <v>828</v>
      </c>
      <c r="E5201" s="6" t="s">
        <v>829</v>
      </c>
      <c r="F5201" s="6" t="str">
        <f>IF($M5201="PADD I","PADD 1",IF($M5201="PADD II","PADD 2",IF($M5201="PADD III","PADD 3",IF($M5201="PADD IV","PADD 4",IF($M5201="PADD V","PADD 5","")))))</f>
        <v>PADD 3</v>
      </c>
      <c r="G5201" s="6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6" t="s">
        <v>44</v>
      </c>
      <c r="I5201" s="6" t="s">
        <v>859</v>
      </c>
      <c r="J5201" s="6" t="s">
        <v>398</v>
      </c>
      <c r="K5201" s="10">
        <v>19.5</v>
      </c>
      <c r="L5201" s="10">
        <v>50</v>
      </c>
      <c r="M5201" s="6" t="s">
        <v>421</v>
      </c>
      <c r="N5201" s="6">
        <f>IF(OR($G5201="FCC",$G5201="Hydrocracker",$G5201="Reformer"),IF(COUNTIFS($D:$D,$D5201,$A:$A,$A5201,$B:$B,$B5201,$G:$G,"CDU",$J:$J,"PLANNED")&gt;0,"tied","standalone"),"")</f>
        <v/>
      </c>
    </row>
    <row r="5202" spans="1:14">
      <c r="A5202" s="6">
        <v>2025</v>
      </c>
      <c r="B5202" s="6">
        <v>2</v>
      </c>
      <c r="C5202" s="6" t="s">
        <v>61</v>
      </c>
      <c r="D5202" s="6" t="s">
        <v>440</v>
      </c>
      <c r="E5202" s="6" t="s">
        <v>441</v>
      </c>
      <c r="F5202" s="6" t="str">
        <f>IF($M5202="PADD I","PADD 1",IF($M5202="PADD II","PADD 2",IF($M5202="PADD III","PADD 3",IF($M5202="PADD IV","PADD 4",IF($M5202="PADD V","PADD 5","")))))</f>
        <v>PADD 3</v>
      </c>
      <c r="G5202" s="6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6" t="s">
        <v>44</v>
      </c>
      <c r="I5202" s="6" t="s">
        <v>1134</v>
      </c>
      <c r="J5202" s="6" t="s">
        <v>398</v>
      </c>
      <c r="K5202" s="10">
        <v>19.35</v>
      </c>
      <c r="L5202" s="10">
        <v>45</v>
      </c>
      <c r="M5202" s="6" t="s">
        <v>421</v>
      </c>
      <c r="N5202" s="6">
        <f>IF(OR($G5202="FCC",$G5202="Hydrocracker",$G5202="Reformer"),IF(COUNTIFS($D:$D,$D5202,$A:$A,$A5202,$B:$B,$B5202,$G:$G,"CDU",$J:$J,"PLANNED")&gt;0,"tied","standalone"),"")</f>
        <v/>
      </c>
    </row>
    <row r="5203" spans="1:14">
      <c r="A5203" s="6">
        <v>2025</v>
      </c>
      <c r="B5203" s="6">
        <v>2</v>
      </c>
      <c r="C5203" s="6" t="s">
        <v>61</v>
      </c>
      <c r="D5203" s="6" t="s">
        <v>764</v>
      </c>
      <c r="E5203" s="6" t="s">
        <v>455</v>
      </c>
      <c r="F5203" s="6" t="str">
        <f>IF($M5203="PADD I","PADD 1",IF($M5203="PADD II","PADD 2",IF($M5203="PADD III","PADD 3",IF($M5203="PADD IV","PADD 4",IF($M5203="PADD V","PADD 5","")))))</f>
        <v>PADD 3</v>
      </c>
      <c r="G5203" s="6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6" t="s">
        <v>494</v>
      </c>
      <c r="I5203" s="6" t="s">
        <v>14</v>
      </c>
      <c r="J5203" s="6" t="s">
        <v>394</v>
      </c>
      <c r="K5203" s="10">
        <v>18.88</v>
      </c>
      <c r="L5203" s="10">
        <v>29.5</v>
      </c>
      <c r="M5203" s="6" t="s">
        <v>421</v>
      </c>
      <c r="N5203" s="6" t="str">
        <f>IF(OR($G5203="FCC",$G5203="Hydrocracker",$G5203="Reformer"),IF(COUNTIFS($D:$D,$D5203,$A:$A,$A5203,$B:$B,$B5203,$G:$G,"CDU",$J:$J,"PLANNED")&gt;0,"tied","standalone"),"")</f>
        <v>standalone</v>
      </c>
    </row>
    <row r="5204" spans="1:14">
      <c r="A5204" s="6">
        <v>2025</v>
      </c>
      <c r="B5204" s="6">
        <v>2</v>
      </c>
      <c r="C5204" s="6" t="s">
        <v>61</v>
      </c>
      <c r="D5204" s="6" t="s">
        <v>828</v>
      </c>
      <c r="E5204" s="6" t="s">
        <v>829</v>
      </c>
      <c r="F5204" s="6" t="str">
        <f>IF($M5204="PADD I","PADD 1",IF($M5204="PADD II","PADD 2",IF($M5204="PADD III","PADD 3",IF($M5204="PADD IV","PADD 4",IF($M5204="PADD V","PADD 5","")))))</f>
        <v>PADD 3</v>
      </c>
      <c r="G5204" s="6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6" t="s">
        <v>44</v>
      </c>
      <c r="I5204" s="6" t="s">
        <v>861</v>
      </c>
      <c r="J5204" s="6" t="s">
        <v>398</v>
      </c>
      <c r="K5204" s="10">
        <v>18.72</v>
      </c>
      <c r="L5204" s="10">
        <v>48</v>
      </c>
      <c r="M5204" s="6" t="s">
        <v>421</v>
      </c>
      <c r="N5204" s="6">
        <f>IF(OR($G5204="FCC",$G5204="Hydrocracker",$G5204="Reformer"),IF(COUNTIFS($D:$D,$D5204,$A:$A,$A5204,$B:$B,$B5204,$G:$G,"CDU",$J:$J,"PLANNED")&gt;0,"tied","standalone"),"")</f>
        <v/>
      </c>
    </row>
    <row r="5205" spans="1:14">
      <c r="A5205" s="6">
        <v>2025</v>
      </c>
      <c r="B5205" s="6">
        <v>2</v>
      </c>
      <c r="C5205" s="6" t="s">
        <v>61</v>
      </c>
      <c r="D5205" s="6" t="s">
        <v>540</v>
      </c>
      <c r="E5205" s="6" t="s">
        <v>541</v>
      </c>
      <c r="F5205" s="6" t="str">
        <f>IF($M5205="PADD I","PADD 1",IF($M5205="PADD II","PADD 2",IF($M5205="PADD III","PADD 3",IF($M5205="PADD IV","PADD 4",IF($M5205="PADD V","PADD 5","")))))</f>
        <v>PADD 3</v>
      </c>
      <c r="G5205" s="6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6" t="s">
        <v>510</v>
      </c>
      <c r="I5205" s="6" t="s">
        <v>1243</v>
      </c>
      <c r="J5205" s="6" t="s">
        <v>398</v>
      </c>
      <c r="K5205" s="10">
        <v>18</v>
      </c>
      <c r="L5205" s="10">
        <v>18</v>
      </c>
      <c r="M5205" s="6" t="s">
        <v>421</v>
      </c>
      <c r="N5205" s="6">
        <f>IF(OR($G5205="FCC",$G5205="Hydrocracker",$G5205="Reformer"),IF(COUNTIFS($D:$D,$D5205,$A:$A,$A5205,$B:$B,$B5205,$G:$G,"CDU",$J:$J,"PLANNED")&gt;0,"tied","standalone"),"")</f>
        <v/>
      </c>
    </row>
    <row r="5206" spans="1:14">
      <c r="A5206" s="6">
        <v>2025</v>
      </c>
      <c r="B5206" s="6">
        <v>2</v>
      </c>
      <c r="C5206" s="6" t="s">
        <v>61</v>
      </c>
      <c r="D5206" s="6" t="s">
        <v>52</v>
      </c>
      <c r="E5206" s="6" t="s">
        <v>441</v>
      </c>
      <c r="F5206" s="6" t="str">
        <f>IF($M5206="PADD I","PADD 1",IF($M5206="PADD II","PADD 2",IF($M5206="PADD III","PADD 3",IF($M5206="PADD IV","PADD 4",IF($M5206="PADD V","PADD 5","")))))</f>
        <v>PADD 5</v>
      </c>
      <c r="G5206" s="6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6" t="s">
        <v>428</v>
      </c>
      <c r="I5206" s="6" t="s">
        <v>1085</v>
      </c>
      <c r="J5206" s="6" t="s">
        <v>398</v>
      </c>
      <c r="K5206" s="10">
        <v>17.71</v>
      </c>
      <c r="L5206" s="10">
        <v>161</v>
      </c>
      <c r="M5206" s="6" t="s">
        <v>436</v>
      </c>
      <c r="N5206" s="6">
        <f>IF(OR($G5206="FCC",$G5206="Hydrocracker",$G5206="Reformer"),IF(COUNTIFS($D:$D,$D5206,$A:$A,$A5206,$B:$B,$B5206,$G:$G,"CDU",$J:$J,"PLANNED")&gt;0,"tied","standalone"),"")</f>
        <v/>
      </c>
    </row>
    <row r="5207" spans="1:14">
      <c r="A5207" s="6">
        <v>2025</v>
      </c>
      <c r="B5207" s="6">
        <v>2</v>
      </c>
      <c r="C5207" s="6" t="s">
        <v>61</v>
      </c>
      <c r="D5207" s="6" t="s">
        <v>764</v>
      </c>
      <c r="E5207" s="6" t="s">
        <v>455</v>
      </c>
      <c r="F5207" s="6" t="str">
        <f>IF($M5207="PADD I","PADD 1",IF($M5207="PADD II","PADD 2",IF($M5207="PADD III","PADD 3",IF($M5207="PADD IV","PADD 4",IF($M5207="PADD V","PADD 5","")))))</f>
        <v>PADD 3</v>
      </c>
      <c r="G5207" s="6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6" t="s">
        <v>471</v>
      </c>
      <c r="I5207" s="6" t="s">
        <v>914</v>
      </c>
      <c r="J5207" s="6" t="s">
        <v>394</v>
      </c>
      <c r="K5207" s="10">
        <v>17.629</v>
      </c>
      <c r="L5207" s="10">
        <v>28.9</v>
      </c>
      <c r="M5207" s="6" t="s">
        <v>421</v>
      </c>
      <c r="N5207" s="6" t="str">
        <f>IF(OR($G5207="FCC",$G5207="Hydrocracker",$G5207="Reformer"),IF(COUNTIFS($D:$D,$D5207,$A:$A,$A5207,$B:$B,$B5207,$G:$G,"CDU",$J:$J,"PLANNED")&gt;0,"tied","standalone"),"")</f>
        <v>standalone</v>
      </c>
    </row>
    <row r="5208" spans="1:14">
      <c r="A5208" s="6">
        <v>2025</v>
      </c>
      <c r="B5208" s="6">
        <v>2</v>
      </c>
      <c r="C5208" s="6" t="s">
        <v>61</v>
      </c>
      <c r="D5208" s="6" t="s">
        <v>828</v>
      </c>
      <c r="E5208" s="6" t="s">
        <v>829</v>
      </c>
      <c r="F5208" s="6" t="str">
        <f>IF($M5208="PADD I","PADD 1",IF($M5208="PADD II","PADD 2",IF($M5208="PADD III","PADD 3",IF($M5208="PADD IV","PADD 4",IF($M5208="PADD V","PADD 5","")))))</f>
        <v>PADD 3</v>
      </c>
      <c r="G5208" s="6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6" t="s">
        <v>44</v>
      </c>
      <c r="I5208" s="6" t="s">
        <v>444</v>
      </c>
      <c r="J5208" s="6" t="s">
        <v>398</v>
      </c>
      <c r="K5208" s="10">
        <v>17.55</v>
      </c>
      <c r="L5208" s="10">
        <v>45</v>
      </c>
      <c r="M5208" s="6" t="s">
        <v>421</v>
      </c>
      <c r="N5208" s="6">
        <f>IF(OR($G5208="FCC",$G5208="Hydrocracker",$G5208="Reformer"),IF(COUNTIFS($D:$D,$D5208,$A:$A,$A5208,$B:$B,$B5208,$G:$G,"CDU",$J:$J,"PLANNED")&gt;0,"tied","standalone"),"")</f>
        <v/>
      </c>
    </row>
    <row r="5209" spans="1:14">
      <c r="A5209" s="6">
        <v>2025</v>
      </c>
      <c r="B5209" s="6">
        <v>2</v>
      </c>
      <c r="C5209" s="6" t="s">
        <v>61</v>
      </c>
      <c r="D5209" s="6" t="s">
        <v>507</v>
      </c>
      <c r="E5209" s="6" t="s">
        <v>438</v>
      </c>
      <c r="F5209" s="6" t="str">
        <f>IF($M5209="PADD I","PADD 1",IF($M5209="PADD II","PADD 2",IF($M5209="PADD III","PADD 3",IF($M5209="PADD IV","PADD 4",IF($M5209="PADD V","PADD 5","")))))</f>
        <v>PADD 5</v>
      </c>
      <c r="G5209" s="6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6" t="s">
        <v>44</v>
      </c>
      <c r="I5209" s="6" t="s">
        <v>1331</v>
      </c>
      <c r="J5209" s="6" t="s">
        <v>398</v>
      </c>
      <c r="K5209" s="10">
        <v>16.5</v>
      </c>
      <c r="L5209" s="10">
        <v>22</v>
      </c>
      <c r="M5209" s="6" t="s">
        <v>436</v>
      </c>
      <c r="N5209" s="6">
        <f>IF(OR($G5209="FCC",$G5209="Hydrocracker",$G5209="Reformer"),IF(COUNTIFS($D:$D,$D5209,$A:$A,$A5209,$B:$B,$B5209,$G:$G,"CDU",$J:$J,"PLANNED")&gt;0,"tied","standalone"),"")</f>
        <v/>
      </c>
    </row>
    <row r="5210" spans="1:14">
      <c r="A5210" s="6">
        <v>2025</v>
      </c>
      <c r="B5210" s="6">
        <v>2</v>
      </c>
      <c r="C5210" s="6" t="s">
        <v>61</v>
      </c>
      <c r="D5210" s="6" t="s">
        <v>370</v>
      </c>
      <c r="E5210" s="6" t="s">
        <v>431</v>
      </c>
      <c r="F5210" s="6" t="str">
        <f>IF($M5210="PADD I","PADD 1",IF($M5210="PADD II","PADD 2",IF($M5210="PADD III","PADD 3",IF($M5210="PADD IV","PADD 4",IF($M5210="PADD V","PADD 5","")))))</f>
        <v>PADD 2</v>
      </c>
      <c r="G5210" s="6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6" t="s">
        <v>426</v>
      </c>
      <c r="I5210" s="6" t="s">
        <v>106</v>
      </c>
      <c r="J5210" s="6" t="s">
        <v>394</v>
      </c>
      <c r="K5210" s="10">
        <v>16.34</v>
      </c>
      <c r="L5210" s="10">
        <v>38</v>
      </c>
      <c r="M5210" s="6" t="s">
        <v>425</v>
      </c>
      <c r="N5210" s="6" t="str">
        <f>IF(OR($G5210="FCC",$G5210="Hydrocracker",$G5210="Reformer"),IF(COUNTIFS($D:$D,$D5210,$A:$A,$A5210,$B:$B,$B5210,$G:$G,"CDU",$J:$J,"PLANNED")&gt;0,"tied","standalone"),"")</f>
        <v>standalone</v>
      </c>
    </row>
    <row r="5211" spans="1:14">
      <c r="A5211" s="6">
        <v>2025</v>
      </c>
      <c r="B5211" s="6">
        <v>2</v>
      </c>
      <c r="C5211" s="6" t="s">
        <v>61</v>
      </c>
      <c r="D5211" s="6" t="s">
        <v>437</v>
      </c>
      <c r="E5211" s="6" t="s">
        <v>438</v>
      </c>
      <c r="F5211" s="6" t="str">
        <f>IF($M5211="PADD I","PADD 1",IF($M5211="PADD II","PADD 2",IF($M5211="PADD III","PADD 3",IF($M5211="PADD IV","PADD 4",IF($M5211="PADD V","PADD 5","")))))</f>
        <v>PADD 3</v>
      </c>
      <c r="G5211" s="6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6" t="s">
        <v>44</v>
      </c>
      <c r="I5211" s="6" t="s">
        <v>1269</v>
      </c>
      <c r="J5211" s="6" t="s">
        <v>394</v>
      </c>
      <c r="K5211" s="10">
        <v>15.95</v>
      </c>
      <c r="L5211" s="10">
        <v>55</v>
      </c>
      <c r="M5211" s="6" t="s">
        <v>421</v>
      </c>
      <c r="N5211" s="6">
        <f>IF(OR($G5211="FCC",$G5211="Hydrocracker",$G5211="Reformer"),IF(COUNTIFS($D:$D,$D5211,$A:$A,$A5211,$B:$B,$B5211,$G:$G,"CDU",$J:$J,"PLANNED")&gt;0,"tied","standalone"),"")</f>
        <v/>
      </c>
    </row>
    <row r="5212" spans="1:14">
      <c r="A5212" s="6">
        <v>2025</v>
      </c>
      <c r="B5212" s="6">
        <v>2</v>
      </c>
      <c r="C5212" s="6" t="s">
        <v>61</v>
      </c>
      <c r="D5212" s="6" t="s">
        <v>461</v>
      </c>
      <c r="E5212" s="6" t="s">
        <v>419</v>
      </c>
      <c r="F5212" s="6" t="str">
        <f>IF($M5212="PADD I","PADD 1",IF($M5212="PADD II","PADD 2",IF($M5212="PADD III","PADD 3",IF($M5212="PADD IV","PADD 4",IF($M5212="PADD V","PADD 5","")))))</f>
        <v>PADD 1</v>
      </c>
      <c r="G5212" s="6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6" t="s">
        <v>44</v>
      </c>
      <c r="I5212" s="6" t="s">
        <v>934</v>
      </c>
      <c r="J5212" s="6" t="s">
        <v>398</v>
      </c>
      <c r="K5212" s="10">
        <v>15.66</v>
      </c>
      <c r="L5212" s="10">
        <v>29</v>
      </c>
      <c r="M5212" s="6" t="s">
        <v>463</v>
      </c>
      <c r="N5212" s="6">
        <f>IF(OR($G5212="FCC",$G5212="Hydrocracker",$G5212="Reformer"),IF(COUNTIFS($D:$D,$D5212,$A:$A,$A5212,$B:$B,$B5212,$G:$G,"CDU",$J:$J,"PLANNED")&gt;0,"tied","standalone"),"")</f>
        <v/>
      </c>
    </row>
    <row r="5213" spans="1:14">
      <c r="A5213" s="6">
        <v>2025</v>
      </c>
      <c r="B5213" s="6">
        <v>2</v>
      </c>
      <c r="C5213" s="6" t="s">
        <v>61</v>
      </c>
      <c r="D5213" s="6" t="s">
        <v>371</v>
      </c>
      <c r="E5213" s="6" t="s">
        <v>419</v>
      </c>
      <c r="F5213" s="6" t="str">
        <f>IF($M5213="PADD I","PADD 1",IF($M5213="PADD II","PADD 2",IF($M5213="PADD III","PADD 3",IF($M5213="PADD IV","PADD 4",IF($M5213="PADD V","PADD 5","")))))</f>
        <v>PADD 2</v>
      </c>
      <c r="G5213" s="6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6" t="s">
        <v>39</v>
      </c>
      <c r="I5213" s="6" t="s">
        <v>571</v>
      </c>
      <c r="J5213" s="6" t="s">
        <v>398</v>
      </c>
      <c r="K5213" s="10">
        <v>15.4</v>
      </c>
      <c r="L5213" s="10">
        <v>110</v>
      </c>
      <c r="M5213" s="6" t="s">
        <v>425</v>
      </c>
      <c r="N5213" s="6">
        <f>IF(OR($G5213="FCC",$G5213="Hydrocracker",$G5213="Reformer"),IF(COUNTIFS($D:$D,$D5213,$A:$A,$A5213,$B:$B,$B5213,$G:$G,"CDU",$J:$J,"PLANNED")&gt;0,"tied","standalone"),"")</f>
        <v/>
      </c>
    </row>
    <row r="5214" spans="1:14">
      <c r="A5214" s="6">
        <v>2025</v>
      </c>
      <c r="B5214" s="6">
        <v>2</v>
      </c>
      <c r="C5214" s="6" t="s">
        <v>61</v>
      </c>
      <c r="D5214" s="6" t="s">
        <v>712</v>
      </c>
      <c r="E5214" s="6" t="s">
        <v>602</v>
      </c>
      <c r="F5214" s="6" t="str">
        <f>IF($M5214="PADD I","PADD 1",IF($M5214="PADD II","PADD 2",IF($M5214="PADD III","PADD 3",IF($M5214="PADD IV","PADD 4",IF($M5214="PADD V","PADD 5","")))))</f>
        <v>PADD 3</v>
      </c>
      <c r="G5214" s="6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6" t="s">
        <v>44</v>
      </c>
      <c r="I5214" s="6" t="s">
        <v>785</v>
      </c>
      <c r="J5214" s="6" t="s">
        <v>398</v>
      </c>
      <c r="K5214" s="10">
        <v>14.72</v>
      </c>
      <c r="L5214" s="10">
        <v>23</v>
      </c>
      <c r="M5214" s="6" t="s">
        <v>421</v>
      </c>
      <c r="N5214" s="6">
        <f>IF(OR($G5214="FCC",$G5214="Hydrocracker",$G5214="Reformer"),IF(COUNTIFS($D:$D,$D5214,$A:$A,$A5214,$B:$B,$B5214,$G:$G,"CDU",$J:$J,"PLANNED")&gt;0,"tied","standalone"),"")</f>
        <v/>
      </c>
    </row>
    <row r="5215" spans="1:14">
      <c r="A5215" s="6">
        <v>2025</v>
      </c>
      <c r="B5215" s="6">
        <v>2</v>
      </c>
      <c r="C5215" s="6" t="s">
        <v>61</v>
      </c>
      <c r="D5215" s="6" t="s">
        <v>597</v>
      </c>
      <c r="E5215" s="6" t="s">
        <v>441</v>
      </c>
      <c r="F5215" s="6" t="str">
        <f>IF($M5215="PADD I","PADD 1",IF($M5215="PADD II","PADD 2",IF($M5215="PADD III","PADD 3",IF($M5215="PADD IV","PADD 4",IF($M5215="PADD V","PADD 5","")))))</f>
        <v>PADD 5</v>
      </c>
      <c r="G5215" s="6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6" t="s">
        <v>426</v>
      </c>
      <c r="I5215" s="6" t="s">
        <v>106</v>
      </c>
      <c r="J5215" s="6" t="s">
        <v>398</v>
      </c>
      <c r="K5215" s="10">
        <v>14.4</v>
      </c>
      <c r="L5215" s="10">
        <v>80</v>
      </c>
      <c r="M5215" s="6" t="s">
        <v>436</v>
      </c>
      <c r="N5215" s="6" t="str">
        <f>IF(OR($G5215="FCC",$G5215="Hydrocracker",$G5215="Reformer"),IF(COUNTIFS($D:$D,$D5215,$A:$A,$A5215,$B:$B,$B5215,$G:$G,"CDU",$J:$J,"PLANNED")&gt;0,"tied","standalone"),"")</f>
        <v>standalone</v>
      </c>
    </row>
    <row r="5216" spans="1:14">
      <c r="A5216" s="6">
        <v>2025</v>
      </c>
      <c r="B5216" s="6">
        <v>2</v>
      </c>
      <c r="C5216" s="6" t="s">
        <v>61</v>
      </c>
      <c r="D5216" s="6" t="s">
        <v>437</v>
      </c>
      <c r="E5216" s="6" t="s">
        <v>438</v>
      </c>
      <c r="F5216" s="6" t="str">
        <f>IF($M5216="PADD I","PADD 1",IF($M5216="PADD II","PADD 2",IF($M5216="PADD III","PADD 3",IF($M5216="PADD IV","PADD 4",IF($M5216="PADD V","PADD 5","")))))</f>
        <v>PADD 3</v>
      </c>
      <c r="G5216" s="6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6" t="s">
        <v>44</v>
      </c>
      <c r="I5216" s="6" t="s">
        <v>1267</v>
      </c>
      <c r="J5216" s="6" t="s">
        <v>398</v>
      </c>
      <c r="K5216" s="10">
        <v>14.4</v>
      </c>
      <c r="L5216" s="10">
        <v>40</v>
      </c>
      <c r="M5216" s="6" t="s">
        <v>421</v>
      </c>
      <c r="N5216" s="6">
        <f>IF(OR($G5216="FCC",$G5216="Hydrocracker",$G5216="Reformer"),IF(COUNTIFS($D:$D,$D5216,$A:$A,$A5216,$B:$B,$B5216,$G:$G,"CDU",$J:$J,"PLANNED")&gt;0,"tied","standalone"),"")</f>
        <v/>
      </c>
    </row>
    <row r="5217" spans="1:14">
      <c r="A5217" s="6">
        <v>2025</v>
      </c>
      <c r="B5217" s="6">
        <v>2</v>
      </c>
      <c r="C5217" s="6" t="s">
        <v>61</v>
      </c>
      <c r="D5217" s="6" t="s">
        <v>461</v>
      </c>
      <c r="E5217" s="6" t="s">
        <v>419</v>
      </c>
      <c r="F5217" s="6" t="str">
        <f>IF($M5217="PADD I","PADD 1",IF($M5217="PADD II","PADD 2",IF($M5217="PADD III","PADD 3",IF($M5217="PADD IV","PADD 4",IF($M5217="PADD V","PADD 5","")))))</f>
        <v>PADD 1</v>
      </c>
      <c r="G5217" s="6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6" t="s">
        <v>471</v>
      </c>
      <c r="I5217" s="6" t="s">
        <v>936</v>
      </c>
      <c r="J5217" s="6" t="s">
        <v>398</v>
      </c>
      <c r="K5217" s="10">
        <v>14.04</v>
      </c>
      <c r="L5217" s="10">
        <v>26</v>
      </c>
      <c r="M5217" s="6" t="s">
        <v>463</v>
      </c>
      <c r="N5217" s="6" t="str">
        <f>IF(OR($G5217="FCC",$G5217="Hydrocracker",$G5217="Reformer"),IF(COUNTIFS($D:$D,$D5217,$A:$A,$A5217,$B:$B,$B5217,$G:$G,"CDU",$J:$J,"PLANNED")&gt;0,"tied","standalone"),"")</f>
        <v>tied</v>
      </c>
    </row>
    <row r="5218" spans="1:14">
      <c r="A5218" s="6">
        <v>2025</v>
      </c>
      <c r="B5218" s="6">
        <v>2</v>
      </c>
      <c r="C5218" s="6" t="s">
        <v>61</v>
      </c>
      <c r="D5218" s="6" t="s">
        <v>597</v>
      </c>
      <c r="E5218" s="6" t="s">
        <v>441</v>
      </c>
      <c r="F5218" s="6" t="str">
        <f>IF($M5218="PADD I","PADD 1",IF($M5218="PADD II","PADD 2",IF($M5218="PADD III","PADD 3",IF($M5218="PADD IV","PADD 4",IF($M5218="PADD V","PADD 5","")))))</f>
        <v>PADD 5</v>
      </c>
      <c r="G5218" s="6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6" t="s">
        <v>494</v>
      </c>
      <c r="I5218" s="6" t="s">
        <v>784</v>
      </c>
      <c r="J5218" s="6" t="s">
        <v>394</v>
      </c>
      <c r="K5218" s="10">
        <v>12.6</v>
      </c>
      <c r="L5218" s="10">
        <v>60</v>
      </c>
      <c r="M5218" s="6" t="s">
        <v>436</v>
      </c>
      <c r="N5218" s="6" t="str">
        <f>IF(OR($G5218="FCC",$G5218="Hydrocracker",$G5218="Reformer"),IF(COUNTIFS($D:$D,$D5218,$A:$A,$A5218,$B:$B,$B5218,$G:$G,"CDU",$J:$J,"PLANNED")&gt;0,"tied","standalone"),"")</f>
        <v>standalone</v>
      </c>
    </row>
    <row r="5219" spans="1:14">
      <c r="A5219" s="6">
        <v>2025</v>
      </c>
      <c r="B5219" s="6">
        <v>2</v>
      </c>
      <c r="C5219" s="6" t="s">
        <v>61</v>
      </c>
      <c r="D5219" s="6" t="s">
        <v>1336</v>
      </c>
      <c r="E5219" s="6" t="s">
        <v>1337</v>
      </c>
      <c r="F5219" s="6" t="str">
        <f>IF($M5219="PADD I","PADD 1",IF($M5219="PADD II","PADD 2",IF($M5219="PADD III","PADD 3",IF($M5219="PADD IV","PADD 4",IF($M5219="PADD V","PADD 5","")))))</f>
        <v>PADD 4</v>
      </c>
      <c r="G5219" s="6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6" t="s">
        <v>39</v>
      </c>
      <c r="I5219" s="6" t="s">
        <v>82</v>
      </c>
      <c r="J5219" s="6" t="s">
        <v>394</v>
      </c>
      <c r="K5219" s="10">
        <v>12.2</v>
      </c>
      <c r="L5219" s="10">
        <v>20</v>
      </c>
      <c r="M5219" s="6" t="s">
        <v>480</v>
      </c>
      <c r="N5219" s="6">
        <f>IF(OR($G5219="FCC",$G5219="Hydrocracker",$G5219="Reformer"),IF(COUNTIFS($D:$D,$D5219,$A:$A,$A5219,$B:$B,$B5219,$G:$G,"CDU",$J:$J,"PLANNED")&gt;0,"tied","standalone"),"")</f>
        <v/>
      </c>
    </row>
    <row r="5220" spans="1:14">
      <c r="A5220" s="6">
        <v>2025</v>
      </c>
      <c r="B5220" s="6">
        <v>2</v>
      </c>
      <c r="C5220" s="6" t="s">
        <v>61</v>
      </c>
      <c r="D5220" s="6" t="s">
        <v>375</v>
      </c>
      <c r="E5220" s="6" t="s">
        <v>435</v>
      </c>
      <c r="F5220" s="6" t="str">
        <f>IF($M5220="PADD I","PADD 1",IF($M5220="PADD II","PADD 2",IF($M5220="PADD III","PADD 3",IF($M5220="PADD IV","PADD 4",IF($M5220="PADD V","PADD 5","")))))</f>
        <v>PADD 5</v>
      </c>
      <c r="G5220" s="6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6" t="s">
        <v>510</v>
      </c>
      <c r="I5220" s="6" t="s">
        <v>1338</v>
      </c>
      <c r="J5220" s="6" t="s">
        <v>394</v>
      </c>
      <c r="K5220" s="10">
        <v>12</v>
      </c>
      <c r="L5220" s="10">
        <v>12</v>
      </c>
      <c r="M5220" s="6" t="s">
        <v>436</v>
      </c>
      <c r="N5220" s="6">
        <f>IF(OR($G5220="FCC",$G5220="Hydrocracker",$G5220="Reformer"),IF(COUNTIFS($D:$D,$D5220,$A:$A,$A5220,$B:$B,$B5220,$G:$G,"CDU",$J:$J,"PLANNED")&gt;0,"tied","standalone"),"")</f>
        <v/>
      </c>
    </row>
    <row r="5221" spans="1:14">
      <c r="A5221" s="6">
        <v>2025</v>
      </c>
      <c r="B5221" s="6">
        <v>2</v>
      </c>
      <c r="C5221" s="6" t="s">
        <v>61</v>
      </c>
      <c r="D5221" s="6" t="s">
        <v>680</v>
      </c>
      <c r="E5221" s="6" t="s">
        <v>541</v>
      </c>
      <c r="F5221" s="6" t="str">
        <f>IF($M5221="PADD I","PADD 1",IF($M5221="PADD II","PADD 2",IF($M5221="PADD III","PADD 3",IF($M5221="PADD IV","PADD 4",IF($M5221="PADD V","PADD 5","")))))</f>
        <v>PADD 3</v>
      </c>
      <c r="G5221" s="6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6" t="s">
        <v>44</v>
      </c>
      <c r="I5221" s="6" t="s">
        <v>514</v>
      </c>
      <c r="J5221" s="6" t="s">
        <v>394</v>
      </c>
      <c r="K5221" s="10">
        <v>12</v>
      </c>
      <c r="L5221" s="10">
        <v>12</v>
      </c>
      <c r="M5221" s="6" t="s">
        <v>421</v>
      </c>
      <c r="N5221" s="6">
        <f>IF(OR($G5221="FCC",$G5221="Hydrocracker",$G5221="Reformer"),IF(COUNTIFS($D:$D,$D5221,$A:$A,$A5221,$B:$B,$B5221,$G:$G,"CDU",$J:$J,"PLANNED")&gt;0,"tied","standalone"),"")</f>
        <v/>
      </c>
    </row>
    <row r="5222" spans="1:14">
      <c r="A5222" s="6">
        <v>2025</v>
      </c>
      <c r="B5222" s="6">
        <v>2</v>
      </c>
      <c r="C5222" s="6" t="s">
        <v>61</v>
      </c>
      <c r="D5222" s="6" t="s">
        <v>41</v>
      </c>
      <c r="E5222" s="6" t="s">
        <v>786</v>
      </c>
      <c r="F5222" s="6" t="str">
        <f>IF($M5222="PADD I","PADD 1",IF($M5222="PADD II","PADD 2",IF($M5222="PADD III","PADD 3",IF($M5222="PADD IV","PADD 4",IF($M5222="PADD V","PADD 5","")))))</f>
        <v>PADD 1</v>
      </c>
      <c r="G5222" s="6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6" t="s">
        <v>510</v>
      </c>
      <c r="I5222" s="6" t="s">
        <v>810</v>
      </c>
      <c r="J5222" s="6" t="s">
        <v>398</v>
      </c>
      <c r="K5222" s="10">
        <v>12</v>
      </c>
      <c r="L5222" s="10">
        <v>12</v>
      </c>
      <c r="M5222" s="6" t="s">
        <v>463</v>
      </c>
      <c r="N5222" s="6">
        <f>IF(OR($G5222="FCC",$G5222="Hydrocracker",$G5222="Reformer"),IF(COUNTIFS($D:$D,$D5222,$A:$A,$A5222,$B:$B,$B5222,$G:$G,"CDU",$J:$J,"PLANNED")&gt;0,"tied","standalone"),"")</f>
        <v/>
      </c>
    </row>
    <row r="5223" spans="1:14">
      <c r="A5223" s="6">
        <v>2025</v>
      </c>
      <c r="B5223" s="6">
        <v>2</v>
      </c>
      <c r="C5223" s="6" t="s">
        <v>61</v>
      </c>
      <c r="D5223" s="6" t="s">
        <v>828</v>
      </c>
      <c r="E5223" s="6" t="s">
        <v>829</v>
      </c>
      <c r="F5223" s="6" t="str">
        <f>IF($M5223="PADD I","PADD 1",IF($M5223="PADD II","PADD 2",IF($M5223="PADD III","PADD 3",IF($M5223="PADD IV","PADD 4",IF($M5223="PADD V","PADD 5","")))))</f>
        <v>PADD 3</v>
      </c>
      <c r="G5223" s="6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6" t="s">
        <v>494</v>
      </c>
      <c r="I5223" s="6" t="s">
        <v>867</v>
      </c>
      <c r="J5223" s="6" t="s">
        <v>398</v>
      </c>
      <c r="K5223" s="10">
        <v>11.7</v>
      </c>
      <c r="L5223" s="10">
        <v>30</v>
      </c>
      <c r="M5223" s="6" t="s">
        <v>421</v>
      </c>
      <c r="N5223" s="6" t="str">
        <f>IF(OR($G5223="FCC",$G5223="Hydrocracker",$G5223="Reformer"),IF(COUNTIFS($D:$D,$D5223,$A:$A,$A5223,$B:$B,$B5223,$G:$G,"CDU",$J:$J,"PLANNED")&gt;0,"tied","standalone"),"")</f>
        <v>tied</v>
      </c>
    </row>
    <row r="5224" spans="1:14">
      <c r="A5224" s="6">
        <v>2025</v>
      </c>
      <c r="B5224" s="6">
        <v>2</v>
      </c>
      <c r="C5224" s="6" t="s">
        <v>61</v>
      </c>
      <c r="D5224" s="6" t="s">
        <v>828</v>
      </c>
      <c r="E5224" s="6" t="s">
        <v>829</v>
      </c>
      <c r="F5224" s="6" t="str">
        <f>IF($M5224="PADD I","PADD 1",IF($M5224="PADD II","PADD 2",IF($M5224="PADD III","PADD 3",IF($M5224="PADD IV","PADD 4",IF($M5224="PADD V","PADD 5","")))))</f>
        <v>PADD 3</v>
      </c>
      <c r="G5224" s="6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6" t="s">
        <v>44</v>
      </c>
      <c r="I5224" s="6" t="s">
        <v>868</v>
      </c>
      <c r="J5224" s="6" t="s">
        <v>398</v>
      </c>
      <c r="K5224" s="10">
        <v>11.7</v>
      </c>
      <c r="L5224" s="10">
        <v>30</v>
      </c>
      <c r="M5224" s="6" t="s">
        <v>421</v>
      </c>
      <c r="N5224" s="6">
        <f>IF(OR($G5224="FCC",$G5224="Hydrocracker",$G5224="Reformer"),IF(COUNTIFS($D:$D,$D5224,$A:$A,$A5224,$B:$B,$B5224,$G:$G,"CDU",$J:$J,"PLANNED")&gt;0,"tied","standalone"),"")</f>
        <v/>
      </c>
    </row>
    <row r="5225" spans="1:14">
      <c r="A5225" s="6">
        <v>2025</v>
      </c>
      <c r="B5225" s="6">
        <v>2</v>
      </c>
      <c r="C5225" s="6" t="s">
        <v>61</v>
      </c>
      <c r="D5225" s="6" t="s">
        <v>828</v>
      </c>
      <c r="E5225" s="6" t="s">
        <v>829</v>
      </c>
      <c r="F5225" s="6" t="str">
        <f>IF($M5225="PADD I","PADD 1",IF($M5225="PADD II","PADD 2",IF($M5225="PADD III","PADD 3",IF($M5225="PADD IV","PADD 4",IF($M5225="PADD V","PADD 5","")))))</f>
        <v>PADD 3</v>
      </c>
      <c r="G5225" s="6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6" t="s">
        <v>44</v>
      </c>
      <c r="I5225" s="6" t="s">
        <v>869</v>
      </c>
      <c r="J5225" s="6" t="s">
        <v>398</v>
      </c>
      <c r="K5225" s="10">
        <v>11.7</v>
      </c>
      <c r="L5225" s="10">
        <v>30</v>
      </c>
      <c r="M5225" s="6" t="s">
        <v>421</v>
      </c>
      <c r="N5225" s="6">
        <f>IF(OR($G5225="FCC",$G5225="Hydrocracker",$G5225="Reformer"),IF(COUNTIFS($D:$D,$D5225,$A:$A,$A5225,$B:$B,$B5225,$G:$G,"CDU",$J:$J,"PLANNED")&gt;0,"tied","standalone"),"")</f>
        <v/>
      </c>
    </row>
    <row r="5226" spans="1:14">
      <c r="A5226" s="6">
        <v>2025</v>
      </c>
      <c r="B5226" s="6">
        <v>2</v>
      </c>
      <c r="C5226" s="6" t="s">
        <v>61</v>
      </c>
      <c r="D5226" s="6" t="s">
        <v>597</v>
      </c>
      <c r="E5226" s="6" t="s">
        <v>441</v>
      </c>
      <c r="F5226" s="6" t="str">
        <f>IF($M5226="PADD I","PADD 1",IF($M5226="PADD II","PADD 2",IF($M5226="PADD III","PADD 3",IF($M5226="PADD IV","PADD 4",IF($M5226="PADD V","PADD 5","")))))</f>
        <v>PADD 5</v>
      </c>
      <c r="G5226" s="6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6" t="s">
        <v>44</v>
      </c>
      <c r="I5226" s="6" t="s">
        <v>979</v>
      </c>
      <c r="J5226" s="6" t="s">
        <v>398</v>
      </c>
      <c r="K5226" s="10">
        <v>11.664</v>
      </c>
      <c r="L5226" s="10">
        <v>64.8</v>
      </c>
      <c r="M5226" s="6" t="s">
        <v>436</v>
      </c>
      <c r="N5226" s="6">
        <f>IF(OR($G5226="FCC",$G5226="Hydrocracker",$G5226="Reformer"),IF(COUNTIFS($D:$D,$D5226,$A:$A,$A5226,$B:$B,$B5226,$G:$G,"CDU",$J:$J,"PLANNED")&gt;0,"tied","standalone"),"")</f>
        <v/>
      </c>
    </row>
    <row r="5227" spans="1:14">
      <c r="A5227" s="6">
        <v>2025</v>
      </c>
      <c r="B5227" s="6">
        <v>2</v>
      </c>
      <c r="C5227" s="6" t="s">
        <v>61</v>
      </c>
      <c r="D5227" s="6" t="s">
        <v>996</v>
      </c>
      <c r="E5227" s="6" t="s">
        <v>455</v>
      </c>
      <c r="F5227" s="6" t="str">
        <f>IF($M5227="PADD I","PADD 1",IF($M5227="PADD II","PADD 2",IF($M5227="PADD III","PADD 3",IF($M5227="PADD IV","PADD 4",IF($M5227="PADD V","PADD 5","")))))</f>
        <v>PADD 5</v>
      </c>
      <c r="G5227" s="6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6" t="s">
        <v>618</v>
      </c>
      <c r="I5227" s="6" t="s">
        <v>1024</v>
      </c>
      <c r="J5227" s="6" t="s">
        <v>398</v>
      </c>
      <c r="K5227" s="10">
        <v>11.56</v>
      </c>
      <c r="L5227" s="10">
        <v>17</v>
      </c>
      <c r="M5227" s="6" t="s">
        <v>436</v>
      </c>
      <c r="N5227" s="6">
        <f>IF(OR($G5227="FCC",$G5227="Hydrocracker",$G5227="Reformer"),IF(COUNTIFS($D:$D,$D5227,$A:$A,$A5227,$B:$B,$B5227,$G:$G,"CDU",$J:$J,"PLANNED")&gt;0,"tied","standalone"),"")</f>
        <v/>
      </c>
    </row>
    <row r="5228" spans="1:14">
      <c r="A5228" s="6">
        <v>2025</v>
      </c>
      <c r="B5228" s="6">
        <v>2</v>
      </c>
      <c r="C5228" s="6" t="s">
        <v>61</v>
      </c>
      <c r="D5228" s="6" t="s">
        <v>597</v>
      </c>
      <c r="E5228" s="6" t="s">
        <v>441</v>
      </c>
      <c r="F5228" s="6" t="str">
        <f>IF($M5228="PADD I","PADD 1",IF($M5228="PADD II","PADD 2",IF($M5228="PADD III","PADD 3",IF($M5228="PADD IV","PADD 4",IF($M5228="PADD V","PADD 5","")))))</f>
        <v>PADD 5</v>
      </c>
      <c r="G5228" s="6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6" t="s">
        <v>44</v>
      </c>
      <c r="I5228" s="6" t="s">
        <v>976</v>
      </c>
      <c r="J5228" s="6" t="s">
        <v>394</v>
      </c>
      <c r="K5228" s="10">
        <v>11.2</v>
      </c>
      <c r="L5228" s="10">
        <v>80</v>
      </c>
      <c r="M5228" s="6" t="s">
        <v>436</v>
      </c>
      <c r="N5228" s="6">
        <f>IF(OR($G5228="FCC",$G5228="Hydrocracker",$G5228="Reformer"),IF(COUNTIFS($D:$D,$D5228,$A:$A,$A5228,$B:$B,$B5228,$G:$G,"CDU",$J:$J,"PLANNED")&gt;0,"tied","standalone"),"")</f>
        <v/>
      </c>
    </row>
    <row r="5229" spans="1:14">
      <c r="A5229" s="6">
        <v>2025</v>
      </c>
      <c r="B5229" s="6">
        <v>2</v>
      </c>
      <c r="C5229" s="6" t="s">
        <v>61</v>
      </c>
      <c r="D5229" s="6" t="s">
        <v>49</v>
      </c>
      <c r="E5229" s="6" t="s">
        <v>438</v>
      </c>
      <c r="F5229" s="6" t="str">
        <f>IF($M5229="PADD I","PADD 1",IF($M5229="PADD II","PADD 2",IF($M5229="PADD III","PADD 3",IF($M5229="PADD IV","PADD 4",IF($M5229="PADD V","PADD 5","")))))</f>
        <v>PADD 2</v>
      </c>
      <c r="G5229" s="6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6" t="s">
        <v>44</v>
      </c>
      <c r="I5229" s="6" t="s">
        <v>811</v>
      </c>
      <c r="J5229" s="6" t="s">
        <v>394</v>
      </c>
      <c r="K5229" s="10">
        <v>11.04</v>
      </c>
      <c r="L5229" s="10">
        <v>24</v>
      </c>
      <c r="M5229" s="6" t="s">
        <v>425</v>
      </c>
      <c r="N5229" s="6">
        <f>IF(OR($G5229="FCC",$G5229="Hydrocracker",$G5229="Reformer"),IF(COUNTIFS($D:$D,$D5229,$A:$A,$A5229,$B:$B,$B5229,$G:$G,"CDU",$J:$J,"PLANNED")&gt;0,"tied","standalone"),"")</f>
        <v/>
      </c>
    </row>
    <row r="5230" spans="1:14">
      <c r="A5230" s="6">
        <v>2025</v>
      </c>
      <c r="B5230" s="6">
        <v>2</v>
      </c>
      <c r="C5230" s="6" t="s">
        <v>61</v>
      </c>
      <c r="D5230" s="6" t="s">
        <v>996</v>
      </c>
      <c r="E5230" s="6" t="s">
        <v>455</v>
      </c>
      <c r="F5230" s="6" t="str">
        <f>IF($M5230="PADD I","PADD 1",IF($M5230="PADD II","PADD 2",IF($M5230="PADD III","PADD 3",IF($M5230="PADD IV","PADD 4",IF($M5230="PADD V","PADD 5","")))))</f>
        <v>PADD 5</v>
      </c>
      <c r="G5230" s="6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6" t="s">
        <v>471</v>
      </c>
      <c r="I5230" s="6" t="s">
        <v>1023</v>
      </c>
      <c r="J5230" s="6" t="s">
        <v>394</v>
      </c>
      <c r="K5230" s="10">
        <v>10.98</v>
      </c>
      <c r="L5230" s="10">
        <v>18</v>
      </c>
      <c r="M5230" s="6" t="s">
        <v>436</v>
      </c>
      <c r="N5230" s="6" t="str">
        <f>IF(OR($G5230="FCC",$G5230="Hydrocracker",$G5230="Reformer"),IF(COUNTIFS($D:$D,$D5230,$A:$A,$A5230,$B:$B,$B5230,$G:$G,"CDU",$J:$J,"PLANNED")&gt;0,"tied","standalone"),"")</f>
        <v>standalone</v>
      </c>
    </row>
    <row r="5231" spans="1:14">
      <c r="A5231" s="6">
        <v>2025</v>
      </c>
      <c r="B5231" s="6">
        <v>2</v>
      </c>
      <c r="C5231" s="6" t="s">
        <v>61</v>
      </c>
      <c r="D5231" s="6" t="s">
        <v>373</v>
      </c>
      <c r="E5231" s="6" t="s">
        <v>438</v>
      </c>
      <c r="F5231" s="6" t="str">
        <f>IF($M5231="PADD I","PADD 1",IF($M5231="PADD II","PADD 2",IF($M5231="PADD III","PADD 3",IF($M5231="PADD IV","PADD 4",IF($M5231="PADD V","PADD 5","")))))</f>
        <v>PADD 3</v>
      </c>
      <c r="G5231" s="6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6" t="s">
        <v>428</v>
      </c>
      <c r="I5231" s="6" t="s">
        <v>992</v>
      </c>
      <c r="J5231" s="6" t="s">
        <v>394</v>
      </c>
      <c r="K5231" s="10">
        <v>10.395</v>
      </c>
      <c r="L5231" s="10">
        <v>148.5</v>
      </c>
      <c r="M5231" s="6" t="s">
        <v>421</v>
      </c>
      <c r="N5231" s="6">
        <f>IF(OR($G5231="FCC",$G5231="Hydrocracker",$G5231="Reformer"),IF(COUNTIFS($D:$D,$D5231,$A:$A,$A5231,$B:$B,$B5231,$G:$G,"CDU",$J:$J,"PLANNED")&gt;0,"tied","standalone"),"")</f>
        <v/>
      </c>
    </row>
    <row r="5232" spans="1:14">
      <c r="A5232" s="6">
        <v>2025</v>
      </c>
      <c r="B5232" s="6">
        <v>2</v>
      </c>
      <c r="C5232" s="6" t="s">
        <v>61</v>
      </c>
      <c r="D5232" s="6" t="s">
        <v>597</v>
      </c>
      <c r="E5232" s="6" t="s">
        <v>441</v>
      </c>
      <c r="F5232" s="6" t="str">
        <f>IF($M5232="PADD I","PADD 1",IF($M5232="PADD II","PADD 2",IF($M5232="PADD III","PADD 3",IF($M5232="PADD IV","PADD 4",IF($M5232="PADD V","PADD 5","")))))</f>
        <v>PADD 5</v>
      </c>
      <c r="G5232" s="6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6" t="s">
        <v>426</v>
      </c>
      <c r="I5232" s="6" t="s">
        <v>106</v>
      </c>
      <c r="J5232" s="6" t="s">
        <v>394</v>
      </c>
      <c r="K5232" s="10">
        <v>9.9</v>
      </c>
      <c r="L5232" s="10">
        <v>90</v>
      </c>
      <c r="M5232" s="6" t="s">
        <v>436</v>
      </c>
      <c r="N5232" s="6" t="str">
        <f>IF(OR($G5232="FCC",$G5232="Hydrocracker",$G5232="Reformer"),IF(COUNTIFS($D:$D,$D5232,$A:$A,$A5232,$B:$B,$B5232,$G:$G,"CDU",$J:$J,"PLANNED")&gt;0,"tied","standalone"),"")</f>
        <v>standalone</v>
      </c>
    </row>
    <row r="5233" spans="1:14">
      <c r="A5233" s="6">
        <v>2025</v>
      </c>
      <c r="B5233" s="6">
        <v>2</v>
      </c>
      <c r="C5233" s="6" t="s">
        <v>61</v>
      </c>
      <c r="D5233" s="6" t="s">
        <v>373</v>
      </c>
      <c r="E5233" s="6" t="s">
        <v>438</v>
      </c>
      <c r="F5233" s="6" t="str">
        <f>IF($M5233="PADD I","PADD 1",IF($M5233="PADD II","PADD 2",IF($M5233="PADD III","PADD 3",IF($M5233="PADD IV","PADD 4",IF($M5233="PADD V","PADD 5","")))))</f>
        <v>PADD 3</v>
      </c>
      <c r="G5233" s="6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6" t="s">
        <v>428</v>
      </c>
      <c r="I5233" s="6" t="s">
        <v>1142</v>
      </c>
      <c r="J5233" s="6" t="s">
        <v>398</v>
      </c>
      <c r="K5233" s="10">
        <v>9.404999999999999</v>
      </c>
      <c r="L5233" s="10">
        <v>16.5</v>
      </c>
      <c r="M5233" s="6" t="s">
        <v>421</v>
      </c>
      <c r="N5233" s="6">
        <f>IF(OR($G5233="FCC",$G5233="Hydrocracker",$G5233="Reformer"),IF(COUNTIFS($D:$D,$D5233,$A:$A,$A5233,$B:$B,$B5233,$G:$G,"CDU",$J:$J,"PLANNED")&gt;0,"tied","standalone"),"")</f>
        <v/>
      </c>
    </row>
    <row r="5234" spans="1:14">
      <c r="A5234" s="6">
        <v>2025</v>
      </c>
      <c r="B5234" s="6">
        <v>2</v>
      </c>
      <c r="C5234" s="6" t="s">
        <v>61</v>
      </c>
      <c r="D5234" s="6" t="s">
        <v>484</v>
      </c>
      <c r="E5234" s="6" t="s">
        <v>438</v>
      </c>
      <c r="F5234" s="6" t="str">
        <f>IF($M5234="PADD I","PADD 1",IF($M5234="PADD II","PADD 2",IF($M5234="PADD III","PADD 3",IF($M5234="PADD IV","PADD 4",IF($M5234="PADD V","PADD 5","")))))</f>
        <v>PADD 5</v>
      </c>
      <c r="G5234" s="6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6" t="s">
        <v>494</v>
      </c>
      <c r="I5234" s="6" t="s">
        <v>14</v>
      </c>
      <c r="J5234" s="6" t="s">
        <v>394</v>
      </c>
      <c r="K5234" s="10">
        <v>9.279999999999999</v>
      </c>
      <c r="L5234" s="10">
        <v>32</v>
      </c>
      <c r="M5234" s="6" t="s">
        <v>436</v>
      </c>
      <c r="N5234" s="6" t="str">
        <f>IF(OR($G5234="FCC",$G5234="Hydrocracker",$G5234="Reformer"),IF(COUNTIFS($D:$D,$D5234,$A:$A,$A5234,$B:$B,$B5234,$G:$G,"CDU",$J:$J,"PLANNED")&gt;0,"tied","standalone"),"")</f>
        <v>standalone</v>
      </c>
    </row>
    <row r="5235" spans="1:14">
      <c r="A5235" s="6">
        <v>2025</v>
      </c>
      <c r="B5235" s="6">
        <v>2</v>
      </c>
      <c r="C5235" s="6" t="s">
        <v>61</v>
      </c>
      <c r="D5235" s="6" t="s">
        <v>712</v>
      </c>
      <c r="E5235" s="6" t="s">
        <v>602</v>
      </c>
      <c r="F5235" s="6" t="str">
        <f>IF($M5235="PADD I","PADD 1",IF($M5235="PADD II","PADD 2",IF($M5235="PADD III","PADD 3",IF($M5235="PADD IV","PADD 4",IF($M5235="PADD V","PADD 5","")))))</f>
        <v>PADD 3</v>
      </c>
      <c r="G5235" s="6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6" t="s">
        <v>44</v>
      </c>
      <c r="I5235" s="6" t="s">
        <v>977</v>
      </c>
      <c r="J5235" s="6" t="s">
        <v>398</v>
      </c>
      <c r="K5235" s="10">
        <v>9.18</v>
      </c>
      <c r="L5235" s="10">
        <v>25.5</v>
      </c>
      <c r="M5235" s="6" t="s">
        <v>421</v>
      </c>
      <c r="N5235" s="6">
        <f>IF(OR($G5235="FCC",$G5235="Hydrocracker",$G5235="Reformer"),IF(COUNTIFS($D:$D,$D5235,$A:$A,$A5235,$B:$B,$B5235,$G:$G,"CDU",$J:$J,"PLANNED")&gt;0,"tied","standalone"),"")</f>
        <v/>
      </c>
    </row>
    <row r="5236" spans="1:14">
      <c r="A5236" s="6">
        <v>2025</v>
      </c>
      <c r="B5236" s="6">
        <v>2</v>
      </c>
      <c r="C5236" s="6" t="s">
        <v>61</v>
      </c>
      <c r="D5236" s="6" t="s">
        <v>515</v>
      </c>
      <c r="E5236" s="6" t="s">
        <v>419</v>
      </c>
      <c r="F5236" s="6" t="str">
        <f>IF($M5236="PADD I","PADD 1",IF($M5236="PADD II","PADD 2",IF($M5236="PADD III","PADD 3",IF($M5236="PADD IV","PADD 4",IF($M5236="PADD V","PADD 5","")))))</f>
        <v>PADD 5</v>
      </c>
      <c r="G5236" s="6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6" t="s">
        <v>44</v>
      </c>
      <c r="I5236" s="6" t="s">
        <v>516</v>
      </c>
      <c r="J5236" s="6" t="s">
        <v>398</v>
      </c>
      <c r="K5236" s="10">
        <v>9</v>
      </c>
      <c r="L5236" s="10">
        <v>50</v>
      </c>
      <c r="M5236" s="6" t="s">
        <v>436</v>
      </c>
      <c r="N5236" s="6">
        <f>IF(OR($G5236="FCC",$G5236="Hydrocracker",$G5236="Reformer"),IF(COUNTIFS($D:$D,$D5236,$A:$A,$A5236,$B:$B,$B5236,$G:$G,"CDU",$J:$J,"PLANNED")&gt;0,"tied","standalone"),"")</f>
        <v/>
      </c>
    </row>
    <row r="5237" spans="1:14">
      <c r="A5237" s="6">
        <v>2025</v>
      </c>
      <c r="B5237" s="6">
        <v>2</v>
      </c>
      <c r="C5237" s="6" t="s">
        <v>61</v>
      </c>
      <c r="D5237" s="6" t="s">
        <v>996</v>
      </c>
      <c r="E5237" s="6" t="s">
        <v>455</v>
      </c>
      <c r="F5237" s="6" t="str">
        <f>IF($M5237="PADD I","PADD 1",IF($M5237="PADD II","PADD 2",IF($M5237="PADD III","PADD 3",IF($M5237="PADD IV","PADD 4",IF($M5237="PADD V","PADD 5","")))))</f>
        <v>PADD 5</v>
      </c>
      <c r="G5237" s="6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6" t="s">
        <v>485</v>
      </c>
      <c r="I5237" s="6" t="s">
        <v>1025</v>
      </c>
      <c r="J5237" s="6" t="s">
        <v>394</v>
      </c>
      <c r="K5237" s="10">
        <v>8.550000000000001</v>
      </c>
      <c r="L5237" s="10">
        <v>15</v>
      </c>
      <c r="M5237" s="6" t="s">
        <v>436</v>
      </c>
      <c r="N5237" s="6">
        <f>IF(OR($G5237="FCC",$G5237="Hydrocracker",$G5237="Reformer"),IF(COUNTIFS($D:$D,$D5237,$A:$A,$A5237,$B:$B,$B5237,$G:$G,"CDU",$J:$J,"PLANNED")&gt;0,"tied","standalone"),"")</f>
        <v/>
      </c>
    </row>
    <row r="5238" spans="1:14">
      <c r="A5238" s="6">
        <v>2025</v>
      </c>
      <c r="B5238" s="6">
        <v>2</v>
      </c>
      <c r="C5238" s="6" t="s">
        <v>61</v>
      </c>
      <c r="D5238" s="6" t="s">
        <v>660</v>
      </c>
      <c r="E5238" s="6" t="s">
        <v>661</v>
      </c>
      <c r="F5238" s="6" t="str">
        <f>IF($M5238="PADD I","PADD 1",IF($M5238="PADD II","PADD 2",IF($M5238="PADD III","PADD 3",IF($M5238="PADD IV","PADD 4",IF($M5238="PADD V","PADD 5","")))))</f>
        <v>PADD 2</v>
      </c>
      <c r="G5238" s="6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6" t="s">
        <v>510</v>
      </c>
      <c r="I5238" s="6" t="s">
        <v>666</v>
      </c>
      <c r="J5238" s="6" t="s">
        <v>398</v>
      </c>
      <c r="K5238" s="10">
        <v>8</v>
      </c>
      <c r="L5238" s="10">
        <v>8</v>
      </c>
      <c r="M5238" s="6" t="s">
        <v>425</v>
      </c>
      <c r="N5238" s="6">
        <f>IF(OR($G5238="FCC",$G5238="Hydrocracker",$G5238="Reformer"),IF(COUNTIFS($D:$D,$D5238,$A:$A,$A5238,$B:$B,$B5238,$G:$G,"CDU",$J:$J,"PLANNED")&gt;0,"tied","standalone"),"")</f>
        <v/>
      </c>
    </row>
    <row r="5239" spans="1:14">
      <c r="A5239" s="6">
        <v>2025</v>
      </c>
      <c r="B5239" s="6">
        <v>2</v>
      </c>
      <c r="C5239" s="6" t="s">
        <v>61</v>
      </c>
      <c r="D5239" s="6" t="s">
        <v>368</v>
      </c>
      <c r="E5239" s="6" t="s">
        <v>715</v>
      </c>
      <c r="F5239" s="6" t="str">
        <f>IF($M5239="PADD I","PADD 1",IF($M5239="PADD II","PADD 2",IF($M5239="PADD III","PADD 3",IF($M5239="PADD IV","PADD 4",IF($M5239="PADD V","PADD 5","")))))</f>
        <v>PADD 3</v>
      </c>
      <c r="G5239" s="6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6" t="s">
        <v>494</v>
      </c>
      <c r="I5239" s="6" t="s">
        <v>14</v>
      </c>
      <c r="J5239" s="6" t="s">
        <v>394</v>
      </c>
      <c r="K5239" s="10">
        <v>7.92</v>
      </c>
      <c r="L5239" s="10">
        <v>44</v>
      </c>
      <c r="M5239" s="6" t="s">
        <v>421</v>
      </c>
      <c r="N5239" s="6" t="str">
        <f>IF(OR($G5239="FCC",$G5239="Hydrocracker",$G5239="Reformer"),IF(COUNTIFS($D:$D,$D5239,$A:$A,$A5239,$B:$B,$B5239,$G:$G,"CDU",$J:$J,"PLANNED")&gt;0,"tied","standalone"),"")</f>
        <v>standalone</v>
      </c>
    </row>
    <row r="5240" spans="1:14">
      <c r="A5240" s="6">
        <v>2025</v>
      </c>
      <c r="B5240" s="6">
        <v>2</v>
      </c>
      <c r="C5240" s="6" t="s">
        <v>61</v>
      </c>
      <c r="D5240" s="6" t="s">
        <v>849</v>
      </c>
      <c r="E5240" s="6" t="s">
        <v>441</v>
      </c>
      <c r="F5240" s="6" t="str">
        <f>IF($M5240="PADD I","PADD 1",IF($M5240="PADD II","PADD 2",IF($M5240="PADD III","PADD 3",IF($M5240="PADD IV","PADD 4",IF($M5240="PADD V","PADD 5","")))))</f>
        <v>PADD 4</v>
      </c>
      <c r="G5240" s="6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6" t="s">
        <v>485</v>
      </c>
      <c r="I5240" s="6" t="s">
        <v>1238</v>
      </c>
      <c r="J5240" s="6" t="s">
        <v>398</v>
      </c>
      <c r="K5240" s="10">
        <v>7.872</v>
      </c>
      <c r="L5240" s="10">
        <v>8.199999999999999</v>
      </c>
      <c r="M5240" s="6" t="s">
        <v>480</v>
      </c>
      <c r="N5240" s="6">
        <f>IF(OR($G5240="FCC",$G5240="Hydrocracker",$G5240="Reformer"),IF(COUNTIFS($D:$D,$D5240,$A:$A,$A5240,$B:$B,$B5240,$G:$G,"CDU",$J:$J,"PLANNED")&gt;0,"tied","standalone"),"")</f>
        <v/>
      </c>
    </row>
    <row r="5241" spans="1:14">
      <c r="A5241" s="6">
        <v>2025</v>
      </c>
      <c r="B5241" s="6">
        <v>2</v>
      </c>
      <c r="C5241" s="6" t="s">
        <v>61</v>
      </c>
      <c r="D5241" s="6" t="s">
        <v>996</v>
      </c>
      <c r="E5241" s="6" t="s">
        <v>455</v>
      </c>
      <c r="F5241" s="6" t="str">
        <f>IF($M5241="PADD I","PADD 1",IF($M5241="PADD II","PADD 2",IF($M5241="PADD III","PADD 3",IF($M5241="PADD IV","PADD 4",IF($M5241="PADD V","PADD 5","")))))</f>
        <v>PADD 5</v>
      </c>
      <c r="G5241" s="6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6" t="s">
        <v>39</v>
      </c>
      <c r="I5241" s="6" t="s">
        <v>1018</v>
      </c>
      <c r="J5241" s="6" t="s">
        <v>394</v>
      </c>
      <c r="K5241" s="10">
        <v>7.83</v>
      </c>
      <c r="L5241" s="10">
        <v>43.5</v>
      </c>
      <c r="M5241" s="6" t="s">
        <v>436</v>
      </c>
      <c r="N5241" s="6">
        <f>IF(OR($G5241="FCC",$G5241="Hydrocracker",$G5241="Reformer"),IF(COUNTIFS($D:$D,$D5241,$A:$A,$A5241,$B:$B,$B5241,$G:$G,"CDU",$J:$J,"PLANNED")&gt;0,"tied","standalone"),"")</f>
        <v/>
      </c>
    </row>
    <row r="5242" spans="1:14">
      <c r="A5242" s="6">
        <v>2025</v>
      </c>
      <c r="B5242" s="6">
        <v>2</v>
      </c>
      <c r="C5242" s="6" t="s">
        <v>61</v>
      </c>
      <c r="D5242" s="6" t="s">
        <v>1339</v>
      </c>
      <c r="E5242" s="6" t="s">
        <v>1340</v>
      </c>
      <c r="F5242" s="6" t="str">
        <f>IF($M5242="PADD I","PADD 1",IF($M5242="PADD II","PADD 2",IF($M5242="PADD III","PADD 3",IF($M5242="PADD IV","PADD 4",IF($M5242="PADD V","PADD 5","")))))</f>
        <v>PADD 5</v>
      </c>
      <c r="G5242" s="6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6" t="s">
        <v>39</v>
      </c>
      <c r="I5242" s="6" t="s">
        <v>134</v>
      </c>
      <c r="J5242" s="6" t="s">
        <v>398</v>
      </c>
      <c r="K5242" s="10">
        <v>7.776</v>
      </c>
      <c r="L5242" s="10">
        <v>24.3</v>
      </c>
      <c r="M5242" s="6" t="s">
        <v>436</v>
      </c>
      <c r="N5242" s="6">
        <f>IF(OR($G5242="FCC",$G5242="Hydrocracker",$G5242="Reformer"),IF(COUNTIFS($D:$D,$D5242,$A:$A,$A5242,$B:$B,$B5242,$G:$G,"CDU",$J:$J,"PLANNED")&gt;0,"tied","standalone"),"")</f>
        <v/>
      </c>
    </row>
    <row r="5243" spans="1:14">
      <c r="A5243" s="6">
        <v>2025</v>
      </c>
      <c r="B5243" s="6">
        <v>2</v>
      </c>
      <c r="C5243" s="6" t="s">
        <v>61</v>
      </c>
      <c r="D5243" s="6" t="s">
        <v>712</v>
      </c>
      <c r="E5243" s="6" t="s">
        <v>602</v>
      </c>
      <c r="F5243" s="6" t="str">
        <f>IF($M5243="PADD I","PADD 1",IF($M5243="PADD II","PADD 2",IF($M5243="PADD III","PADD 3",IF($M5243="PADD IV","PADD 4",IF($M5243="PADD V","PADD 5","")))))</f>
        <v>PADD 3</v>
      </c>
      <c r="G5243" s="6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6" t="s">
        <v>471</v>
      </c>
      <c r="I5243" s="6" t="s">
        <v>1099</v>
      </c>
      <c r="J5243" s="6" t="s">
        <v>398</v>
      </c>
      <c r="K5243" s="10">
        <v>7.74</v>
      </c>
      <c r="L5243" s="10">
        <v>21.5</v>
      </c>
      <c r="M5243" s="6" t="s">
        <v>421</v>
      </c>
      <c r="N5243" s="6" t="str">
        <f>IF(OR($G5243="FCC",$G5243="Hydrocracker",$G5243="Reformer"),IF(COUNTIFS($D:$D,$D5243,$A:$A,$A5243,$B:$B,$B5243,$G:$G,"CDU",$J:$J,"PLANNED")&gt;0,"tied","standalone"),"")</f>
        <v>standalone</v>
      </c>
    </row>
    <row r="5244" spans="1:14">
      <c r="A5244" s="6">
        <v>2025</v>
      </c>
      <c r="B5244" s="6">
        <v>2</v>
      </c>
      <c r="C5244" s="6" t="s">
        <v>61</v>
      </c>
      <c r="D5244" s="6" t="s">
        <v>496</v>
      </c>
      <c r="E5244" s="6" t="s">
        <v>441</v>
      </c>
      <c r="F5244" s="6" t="str">
        <f>IF($M5244="PADD I","PADD 1",IF($M5244="PADD II","PADD 2",IF($M5244="PADD III","PADD 3",IF($M5244="PADD IV","PADD 4",IF($M5244="PADD V","PADD 5","")))))</f>
        <v>PADD 3</v>
      </c>
      <c r="G5244" s="6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6" t="s">
        <v>428</v>
      </c>
      <c r="I5244" s="6" t="s">
        <v>1091</v>
      </c>
      <c r="J5244" s="6" t="s">
        <v>394</v>
      </c>
      <c r="K5244" s="10">
        <v>7.38</v>
      </c>
      <c r="L5244" s="10">
        <v>41</v>
      </c>
      <c r="M5244" s="6" t="s">
        <v>421</v>
      </c>
      <c r="N5244" s="6">
        <f>IF(OR($G5244="FCC",$G5244="Hydrocracker",$G5244="Reformer"),IF(COUNTIFS($D:$D,$D5244,$A:$A,$A5244,$B:$B,$B5244,$G:$G,"CDU",$J:$J,"PLANNED")&gt;0,"tied","standalone"),"")</f>
        <v/>
      </c>
    </row>
    <row r="5245" spans="1:14">
      <c r="A5245" s="6">
        <v>2025</v>
      </c>
      <c r="B5245" s="6">
        <v>2</v>
      </c>
      <c r="C5245" s="6" t="s">
        <v>61</v>
      </c>
      <c r="D5245" s="6" t="s">
        <v>371</v>
      </c>
      <c r="E5245" s="6" t="s">
        <v>419</v>
      </c>
      <c r="F5245" s="6" t="str">
        <f>IF($M5245="PADD I","PADD 1",IF($M5245="PADD II","PADD 2",IF($M5245="PADD III","PADD 3",IF($M5245="PADD IV","PADD 4",IF($M5245="PADD V","PADD 5","")))))</f>
        <v>PADD 2</v>
      </c>
      <c r="G5245" s="6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6" t="s">
        <v>428</v>
      </c>
      <c r="I5245" s="6" t="s">
        <v>469</v>
      </c>
      <c r="J5245" s="6" t="s">
        <v>398</v>
      </c>
      <c r="K5245" s="10">
        <v>7.35</v>
      </c>
      <c r="L5245" s="10">
        <v>105</v>
      </c>
      <c r="M5245" s="6" t="s">
        <v>425</v>
      </c>
      <c r="N5245" s="6">
        <f>IF(OR($G5245="FCC",$G5245="Hydrocracker",$G5245="Reformer"),IF(COUNTIFS($D:$D,$D5245,$A:$A,$A5245,$B:$B,$B5245,$G:$G,"CDU",$J:$J,"PLANNED")&gt;0,"tied","standalone"),"")</f>
        <v/>
      </c>
    </row>
    <row r="5246" spans="1:14">
      <c r="A5246" s="6">
        <v>2025</v>
      </c>
      <c r="B5246" s="6">
        <v>2</v>
      </c>
      <c r="C5246" s="6" t="s">
        <v>61</v>
      </c>
      <c r="D5246" s="6" t="s">
        <v>689</v>
      </c>
      <c r="E5246" s="6" t="s">
        <v>502</v>
      </c>
      <c r="F5246" s="6" t="str">
        <f>IF($M5246="PADD I","PADD 1",IF($M5246="PADD II","PADD 2",IF($M5246="PADD III","PADD 3",IF($M5246="PADD IV","PADD 4",IF($M5246="PADD V","PADD 5","")))))</f>
        <v>PADD 5</v>
      </c>
      <c r="G5246" s="6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6" t="s">
        <v>485</v>
      </c>
      <c r="I5246" s="6" t="s">
        <v>1146</v>
      </c>
      <c r="J5246" s="6" t="s">
        <v>398</v>
      </c>
      <c r="K5246" s="10">
        <v>7.337</v>
      </c>
      <c r="L5246" s="10">
        <v>25.3</v>
      </c>
      <c r="M5246" s="6" t="s">
        <v>436</v>
      </c>
      <c r="N5246" s="6">
        <f>IF(OR($G5246="FCC",$G5246="Hydrocracker",$G5246="Reformer"),IF(COUNTIFS($D:$D,$D5246,$A:$A,$A5246,$B:$B,$B5246,$G:$G,"CDU",$J:$J,"PLANNED")&gt;0,"tied","standalone"),"")</f>
        <v/>
      </c>
    </row>
    <row r="5247" spans="1:14">
      <c r="A5247" s="6">
        <v>2025</v>
      </c>
      <c r="B5247" s="6">
        <v>2</v>
      </c>
      <c r="C5247" s="6" t="s">
        <v>61</v>
      </c>
      <c r="D5247" s="6" t="s">
        <v>937</v>
      </c>
      <c r="E5247" s="6" t="s">
        <v>455</v>
      </c>
      <c r="F5247" s="6" t="str">
        <f>IF($M5247="PADD I","PADD 1",IF($M5247="PADD II","PADD 2",IF($M5247="PADD III","PADD 3",IF($M5247="PADD IV","PADD 4",IF($M5247="PADD V","PADD 5","")))))</f>
        <v>PADD 3</v>
      </c>
      <c r="G5247" s="6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6" t="s">
        <v>510</v>
      </c>
      <c r="I5247" s="6" t="s">
        <v>666</v>
      </c>
      <c r="J5247" s="6" t="s">
        <v>398</v>
      </c>
      <c r="K5247" s="10">
        <v>6.5</v>
      </c>
      <c r="L5247" s="10">
        <v>6.5</v>
      </c>
      <c r="M5247" s="6" t="s">
        <v>421</v>
      </c>
      <c r="N5247" s="6">
        <f>IF(OR($G5247="FCC",$G5247="Hydrocracker",$G5247="Reformer"),IF(COUNTIFS($D:$D,$D5247,$A:$A,$A5247,$B:$B,$B5247,$G:$G,"CDU",$J:$J,"PLANNED")&gt;0,"tied","standalone"),"")</f>
        <v/>
      </c>
    </row>
    <row r="5248" spans="1:14">
      <c r="A5248" s="6">
        <v>2025</v>
      </c>
      <c r="B5248" s="6">
        <v>2</v>
      </c>
      <c r="C5248" s="6" t="s">
        <v>61</v>
      </c>
      <c r="D5248" s="6" t="s">
        <v>696</v>
      </c>
      <c r="E5248" s="6" t="s">
        <v>455</v>
      </c>
      <c r="F5248" s="6" t="str">
        <f>IF($M5248="PADD I","PADD 1",IF($M5248="PADD II","PADD 2",IF($M5248="PADD III","PADD 3",IF($M5248="PADD IV","PADD 4",IF($M5248="PADD V","PADD 5","")))))</f>
        <v>PADD 3</v>
      </c>
      <c r="G5248" s="6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6" t="s">
        <v>44</v>
      </c>
      <c r="I5248" s="6" t="s">
        <v>697</v>
      </c>
      <c r="J5248" s="6" t="s">
        <v>394</v>
      </c>
      <c r="K5248" s="10">
        <v>6.3</v>
      </c>
      <c r="L5248" s="10">
        <v>45</v>
      </c>
      <c r="M5248" s="6" t="s">
        <v>421</v>
      </c>
      <c r="N5248" s="6">
        <f>IF(OR($G5248="FCC",$G5248="Hydrocracker",$G5248="Reformer"),IF(COUNTIFS($D:$D,$D5248,$A:$A,$A5248,$B:$B,$B5248,$G:$G,"CDU",$J:$J,"PLANNED")&gt;0,"tied","standalone"),"")</f>
        <v/>
      </c>
    </row>
    <row r="5249" spans="1:14">
      <c r="A5249" s="6">
        <v>2025</v>
      </c>
      <c r="B5249" s="6">
        <v>2</v>
      </c>
      <c r="C5249" s="6" t="s">
        <v>61</v>
      </c>
      <c r="D5249" s="6" t="s">
        <v>484</v>
      </c>
      <c r="E5249" s="6" t="s">
        <v>438</v>
      </c>
      <c r="F5249" s="6" t="str">
        <f>IF($M5249="PADD I","PADD 1",IF($M5249="PADD II","PADD 2",IF($M5249="PADD III","PADD 3",IF($M5249="PADD IV","PADD 4",IF($M5249="PADD V","PADD 5","")))))</f>
        <v>PADD 5</v>
      </c>
      <c r="G5249" s="6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6" t="s">
        <v>44</v>
      </c>
      <c r="I5249" s="6" t="s">
        <v>955</v>
      </c>
      <c r="J5249" s="6" t="s">
        <v>394</v>
      </c>
      <c r="K5249" s="10">
        <v>6.25</v>
      </c>
      <c r="L5249" s="10">
        <v>25</v>
      </c>
      <c r="M5249" s="6" t="s">
        <v>436</v>
      </c>
      <c r="N5249" s="6">
        <f>IF(OR($G5249="FCC",$G5249="Hydrocracker",$G5249="Reformer"),IF(COUNTIFS($D:$D,$D5249,$A:$A,$A5249,$B:$B,$B5249,$G:$G,"CDU",$J:$J,"PLANNED")&gt;0,"tied","standalone"),"")</f>
        <v/>
      </c>
    </row>
    <row r="5250" spans="1:14">
      <c r="A5250" s="6">
        <v>2025</v>
      </c>
      <c r="B5250" s="6">
        <v>2</v>
      </c>
      <c r="C5250" s="6" t="s">
        <v>61</v>
      </c>
      <c r="D5250" s="6" t="s">
        <v>490</v>
      </c>
      <c r="E5250" s="6" t="s">
        <v>419</v>
      </c>
      <c r="F5250" s="6" t="str">
        <f>IF($M5250="PADD I","PADD 1",IF($M5250="PADD II","PADD 2",IF($M5250="PADD III","PADD 3",IF($M5250="PADD IV","PADD 4",IF($M5250="PADD V","PADD 5","")))))</f>
        <v>PADD 5</v>
      </c>
      <c r="G5250" s="6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6" t="s">
        <v>44</v>
      </c>
      <c r="I5250" s="6" t="s">
        <v>1321</v>
      </c>
      <c r="J5250" s="6" t="s">
        <v>394</v>
      </c>
      <c r="K5250" s="10">
        <v>6.05</v>
      </c>
      <c r="L5250" s="10">
        <v>55</v>
      </c>
      <c r="M5250" s="6" t="s">
        <v>436</v>
      </c>
      <c r="N5250" s="6">
        <f>IF(OR($G5250="FCC",$G5250="Hydrocracker",$G5250="Reformer"),IF(COUNTIFS($D:$D,$D5250,$A:$A,$A5250,$B:$B,$B5250,$G:$G,"CDU",$J:$J,"PLANNED")&gt;0,"tied","standalone"),"")</f>
        <v/>
      </c>
    </row>
    <row r="5251" spans="1:14">
      <c r="A5251" s="6">
        <v>2025</v>
      </c>
      <c r="B5251" s="6">
        <v>2</v>
      </c>
      <c r="C5251" s="6" t="s">
        <v>61</v>
      </c>
      <c r="D5251" s="6" t="s">
        <v>937</v>
      </c>
      <c r="E5251" s="6" t="s">
        <v>455</v>
      </c>
      <c r="F5251" s="6" t="str">
        <f>IF($M5251="PADD I","PADD 1",IF($M5251="PADD II","PADD 2",IF($M5251="PADD III","PADD 3",IF($M5251="PADD IV","PADD 4",IF($M5251="PADD V","PADD 5","")))))</f>
        <v>PADD 3</v>
      </c>
      <c r="G5251" s="6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6" t="s">
        <v>687</v>
      </c>
      <c r="I5251" s="6" t="s">
        <v>1329</v>
      </c>
      <c r="J5251" s="6" t="s">
        <v>398</v>
      </c>
      <c r="K5251" s="10">
        <v>6</v>
      </c>
      <c r="L5251" s="10">
        <v>6</v>
      </c>
      <c r="M5251" s="6" t="s">
        <v>421</v>
      </c>
      <c r="N5251" s="6">
        <f>IF(OR($G5251="FCC",$G5251="Hydrocracker",$G5251="Reformer"),IF(COUNTIFS($D:$D,$D5251,$A:$A,$A5251,$B:$B,$B5251,$G:$G,"CDU",$J:$J,"PLANNED")&gt;0,"tied","standalone"),"")</f>
        <v/>
      </c>
    </row>
    <row r="5252" spans="1:14">
      <c r="A5252" s="6">
        <v>2025</v>
      </c>
      <c r="B5252" s="6">
        <v>2</v>
      </c>
      <c r="C5252" s="6" t="s">
        <v>61</v>
      </c>
      <c r="D5252" s="6" t="s">
        <v>51</v>
      </c>
      <c r="E5252" s="6" t="s">
        <v>431</v>
      </c>
      <c r="F5252" s="6" t="str">
        <f>IF($M5252="PADD I","PADD 1",IF($M5252="PADD II","PADD 2",IF($M5252="PADD III","PADD 3",IF($M5252="PADD IV","PADD 4",IF($M5252="PADD V","PADD 5","")))))</f>
        <v>PADD 3</v>
      </c>
      <c r="G5252" s="6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6" t="s">
        <v>494</v>
      </c>
      <c r="I5252" s="6" t="s">
        <v>1245</v>
      </c>
      <c r="J5252" s="6" t="s">
        <v>394</v>
      </c>
      <c r="K5252" s="10">
        <v>5.88</v>
      </c>
      <c r="L5252" s="10">
        <v>28</v>
      </c>
      <c r="M5252" s="6" t="s">
        <v>421</v>
      </c>
      <c r="N5252" s="6" t="str">
        <f>IF(OR($G5252="FCC",$G5252="Hydrocracker",$G5252="Reformer"),IF(COUNTIFS($D:$D,$D5252,$A:$A,$A5252,$B:$B,$B5252,$G:$G,"CDU",$J:$J,"PLANNED")&gt;0,"tied","standalone"),"")</f>
        <v>tied</v>
      </c>
    </row>
    <row r="5253" spans="1:14">
      <c r="A5253" s="6">
        <v>2025</v>
      </c>
      <c r="B5253" s="6">
        <v>2</v>
      </c>
      <c r="C5253" s="6" t="s">
        <v>61</v>
      </c>
      <c r="D5253" s="6" t="s">
        <v>41</v>
      </c>
      <c r="E5253" s="6" t="s">
        <v>786</v>
      </c>
      <c r="F5253" s="6" t="str">
        <f>IF($M5253="PADD I","PADD 1",IF($M5253="PADD II","PADD 2",IF($M5253="PADD III","PADD 3",IF($M5253="PADD IV","PADD 4",IF($M5253="PADD V","PADD 5","")))))</f>
        <v>PADD 1</v>
      </c>
      <c r="G5253" s="6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6" t="s">
        <v>426</v>
      </c>
      <c r="I5253" s="6" t="s">
        <v>787</v>
      </c>
      <c r="J5253" s="6" t="s">
        <v>394</v>
      </c>
      <c r="K5253" s="10">
        <v>5.83</v>
      </c>
      <c r="L5253" s="10">
        <v>53</v>
      </c>
      <c r="M5253" s="6" t="s">
        <v>463</v>
      </c>
      <c r="N5253" s="6" t="str">
        <f>IF(OR($G5253="FCC",$G5253="Hydrocracker",$G5253="Reformer"),IF(COUNTIFS($D:$D,$D5253,$A:$A,$A5253,$B:$B,$B5253,$G:$G,"CDU",$J:$J,"PLANNED")&gt;0,"tied","standalone"),"")</f>
        <v>standalone</v>
      </c>
    </row>
    <row r="5254" spans="1:14">
      <c r="A5254" s="6">
        <v>2025</v>
      </c>
      <c r="B5254" s="6">
        <v>2</v>
      </c>
      <c r="C5254" s="6" t="s">
        <v>61</v>
      </c>
      <c r="D5254" s="6" t="s">
        <v>445</v>
      </c>
      <c r="E5254" s="6" t="s">
        <v>446</v>
      </c>
      <c r="F5254" s="6" t="str">
        <f>IF($M5254="PADD I","PADD 1",IF($M5254="PADD II","PADD 2",IF($M5254="PADD III","PADD 3",IF($M5254="PADD IV","PADD 4",IF($M5254="PADD V","PADD 5","")))))</f>
        <v>PADD 3</v>
      </c>
      <c r="G5254" s="6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6" t="s">
        <v>44</v>
      </c>
      <c r="I5254" s="6" t="s">
        <v>600</v>
      </c>
      <c r="J5254" s="6" t="s">
        <v>394</v>
      </c>
      <c r="K5254" s="10">
        <v>5.754</v>
      </c>
      <c r="L5254" s="10">
        <v>41.1</v>
      </c>
      <c r="M5254" s="6" t="s">
        <v>421</v>
      </c>
      <c r="N5254" s="6">
        <f>IF(OR($G5254="FCC",$G5254="Hydrocracker",$G5254="Reformer"),IF(COUNTIFS($D:$D,$D5254,$A:$A,$A5254,$B:$B,$B5254,$G:$G,"CDU",$J:$J,"PLANNED")&gt;0,"tied","standalone"),"")</f>
        <v/>
      </c>
    </row>
    <row r="5255" spans="1:14">
      <c r="A5255" s="6">
        <v>2025</v>
      </c>
      <c r="B5255" s="6">
        <v>2</v>
      </c>
      <c r="C5255" s="6" t="s">
        <v>61</v>
      </c>
      <c r="D5255" s="6" t="s">
        <v>828</v>
      </c>
      <c r="E5255" s="6" t="s">
        <v>829</v>
      </c>
      <c r="F5255" s="6" t="str">
        <f>IF($M5255="PADD I","PADD 1",IF($M5255="PADD II","PADD 2",IF($M5255="PADD III","PADD 3",IF($M5255="PADD IV","PADD 4",IF($M5255="PADD V","PADD 5","")))))</f>
        <v>PADD 3</v>
      </c>
      <c r="G5255" s="6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6" t="s">
        <v>510</v>
      </c>
      <c r="I5255" s="6" t="s">
        <v>666</v>
      </c>
      <c r="J5255" s="6" t="s">
        <v>398</v>
      </c>
      <c r="K5255" s="10">
        <v>5.733</v>
      </c>
      <c r="L5255" s="10">
        <v>14.7</v>
      </c>
      <c r="M5255" s="6" t="s">
        <v>421</v>
      </c>
      <c r="N5255" s="6">
        <f>IF(OR($G5255="FCC",$G5255="Hydrocracker",$G5255="Reformer"),IF(COUNTIFS($D:$D,$D5255,$A:$A,$A5255,$B:$B,$B5255,$G:$G,"CDU",$J:$J,"PLANNED")&gt;0,"tied","standalone"),"")</f>
        <v/>
      </c>
    </row>
    <row r="5256" spans="1:14">
      <c r="A5256" s="6">
        <v>2025</v>
      </c>
      <c r="B5256" s="6">
        <v>2</v>
      </c>
      <c r="C5256" s="6" t="s">
        <v>61</v>
      </c>
      <c r="D5256" s="6" t="s">
        <v>730</v>
      </c>
      <c r="E5256" s="6" t="s">
        <v>731</v>
      </c>
      <c r="F5256" s="6" t="str">
        <f>IF($M5256="PADD I","PADD 1",IF($M5256="PADD II","PADD 2",IF($M5256="PADD III","PADD 3",IF($M5256="PADD IV","PADD 4",IF($M5256="PADD V","PADD 5","")))))</f>
        <v>PADD 3</v>
      </c>
      <c r="G5256" s="6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6" t="s">
        <v>426</v>
      </c>
      <c r="I5256" s="6" t="s">
        <v>106</v>
      </c>
      <c r="J5256" s="6" t="s">
        <v>394</v>
      </c>
      <c r="K5256" s="10">
        <v>5.67</v>
      </c>
      <c r="L5256" s="10">
        <v>27</v>
      </c>
      <c r="M5256" s="6" t="s">
        <v>421</v>
      </c>
      <c r="N5256" s="6" t="str">
        <f>IF(OR($G5256="FCC",$G5256="Hydrocracker",$G5256="Reformer"),IF(COUNTIFS($D:$D,$D5256,$A:$A,$A5256,$B:$B,$B5256,$G:$G,"CDU",$J:$J,"PLANNED")&gt;0,"tied","standalone"),"")</f>
        <v>standalone</v>
      </c>
    </row>
    <row r="5257" spans="1:14">
      <c r="A5257" s="6">
        <v>2025</v>
      </c>
      <c r="B5257" s="6">
        <v>2</v>
      </c>
      <c r="C5257" s="6" t="s">
        <v>61</v>
      </c>
      <c r="D5257" s="6" t="s">
        <v>901</v>
      </c>
      <c r="E5257" s="6" t="s">
        <v>902</v>
      </c>
      <c r="F5257" s="6" t="str">
        <f>IF($M5257="PADD I","PADD 1",IF($M5257="PADD II","PADD 2",IF($M5257="PADD III","PADD 3",IF($M5257="PADD IV","PADD 4",IF($M5257="PADD V","PADD 5","")))))</f>
        <v>PADD 3</v>
      </c>
      <c r="G5257" s="6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6" t="s">
        <v>39</v>
      </c>
      <c r="I5257" s="6" t="s">
        <v>904</v>
      </c>
      <c r="J5257" s="6" t="s">
        <v>394</v>
      </c>
      <c r="K5257" s="10">
        <v>5.11</v>
      </c>
      <c r="L5257" s="10">
        <v>73</v>
      </c>
      <c r="M5257" s="6" t="s">
        <v>421</v>
      </c>
      <c r="N5257" s="6">
        <f>IF(OR($G5257="FCC",$G5257="Hydrocracker",$G5257="Reformer"),IF(COUNTIFS($D:$D,$D5257,$A:$A,$A5257,$B:$B,$B5257,$G:$G,"CDU",$J:$J,"PLANNED")&gt;0,"tied","standalone"),"")</f>
        <v/>
      </c>
    </row>
    <row r="5258" spans="1:14">
      <c r="A5258" s="6">
        <v>2025</v>
      </c>
      <c r="B5258" s="6">
        <v>2</v>
      </c>
      <c r="C5258" s="6" t="s">
        <v>61</v>
      </c>
      <c r="D5258" s="6" t="s">
        <v>901</v>
      </c>
      <c r="E5258" s="6" t="s">
        <v>902</v>
      </c>
      <c r="F5258" s="6" t="str">
        <f>IF($M5258="PADD I","PADD 1",IF($M5258="PADD II","PADD 2",IF($M5258="PADD III","PADD 3",IF($M5258="PADD IV","PADD 4",IF($M5258="PADD V","PADD 5","")))))</f>
        <v>PADD 3</v>
      </c>
      <c r="G5258" s="6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6" t="s">
        <v>39</v>
      </c>
      <c r="I5258" s="6" t="s">
        <v>904</v>
      </c>
      <c r="J5258" s="6" t="s">
        <v>394</v>
      </c>
      <c r="K5258" s="10">
        <v>5.11</v>
      </c>
      <c r="L5258" s="10">
        <v>73</v>
      </c>
      <c r="M5258" s="6" t="s">
        <v>421</v>
      </c>
      <c r="N5258" s="6">
        <f>IF(OR($G5258="FCC",$G5258="Hydrocracker",$G5258="Reformer"),IF(COUNTIFS($D:$D,$D5258,$A:$A,$A5258,$B:$B,$B5258,$G:$G,"CDU",$J:$J,"PLANNED")&gt;0,"tied","standalone"),"")</f>
        <v/>
      </c>
    </row>
    <row r="5259" spans="1:14">
      <c r="A5259" s="6">
        <v>2025</v>
      </c>
      <c r="B5259" s="6">
        <v>2</v>
      </c>
      <c r="C5259" s="6" t="s">
        <v>61</v>
      </c>
      <c r="D5259" s="6" t="s">
        <v>597</v>
      </c>
      <c r="E5259" s="6" t="s">
        <v>441</v>
      </c>
      <c r="F5259" s="6" t="str">
        <f>IF($M5259="PADD I","PADD 1",IF($M5259="PADD II","PADD 2",IF($M5259="PADD III","PADD 3",IF($M5259="PADD IV","PADD 4",IF($M5259="PADD V","PADD 5","")))))</f>
        <v>PADD 5</v>
      </c>
      <c r="G5259" s="6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6" t="s">
        <v>494</v>
      </c>
      <c r="I5259" s="6" t="s">
        <v>784</v>
      </c>
      <c r="J5259" s="6" t="s">
        <v>394</v>
      </c>
      <c r="K5259" s="10">
        <v>4.84</v>
      </c>
      <c r="L5259" s="10">
        <v>44</v>
      </c>
      <c r="M5259" s="6" t="s">
        <v>436</v>
      </c>
      <c r="N5259" s="6" t="str">
        <f>IF(OR($G5259="FCC",$G5259="Hydrocracker",$G5259="Reformer"),IF(COUNTIFS($D:$D,$D5259,$A:$A,$A5259,$B:$B,$B5259,$G:$G,"CDU",$J:$J,"PLANNED")&gt;0,"tied","standalone"),"")</f>
        <v>standalone</v>
      </c>
    </row>
    <row r="5260" spans="1:14">
      <c r="A5260" s="6">
        <v>2025</v>
      </c>
      <c r="B5260" s="6">
        <v>2</v>
      </c>
      <c r="C5260" s="6" t="s">
        <v>61</v>
      </c>
      <c r="D5260" s="6" t="s">
        <v>824</v>
      </c>
      <c r="E5260" s="6" t="s">
        <v>825</v>
      </c>
      <c r="F5260" s="6" t="str">
        <f>IF($M5260="PADD I","PADD 1",IF($M5260="PADD II","PADD 2",IF($M5260="PADD III","PADD 3",IF($M5260="PADD IV","PADD 4",IF($M5260="PADD V","PADD 5","")))))</f>
        <v>PADD 1</v>
      </c>
      <c r="G5260" s="6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6" t="s">
        <v>44</v>
      </c>
      <c r="I5260" s="6" t="s">
        <v>1196</v>
      </c>
      <c r="J5260" s="6" t="s">
        <v>394</v>
      </c>
      <c r="K5260" s="10">
        <v>4.554</v>
      </c>
      <c r="L5260" s="10">
        <v>25.3</v>
      </c>
      <c r="M5260" s="6" t="s">
        <v>463</v>
      </c>
      <c r="N5260" s="6">
        <f>IF(OR($G5260="FCC",$G5260="Hydrocracker",$G5260="Reformer"),IF(COUNTIFS($D:$D,$D5260,$A:$A,$A5260,$B:$B,$B5260,$G:$G,"CDU",$J:$J,"PLANNED")&gt;0,"tied","standalone"),"")</f>
        <v/>
      </c>
    </row>
    <row r="5261" spans="1:14">
      <c r="A5261" s="6">
        <v>2025</v>
      </c>
      <c r="B5261" s="6">
        <v>2</v>
      </c>
      <c r="C5261" s="6" t="s">
        <v>61</v>
      </c>
      <c r="D5261" s="6" t="s">
        <v>597</v>
      </c>
      <c r="E5261" s="6" t="s">
        <v>441</v>
      </c>
      <c r="F5261" s="6" t="str">
        <f>IF($M5261="PADD I","PADD 1",IF($M5261="PADD II","PADD 2",IF($M5261="PADD III","PADD 3",IF($M5261="PADD IV","PADD 4",IF($M5261="PADD V","PADD 5","")))))</f>
        <v>PADD 5</v>
      </c>
      <c r="G5261" s="6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6" t="s">
        <v>44</v>
      </c>
      <c r="I5261" s="6" t="s">
        <v>106</v>
      </c>
      <c r="J5261" s="6" t="s">
        <v>394</v>
      </c>
      <c r="K5261" s="10">
        <v>4.55</v>
      </c>
      <c r="L5261" s="10">
        <v>65</v>
      </c>
      <c r="M5261" s="6" t="s">
        <v>436</v>
      </c>
      <c r="N5261" s="6">
        <f>IF(OR($G5261="FCC",$G5261="Hydrocracker",$G5261="Reformer"),IF(COUNTIFS($D:$D,$D5261,$A:$A,$A5261,$B:$B,$B5261,$G:$G,"CDU",$J:$J,"PLANNED")&gt;0,"tied","standalone"),"")</f>
        <v/>
      </c>
    </row>
    <row r="5262" spans="1:14">
      <c r="A5262" s="6">
        <v>2025</v>
      </c>
      <c r="B5262" s="6">
        <v>2</v>
      </c>
      <c r="C5262" s="6" t="s">
        <v>61</v>
      </c>
      <c r="D5262" s="6" t="s">
        <v>1339</v>
      </c>
      <c r="E5262" s="6" t="s">
        <v>1340</v>
      </c>
      <c r="F5262" s="6" t="str">
        <f>IF($M5262="PADD I","PADD 1",IF($M5262="PADD II","PADD 2",IF($M5262="PADD III","PADD 3",IF($M5262="PADD IV","PADD 4",IF($M5262="PADD V","PADD 5","")))))</f>
        <v>PADD 5</v>
      </c>
      <c r="G5262" s="6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6" t="s">
        <v>428</v>
      </c>
      <c r="I5262" s="6" t="s">
        <v>481</v>
      </c>
      <c r="J5262" s="6" t="s">
        <v>398</v>
      </c>
      <c r="K5262" s="10">
        <v>4.48</v>
      </c>
      <c r="L5262" s="10">
        <v>14</v>
      </c>
      <c r="M5262" s="6" t="s">
        <v>436</v>
      </c>
      <c r="N5262" s="6">
        <f>IF(OR($G5262="FCC",$G5262="Hydrocracker",$G5262="Reformer"),IF(COUNTIFS($D:$D,$D5262,$A:$A,$A5262,$B:$B,$B5262,$G:$G,"CDU",$J:$J,"PLANNED")&gt;0,"tied","standalone"),"")</f>
        <v/>
      </c>
    </row>
    <row r="5263" spans="1:14">
      <c r="A5263" s="6">
        <v>2025</v>
      </c>
      <c r="B5263" s="6">
        <v>2</v>
      </c>
      <c r="C5263" s="6" t="s">
        <v>61</v>
      </c>
      <c r="D5263" s="6" t="s">
        <v>380</v>
      </c>
      <c r="E5263" s="6" t="s">
        <v>423</v>
      </c>
      <c r="F5263" s="6" t="str">
        <f>IF($M5263="PADD I","PADD 1",IF($M5263="PADD II","PADD 2",IF($M5263="PADD III","PADD 3",IF($M5263="PADD IV","PADD 4",IF($M5263="PADD V","PADD 5","")))))</f>
        <v>PADD 2</v>
      </c>
      <c r="G5263" s="6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6" t="s">
        <v>471</v>
      </c>
      <c r="I5263" s="6" t="s">
        <v>966</v>
      </c>
      <c r="J5263" s="6" t="s">
        <v>394</v>
      </c>
      <c r="K5263" s="10">
        <v>4.4</v>
      </c>
      <c r="L5263" s="10">
        <v>40</v>
      </c>
      <c r="M5263" s="6" t="s">
        <v>425</v>
      </c>
      <c r="N5263" s="6" t="str">
        <f>IF(OR($G5263="FCC",$G5263="Hydrocracker",$G5263="Reformer"),IF(COUNTIFS($D:$D,$D5263,$A:$A,$A5263,$B:$B,$B5263,$G:$G,"CDU",$J:$J,"PLANNED")&gt;0,"tied","standalone"),"")</f>
        <v>standalone</v>
      </c>
    </row>
    <row r="5264" spans="1:14">
      <c r="A5264" s="6">
        <v>2025</v>
      </c>
      <c r="B5264" s="6">
        <v>2</v>
      </c>
      <c r="C5264" s="6" t="s">
        <v>61</v>
      </c>
      <c r="D5264" s="6" t="s">
        <v>395</v>
      </c>
      <c r="E5264" s="6" t="s">
        <v>433</v>
      </c>
      <c r="F5264" s="6" t="str">
        <f>IF($M5264="PADD I","PADD 1",IF($M5264="PADD II","PADD 2",IF($M5264="PADD III","PADD 3",IF($M5264="PADD IV","PADD 4",IF($M5264="PADD V","PADD 5","")))))</f>
        <v>PADD 2</v>
      </c>
      <c r="G5264" s="6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6" t="s">
        <v>471</v>
      </c>
      <c r="I5264" s="6" t="s">
        <v>566</v>
      </c>
      <c r="J5264" s="6" t="s">
        <v>398</v>
      </c>
      <c r="K5264" s="10">
        <v>4.35</v>
      </c>
      <c r="L5264" s="10">
        <v>15</v>
      </c>
      <c r="M5264" s="6" t="s">
        <v>425</v>
      </c>
      <c r="N5264" s="6" t="str">
        <f>IF(OR($G5264="FCC",$G5264="Hydrocracker",$G5264="Reformer"),IF(COUNTIFS($D:$D,$D5264,$A:$A,$A5264,$B:$B,$B5264,$G:$G,"CDU",$J:$J,"PLANNED")&gt;0,"tied","standalone"),"")</f>
        <v>tied</v>
      </c>
    </row>
    <row r="5265" spans="1:14">
      <c r="A5265" s="6">
        <v>2025</v>
      </c>
      <c r="B5265" s="6">
        <v>2</v>
      </c>
      <c r="C5265" s="6" t="s">
        <v>61</v>
      </c>
      <c r="D5265" s="6" t="s">
        <v>370</v>
      </c>
      <c r="E5265" s="6" t="s">
        <v>431</v>
      </c>
      <c r="F5265" s="6" t="str">
        <f>IF($M5265="PADD I","PADD 1",IF($M5265="PADD II","PADD 2",IF($M5265="PADD III","PADD 3",IF($M5265="PADD IV","PADD 4",IF($M5265="PADD V","PADD 5","")))))</f>
        <v>PADD 2</v>
      </c>
      <c r="G5265" s="6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6" t="s">
        <v>39</v>
      </c>
      <c r="I5265" s="6" t="s">
        <v>82</v>
      </c>
      <c r="J5265" s="6" t="s">
        <v>394</v>
      </c>
      <c r="K5265" s="10">
        <v>4.125</v>
      </c>
      <c r="L5265" s="10">
        <v>37.5</v>
      </c>
      <c r="M5265" s="6" t="s">
        <v>425</v>
      </c>
      <c r="N5265" s="6">
        <f>IF(OR($G5265="FCC",$G5265="Hydrocracker",$G5265="Reformer"),IF(COUNTIFS($D:$D,$D5265,$A:$A,$A5265,$B:$B,$B5265,$G:$G,"CDU",$J:$J,"PLANNED")&gt;0,"tied","standalone"),"")</f>
        <v/>
      </c>
    </row>
    <row r="5266" spans="1:14">
      <c r="A5266" s="6">
        <v>2025</v>
      </c>
      <c r="B5266" s="6">
        <v>2</v>
      </c>
      <c r="C5266" s="6" t="s">
        <v>61</v>
      </c>
      <c r="D5266" s="6" t="s">
        <v>712</v>
      </c>
      <c r="E5266" s="6" t="s">
        <v>602</v>
      </c>
      <c r="F5266" s="6" t="str">
        <f>IF($M5266="PADD I","PADD 1",IF($M5266="PADD II","PADD 2",IF($M5266="PADD III","PADD 3",IF($M5266="PADD IV","PADD 4",IF($M5266="PADD V","PADD 5","")))))</f>
        <v>PADD 3</v>
      </c>
      <c r="G5266" s="6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6" t="s">
        <v>44</v>
      </c>
      <c r="I5266" s="6" t="s">
        <v>894</v>
      </c>
      <c r="J5266" s="6" t="s">
        <v>398</v>
      </c>
      <c r="K5266" s="10">
        <v>4.1</v>
      </c>
      <c r="L5266" s="10">
        <v>5</v>
      </c>
      <c r="M5266" s="6" t="s">
        <v>421</v>
      </c>
      <c r="N5266" s="6">
        <f>IF(OR($G5266="FCC",$G5266="Hydrocracker",$G5266="Reformer"),IF(COUNTIFS($D:$D,$D5266,$A:$A,$A5266,$B:$B,$B5266,$G:$G,"CDU",$J:$J,"PLANNED")&gt;0,"tied","standalone"),"")</f>
        <v/>
      </c>
    </row>
    <row r="5267" spans="1:14">
      <c r="A5267" s="6">
        <v>2025</v>
      </c>
      <c r="B5267" s="6">
        <v>2</v>
      </c>
      <c r="C5267" s="6" t="s">
        <v>61</v>
      </c>
      <c r="D5267" s="6" t="s">
        <v>928</v>
      </c>
      <c r="E5267" s="6" t="s">
        <v>502</v>
      </c>
      <c r="F5267" s="6" t="str">
        <f>IF($M5267="PADD I","PADD 1",IF($M5267="PADD II","PADD 2",IF($M5267="PADD III","PADD 3",IF($M5267="PADD IV","PADD 4",IF($M5267="PADD V","PADD 5","")))))</f>
        <v>PADD 2</v>
      </c>
      <c r="G5267" s="6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6" t="s">
        <v>39</v>
      </c>
      <c r="I5267" s="6" t="s">
        <v>929</v>
      </c>
      <c r="J5267" s="6" t="s">
        <v>394</v>
      </c>
      <c r="K5267" s="10">
        <v>3.4</v>
      </c>
      <c r="L5267" s="10">
        <v>85</v>
      </c>
      <c r="M5267" s="6" t="s">
        <v>425</v>
      </c>
      <c r="N5267" s="6">
        <f>IF(OR($G5267="FCC",$G5267="Hydrocracker",$G5267="Reformer"),IF(COUNTIFS($D:$D,$D5267,$A:$A,$A5267,$B:$B,$B5267,$G:$G,"CDU",$J:$J,"PLANNED")&gt;0,"tied","standalone"),"")</f>
        <v/>
      </c>
    </row>
    <row r="5268" spans="1:14">
      <c r="A5268" s="6">
        <v>2025</v>
      </c>
      <c r="B5268" s="6">
        <v>2</v>
      </c>
      <c r="C5268" s="6" t="s">
        <v>61</v>
      </c>
      <c r="D5268" s="6" t="s">
        <v>1336</v>
      </c>
      <c r="E5268" s="6" t="s">
        <v>1337</v>
      </c>
      <c r="F5268" s="6" t="str">
        <f>IF($M5268="PADD I","PADD 1",IF($M5268="PADD II","PADD 2",IF($M5268="PADD III","PADD 3",IF($M5268="PADD IV","PADD 4",IF($M5268="PADD V","PADD 5","")))))</f>
        <v>PADD 4</v>
      </c>
      <c r="G5268" s="6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6" t="s">
        <v>44</v>
      </c>
      <c r="I5268" s="6" t="s">
        <v>1341</v>
      </c>
      <c r="J5268" s="6" t="s">
        <v>394</v>
      </c>
      <c r="K5268" s="10">
        <v>3.355</v>
      </c>
      <c r="L5268" s="10">
        <v>5.5</v>
      </c>
      <c r="M5268" s="6" t="s">
        <v>480</v>
      </c>
      <c r="N5268" s="6">
        <f>IF(OR($G5268="FCC",$G5268="Hydrocracker",$G5268="Reformer"),IF(COUNTIFS($D:$D,$D5268,$A:$A,$A5268,$B:$B,$B5268,$G:$G,"CDU",$J:$J,"PLANNED")&gt;0,"tied","standalone"),"")</f>
        <v/>
      </c>
    </row>
    <row r="5269" spans="1:14">
      <c r="A5269" s="6">
        <v>2025</v>
      </c>
      <c r="B5269" s="6">
        <v>2</v>
      </c>
      <c r="C5269" s="6" t="s">
        <v>61</v>
      </c>
      <c r="D5269" s="6" t="s">
        <v>1336</v>
      </c>
      <c r="E5269" s="6" t="s">
        <v>1337</v>
      </c>
      <c r="F5269" s="6" t="str">
        <f>IF($M5269="PADD I","PADD 1",IF($M5269="PADD II","PADD 2",IF($M5269="PADD III","PADD 3",IF($M5269="PADD IV","PADD 4",IF($M5269="PADD V","PADD 5","")))))</f>
        <v>PADD 4</v>
      </c>
      <c r="G5269" s="6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6" t="s">
        <v>426</v>
      </c>
      <c r="I5269" s="6" t="s">
        <v>106</v>
      </c>
      <c r="J5269" s="6" t="s">
        <v>394</v>
      </c>
      <c r="K5269" s="10">
        <v>3.355</v>
      </c>
      <c r="L5269" s="10">
        <v>5.5</v>
      </c>
      <c r="M5269" s="6" t="s">
        <v>480</v>
      </c>
      <c r="N5269" s="6" t="str">
        <f>IF(OR($G5269="FCC",$G5269="Hydrocracker",$G5269="Reformer"),IF(COUNTIFS($D:$D,$D5269,$A:$A,$A5269,$B:$B,$B5269,$G:$G,"CDU",$J:$J,"PLANNED")&gt;0,"tied","standalone"),"")</f>
        <v>standalone</v>
      </c>
    </row>
    <row r="5270" spans="1:14">
      <c r="A5270" s="6">
        <v>2025</v>
      </c>
      <c r="B5270" s="6">
        <v>2</v>
      </c>
      <c r="C5270" s="6" t="s">
        <v>61</v>
      </c>
      <c r="D5270" s="6" t="s">
        <v>518</v>
      </c>
      <c r="E5270" s="6" t="s">
        <v>419</v>
      </c>
      <c r="F5270" s="6" t="str">
        <f>IF($M5270="PADD I","PADD 1",IF($M5270="PADD II","PADD 2",IF($M5270="PADD III","PADD 3",IF($M5270="PADD IV","PADD 4",IF($M5270="PADD V","PADD 5","")))))</f>
        <v>PADD 3</v>
      </c>
      <c r="G5270" s="6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6" t="s">
        <v>426</v>
      </c>
      <c r="I5270" s="6" t="s">
        <v>523</v>
      </c>
      <c r="J5270" s="6" t="s">
        <v>394</v>
      </c>
      <c r="K5270" s="10">
        <v>3.3</v>
      </c>
      <c r="L5270" s="10">
        <v>30</v>
      </c>
      <c r="M5270" s="6" t="s">
        <v>421</v>
      </c>
      <c r="N5270" s="6" t="str">
        <f>IF(OR($G5270="FCC",$G5270="Hydrocracker",$G5270="Reformer"),IF(COUNTIFS($D:$D,$D5270,$A:$A,$A5270,$B:$B,$B5270,$G:$G,"CDU",$J:$J,"PLANNED")&gt;0,"tied","standalone"),"")</f>
        <v>standalone</v>
      </c>
    </row>
    <row r="5271" spans="1:14">
      <c r="A5271" s="6">
        <v>2025</v>
      </c>
      <c r="B5271" s="6">
        <v>2</v>
      </c>
      <c r="C5271" s="6" t="s">
        <v>61</v>
      </c>
      <c r="D5271" s="6" t="s">
        <v>484</v>
      </c>
      <c r="E5271" s="6" t="s">
        <v>438</v>
      </c>
      <c r="F5271" s="6" t="str">
        <f>IF($M5271="PADD I","PADD 1",IF($M5271="PADD II","PADD 2",IF($M5271="PADD III","PADD 3",IF($M5271="PADD IV","PADD 4",IF($M5271="PADD V","PADD 5","")))))</f>
        <v>PADD 5</v>
      </c>
      <c r="G5271" s="6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6" t="s">
        <v>471</v>
      </c>
      <c r="I5271" s="6" t="s">
        <v>721</v>
      </c>
      <c r="J5271" s="6" t="s">
        <v>394</v>
      </c>
      <c r="K5271" s="10">
        <v>3.25</v>
      </c>
      <c r="L5271" s="10">
        <v>13</v>
      </c>
      <c r="M5271" s="6" t="s">
        <v>436</v>
      </c>
      <c r="N5271" s="6" t="str">
        <f>IF(OR($G5271="FCC",$G5271="Hydrocracker",$G5271="Reformer"),IF(COUNTIFS($D:$D,$D5271,$A:$A,$A5271,$B:$B,$B5271,$G:$G,"CDU",$J:$J,"PLANNED")&gt;0,"tied","standalone"),"")</f>
        <v>standalone</v>
      </c>
    </row>
    <row r="5272" spans="1:14">
      <c r="A5272" s="6">
        <v>2025</v>
      </c>
      <c r="B5272" s="6">
        <v>2</v>
      </c>
      <c r="C5272" s="6" t="s">
        <v>61</v>
      </c>
      <c r="D5272" s="6" t="s">
        <v>52</v>
      </c>
      <c r="E5272" s="6" t="s">
        <v>441</v>
      </c>
      <c r="F5272" s="6" t="str">
        <f>IF($M5272="PADD I","PADD 1",IF($M5272="PADD II","PADD 2",IF($M5272="PADD III","PADD 3",IF($M5272="PADD IV","PADD 4",IF($M5272="PADD V","PADD 5","")))))</f>
        <v>PADD 5</v>
      </c>
      <c r="G5272" s="6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6" t="s">
        <v>494</v>
      </c>
      <c r="I5272" s="6" t="s">
        <v>1124</v>
      </c>
      <c r="J5272" s="6" t="s">
        <v>394</v>
      </c>
      <c r="K5272" s="10">
        <v>3.15</v>
      </c>
      <c r="L5272" s="10">
        <v>45</v>
      </c>
      <c r="M5272" s="6" t="s">
        <v>436</v>
      </c>
      <c r="N5272" s="6" t="str">
        <f>IF(OR($G5272="FCC",$G5272="Hydrocracker",$G5272="Reformer"),IF(COUNTIFS($D:$D,$D5272,$A:$A,$A5272,$B:$B,$B5272,$G:$G,"CDU",$J:$J,"PLANNED")&gt;0,"tied","standalone"),"")</f>
        <v>standalone</v>
      </c>
    </row>
    <row r="5273" spans="1:14">
      <c r="A5273" s="6">
        <v>2025</v>
      </c>
      <c r="B5273" s="6">
        <v>2</v>
      </c>
      <c r="C5273" s="6" t="s">
        <v>61</v>
      </c>
      <c r="D5273" s="6" t="s">
        <v>857</v>
      </c>
      <c r="E5273" s="6" t="s">
        <v>829</v>
      </c>
      <c r="F5273" s="6" t="str">
        <f>IF($M5273="PADD I","PADD 1",IF($M5273="PADD II","PADD 2",IF($M5273="PADD III","PADD 3",IF($M5273="PADD IV","PADD 4",IF($M5273="PADD V","PADD 5","")))))</f>
        <v>PADD 3</v>
      </c>
      <c r="G5273" s="6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6" t="s">
        <v>39</v>
      </c>
      <c r="I5273" s="6" t="s">
        <v>136</v>
      </c>
      <c r="J5273" s="6" t="s">
        <v>394</v>
      </c>
      <c r="K5273" s="10">
        <v>3</v>
      </c>
      <c r="L5273" s="10">
        <v>75</v>
      </c>
      <c r="M5273" s="6" t="s">
        <v>421</v>
      </c>
      <c r="N5273" s="6">
        <f>IF(OR($G5273="FCC",$G5273="Hydrocracker",$G5273="Reformer"),IF(COUNTIFS($D:$D,$D5273,$A:$A,$A5273,$B:$B,$B5273,$G:$G,"CDU",$J:$J,"PLANNED")&gt;0,"tied","standalone"),"")</f>
        <v/>
      </c>
    </row>
    <row r="5274" spans="1:14">
      <c r="A5274" s="6">
        <v>2025</v>
      </c>
      <c r="B5274" s="6">
        <v>2</v>
      </c>
      <c r="C5274" s="6" t="s">
        <v>61</v>
      </c>
      <c r="D5274" s="6" t="s">
        <v>712</v>
      </c>
      <c r="E5274" s="6" t="s">
        <v>602</v>
      </c>
      <c r="F5274" s="6" t="str">
        <f>IF($M5274="PADD I","PADD 1",IF($M5274="PADD II","PADD 2",IF($M5274="PADD III","PADD 3",IF($M5274="PADD IV","PADD 4",IF($M5274="PADD V","PADD 5","")))))</f>
        <v>PADD 3</v>
      </c>
      <c r="G5274" s="6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6" t="s">
        <v>44</v>
      </c>
      <c r="I5274" s="6" t="s">
        <v>977</v>
      </c>
      <c r="J5274" s="6" t="s">
        <v>398</v>
      </c>
      <c r="K5274" s="10">
        <v>2.805</v>
      </c>
      <c r="L5274" s="10">
        <v>25.5</v>
      </c>
      <c r="M5274" s="6" t="s">
        <v>421</v>
      </c>
      <c r="N5274" s="6">
        <f>IF(OR($G5274="FCC",$G5274="Hydrocracker",$G5274="Reformer"),IF(COUNTIFS($D:$D,$D5274,$A:$A,$A5274,$B:$B,$B5274,$G:$G,"CDU",$J:$J,"PLANNED")&gt;0,"tied","standalone"),"")</f>
        <v/>
      </c>
    </row>
    <row r="5275" spans="1:14">
      <c r="A5275" s="6">
        <v>2025</v>
      </c>
      <c r="B5275" s="6">
        <v>2</v>
      </c>
      <c r="C5275" s="6" t="s">
        <v>61</v>
      </c>
      <c r="D5275" s="6" t="s">
        <v>487</v>
      </c>
      <c r="E5275" s="6" t="s">
        <v>488</v>
      </c>
      <c r="F5275" s="6" t="str">
        <f>IF($M5275="PADD I","PADD 1",IF($M5275="PADD II","PADD 2",IF($M5275="PADD III","PADD 3",IF($M5275="PADD IV","PADD 4",IF($M5275="PADD V","PADD 5","")))))</f>
        <v>PADD 4</v>
      </c>
      <c r="G5275" s="6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6" t="s">
        <v>39</v>
      </c>
      <c r="I5275" s="6" t="s">
        <v>489</v>
      </c>
      <c r="J5275" s="6" t="s">
        <v>394</v>
      </c>
      <c r="K5275" s="10">
        <v>2.73</v>
      </c>
      <c r="L5275" s="10">
        <v>39</v>
      </c>
      <c r="M5275" s="6" t="s">
        <v>480</v>
      </c>
      <c r="N5275" s="6">
        <f>IF(OR($G5275="FCC",$G5275="Hydrocracker",$G5275="Reformer"),IF(COUNTIFS($D:$D,$D5275,$A:$A,$A5275,$B:$B,$B5275,$G:$G,"CDU",$J:$J,"PLANNED")&gt;0,"tied","standalone"),"")</f>
        <v/>
      </c>
    </row>
    <row r="5276" spans="1:14">
      <c r="A5276" s="6">
        <v>2025</v>
      </c>
      <c r="B5276" s="6">
        <v>2</v>
      </c>
      <c r="C5276" s="6" t="s">
        <v>61</v>
      </c>
      <c r="D5276" s="6" t="s">
        <v>996</v>
      </c>
      <c r="E5276" s="6" t="s">
        <v>455</v>
      </c>
      <c r="F5276" s="6" t="str">
        <f>IF($M5276="PADD I","PADD 1",IF($M5276="PADD II","PADD 2",IF($M5276="PADD III","PADD 3",IF($M5276="PADD IV","PADD 4",IF($M5276="PADD V","PADD 5","")))))</f>
        <v>PADD 5</v>
      </c>
      <c r="G5276" s="6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6" t="s">
        <v>485</v>
      </c>
      <c r="I5276" s="6" t="s">
        <v>1022</v>
      </c>
      <c r="J5276" s="6" t="s">
        <v>394</v>
      </c>
      <c r="K5276" s="10">
        <v>2.7</v>
      </c>
      <c r="L5276" s="10">
        <v>15</v>
      </c>
      <c r="M5276" s="6" t="s">
        <v>436</v>
      </c>
      <c r="N5276" s="6">
        <f>IF(OR($G5276="FCC",$G5276="Hydrocracker",$G5276="Reformer"),IF(COUNTIFS($D:$D,$D5276,$A:$A,$A5276,$B:$B,$B5276,$G:$G,"CDU",$J:$J,"PLANNED")&gt;0,"tied","standalone"),"")</f>
        <v/>
      </c>
    </row>
    <row r="5277" spans="1:14">
      <c r="A5277" s="6">
        <v>2025</v>
      </c>
      <c r="B5277" s="6">
        <v>2</v>
      </c>
      <c r="C5277" s="6" t="s">
        <v>61</v>
      </c>
      <c r="D5277" s="6" t="s">
        <v>1274</v>
      </c>
      <c r="E5277" s="6" t="s">
        <v>731</v>
      </c>
      <c r="F5277" s="6" t="str">
        <f>IF($M5277="PADD I","PADD 1",IF($M5277="PADD II","PADD 2",IF($M5277="PADD III","PADD 3",IF($M5277="PADD IV","PADD 4",IF($M5277="PADD V","PADD 5","")))))</f>
        <v>PADD 3</v>
      </c>
      <c r="G5277" s="6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6" t="s">
        <v>471</v>
      </c>
      <c r="I5277" s="6" t="s">
        <v>15</v>
      </c>
      <c r="J5277" s="6" t="s">
        <v>394</v>
      </c>
      <c r="K5277" s="10">
        <v>2.64</v>
      </c>
      <c r="L5277" s="10">
        <v>24</v>
      </c>
      <c r="M5277" s="6" t="s">
        <v>421</v>
      </c>
      <c r="N5277" s="6" t="str">
        <f>IF(OR($G5277="FCC",$G5277="Hydrocracker",$G5277="Reformer"),IF(COUNTIFS($D:$D,$D5277,$A:$A,$A5277,$B:$B,$B5277,$G:$G,"CDU",$J:$J,"PLANNED")&gt;0,"tied","standalone"),"")</f>
        <v>standalone</v>
      </c>
    </row>
    <row r="5278" spans="1:14">
      <c r="A5278" s="6">
        <v>2025</v>
      </c>
      <c r="B5278" s="6">
        <v>2</v>
      </c>
      <c r="C5278" s="6" t="s">
        <v>61</v>
      </c>
      <c r="D5278" s="6" t="s">
        <v>377</v>
      </c>
      <c r="E5278" s="6" t="s">
        <v>466</v>
      </c>
      <c r="F5278" s="6" t="str">
        <f>IF($M5278="PADD I","PADD 1",IF($M5278="PADD II","PADD 2",IF($M5278="PADD III","PADD 3",IF($M5278="PADD IV","PADD 4",IF($M5278="PADD V","PADD 5","")))))</f>
        <v>PADD 2</v>
      </c>
      <c r="G5278" s="6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6" t="s">
        <v>485</v>
      </c>
      <c r="I5278" s="6" t="s">
        <v>1109</v>
      </c>
      <c r="J5278" s="6" t="s">
        <v>398</v>
      </c>
      <c r="K5278" s="10">
        <v>2.6334</v>
      </c>
      <c r="L5278" s="10">
        <v>12.54</v>
      </c>
      <c r="M5278" s="6" t="s">
        <v>425</v>
      </c>
      <c r="N5278" s="6">
        <f>IF(OR($G5278="FCC",$G5278="Hydrocracker",$G5278="Reformer"),IF(COUNTIFS($D:$D,$D5278,$A:$A,$A5278,$B:$B,$B5278,$G:$G,"CDU",$J:$J,"PLANNED")&gt;0,"tied","standalone"),"")</f>
        <v/>
      </c>
    </row>
    <row r="5279" spans="1:14">
      <c r="A5279" s="6">
        <v>2025</v>
      </c>
      <c r="B5279" s="6">
        <v>2</v>
      </c>
      <c r="C5279" s="6" t="s">
        <v>61</v>
      </c>
      <c r="D5279" s="6" t="s">
        <v>901</v>
      </c>
      <c r="E5279" s="6" t="s">
        <v>902</v>
      </c>
      <c r="F5279" s="6" t="str">
        <f>IF($M5279="PADD I","PADD 1",IF($M5279="PADD II","PADD 2",IF($M5279="PADD III","PADD 3",IF($M5279="PADD IV","PADD 4",IF($M5279="PADD V","PADD 5","")))))</f>
        <v>PADD 3</v>
      </c>
      <c r="G5279" s="6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6" t="s">
        <v>428</v>
      </c>
      <c r="I5279" s="6" t="s">
        <v>910</v>
      </c>
      <c r="J5279" s="6" t="s">
        <v>394</v>
      </c>
      <c r="K5279" s="10">
        <v>2.52</v>
      </c>
      <c r="L5279" s="10">
        <v>36</v>
      </c>
      <c r="M5279" s="6" t="s">
        <v>421</v>
      </c>
      <c r="N5279" s="6">
        <f>IF(OR($G5279="FCC",$G5279="Hydrocracker",$G5279="Reformer"),IF(COUNTIFS($D:$D,$D5279,$A:$A,$A5279,$B:$B,$B5279,$G:$G,"CDU",$J:$J,"PLANNED")&gt;0,"tied","standalone"),"")</f>
        <v/>
      </c>
    </row>
    <row r="5280" spans="1:14">
      <c r="A5280" s="6">
        <v>2025</v>
      </c>
      <c r="B5280" s="6">
        <v>2</v>
      </c>
      <c r="C5280" s="6" t="s">
        <v>61</v>
      </c>
      <c r="D5280" s="6" t="s">
        <v>901</v>
      </c>
      <c r="E5280" s="6" t="s">
        <v>902</v>
      </c>
      <c r="F5280" s="6" t="str">
        <f>IF($M5280="PADD I","PADD 1",IF($M5280="PADD II","PADD 2",IF($M5280="PADD III","PADD 3",IF($M5280="PADD IV","PADD 4",IF($M5280="PADD V","PADD 5","")))))</f>
        <v>PADD 3</v>
      </c>
      <c r="G5280" s="6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6" t="s">
        <v>428</v>
      </c>
      <c r="I5280" s="6" t="s">
        <v>910</v>
      </c>
      <c r="J5280" s="6" t="s">
        <v>394</v>
      </c>
      <c r="K5280" s="10">
        <v>2.52</v>
      </c>
      <c r="L5280" s="10">
        <v>36</v>
      </c>
      <c r="M5280" s="6" t="s">
        <v>421</v>
      </c>
      <c r="N5280" s="6">
        <f>IF(OR($G5280="FCC",$G5280="Hydrocracker",$G5280="Reformer"),IF(COUNTIFS($D:$D,$D5280,$A:$A,$A5280,$B:$B,$B5280,$G:$G,"CDU",$J:$J,"PLANNED")&gt;0,"tied","standalone"),"")</f>
        <v/>
      </c>
    </row>
    <row r="5281" spans="1:14">
      <c r="A5281" s="6">
        <v>2025</v>
      </c>
      <c r="B5281" s="6">
        <v>2</v>
      </c>
      <c r="C5281" s="6" t="s">
        <v>61</v>
      </c>
      <c r="D5281" s="6" t="s">
        <v>518</v>
      </c>
      <c r="E5281" s="6" t="s">
        <v>419</v>
      </c>
      <c r="F5281" s="6" t="str">
        <f>IF($M5281="PADD I","PADD 1",IF($M5281="PADD II","PADD 2",IF($M5281="PADD III","PADD 3",IF($M5281="PADD IV","PADD 4",IF($M5281="PADD V","PADD 5","")))))</f>
        <v>PADD 3</v>
      </c>
      <c r="G5281" s="6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6" t="s">
        <v>471</v>
      </c>
      <c r="I5281" s="6" t="s">
        <v>685</v>
      </c>
      <c r="J5281" s="6" t="s">
        <v>394</v>
      </c>
      <c r="K5281" s="10">
        <v>2.24</v>
      </c>
      <c r="L5281" s="10">
        <v>7</v>
      </c>
      <c r="M5281" s="6" t="s">
        <v>421</v>
      </c>
      <c r="N5281" s="6" t="str">
        <f>IF(OR($G5281="FCC",$G5281="Hydrocracker",$G5281="Reformer"),IF(COUNTIFS($D:$D,$D5281,$A:$A,$A5281,$B:$B,$B5281,$G:$G,"CDU",$J:$J,"PLANNED")&gt;0,"tied","standalone"),"")</f>
        <v>standalone</v>
      </c>
    </row>
    <row r="5282" spans="1:14">
      <c r="A5282" s="6">
        <v>2025</v>
      </c>
      <c r="B5282" s="6">
        <v>2</v>
      </c>
      <c r="C5282" s="6" t="s">
        <v>61</v>
      </c>
      <c r="D5282" s="6" t="s">
        <v>507</v>
      </c>
      <c r="E5282" s="6" t="s">
        <v>438</v>
      </c>
      <c r="F5282" s="6" t="str">
        <f>IF($M5282="PADD I","PADD 1",IF($M5282="PADD II","PADD 2",IF($M5282="PADD III","PADD 3",IF($M5282="PADD IV","PADD 4",IF($M5282="PADD V","PADD 5","")))))</f>
        <v>PADD 5</v>
      </c>
      <c r="G5282" s="6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6" t="s">
        <v>471</v>
      </c>
      <c r="I5282" s="6" t="s">
        <v>607</v>
      </c>
      <c r="J5282" s="6" t="s">
        <v>394</v>
      </c>
      <c r="K5282" s="10">
        <v>2.2</v>
      </c>
      <c r="L5282" s="10">
        <v>20</v>
      </c>
      <c r="M5282" s="6" t="s">
        <v>436</v>
      </c>
      <c r="N5282" s="6" t="str">
        <f>IF(OR($G5282="FCC",$G5282="Hydrocracker",$G5282="Reformer"),IF(COUNTIFS($D:$D,$D5282,$A:$A,$A5282,$B:$B,$B5282,$G:$G,"CDU",$J:$J,"PLANNED")&gt;0,"tied","standalone"),"")</f>
        <v>standalone</v>
      </c>
    </row>
    <row r="5283" spans="1:14">
      <c r="A5283" s="6">
        <v>2025</v>
      </c>
      <c r="B5283" s="6">
        <v>2</v>
      </c>
      <c r="C5283" s="6" t="s">
        <v>61</v>
      </c>
      <c r="D5283" s="6" t="s">
        <v>1336</v>
      </c>
      <c r="E5283" s="6" t="s">
        <v>1337</v>
      </c>
      <c r="F5283" s="6" t="str">
        <f>IF($M5283="PADD I","PADD 1",IF($M5283="PADD II","PADD 2",IF($M5283="PADD III","PADD 3",IF($M5283="PADD IV","PADD 4",IF($M5283="PADD V","PADD 5","")))))</f>
        <v>PADD 4</v>
      </c>
      <c r="G5283" s="6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6" t="s">
        <v>44</v>
      </c>
      <c r="I5283" s="6" t="s">
        <v>1342</v>
      </c>
      <c r="J5283" s="6" t="s">
        <v>394</v>
      </c>
      <c r="K5283" s="10">
        <v>2.135</v>
      </c>
      <c r="L5283" s="10">
        <v>3.5</v>
      </c>
      <c r="M5283" s="6" t="s">
        <v>480</v>
      </c>
      <c r="N5283" s="6">
        <f>IF(OR($G5283="FCC",$G5283="Hydrocracker",$G5283="Reformer"),IF(COUNTIFS($D:$D,$D5283,$A:$A,$A5283,$B:$B,$B5283,$G:$G,"CDU",$J:$J,"PLANNED")&gt;0,"tied","standalone"),"")</f>
        <v/>
      </c>
    </row>
    <row r="5284" spans="1:14">
      <c r="A5284" s="6">
        <v>2025</v>
      </c>
      <c r="B5284" s="6">
        <v>2</v>
      </c>
      <c r="C5284" s="6" t="s">
        <v>61</v>
      </c>
      <c r="D5284" s="6" t="s">
        <v>824</v>
      </c>
      <c r="E5284" s="6" t="s">
        <v>825</v>
      </c>
      <c r="F5284" s="6" t="str">
        <f>IF($M5284="PADD I","PADD 1",IF($M5284="PADD II","PADD 2",IF($M5284="PADD III","PADD 3",IF($M5284="PADD IV","PADD 4",IF($M5284="PADD V","PADD 5","")))))</f>
        <v>PADD 1</v>
      </c>
      <c r="G5284" s="6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6" t="s">
        <v>494</v>
      </c>
      <c r="I5284" s="6" t="s">
        <v>14</v>
      </c>
      <c r="J5284" s="6" t="s">
        <v>394</v>
      </c>
      <c r="K5284" s="10">
        <v>1.98</v>
      </c>
      <c r="L5284" s="10">
        <v>18</v>
      </c>
      <c r="M5284" s="6" t="s">
        <v>463</v>
      </c>
      <c r="N5284" s="6" t="str">
        <f>IF(OR($G5284="FCC",$G5284="Hydrocracker",$G5284="Reformer"),IF(COUNTIFS($D:$D,$D5284,$A:$A,$A5284,$B:$B,$B5284,$G:$G,"CDU",$J:$J,"PLANNED")&gt;0,"tied","standalone"),"")</f>
        <v>standalone</v>
      </c>
    </row>
    <row r="5285" spans="1:14">
      <c r="A5285" s="6">
        <v>2025</v>
      </c>
      <c r="B5285" s="6">
        <v>2</v>
      </c>
      <c r="C5285" s="6" t="s">
        <v>61</v>
      </c>
      <c r="D5285" s="6" t="s">
        <v>1336</v>
      </c>
      <c r="E5285" s="6" t="s">
        <v>1337</v>
      </c>
      <c r="F5285" s="6" t="str">
        <f>IF($M5285="PADD I","PADD 1",IF($M5285="PADD II","PADD 2",IF($M5285="PADD III","PADD 3",IF($M5285="PADD IV","PADD 4",IF($M5285="PADD V","PADD 5","")))))</f>
        <v>PADD 4</v>
      </c>
      <c r="G5285" s="6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6" t="s">
        <v>471</v>
      </c>
      <c r="I5285" s="6" t="s">
        <v>15</v>
      </c>
      <c r="J5285" s="6" t="s">
        <v>394</v>
      </c>
      <c r="K5285" s="10">
        <v>1.952</v>
      </c>
      <c r="L5285" s="10">
        <v>3.2</v>
      </c>
      <c r="M5285" s="6" t="s">
        <v>480</v>
      </c>
      <c r="N5285" s="6" t="str">
        <f>IF(OR($G5285="FCC",$G5285="Hydrocracker",$G5285="Reformer"),IF(COUNTIFS($D:$D,$D5285,$A:$A,$A5285,$B:$B,$B5285,$G:$G,"CDU",$J:$J,"PLANNED")&gt;0,"tied","standalone"),"")</f>
        <v>standalone</v>
      </c>
    </row>
    <row r="5286" spans="1:14">
      <c r="A5286" s="6">
        <v>2025</v>
      </c>
      <c r="B5286" s="6">
        <v>2</v>
      </c>
      <c r="C5286" s="6" t="s">
        <v>61</v>
      </c>
      <c r="D5286" s="6" t="s">
        <v>550</v>
      </c>
      <c r="E5286" s="6" t="s">
        <v>438</v>
      </c>
      <c r="F5286" s="6" t="str">
        <f>IF($M5286="PADD I","PADD 1",IF($M5286="PADD II","PADD 2",IF($M5286="PADD III","PADD 3",IF($M5286="PADD IV","PADD 4",IF($M5286="PADD V","PADD 5","")))))</f>
        <v>PADD 2</v>
      </c>
      <c r="G5286" s="6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6" t="s">
        <v>44</v>
      </c>
      <c r="I5286" s="6" t="s">
        <v>570</v>
      </c>
      <c r="J5286" s="6" t="s">
        <v>394</v>
      </c>
      <c r="K5286" s="10">
        <v>1.645</v>
      </c>
      <c r="L5286" s="10">
        <v>23.5</v>
      </c>
      <c r="M5286" s="6" t="s">
        <v>425</v>
      </c>
      <c r="N5286" s="6">
        <f>IF(OR($G5286="FCC",$G5286="Hydrocracker",$G5286="Reformer"),IF(COUNTIFS($D:$D,$D5286,$A:$A,$A5286,$B:$B,$B5286,$G:$G,"CDU",$J:$J,"PLANNED")&gt;0,"tied","standalone"),"")</f>
        <v/>
      </c>
    </row>
    <row r="5287" spans="1:14">
      <c r="A5287" s="6">
        <v>2025</v>
      </c>
      <c r="B5287" s="6">
        <v>2</v>
      </c>
      <c r="C5287" s="6" t="s">
        <v>61</v>
      </c>
      <c r="D5287" s="6" t="s">
        <v>375</v>
      </c>
      <c r="E5287" s="6" t="s">
        <v>435</v>
      </c>
      <c r="F5287" s="6" t="str">
        <f>IF($M5287="PADD I","PADD 1",IF($M5287="PADD II","PADD 2",IF($M5287="PADD III","PADD 3",IF($M5287="PADD IV","PADD 4",IF($M5287="PADD V","PADD 5","")))))</f>
        <v>PADD 5</v>
      </c>
      <c r="G5287" s="6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6" t="s">
        <v>618</v>
      </c>
      <c r="I5287" s="6" t="s">
        <v>654</v>
      </c>
      <c r="J5287" s="6" t="s">
        <v>394</v>
      </c>
      <c r="K5287" s="10">
        <v>1.5</v>
      </c>
      <c r="L5287" s="10">
        <v>1.5</v>
      </c>
      <c r="M5287" s="6" t="s">
        <v>436</v>
      </c>
      <c r="N5287" s="6">
        <f>IF(OR($G5287="FCC",$G5287="Hydrocracker",$G5287="Reformer"),IF(COUNTIFS($D:$D,$D5287,$A:$A,$A5287,$B:$B,$B5287,$G:$G,"CDU",$J:$J,"PLANNED")&gt;0,"tied","standalone"),"")</f>
        <v/>
      </c>
    </row>
    <row r="5288" spans="1:14">
      <c r="A5288" s="6">
        <v>2025</v>
      </c>
      <c r="B5288" s="6">
        <v>2</v>
      </c>
      <c r="C5288" s="6" t="s">
        <v>61</v>
      </c>
      <c r="D5288" s="6" t="s">
        <v>507</v>
      </c>
      <c r="E5288" s="6" t="s">
        <v>438</v>
      </c>
      <c r="F5288" s="6" t="str">
        <f>IF($M5288="PADD I","PADD 1",IF($M5288="PADD II","PADD 2",IF($M5288="PADD III","PADD 3",IF($M5288="PADD IV","PADD 4",IF($M5288="PADD V","PADD 5","")))))</f>
        <v>PADD 5</v>
      </c>
      <c r="G5288" s="6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6" t="s">
        <v>471</v>
      </c>
      <c r="I5288" s="6" t="s">
        <v>607</v>
      </c>
      <c r="J5288" s="6" t="s">
        <v>394</v>
      </c>
      <c r="K5288" s="10">
        <v>1.4</v>
      </c>
      <c r="L5288" s="10">
        <v>20</v>
      </c>
      <c r="M5288" s="6" t="s">
        <v>436</v>
      </c>
      <c r="N5288" s="6" t="str">
        <f>IF(OR($G5288="FCC",$G5288="Hydrocracker",$G5288="Reformer"),IF(COUNTIFS($D:$D,$D5288,$A:$A,$A5288,$B:$B,$B5288,$G:$G,"CDU",$J:$J,"PLANNED")&gt;0,"tied","standalone"),"")</f>
        <v>standalone</v>
      </c>
    </row>
    <row r="5289" spans="1:14">
      <c r="A5289" s="6">
        <v>2025</v>
      </c>
      <c r="B5289" s="6">
        <v>2</v>
      </c>
      <c r="C5289" s="6" t="s">
        <v>61</v>
      </c>
      <c r="D5289" s="6" t="s">
        <v>378</v>
      </c>
      <c r="E5289" s="6" t="s">
        <v>477</v>
      </c>
      <c r="F5289" s="6" t="str">
        <f>IF($M5289="PADD I","PADD 1",IF($M5289="PADD II","PADD 2",IF($M5289="PADD III","PADD 3",IF($M5289="PADD IV","PADD 4",IF($M5289="PADD V","PADD 5","")))))</f>
        <v>PADD 3</v>
      </c>
      <c r="G5289" s="6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6" t="s">
        <v>471</v>
      </c>
      <c r="I5289" s="6" t="s">
        <v>1212</v>
      </c>
      <c r="J5289" s="6" t="s">
        <v>394</v>
      </c>
      <c r="K5289" s="10">
        <v>1.33</v>
      </c>
      <c r="L5289" s="10">
        <v>19</v>
      </c>
      <c r="M5289" s="6" t="s">
        <v>421</v>
      </c>
      <c r="N5289" s="6" t="str">
        <f>IF(OR($G5289="FCC",$G5289="Hydrocracker",$G5289="Reformer"),IF(COUNTIFS($D:$D,$D5289,$A:$A,$A5289,$B:$B,$B5289,$G:$G,"CDU",$J:$J,"PLANNED")&gt;0,"tied","standalone"),"")</f>
        <v>standalone</v>
      </c>
    </row>
    <row r="5290" spans="1:14">
      <c r="A5290" s="6">
        <v>2025</v>
      </c>
      <c r="B5290" s="6">
        <v>2</v>
      </c>
      <c r="C5290" s="6" t="s">
        <v>61</v>
      </c>
      <c r="D5290" s="6" t="s">
        <v>928</v>
      </c>
      <c r="E5290" s="6" t="s">
        <v>502</v>
      </c>
      <c r="F5290" s="6" t="str">
        <f>IF($M5290="PADD I","PADD 1",IF($M5290="PADD II","PADD 2",IF($M5290="PADD III","PADD 3",IF($M5290="PADD IV","PADD 4",IF($M5290="PADD V","PADD 5","")))))</f>
        <v>PADD 2</v>
      </c>
      <c r="G5290" s="6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6" t="s">
        <v>428</v>
      </c>
      <c r="I5290" s="6" t="s">
        <v>586</v>
      </c>
      <c r="J5290" s="6" t="s">
        <v>394</v>
      </c>
      <c r="K5290" s="10">
        <v>1.28</v>
      </c>
      <c r="L5290" s="10">
        <v>32</v>
      </c>
      <c r="M5290" s="6" t="s">
        <v>425</v>
      </c>
      <c r="N5290" s="6">
        <f>IF(OR($G5290="FCC",$G5290="Hydrocracker",$G5290="Reformer"),IF(COUNTIFS($D:$D,$D5290,$A:$A,$A5290,$B:$B,$B5290,$G:$G,"CDU",$J:$J,"PLANNED")&gt;0,"tied","standalone"),"")</f>
        <v/>
      </c>
    </row>
    <row r="5291" spans="1:14">
      <c r="A5291" s="6">
        <v>2025</v>
      </c>
      <c r="B5291" s="6">
        <v>2</v>
      </c>
      <c r="C5291" s="6" t="s">
        <v>61</v>
      </c>
      <c r="D5291" s="6" t="s">
        <v>576</v>
      </c>
      <c r="E5291" s="6" t="s">
        <v>455</v>
      </c>
      <c r="F5291" s="6" t="str">
        <f>IF($M5291="PADD I","PADD 1",IF($M5291="PADD II","PADD 2",IF($M5291="PADD III","PADD 3",IF($M5291="PADD IV","PADD 4",IF($M5291="PADD V","PADD 5","")))))</f>
        <v>PADD 3</v>
      </c>
      <c r="G5291" s="6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6" t="s">
        <v>485</v>
      </c>
      <c r="I5291" s="6" t="s">
        <v>1004</v>
      </c>
      <c r="J5291" s="6" t="s">
        <v>394</v>
      </c>
      <c r="K5291" s="10">
        <v>1.2</v>
      </c>
      <c r="L5291" s="10">
        <v>30</v>
      </c>
      <c r="M5291" s="6" t="s">
        <v>421</v>
      </c>
      <c r="N5291" s="6">
        <f>IF(OR($G5291="FCC",$G5291="Hydrocracker",$G5291="Reformer"),IF(COUNTIFS($D:$D,$D5291,$A:$A,$A5291,$B:$B,$B5291,$G:$G,"CDU",$J:$J,"PLANNED")&gt;0,"tied","standalone"),"")</f>
        <v/>
      </c>
    </row>
    <row r="5292" spans="1:14">
      <c r="A5292" s="6">
        <v>2025</v>
      </c>
      <c r="B5292" s="6">
        <v>2</v>
      </c>
      <c r="C5292" s="6" t="s">
        <v>61</v>
      </c>
      <c r="D5292" s="6" t="s">
        <v>772</v>
      </c>
      <c r="E5292" s="6" t="s">
        <v>502</v>
      </c>
      <c r="F5292" s="6" t="str">
        <f>IF($M5292="PADD I","PADD 1",IF($M5292="PADD II","PADD 2",IF($M5292="PADD III","PADD 3",IF($M5292="PADD IV","PADD 4",IF($M5292="PADD V","PADD 5","")))))</f>
        <v>PADD 4</v>
      </c>
      <c r="G5292" s="6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6" t="s">
        <v>494</v>
      </c>
      <c r="I5292" s="6" t="s">
        <v>1197</v>
      </c>
      <c r="J5292" s="6" t="s">
        <v>394</v>
      </c>
      <c r="K5292" s="10">
        <v>1.05</v>
      </c>
      <c r="L5292" s="10">
        <v>15</v>
      </c>
      <c r="M5292" s="6" t="s">
        <v>480</v>
      </c>
      <c r="N5292" s="6" t="str">
        <f>IF(OR($G5292="FCC",$G5292="Hydrocracker",$G5292="Reformer"),IF(COUNTIFS($D:$D,$D5292,$A:$A,$A5292,$B:$B,$B5292,$G:$G,"CDU",$J:$J,"PLANNED")&gt;0,"tied","standalone"),"")</f>
        <v>standalone</v>
      </c>
    </row>
    <row r="5293" spans="1:14">
      <c r="A5293" s="6">
        <v>2025</v>
      </c>
      <c r="B5293" s="6">
        <v>2</v>
      </c>
      <c r="C5293" s="6" t="s">
        <v>61</v>
      </c>
      <c r="D5293" s="6" t="s">
        <v>760</v>
      </c>
      <c r="E5293" s="6" t="s">
        <v>761</v>
      </c>
      <c r="F5293" s="6" t="str">
        <f>IF($M5293="PADD I","PADD 1",IF($M5293="PADD II","PADD 2",IF($M5293="PADD III","PADD 3",IF($M5293="PADD IV","PADD 4",IF($M5293="PADD V","PADD 5","")))))</f>
        <v>PADD 3</v>
      </c>
      <c r="G5293" s="6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6" t="s">
        <v>39</v>
      </c>
      <c r="I5293" s="6" t="s">
        <v>762</v>
      </c>
      <c r="J5293" s="6" t="s">
        <v>398</v>
      </c>
      <c r="K5293" s="10">
        <v>1</v>
      </c>
      <c r="L5293" s="10">
        <v>25</v>
      </c>
      <c r="M5293" s="6" t="s">
        <v>421</v>
      </c>
      <c r="N5293" s="6">
        <f>IF(OR($G5293="FCC",$G5293="Hydrocracker",$G5293="Reformer"),IF(COUNTIFS($D:$D,$D5293,$A:$A,$A5293,$B:$B,$B5293,$G:$G,"CDU",$J:$J,"PLANNED")&gt;0,"tied","standalone"),"")</f>
        <v/>
      </c>
    </row>
    <row r="5294" spans="1:14">
      <c r="A5294" s="6">
        <v>2025</v>
      </c>
      <c r="B5294" s="6">
        <v>2</v>
      </c>
      <c r="C5294" s="6" t="s">
        <v>61</v>
      </c>
      <c r="D5294" s="6" t="s">
        <v>1339</v>
      </c>
      <c r="E5294" s="6" t="s">
        <v>1340</v>
      </c>
      <c r="F5294" s="6" t="str">
        <f>IF($M5294="PADD I","PADD 1",IF($M5294="PADD II","PADD 2",IF($M5294="PADD III","PADD 3",IF($M5294="PADD IV","PADD 4",IF($M5294="PADD V","PADD 5","")))))</f>
        <v>PADD 5</v>
      </c>
      <c r="G5294" s="6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6" t="s">
        <v>44</v>
      </c>
      <c r="I5294" s="6" t="s">
        <v>834</v>
      </c>
      <c r="J5294" s="6" t="s">
        <v>398</v>
      </c>
      <c r="K5294" s="10">
        <v>0.96</v>
      </c>
      <c r="L5294" s="10">
        <v>3</v>
      </c>
      <c r="M5294" s="6" t="s">
        <v>436</v>
      </c>
      <c r="N5294" s="6">
        <f>IF(OR($G5294="FCC",$G5294="Hydrocracker",$G5294="Reformer"),IF(COUNTIFS($D:$D,$D5294,$A:$A,$A5294,$B:$B,$B5294,$G:$G,"CDU",$J:$J,"PLANNED")&gt;0,"tied","standalone"),"")</f>
        <v/>
      </c>
    </row>
    <row r="5295" spans="1:14">
      <c r="A5295" s="6">
        <v>2025</v>
      </c>
      <c r="B5295" s="6">
        <v>2</v>
      </c>
      <c r="C5295" s="6" t="s">
        <v>61</v>
      </c>
      <c r="D5295" s="6" t="s">
        <v>937</v>
      </c>
      <c r="E5295" s="6" t="s">
        <v>455</v>
      </c>
      <c r="F5295" s="6" t="str">
        <f>IF($M5295="PADD I","PADD 1",IF($M5295="PADD II","PADD 2",IF($M5295="PADD III","PADD 3",IF($M5295="PADD IV","PADD 4",IF($M5295="PADD V","PADD 5","")))))</f>
        <v>PADD 3</v>
      </c>
      <c r="G5295" s="6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6" t="s">
        <v>471</v>
      </c>
      <c r="I5295" s="6" t="s">
        <v>589</v>
      </c>
      <c r="J5295" s="6" t="s">
        <v>394</v>
      </c>
      <c r="K5295" s="10">
        <v>0.92</v>
      </c>
      <c r="L5295" s="10">
        <v>23</v>
      </c>
      <c r="M5295" s="6" t="s">
        <v>421</v>
      </c>
      <c r="N5295" s="6" t="str">
        <f>IF(OR($G5295="FCC",$G5295="Hydrocracker",$G5295="Reformer"),IF(COUNTIFS($D:$D,$D5295,$A:$A,$A5295,$B:$B,$B5295,$G:$G,"CDU",$J:$J,"PLANNED")&gt;0,"tied","standalone"),"")</f>
        <v>standalone</v>
      </c>
    </row>
    <row r="5296" spans="1:14">
      <c r="A5296" s="6">
        <v>2025</v>
      </c>
      <c r="B5296" s="6">
        <v>2</v>
      </c>
      <c r="C5296" s="6" t="s">
        <v>61</v>
      </c>
      <c r="D5296" s="6" t="s">
        <v>1336</v>
      </c>
      <c r="E5296" s="6" t="s">
        <v>1337</v>
      </c>
      <c r="F5296" s="6" t="str">
        <f>IF($M5296="PADD I","PADD 1",IF($M5296="PADD II","PADD 2",IF($M5296="PADD III","PADD 3",IF($M5296="PADD IV","PADD 4",IF($M5296="PADD V","PADD 5","")))))</f>
        <v>PADD 4</v>
      </c>
      <c r="G5296" s="6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6" t="s">
        <v>428</v>
      </c>
      <c r="I5296" s="6" t="s">
        <v>481</v>
      </c>
      <c r="J5296" s="6" t="s">
        <v>394</v>
      </c>
      <c r="K5296" s="10">
        <v>0.915</v>
      </c>
      <c r="L5296" s="10">
        <v>1.5</v>
      </c>
      <c r="M5296" s="6" t="s">
        <v>480</v>
      </c>
      <c r="N5296" s="6">
        <f>IF(OR($G5296="FCC",$G5296="Hydrocracker",$G5296="Reformer"),IF(COUNTIFS($D:$D,$D5296,$A:$A,$A5296,$B:$B,$B5296,$G:$G,"CDU",$J:$J,"PLANNED")&gt;0,"tied","standalone"),"")</f>
        <v/>
      </c>
    </row>
    <row r="5297" spans="1:14">
      <c r="A5297" s="6">
        <v>2025</v>
      </c>
      <c r="B5297" s="6">
        <v>2</v>
      </c>
      <c r="C5297" s="6" t="s">
        <v>61</v>
      </c>
      <c r="D5297" s="6" t="s">
        <v>49</v>
      </c>
      <c r="E5297" s="6" t="s">
        <v>438</v>
      </c>
      <c r="F5297" s="6" t="str">
        <f>IF($M5297="PADD I","PADD 1",IF($M5297="PADD II","PADD 2",IF($M5297="PADD III","PADD 3",IF($M5297="PADD IV","PADD 4",IF($M5297="PADD V","PADD 5","")))))</f>
        <v>PADD 2</v>
      </c>
      <c r="G5297" s="6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6" t="s">
        <v>485</v>
      </c>
      <c r="I5297" s="6" t="s">
        <v>681</v>
      </c>
      <c r="J5297" s="6" t="s">
        <v>394</v>
      </c>
      <c r="K5297" s="10">
        <v>0.84</v>
      </c>
      <c r="L5297" s="10">
        <v>12</v>
      </c>
      <c r="M5297" s="6" t="s">
        <v>425</v>
      </c>
      <c r="N5297" s="6">
        <f>IF(OR($G5297="FCC",$G5297="Hydrocracker",$G5297="Reformer"),IF(COUNTIFS($D:$D,$D5297,$A:$A,$A5297,$B:$B,$B5297,$G:$G,"CDU",$J:$J,"PLANNED")&gt;0,"tied","standalone"),"")</f>
        <v/>
      </c>
    </row>
    <row r="5298" spans="1:14">
      <c r="A5298" s="6">
        <v>2025</v>
      </c>
      <c r="B5298" s="6">
        <v>2</v>
      </c>
      <c r="C5298" s="6" t="s">
        <v>61</v>
      </c>
      <c r="D5298" s="6" t="s">
        <v>730</v>
      </c>
      <c r="E5298" s="6" t="s">
        <v>731</v>
      </c>
      <c r="F5298" s="6" t="str">
        <f>IF($M5298="PADD I","PADD 1",IF($M5298="PADD II","PADD 2",IF($M5298="PADD III","PADD 3",IF($M5298="PADD IV","PADD 4",IF($M5298="PADD V","PADD 5","")))))</f>
        <v>PADD 3</v>
      </c>
      <c r="G5298" s="6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6" t="s">
        <v>510</v>
      </c>
      <c r="I5298" s="6" t="s">
        <v>666</v>
      </c>
      <c r="J5298" s="6" t="s">
        <v>394</v>
      </c>
      <c r="K5298" s="10">
        <v>0.798</v>
      </c>
      <c r="L5298" s="10">
        <v>5.7</v>
      </c>
      <c r="M5298" s="6" t="s">
        <v>421</v>
      </c>
      <c r="N5298" s="6">
        <f>IF(OR($G5298="FCC",$G5298="Hydrocracker",$G5298="Reformer"),IF(COUNTIFS($D:$D,$D5298,$A:$A,$A5298,$B:$B,$B5298,$G:$G,"CDU",$J:$J,"PLANNED")&gt;0,"tied","standalone"),"")</f>
        <v/>
      </c>
    </row>
    <row r="5299" spans="1:14">
      <c r="A5299" s="6">
        <v>2025</v>
      </c>
      <c r="B5299" s="6">
        <v>2</v>
      </c>
      <c r="C5299" s="6" t="s">
        <v>61</v>
      </c>
      <c r="D5299" s="6" t="s">
        <v>1336</v>
      </c>
      <c r="E5299" s="6" t="s">
        <v>1337</v>
      </c>
      <c r="F5299" s="6" t="str">
        <f>IF($M5299="PADD I","PADD 1",IF($M5299="PADD II","PADD 2",IF($M5299="PADD III","PADD 3",IF($M5299="PADD IV","PADD 4",IF($M5299="PADD V","PADD 5","")))))</f>
        <v>PADD 4</v>
      </c>
      <c r="G5299" s="6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6" t="s">
        <v>510</v>
      </c>
      <c r="I5299" s="6" t="s">
        <v>666</v>
      </c>
      <c r="J5299" s="6" t="s">
        <v>394</v>
      </c>
      <c r="K5299" s="10">
        <v>0.793</v>
      </c>
      <c r="L5299" s="10">
        <v>1.3</v>
      </c>
      <c r="M5299" s="6" t="s">
        <v>480</v>
      </c>
      <c r="N5299" s="6">
        <f>IF(OR($G5299="FCC",$G5299="Hydrocracker",$G5299="Reformer"),IF(COUNTIFS($D:$D,$D5299,$A:$A,$A5299,$B:$B,$B5299,$G:$G,"CDU",$J:$J,"PLANNED")&gt;0,"tied","standalone"),"")</f>
        <v/>
      </c>
    </row>
    <row r="5300" spans="1:14">
      <c r="A5300" s="6">
        <v>2025</v>
      </c>
      <c r="B5300" s="6">
        <v>2</v>
      </c>
      <c r="C5300" s="6" t="s">
        <v>61</v>
      </c>
      <c r="D5300" s="6" t="s">
        <v>1339</v>
      </c>
      <c r="E5300" s="6" t="s">
        <v>1340</v>
      </c>
      <c r="F5300" s="6" t="str">
        <f>IF($M5300="PADD I","PADD 1",IF($M5300="PADD II","PADD 2",IF($M5300="PADD III","PADD 3",IF($M5300="PADD IV","PADD 4",IF($M5300="PADD V","PADD 5","")))))</f>
        <v>PADD 5</v>
      </c>
      <c r="G5300" s="6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6" t="s">
        <v>687</v>
      </c>
      <c r="I5300" s="6" t="s">
        <v>954</v>
      </c>
      <c r="J5300" s="6" t="s">
        <v>398</v>
      </c>
      <c r="K5300" s="10">
        <v>0.64</v>
      </c>
      <c r="L5300" s="10">
        <v>2</v>
      </c>
      <c r="M5300" s="6" t="s">
        <v>436</v>
      </c>
      <c r="N5300" s="6">
        <f>IF(OR($G5300="FCC",$G5300="Hydrocracker",$G5300="Reformer"),IF(COUNTIFS($D:$D,$D5300,$A:$A,$A5300,$B:$B,$B5300,$G:$G,"CDU",$J:$J,"PLANNED")&gt;0,"tied","standalone"),"")</f>
        <v/>
      </c>
    </row>
    <row r="5301" spans="1:14">
      <c r="A5301" s="6">
        <v>2025</v>
      </c>
      <c r="B5301" s="6">
        <v>2</v>
      </c>
      <c r="C5301" s="6" t="s">
        <v>61</v>
      </c>
      <c r="D5301" s="6" t="s">
        <v>487</v>
      </c>
      <c r="E5301" s="6" t="s">
        <v>488</v>
      </c>
      <c r="F5301" s="6" t="str">
        <f>IF($M5301="PADD I","PADD 1",IF($M5301="PADD II","PADD 2",IF($M5301="PADD III","PADD 3",IF($M5301="PADD IV","PADD 4",IF($M5301="PADD V","PADD 5","")))))</f>
        <v>PADD 4</v>
      </c>
      <c r="G5301" s="6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6" t="s">
        <v>428</v>
      </c>
      <c r="I5301" s="6" t="s">
        <v>606</v>
      </c>
      <c r="J5301" s="6" t="s">
        <v>394</v>
      </c>
      <c r="K5301" s="10">
        <v>0.5866</v>
      </c>
      <c r="L5301" s="10">
        <v>8.380000000000001</v>
      </c>
      <c r="M5301" s="6" t="s">
        <v>480</v>
      </c>
      <c r="N5301" s="6">
        <f>IF(OR($G5301="FCC",$G5301="Hydrocracker",$G5301="Reformer"),IF(COUNTIFS($D:$D,$D5301,$A:$A,$A5301,$B:$B,$B5301,$G:$G,"CDU",$J:$J,"PLANNED")&gt;0,"tied","standalone"),"")</f>
        <v/>
      </c>
    </row>
    <row r="5302" spans="1:14">
      <c r="A5302" s="6">
        <v>2025</v>
      </c>
      <c r="B5302" s="6">
        <v>2</v>
      </c>
      <c r="C5302" s="6" t="s">
        <v>61</v>
      </c>
      <c r="D5302" s="6" t="s">
        <v>1273</v>
      </c>
      <c r="E5302" s="6" t="s">
        <v>1089</v>
      </c>
      <c r="F5302" s="6" t="str">
        <f>IF($M5302="PADD I","PADD 1",IF($M5302="PADD II","PADD 2",IF($M5302="PADD III","PADD 3",IF($M5302="PADD IV","PADD 4",IF($M5302="PADD V","PADD 5","")))))</f>
        <v>PADD 2</v>
      </c>
      <c r="G5302" s="6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6" t="s">
        <v>471</v>
      </c>
      <c r="I5302" s="6" t="s">
        <v>15</v>
      </c>
      <c r="J5302" s="6" t="s">
        <v>394</v>
      </c>
      <c r="K5302" s="10">
        <v>0.5775</v>
      </c>
      <c r="L5302" s="10">
        <v>8.25</v>
      </c>
      <c r="M5302" s="6" t="s">
        <v>425</v>
      </c>
      <c r="N5302" s="6" t="str">
        <f>IF(OR($G5302="FCC",$G5302="Hydrocracker",$G5302="Reformer"),IF(COUNTIFS($D:$D,$D5302,$A:$A,$A5302,$B:$B,$B5302,$G:$G,"CDU",$J:$J,"PLANNED")&gt;0,"tied","standalone"),"")</f>
        <v>standalone</v>
      </c>
    </row>
    <row r="5303" spans="1:14">
      <c r="A5303" s="6">
        <v>2025</v>
      </c>
      <c r="B5303" s="6">
        <v>2</v>
      </c>
      <c r="C5303" s="6" t="s">
        <v>61</v>
      </c>
      <c r="D5303" s="6" t="s">
        <v>470</v>
      </c>
      <c r="E5303" s="6" t="s">
        <v>423</v>
      </c>
      <c r="F5303" s="6" t="str">
        <f>IF($M5303="PADD I","PADD 1",IF($M5303="PADD II","PADD 2",IF($M5303="PADD III","PADD 3",IF($M5303="PADD IV","PADD 4",IF($M5303="PADD V","PADD 5","")))))</f>
        <v>PADD 2</v>
      </c>
      <c r="G5303" s="6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6" t="s">
        <v>510</v>
      </c>
      <c r="I5303" s="6" t="s">
        <v>666</v>
      </c>
      <c r="J5303" s="6" t="s">
        <v>394</v>
      </c>
      <c r="K5303" s="10">
        <v>0.06</v>
      </c>
      <c r="L5303" s="10">
        <v>1.5</v>
      </c>
      <c r="M5303" s="6" t="s">
        <v>425</v>
      </c>
      <c r="N5303" s="6">
        <f>IF(OR($G5303="FCC",$G5303="Hydrocracker",$G5303="Reformer"),IF(COUNTIFS($D:$D,$D5303,$A:$A,$A5303,$B:$B,$B5303,$G:$G,"CDU",$J:$J,"PLANNED")&gt;0,"tied","standalone"),"")</f>
        <v/>
      </c>
    </row>
    <row r="5304" spans="1:14">
      <c r="A5304" s="6">
        <v>2025</v>
      </c>
      <c r="B5304" s="6">
        <v>3</v>
      </c>
      <c r="C5304" s="6" t="s">
        <v>62</v>
      </c>
      <c r="D5304" s="6" t="s">
        <v>375</v>
      </c>
      <c r="E5304" s="6" t="s">
        <v>435</v>
      </c>
      <c r="F5304" s="6" t="str">
        <f>IF($M5304="PADD I","PADD 1",IF($M5304="PADD II","PADD 2",IF($M5304="PADD III","PADD 3",IF($M5304="PADD IV","PADD 4",IF($M5304="PADD V","PADD 5","")))))</f>
        <v>PADD 5</v>
      </c>
      <c r="G5304" s="6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6" t="s">
        <v>39</v>
      </c>
      <c r="I5304" s="6" t="s">
        <v>94</v>
      </c>
      <c r="J5304" s="6" t="s">
        <v>394</v>
      </c>
      <c r="K5304" s="10">
        <v>155</v>
      </c>
      <c r="L5304" s="10">
        <v>155</v>
      </c>
      <c r="M5304" s="6" t="s">
        <v>436</v>
      </c>
      <c r="N5304" s="6">
        <f>IF(OR($G5304="FCC",$G5304="Hydrocracker",$G5304="Reformer"),IF(COUNTIFS($D:$D,$D5304,$A:$A,$A5304,$B:$B,$B5304,$G:$G,"CDU",$J:$J,"PLANNED")&gt;0,"tied","standalone"),"")</f>
        <v/>
      </c>
    </row>
    <row r="5305" spans="1:14">
      <c r="A5305" s="6">
        <v>2025</v>
      </c>
      <c r="B5305" s="6">
        <v>3</v>
      </c>
      <c r="C5305" s="6" t="s">
        <v>62</v>
      </c>
      <c r="D5305" s="6" t="s">
        <v>461</v>
      </c>
      <c r="E5305" s="6" t="s">
        <v>419</v>
      </c>
      <c r="F5305" s="6" t="str">
        <f>IF($M5305="PADD I","PADD 1",IF($M5305="PADD II","PADD 2",IF($M5305="PADD III","PADD 3",IF($M5305="PADD IV","PADD 4",IF($M5305="PADD V","PADD 5","")))))</f>
        <v>PADD 1</v>
      </c>
      <c r="G5305" s="6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6" t="s">
        <v>39</v>
      </c>
      <c r="I5305" s="6" t="s">
        <v>579</v>
      </c>
      <c r="J5305" s="6" t="s">
        <v>398</v>
      </c>
      <c r="K5305" s="10">
        <v>129.5</v>
      </c>
      <c r="L5305" s="10">
        <v>129.5</v>
      </c>
      <c r="M5305" s="6" t="s">
        <v>463</v>
      </c>
      <c r="N5305" s="6">
        <f>IF(OR($G5305="FCC",$G5305="Hydrocracker",$G5305="Reformer"),IF(COUNTIFS($D:$D,$D5305,$A:$A,$A5305,$B:$B,$B5305,$G:$G,"CDU",$J:$J,"PLANNED")&gt;0,"tied","standalone"),"")</f>
        <v/>
      </c>
    </row>
    <row r="5306" spans="1:14">
      <c r="A5306" s="6">
        <v>2025</v>
      </c>
      <c r="B5306" s="6">
        <v>3</v>
      </c>
      <c r="C5306" s="6" t="s">
        <v>62</v>
      </c>
      <c r="D5306" s="6" t="s">
        <v>461</v>
      </c>
      <c r="E5306" s="6" t="s">
        <v>419</v>
      </c>
      <c r="F5306" s="6" t="str">
        <f>IF($M5306="PADD I","PADD 1",IF($M5306="PADD II","PADD 2",IF($M5306="PADD III","PADD 3",IF($M5306="PADD IV","PADD 4",IF($M5306="PADD V","PADD 5","")))))</f>
        <v>PADD 1</v>
      </c>
      <c r="G5306" s="6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6" t="s">
        <v>39</v>
      </c>
      <c r="I5306" s="6" t="s">
        <v>462</v>
      </c>
      <c r="J5306" s="6" t="s">
        <v>398</v>
      </c>
      <c r="K5306" s="10">
        <v>129</v>
      </c>
      <c r="L5306" s="10">
        <v>129</v>
      </c>
      <c r="M5306" s="6" t="s">
        <v>463</v>
      </c>
      <c r="N5306" s="6">
        <f>IF(OR($G5306="FCC",$G5306="Hydrocracker",$G5306="Reformer"),IF(COUNTIFS($D:$D,$D5306,$A:$A,$A5306,$B:$B,$B5306,$G:$G,"CDU",$J:$J,"PLANNED")&gt;0,"tied","standalone"),"")</f>
        <v/>
      </c>
    </row>
    <row r="5307" spans="1:14">
      <c r="A5307" s="6">
        <v>2025</v>
      </c>
      <c r="B5307" s="6">
        <v>3</v>
      </c>
      <c r="C5307" s="6" t="s">
        <v>62</v>
      </c>
      <c r="D5307" s="6" t="s">
        <v>371</v>
      </c>
      <c r="E5307" s="6" t="s">
        <v>419</v>
      </c>
      <c r="F5307" s="6" t="str">
        <f>IF($M5307="PADD I","PADD 1",IF($M5307="PADD II","PADD 2",IF($M5307="PADD III","PADD 3",IF($M5307="PADD IV","PADD 4",IF($M5307="PADD V","PADD 5","")))))</f>
        <v>PADD 2</v>
      </c>
      <c r="G5307" s="6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6" t="s">
        <v>39</v>
      </c>
      <c r="I5307" s="6" t="s">
        <v>1343</v>
      </c>
      <c r="J5307" s="6" t="s">
        <v>398</v>
      </c>
      <c r="K5307" s="10">
        <v>98.59999999999999</v>
      </c>
      <c r="L5307" s="10">
        <v>170</v>
      </c>
      <c r="M5307" s="6" t="s">
        <v>425</v>
      </c>
      <c r="N5307" s="6">
        <f>IF(OR($G5307="FCC",$G5307="Hydrocracker",$G5307="Reformer"),IF(COUNTIFS($D:$D,$D5307,$A:$A,$A5307,$B:$B,$B5307,$G:$G,"CDU",$J:$J,"PLANNED")&gt;0,"tied","standalone"),"")</f>
        <v/>
      </c>
    </row>
    <row r="5308" spans="1:14">
      <c r="A5308" s="6">
        <v>2025</v>
      </c>
      <c r="B5308" s="6">
        <v>3</v>
      </c>
      <c r="C5308" s="6" t="s">
        <v>62</v>
      </c>
      <c r="D5308" s="6" t="s">
        <v>375</v>
      </c>
      <c r="E5308" s="6" t="s">
        <v>435</v>
      </c>
      <c r="F5308" s="6" t="str">
        <f>IF($M5308="PADD I","PADD 1",IF($M5308="PADD II","PADD 2",IF($M5308="PADD III","PADD 3",IF($M5308="PADD IV","PADD 4",IF($M5308="PADD V","PADD 5","")))))</f>
        <v>PADD 5</v>
      </c>
      <c r="G5308" s="6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6" t="s">
        <v>428</v>
      </c>
      <c r="I5308" s="6" t="s">
        <v>481</v>
      </c>
      <c r="J5308" s="6" t="s">
        <v>394</v>
      </c>
      <c r="K5308" s="10">
        <v>90</v>
      </c>
      <c r="L5308" s="10">
        <v>90</v>
      </c>
      <c r="M5308" s="6" t="s">
        <v>436</v>
      </c>
      <c r="N5308" s="6">
        <f>IF(OR($G5308="FCC",$G5308="Hydrocracker",$G5308="Reformer"),IF(COUNTIFS($D:$D,$D5308,$A:$A,$A5308,$B:$B,$B5308,$G:$G,"CDU",$J:$J,"PLANNED")&gt;0,"tied","standalone"),"")</f>
        <v/>
      </c>
    </row>
    <row r="5309" spans="1:14">
      <c r="A5309" s="6">
        <v>2025</v>
      </c>
      <c r="B5309" s="6">
        <v>3</v>
      </c>
      <c r="C5309" s="6" t="s">
        <v>62</v>
      </c>
      <c r="D5309" s="6" t="s">
        <v>581</v>
      </c>
      <c r="E5309" s="6" t="s">
        <v>582</v>
      </c>
      <c r="F5309" s="6" t="str">
        <f>IF($M5309="PADD I","PADD 1",IF($M5309="PADD II","PADD 2",IF($M5309="PADD III","PADD 3",IF($M5309="PADD IV","PADD 4",IF($M5309="PADD V","PADD 5","")))))</f>
        <v>PADD 5</v>
      </c>
      <c r="G5309" s="6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6" t="s">
        <v>39</v>
      </c>
      <c r="I5309" s="6" t="s">
        <v>82</v>
      </c>
      <c r="J5309" s="6" t="s">
        <v>394</v>
      </c>
      <c r="K5309" s="10">
        <v>89.90000000000001</v>
      </c>
      <c r="L5309" s="10">
        <v>155</v>
      </c>
      <c r="M5309" s="6" t="s">
        <v>436</v>
      </c>
      <c r="N5309" s="6">
        <f>IF(OR($G5309="FCC",$G5309="Hydrocracker",$G5309="Reformer"),IF(COUNTIFS($D:$D,$D5309,$A:$A,$A5309,$B:$B,$B5309,$G:$G,"CDU",$J:$J,"PLANNED")&gt;0,"tied","standalone"),"")</f>
        <v/>
      </c>
    </row>
    <row r="5310" spans="1:14">
      <c r="A5310" s="6">
        <v>2025</v>
      </c>
      <c r="B5310" s="6">
        <v>3</v>
      </c>
      <c r="C5310" s="6" t="s">
        <v>62</v>
      </c>
      <c r="D5310" s="6" t="s">
        <v>540</v>
      </c>
      <c r="E5310" s="6" t="s">
        <v>541</v>
      </c>
      <c r="F5310" s="6" t="str">
        <f>IF($M5310="PADD I","PADD 1",IF($M5310="PADD II","PADD 2",IF($M5310="PADD III","PADD 3",IF($M5310="PADD IV","PADD 4",IF($M5310="PADD V","PADD 5","")))))</f>
        <v>PADD 3</v>
      </c>
      <c r="G5310" s="6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6" t="s">
        <v>426</v>
      </c>
      <c r="I5310" s="6" t="s">
        <v>522</v>
      </c>
      <c r="J5310" s="6" t="s">
        <v>398</v>
      </c>
      <c r="K5310" s="10">
        <v>81</v>
      </c>
      <c r="L5310" s="10">
        <v>81</v>
      </c>
      <c r="M5310" s="6" t="s">
        <v>421</v>
      </c>
      <c r="N5310" s="6" t="str">
        <f>IF(OR($G5310="FCC",$G5310="Hydrocracker",$G5310="Reformer"),IF(COUNTIFS($D:$D,$D5310,$A:$A,$A5310,$B:$B,$B5310,$G:$G,"CDU",$J:$J,"PLANNED")&gt;0,"tied","standalone"),"")</f>
        <v>standalone</v>
      </c>
    </row>
    <row r="5311" spans="1:14">
      <c r="A5311" s="6">
        <v>2025</v>
      </c>
      <c r="B5311" s="6">
        <v>3</v>
      </c>
      <c r="C5311" s="6" t="s">
        <v>62</v>
      </c>
      <c r="D5311" s="6" t="s">
        <v>581</v>
      </c>
      <c r="E5311" s="6" t="s">
        <v>582</v>
      </c>
      <c r="F5311" s="6" t="str">
        <f>IF($M5311="PADD I","PADD 1",IF($M5311="PADD II","PADD 2",IF($M5311="PADD III","PADD 3",IF($M5311="PADD IV","PADD 4",IF($M5311="PADD V","PADD 5","")))))</f>
        <v>PADD 5</v>
      </c>
      <c r="G5311" s="6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6" t="s">
        <v>39</v>
      </c>
      <c r="I5311" s="6" t="s">
        <v>82</v>
      </c>
      <c r="J5311" s="6" t="s">
        <v>394</v>
      </c>
      <c r="K5311" s="10">
        <v>79.776</v>
      </c>
      <c r="L5311" s="10">
        <v>166.2</v>
      </c>
      <c r="M5311" s="6" t="s">
        <v>436</v>
      </c>
      <c r="N5311" s="6">
        <f>IF(OR($G5311="FCC",$G5311="Hydrocracker",$G5311="Reformer"),IF(COUNTIFS($D:$D,$D5311,$A:$A,$A5311,$B:$B,$B5311,$G:$G,"CDU",$J:$J,"PLANNED")&gt;0,"tied","standalone"),"")</f>
        <v/>
      </c>
    </row>
    <row r="5312" spans="1:14">
      <c r="A5312" s="6">
        <v>2025</v>
      </c>
      <c r="B5312" s="6">
        <v>3</v>
      </c>
      <c r="C5312" s="6" t="s">
        <v>62</v>
      </c>
      <c r="D5312" s="6" t="s">
        <v>696</v>
      </c>
      <c r="E5312" s="6" t="s">
        <v>455</v>
      </c>
      <c r="F5312" s="6" t="str">
        <f>IF($M5312="PADD I","PADD 1",IF($M5312="PADD II","PADD 2",IF($M5312="PADD III","PADD 3",IF($M5312="PADD IV","PADD 4",IF($M5312="PADD V","PADD 5","")))))</f>
        <v>PADD 3</v>
      </c>
      <c r="G5312" s="6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6" t="s">
        <v>39</v>
      </c>
      <c r="I5312" s="6" t="s">
        <v>127</v>
      </c>
      <c r="J5312" s="6" t="s">
        <v>394</v>
      </c>
      <c r="K5312" s="10">
        <v>78.12</v>
      </c>
      <c r="L5312" s="10">
        <v>93</v>
      </c>
      <c r="M5312" s="6" t="s">
        <v>421</v>
      </c>
      <c r="N5312" s="6">
        <f>IF(OR($G5312="FCC",$G5312="Hydrocracker",$G5312="Reformer"),IF(COUNTIFS($D:$D,$D5312,$A:$A,$A5312,$B:$B,$B5312,$G:$G,"CDU",$J:$J,"PLANNED")&gt;0,"tied","standalone"),"")</f>
        <v/>
      </c>
    </row>
    <row r="5313" spans="1:14">
      <c r="A5313" s="6">
        <v>2025</v>
      </c>
      <c r="B5313" s="6">
        <v>3</v>
      </c>
      <c r="C5313" s="6" t="s">
        <v>62</v>
      </c>
      <c r="D5313" s="6" t="s">
        <v>375</v>
      </c>
      <c r="E5313" s="6" t="s">
        <v>435</v>
      </c>
      <c r="F5313" s="6" t="str">
        <f>IF($M5313="PADD I","PADD 1",IF($M5313="PADD II","PADD 2",IF($M5313="PADD III","PADD 3",IF($M5313="PADD IV","PADD 4",IF($M5313="PADD V","PADD 5","")))))</f>
        <v>PADD 5</v>
      </c>
      <c r="G5313" s="6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6" t="s">
        <v>44</v>
      </c>
      <c r="I5313" s="6" t="s">
        <v>1335</v>
      </c>
      <c r="J5313" s="6" t="s">
        <v>394</v>
      </c>
      <c r="K5313" s="10">
        <v>77.5</v>
      </c>
      <c r="L5313" s="10">
        <v>77.5</v>
      </c>
      <c r="M5313" s="6" t="s">
        <v>436</v>
      </c>
      <c r="N5313" s="6">
        <f>IF(OR($G5313="FCC",$G5313="Hydrocracker",$G5313="Reformer"),IF(COUNTIFS($D:$D,$D5313,$A:$A,$A5313,$B:$B,$B5313,$G:$G,"CDU",$J:$J,"PLANNED")&gt;0,"tied","standalone"),"")</f>
        <v/>
      </c>
    </row>
    <row r="5314" spans="1:14">
      <c r="A5314" s="6">
        <v>2025</v>
      </c>
      <c r="B5314" s="6">
        <v>3</v>
      </c>
      <c r="C5314" s="6" t="s">
        <v>62</v>
      </c>
      <c r="D5314" s="6" t="s">
        <v>461</v>
      </c>
      <c r="E5314" s="6" t="s">
        <v>419</v>
      </c>
      <c r="F5314" s="6" t="str">
        <f>IF($M5314="PADD I","PADD 1",IF($M5314="PADD II","PADD 2",IF($M5314="PADD III","PADD 3",IF($M5314="PADD IV","PADD 4",IF($M5314="PADD V","PADD 5","")))))</f>
        <v>PADD 1</v>
      </c>
      <c r="G5314" s="6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6" t="s">
        <v>428</v>
      </c>
      <c r="I5314" s="6" t="s">
        <v>481</v>
      </c>
      <c r="J5314" s="6" t="s">
        <v>398</v>
      </c>
      <c r="K5314" s="10">
        <v>75</v>
      </c>
      <c r="L5314" s="10">
        <v>75</v>
      </c>
      <c r="M5314" s="6" t="s">
        <v>463</v>
      </c>
      <c r="N5314" s="6">
        <f>IF(OR($G5314="FCC",$G5314="Hydrocracker",$G5314="Reformer"),IF(COUNTIFS($D:$D,$D5314,$A:$A,$A5314,$B:$B,$B5314,$G:$G,"CDU",$J:$J,"PLANNED")&gt;0,"tied","standalone"),"")</f>
        <v/>
      </c>
    </row>
    <row r="5315" spans="1:14">
      <c r="A5315" s="6">
        <v>2025</v>
      </c>
      <c r="B5315" s="6">
        <v>3</v>
      </c>
      <c r="C5315" s="6" t="s">
        <v>62</v>
      </c>
      <c r="D5315" s="6" t="s">
        <v>660</v>
      </c>
      <c r="E5315" s="6" t="s">
        <v>661</v>
      </c>
      <c r="F5315" s="6" t="str">
        <f>IF($M5315="PADD I","PADD 1",IF($M5315="PADD II","PADD 2",IF($M5315="PADD III","PADD 3",IF($M5315="PADD IV","PADD 4",IF($M5315="PADD V","PADD 5","")))))</f>
        <v>PADD 2</v>
      </c>
      <c r="G5315" s="6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6" t="s">
        <v>39</v>
      </c>
      <c r="I5315" s="6" t="s">
        <v>424</v>
      </c>
      <c r="J5315" s="6" t="s">
        <v>398</v>
      </c>
      <c r="K5315" s="10">
        <v>75</v>
      </c>
      <c r="L5315" s="10">
        <v>75</v>
      </c>
      <c r="M5315" s="6" t="s">
        <v>425</v>
      </c>
      <c r="N5315" s="6">
        <f>IF(OR($G5315="FCC",$G5315="Hydrocracker",$G5315="Reformer"),IF(COUNTIFS($D:$D,$D5315,$A:$A,$A5315,$B:$B,$B5315,$G:$G,"CDU",$J:$J,"PLANNED")&gt;0,"tied","standalone"),"")</f>
        <v/>
      </c>
    </row>
    <row r="5316" spans="1:14">
      <c r="A5316" s="6">
        <v>2025</v>
      </c>
      <c r="B5316" s="6">
        <v>3</v>
      </c>
      <c r="C5316" s="6" t="s">
        <v>62</v>
      </c>
      <c r="D5316" s="6" t="s">
        <v>792</v>
      </c>
      <c r="E5316" s="6" t="s">
        <v>438</v>
      </c>
      <c r="F5316" s="6" t="str">
        <f>IF($M5316="PADD I","PADD 1",IF($M5316="PADD II","PADD 2",IF($M5316="PADD III","PADD 3",IF($M5316="PADD IV","PADD 4",IF($M5316="PADD V","PADD 5","")))))</f>
        <v>PADD 5</v>
      </c>
      <c r="G5316" s="6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6" t="s">
        <v>39</v>
      </c>
      <c r="I5316" s="6" t="s">
        <v>82</v>
      </c>
      <c r="J5316" s="6" t="s">
        <v>398</v>
      </c>
      <c r="K5316" s="10">
        <v>62.4</v>
      </c>
      <c r="L5316" s="10">
        <v>120</v>
      </c>
      <c r="M5316" s="6" t="s">
        <v>436</v>
      </c>
      <c r="N5316" s="6">
        <f>IF(OR($G5316="FCC",$G5316="Hydrocracker",$G5316="Reformer"),IF(COUNTIFS($D:$D,$D5316,$A:$A,$A5316,$B:$B,$B5316,$G:$G,"CDU",$J:$J,"PLANNED")&gt;0,"tied","standalone"),"")</f>
        <v/>
      </c>
    </row>
    <row r="5317" spans="1:14">
      <c r="A5317" s="6">
        <v>2025</v>
      </c>
      <c r="B5317" s="6">
        <v>3</v>
      </c>
      <c r="C5317" s="6" t="s">
        <v>62</v>
      </c>
      <c r="D5317" s="6" t="s">
        <v>581</v>
      </c>
      <c r="E5317" s="6" t="s">
        <v>582</v>
      </c>
      <c r="F5317" s="6" t="str">
        <f>IF($M5317="PADD I","PADD 1",IF($M5317="PADD II","PADD 2",IF($M5317="PADD III","PADD 3",IF($M5317="PADD IV","PADD 4",IF($M5317="PADD V","PADD 5","")))))</f>
        <v>PADD 5</v>
      </c>
      <c r="G5317" s="6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6" t="s">
        <v>426</v>
      </c>
      <c r="I5317" s="6" t="s">
        <v>106</v>
      </c>
      <c r="J5317" s="6" t="s">
        <v>394</v>
      </c>
      <c r="K5317" s="10">
        <v>61</v>
      </c>
      <c r="L5317" s="10">
        <v>100</v>
      </c>
      <c r="M5317" s="6" t="s">
        <v>436</v>
      </c>
      <c r="N5317" s="6" t="str">
        <f>IF(OR($G5317="FCC",$G5317="Hydrocracker",$G5317="Reformer"),IF(COUNTIFS($D:$D,$D5317,$A:$A,$A5317,$B:$B,$B5317,$G:$G,"CDU",$J:$J,"PLANNED")&gt;0,"tied","standalone"),"")</f>
        <v>standalone</v>
      </c>
    </row>
    <row r="5318" spans="1:14">
      <c r="A5318" s="6">
        <v>2025</v>
      </c>
      <c r="B5318" s="6">
        <v>3</v>
      </c>
      <c r="C5318" s="6" t="s">
        <v>62</v>
      </c>
      <c r="D5318" s="6" t="s">
        <v>505</v>
      </c>
      <c r="E5318" s="6" t="s">
        <v>455</v>
      </c>
      <c r="F5318" s="6" t="str">
        <f>IF($M5318="PADD I","PADD 1",IF($M5318="PADD II","PADD 2",IF($M5318="PADD III","PADD 3",IF($M5318="PADD IV","PADD 4",IF($M5318="PADD V","PADD 5","")))))</f>
        <v>PADD 3</v>
      </c>
      <c r="G5318" s="6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6" t="s">
        <v>426</v>
      </c>
      <c r="I5318" s="6" t="s">
        <v>106</v>
      </c>
      <c r="J5318" s="6" t="s">
        <v>394</v>
      </c>
      <c r="K5318" s="10">
        <v>61</v>
      </c>
      <c r="L5318" s="10">
        <v>100</v>
      </c>
      <c r="M5318" s="6" t="s">
        <v>421</v>
      </c>
      <c r="N5318" s="6" t="str">
        <f>IF(OR($G5318="FCC",$G5318="Hydrocracker",$G5318="Reformer"),IF(COUNTIFS($D:$D,$D5318,$A:$A,$A5318,$B:$B,$B5318,$G:$G,"CDU",$J:$J,"PLANNED")&gt;0,"tied","standalone"),"")</f>
        <v>standalone</v>
      </c>
    </row>
    <row r="5319" spans="1:14">
      <c r="A5319" s="6">
        <v>2025</v>
      </c>
      <c r="B5319" s="6">
        <v>3</v>
      </c>
      <c r="C5319" s="6" t="s">
        <v>62</v>
      </c>
      <c r="D5319" s="6" t="s">
        <v>581</v>
      </c>
      <c r="E5319" s="6" t="s">
        <v>582</v>
      </c>
      <c r="F5319" s="6" t="str">
        <f>IF($M5319="PADD I","PADD 1",IF($M5319="PADD II","PADD 2",IF($M5319="PADD III","PADD 3",IF($M5319="PADD IV","PADD 4",IF($M5319="PADD V","PADD 5","")))))</f>
        <v>PADD 5</v>
      </c>
      <c r="G5319" s="6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6" t="s">
        <v>44</v>
      </c>
      <c r="I5319" s="6" t="s">
        <v>617</v>
      </c>
      <c r="J5319" s="6" t="s">
        <v>394</v>
      </c>
      <c r="K5319" s="10">
        <v>60.9</v>
      </c>
      <c r="L5319" s="10">
        <v>105</v>
      </c>
      <c r="M5319" s="6" t="s">
        <v>436</v>
      </c>
      <c r="N5319" s="6">
        <f>IF(OR($G5319="FCC",$G5319="Hydrocracker",$G5319="Reformer"),IF(COUNTIFS($D:$D,$D5319,$A:$A,$A5319,$B:$B,$B5319,$G:$G,"CDU",$J:$J,"PLANNED")&gt;0,"tied","standalone"),"")</f>
        <v/>
      </c>
    </row>
    <row r="5320" spans="1:14">
      <c r="A5320" s="6">
        <v>2025</v>
      </c>
      <c r="B5320" s="6">
        <v>3</v>
      </c>
      <c r="C5320" s="6" t="s">
        <v>62</v>
      </c>
      <c r="D5320" s="6" t="s">
        <v>660</v>
      </c>
      <c r="E5320" s="6" t="s">
        <v>661</v>
      </c>
      <c r="F5320" s="6" t="str">
        <f>IF($M5320="PADD I","PADD 1",IF($M5320="PADD II","PADD 2",IF($M5320="PADD III","PADD 3",IF($M5320="PADD IV","PADD 4",IF($M5320="PADD V","PADD 5","")))))</f>
        <v>PADD 2</v>
      </c>
      <c r="G5320" s="6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6" t="s">
        <v>39</v>
      </c>
      <c r="I5320" s="6" t="s">
        <v>381</v>
      </c>
      <c r="J5320" s="6" t="s">
        <v>398</v>
      </c>
      <c r="K5320" s="10">
        <v>60</v>
      </c>
      <c r="L5320" s="10">
        <v>60</v>
      </c>
      <c r="M5320" s="6" t="s">
        <v>425</v>
      </c>
      <c r="N5320" s="6">
        <f>IF(OR($G5320="FCC",$G5320="Hydrocracker",$G5320="Reformer"),IF(COUNTIFS($D:$D,$D5320,$A:$A,$A5320,$B:$B,$B5320,$G:$G,"CDU",$J:$J,"PLANNED")&gt;0,"tied","standalone"),"")</f>
        <v/>
      </c>
    </row>
    <row r="5321" spans="1:14">
      <c r="A5321" s="6">
        <v>2025</v>
      </c>
      <c r="B5321" s="6">
        <v>3</v>
      </c>
      <c r="C5321" s="6" t="s">
        <v>62</v>
      </c>
      <c r="D5321" s="6" t="s">
        <v>461</v>
      </c>
      <c r="E5321" s="6" t="s">
        <v>419</v>
      </c>
      <c r="F5321" s="6" t="str">
        <f>IF($M5321="PADD I","PADD 1",IF($M5321="PADD II","PADD 2",IF($M5321="PADD III","PADD 3",IF($M5321="PADD IV","PADD 4",IF($M5321="PADD V","PADD 5","")))))</f>
        <v>PADD 1</v>
      </c>
      <c r="G5321" s="6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6" t="s">
        <v>44</v>
      </c>
      <c r="I5321" s="6" t="s">
        <v>508</v>
      </c>
      <c r="J5321" s="6" t="s">
        <v>394</v>
      </c>
      <c r="K5321" s="10">
        <v>58.5</v>
      </c>
      <c r="L5321" s="10">
        <v>58.5</v>
      </c>
      <c r="M5321" s="6" t="s">
        <v>463</v>
      </c>
      <c r="N5321" s="6">
        <f>IF(OR($G5321="FCC",$G5321="Hydrocracker",$G5321="Reformer"),IF(COUNTIFS($D:$D,$D5321,$A:$A,$A5321,$B:$B,$B5321,$G:$G,"CDU",$J:$J,"PLANNED")&gt;0,"tied","standalone"),"")</f>
        <v/>
      </c>
    </row>
    <row r="5322" spans="1:14">
      <c r="A5322" s="6">
        <v>2025</v>
      </c>
      <c r="B5322" s="6">
        <v>3</v>
      </c>
      <c r="C5322" s="6" t="s">
        <v>62</v>
      </c>
      <c r="D5322" s="6" t="s">
        <v>581</v>
      </c>
      <c r="E5322" s="6" t="s">
        <v>582</v>
      </c>
      <c r="F5322" s="6" t="str">
        <f>IF($M5322="PADD I","PADD 1",IF($M5322="PADD II","PADD 2",IF($M5322="PADD III","PADD 3",IF($M5322="PADD IV","PADD 4",IF($M5322="PADD V","PADD 5","")))))</f>
        <v>PADD 5</v>
      </c>
      <c r="G5322" s="6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6" t="s">
        <v>428</v>
      </c>
      <c r="I5322" s="6" t="s">
        <v>429</v>
      </c>
      <c r="J5322" s="6" t="s">
        <v>394</v>
      </c>
      <c r="K5322" s="10">
        <v>56.84</v>
      </c>
      <c r="L5322" s="10">
        <v>98</v>
      </c>
      <c r="M5322" s="6" t="s">
        <v>436</v>
      </c>
      <c r="N5322" s="6">
        <f>IF(OR($G5322="FCC",$G5322="Hydrocracker",$G5322="Reformer"),IF(COUNTIFS($D:$D,$D5322,$A:$A,$A5322,$B:$B,$B5322,$G:$G,"CDU",$J:$J,"PLANNED")&gt;0,"tied","standalone"),"")</f>
        <v/>
      </c>
    </row>
    <row r="5323" spans="1:14">
      <c r="A5323" s="6">
        <v>2025</v>
      </c>
      <c r="B5323" s="6">
        <v>3</v>
      </c>
      <c r="C5323" s="6" t="s">
        <v>62</v>
      </c>
      <c r="D5323" s="6" t="s">
        <v>501</v>
      </c>
      <c r="E5323" s="6" t="s">
        <v>502</v>
      </c>
      <c r="F5323" s="6" t="str">
        <f>IF($M5323="PADD I","PADD 1",IF($M5323="PADD II","PADD 2",IF($M5323="PADD III","PADD 3",IF($M5323="PADD IV","PADD 4",IF($M5323="PADD V","PADD 5","")))))</f>
        <v>PADD 2</v>
      </c>
      <c r="G5323" s="6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6" t="s">
        <v>428</v>
      </c>
      <c r="I5323" s="6" t="s">
        <v>481</v>
      </c>
      <c r="J5323" s="6" t="s">
        <v>398</v>
      </c>
      <c r="K5323" s="10">
        <v>56</v>
      </c>
      <c r="L5323" s="10">
        <v>56</v>
      </c>
      <c r="M5323" s="6" t="s">
        <v>425</v>
      </c>
      <c r="N5323" s="6">
        <f>IF(OR($G5323="FCC",$G5323="Hydrocracker",$G5323="Reformer"),IF(COUNTIFS($D:$D,$D5323,$A:$A,$A5323,$B:$B,$B5323,$G:$G,"CDU",$J:$J,"PLANNED")&gt;0,"tied","standalone"),"")</f>
        <v/>
      </c>
    </row>
    <row r="5324" spans="1:14">
      <c r="A5324" s="6">
        <v>2025</v>
      </c>
      <c r="B5324" s="6">
        <v>3</v>
      </c>
      <c r="C5324" s="6" t="s">
        <v>62</v>
      </c>
      <c r="D5324" s="6" t="s">
        <v>1264</v>
      </c>
      <c r="E5324" s="6" t="s">
        <v>1265</v>
      </c>
      <c r="F5324" s="6" t="str">
        <f>IF($M5324="PADD I","PADD 1",IF($M5324="PADD II","PADD 2",IF($M5324="PADD III","PADD 3",IF($M5324="PADD IV","PADD 4",IF($M5324="PADD V","PADD 5","")))))</f>
        <v>PADD 1</v>
      </c>
      <c r="G5324" s="6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6" t="s">
        <v>39</v>
      </c>
      <c r="I5324" s="6" t="s">
        <v>132</v>
      </c>
      <c r="J5324" s="6" t="s">
        <v>394</v>
      </c>
      <c r="K5324" s="10">
        <v>56</v>
      </c>
      <c r="L5324" s="10">
        <v>56</v>
      </c>
      <c r="M5324" s="6" t="s">
        <v>463</v>
      </c>
      <c r="N5324" s="6">
        <f>IF(OR($G5324="FCC",$G5324="Hydrocracker",$G5324="Reformer"),IF(COUNTIFS($D:$D,$D5324,$A:$A,$A5324,$B:$B,$B5324,$G:$G,"CDU",$J:$J,"PLANNED")&gt;0,"tied","standalone"),"")</f>
        <v/>
      </c>
    </row>
    <row r="5325" spans="1:14">
      <c r="A5325" s="6">
        <v>2025</v>
      </c>
      <c r="B5325" s="6">
        <v>3</v>
      </c>
      <c r="C5325" s="6" t="s">
        <v>62</v>
      </c>
      <c r="D5325" s="6" t="s">
        <v>726</v>
      </c>
      <c r="E5325" s="6" t="s">
        <v>727</v>
      </c>
      <c r="F5325" s="6" t="str">
        <f>IF($M5325="PADD I","PADD 1",IF($M5325="PADD II","PADD 2",IF($M5325="PADD III","PADD 3",IF($M5325="PADD IV","PADD 4",IF($M5325="PADD V","PADD 5","")))))</f>
        <v>PADD 1</v>
      </c>
      <c r="G5325" s="6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6" t="s">
        <v>39</v>
      </c>
      <c r="I5325" s="6" t="s">
        <v>728</v>
      </c>
      <c r="J5325" s="6" t="s">
        <v>394</v>
      </c>
      <c r="K5325" s="10">
        <v>56</v>
      </c>
      <c r="L5325" s="10">
        <v>56</v>
      </c>
      <c r="M5325" s="6" t="s">
        <v>463</v>
      </c>
      <c r="N5325" s="6">
        <f>IF(OR($G5325="FCC",$G5325="Hydrocracker",$G5325="Reformer"),IF(COUNTIFS($D:$D,$D5325,$A:$A,$A5325,$B:$B,$B5325,$G:$G,"CDU",$J:$J,"PLANNED")&gt;0,"tied","standalone"),"")</f>
        <v/>
      </c>
    </row>
    <row r="5326" spans="1:14">
      <c r="A5326" s="6">
        <v>2025</v>
      </c>
      <c r="B5326" s="6">
        <v>3</v>
      </c>
      <c r="C5326" s="6" t="s">
        <v>62</v>
      </c>
      <c r="D5326" s="6" t="s">
        <v>726</v>
      </c>
      <c r="E5326" s="6" t="s">
        <v>727</v>
      </c>
      <c r="F5326" s="6" t="str">
        <f>IF($M5326="PADD I","PADD 1",IF($M5326="PADD II","PADD 2",IF($M5326="PADD III","PADD 3",IF($M5326="PADD IV","PADD 4",IF($M5326="PADD V","PADD 5","")))))</f>
        <v>PADD 1</v>
      </c>
      <c r="G5326" s="6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6" t="s">
        <v>39</v>
      </c>
      <c r="I5326" s="6" t="s">
        <v>1316</v>
      </c>
      <c r="J5326" s="6" t="s">
        <v>394</v>
      </c>
      <c r="K5326" s="10">
        <v>55</v>
      </c>
      <c r="L5326" s="10">
        <v>55</v>
      </c>
      <c r="M5326" s="6" t="s">
        <v>463</v>
      </c>
      <c r="N5326" s="6">
        <f>IF(OR($G5326="FCC",$G5326="Hydrocracker",$G5326="Reformer"),IF(COUNTIFS($D:$D,$D5326,$A:$A,$A5326,$B:$B,$B5326,$G:$G,"CDU",$J:$J,"PLANNED")&gt;0,"tied","standalone"),"")</f>
        <v/>
      </c>
    </row>
    <row r="5327" spans="1:14">
      <c r="A5327" s="6">
        <v>2025</v>
      </c>
      <c r="B5327" s="6">
        <v>3</v>
      </c>
      <c r="C5327" s="6" t="s">
        <v>62</v>
      </c>
      <c r="D5327" s="6" t="s">
        <v>375</v>
      </c>
      <c r="E5327" s="6" t="s">
        <v>435</v>
      </c>
      <c r="F5327" s="6" t="str">
        <f>IF($M5327="PADD I","PADD 1",IF($M5327="PADD II","PADD 2",IF($M5327="PADD III","PADD 3",IF($M5327="PADD IV","PADD 4",IF($M5327="PADD V","PADD 5","")))))</f>
        <v>PADD 5</v>
      </c>
      <c r="G5327" s="6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6" t="s">
        <v>44</v>
      </c>
      <c r="I5327" s="6" t="s">
        <v>1224</v>
      </c>
      <c r="J5327" s="6" t="s">
        <v>394</v>
      </c>
      <c r="K5327" s="10">
        <v>50.2</v>
      </c>
      <c r="L5327" s="10">
        <v>50.2</v>
      </c>
      <c r="M5327" s="6" t="s">
        <v>436</v>
      </c>
      <c r="N5327" s="6">
        <f>IF(OR($G5327="FCC",$G5327="Hydrocracker",$G5327="Reformer"),IF(COUNTIFS($D:$D,$D5327,$A:$A,$A5327,$B:$B,$B5327,$G:$G,"CDU",$J:$J,"PLANNED")&gt;0,"tied","standalone"),"")</f>
        <v/>
      </c>
    </row>
    <row r="5328" spans="1:14">
      <c r="A5328" s="6">
        <v>2025</v>
      </c>
      <c r="B5328" s="6">
        <v>3</v>
      </c>
      <c r="C5328" s="6" t="s">
        <v>62</v>
      </c>
      <c r="D5328" s="6" t="s">
        <v>540</v>
      </c>
      <c r="E5328" s="6" t="s">
        <v>541</v>
      </c>
      <c r="F5328" s="6" t="str">
        <f>IF($M5328="PADD I","PADD 1",IF($M5328="PADD II","PADD 2",IF($M5328="PADD III","PADD 3",IF($M5328="PADD IV","PADD 4",IF($M5328="PADD V","PADD 5","")))))</f>
        <v>PADD 3</v>
      </c>
      <c r="G5328" s="6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6" t="s">
        <v>44</v>
      </c>
      <c r="I5328" s="6" t="s">
        <v>897</v>
      </c>
      <c r="J5328" s="6" t="s">
        <v>398</v>
      </c>
      <c r="K5328" s="10">
        <v>50</v>
      </c>
      <c r="L5328" s="10">
        <v>50</v>
      </c>
      <c r="M5328" s="6" t="s">
        <v>421</v>
      </c>
      <c r="N5328" s="6">
        <f>IF(OR($G5328="FCC",$G5328="Hydrocracker",$G5328="Reformer"),IF(COUNTIFS($D:$D,$D5328,$A:$A,$A5328,$B:$B,$B5328,$G:$G,"CDU",$J:$J,"PLANNED")&gt;0,"tied","standalone"),"")</f>
        <v/>
      </c>
    </row>
    <row r="5329" spans="1:14">
      <c r="A5329" s="6">
        <v>2025</v>
      </c>
      <c r="B5329" s="6">
        <v>3</v>
      </c>
      <c r="C5329" s="6" t="s">
        <v>62</v>
      </c>
      <c r="D5329" s="6" t="s">
        <v>652</v>
      </c>
      <c r="E5329" s="6" t="s">
        <v>419</v>
      </c>
      <c r="F5329" s="6" t="str">
        <f>IF($M5329="PADD I","PADD 1",IF($M5329="PADD II","PADD 2",IF($M5329="PADD III","PADD 3",IF($M5329="PADD IV","PADD 4",IF($M5329="PADD V","PADD 5","")))))</f>
        <v>PADD 2</v>
      </c>
      <c r="G5329" s="6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6" t="s">
        <v>39</v>
      </c>
      <c r="I5329" s="6" t="s">
        <v>1285</v>
      </c>
      <c r="J5329" s="6" t="s">
        <v>398</v>
      </c>
      <c r="K5329" s="10">
        <v>49.7</v>
      </c>
      <c r="L5329" s="10">
        <v>70</v>
      </c>
      <c r="M5329" s="6" t="s">
        <v>425</v>
      </c>
      <c r="N5329" s="6">
        <f>IF(OR($G5329="FCC",$G5329="Hydrocracker",$G5329="Reformer"),IF(COUNTIFS($D:$D,$D5329,$A:$A,$A5329,$B:$B,$B5329,$G:$G,"CDU",$J:$J,"PLANNED")&gt;0,"tied","standalone"),"")</f>
        <v/>
      </c>
    </row>
    <row r="5330" spans="1:14">
      <c r="A5330" s="6">
        <v>2025</v>
      </c>
      <c r="B5330" s="6">
        <v>3</v>
      </c>
      <c r="C5330" s="6" t="s">
        <v>62</v>
      </c>
      <c r="D5330" s="6" t="s">
        <v>395</v>
      </c>
      <c r="E5330" s="6" t="s">
        <v>433</v>
      </c>
      <c r="F5330" s="6" t="str">
        <f>IF($M5330="PADD I","PADD 1",IF($M5330="PADD II","PADD 2",IF($M5330="PADD III","PADD 3",IF($M5330="PADD IV","PADD 4",IF($M5330="PADD V","PADD 5","")))))</f>
        <v>PADD 2</v>
      </c>
      <c r="G5330" s="6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6" t="s">
        <v>39</v>
      </c>
      <c r="I5330" s="6" t="s">
        <v>1108</v>
      </c>
      <c r="J5330" s="6" t="s">
        <v>398</v>
      </c>
      <c r="K5330" s="10">
        <v>49.7</v>
      </c>
      <c r="L5330" s="10">
        <v>70</v>
      </c>
      <c r="M5330" s="6" t="s">
        <v>425</v>
      </c>
      <c r="N5330" s="6">
        <f>IF(OR($G5330="FCC",$G5330="Hydrocracker",$G5330="Reformer"),IF(COUNTIFS($D:$D,$D5330,$A:$A,$A5330,$B:$B,$B5330,$G:$G,"CDU",$J:$J,"PLANNED")&gt;0,"tied","standalone"),"")</f>
        <v/>
      </c>
    </row>
    <row r="5331" spans="1:14">
      <c r="A5331" s="6">
        <v>2025</v>
      </c>
      <c r="B5331" s="6">
        <v>3</v>
      </c>
      <c r="C5331" s="6" t="s">
        <v>62</v>
      </c>
      <c r="D5331" s="6" t="s">
        <v>368</v>
      </c>
      <c r="E5331" s="6" t="s">
        <v>715</v>
      </c>
      <c r="F5331" s="6" t="str">
        <f>IF($M5331="PADD I","PADD 1",IF($M5331="PADD II","PADD 2",IF($M5331="PADD III","PADD 3",IF($M5331="PADD IV","PADD 4",IF($M5331="PADD V","PADD 5","")))))</f>
        <v>PADD 3</v>
      </c>
      <c r="G5331" s="6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6" t="s">
        <v>494</v>
      </c>
      <c r="I5331" s="6" t="s">
        <v>14</v>
      </c>
      <c r="J5331" s="6" t="s">
        <v>394</v>
      </c>
      <c r="K5331" s="10">
        <v>42.68</v>
      </c>
      <c r="L5331" s="10">
        <v>44</v>
      </c>
      <c r="M5331" s="6" t="s">
        <v>421</v>
      </c>
      <c r="N5331" s="6" t="str">
        <f>IF(OR($G5331="FCC",$G5331="Hydrocracker",$G5331="Reformer"),IF(COUNTIFS($D:$D,$D5331,$A:$A,$A5331,$B:$B,$B5331,$G:$G,"CDU",$J:$J,"PLANNED")&gt;0,"tied","standalone"),"")</f>
        <v>standalone</v>
      </c>
    </row>
    <row r="5332" spans="1:14">
      <c r="A5332" s="6">
        <v>2025</v>
      </c>
      <c r="B5332" s="6">
        <v>3</v>
      </c>
      <c r="C5332" s="6" t="s">
        <v>62</v>
      </c>
      <c r="D5332" s="6" t="s">
        <v>626</v>
      </c>
      <c r="E5332" s="6" t="s">
        <v>419</v>
      </c>
      <c r="F5332" s="6" t="str">
        <f>IF($M5332="PADD I","PADD 1",IF($M5332="PADD II","PADD 2",IF($M5332="PADD III","PADD 3",IF($M5332="PADD IV","PADD 4",IF($M5332="PADD V","PADD 5","")))))</f>
        <v>PADD 3</v>
      </c>
      <c r="G5332" s="6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6" t="s">
        <v>39</v>
      </c>
      <c r="I5332" s="6" t="s">
        <v>381</v>
      </c>
      <c r="J5332" s="6" t="s">
        <v>394</v>
      </c>
      <c r="K5332" s="10">
        <v>42.25</v>
      </c>
      <c r="L5332" s="10">
        <v>65</v>
      </c>
      <c r="M5332" s="6" t="s">
        <v>421</v>
      </c>
      <c r="N5332" s="6">
        <f>IF(OR($G5332="FCC",$G5332="Hydrocracker",$G5332="Reformer"),IF(COUNTIFS($D:$D,$D5332,$A:$A,$A5332,$B:$B,$B5332,$G:$G,"CDU",$J:$J,"PLANNED")&gt;0,"tied","standalone"),"")</f>
        <v/>
      </c>
    </row>
    <row r="5333" spans="1:14">
      <c r="A5333" s="6">
        <v>2025</v>
      </c>
      <c r="B5333" s="6">
        <v>3</v>
      </c>
      <c r="C5333" s="6" t="s">
        <v>62</v>
      </c>
      <c r="D5333" s="6" t="s">
        <v>375</v>
      </c>
      <c r="E5333" s="6" t="s">
        <v>435</v>
      </c>
      <c r="F5333" s="6" t="str">
        <f>IF($M5333="PADD I","PADD 1",IF($M5333="PADD II","PADD 2",IF($M5333="PADD III","PADD 3",IF($M5333="PADD IV","PADD 4",IF($M5333="PADD V","PADD 5","")))))</f>
        <v>PADD 5</v>
      </c>
      <c r="G5333" s="6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6" t="s">
        <v>494</v>
      </c>
      <c r="I5333" s="6" t="s">
        <v>548</v>
      </c>
      <c r="J5333" s="6" t="s">
        <v>394</v>
      </c>
      <c r="K5333" s="10">
        <v>42</v>
      </c>
      <c r="L5333" s="10">
        <v>42</v>
      </c>
      <c r="M5333" s="6" t="s">
        <v>436</v>
      </c>
      <c r="N5333" s="6" t="str">
        <f>IF(OR($G5333="FCC",$G5333="Hydrocracker",$G5333="Reformer"),IF(COUNTIFS($D:$D,$D5333,$A:$A,$A5333,$B:$B,$B5333,$G:$G,"CDU",$J:$J,"PLANNED")&gt;0,"tied","standalone"),"")</f>
        <v>standalone</v>
      </c>
    </row>
    <row r="5334" spans="1:14">
      <c r="A5334" s="6">
        <v>2025</v>
      </c>
      <c r="B5334" s="6">
        <v>3</v>
      </c>
      <c r="C5334" s="6" t="s">
        <v>62</v>
      </c>
      <c r="D5334" s="6" t="s">
        <v>375</v>
      </c>
      <c r="E5334" s="6" t="s">
        <v>435</v>
      </c>
      <c r="F5334" s="6" t="str">
        <f>IF($M5334="PADD I","PADD 1",IF($M5334="PADD II","PADD 2",IF($M5334="PADD III","PADD 3",IF($M5334="PADD IV","PADD 4",IF($M5334="PADD V","PADD 5","")))))</f>
        <v>PADD 5</v>
      </c>
      <c r="G5334" s="6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6" t="s">
        <v>494</v>
      </c>
      <c r="I5334" s="6" t="s">
        <v>548</v>
      </c>
      <c r="J5334" s="6" t="s">
        <v>394</v>
      </c>
      <c r="K5334" s="10">
        <v>42</v>
      </c>
      <c r="L5334" s="10">
        <v>42</v>
      </c>
      <c r="M5334" s="6" t="s">
        <v>436</v>
      </c>
      <c r="N5334" s="6" t="str">
        <f>IF(OR($G5334="FCC",$G5334="Hydrocracker",$G5334="Reformer"),IF(COUNTIFS($D:$D,$D5334,$A:$A,$A5334,$B:$B,$B5334,$G:$G,"CDU",$J:$J,"PLANNED")&gt;0,"tied","standalone"),"")</f>
        <v>standalone</v>
      </c>
    </row>
    <row r="5335" spans="1:14">
      <c r="A5335" s="6">
        <v>2025</v>
      </c>
      <c r="B5335" s="6">
        <v>3</v>
      </c>
      <c r="C5335" s="6" t="s">
        <v>62</v>
      </c>
      <c r="D5335" s="6" t="s">
        <v>1278</v>
      </c>
      <c r="E5335" s="6" t="s">
        <v>661</v>
      </c>
      <c r="F5335" s="6" t="str">
        <f>IF($M5335="PADD I","PADD 1",IF($M5335="PADD II","PADD 2",IF($M5335="PADD III","PADD 3",IF($M5335="PADD IV","PADD 4",IF($M5335="PADD V","PADD 5","")))))</f>
        <v>PADD 2</v>
      </c>
      <c r="G5335" s="6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6" t="s">
        <v>44</v>
      </c>
      <c r="I5335" s="6" t="s">
        <v>551</v>
      </c>
      <c r="J5335" s="6" t="s">
        <v>394</v>
      </c>
      <c r="K5335" s="10">
        <v>37.5</v>
      </c>
      <c r="L5335" s="10">
        <v>37.5</v>
      </c>
      <c r="M5335" s="6" t="s">
        <v>425</v>
      </c>
      <c r="N5335" s="6">
        <f>IF(OR($G5335="FCC",$G5335="Hydrocracker",$G5335="Reformer"),IF(COUNTIFS($D:$D,$D5335,$A:$A,$A5335,$B:$B,$B5335,$G:$G,"CDU",$J:$J,"PLANNED")&gt;0,"tied","standalone"),"")</f>
        <v/>
      </c>
    </row>
    <row r="5336" spans="1:14">
      <c r="A5336" s="6">
        <v>2025</v>
      </c>
      <c r="B5336" s="6">
        <v>3</v>
      </c>
      <c r="C5336" s="6" t="s">
        <v>62</v>
      </c>
      <c r="D5336" s="6" t="s">
        <v>626</v>
      </c>
      <c r="E5336" s="6" t="s">
        <v>419</v>
      </c>
      <c r="F5336" s="6" t="str">
        <f>IF($M5336="PADD I","PADD 1",IF($M5336="PADD II","PADD 2",IF($M5336="PADD III","PADD 3",IF($M5336="PADD IV","PADD 4",IF($M5336="PADD V","PADD 5","")))))</f>
        <v>PADD 3</v>
      </c>
      <c r="G5336" s="6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6" t="s">
        <v>428</v>
      </c>
      <c r="I5336" s="6" t="s">
        <v>1014</v>
      </c>
      <c r="J5336" s="6" t="s">
        <v>394</v>
      </c>
      <c r="K5336" s="10">
        <v>34.515</v>
      </c>
      <c r="L5336" s="10">
        <v>53.1</v>
      </c>
      <c r="M5336" s="6" t="s">
        <v>421</v>
      </c>
      <c r="N5336" s="6">
        <f>IF(OR($G5336="FCC",$G5336="Hydrocracker",$G5336="Reformer"),IF(COUNTIFS($D:$D,$D5336,$A:$A,$A5336,$B:$B,$B5336,$G:$G,"CDU",$J:$J,"PLANNED")&gt;0,"tied","standalone"),"")</f>
        <v/>
      </c>
    </row>
    <row r="5337" spans="1:14">
      <c r="A5337" s="6">
        <v>2025</v>
      </c>
      <c r="B5337" s="6">
        <v>3</v>
      </c>
      <c r="C5337" s="6" t="s">
        <v>62</v>
      </c>
      <c r="D5337" s="6" t="s">
        <v>518</v>
      </c>
      <c r="E5337" s="6" t="s">
        <v>419</v>
      </c>
      <c r="F5337" s="6" t="str">
        <f>IF($M5337="PADD I","PADD 1",IF($M5337="PADD II","PADD 2",IF($M5337="PADD III","PADD 3",IF($M5337="PADD IV","PADD 4",IF($M5337="PADD V","PADD 5","")))))</f>
        <v>PADD 3</v>
      </c>
      <c r="G5337" s="6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6" t="s">
        <v>44</v>
      </c>
      <c r="I5337" s="6" t="s">
        <v>1078</v>
      </c>
      <c r="J5337" s="6" t="s">
        <v>398</v>
      </c>
      <c r="K5337" s="10">
        <v>34</v>
      </c>
      <c r="L5337" s="10">
        <v>34</v>
      </c>
      <c r="M5337" s="6" t="s">
        <v>421</v>
      </c>
      <c r="N5337" s="6">
        <f>IF(OR($G5337="FCC",$G5337="Hydrocracker",$G5337="Reformer"),IF(COUNTIFS($D:$D,$D5337,$A:$A,$A5337,$B:$B,$B5337,$G:$G,"CDU",$J:$J,"PLANNED")&gt;0,"tied","standalone"),"")</f>
        <v/>
      </c>
    </row>
    <row r="5338" spans="1:14">
      <c r="A5338" s="6">
        <v>2025</v>
      </c>
      <c r="B5338" s="6">
        <v>3</v>
      </c>
      <c r="C5338" s="6" t="s">
        <v>62</v>
      </c>
      <c r="D5338" s="6" t="s">
        <v>540</v>
      </c>
      <c r="E5338" s="6" t="s">
        <v>541</v>
      </c>
      <c r="F5338" s="6" t="str">
        <f>IF($M5338="PADD I","PADD 1",IF($M5338="PADD II","PADD 2",IF($M5338="PADD III","PADD 3",IF($M5338="PADD IV","PADD 4",IF($M5338="PADD V","PADD 5","")))))</f>
        <v>PADD 3</v>
      </c>
      <c r="G5338" s="6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6" t="s">
        <v>485</v>
      </c>
      <c r="I5338" s="6" t="s">
        <v>737</v>
      </c>
      <c r="J5338" s="6" t="s">
        <v>398</v>
      </c>
      <c r="K5338" s="10">
        <v>32.94</v>
      </c>
      <c r="L5338" s="10">
        <v>54</v>
      </c>
      <c r="M5338" s="6" t="s">
        <v>421</v>
      </c>
      <c r="N5338" s="6">
        <f>IF(OR($G5338="FCC",$G5338="Hydrocracker",$G5338="Reformer"),IF(COUNTIFS($D:$D,$D5338,$A:$A,$A5338,$B:$B,$B5338,$G:$G,"CDU",$J:$J,"PLANNED")&gt;0,"tied","standalone"),"")</f>
        <v/>
      </c>
    </row>
    <row r="5339" spans="1:14">
      <c r="A5339" s="6">
        <v>2025</v>
      </c>
      <c r="B5339" s="6">
        <v>3</v>
      </c>
      <c r="C5339" s="6" t="s">
        <v>62</v>
      </c>
      <c r="D5339" s="6" t="s">
        <v>660</v>
      </c>
      <c r="E5339" s="6" t="s">
        <v>661</v>
      </c>
      <c r="F5339" s="6" t="str">
        <f>IF($M5339="PADD I","PADD 1",IF($M5339="PADD II","PADD 2",IF($M5339="PADD III","PADD 3",IF($M5339="PADD IV","PADD 4",IF($M5339="PADD V","PADD 5","")))))</f>
        <v>PADD 2</v>
      </c>
      <c r="G5339" s="6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6" t="s">
        <v>426</v>
      </c>
      <c r="I5339" s="6" t="s">
        <v>106</v>
      </c>
      <c r="J5339" s="6" t="s">
        <v>398</v>
      </c>
      <c r="K5339" s="10">
        <v>32</v>
      </c>
      <c r="L5339" s="10">
        <v>32</v>
      </c>
      <c r="M5339" s="6" t="s">
        <v>425</v>
      </c>
      <c r="N5339" s="6" t="str">
        <f>IF(OR($G5339="FCC",$G5339="Hydrocracker",$G5339="Reformer"),IF(COUNTIFS($D:$D,$D5339,$A:$A,$A5339,$B:$B,$B5339,$G:$G,"CDU",$J:$J,"PLANNED")&gt;0,"tied","standalone"),"")</f>
        <v>tied</v>
      </c>
    </row>
    <row r="5340" spans="1:14">
      <c r="A5340" s="6">
        <v>2025</v>
      </c>
      <c r="B5340" s="6">
        <v>3</v>
      </c>
      <c r="C5340" s="6" t="s">
        <v>62</v>
      </c>
      <c r="D5340" s="6" t="s">
        <v>726</v>
      </c>
      <c r="E5340" s="6" t="s">
        <v>727</v>
      </c>
      <c r="F5340" s="6" t="str">
        <f>IF($M5340="PADD I","PADD 1",IF($M5340="PADD II","PADD 2",IF($M5340="PADD III","PADD 3",IF($M5340="PADD IV","PADD 4",IF($M5340="PADD V","PADD 5","")))))</f>
        <v>PADD 1</v>
      </c>
      <c r="G5340" s="6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6" t="s">
        <v>428</v>
      </c>
      <c r="I5340" s="6" t="s">
        <v>1312</v>
      </c>
      <c r="J5340" s="6" t="s">
        <v>394</v>
      </c>
      <c r="K5340" s="10">
        <v>31</v>
      </c>
      <c r="L5340" s="10">
        <v>31</v>
      </c>
      <c r="M5340" s="6" t="s">
        <v>463</v>
      </c>
      <c r="N5340" s="6">
        <f>IF(OR($G5340="FCC",$G5340="Hydrocracker",$G5340="Reformer"),IF(COUNTIFS($D:$D,$D5340,$A:$A,$A5340,$B:$B,$B5340,$G:$G,"CDU",$J:$J,"PLANNED")&gt;0,"tied","standalone"),"")</f>
        <v/>
      </c>
    </row>
    <row r="5341" spans="1:14">
      <c r="A5341" s="6">
        <v>2025</v>
      </c>
      <c r="B5341" s="6">
        <v>3</v>
      </c>
      <c r="C5341" s="6" t="s">
        <v>62</v>
      </c>
      <c r="D5341" s="6" t="s">
        <v>375</v>
      </c>
      <c r="E5341" s="6" t="s">
        <v>435</v>
      </c>
      <c r="F5341" s="6" t="str">
        <f>IF($M5341="PADD I","PADD 1",IF($M5341="PADD II","PADD 2",IF($M5341="PADD III","PADD 3",IF($M5341="PADD IV","PADD 4",IF($M5341="PADD V","PADD 5","")))))</f>
        <v>PADD 5</v>
      </c>
      <c r="G5341" s="6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6" t="s">
        <v>471</v>
      </c>
      <c r="I5341" s="6" t="s">
        <v>15</v>
      </c>
      <c r="J5341" s="6" t="s">
        <v>394</v>
      </c>
      <c r="K5341" s="10">
        <v>31</v>
      </c>
      <c r="L5341" s="10">
        <v>31</v>
      </c>
      <c r="M5341" s="6" t="s">
        <v>436</v>
      </c>
      <c r="N5341" s="6" t="str">
        <f>IF(OR($G5341="FCC",$G5341="Hydrocracker",$G5341="Reformer"),IF(COUNTIFS($D:$D,$D5341,$A:$A,$A5341,$B:$B,$B5341,$G:$G,"CDU",$J:$J,"PLANNED")&gt;0,"tied","standalone"),"")</f>
        <v>standalone</v>
      </c>
    </row>
    <row r="5342" spans="1:14">
      <c r="A5342" s="6">
        <v>2025</v>
      </c>
      <c r="B5342" s="6">
        <v>3</v>
      </c>
      <c r="C5342" s="6" t="s">
        <v>62</v>
      </c>
      <c r="D5342" s="6" t="s">
        <v>501</v>
      </c>
      <c r="E5342" s="6" t="s">
        <v>502</v>
      </c>
      <c r="F5342" s="6" t="str">
        <f>IF($M5342="PADD I","PADD 1",IF($M5342="PADD II","PADD 2",IF($M5342="PADD III","PADD 3",IF($M5342="PADD IV","PADD 4",IF($M5342="PADD V","PADD 5","")))))</f>
        <v>PADD 2</v>
      </c>
      <c r="G5342" s="6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6" t="s">
        <v>39</v>
      </c>
      <c r="I5342" s="6" t="s">
        <v>531</v>
      </c>
      <c r="J5342" s="6" t="s">
        <v>398</v>
      </c>
      <c r="K5342" s="10">
        <v>30.8</v>
      </c>
      <c r="L5342" s="10">
        <v>40</v>
      </c>
      <c r="M5342" s="6" t="s">
        <v>425</v>
      </c>
      <c r="N5342" s="6">
        <f>IF(OR($G5342="FCC",$G5342="Hydrocracker",$G5342="Reformer"),IF(COUNTIFS($D:$D,$D5342,$A:$A,$A5342,$B:$B,$B5342,$G:$G,"CDU",$J:$J,"PLANNED")&gt;0,"tied","standalone"),"")</f>
        <v/>
      </c>
    </row>
    <row r="5343" spans="1:14">
      <c r="A5343" s="6">
        <v>2025</v>
      </c>
      <c r="B5343" s="6">
        <v>3</v>
      </c>
      <c r="C5343" s="6" t="s">
        <v>62</v>
      </c>
      <c r="D5343" s="6" t="s">
        <v>660</v>
      </c>
      <c r="E5343" s="6" t="s">
        <v>661</v>
      </c>
      <c r="F5343" s="6" t="str">
        <f>IF($M5343="PADD I","PADD 1",IF($M5343="PADD II","PADD 2",IF($M5343="PADD III","PADD 3",IF($M5343="PADD IV","PADD 4",IF($M5343="PADD V","PADD 5","")))))</f>
        <v>PADD 2</v>
      </c>
      <c r="G5343" s="6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6" t="s">
        <v>44</v>
      </c>
      <c r="I5343" s="6" t="s">
        <v>672</v>
      </c>
      <c r="J5343" s="6" t="s">
        <v>398</v>
      </c>
      <c r="K5343" s="10">
        <v>30</v>
      </c>
      <c r="L5343" s="10">
        <v>30</v>
      </c>
      <c r="M5343" s="6" t="s">
        <v>425</v>
      </c>
      <c r="N5343" s="6">
        <f>IF(OR($G5343="FCC",$G5343="Hydrocracker",$G5343="Reformer"),IF(COUNTIFS($D:$D,$D5343,$A:$A,$A5343,$B:$B,$B5343,$G:$G,"CDU",$J:$J,"PLANNED")&gt;0,"tied","standalone"),"")</f>
        <v/>
      </c>
    </row>
    <row r="5344" spans="1:14">
      <c r="A5344" s="6">
        <v>2025</v>
      </c>
      <c r="B5344" s="6">
        <v>3</v>
      </c>
      <c r="C5344" s="6" t="s">
        <v>62</v>
      </c>
      <c r="D5344" s="6" t="s">
        <v>384</v>
      </c>
      <c r="E5344" s="6" t="s">
        <v>419</v>
      </c>
      <c r="F5344" s="6" t="str">
        <f>IF($M5344="PADD I","PADD 1",IF($M5344="PADD II","PADD 2",IF($M5344="PADD III","PADD 3",IF($M5344="PADD IV","PADD 4",IF($M5344="PADD V","PADD 5","")))))</f>
        <v>PADD 3</v>
      </c>
      <c r="G5344" s="6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6" t="s">
        <v>426</v>
      </c>
      <c r="I5344" s="6" t="s">
        <v>522</v>
      </c>
      <c r="J5344" s="6" t="s">
        <v>394</v>
      </c>
      <c r="K5344" s="10">
        <v>30</v>
      </c>
      <c r="L5344" s="10">
        <v>30</v>
      </c>
      <c r="M5344" s="6" t="s">
        <v>421</v>
      </c>
      <c r="N5344" s="6" t="str">
        <f>IF(OR($G5344="FCC",$G5344="Hydrocracker",$G5344="Reformer"),IF(COUNTIFS($D:$D,$D5344,$A:$A,$A5344,$B:$B,$B5344,$G:$G,"CDU",$J:$J,"PLANNED")&gt;0,"tied","standalone"),"")</f>
        <v>standalone</v>
      </c>
    </row>
    <row r="5345" spans="1:14">
      <c r="A5345" s="6">
        <v>2025</v>
      </c>
      <c r="B5345" s="6">
        <v>3</v>
      </c>
      <c r="C5345" s="6" t="s">
        <v>62</v>
      </c>
      <c r="D5345" s="6" t="s">
        <v>540</v>
      </c>
      <c r="E5345" s="6" t="s">
        <v>541</v>
      </c>
      <c r="F5345" s="6" t="str">
        <f>IF($M5345="PADD I","PADD 1",IF($M5345="PADD II","PADD 2",IF($M5345="PADD III","PADD 3",IF($M5345="PADD IV","PADD 4",IF($M5345="PADD V","PADD 5","")))))</f>
        <v>PADD 3</v>
      </c>
      <c r="G5345" s="6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6" t="s">
        <v>471</v>
      </c>
      <c r="I5345" s="6" t="s">
        <v>1000</v>
      </c>
      <c r="J5345" s="6" t="s">
        <v>398</v>
      </c>
      <c r="K5345" s="10">
        <v>29.89</v>
      </c>
      <c r="L5345" s="10">
        <v>49</v>
      </c>
      <c r="M5345" s="6" t="s">
        <v>421</v>
      </c>
      <c r="N5345" s="6" t="str">
        <f>IF(OR($G5345="FCC",$G5345="Hydrocracker",$G5345="Reformer"),IF(COUNTIFS($D:$D,$D5345,$A:$A,$A5345,$B:$B,$B5345,$G:$G,"CDU",$J:$J,"PLANNED")&gt;0,"tied","standalone"),"")</f>
        <v>standalone</v>
      </c>
    </row>
    <row r="5346" spans="1:14">
      <c r="A5346" s="6">
        <v>2025</v>
      </c>
      <c r="B5346" s="6">
        <v>3</v>
      </c>
      <c r="C5346" s="6" t="s">
        <v>62</v>
      </c>
      <c r="D5346" s="6" t="s">
        <v>437</v>
      </c>
      <c r="E5346" s="6" t="s">
        <v>438</v>
      </c>
      <c r="F5346" s="6" t="str">
        <f>IF($M5346="PADD I","PADD 1",IF($M5346="PADD II","PADD 2",IF($M5346="PADD III","PADD 3",IF($M5346="PADD IV","PADD 4",IF($M5346="PADD V","PADD 5","")))))</f>
        <v>PADD 3</v>
      </c>
      <c r="G5346" s="6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6" t="s">
        <v>39</v>
      </c>
      <c r="I5346" s="6" t="s">
        <v>1262</v>
      </c>
      <c r="J5346" s="6" t="s">
        <v>398</v>
      </c>
      <c r="K5346" s="10">
        <v>29</v>
      </c>
      <c r="L5346" s="10">
        <v>290</v>
      </c>
      <c r="M5346" s="6" t="s">
        <v>421</v>
      </c>
      <c r="N5346" s="6">
        <f>IF(OR($G5346="FCC",$G5346="Hydrocracker",$G5346="Reformer"),IF(COUNTIFS($D:$D,$D5346,$A:$A,$A5346,$B:$B,$B5346,$G:$G,"CDU",$J:$J,"PLANNED")&gt;0,"tied","standalone"),"")</f>
        <v/>
      </c>
    </row>
    <row r="5347" spans="1:14">
      <c r="A5347" s="6">
        <v>2025</v>
      </c>
      <c r="B5347" s="6">
        <v>3</v>
      </c>
      <c r="C5347" s="6" t="s">
        <v>62</v>
      </c>
      <c r="D5347" s="6" t="s">
        <v>371</v>
      </c>
      <c r="E5347" s="6" t="s">
        <v>419</v>
      </c>
      <c r="F5347" s="6" t="str">
        <f>IF($M5347="PADD I","PADD 1",IF($M5347="PADD II","PADD 2",IF($M5347="PADD III","PADD 3",IF($M5347="PADD IV","PADD 4",IF($M5347="PADD V","PADD 5","")))))</f>
        <v>PADD 2</v>
      </c>
      <c r="G5347" s="6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6" t="s">
        <v>428</v>
      </c>
      <c r="I5347" s="6" t="s">
        <v>1344</v>
      </c>
      <c r="J5347" s="6" t="s">
        <v>398</v>
      </c>
      <c r="K5347" s="10">
        <v>29</v>
      </c>
      <c r="L5347" s="10">
        <v>50</v>
      </c>
      <c r="M5347" s="6" t="s">
        <v>425</v>
      </c>
      <c r="N5347" s="6">
        <f>IF(OR($G5347="FCC",$G5347="Hydrocracker",$G5347="Reformer"),IF(COUNTIFS($D:$D,$D5347,$A:$A,$A5347,$B:$B,$B5347,$G:$G,"CDU",$J:$J,"PLANNED")&gt;0,"tied","standalone"),"")</f>
        <v/>
      </c>
    </row>
    <row r="5348" spans="1:14">
      <c r="A5348" s="6">
        <v>2025</v>
      </c>
      <c r="B5348" s="6">
        <v>3</v>
      </c>
      <c r="C5348" s="6" t="s">
        <v>62</v>
      </c>
      <c r="D5348" s="6" t="s">
        <v>461</v>
      </c>
      <c r="E5348" s="6" t="s">
        <v>419</v>
      </c>
      <c r="F5348" s="6" t="str">
        <f>IF($M5348="PADD I","PADD 1",IF($M5348="PADD II","PADD 2",IF($M5348="PADD III","PADD 3",IF($M5348="PADD IV","PADD 4",IF($M5348="PADD V","PADD 5","")))))</f>
        <v>PADD 1</v>
      </c>
      <c r="G5348" s="6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6" t="s">
        <v>44</v>
      </c>
      <c r="I5348" s="6" t="s">
        <v>934</v>
      </c>
      <c r="J5348" s="6" t="s">
        <v>398</v>
      </c>
      <c r="K5348" s="10">
        <v>29</v>
      </c>
      <c r="L5348" s="10">
        <v>29</v>
      </c>
      <c r="M5348" s="6" t="s">
        <v>463</v>
      </c>
      <c r="N5348" s="6">
        <f>IF(OR($G5348="FCC",$G5348="Hydrocracker",$G5348="Reformer"),IF(COUNTIFS($D:$D,$D5348,$A:$A,$A5348,$B:$B,$B5348,$G:$G,"CDU",$J:$J,"PLANNED")&gt;0,"tied","standalone"),"")</f>
        <v/>
      </c>
    </row>
    <row r="5349" spans="1:14">
      <c r="A5349" s="6">
        <v>2025</v>
      </c>
      <c r="B5349" s="6">
        <v>3</v>
      </c>
      <c r="C5349" s="6" t="s">
        <v>62</v>
      </c>
      <c r="D5349" s="6" t="s">
        <v>540</v>
      </c>
      <c r="E5349" s="6" t="s">
        <v>541</v>
      </c>
      <c r="F5349" s="6" t="str">
        <f>IF($M5349="PADD I","PADD 1",IF($M5349="PADD II","PADD 2",IF($M5349="PADD III","PADD 3",IF($M5349="PADD IV","PADD 4",IF($M5349="PADD V","PADD 5","")))))</f>
        <v>PADD 3</v>
      </c>
      <c r="G5349" s="6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6" t="s">
        <v>44</v>
      </c>
      <c r="I5349" s="6" t="s">
        <v>897</v>
      </c>
      <c r="J5349" s="6" t="s">
        <v>394</v>
      </c>
      <c r="K5349" s="10">
        <v>29</v>
      </c>
      <c r="L5349" s="10">
        <v>50</v>
      </c>
      <c r="M5349" s="6" t="s">
        <v>421</v>
      </c>
      <c r="N5349" s="6">
        <f>IF(OR($G5349="FCC",$G5349="Hydrocracker",$G5349="Reformer"),IF(COUNTIFS($D:$D,$D5349,$A:$A,$A5349,$B:$B,$B5349,$G:$G,"CDU",$J:$J,"PLANNED")&gt;0,"tied","standalone"),"")</f>
        <v/>
      </c>
    </row>
    <row r="5350" spans="1:14">
      <c r="A5350" s="6">
        <v>2025</v>
      </c>
      <c r="B5350" s="6">
        <v>3</v>
      </c>
      <c r="C5350" s="6" t="s">
        <v>62</v>
      </c>
      <c r="D5350" s="6" t="s">
        <v>375</v>
      </c>
      <c r="E5350" s="6" t="s">
        <v>435</v>
      </c>
      <c r="F5350" s="6" t="str">
        <f>IF($M5350="PADD I","PADD 1",IF($M5350="PADD II","PADD 2",IF($M5350="PADD III","PADD 3",IF($M5350="PADD IV","PADD 4",IF($M5350="PADD V","PADD 5","")))))</f>
        <v>PADD 5</v>
      </c>
      <c r="G5350" s="6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6" t="s">
        <v>44</v>
      </c>
      <c r="I5350" s="6" t="s">
        <v>551</v>
      </c>
      <c r="J5350" s="6" t="s">
        <v>394</v>
      </c>
      <c r="K5350" s="10">
        <v>28</v>
      </c>
      <c r="L5350" s="10">
        <v>28</v>
      </c>
      <c r="M5350" s="6" t="s">
        <v>436</v>
      </c>
      <c r="N5350" s="6">
        <f>IF(OR($G5350="FCC",$G5350="Hydrocracker",$G5350="Reformer"),IF(COUNTIFS($D:$D,$D5350,$A:$A,$A5350,$B:$B,$B5350,$G:$G,"CDU",$J:$J,"PLANNED")&gt;0,"tied","standalone"),"")</f>
        <v/>
      </c>
    </row>
    <row r="5351" spans="1:14">
      <c r="A5351" s="6">
        <v>2025</v>
      </c>
      <c r="B5351" s="6">
        <v>3</v>
      </c>
      <c r="C5351" s="6" t="s">
        <v>62</v>
      </c>
      <c r="D5351" s="6" t="s">
        <v>440</v>
      </c>
      <c r="E5351" s="6" t="s">
        <v>441</v>
      </c>
      <c r="F5351" s="6" t="str">
        <f>IF($M5351="PADD I","PADD 1",IF($M5351="PADD II","PADD 2",IF($M5351="PADD III","PADD 3",IF($M5351="PADD IV","PADD 4",IF($M5351="PADD V","PADD 5","")))))</f>
        <v>PADD 3</v>
      </c>
      <c r="G5351" s="6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6" t="s">
        <v>39</v>
      </c>
      <c r="I5351" s="6" t="s">
        <v>1345</v>
      </c>
      <c r="J5351" s="6" t="s">
        <v>398</v>
      </c>
      <c r="K5351" s="10">
        <v>28</v>
      </c>
      <c r="L5351" s="10">
        <v>175</v>
      </c>
      <c r="M5351" s="6" t="s">
        <v>421</v>
      </c>
      <c r="N5351" s="6">
        <f>IF(OR($G5351="FCC",$G5351="Hydrocracker",$G5351="Reformer"),IF(COUNTIFS($D:$D,$D5351,$A:$A,$A5351,$B:$B,$B5351,$G:$G,"CDU",$J:$J,"PLANNED")&gt;0,"tied","standalone"),"")</f>
        <v/>
      </c>
    </row>
    <row r="5352" spans="1:14">
      <c r="A5352" s="6">
        <v>2025</v>
      </c>
      <c r="B5352" s="6">
        <v>3</v>
      </c>
      <c r="C5352" s="6" t="s">
        <v>62</v>
      </c>
      <c r="D5352" s="6" t="s">
        <v>505</v>
      </c>
      <c r="E5352" s="6" t="s">
        <v>455</v>
      </c>
      <c r="F5352" s="6" t="str">
        <f>IF($M5352="PADD I","PADD 1",IF($M5352="PADD II","PADD 2",IF($M5352="PADD III","PADD 3",IF($M5352="PADD IV","PADD 4",IF($M5352="PADD V","PADD 5","")))))</f>
        <v>PADD 3</v>
      </c>
      <c r="G5352" s="6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6" t="s">
        <v>44</v>
      </c>
      <c r="I5352" s="6" t="s">
        <v>1323</v>
      </c>
      <c r="J5352" s="6" t="s">
        <v>398</v>
      </c>
      <c r="K5352" s="10">
        <v>27</v>
      </c>
      <c r="L5352" s="10">
        <v>60</v>
      </c>
      <c r="M5352" s="6" t="s">
        <v>421</v>
      </c>
      <c r="N5352" s="6">
        <f>IF(OR($G5352="FCC",$G5352="Hydrocracker",$G5352="Reformer"),IF(COUNTIFS($D:$D,$D5352,$A:$A,$A5352,$B:$B,$B5352,$G:$G,"CDU",$J:$J,"PLANNED")&gt;0,"tied","standalone"),"")</f>
        <v/>
      </c>
    </row>
    <row r="5353" spans="1:14">
      <c r="A5353" s="6">
        <v>2025</v>
      </c>
      <c r="B5353" s="6">
        <v>3</v>
      </c>
      <c r="C5353" s="6" t="s">
        <v>62</v>
      </c>
      <c r="D5353" s="6" t="s">
        <v>1278</v>
      </c>
      <c r="E5353" s="6" t="s">
        <v>661</v>
      </c>
      <c r="F5353" s="6" t="str">
        <f>IF($M5353="PADD I","PADD 1",IF($M5353="PADD II","PADD 2",IF($M5353="PADD III","PADD 3",IF($M5353="PADD IV","PADD 4",IF($M5353="PADD V","PADD 5","")))))</f>
        <v>PADD 2</v>
      </c>
      <c r="G5353" s="6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6" t="s">
        <v>471</v>
      </c>
      <c r="I5353" s="6" t="s">
        <v>15</v>
      </c>
      <c r="J5353" s="6" t="s">
        <v>394</v>
      </c>
      <c r="K5353" s="10">
        <v>26.5</v>
      </c>
      <c r="L5353" s="10">
        <v>26.5</v>
      </c>
      <c r="M5353" s="6" t="s">
        <v>425</v>
      </c>
      <c r="N5353" s="6" t="str">
        <f>IF(OR($G5353="FCC",$G5353="Hydrocracker",$G5353="Reformer"),IF(COUNTIFS($D:$D,$D5353,$A:$A,$A5353,$B:$B,$B5353,$G:$G,"CDU",$J:$J,"PLANNED")&gt;0,"tied","standalone"),"")</f>
        <v>standalone</v>
      </c>
    </row>
    <row r="5354" spans="1:14">
      <c r="A5354" s="6">
        <v>2025</v>
      </c>
      <c r="B5354" s="6">
        <v>3</v>
      </c>
      <c r="C5354" s="6" t="s">
        <v>62</v>
      </c>
      <c r="D5354" s="6" t="s">
        <v>581</v>
      </c>
      <c r="E5354" s="6" t="s">
        <v>582</v>
      </c>
      <c r="F5354" s="6" t="str">
        <f>IF($M5354="PADD I","PADD 1",IF($M5354="PADD II","PADD 2",IF($M5354="PADD III","PADD 3",IF($M5354="PADD IV","PADD 4",IF($M5354="PADD V","PADD 5","")))))</f>
        <v>PADD 5</v>
      </c>
      <c r="G5354" s="6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6" t="s">
        <v>471</v>
      </c>
      <c r="I5354" s="6" t="s">
        <v>607</v>
      </c>
      <c r="J5354" s="6" t="s">
        <v>394</v>
      </c>
      <c r="K5354" s="10">
        <v>26.1</v>
      </c>
      <c r="L5354" s="10">
        <v>45</v>
      </c>
      <c r="M5354" s="6" t="s">
        <v>436</v>
      </c>
      <c r="N5354" s="6" t="str">
        <f>IF(OR($G5354="FCC",$G5354="Hydrocracker",$G5354="Reformer"),IF(COUNTIFS($D:$D,$D5354,$A:$A,$A5354,$B:$B,$B5354,$G:$G,"CDU",$J:$J,"PLANNED")&gt;0,"tied","standalone"),"")</f>
        <v>standalone</v>
      </c>
    </row>
    <row r="5355" spans="1:14">
      <c r="A5355" s="6">
        <v>2025</v>
      </c>
      <c r="B5355" s="6">
        <v>3</v>
      </c>
      <c r="C5355" s="6" t="s">
        <v>62</v>
      </c>
      <c r="D5355" s="6" t="s">
        <v>518</v>
      </c>
      <c r="E5355" s="6" t="s">
        <v>419</v>
      </c>
      <c r="F5355" s="6" t="str">
        <f>IF($M5355="PADD I","PADD 1",IF($M5355="PADD II","PADD 2",IF($M5355="PADD III","PADD 3",IF($M5355="PADD IV","PADD 4",IF($M5355="PADD V","PADD 5","")))))</f>
        <v>PADD 3</v>
      </c>
      <c r="G5355" s="6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6" t="s">
        <v>426</v>
      </c>
      <c r="I5355" s="6" t="s">
        <v>519</v>
      </c>
      <c r="J5355" s="6" t="s">
        <v>398</v>
      </c>
      <c r="K5355" s="10">
        <v>26.1</v>
      </c>
      <c r="L5355" s="10">
        <v>30</v>
      </c>
      <c r="M5355" s="6" t="s">
        <v>421</v>
      </c>
      <c r="N5355" s="6" t="str">
        <f>IF(OR($G5355="FCC",$G5355="Hydrocracker",$G5355="Reformer"),IF(COUNTIFS($D:$D,$D5355,$A:$A,$A5355,$B:$B,$B5355,$G:$G,"CDU",$J:$J,"PLANNED")&gt;0,"tied","standalone"),"")</f>
        <v>standalone</v>
      </c>
    </row>
    <row r="5356" spans="1:14">
      <c r="A5356" s="6">
        <v>2025</v>
      </c>
      <c r="B5356" s="6">
        <v>3</v>
      </c>
      <c r="C5356" s="6" t="s">
        <v>62</v>
      </c>
      <c r="D5356" s="6" t="s">
        <v>370</v>
      </c>
      <c r="E5356" s="6" t="s">
        <v>431</v>
      </c>
      <c r="F5356" s="6" t="str">
        <f>IF($M5356="PADD I","PADD 1",IF($M5356="PADD II","PADD 2",IF($M5356="PADD III","PADD 3",IF($M5356="PADD IV","PADD 4",IF($M5356="PADD V","PADD 5","")))))</f>
        <v>PADD 2</v>
      </c>
      <c r="G5356" s="6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6" t="s">
        <v>39</v>
      </c>
      <c r="I5356" s="6" t="s">
        <v>82</v>
      </c>
      <c r="J5356" s="6" t="s">
        <v>398</v>
      </c>
      <c r="K5356" s="10">
        <v>26.1</v>
      </c>
      <c r="L5356" s="10">
        <v>90</v>
      </c>
      <c r="M5356" s="6" t="s">
        <v>425</v>
      </c>
      <c r="N5356" s="6">
        <f>IF(OR($G5356="FCC",$G5356="Hydrocracker",$G5356="Reformer"),IF(COUNTIFS($D:$D,$D5356,$A:$A,$A5356,$B:$B,$B5356,$G:$G,"CDU",$J:$J,"PLANNED")&gt;0,"tied","standalone"),"")</f>
        <v/>
      </c>
    </row>
    <row r="5357" spans="1:14">
      <c r="A5357" s="6">
        <v>2025</v>
      </c>
      <c r="B5357" s="6">
        <v>3</v>
      </c>
      <c r="C5357" s="6" t="s">
        <v>62</v>
      </c>
      <c r="D5357" s="6" t="s">
        <v>461</v>
      </c>
      <c r="E5357" s="6" t="s">
        <v>419</v>
      </c>
      <c r="F5357" s="6" t="str">
        <f>IF($M5357="PADD I","PADD 1",IF($M5357="PADD II","PADD 2",IF($M5357="PADD III","PADD 3",IF($M5357="PADD IV","PADD 4",IF($M5357="PADD V","PADD 5","")))))</f>
        <v>PADD 1</v>
      </c>
      <c r="G5357" s="6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6" t="s">
        <v>471</v>
      </c>
      <c r="I5357" s="6" t="s">
        <v>936</v>
      </c>
      <c r="J5357" s="6" t="s">
        <v>398</v>
      </c>
      <c r="K5357" s="10">
        <v>26</v>
      </c>
      <c r="L5357" s="10">
        <v>26</v>
      </c>
      <c r="M5357" s="6" t="s">
        <v>463</v>
      </c>
      <c r="N5357" s="6" t="str">
        <f>IF(OR($G5357="FCC",$G5357="Hydrocracker",$G5357="Reformer"),IF(COUNTIFS($D:$D,$D5357,$A:$A,$A5357,$B:$B,$B5357,$G:$G,"CDU",$J:$J,"PLANNED")&gt;0,"tied","standalone"),"")</f>
        <v>tied</v>
      </c>
    </row>
    <row r="5358" spans="1:14">
      <c r="A5358" s="6">
        <v>2025</v>
      </c>
      <c r="B5358" s="6">
        <v>3</v>
      </c>
      <c r="C5358" s="6" t="s">
        <v>62</v>
      </c>
      <c r="D5358" s="6" t="s">
        <v>375</v>
      </c>
      <c r="E5358" s="6" t="s">
        <v>435</v>
      </c>
      <c r="F5358" s="6" t="str">
        <f>IF($M5358="PADD I","PADD 1",IF($M5358="PADD II","PADD 2",IF($M5358="PADD III","PADD 3",IF($M5358="PADD IV","PADD 4",IF($M5358="PADD V","PADD 5","")))))</f>
        <v>PADD 5</v>
      </c>
      <c r="G5358" s="6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6" t="s">
        <v>44</v>
      </c>
      <c r="I5358" s="6" t="s">
        <v>1233</v>
      </c>
      <c r="J5358" s="6" t="s">
        <v>394</v>
      </c>
      <c r="K5358" s="10">
        <v>26</v>
      </c>
      <c r="L5358" s="10">
        <v>26</v>
      </c>
      <c r="M5358" s="6" t="s">
        <v>436</v>
      </c>
      <c r="N5358" s="6">
        <f>IF(OR($G5358="FCC",$G5358="Hydrocracker",$G5358="Reformer"),IF(COUNTIFS($D:$D,$D5358,$A:$A,$A5358,$B:$B,$B5358,$G:$G,"CDU",$J:$J,"PLANNED")&gt;0,"tied","standalone"),"")</f>
        <v/>
      </c>
    </row>
    <row r="5359" spans="1:14">
      <c r="A5359" s="6">
        <v>2025</v>
      </c>
      <c r="B5359" s="6">
        <v>3</v>
      </c>
      <c r="C5359" s="6" t="s">
        <v>62</v>
      </c>
      <c r="D5359" s="6" t="s">
        <v>720</v>
      </c>
      <c r="E5359" s="6" t="s">
        <v>455</v>
      </c>
      <c r="F5359" s="6" t="str">
        <f>IF($M5359="PADD I","PADD 1",IF($M5359="PADD II","PADD 2",IF($M5359="PADD III","PADD 3",IF($M5359="PADD IV","PADD 4",IF($M5359="PADD V","PADD 5","")))))</f>
        <v>PADD 2</v>
      </c>
      <c r="G5359" s="6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6" t="s">
        <v>471</v>
      </c>
      <c r="I5359" s="6" t="s">
        <v>240</v>
      </c>
      <c r="J5359" s="6" t="s">
        <v>398</v>
      </c>
      <c r="K5359" s="10">
        <v>25.56</v>
      </c>
      <c r="L5359" s="10">
        <v>36</v>
      </c>
      <c r="M5359" s="6" t="s">
        <v>425</v>
      </c>
      <c r="N5359" s="6" t="str">
        <f>IF(OR($G5359="FCC",$G5359="Hydrocracker",$G5359="Reformer"),IF(COUNTIFS($D:$D,$D5359,$A:$A,$A5359,$B:$B,$B5359,$G:$G,"CDU",$J:$J,"PLANNED")&gt;0,"tied","standalone"),"")</f>
        <v>standalone</v>
      </c>
    </row>
    <row r="5360" spans="1:14">
      <c r="A5360" s="6">
        <v>2025</v>
      </c>
      <c r="B5360" s="6">
        <v>3</v>
      </c>
      <c r="C5360" s="6" t="s">
        <v>62</v>
      </c>
      <c r="D5360" s="6" t="s">
        <v>382</v>
      </c>
      <c r="E5360" s="6" t="s">
        <v>431</v>
      </c>
      <c r="F5360" s="6" t="str">
        <f>IF($M5360="PADD I","PADD 1",IF($M5360="PADD II","PADD 2",IF($M5360="PADD III","PADD 3",IF($M5360="PADD IV","PADD 4",IF($M5360="PADD V","PADD 5","")))))</f>
        <v>PADD 3</v>
      </c>
      <c r="G5360" s="6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6" t="s">
        <v>485</v>
      </c>
      <c r="I5360" s="6" t="s">
        <v>491</v>
      </c>
      <c r="J5360" s="6" t="s">
        <v>398</v>
      </c>
      <c r="K5360" s="10">
        <v>25.2</v>
      </c>
      <c r="L5360" s="10">
        <v>60</v>
      </c>
      <c r="M5360" s="6" t="s">
        <v>421</v>
      </c>
      <c r="N5360" s="6">
        <f>IF(OR($G5360="FCC",$G5360="Hydrocracker",$G5360="Reformer"),IF(COUNTIFS($D:$D,$D5360,$A:$A,$A5360,$B:$B,$B5360,$G:$G,"CDU",$J:$J,"PLANNED")&gt;0,"tied","standalone"),"")</f>
        <v/>
      </c>
    </row>
    <row r="5361" spans="1:14">
      <c r="A5361" s="6">
        <v>2025</v>
      </c>
      <c r="B5361" s="6">
        <v>3</v>
      </c>
      <c r="C5361" s="6" t="s">
        <v>62</v>
      </c>
      <c r="D5361" s="6" t="s">
        <v>660</v>
      </c>
      <c r="E5361" s="6" t="s">
        <v>661</v>
      </c>
      <c r="F5361" s="6" t="str">
        <f>IF($M5361="PADD I","PADD 1",IF($M5361="PADD II","PADD 2",IF($M5361="PADD III","PADD 3",IF($M5361="PADD IV","PADD 4",IF($M5361="PADD V","PADD 5","")))))</f>
        <v>PADD 2</v>
      </c>
      <c r="G5361" s="6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6" t="s">
        <v>471</v>
      </c>
      <c r="I5361" s="6" t="s">
        <v>15</v>
      </c>
      <c r="J5361" s="6" t="s">
        <v>398</v>
      </c>
      <c r="K5361" s="10">
        <v>25</v>
      </c>
      <c r="L5361" s="10">
        <v>25</v>
      </c>
      <c r="M5361" s="6" t="s">
        <v>425</v>
      </c>
      <c r="N5361" s="6" t="str">
        <f>IF(OR($G5361="FCC",$G5361="Hydrocracker",$G5361="Reformer"),IF(COUNTIFS($D:$D,$D5361,$A:$A,$A5361,$B:$B,$B5361,$G:$G,"CDU",$J:$J,"PLANNED")&gt;0,"tied","standalone"),"")</f>
        <v>tied</v>
      </c>
    </row>
    <row r="5362" spans="1:14">
      <c r="A5362" s="6">
        <v>2025</v>
      </c>
      <c r="B5362" s="6">
        <v>3</v>
      </c>
      <c r="C5362" s="6" t="s">
        <v>62</v>
      </c>
      <c r="D5362" s="6" t="s">
        <v>660</v>
      </c>
      <c r="E5362" s="6" t="s">
        <v>661</v>
      </c>
      <c r="F5362" s="6" t="str">
        <f>IF($M5362="PADD I","PADD 1",IF($M5362="PADD II","PADD 2",IF($M5362="PADD III","PADD 3",IF($M5362="PADD IV","PADD 4",IF($M5362="PADD V","PADD 5","")))))</f>
        <v>PADD 2</v>
      </c>
      <c r="G5362" s="6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6" t="s">
        <v>44</v>
      </c>
      <c r="I5362" s="6" t="s">
        <v>674</v>
      </c>
      <c r="J5362" s="6" t="s">
        <v>398</v>
      </c>
      <c r="K5362" s="10">
        <v>25</v>
      </c>
      <c r="L5362" s="10">
        <v>25</v>
      </c>
      <c r="M5362" s="6" t="s">
        <v>425</v>
      </c>
      <c r="N5362" s="6">
        <f>IF(OR($G5362="FCC",$G5362="Hydrocracker",$G5362="Reformer"),IF(COUNTIFS($D:$D,$D5362,$A:$A,$A5362,$B:$B,$B5362,$G:$G,"CDU",$J:$J,"PLANNED")&gt;0,"tied","standalone"),"")</f>
        <v/>
      </c>
    </row>
    <row r="5363" spans="1:14">
      <c r="A5363" s="6">
        <v>2025</v>
      </c>
      <c r="B5363" s="6">
        <v>3</v>
      </c>
      <c r="C5363" s="6" t="s">
        <v>62</v>
      </c>
      <c r="D5363" s="6" t="s">
        <v>660</v>
      </c>
      <c r="E5363" s="6" t="s">
        <v>661</v>
      </c>
      <c r="F5363" s="6" t="str">
        <f>IF($M5363="PADD I","PADD 1",IF($M5363="PADD II","PADD 2",IF($M5363="PADD III","PADD 3",IF($M5363="PADD IV","PADD 4",IF($M5363="PADD V","PADD 5","")))))</f>
        <v>PADD 2</v>
      </c>
      <c r="G5363" s="6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6" t="s">
        <v>44</v>
      </c>
      <c r="I5363" s="6" t="s">
        <v>508</v>
      </c>
      <c r="J5363" s="6" t="s">
        <v>398</v>
      </c>
      <c r="K5363" s="10">
        <v>25</v>
      </c>
      <c r="L5363" s="10">
        <v>25</v>
      </c>
      <c r="M5363" s="6" t="s">
        <v>425</v>
      </c>
      <c r="N5363" s="6">
        <f>IF(OR($G5363="FCC",$G5363="Hydrocracker",$G5363="Reformer"),IF(COUNTIFS($D:$D,$D5363,$A:$A,$A5363,$B:$B,$B5363,$G:$G,"CDU",$J:$J,"PLANNED")&gt;0,"tied","standalone"),"")</f>
        <v/>
      </c>
    </row>
    <row r="5364" spans="1:14">
      <c r="A5364" s="6">
        <v>2025</v>
      </c>
      <c r="B5364" s="6">
        <v>3</v>
      </c>
      <c r="C5364" s="6" t="s">
        <v>62</v>
      </c>
      <c r="D5364" s="6" t="s">
        <v>760</v>
      </c>
      <c r="E5364" s="6" t="s">
        <v>761</v>
      </c>
      <c r="F5364" s="6" t="str">
        <f>IF($M5364="PADD I","PADD 1",IF($M5364="PADD II","PADD 2",IF($M5364="PADD III","PADD 3",IF($M5364="PADD IV","PADD 4",IF($M5364="PADD V","PADD 5","")))))</f>
        <v>PADD 3</v>
      </c>
      <c r="G5364" s="6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6" t="s">
        <v>39</v>
      </c>
      <c r="I5364" s="6" t="s">
        <v>762</v>
      </c>
      <c r="J5364" s="6" t="s">
        <v>398</v>
      </c>
      <c r="K5364" s="10">
        <v>25</v>
      </c>
      <c r="L5364" s="10">
        <v>25</v>
      </c>
      <c r="M5364" s="6" t="s">
        <v>421</v>
      </c>
      <c r="N5364" s="6">
        <f>IF(OR($G5364="FCC",$G5364="Hydrocracker",$G5364="Reformer"),IF(COUNTIFS($D:$D,$D5364,$A:$A,$A5364,$B:$B,$B5364,$G:$G,"CDU",$J:$J,"PLANNED")&gt;0,"tied","standalone"),"")</f>
        <v/>
      </c>
    </row>
    <row r="5365" spans="1:14">
      <c r="A5365" s="6">
        <v>2025</v>
      </c>
      <c r="B5365" s="6">
        <v>3</v>
      </c>
      <c r="C5365" s="6" t="s">
        <v>62</v>
      </c>
      <c r="D5365" s="6" t="s">
        <v>375</v>
      </c>
      <c r="E5365" s="6" t="s">
        <v>435</v>
      </c>
      <c r="F5365" s="6" t="str">
        <f>IF($M5365="PADD I","PADD 1",IF($M5365="PADD II","PADD 2",IF($M5365="PADD III","PADD 3",IF($M5365="PADD IV","PADD 4",IF($M5365="PADD V","PADD 5","")))))</f>
        <v>PADD 5</v>
      </c>
      <c r="G5365" s="6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6" t="s">
        <v>485</v>
      </c>
      <c r="I5365" s="6" t="s">
        <v>863</v>
      </c>
      <c r="J5365" s="6" t="s">
        <v>394</v>
      </c>
      <c r="K5365" s="10">
        <v>25</v>
      </c>
      <c r="L5365" s="10">
        <v>25</v>
      </c>
      <c r="M5365" s="6" t="s">
        <v>436</v>
      </c>
      <c r="N5365" s="6">
        <f>IF(OR($G5365="FCC",$G5365="Hydrocracker",$G5365="Reformer"),IF(COUNTIFS($D:$D,$D5365,$A:$A,$A5365,$B:$B,$B5365,$G:$G,"CDU",$J:$J,"PLANNED")&gt;0,"tied","standalone"),"")</f>
        <v/>
      </c>
    </row>
    <row r="5366" spans="1:14">
      <c r="A5366" s="6">
        <v>2025</v>
      </c>
      <c r="B5366" s="6">
        <v>3</v>
      </c>
      <c r="C5366" s="6" t="s">
        <v>62</v>
      </c>
      <c r="D5366" s="6" t="s">
        <v>1003</v>
      </c>
      <c r="E5366" s="6" t="s">
        <v>783</v>
      </c>
      <c r="F5366" s="6" t="str">
        <f>IF($M5366="PADD I","PADD 1",IF($M5366="PADD II","PADD 2",IF($M5366="PADD III","PADD 3",IF($M5366="PADD IV","PADD 4",IF($M5366="PADD V","PADD 5","")))))</f>
        <v>PADD 2</v>
      </c>
      <c r="G5366" s="6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6" t="s">
        <v>39</v>
      </c>
      <c r="I5366" s="6" t="s">
        <v>124</v>
      </c>
      <c r="J5366" s="6" t="s">
        <v>398</v>
      </c>
      <c r="K5366" s="10">
        <v>24.78</v>
      </c>
      <c r="L5366" s="10">
        <v>59</v>
      </c>
      <c r="M5366" s="6" t="s">
        <v>425</v>
      </c>
      <c r="N5366" s="6">
        <f>IF(OR($G5366="FCC",$G5366="Hydrocracker",$G5366="Reformer"),IF(COUNTIFS($D:$D,$D5366,$A:$A,$A5366,$B:$B,$B5366,$G:$G,"CDU",$J:$J,"PLANNED")&gt;0,"tied","standalone"),"")</f>
        <v/>
      </c>
    </row>
    <row r="5367" spans="1:14">
      <c r="A5367" s="6">
        <v>2025</v>
      </c>
      <c r="B5367" s="6">
        <v>3</v>
      </c>
      <c r="C5367" s="6" t="s">
        <v>62</v>
      </c>
      <c r="D5367" s="6" t="s">
        <v>660</v>
      </c>
      <c r="E5367" s="6" t="s">
        <v>661</v>
      </c>
      <c r="F5367" s="6" t="str">
        <f>IF($M5367="PADD I","PADD 1",IF($M5367="PADD II","PADD 2",IF($M5367="PADD III","PADD 3",IF($M5367="PADD IV","PADD 4",IF($M5367="PADD V","PADD 5","")))))</f>
        <v>PADD 2</v>
      </c>
      <c r="G5367" s="6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6" t="s">
        <v>44</v>
      </c>
      <c r="I5367" s="6" t="s">
        <v>676</v>
      </c>
      <c r="J5367" s="6" t="s">
        <v>398</v>
      </c>
      <c r="K5367" s="10">
        <v>23</v>
      </c>
      <c r="L5367" s="10">
        <v>23</v>
      </c>
      <c r="M5367" s="6" t="s">
        <v>425</v>
      </c>
      <c r="N5367" s="6">
        <f>IF(OR($G5367="FCC",$G5367="Hydrocracker",$G5367="Reformer"),IF(COUNTIFS($D:$D,$D5367,$A:$A,$A5367,$B:$B,$B5367,$G:$G,"CDU",$J:$J,"PLANNED")&gt;0,"tied","standalone"),"")</f>
        <v/>
      </c>
    </row>
    <row r="5368" spans="1:14">
      <c r="A5368" s="6">
        <v>2025</v>
      </c>
      <c r="B5368" s="6">
        <v>3</v>
      </c>
      <c r="C5368" s="6" t="s">
        <v>62</v>
      </c>
      <c r="D5368" s="6" t="s">
        <v>652</v>
      </c>
      <c r="E5368" s="6" t="s">
        <v>419</v>
      </c>
      <c r="F5368" s="6" t="str">
        <f>IF($M5368="PADD I","PADD 1",IF($M5368="PADD II","PADD 2",IF($M5368="PADD III","PADD 3",IF($M5368="PADD IV","PADD 4",IF($M5368="PADD V","PADD 5","")))))</f>
        <v>PADD 2</v>
      </c>
      <c r="G5368" s="6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6" t="s">
        <v>426</v>
      </c>
      <c r="I5368" s="6" t="s">
        <v>1174</v>
      </c>
      <c r="J5368" s="6" t="s">
        <v>394</v>
      </c>
      <c r="K5368" s="10">
        <v>22.88</v>
      </c>
      <c r="L5368" s="10">
        <v>44</v>
      </c>
      <c r="M5368" s="6" t="s">
        <v>425</v>
      </c>
      <c r="N5368" s="6" t="str">
        <f>IF(OR($G5368="FCC",$G5368="Hydrocracker",$G5368="Reformer"),IF(COUNTIFS($D:$D,$D5368,$A:$A,$A5368,$B:$B,$B5368,$G:$G,"CDU",$J:$J,"PLANNED")&gt;0,"tied","standalone"),"")</f>
        <v>tied</v>
      </c>
    </row>
    <row r="5369" spans="1:14">
      <c r="A5369" s="6">
        <v>2025</v>
      </c>
      <c r="B5369" s="6">
        <v>3</v>
      </c>
      <c r="C5369" s="6" t="s">
        <v>62</v>
      </c>
      <c r="D5369" s="6" t="s">
        <v>592</v>
      </c>
      <c r="E5369" s="6" t="s">
        <v>593</v>
      </c>
      <c r="F5369" s="6" t="str">
        <f>IF($M5369="PADD I","PADD 1",IF($M5369="PADD II","PADD 2",IF($M5369="PADD III","PADD 3",IF($M5369="PADD IV","PADD 4",IF($M5369="PADD V","PADD 5","")))))</f>
        <v>PADD 2</v>
      </c>
      <c r="G5369" s="6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6" t="s">
        <v>618</v>
      </c>
      <c r="I5369" s="6" t="s">
        <v>654</v>
      </c>
      <c r="J5369" s="6" t="s">
        <v>398</v>
      </c>
      <c r="K5369" s="10">
        <v>22.599</v>
      </c>
      <c r="L5369" s="10">
        <v>27.9</v>
      </c>
      <c r="M5369" s="6" t="s">
        <v>425</v>
      </c>
      <c r="N5369" s="6">
        <f>IF(OR($G5369="FCC",$G5369="Hydrocracker",$G5369="Reformer"),IF(COUNTIFS($D:$D,$D5369,$A:$A,$A5369,$B:$B,$B5369,$G:$G,"CDU",$J:$J,"PLANNED")&gt;0,"tied","standalone"),"")</f>
        <v/>
      </c>
    </row>
    <row r="5370" spans="1:14">
      <c r="A5370" s="6">
        <v>2025</v>
      </c>
      <c r="B5370" s="6">
        <v>3</v>
      </c>
      <c r="C5370" s="6" t="s">
        <v>62</v>
      </c>
      <c r="D5370" s="6" t="s">
        <v>792</v>
      </c>
      <c r="E5370" s="6" t="s">
        <v>438</v>
      </c>
      <c r="F5370" s="6" t="str">
        <f>IF($M5370="PADD I","PADD 1",IF($M5370="PADD II","PADD 2",IF($M5370="PADD III","PADD 3",IF($M5370="PADD IV","PADD 4",IF($M5370="PADD V","PADD 5","")))))</f>
        <v>PADD 5</v>
      </c>
      <c r="G5370" s="6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6" t="s">
        <v>428</v>
      </c>
      <c r="I5370" s="6" t="s">
        <v>481</v>
      </c>
      <c r="J5370" s="6" t="s">
        <v>398</v>
      </c>
      <c r="K5370" s="10">
        <v>22.56</v>
      </c>
      <c r="L5370" s="10">
        <v>47</v>
      </c>
      <c r="M5370" s="6" t="s">
        <v>436</v>
      </c>
      <c r="N5370" s="6">
        <f>IF(OR($G5370="FCC",$G5370="Hydrocracker",$G5370="Reformer"),IF(COUNTIFS($D:$D,$D5370,$A:$A,$A5370,$B:$B,$B5370,$G:$G,"CDU",$J:$J,"PLANNED")&gt;0,"tied","standalone"),"")</f>
        <v/>
      </c>
    </row>
    <row r="5371" spans="1:14">
      <c r="A5371" s="6">
        <v>2025</v>
      </c>
      <c r="B5371" s="6">
        <v>3</v>
      </c>
      <c r="C5371" s="6" t="s">
        <v>62</v>
      </c>
      <c r="D5371" s="6" t="s">
        <v>52</v>
      </c>
      <c r="E5371" s="6" t="s">
        <v>441</v>
      </c>
      <c r="F5371" s="6" t="str">
        <f>IF($M5371="PADD I","PADD 1",IF($M5371="PADD II","PADD 2",IF($M5371="PADD III","PADD 3",IF($M5371="PADD IV","PADD 4",IF($M5371="PADD V","PADD 5","")))))</f>
        <v>PADD 5</v>
      </c>
      <c r="G5371" s="6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6" t="s">
        <v>44</v>
      </c>
      <c r="I5371" s="6" t="s">
        <v>909</v>
      </c>
      <c r="J5371" s="6" t="s">
        <v>394</v>
      </c>
      <c r="K5371" s="10">
        <v>22.4</v>
      </c>
      <c r="L5371" s="10">
        <v>70</v>
      </c>
      <c r="M5371" s="6" t="s">
        <v>436</v>
      </c>
      <c r="N5371" s="6">
        <f>IF(OR($G5371="FCC",$G5371="Hydrocracker",$G5371="Reformer"),IF(COUNTIFS($D:$D,$D5371,$A:$A,$A5371,$B:$B,$B5371,$G:$G,"CDU",$J:$J,"PLANNED")&gt;0,"tied","standalone"),"")</f>
        <v/>
      </c>
    </row>
    <row r="5372" spans="1:14">
      <c r="A5372" s="6">
        <v>2025</v>
      </c>
      <c r="B5372" s="6">
        <v>3</v>
      </c>
      <c r="C5372" s="6" t="s">
        <v>62</v>
      </c>
      <c r="D5372" s="6" t="s">
        <v>1003</v>
      </c>
      <c r="E5372" s="6" t="s">
        <v>783</v>
      </c>
      <c r="F5372" s="6" t="str">
        <f>IF($M5372="PADD I","PADD 1",IF($M5372="PADD II","PADD 2",IF($M5372="PADD III","PADD 3",IF($M5372="PADD IV","PADD 4",IF($M5372="PADD V","PADD 5","")))))</f>
        <v>PADD 2</v>
      </c>
      <c r="G5372" s="6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6" t="s">
        <v>44</v>
      </c>
      <c r="I5372" s="6" t="s">
        <v>570</v>
      </c>
      <c r="J5372" s="6" t="s">
        <v>394</v>
      </c>
      <c r="K5372" s="10">
        <v>22.385</v>
      </c>
      <c r="L5372" s="10">
        <v>40.7</v>
      </c>
      <c r="M5372" s="6" t="s">
        <v>425</v>
      </c>
      <c r="N5372" s="6">
        <f>IF(OR($G5372="FCC",$G5372="Hydrocracker",$G5372="Reformer"),IF(COUNTIFS($D:$D,$D5372,$A:$A,$A5372,$B:$B,$B5372,$G:$G,"CDU",$J:$J,"PLANNED")&gt;0,"tied","standalone"),"")</f>
        <v/>
      </c>
    </row>
    <row r="5373" spans="1:14">
      <c r="A5373" s="6">
        <v>2025</v>
      </c>
      <c r="B5373" s="6">
        <v>3</v>
      </c>
      <c r="C5373" s="6" t="s">
        <v>62</v>
      </c>
      <c r="D5373" s="6" t="s">
        <v>660</v>
      </c>
      <c r="E5373" s="6" t="s">
        <v>661</v>
      </c>
      <c r="F5373" s="6" t="str">
        <f>IF($M5373="PADD I","PADD 1",IF($M5373="PADD II","PADD 2",IF($M5373="PADD III","PADD 3",IF($M5373="PADD IV","PADD 4",IF($M5373="PADD V","PADD 5","")))))</f>
        <v>PADD 2</v>
      </c>
      <c r="G5373" s="6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6" t="s">
        <v>618</v>
      </c>
      <c r="I5373" s="6" t="s">
        <v>654</v>
      </c>
      <c r="J5373" s="6" t="s">
        <v>398</v>
      </c>
      <c r="K5373" s="10">
        <v>22.2</v>
      </c>
      <c r="L5373" s="10">
        <v>22.2</v>
      </c>
      <c r="M5373" s="6" t="s">
        <v>425</v>
      </c>
      <c r="N5373" s="6">
        <f>IF(OR($G5373="FCC",$G5373="Hydrocracker",$G5373="Reformer"),IF(COUNTIFS($D:$D,$D5373,$A:$A,$A5373,$B:$B,$B5373,$G:$G,"CDU",$J:$J,"PLANNED")&gt;0,"tied","standalone"),"")</f>
        <v/>
      </c>
    </row>
    <row r="5374" spans="1:14">
      <c r="A5374" s="6">
        <v>2025</v>
      </c>
      <c r="B5374" s="6">
        <v>3</v>
      </c>
      <c r="C5374" s="6" t="s">
        <v>62</v>
      </c>
      <c r="D5374" s="6" t="s">
        <v>505</v>
      </c>
      <c r="E5374" s="6" t="s">
        <v>455</v>
      </c>
      <c r="F5374" s="6" t="str">
        <f>IF($M5374="PADD I","PADD 1",IF($M5374="PADD II","PADD 2",IF($M5374="PADD III","PADD 3",IF($M5374="PADD IV","PADD 4",IF($M5374="PADD V","PADD 5","")))))</f>
        <v>PADD 3</v>
      </c>
      <c r="G5374" s="6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6" t="s">
        <v>44</v>
      </c>
      <c r="I5374" s="6" t="s">
        <v>1324</v>
      </c>
      <c r="J5374" s="6" t="s">
        <v>398</v>
      </c>
      <c r="K5374" s="10">
        <v>22.05</v>
      </c>
      <c r="L5374" s="10">
        <v>49</v>
      </c>
      <c r="M5374" s="6" t="s">
        <v>421</v>
      </c>
      <c r="N5374" s="6">
        <f>IF(OR($G5374="FCC",$G5374="Hydrocracker",$G5374="Reformer"),IF(COUNTIFS($D:$D,$D5374,$A:$A,$A5374,$B:$B,$B5374,$G:$G,"CDU",$J:$J,"PLANNED")&gt;0,"tied","standalone"),"")</f>
        <v/>
      </c>
    </row>
    <row r="5375" spans="1:14">
      <c r="A5375" s="6">
        <v>2025</v>
      </c>
      <c r="B5375" s="6">
        <v>3</v>
      </c>
      <c r="C5375" s="6" t="s">
        <v>62</v>
      </c>
      <c r="D5375" s="6" t="s">
        <v>660</v>
      </c>
      <c r="E5375" s="6" t="s">
        <v>661</v>
      </c>
      <c r="F5375" s="6" t="str">
        <f>IF($M5375="PADD I","PADD 1",IF($M5375="PADD II","PADD 2",IF($M5375="PADD III","PADD 3",IF($M5375="PADD IV","PADD 4",IF($M5375="PADD V","PADD 5","")))))</f>
        <v>PADD 2</v>
      </c>
      <c r="G5375" s="6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6" t="s">
        <v>428</v>
      </c>
      <c r="I5375" s="6" t="s">
        <v>677</v>
      </c>
      <c r="J5375" s="6" t="s">
        <v>398</v>
      </c>
      <c r="K5375" s="10">
        <v>22</v>
      </c>
      <c r="L5375" s="10">
        <v>22</v>
      </c>
      <c r="M5375" s="6" t="s">
        <v>425</v>
      </c>
      <c r="N5375" s="6">
        <f>IF(OR($G5375="FCC",$G5375="Hydrocracker",$G5375="Reformer"),IF(COUNTIFS($D:$D,$D5375,$A:$A,$A5375,$B:$B,$B5375,$G:$G,"CDU",$J:$J,"PLANNED")&gt;0,"tied","standalone"),"")</f>
        <v/>
      </c>
    </row>
    <row r="5376" spans="1:14">
      <c r="A5376" s="6">
        <v>2025</v>
      </c>
      <c r="B5376" s="6">
        <v>3</v>
      </c>
      <c r="C5376" s="6" t="s">
        <v>62</v>
      </c>
      <c r="D5376" s="6" t="s">
        <v>375</v>
      </c>
      <c r="E5376" s="6" t="s">
        <v>435</v>
      </c>
      <c r="F5376" s="6" t="str">
        <f>IF($M5376="PADD I","PADD 1",IF($M5376="PADD II","PADD 2",IF($M5376="PADD III","PADD 3",IF($M5376="PADD IV","PADD 4",IF($M5376="PADD V","PADD 5","")))))</f>
        <v>PADD 5</v>
      </c>
      <c r="G5376" s="6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6" t="s">
        <v>485</v>
      </c>
      <c r="I5376" s="6" t="s">
        <v>491</v>
      </c>
      <c r="J5376" s="6" t="s">
        <v>394</v>
      </c>
      <c r="K5376" s="10">
        <v>22</v>
      </c>
      <c r="L5376" s="10">
        <v>22</v>
      </c>
      <c r="M5376" s="6" t="s">
        <v>436</v>
      </c>
      <c r="N5376" s="6">
        <f>IF(OR($G5376="FCC",$G5376="Hydrocracker",$G5376="Reformer"),IF(COUNTIFS($D:$D,$D5376,$A:$A,$A5376,$B:$B,$B5376,$G:$G,"CDU",$J:$J,"PLANNED")&gt;0,"tied","standalone"),"")</f>
        <v/>
      </c>
    </row>
    <row r="5377" spans="1:14">
      <c r="A5377" s="6">
        <v>2025</v>
      </c>
      <c r="B5377" s="6">
        <v>3</v>
      </c>
      <c r="C5377" s="6" t="s">
        <v>62</v>
      </c>
      <c r="D5377" s="6" t="s">
        <v>51</v>
      </c>
      <c r="E5377" s="6" t="s">
        <v>431</v>
      </c>
      <c r="F5377" s="6" t="str">
        <f>IF($M5377="PADD I","PADD 1",IF($M5377="PADD II","PADD 2",IF($M5377="PADD III","PADD 3",IF($M5377="PADD IV","PADD 4",IF($M5377="PADD V","PADD 5","")))))</f>
        <v>PADD 3</v>
      </c>
      <c r="G5377" s="6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6" t="s">
        <v>39</v>
      </c>
      <c r="I5377" s="6" t="s">
        <v>1317</v>
      </c>
      <c r="J5377" s="6" t="s">
        <v>398</v>
      </c>
      <c r="K5377" s="10">
        <v>21.6</v>
      </c>
      <c r="L5377" s="10">
        <v>135</v>
      </c>
      <c r="M5377" s="6" t="s">
        <v>421</v>
      </c>
      <c r="N5377" s="6">
        <f>IF(OR($G5377="FCC",$G5377="Hydrocracker",$G5377="Reformer"),IF(COUNTIFS($D:$D,$D5377,$A:$A,$A5377,$B:$B,$B5377,$G:$G,"CDU",$J:$J,"PLANNED")&gt;0,"tied","standalone"),"")</f>
        <v/>
      </c>
    </row>
    <row r="5378" spans="1:14">
      <c r="A5378" s="6">
        <v>2025</v>
      </c>
      <c r="B5378" s="6">
        <v>3</v>
      </c>
      <c r="C5378" s="6" t="s">
        <v>62</v>
      </c>
      <c r="D5378" s="6" t="s">
        <v>696</v>
      </c>
      <c r="E5378" s="6" t="s">
        <v>455</v>
      </c>
      <c r="F5378" s="6" t="str">
        <f>IF($M5378="PADD I","PADD 1",IF($M5378="PADD II","PADD 2",IF($M5378="PADD III","PADD 3",IF($M5378="PADD IV","PADD 4",IF($M5378="PADD V","PADD 5","")))))</f>
        <v>PADD 3</v>
      </c>
      <c r="G5378" s="6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6" t="s">
        <v>44</v>
      </c>
      <c r="I5378" s="6" t="s">
        <v>697</v>
      </c>
      <c r="J5378" s="6" t="s">
        <v>394</v>
      </c>
      <c r="K5378" s="10">
        <v>21.6</v>
      </c>
      <c r="L5378" s="10">
        <v>45</v>
      </c>
      <c r="M5378" s="6" t="s">
        <v>421</v>
      </c>
      <c r="N5378" s="6">
        <f>IF(OR($G5378="FCC",$G5378="Hydrocracker",$G5378="Reformer"),IF(COUNTIFS($D:$D,$D5378,$A:$A,$A5378,$B:$B,$B5378,$G:$G,"CDU",$J:$J,"PLANNED")&gt;0,"tied","standalone"),"")</f>
        <v/>
      </c>
    </row>
    <row r="5379" spans="1:14">
      <c r="A5379" s="6">
        <v>2025</v>
      </c>
      <c r="B5379" s="6">
        <v>3</v>
      </c>
      <c r="C5379" s="6" t="s">
        <v>62</v>
      </c>
      <c r="D5379" s="6" t="s">
        <v>498</v>
      </c>
      <c r="E5379" s="6" t="s">
        <v>441</v>
      </c>
      <c r="F5379" s="6" t="str">
        <f>IF($M5379="PADD I","PADD 1",IF($M5379="PADD II","PADD 2",IF($M5379="PADD III","PADD 3",IF($M5379="PADD IV","PADD 4",IF($M5379="PADD V","PADD 5","")))))</f>
        <v>PADD 3</v>
      </c>
      <c r="G5379" s="6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6" t="s">
        <v>44</v>
      </c>
      <c r="I5379" s="6" t="s">
        <v>499</v>
      </c>
      <c r="J5379" s="6" t="s">
        <v>394</v>
      </c>
      <c r="K5379" s="10">
        <v>21.35</v>
      </c>
      <c r="L5379" s="10">
        <v>35</v>
      </c>
      <c r="M5379" s="6" t="s">
        <v>421</v>
      </c>
      <c r="N5379" s="6">
        <f>IF(OR($G5379="FCC",$G5379="Hydrocracker",$G5379="Reformer"),IF(COUNTIFS($D:$D,$D5379,$A:$A,$A5379,$B:$B,$B5379,$G:$G,"CDU",$J:$J,"PLANNED")&gt;0,"tied","standalone"),"")</f>
        <v/>
      </c>
    </row>
    <row r="5380" spans="1:14">
      <c r="A5380" s="6">
        <v>2025</v>
      </c>
      <c r="B5380" s="6">
        <v>3</v>
      </c>
      <c r="C5380" s="6" t="s">
        <v>62</v>
      </c>
      <c r="D5380" s="6" t="s">
        <v>1221</v>
      </c>
      <c r="E5380" s="6" t="s">
        <v>1222</v>
      </c>
      <c r="F5380" s="6" t="str">
        <f>IF($M5380="PADD I","PADD 1",IF($M5380="PADD II","PADD 2",IF($M5380="PADD III","PADD 3",IF($M5380="PADD IV","PADD 4",IF($M5380="PADD V","PADD 5","")))))</f>
        <v>PADD 3</v>
      </c>
      <c r="G5380" s="6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6" t="s">
        <v>39</v>
      </c>
      <c r="I5380" s="6" t="s">
        <v>1223</v>
      </c>
      <c r="J5380" s="6" t="s">
        <v>398</v>
      </c>
      <c r="K5380" s="10">
        <v>21</v>
      </c>
      <c r="L5380" s="10">
        <v>50</v>
      </c>
      <c r="M5380" s="6" t="s">
        <v>421</v>
      </c>
      <c r="N5380" s="6">
        <f>IF(OR($G5380="FCC",$G5380="Hydrocracker",$G5380="Reformer"),IF(COUNTIFS($D:$D,$D5380,$A:$A,$A5380,$B:$B,$B5380,$G:$G,"CDU",$J:$J,"PLANNED")&gt;0,"tied","standalone"),"")</f>
        <v/>
      </c>
    </row>
    <row r="5381" spans="1:14">
      <c r="A5381" s="6">
        <v>2025</v>
      </c>
      <c r="B5381" s="6">
        <v>3</v>
      </c>
      <c r="C5381" s="6" t="s">
        <v>62</v>
      </c>
      <c r="D5381" s="6" t="s">
        <v>1221</v>
      </c>
      <c r="E5381" s="6" t="s">
        <v>1222</v>
      </c>
      <c r="F5381" s="6" t="str">
        <f>IF($M5381="PADD I","PADD 1",IF($M5381="PADD II","PADD 2",IF($M5381="PADD III","PADD 3",IF($M5381="PADD IV","PADD 4",IF($M5381="PADD V","PADD 5","")))))</f>
        <v>PADD 3</v>
      </c>
      <c r="G5381" s="6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6" t="s">
        <v>39</v>
      </c>
      <c r="I5381" s="6" t="s">
        <v>1225</v>
      </c>
      <c r="J5381" s="6" t="s">
        <v>398</v>
      </c>
      <c r="K5381" s="10">
        <v>21</v>
      </c>
      <c r="L5381" s="10">
        <v>50</v>
      </c>
      <c r="M5381" s="6" t="s">
        <v>421</v>
      </c>
      <c r="N5381" s="6">
        <f>IF(OR($G5381="FCC",$G5381="Hydrocracker",$G5381="Reformer"),IF(COUNTIFS($D:$D,$D5381,$A:$A,$A5381,$B:$B,$B5381,$G:$G,"CDU",$J:$J,"PLANNED")&gt;0,"tied","standalone"),"")</f>
        <v/>
      </c>
    </row>
    <row r="5382" spans="1:14">
      <c r="A5382" s="6">
        <v>2025</v>
      </c>
      <c r="B5382" s="6">
        <v>3</v>
      </c>
      <c r="C5382" s="6" t="s">
        <v>62</v>
      </c>
      <c r="D5382" s="6" t="s">
        <v>1003</v>
      </c>
      <c r="E5382" s="6" t="s">
        <v>783</v>
      </c>
      <c r="F5382" s="6" t="str">
        <f>IF($M5382="PADD I","PADD 1",IF($M5382="PADD II","PADD 2",IF($M5382="PADD III","PADD 3",IF($M5382="PADD IV","PADD 4",IF($M5382="PADD V","PADD 5","")))))</f>
        <v>PADD 2</v>
      </c>
      <c r="G5382" s="6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6" t="s">
        <v>39</v>
      </c>
      <c r="I5382" s="6" t="s">
        <v>379</v>
      </c>
      <c r="J5382" s="6" t="s">
        <v>398</v>
      </c>
      <c r="K5382" s="10">
        <v>21</v>
      </c>
      <c r="L5382" s="10">
        <v>50</v>
      </c>
      <c r="M5382" s="6" t="s">
        <v>425</v>
      </c>
      <c r="N5382" s="6">
        <f>IF(OR($G5382="FCC",$G5382="Hydrocracker",$G5382="Reformer"),IF(COUNTIFS($D:$D,$D5382,$A:$A,$A5382,$B:$B,$B5382,$G:$G,"CDU",$J:$J,"PLANNED")&gt;0,"tied","standalone"),"")</f>
        <v/>
      </c>
    </row>
    <row r="5383" spans="1:14">
      <c r="A5383" s="6">
        <v>2025</v>
      </c>
      <c r="B5383" s="6">
        <v>3</v>
      </c>
      <c r="C5383" s="6" t="s">
        <v>62</v>
      </c>
      <c r="D5383" s="6" t="s">
        <v>576</v>
      </c>
      <c r="E5383" s="6" t="s">
        <v>455</v>
      </c>
      <c r="F5383" s="6" t="str">
        <f>IF($M5383="PADD I","PADD 1",IF($M5383="PADD II","PADD 2",IF($M5383="PADD III","PADD 3",IF($M5383="PADD IV","PADD 4",IF($M5383="PADD V","PADD 5","")))))</f>
        <v>PADD 3</v>
      </c>
      <c r="G5383" s="6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6" t="s">
        <v>44</v>
      </c>
      <c r="I5383" s="6" t="s">
        <v>1139</v>
      </c>
      <c r="J5383" s="6" t="s">
        <v>398</v>
      </c>
      <c r="K5383" s="10">
        <v>20.64</v>
      </c>
      <c r="L5383" s="10">
        <v>43</v>
      </c>
      <c r="M5383" s="6" t="s">
        <v>421</v>
      </c>
      <c r="N5383" s="6">
        <f>IF(OR($G5383="FCC",$G5383="Hydrocracker",$G5383="Reformer"),IF(COUNTIFS($D:$D,$D5383,$A:$A,$A5383,$B:$B,$B5383,$G:$G,"CDU",$J:$J,"PLANNED")&gt;0,"tied","standalone"),"")</f>
        <v/>
      </c>
    </row>
    <row r="5384" spans="1:14">
      <c r="A5384" s="6">
        <v>2025</v>
      </c>
      <c r="B5384" s="6">
        <v>3</v>
      </c>
      <c r="C5384" s="6" t="s">
        <v>62</v>
      </c>
      <c r="D5384" s="6" t="s">
        <v>792</v>
      </c>
      <c r="E5384" s="6" t="s">
        <v>438</v>
      </c>
      <c r="F5384" s="6" t="str">
        <f>IF($M5384="PADD I","PADD 1",IF($M5384="PADD II","PADD 2",IF($M5384="PADD III","PADD 3",IF($M5384="PADD IV","PADD 4",IF($M5384="PADD V","PADD 5","")))))</f>
        <v>PADD 5</v>
      </c>
      <c r="G5384" s="6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6" t="s">
        <v>426</v>
      </c>
      <c r="I5384" s="6" t="s">
        <v>106</v>
      </c>
      <c r="J5384" s="6" t="s">
        <v>398</v>
      </c>
      <c r="K5384" s="10">
        <v>20.16</v>
      </c>
      <c r="L5384" s="10">
        <v>42</v>
      </c>
      <c r="M5384" s="6" t="s">
        <v>436</v>
      </c>
      <c r="N5384" s="6" t="str">
        <f>IF(OR($G5384="FCC",$G5384="Hydrocracker",$G5384="Reformer"),IF(COUNTIFS($D:$D,$D5384,$A:$A,$A5384,$B:$B,$B5384,$G:$G,"CDU",$J:$J,"PLANNED")&gt;0,"tied","standalone"),"")</f>
        <v>tied</v>
      </c>
    </row>
    <row r="5385" spans="1:14">
      <c r="A5385" s="6">
        <v>2025</v>
      </c>
      <c r="B5385" s="6">
        <v>3</v>
      </c>
      <c r="C5385" s="6" t="s">
        <v>62</v>
      </c>
      <c r="D5385" s="6" t="s">
        <v>1336</v>
      </c>
      <c r="E5385" s="6" t="s">
        <v>1337</v>
      </c>
      <c r="F5385" s="6" t="str">
        <f>IF($M5385="PADD I","PADD 1",IF($M5385="PADD II","PADD 2",IF($M5385="PADD III","PADD 3",IF($M5385="PADD IV","PADD 4",IF($M5385="PADD V","PADD 5","")))))</f>
        <v>PADD 4</v>
      </c>
      <c r="G5385" s="6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6" t="s">
        <v>39</v>
      </c>
      <c r="I5385" s="6" t="s">
        <v>82</v>
      </c>
      <c r="J5385" s="6" t="s">
        <v>394</v>
      </c>
      <c r="K5385" s="10">
        <v>20</v>
      </c>
      <c r="L5385" s="10">
        <v>20</v>
      </c>
      <c r="M5385" s="6" t="s">
        <v>480</v>
      </c>
      <c r="N5385" s="6">
        <f>IF(OR($G5385="FCC",$G5385="Hydrocracker",$G5385="Reformer"),IF(COUNTIFS($D:$D,$D5385,$A:$A,$A5385,$B:$B,$B5385,$G:$G,"CDU",$J:$J,"PLANNED")&gt;0,"tied","standalone"),"")</f>
        <v/>
      </c>
    </row>
    <row r="5386" spans="1:14">
      <c r="A5386" s="6">
        <v>2025</v>
      </c>
      <c r="B5386" s="6">
        <v>3</v>
      </c>
      <c r="C5386" s="6" t="s">
        <v>62</v>
      </c>
      <c r="D5386" s="6" t="s">
        <v>518</v>
      </c>
      <c r="E5386" s="6" t="s">
        <v>419</v>
      </c>
      <c r="F5386" s="6" t="str">
        <f>IF($M5386="PADD I","PADD 1",IF($M5386="PADD II","PADD 2",IF($M5386="PADD III","PADD 3",IF($M5386="PADD IV","PADD 4",IF($M5386="PADD V","PADD 5","")))))</f>
        <v>PADD 3</v>
      </c>
      <c r="G5386" s="6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6" t="s">
        <v>44</v>
      </c>
      <c r="I5386" s="6" t="s">
        <v>1081</v>
      </c>
      <c r="J5386" s="6" t="s">
        <v>398</v>
      </c>
      <c r="K5386" s="10">
        <v>20</v>
      </c>
      <c r="L5386" s="10">
        <v>20</v>
      </c>
      <c r="M5386" s="6" t="s">
        <v>421</v>
      </c>
      <c r="N5386" s="6">
        <f>IF(OR($G5386="FCC",$G5386="Hydrocracker",$G5386="Reformer"),IF(COUNTIFS($D:$D,$D5386,$A:$A,$A5386,$B:$B,$B5386,$G:$G,"CDU",$J:$J,"PLANNED")&gt;0,"tied","standalone"),"")</f>
        <v/>
      </c>
    </row>
    <row r="5387" spans="1:14">
      <c r="A5387" s="6">
        <v>2025</v>
      </c>
      <c r="B5387" s="6">
        <v>3</v>
      </c>
      <c r="C5387" s="6" t="s">
        <v>62</v>
      </c>
      <c r="D5387" s="6" t="s">
        <v>518</v>
      </c>
      <c r="E5387" s="6" t="s">
        <v>419</v>
      </c>
      <c r="F5387" s="6" t="str">
        <f>IF($M5387="PADD I","PADD 1",IF($M5387="PADD II","PADD 2",IF($M5387="PADD III","PADD 3",IF($M5387="PADD IV","PADD 4",IF($M5387="PADD V","PADD 5","")))))</f>
        <v>PADD 3</v>
      </c>
      <c r="G5387" s="6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6" t="s">
        <v>471</v>
      </c>
      <c r="I5387" s="6" t="s">
        <v>908</v>
      </c>
      <c r="J5387" s="6" t="s">
        <v>398</v>
      </c>
      <c r="K5387" s="10">
        <v>20</v>
      </c>
      <c r="L5387" s="10">
        <v>20</v>
      </c>
      <c r="M5387" s="6" t="s">
        <v>421</v>
      </c>
      <c r="N5387" s="6" t="str">
        <f>IF(OR($G5387="FCC",$G5387="Hydrocracker",$G5387="Reformer"),IF(COUNTIFS($D:$D,$D5387,$A:$A,$A5387,$B:$B,$B5387,$G:$G,"CDU",$J:$J,"PLANNED")&gt;0,"tied","standalone"),"")</f>
        <v>standalone</v>
      </c>
    </row>
    <row r="5388" spans="1:14">
      <c r="A5388" s="6">
        <v>2025</v>
      </c>
      <c r="B5388" s="6">
        <v>3</v>
      </c>
      <c r="C5388" s="6" t="s">
        <v>62</v>
      </c>
      <c r="D5388" s="6" t="s">
        <v>660</v>
      </c>
      <c r="E5388" s="6" t="s">
        <v>661</v>
      </c>
      <c r="F5388" s="6" t="str">
        <f>IF($M5388="PADD I","PADD 1",IF($M5388="PADD II","PADD 2",IF($M5388="PADD III","PADD 3",IF($M5388="PADD IV","PADD 4",IF($M5388="PADD V","PADD 5","")))))</f>
        <v>PADD 2</v>
      </c>
      <c r="G5388" s="6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6" t="s">
        <v>44</v>
      </c>
      <c r="I5388" s="6" t="s">
        <v>679</v>
      </c>
      <c r="J5388" s="6" t="s">
        <v>398</v>
      </c>
      <c r="K5388" s="10">
        <v>20</v>
      </c>
      <c r="L5388" s="10">
        <v>20</v>
      </c>
      <c r="M5388" s="6" t="s">
        <v>425</v>
      </c>
      <c r="N5388" s="6">
        <f>IF(OR($G5388="FCC",$G5388="Hydrocracker",$G5388="Reformer"),IF(COUNTIFS($D:$D,$D5388,$A:$A,$A5388,$B:$B,$B5388,$G:$G,"CDU",$J:$J,"PLANNED")&gt;0,"tied","standalone"),"")</f>
        <v/>
      </c>
    </row>
    <row r="5389" spans="1:14">
      <c r="A5389" s="6">
        <v>2025</v>
      </c>
      <c r="B5389" s="6">
        <v>3</v>
      </c>
      <c r="C5389" s="6" t="s">
        <v>62</v>
      </c>
      <c r="D5389" s="6" t="s">
        <v>660</v>
      </c>
      <c r="E5389" s="6" t="s">
        <v>661</v>
      </c>
      <c r="F5389" s="6" t="str">
        <f>IF($M5389="PADD I","PADD 1",IF($M5389="PADD II","PADD 2",IF($M5389="PADD III","PADD 3",IF($M5389="PADD IV","PADD 4",IF($M5389="PADD V","PADD 5","")))))</f>
        <v>PADD 2</v>
      </c>
      <c r="G5389" s="6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6" t="s">
        <v>428</v>
      </c>
      <c r="I5389" s="6" t="s">
        <v>544</v>
      </c>
      <c r="J5389" s="6" t="s">
        <v>398</v>
      </c>
      <c r="K5389" s="10">
        <v>20</v>
      </c>
      <c r="L5389" s="10">
        <v>20</v>
      </c>
      <c r="M5389" s="6" t="s">
        <v>425</v>
      </c>
      <c r="N5389" s="6">
        <f>IF(OR($G5389="FCC",$G5389="Hydrocracker",$G5389="Reformer"),IF(COUNTIFS($D:$D,$D5389,$A:$A,$A5389,$B:$B,$B5389,$G:$G,"CDU",$J:$J,"PLANNED")&gt;0,"tied","standalone"),"")</f>
        <v/>
      </c>
    </row>
    <row r="5390" spans="1:14">
      <c r="A5390" s="6">
        <v>2025</v>
      </c>
      <c r="B5390" s="6">
        <v>3</v>
      </c>
      <c r="C5390" s="6" t="s">
        <v>62</v>
      </c>
      <c r="D5390" s="6" t="s">
        <v>378</v>
      </c>
      <c r="E5390" s="6" t="s">
        <v>477</v>
      </c>
      <c r="F5390" s="6" t="str">
        <f>IF($M5390="PADD I","PADD 1",IF($M5390="PADD II","PADD 2",IF($M5390="PADD III","PADD 3",IF($M5390="PADD IV","PADD 4",IF($M5390="PADD V","PADD 5","")))))</f>
        <v>PADD 3</v>
      </c>
      <c r="G5390" s="6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6" t="s">
        <v>44</v>
      </c>
      <c r="I5390" s="6" t="s">
        <v>1258</v>
      </c>
      <c r="J5390" s="6" t="s">
        <v>394</v>
      </c>
      <c r="K5390" s="10">
        <v>19.84</v>
      </c>
      <c r="L5390" s="10">
        <v>62</v>
      </c>
      <c r="M5390" s="6" t="s">
        <v>421</v>
      </c>
      <c r="N5390" s="6">
        <f>IF(OR($G5390="FCC",$G5390="Hydrocracker",$G5390="Reformer"),IF(COUNTIFS($D:$D,$D5390,$A:$A,$A5390,$B:$B,$B5390,$G:$G,"CDU",$J:$J,"PLANNED")&gt;0,"tied","standalone"),"")</f>
        <v/>
      </c>
    </row>
    <row r="5391" spans="1:14">
      <c r="A5391" s="6">
        <v>2025</v>
      </c>
      <c r="B5391" s="6">
        <v>3</v>
      </c>
      <c r="C5391" s="6" t="s">
        <v>62</v>
      </c>
      <c r="D5391" s="6" t="s">
        <v>49</v>
      </c>
      <c r="E5391" s="6" t="s">
        <v>438</v>
      </c>
      <c r="F5391" s="6" t="str">
        <f>IF($M5391="PADD I","PADD 1",IF($M5391="PADD II","PADD 2",IF($M5391="PADD III","PADD 3",IF($M5391="PADD IV","PADD 4",IF($M5391="PADD V","PADD 5","")))))</f>
        <v>PADD 2</v>
      </c>
      <c r="G5391" s="6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6" t="s">
        <v>494</v>
      </c>
      <c r="I5391" s="6" t="s">
        <v>808</v>
      </c>
      <c r="J5391" s="6" t="s">
        <v>394</v>
      </c>
      <c r="K5391" s="10">
        <v>19.8</v>
      </c>
      <c r="L5391" s="10">
        <v>44</v>
      </c>
      <c r="M5391" s="6" t="s">
        <v>425</v>
      </c>
      <c r="N5391" s="6" t="str">
        <f>IF(OR($G5391="FCC",$G5391="Hydrocracker",$G5391="Reformer"),IF(COUNTIFS($D:$D,$D5391,$A:$A,$A5391,$B:$B,$B5391,$G:$G,"CDU",$J:$J,"PLANNED")&gt;0,"tied","standalone"),"")</f>
        <v>tied</v>
      </c>
    </row>
    <row r="5392" spans="1:14">
      <c r="A5392" s="6">
        <v>2025</v>
      </c>
      <c r="B5392" s="6">
        <v>3</v>
      </c>
      <c r="C5392" s="6" t="s">
        <v>62</v>
      </c>
      <c r="D5392" s="6" t="s">
        <v>660</v>
      </c>
      <c r="E5392" s="6" t="s">
        <v>661</v>
      </c>
      <c r="F5392" s="6" t="str">
        <f>IF($M5392="PADD I","PADD 1",IF($M5392="PADD II","PADD 2",IF($M5392="PADD III","PADD 3",IF($M5392="PADD IV","PADD 4",IF($M5392="PADD V","PADD 5","")))))</f>
        <v>PADD 2</v>
      </c>
      <c r="G5392" s="6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6" t="s">
        <v>485</v>
      </c>
      <c r="I5392" s="6" t="s">
        <v>491</v>
      </c>
      <c r="J5392" s="6" t="s">
        <v>398</v>
      </c>
      <c r="K5392" s="10">
        <v>19.5</v>
      </c>
      <c r="L5392" s="10">
        <v>19.5</v>
      </c>
      <c r="M5392" s="6" t="s">
        <v>425</v>
      </c>
      <c r="N5392" s="6">
        <f>IF(OR($G5392="FCC",$G5392="Hydrocracker",$G5392="Reformer"),IF(COUNTIFS($D:$D,$D5392,$A:$A,$A5392,$B:$B,$B5392,$G:$G,"CDU",$J:$J,"PLANNED")&gt;0,"tied","standalone"),"")</f>
        <v/>
      </c>
    </row>
    <row r="5393" spans="1:14">
      <c r="A5393" s="6">
        <v>2025</v>
      </c>
      <c r="B5393" s="6">
        <v>3</v>
      </c>
      <c r="C5393" s="6" t="s">
        <v>62</v>
      </c>
      <c r="D5393" s="6" t="s">
        <v>496</v>
      </c>
      <c r="E5393" s="6" t="s">
        <v>441</v>
      </c>
      <c r="F5393" s="6" t="str">
        <f>IF($M5393="PADD I","PADD 1",IF($M5393="PADD II","PADD 2",IF($M5393="PADD III","PADD 3",IF($M5393="PADD IV","PADD 4",IF($M5393="PADD V","PADD 5","")))))</f>
        <v>PADD 3</v>
      </c>
      <c r="G5393" s="6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6" t="s">
        <v>39</v>
      </c>
      <c r="I5393" s="6" t="s">
        <v>82</v>
      </c>
      <c r="J5393" s="6" t="s">
        <v>394</v>
      </c>
      <c r="K5393" s="10">
        <v>18.512</v>
      </c>
      <c r="L5393" s="10">
        <v>115.7</v>
      </c>
      <c r="M5393" s="6" t="s">
        <v>421</v>
      </c>
      <c r="N5393" s="6">
        <f>IF(OR($G5393="FCC",$G5393="Hydrocracker",$G5393="Reformer"),IF(COUNTIFS($D:$D,$D5393,$A:$A,$A5393,$B:$B,$B5393,$G:$G,"CDU",$J:$J,"PLANNED")&gt;0,"tied","standalone"),"")</f>
        <v/>
      </c>
    </row>
    <row r="5394" spans="1:14">
      <c r="A5394" s="6">
        <v>2025</v>
      </c>
      <c r="B5394" s="6">
        <v>3</v>
      </c>
      <c r="C5394" s="6" t="s">
        <v>62</v>
      </c>
      <c r="D5394" s="6" t="s">
        <v>652</v>
      </c>
      <c r="E5394" s="6" t="s">
        <v>419</v>
      </c>
      <c r="F5394" s="6" t="str">
        <f>IF($M5394="PADD I","PADD 1",IF($M5394="PADD II","PADD 2",IF($M5394="PADD III","PADD 3",IF($M5394="PADD IV","PADD 4",IF($M5394="PADD V","PADD 5","")))))</f>
        <v>PADD 2</v>
      </c>
      <c r="G5394" s="6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6" t="s">
        <v>426</v>
      </c>
      <c r="I5394" s="6" t="s">
        <v>704</v>
      </c>
      <c r="J5394" s="6" t="s">
        <v>398</v>
      </c>
      <c r="K5394" s="10">
        <v>18.46</v>
      </c>
      <c r="L5394" s="10">
        <v>26</v>
      </c>
      <c r="M5394" s="6" t="s">
        <v>425</v>
      </c>
      <c r="N5394" s="6" t="str">
        <f>IF(OR($G5394="FCC",$G5394="Hydrocracker",$G5394="Reformer"),IF(COUNTIFS($D:$D,$D5394,$A:$A,$A5394,$B:$B,$B5394,$G:$G,"CDU",$J:$J,"PLANNED")&gt;0,"tied","standalone"),"")</f>
        <v>tied</v>
      </c>
    </row>
    <row r="5395" spans="1:14">
      <c r="A5395" s="6">
        <v>2025</v>
      </c>
      <c r="B5395" s="6">
        <v>3</v>
      </c>
      <c r="C5395" s="6" t="s">
        <v>62</v>
      </c>
      <c r="D5395" s="6" t="s">
        <v>626</v>
      </c>
      <c r="E5395" s="6" t="s">
        <v>419</v>
      </c>
      <c r="F5395" s="6" t="str">
        <f>IF($M5395="PADD I","PADD 1",IF($M5395="PADD II","PADD 2",IF($M5395="PADD III","PADD 3",IF($M5395="PADD IV","PADD 4",IF($M5395="PADD V","PADD 5","")))))</f>
        <v>PADD 3</v>
      </c>
      <c r="G5395" s="6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6" t="s">
        <v>426</v>
      </c>
      <c r="I5395" s="6" t="s">
        <v>106</v>
      </c>
      <c r="J5395" s="6" t="s">
        <v>394</v>
      </c>
      <c r="K5395" s="10">
        <v>18.018</v>
      </c>
      <c r="L5395" s="10">
        <v>46.2</v>
      </c>
      <c r="M5395" s="6" t="s">
        <v>421</v>
      </c>
      <c r="N5395" s="6" t="str">
        <f>IF(OR($G5395="FCC",$G5395="Hydrocracker",$G5395="Reformer"),IF(COUNTIFS($D:$D,$D5395,$A:$A,$A5395,$B:$B,$B5395,$G:$G,"CDU",$J:$J,"PLANNED")&gt;0,"tied","standalone"),"")</f>
        <v>standalone</v>
      </c>
    </row>
    <row r="5396" spans="1:14">
      <c r="A5396" s="6">
        <v>2025</v>
      </c>
      <c r="B5396" s="6">
        <v>3</v>
      </c>
      <c r="C5396" s="6" t="s">
        <v>62</v>
      </c>
      <c r="D5396" s="6" t="s">
        <v>824</v>
      </c>
      <c r="E5396" s="6" t="s">
        <v>825</v>
      </c>
      <c r="F5396" s="6" t="str">
        <f>IF($M5396="PADD I","PADD 1",IF($M5396="PADD II","PADD 2",IF($M5396="PADD III","PADD 3",IF($M5396="PADD IV","PADD 4",IF($M5396="PADD V","PADD 5","")))))</f>
        <v>PADD 1</v>
      </c>
      <c r="G5396" s="6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6" t="s">
        <v>494</v>
      </c>
      <c r="I5396" s="6" t="s">
        <v>14</v>
      </c>
      <c r="J5396" s="6" t="s">
        <v>394</v>
      </c>
      <c r="K5396" s="10">
        <v>18</v>
      </c>
      <c r="L5396" s="10">
        <v>18</v>
      </c>
      <c r="M5396" s="6" t="s">
        <v>463</v>
      </c>
      <c r="N5396" s="6" t="str">
        <f>IF(OR($G5396="FCC",$G5396="Hydrocracker",$G5396="Reformer"),IF(COUNTIFS($D:$D,$D5396,$A:$A,$A5396,$B:$B,$B5396,$G:$G,"CDU",$J:$J,"PLANNED")&gt;0,"tied","standalone"),"")</f>
        <v>standalone</v>
      </c>
    </row>
    <row r="5397" spans="1:14">
      <c r="A5397" s="6">
        <v>2025</v>
      </c>
      <c r="B5397" s="6">
        <v>3</v>
      </c>
      <c r="C5397" s="6" t="s">
        <v>62</v>
      </c>
      <c r="D5397" s="6" t="s">
        <v>371</v>
      </c>
      <c r="E5397" s="6" t="s">
        <v>419</v>
      </c>
      <c r="F5397" s="6" t="str">
        <f>IF($M5397="PADD I","PADD 1",IF($M5397="PADD II","PADD 2",IF($M5397="PADD III","PADD 3",IF($M5397="PADD IV","PADD 4",IF($M5397="PADD V","PADD 5","")))))</f>
        <v>PADD 2</v>
      </c>
      <c r="G5397" s="6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6" t="s">
        <v>426</v>
      </c>
      <c r="I5397" s="6" t="s">
        <v>707</v>
      </c>
      <c r="J5397" s="6" t="s">
        <v>398</v>
      </c>
      <c r="K5397" s="10">
        <v>17.64</v>
      </c>
      <c r="L5397" s="10">
        <v>42</v>
      </c>
      <c r="M5397" s="6" t="s">
        <v>425</v>
      </c>
      <c r="N5397" s="6" t="str">
        <f>IF(OR($G5397="FCC",$G5397="Hydrocracker",$G5397="Reformer"),IF(COUNTIFS($D:$D,$D5397,$A:$A,$A5397,$B:$B,$B5397,$G:$G,"CDU",$J:$J,"PLANNED")&gt;0,"tied","standalone"),"")</f>
        <v>tied</v>
      </c>
    </row>
    <row r="5398" spans="1:14">
      <c r="A5398" s="6">
        <v>2025</v>
      </c>
      <c r="B5398" s="6">
        <v>3</v>
      </c>
      <c r="C5398" s="6" t="s">
        <v>62</v>
      </c>
      <c r="D5398" s="6" t="s">
        <v>430</v>
      </c>
      <c r="E5398" s="6" t="s">
        <v>431</v>
      </c>
      <c r="F5398" s="6" t="str">
        <f>IF($M5398="PADD I","PADD 1",IF($M5398="PADD II","PADD 2",IF($M5398="PADD III","PADD 3",IF($M5398="PADD IV","PADD 4",IF($M5398="PADD V","PADD 5","")))))</f>
        <v>PADD 3</v>
      </c>
      <c r="G5398" s="6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6" t="s">
        <v>426</v>
      </c>
      <c r="I5398" s="6" t="s">
        <v>702</v>
      </c>
      <c r="J5398" s="6" t="s">
        <v>394</v>
      </c>
      <c r="K5398" s="10">
        <v>17.6</v>
      </c>
      <c r="L5398" s="10">
        <v>110</v>
      </c>
      <c r="M5398" s="6" t="s">
        <v>421</v>
      </c>
      <c r="N5398" s="6" t="str">
        <f>IF(OR($G5398="FCC",$G5398="Hydrocracker",$G5398="Reformer"),IF(COUNTIFS($D:$D,$D5398,$A:$A,$A5398,$B:$B,$B5398,$G:$G,"CDU",$J:$J,"PLANNED")&gt;0,"tied","standalone"),"")</f>
        <v>standalone</v>
      </c>
    </row>
    <row r="5399" spans="1:14">
      <c r="A5399" s="6">
        <v>2025</v>
      </c>
      <c r="B5399" s="6">
        <v>3</v>
      </c>
      <c r="C5399" s="6" t="s">
        <v>62</v>
      </c>
      <c r="D5399" s="6" t="s">
        <v>576</v>
      </c>
      <c r="E5399" s="6" t="s">
        <v>455</v>
      </c>
      <c r="F5399" s="6" t="str">
        <f>IF($M5399="PADD I","PADD 1",IF($M5399="PADD II","PADD 2",IF($M5399="PADD III","PADD 3",IF($M5399="PADD IV","PADD 4",IF($M5399="PADD V","PADD 5","")))))</f>
        <v>PADD 3</v>
      </c>
      <c r="G5399" s="6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6" t="s">
        <v>44</v>
      </c>
      <c r="I5399" s="6" t="s">
        <v>1126</v>
      </c>
      <c r="J5399" s="6" t="s">
        <v>394</v>
      </c>
      <c r="K5399" s="10">
        <v>17.6</v>
      </c>
      <c r="L5399" s="10">
        <v>55</v>
      </c>
      <c r="M5399" s="6" t="s">
        <v>421</v>
      </c>
      <c r="N5399" s="6">
        <f>IF(OR($G5399="FCC",$G5399="Hydrocracker",$G5399="Reformer"),IF(COUNTIFS($D:$D,$D5399,$A:$A,$A5399,$B:$B,$B5399,$G:$G,"CDU",$J:$J,"PLANNED")&gt;0,"tied","standalone"),"")</f>
        <v/>
      </c>
    </row>
    <row r="5400" spans="1:14">
      <c r="A5400" s="6">
        <v>2025</v>
      </c>
      <c r="B5400" s="6">
        <v>3</v>
      </c>
      <c r="C5400" s="6" t="s">
        <v>62</v>
      </c>
      <c r="D5400" s="6" t="s">
        <v>581</v>
      </c>
      <c r="E5400" s="6" t="s">
        <v>582</v>
      </c>
      <c r="F5400" s="6" t="str">
        <f>IF($M5400="PADD I","PADD 1",IF($M5400="PADD II","PADD 2",IF($M5400="PADD III","PADD 3",IF($M5400="PADD IV","PADD 4",IF($M5400="PADD V","PADD 5","")))))</f>
        <v>PADD 5</v>
      </c>
      <c r="G5400" s="6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6" t="s">
        <v>44</v>
      </c>
      <c r="I5400" s="6" t="s">
        <v>1179</v>
      </c>
      <c r="J5400" s="6" t="s">
        <v>394</v>
      </c>
      <c r="K5400" s="10">
        <v>17.4</v>
      </c>
      <c r="L5400" s="10">
        <v>30</v>
      </c>
      <c r="M5400" s="6" t="s">
        <v>436</v>
      </c>
      <c r="N5400" s="6">
        <f>IF(OR($G5400="FCC",$G5400="Hydrocracker",$G5400="Reformer"),IF(COUNTIFS($D:$D,$D5400,$A:$A,$A5400,$B:$B,$B5400,$G:$G,"CDU",$J:$J,"PLANNED")&gt;0,"tied","standalone"),"")</f>
        <v/>
      </c>
    </row>
    <row r="5401" spans="1:14">
      <c r="A5401" s="6">
        <v>2025</v>
      </c>
      <c r="B5401" s="6">
        <v>3</v>
      </c>
      <c r="C5401" s="6" t="s">
        <v>62</v>
      </c>
      <c r="D5401" s="6" t="s">
        <v>1003</v>
      </c>
      <c r="E5401" s="6" t="s">
        <v>783</v>
      </c>
      <c r="F5401" s="6" t="str">
        <f>IF($M5401="PADD I","PADD 1",IF($M5401="PADD II","PADD 2",IF($M5401="PADD III","PADD 3",IF($M5401="PADD IV","PADD 4",IF($M5401="PADD V","PADD 5","")))))</f>
        <v>PADD 2</v>
      </c>
      <c r="G5401" s="6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6" t="s">
        <v>494</v>
      </c>
      <c r="I5401" s="6" t="s">
        <v>14</v>
      </c>
      <c r="J5401" s="6" t="s">
        <v>394</v>
      </c>
      <c r="K5401" s="10">
        <v>17.325</v>
      </c>
      <c r="L5401" s="10">
        <v>38.5</v>
      </c>
      <c r="M5401" s="6" t="s">
        <v>425</v>
      </c>
      <c r="N5401" s="6" t="str">
        <f>IF(OR($G5401="FCC",$G5401="Hydrocracker",$G5401="Reformer"),IF(COUNTIFS($D:$D,$D5401,$A:$A,$A5401,$B:$B,$B5401,$G:$G,"CDU",$J:$J,"PLANNED")&gt;0,"tied","standalone"),"")</f>
        <v>tied</v>
      </c>
    </row>
    <row r="5402" spans="1:14">
      <c r="A5402" s="6">
        <v>2025</v>
      </c>
      <c r="B5402" s="6">
        <v>3</v>
      </c>
      <c r="C5402" s="6" t="s">
        <v>62</v>
      </c>
      <c r="D5402" s="6" t="s">
        <v>49</v>
      </c>
      <c r="E5402" s="6" t="s">
        <v>438</v>
      </c>
      <c r="F5402" s="6" t="str">
        <f>IF($M5402="PADD I","PADD 1",IF($M5402="PADD II","PADD 2",IF($M5402="PADD III","PADD 3",IF($M5402="PADD IV","PADD 4",IF($M5402="PADD V","PADD 5","")))))</f>
        <v>PADD 2</v>
      </c>
      <c r="G5402" s="6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6" t="s">
        <v>471</v>
      </c>
      <c r="I5402" s="6" t="s">
        <v>771</v>
      </c>
      <c r="J5402" s="6" t="s">
        <v>394</v>
      </c>
      <c r="K5402" s="10">
        <v>16.77</v>
      </c>
      <c r="L5402" s="10">
        <v>43</v>
      </c>
      <c r="M5402" s="6" t="s">
        <v>425</v>
      </c>
      <c r="N5402" s="6" t="str">
        <f>IF(OR($G5402="FCC",$G5402="Hydrocracker",$G5402="Reformer"),IF(COUNTIFS($D:$D,$D5402,$A:$A,$A5402,$B:$B,$B5402,$G:$G,"CDU",$J:$J,"PLANNED")&gt;0,"tied","standalone"),"")</f>
        <v>tied</v>
      </c>
    </row>
    <row r="5403" spans="1:14">
      <c r="A5403" s="6">
        <v>2025</v>
      </c>
      <c r="B5403" s="6">
        <v>3</v>
      </c>
      <c r="C5403" s="6" t="s">
        <v>62</v>
      </c>
      <c r="D5403" s="6" t="s">
        <v>49</v>
      </c>
      <c r="E5403" s="6" t="s">
        <v>438</v>
      </c>
      <c r="F5403" s="6" t="str">
        <f>IF($M5403="PADD I","PADD 1",IF($M5403="PADD II","PADD 2",IF($M5403="PADD III","PADD 3",IF($M5403="PADD IV","PADD 4",IF($M5403="PADD V","PADD 5","")))))</f>
        <v>PADD 2</v>
      </c>
      <c r="G5403" s="6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6" t="s">
        <v>39</v>
      </c>
      <c r="I5403" s="6" t="s">
        <v>770</v>
      </c>
      <c r="J5403" s="6" t="s">
        <v>398</v>
      </c>
      <c r="K5403" s="10">
        <v>16.575</v>
      </c>
      <c r="L5403" s="10">
        <v>63.75</v>
      </c>
      <c r="M5403" s="6" t="s">
        <v>425</v>
      </c>
      <c r="N5403" s="6">
        <f>IF(OR($G5403="FCC",$G5403="Hydrocracker",$G5403="Reformer"),IF(COUNTIFS($D:$D,$D5403,$A:$A,$A5403,$B:$B,$B5403,$G:$G,"CDU",$J:$J,"PLANNED")&gt;0,"tied","standalone"),"")</f>
        <v/>
      </c>
    </row>
    <row r="5404" spans="1:14">
      <c r="A5404" s="6">
        <v>2025</v>
      </c>
      <c r="B5404" s="6">
        <v>3</v>
      </c>
      <c r="C5404" s="6" t="s">
        <v>62</v>
      </c>
      <c r="D5404" s="6" t="s">
        <v>1003</v>
      </c>
      <c r="E5404" s="6" t="s">
        <v>783</v>
      </c>
      <c r="F5404" s="6" t="str">
        <f>IF($M5404="PADD I","PADD 1",IF($M5404="PADD II","PADD 2",IF($M5404="PADD III","PADD 3",IF($M5404="PADD IV","PADD 4",IF($M5404="PADD V","PADD 5","")))))</f>
        <v>PADD 2</v>
      </c>
      <c r="G5404" s="6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6" t="s">
        <v>428</v>
      </c>
      <c r="I5404" s="6" t="s">
        <v>481</v>
      </c>
      <c r="J5404" s="6" t="s">
        <v>398</v>
      </c>
      <c r="K5404" s="10">
        <v>15.75</v>
      </c>
      <c r="L5404" s="10">
        <v>37.5</v>
      </c>
      <c r="M5404" s="6" t="s">
        <v>425</v>
      </c>
      <c r="N5404" s="6">
        <f>IF(OR($G5404="FCC",$G5404="Hydrocracker",$G5404="Reformer"),IF(COUNTIFS($D:$D,$D5404,$A:$A,$A5404,$B:$B,$B5404,$G:$G,"CDU",$J:$J,"PLANNED")&gt;0,"tied","standalone"),"")</f>
        <v/>
      </c>
    </row>
    <row r="5405" spans="1:14">
      <c r="A5405" s="6">
        <v>2025</v>
      </c>
      <c r="B5405" s="6">
        <v>3</v>
      </c>
      <c r="C5405" s="6" t="s">
        <v>62</v>
      </c>
      <c r="D5405" s="6" t="s">
        <v>581</v>
      </c>
      <c r="E5405" s="6" t="s">
        <v>582</v>
      </c>
      <c r="F5405" s="6" t="str">
        <f>IF($M5405="PADD I","PADD 1",IF($M5405="PADD II","PADD 2",IF($M5405="PADD III","PADD 3",IF($M5405="PADD IV","PADD 4",IF($M5405="PADD V","PADD 5","")))))</f>
        <v>PADD 5</v>
      </c>
      <c r="G5405" s="6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6" t="s">
        <v>485</v>
      </c>
      <c r="I5405" s="6" t="s">
        <v>664</v>
      </c>
      <c r="J5405" s="6" t="s">
        <v>394</v>
      </c>
      <c r="K5405" s="10">
        <v>15.66</v>
      </c>
      <c r="L5405" s="10">
        <v>27</v>
      </c>
      <c r="M5405" s="6" t="s">
        <v>436</v>
      </c>
      <c r="N5405" s="6">
        <f>IF(OR($G5405="FCC",$G5405="Hydrocracker",$G5405="Reformer"),IF(COUNTIFS($D:$D,$D5405,$A:$A,$A5405,$B:$B,$B5405,$G:$G,"CDU",$J:$J,"PLANNED")&gt;0,"tied","standalone"),"")</f>
        <v/>
      </c>
    </row>
    <row r="5406" spans="1:14">
      <c r="A5406" s="6">
        <v>2025</v>
      </c>
      <c r="B5406" s="6">
        <v>3</v>
      </c>
      <c r="C5406" s="6" t="s">
        <v>62</v>
      </c>
      <c r="D5406" s="6" t="s">
        <v>1003</v>
      </c>
      <c r="E5406" s="6" t="s">
        <v>783</v>
      </c>
      <c r="F5406" s="6" t="str">
        <f>IF($M5406="PADD I","PADD 1",IF($M5406="PADD II","PADD 2",IF($M5406="PADD III","PADD 3",IF($M5406="PADD IV","PADD 4",IF($M5406="PADD V","PADD 5","")))))</f>
        <v>PADD 2</v>
      </c>
      <c r="G5406" s="6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6" t="s">
        <v>44</v>
      </c>
      <c r="I5406" s="6" t="s">
        <v>543</v>
      </c>
      <c r="J5406" s="6" t="s">
        <v>398</v>
      </c>
      <c r="K5406" s="10">
        <v>15.6</v>
      </c>
      <c r="L5406" s="10">
        <v>30</v>
      </c>
      <c r="M5406" s="6" t="s">
        <v>425</v>
      </c>
      <c r="N5406" s="6">
        <f>IF(OR($G5406="FCC",$G5406="Hydrocracker",$G5406="Reformer"),IF(COUNTIFS($D:$D,$D5406,$A:$A,$A5406,$B:$B,$B5406,$G:$G,"CDU",$J:$J,"PLANNED")&gt;0,"tied","standalone"),"")</f>
        <v/>
      </c>
    </row>
    <row r="5407" spans="1:14">
      <c r="A5407" s="6">
        <v>2025</v>
      </c>
      <c r="B5407" s="6">
        <v>3</v>
      </c>
      <c r="C5407" s="6" t="s">
        <v>62</v>
      </c>
      <c r="D5407" s="6" t="s">
        <v>49</v>
      </c>
      <c r="E5407" s="6" t="s">
        <v>438</v>
      </c>
      <c r="F5407" s="6" t="str">
        <f>IF($M5407="PADD I","PADD 1",IF($M5407="PADD II","PADD 2",IF($M5407="PADD III","PADD 3",IF($M5407="PADD IV","PADD 4",IF($M5407="PADD V","PADD 5","")))))</f>
        <v>PADD 2</v>
      </c>
      <c r="G5407" s="6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6" t="s">
        <v>44</v>
      </c>
      <c r="I5407" s="6" t="s">
        <v>791</v>
      </c>
      <c r="J5407" s="6" t="s">
        <v>394</v>
      </c>
      <c r="K5407" s="10">
        <v>14.88</v>
      </c>
      <c r="L5407" s="10">
        <v>46.5</v>
      </c>
      <c r="M5407" s="6" t="s">
        <v>425</v>
      </c>
      <c r="N5407" s="6">
        <f>IF(OR($G5407="FCC",$G5407="Hydrocracker",$G5407="Reformer"),IF(COUNTIFS($D:$D,$D5407,$A:$A,$A5407,$B:$B,$B5407,$G:$G,"CDU",$J:$J,"PLANNED")&gt;0,"tied","standalone"),"")</f>
        <v/>
      </c>
    </row>
    <row r="5408" spans="1:14">
      <c r="A5408" s="6">
        <v>2025</v>
      </c>
      <c r="B5408" s="6">
        <v>3</v>
      </c>
      <c r="C5408" s="6" t="s">
        <v>62</v>
      </c>
      <c r="D5408" s="6" t="s">
        <v>581</v>
      </c>
      <c r="E5408" s="6" t="s">
        <v>582</v>
      </c>
      <c r="F5408" s="6" t="str">
        <f>IF($M5408="PADD I","PADD 1",IF($M5408="PADD II","PADD 2",IF($M5408="PADD III","PADD 3",IF($M5408="PADD IV","PADD 4",IF($M5408="PADD V","PADD 5","")))))</f>
        <v>PADD 5</v>
      </c>
      <c r="G5408" s="6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6" t="s">
        <v>494</v>
      </c>
      <c r="I5408" s="6" t="s">
        <v>14</v>
      </c>
      <c r="J5408" s="6" t="s">
        <v>394</v>
      </c>
      <c r="K5408" s="10">
        <v>14.64</v>
      </c>
      <c r="L5408" s="10">
        <v>24</v>
      </c>
      <c r="M5408" s="6" t="s">
        <v>436</v>
      </c>
      <c r="N5408" s="6" t="str">
        <f>IF(OR($G5408="FCC",$G5408="Hydrocracker",$G5408="Reformer"),IF(COUNTIFS($D:$D,$D5408,$A:$A,$A5408,$B:$B,$B5408,$G:$G,"CDU",$J:$J,"PLANNED")&gt;0,"tied","standalone"),"")</f>
        <v>standalone</v>
      </c>
    </row>
    <row r="5409" spans="1:14">
      <c r="A5409" s="6">
        <v>2025</v>
      </c>
      <c r="B5409" s="6">
        <v>3</v>
      </c>
      <c r="C5409" s="6" t="s">
        <v>62</v>
      </c>
      <c r="D5409" s="6" t="s">
        <v>581</v>
      </c>
      <c r="E5409" s="6" t="s">
        <v>582</v>
      </c>
      <c r="F5409" s="6" t="str">
        <f>IF($M5409="PADD I","PADD 1",IF($M5409="PADD II","PADD 2",IF($M5409="PADD III","PADD 3",IF($M5409="PADD IV","PADD 4",IF($M5409="PADD V","PADD 5","")))))</f>
        <v>PADD 5</v>
      </c>
      <c r="G5409" s="6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6" t="s">
        <v>485</v>
      </c>
      <c r="I5409" s="6" t="s">
        <v>649</v>
      </c>
      <c r="J5409" s="6" t="s">
        <v>394</v>
      </c>
      <c r="K5409" s="10">
        <v>14.5</v>
      </c>
      <c r="L5409" s="10">
        <v>25</v>
      </c>
      <c r="M5409" s="6" t="s">
        <v>436</v>
      </c>
      <c r="N5409" s="6">
        <f>IF(OR($G5409="FCC",$G5409="Hydrocracker",$G5409="Reformer"),IF(COUNTIFS($D:$D,$D5409,$A:$A,$A5409,$B:$B,$B5409,$G:$G,"CDU",$J:$J,"PLANNED")&gt;0,"tied","standalone"),"")</f>
        <v/>
      </c>
    </row>
    <row r="5410" spans="1:14">
      <c r="A5410" s="6">
        <v>2025</v>
      </c>
      <c r="B5410" s="6">
        <v>3</v>
      </c>
      <c r="C5410" s="6" t="s">
        <v>62</v>
      </c>
      <c r="D5410" s="6" t="s">
        <v>581</v>
      </c>
      <c r="E5410" s="6" t="s">
        <v>582</v>
      </c>
      <c r="F5410" s="6" t="str">
        <f>IF($M5410="PADD I","PADD 1",IF($M5410="PADD II","PADD 2",IF($M5410="PADD III","PADD 3",IF($M5410="PADD IV","PADD 4",IF($M5410="PADD V","PADD 5","")))))</f>
        <v>PADD 5</v>
      </c>
      <c r="G5410" s="6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6" t="s">
        <v>687</v>
      </c>
      <c r="I5410" s="6" t="s">
        <v>1346</v>
      </c>
      <c r="J5410" s="6" t="s">
        <v>394</v>
      </c>
      <c r="K5410" s="10">
        <v>14.5</v>
      </c>
      <c r="L5410" s="10">
        <v>25</v>
      </c>
      <c r="M5410" s="6" t="s">
        <v>436</v>
      </c>
      <c r="N5410" s="6">
        <f>IF(OR($G5410="FCC",$G5410="Hydrocracker",$G5410="Reformer"),IF(COUNTIFS($D:$D,$D5410,$A:$A,$A5410,$B:$B,$B5410,$G:$G,"CDU",$J:$J,"PLANNED")&gt;0,"tied","standalone"),"")</f>
        <v/>
      </c>
    </row>
    <row r="5411" spans="1:14">
      <c r="A5411" s="6">
        <v>2025</v>
      </c>
      <c r="B5411" s="6">
        <v>3</v>
      </c>
      <c r="C5411" s="6" t="s">
        <v>62</v>
      </c>
      <c r="D5411" s="6" t="s">
        <v>1003</v>
      </c>
      <c r="E5411" s="6" t="s">
        <v>783</v>
      </c>
      <c r="F5411" s="6" t="str">
        <f>IF($M5411="PADD I","PADD 1",IF($M5411="PADD II","PADD 2",IF($M5411="PADD III","PADD 3",IF($M5411="PADD IV","PADD 4",IF($M5411="PADD V","PADD 5","")))))</f>
        <v>PADD 2</v>
      </c>
      <c r="G5411" s="6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6" t="s">
        <v>471</v>
      </c>
      <c r="I5411" s="6" t="s">
        <v>832</v>
      </c>
      <c r="J5411" s="6" t="s">
        <v>398</v>
      </c>
      <c r="K5411" s="10">
        <v>13.44</v>
      </c>
      <c r="L5411" s="10">
        <v>32</v>
      </c>
      <c r="M5411" s="6" t="s">
        <v>425</v>
      </c>
      <c r="N5411" s="6" t="str">
        <f>IF(OR($G5411="FCC",$G5411="Hydrocracker",$G5411="Reformer"),IF(COUNTIFS($D:$D,$D5411,$A:$A,$A5411,$B:$B,$B5411,$G:$G,"CDU",$J:$J,"PLANNED")&gt;0,"tied","standalone"),"")</f>
        <v>tied</v>
      </c>
    </row>
    <row r="5412" spans="1:14">
      <c r="A5412" s="6">
        <v>2025</v>
      </c>
      <c r="B5412" s="6">
        <v>3</v>
      </c>
      <c r="C5412" s="6" t="s">
        <v>62</v>
      </c>
      <c r="D5412" s="6" t="s">
        <v>581</v>
      </c>
      <c r="E5412" s="6" t="s">
        <v>582</v>
      </c>
      <c r="F5412" s="6" t="str">
        <f>IF($M5412="PADD I","PADD 1",IF($M5412="PADD II","PADD 2",IF($M5412="PADD III","PADD 3",IF($M5412="PADD IV","PADD 4",IF($M5412="PADD V","PADD 5","")))))</f>
        <v>PADD 5</v>
      </c>
      <c r="G5412" s="6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6" t="s">
        <v>510</v>
      </c>
      <c r="I5412" s="6" t="s">
        <v>666</v>
      </c>
      <c r="J5412" s="6" t="s">
        <v>394</v>
      </c>
      <c r="K5412" s="10">
        <v>13.42</v>
      </c>
      <c r="L5412" s="10">
        <v>22</v>
      </c>
      <c r="M5412" s="6" t="s">
        <v>436</v>
      </c>
      <c r="N5412" s="6">
        <f>IF(OR($G5412="FCC",$G5412="Hydrocracker",$G5412="Reformer"),IF(COUNTIFS($D:$D,$D5412,$A:$A,$A5412,$B:$B,$B5412,$G:$G,"CDU",$J:$J,"PLANNED")&gt;0,"tied","standalone"),"")</f>
        <v/>
      </c>
    </row>
    <row r="5413" spans="1:14">
      <c r="A5413" s="6">
        <v>2025</v>
      </c>
      <c r="B5413" s="6">
        <v>3</v>
      </c>
      <c r="C5413" s="6" t="s">
        <v>62</v>
      </c>
      <c r="D5413" s="6" t="s">
        <v>1003</v>
      </c>
      <c r="E5413" s="6" t="s">
        <v>783</v>
      </c>
      <c r="F5413" s="6" t="str">
        <f>IF($M5413="PADD I","PADD 1",IF($M5413="PADD II","PADD 2",IF($M5413="PADD III","PADD 3",IF($M5413="PADD IV","PADD 4",IF($M5413="PADD V","PADD 5","")))))</f>
        <v>PADD 2</v>
      </c>
      <c r="G5413" s="6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6" t="s">
        <v>618</v>
      </c>
      <c r="I5413" s="6" t="s">
        <v>1155</v>
      </c>
      <c r="J5413" s="6" t="s">
        <v>398</v>
      </c>
      <c r="K5413" s="10">
        <v>13.104</v>
      </c>
      <c r="L5413" s="10">
        <v>25.2</v>
      </c>
      <c r="M5413" s="6" t="s">
        <v>425</v>
      </c>
      <c r="N5413" s="6">
        <f>IF(OR($G5413="FCC",$G5413="Hydrocracker",$G5413="Reformer"),IF(COUNTIFS($D:$D,$D5413,$A:$A,$A5413,$B:$B,$B5413,$G:$G,"CDU",$J:$J,"PLANNED")&gt;0,"tied","standalone"),"")</f>
        <v/>
      </c>
    </row>
    <row r="5414" spans="1:14">
      <c r="A5414" s="6">
        <v>2025</v>
      </c>
      <c r="B5414" s="6">
        <v>3</v>
      </c>
      <c r="C5414" s="6" t="s">
        <v>62</v>
      </c>
      <c r="D5414" s="6" t="s">
        <v>440</v>
      </c>
      <c r="E5414" s="6" t="s">
        <v>441</v>
      </c>
      <c r="F5414" s="6" t="str">
        <f>IF($M5414="PADD I","PADD 1",IF($M5414="PADD II","PADD 2",IF($M5414="PADD III","PADD 3",IF($M5414="PADD IV","PADD 4",IF($M5414="PADD V","PADD 5","")))))</f>
        <v>PADD 3</v>
      </c>
      <c r="G5414" s="6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6" t="s">
        <v>428</v>
      </c>
      <c r="I5414" s="6" t="s">
        <v>1347</v>
      </c>
      <c r="J5414" s="6" t="s">
        <v>398</v>
      </c>
      <c r="K5414" s="10">
        <v>12.8</v>
      </c>
      <c r="L5414" s="10">
        <v>80</v>
      </c>
      <c r="M5414" s="6" t="s">
        <v>421</v>
      </c>
      <c r="N5414" s="6">
        <f>IF(OR($G5414="FCC",$G5414="Hydrocracker",$G5414="Reformer"),IF(COUNTIFS($D:$D,$D5414,$A:$A,$A5414,$B:$B,$B5414,$G:$G,"CDU",$J:$J,"PLANNED")&gt;0,"tied","standalone"),"")</f>
        <v/>
      </c>
    </row>
    <row r="5415" spans="1:14">
      <c r="A5415" s="6">
        <v>2025</v>
      </c>
      <c r="B5415" s="6">
        <v>3</v>
      </c>
      <c r="C5415" s="6" t="s">
        <v>62</v>
      </c>
      <c r="D5415" s="6" t="s">
        <v>792</v>
      </c>
      <c r="E5415" s="6" t="s">
        <v>438</v>
      </c>
      <c r="F5415" s="6" t="str">
        <f>IF($M5415="PADD I","PADD 1",IF($M5415="PADD II","PADD 2",IF($M5415="PADD III","PADD 3",IF($M5415="PADD IV","PADD 4",IF($M5415="PADD V","PADD 5","")))))</f>
        <v>PADD 5</v>
      </c>
      <c r="G5415" s="6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6" t="s">
        <v>44</v>
      </c>
      <c r="I5415" s="6" t="s">
        <v>570</v>
      </c>
      <c r="J5415" s="6" t="s">
        <v>398</v>
      </c>
      <c r="K5415" s="10">
        <v>12</v>
      </c>
      <c r="L5415" s="10">
        <v>25</v>
      </c>
      <c r="M5415" s="6" t="s">
        <v>436</v>
      </c>
      <c r="N5415" s="6">
        <f>IF(OR($G5415="FCC",$G5415="Hydrocracker",$G5415="Reformer"),IF(COUNTIFS($D:$D,$D5415,$A:$A,$A5415,$B:$B,$B5415,$G:$G,"CDU",$J:$J,"PLANNED")&gt;0,"tied","standalone"),"")</f>
        <v/>
      </c>
    </row>
    <row r="5416" spans="1:14">
      <c r="A5416" s="6">
        <v>2025</v>
      </c>
      <c r="B5416" s="6">
        <v>3</v>
      </c>
      <c r="C5416" s="6" t="s">
        <v>62</v>
      </c>
      <c r="D5416" s="6" t="s">
        <v>375</v>
      </c>
      <c r="E5416" s="6" t="s">
        <v>435</v>
      </c>
      <c r="F5416" s="6" t="str">
        <f>IF($M5416="PADD I","PADD 1",IF($M5416="PADD II","PADD 2",IF($M5416="PADD III","PADD 3",IF($M5416="PADD IV","PADD 4",IF($M5416="PADD V","PADD 5","")))))</f>
        <v>PADD 5</v>
      </c>
      <c r="G5416" s="6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6" t="s">
        <v>510</v>
      </c>
      <c r="I5416" s="6" t="s">
        <v>1338</v>
      </c>
      <c r="J5416" s="6" t="s">
        <v>394</v>
      </c>
      <c r="K5416" s="10">
        <v>12</v>
      </c>
      <c r="L5416" s="10">
        <v>12</v>
      </c>
      <c r="M5416" s="6" t="s">
        <v>436</v>
      </c>
      <c r="N5416" s="6">
        <f>IF(OR($G5416="FCC",$G5416="Hydrocracker",$G5416="Reformer"),IF(COUNTIFS($D:$D,$D5416,$A:$A,$A5416,$B:$B,$B5416,$G:$G,"CDU",$J:$J,"PLANNED")&gt;0,"tied","standalone"),"")</f>
        <v/>
      </c>
    </row>
    <row r="5417" spans="1:14">
      <c r="A5417" s="6">
        <v>2025</v>
      </c>
      <c r="B5417" s="6">
        <v>3</v>
      </c>
      <c r="C5417" s="6" t="s">
        <v>62</v>
      </c>
      <c r="D5417" s="6" t="s">
        <v>680</v>
      </c>
      <c r="E5417" s="6" t="s">
        <v>541</v>
      </c>
      <c r="F5417" s="6" t="str">
        <f>IF($M5417="PADD I","PADD 1",IF($M5417="PADD II","PADD 2",IF($M5417="PADD III","PADD 3",IF($M5417="PADD IV","PADD 4",IF($M5417="PADD V","PADD 5","")))))</f>
        <v>PADD 3</v>
      </c>
      <c r="G5417" s="6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6" t="s">
        <v>44</v>
      </c>
      <c r="I5417" s="6" t="s">
        <v>514</v>
      </c>
      <c r="J5417" s="6" t="s">
        <v>394</v>
      </c>
      <c r="K5417" s="10">
        <v>12</v>
      </c>
      <c r="L5417" s="10">
        <v>12</v>
      </c>
      <c r="M5417" s="6" t="s">
        <v>421</v>
      </c>
      <c r="N5417" s="6">
        <f>IF(OR($G5417="FCC",$G5417="Hydrocracker",$G5417="Reformer"),IF(COUNTIFS($D:$D,$D5417,$A:$A,$A5417,$B:$B,$B5417,$G:$G,"CDU",$J:$J,"PLANNED")&gt;0,"tied","standalone"),"")</f>
        <v/>
      </c>
    </row>
    <row r="5418" spans="1:14">
      <c r="A5418" s="6">
        <v>2025</v>
      </c>
      <c r="B5418" s="6">
        <v>3</v>
      </c>
      <c r="C5418" s="6" t="s">
        <v>62</v>
      </c>
      <c r="D5418" s="6" t="s">
        <v>792</v>
      </c>
      <c r="E5418" s="6" t="s">
        <v>438</v>
      </c>
      <c r="F5418" s="6" t="str">
        <f>IF($M5418="PADD I","PADD 1",IF($M5418="PADD II","PADD 2",IF($M5418="PADD III","PADD 3",IF($M5418="PADD IV","PADD 4",IF($M5418="PADD V","PADD 5","")))))</f>
        <v>PADD 5</v>
      </c>
      <c r="G5418" s="6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6" t="s">
        <v>471</v>
      </c>
      <c r="I5418" s="6" t="s">
        <v>15</v>
      </c>
      <c r="J5418" s="6" t="s">
        <v>394</v>
      </c>
      <c r="K5418" s="10">
        <v>11.7</v>
      </c>
      <c r="L5418" s="10">
        <v>26</v>
      </c>
      <c r="M5418" s="6" t="s">
        <v>436</v>
      </c>
      <c r="N5418" s="6" t="str">
        <f>IF(OR($G5418="FCC",$G5418="Hydrocracker",$G5418="Reformer"),IF(COUNTIFS($D:$D,$D5418,$A:$A,$A5418,$B:$B,$B5418,$G:$G,"CDU",$J:$J,"PLANNED")&gt;0,"tied","standalone"),"")</f>
        <v>tied</v>
      </c>
    </row>
    <row r="5419" spans="1:14">
      <c r="A5419" s="6">
        <v>2025</v>
      </c>
      <c r="B5419" s="6">
        <v>3</v>
      </c>
      <c r="C5419" s="6" t="s">
        <v>62</v>
      </c>
      <c r="D5419" s="6" t="s">
        <v>792</v>
      </c>
      <c r="E5419" s="6" t="s">
        <v>438</v>
      </c>
      <c r="F5419" s="6" t="str">
        <f>IF($M5419="PADD I","PADD 1",IF($M5419="PADD II","PADD 2",IF($M5419="PADD III","PADD 3",IF($M5419="PADD IV","PADD 4",IF($M5419="PADD V","PADD 5","")))))</f>
        <v>PADD 5</v>
      </c>
      <c r="G5419" s="6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6" t="s">
        <v>471</v>
      </c>
      <c r="I5419" s="6" t="s">
        <v>15</v>
      </c>
      <c r="J5419" s="6" t="s">
        <v>398</v>
      </c>
      <c r="K5419" s="10">
        <v>11.664</v>
      </c>
      <c r="L5419" s="10">
        <v>24.3</v>
      </c>
      <c r="M5419" s="6" t="s">
        <v>436</v>
      </c>
      <c r="N5419" s="6" t="str">
        <f>IF(OR($G5419="FCC",$G5419="Hydrocracker",$G5419="Reformer"),IF(COUNTIFS($D:$D,$D5419,$A:$A,$A5419,$B:$B,$B5419,$G:$G,"CDU",$J:$J,"PLANNED")&gt;0,"tied","standalone"),"")</f>
        <v>tied</v>
      </c>
    </row>
    <row r="5420" spans="1:14">
      <c r="A5420" s="6">
        <v>2025</v>
      </c>
      <c r="B5420" s="6">
        <v>3</v>
      </c>
      <c r="C5420" s="6" t="s">
        <v>62</v>
      </c>
      <c r="D5420" s="6" t="s">
        <v>487</v>
      </c>
      <c r="E5420" s="6" t="s">
        <v>488</v>
      </c>
      <c r="F5420" s="6" t="str">
        <f>IF($M5420="PADD I","PADD 1",IF($M5420="PADD II","PADD 2",IF($M5420="PADD III","PADD 3",IF($M5420="PADD IV","PADD 4",IF($M5420="PADD V","PADD 5","")))))</f>
        <v>PADD 4</v>
      </c>
      <c r="G5420" s="6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6" t="s">
        <v>39</v>
      </c>
      <c r="I5420" s="6" t="s">
        <v>379</v>
      </c>
      <c r="J5420" s="6" t="s">
        <v>394</v>
      </c>
      <c r="K5420" s="10">
        <v>11.31</v>
      </c>
      <c r="L5420" s="10">
        <v>39</v>
      </c>
      <c r="M5420" s="6" t="s">
        <v>480</v>
      </c>
      <c r="N5420" s="6">
        <f>IF(OR($G5420="FCC",$G5420="Hydrocracker",$G5420="Reformer"),IF(COUNTIFS($D:$D,$D5420,$A:$A,$A5420,$B:$B,$B5420,$G:$G,"CDU",$J:$J,"PLANNED")&gt;0,"tied","standalone"),"")</f>
        <v/>
      </c>
    </row>
    <row r="5421" spans="1:14">
      <c r="A5421" s="6">
        <v>2025</v>
      </c>
      <c r="B5421" s="6">
        <v>3</v>
      </c>
      <c r="C5421" s="6" t="s">
        <v>62</v>
      </c>
      <c r="D5421" s="6" t="s">
        <v>437</v>
      </c>
      <c r="E5421" s="6" t="s">
        <v>438</v>
      </c>
      <c r="F5421" s="6" t="str">
        <f>IF($M5421="PADD I","PADD 1",IF($M5421="PADD II","PADD 2",IF($M5421="PADD III","PADD 3",IF($M5421="PADD IV","PADD 4",IF($M5421="PADD V","PADD 5","")))))</f>
        <v>PADD 3</v>
      </c>
      <c r="G5421" s="6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6" t="s">
        <v>428</v>
      </c>
      <c r="I5421" s="6" t="s">
        <v>1319</v>
      </c>
      <c r="J5421" s="6" t="s">
        <v>398</v>
      </c>
      <c r="K5421" s="10">
        <v>11.25</v>
      </c>
      <c r="L5421" s="10">
        <v>112.5</v>
      </c>
      <c r="M5421" s="6" t="s">
        <v>421</v>
      </c>
      <c r="N5421" s="6">
        <f>IF(OR($G5421="FCC",$G5421="Hydrocracker",$G5421="Reformer"),IF(COUNTIFS($D:$D,$D5421,$A:$A,$A5421,$B:$B,$B5421,$G:$G,"CDU",$J:$J,"PLANNED")&gt;0,"tied","standalone"),"")</f>
        <v/>
      </c>
    </row>
    <row r="5422" spans="1:14">
      <c r="A5422" s="6">
        <v>2025</v>
      </c>
      <c r="B5422" s="6">
        <v>3</v>
      </c>
      <c r="C5422" s="6" t="s">
        <v>62</v>
      </c>
      <c r="D5422" s="6" t="s">
        <v>1003</v>
      </c>
      <c r="E5422" s="6" t="s">
        <v>783</v>
      </c>
      <c r="F5422" s="6" t="str">
        <f>IF($M5422="PADD I","PADD 1",IF($M5422="PADD II","PADD 2",IF($M5422="PADD III","PADD 3",IF($M5422="PADD IV","PADD 4",IF($M5422="PADD V","PADD 5","")))))</f>
        <v>PADD 2</v>
      </c>
      <c r="G5422" s="6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6" t="s">
        <v>485</v>
      </c>
      <c r="I5422" s="6" t="s">
        <v>491</v>
      </c>
      <c r="J5422" s="6" t="s">
        <v>398</v>
      </c>
      <c r="K5422" s="10">
        <v>10.5</v>
      </c>
      <c r="L5422" s="10">
        <v>25</v>
      </c>
      <c r="M5422" s="6" t="s">
        <v>425</v>
      </c>
      <c r="N5422" s="6">
        <f>IF(OR($G5422="FCC",$G5422="Hydrocracker",$G5422="Reformer"),IF(COUNTIFS($D:$D,$D5422,$A:$A,$A5422,$B:$B,$B5422,$G:$G,"CDU",$J:$J,"PLANNED")&gt;0,"tied","standalone"),"")</f>
        <v/>
      </c>
    </row>
    <row r="5423" spans="1:14">
      <c r="A5423" s="6">
        <v>2025</v>
      </c>
      <c r="B5423" s="6">
        <v>3</v>
      </c>
      <c r="C5423" s="6" t="s">
        <v>62</v>
      </c>
      <c r="D5423" s="6" t="s">
        <v>458</v>
      </c>
      <c r="E5423" s="6" t="s">
        <v>459</v>
      </c>
      <c r="F5423" s="6" t="str">
        <f>IF($M5423="PADD I","PADD 1",IF($M5423="PADD II","PADD 2",IF($M5423="PADD III","PADD 3",IF($M5423="PADD IV","PADD 4",IF($M5423="PADD V","PADD 5","")))))</f>
        <v>PADD 3</v>
      </c>
      <c r="G5423" s="6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6" t="s">
        <v>39</v>
      </c>
      <c r="I5423" s="6" t="s">
        <v>460</v>
      </c>
      <c r="J5423" s="6" t="s">
        <v>394</v>
      </c>
      <c r="K5423" s="10">
        <v>10.4</v>
      </c>
      <c r="L5423" s="10">
        <v>80</v>
      </c>
      <c r="M5423" s="6" t="s">
        <v>421</v>
      </c>
      <c r="N5423" s="6">
        <f>IF(OR($G5423="FCC",$G5423="Hydrocracker",$G5423="Reformer"),IF(COUNTIFS($D:$D,$D5423,$A:$A,$A5423,$B:$B,$B5423,$G:$G,"CDU",$J:$J,"PLANNED")&gt;0,"tied","standalone"),"")</f>
        <v/>
      </c>
    </row>
    <row r="5424" spans="1:14">
      <c r="A5424" s="6">
        <v>2025</v>
      </c>
      <c r="B5424" s="6">
        <v>3</v>
      </c>
      <c r="C5424" s="6" t="s">
        <v>62</v>
      </c>
      <c r="D5424" s="6" t="s">
        <v>1003</v>
      </c>
      <c r="E5424" s="6" t="s">
        <v>783</v>
      </c>
      <c r="F5424" s="6" t="str">
        <f>IF($M5424="PADD I","PADD 1",IF($M5424="PADD II","PADD 2",IF($M5424="PADD III","PADD 3",IF($M5424="PADD IV","PADD 4",IF($M5424="PADD V","PADD 5","")))))</f>
        <v>PADD 2</v>
      </c>
      <c r="G5424" s="6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6" t="s">
        <v>426</v>
      </c>
      <c r="I5424" s="6" t="s">
        <v>106</v>
      </c>
      <c r="J5424" s="6" t="s">
        <v>398</v>
      </c>
      <c r="K5424" s="10">
        <v>10.215</v>
      </c>
      <c r="L5424" s="10">
        <v>22.7</v>
      </c>
      <c r="M5424" s="6" t="s">
        <v>425</v>
      </c>
      <c r="N5424" s="6" t="str">
        <f>IF(OR($G5424="FCC",$G5424="Hydrocracker",$G5424="Reformer"),IF(COUNTIFS($D:$D,$D5424,$A:$A,$A5424,$B:$B,$B5424,$G:$G,"CDU",$J:$J,"PLANNED")&gt;0,"tied","standalone"),"")</f>
        <v>tied</v>
      </c>
    </row>
    <row r="5425" spans="1:14">
      <c r="A5425" s="6">
        <v>2025</v>
      </c>
      <c r="B5425" s="6">
        <v>3</v>
      </c>
      <c r="C5425" s="6" t="s">
        <v>62</v>
      </c>
      <c r="D5425" s="6" t="s">
        <v>370</v>
      </c>
      <c r="E5425" s="6" t="s">
        <v>431</v>
      </c>
      <c r="F5425" s="6" t="str">
        <f>IF($M5425="PADD I","PADD 1",IF($M5425="PADD II","PADD 2",IF($M5425="PADD III","PADD 3",IF($M5425="PADD IV","PADD 4",IF($M5425="PADD V","PADD 5","")))))</f>
        <v>PADD 2</v>
      </c>
      <c r="G5425" s="6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6" t="s">
        <v>426</v>
      </c>
      <c r="I5425" s="6" t="s">
        <v>106</v>
      </c>
      <c r="J5425" s="6" t="s">
        <v>398</v>
      </c>
      <c r="K5425" s="10">
        <v>10.15</v>
      </c>
      <c r="L5425" s="10">
        <v>35</v>
      </c>
      <c r="M5425" s="6" t="s">
        <v>425</v>
      </c>
      <c r="N5425" s="6" t="str">
        <f>IF(OR($G5425="FCC",$G5425="Hydrocracker",$G5425="Reformer"),IF(COUNTIFS($D:$D,$D5425,$A:$A,$A5425,$B:$B,$B5425,$G:$G,"CDU",$J:$J,"PLANNED")&gt;0,"tied","standalone"),"")</f>
        <v>tied</v>
      </c>
    </row>
    <row r="5426" spans="1:14">
      <c r="A5426" s="6">
        <v>2025</v>
      </c>
      <c r="B5426" s="6">
        <v>3</v>
      </c>
      <c r="C5426" s="6" t="s">
        <v>62</v>
      </c>
      <c r="D5426" s="6" t="s">
        <v>498</v>
      </c>
      <c r="E5426" s="6" t="s">
        <v>441</v>
      </c>
      <c r="F5426" s="6" t="str">
        <f>IF($M5426="PADD I","PADD 1",IF($M5426="PADD II","PADD 2",IF($M5426="PADD III","PADD 3",IF($M5426="PADD IV","PADD 4",IF($M5426="PADD V","PADD 5","")))))</f>
        <v>PADD 3</v>
      </c>
      <c r="G5426" s="6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6" t="s">
        <v>44</v>
      </c>
      <c r="I5426" s="6" t="s">
        <v>499</v>
      </c>
      <c r="J5426" s="6" t="s">
        <v>394</v>
      </c>
      <c r="K5426" s="10">
        <v>10.15</v>
      </c>
      <c r="L5426" s="10">
        <v>35</v>
      </c>
      <c r="M5426" s="6" t="s">
        <v>421</v>
      </c>
      <c r="N5426" s="6">
        <f>IF(OR($G5426="FCC",$G5426="Hydrocracker",$G5426="Reformer"),IF(COUNTIFS($D:$D,$D5426,$A:$A,$A5426,$B:$B,$B5426,$G:$G,"CDU",$J:$J,"PLANNED")&gt;0,"tied","standalone"),"")</f>
        <v/>
      </c>
    </row>
    <row r="5427" spans="1:14">
      <c r="A5427" s="6">
        <v>2025</v>
      </c>
      <c r="B5427" s="6">
        <v>3</v>
      </c>
      <c r="C5427" s="6" t="s">
        <v>62</v>
      </c>
      <c r="D5427" s="6" t="s">
        <v>540</v>
      </c>
      <c r="E5427" s="6" t="s">
        <v>541</v>
      </c>
      <c r="F5427" s="6" t="str">
        <f>IF($M5427="PADD I","PADD 1",IF($M5427="PADD II","PADD 2",IF($M5427="PADD III","PADD 3",IF($M5427="PADD IV","PADD 4",IF($M5427="PADD V","PADD 5","")))))</f>
        <v>PADD 3</v>
      </c>
      <c r="G5427" s="6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6" t="s">
        <v>510</v>
      </c>
      <c r="I5427" s="6" t="s">
        <v>1243</v>
      </c>
      <c r="J5427" s="6" t="s">
        <v>398</v>
      </c>
      <c r="K5427" s="10">
        <v>9.9</v>
      </c>
      <c r="L5427" s="10">
        <v>18</v>
      </c>
      <c r="M5427" s="6" t="s">
        <v>421</v>
      </c>
      <c r="N5427" s="6">
        <f>IF(OR($G5427="FCC",$G5427="Hydrocracker",$G5427="Reformer"),IF(COUNTIFS($D:$D,$D5427,$A:$A,$A5427,$B:$B,$B5427,$G:$G,"CDU",$J:$J,"PLANNED")&gt;0,"tied","standalone"),"")</f>
        <v/>
      </c>
    </row>
    <row r="5428" spans="1:14">
      <c r="A5428" s="6">
        <v>2025</v>
      </c>
      <c r="B5428" s="6">
        <v>3</v>
      </c>
      <c r="C5428" s="6" t="s">
        <v>62</v>
      </c>
      <c r="D5428" s="6" t="s">
        <v>370</v>
      </c>
      <c r="E5428" s="6" t="s">
        <v>431</v>
      </c>
      <c r="F5428" s="6" t="str">
        <f>IF($M5428="PADD I","PADD 1",IF($M5428="PADD II","PADD 2",IF($M5428="PADD III","PADD 3",IF($M5428="PADD IV","PADD 4",IF($M5428="PADD V","PADD 5","")))))</f>
        <v>PADD 2</v>
      </c>
      <c r="G5428" s="6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6" t="s">
        <v>39</v>
      </c>
      <c r="I5428" s="6" t="s">
        <v>82</v>
      </c>
      <c r="J5428" s="6" t="s">
        <v>398</v>
      </c>
      <c r="K5428" s="10">
        <v>9.5</v>
      </c>
      <c r="L5428" s="10">
        <v>50</v>
      </c>
      <c r="M5428" s="6" t="s">
        <v>425</v>
      </c>
      <c r="N5428" s="6">
        <f>IF(OR($G5428="FCC",$G5428="Hydrocracker",$G5428="Reformer"),IF(COUNTIFS($D:$D,$D5428,$A:$A,$A5428,$B:$B,$B5428,$G:$G,"CDU",$J:$J,"PLANNED")&gt;0,"tied","standalone"),"")</f>
        <v/>
      </c>
    </row>
    <row r="5429" spans="1:14">
      <c r="A5429" s="6">
        <v>2025</v>
      </c>
      <c r="B5429" s="6">
        <v>3</v>
      </c>
      <c r="C5429" s="6" t="s">
        <v>62</v>
      </c>
      <c r="D5429" s="6" t="s">
        <v>901</v>
      </c>
      <c r="E5429" s="6" t="s">
        <v>902</v>
      </c>
      <c r="F5429" s="6" t="str">
        <f>IF($M5429="PADD I","PADD 1",IF($M5429="PADD II","PADD 2",IF($M5429="PADD III","PADD 3",IF($M5429="PADD IV","PADD 4",IF($M5429="PADD V","PADD 5","")))))</f>
        <v>PADD 3</v>
      </c>
      <c r="G5429" s="6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6" t="s">
        <v>39</v>
      </c>
      <c r="I5429" s="6" t="s">
        <v>904</v>
      </c>
      <c r="J5429" s="6" t="s">
        <v>394</v>
      </c>
      <c r="K5429" s="10">
        <v>9.49</v>
      </c>
      <c r="L5429" s="10">
        <v>73</v>
      </c>
      <c r="M5429" s="6" t="s">
        <v>421</v>
      </c>
      <c r="N5429" s="6">
        <f>IF(OR($G5429="FCC",$G5429="Hydrocracker",$G5429="Reformer"),IF(COUNTIFS($D:$D,$D5429,$A:$A,$A5429,$B:$B,$B5429,$G:$G,"CDU",$J:$J,"PLANNED")&gt;0,"tied","standalone"),"")</f>
        <v/>
      </c>
    </row>
    <row r="5430" spans="1:14">
      <c r="A5430" s="6">
        <v>2025</v>
      </c>
      <c r="B5430" s="6">
        <v>3</v>
      </c>
      <c r="C5430" s="6" t="s">
        <v>62</v>
      </c>
      <c r="D5430" s="6" t="s">
        <v>505</v>
      </c>
      <c r="E5430" s="6" t="s">
        <v>455</v>
      </c>
      <c r="F5430" s="6" t="str">
        <f>IF($M5430="PADD I","PADD 1",IF($M5430="PADD II","PADD 2",IF($M5430="PADD III","PADD 3",IF($M5430="PADD IV","PADD 4",IF($M5430="PADD V","PADD 5","")))))</f>
        <v>PADD 3</v>
      </c>
      <c r="G5430" s="6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6" t="s">
        <v>510</v>
      </c>
      <c r="I5430" s="6" t="s">
        <v>511</v>
      </c>
      <c r="J5430" s="6" t="s">
        <v>398</v>
      </c>
      <c r="K5430" s="10">
        <v>9.449999999999999</v>
      </c>
      <c r="L5430" s="10">
        <v>21</v>
      </c>
      <c r="M5430" s="6" t="s">
        <v>421</v>
      </c>
      <c r="N5430" s="6">
        <f>IF(OR($G5430="FCC",$G5430="Hydrocracker",$G5430="Reformer"),IF(COUNTIFS($D:$D,$D5430,$A:$A,$A5430,$B:$B,$B5430,$G:$G,"CDU",$J:$J,"PLANNED")&gt;0,"tied","standalone"),"")</f>
        <v/>
      </c>
    </row>
    <row r="5431" spans="1:14">
      <c r="A5431" s="6">
        <v>2025</v>
      </c>
      <c r="B5431" s="6">
        <v>3</v>
      </c>
      <c r="C5431" s="6" t="s">
        <v>62</v>
      </c>
      <c r="D5431" s="6" t="s">
        <v>375</v>
      </c>
      <c r="E5431" s="6" t="s">
        <v>435</v>
      </c>
      <c r="F5431" s="6" t="str">
        <f>IF($M5431="PADD I","PADD 1",IF($M5431="PADD II","PADD 2",IF($M5431="PADD III","PADD 3",IF($M5431="PADD IV","PADD 4",IF($M5431="PADD V","PADD 5","")))))</f>
        <v>PADD 5</v>
      </c>
      <c r="G5431" s="6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6" t="s">
        <v>426</v>
      </c>
      <c r="I5431" s="6" t="s">
        <v>554</v>
      </c>
      <c r="J5431" s="6" t="s">
        <v>394</v>
      </c>
      <c r="K5431" s="10">
        <v>9.1</v>
      </c>
      <c r="L5431" s="10">
        <v>70</v>
      </c>
      <c r="M5431" s="6" t="s">
        <v>436</v>
      </c>
      <c r="N5431" s="6" t="str">
        <f>IF(OR($G5431="FCC",$G5431="Hydrocracker",$G5431="Reformer"),IF(COUNTIFS($D:$D,$D5431,$A:$A,$A5431,$B:$B,$B5431,$G:$G,"CDU",$J:$J,"PLANNED")&gt;0,"tied","standalone"),"")</f>
        <v>standalone</v>
      </c>
    </row>
    <row r="5432" spans="1:14">
      <c r="A5432" s="6">
        <v>2025</v>
      </c>
      <c r="B5432" s="6">
        <v>3</v>
      </c>
      <c r="C5432" s="6" t="s">
        <v>62</v>
      </c>
      <c r="D5432" s="6" t="s">
        <v>370</v>
      </c>
      <c r="E5432" s="6" t="s">
        <v>431</v>
      </c>
      <c r="F5432" s="6" t="str">
        <f>IF($M5432="PADD I","PADD 1",IF($M5432="PADD II","PADD 2",IF($M5432="PADD III","PADD 3",IF($M5432="PADD IV","PADD 4",IF($M5432="PADD V","PADD 5","")))))</f>
        <v>PADD 2</v>
      </c>
      <c r="G5432" s="6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6" t="s">
        <v>485</v>
      </c>
      <c r="I5432" s="6" t="s">
        <v>491</v>
      </c>
      <c r="J5432" s="6" t="s">
        <v>398</v>
      </c>
      <c r="K5432" s="10">
        <v>8.699999999999999</v>
      </c>
      <c r="L5432" s="10">
        <v>30</v>
      </c>
      <c r="M5432" s="6" t="s">
        <v>425</v>
      </c>
      <c r="N5432" s="6">
        <f>IF(OR($G5432="FCC",$G5432="Hydrocracker",$G5432="Reformer"),IF(COUNTIFS($D:$D,$D5432,$A:$A,$A5432,$B:$B,$B5432,$G:$G,"CDU",$J:$J,"PLANNED")&gt;0,"tied","standalone"),"")</f>
        <v/>
      </c>
    </row>
    <row r="5433" spans="1:14">
      <c r="A5433" s="6">
        <v>2025</v>
      </c>
      <c r="B5433" s="6">
        <v>3</v>
      </c>
      <c r="C5433" s="6" t="s">
        <v>62</v>
      </c>
      <c r="D5433" s="6" t="s">
        <v>660</v>
      </c>
      <c r="E5433" s="6" t="s">
        <v>661</v>
      </c>
      <c r="F5433" s="6" t="str">
        <f>IF($M5433="PADD I","PADD 1",IF($M5433="PADD II","PADD 2",IF($M5433="PADD III","PADD 3",IF($M5433="PADD IV","PADD 4",IF($M5433="PADD V","PADD 5","")))))</f>
        <v>PADD 2</v>
      </c>
      <c r="G5433" s="6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6" t="s">
        <v>510</v>
      </c>
      <c r="I5433" s="6" t="s">
        <v>666</v>
      </c>
      <c r="J5433" s="6" t="s">
        <v>398</v>
      </c>
      <c r="K5433" s="10">
        <v>8</v>
      </c>
      <c r="L5433" s="10">
        <v>8</v>
      </c>
      <c r="M5433" s="6" t="s">
        <v>425</v>
      </c>
      <c r="N5433" s="6">
        <f>IF(OR($G5433="FCC",$G5433="Hydrocracker",$G5433="Reformer"),IF(COUNTIFS($D:$D,$D5433,$A:$A,$A5433,$B:$B,$B5433,$G:$G,"CDU",$J:$J,"PLANNED")&gt;0,"tied","standalone"),"")</f>
        <v/>
      </c>
    </row>
    <row r="5434" spans="1:14">
      <c r="A5434" s="6">
        <v>2025</v>
      </c>
      <c r="B5434" s="6">
        <v>3</v>
      </c>
      <c r="C5434" s="6" t="s">
        <v>62</v>
      </c>
      <c r="D5434" s="6" t="s">
        <v>371</v>
      </c>
      <c r="E5434" s="6" t="s">
        <v>419</v>
      </c>
      <c r="F5434" s="6" t="str">
        <f>IF($M5434="PADD I","PADD 1",IF($M5434="PADD II","PADD 2",IF($M5434="PADD III","PADD 3",IF($M5434="PADD IV","PADD 4",IF($M5434="PADD V","PADD 5","")))))</f>
        <v>PADD 2</v>
      </c>
      <c r="G5434" s="6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6" t="s">
        <v>471</v>
      </c>
      <c r="I5434" s="6" t="s">
        <v>756</v>
      </c>
      <c r="J5434" s="6" t="s">
        <v>394</v>
      </c>
      <c r="K5434" s="10">
        <v>7.215</v>
      </c>
      <c r="L5434" s="10">
        <v>18.5</v>
      </c>
      <c r="M5434" s="6" t="s">
        <v>425</v>
      </c>
      <c r="N5434" s="6" t="str">
        <f>IF(OR($G5434="FCC",$G5434="Hydrocracker",$G5434="Reformer"),IF(COUNTIFS($D:$D,$D5434,$A:$A,$A5434,$B:$B,$B5434,$G:$G,"CDU",$J:$J,"PLANNED")&gt;0,"tied","standalone"),"")</f>
        <v>tied</v>
      </c>
    </row>
    <row r="5435" spans="1:14">
      <c r="A5435" s="6">
        <v>2025</v>
      </c>
      <c r="B5435" s="6">
        <v>3</v>
      </c>
      <c r="C5435" s="6" t="s">
        <v>62</v>
      </c>
      <c r="D5435" s="6" t="s">
        <v>501</v>
      </c>
      <c r="E5435" s="6" t="s">
        <v>502</v>
      </c>
      <c r="F5435" s="6" t="str">
        <f>IF($M5435="PADD I","PADD 1",IF($M5435="PADD II","PADD 2",IF($M5435="PADD III","PADD 3",IF($M5435="PADD IV","PADD 4",IF($M5435="PADD V","PADD 5","")))))</f>
        <v>PADD 2</v>
      </c>
      <c r="G5435" s="6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6" t="s">
        <v>44</v>
      </c>
      <c r="I5435" s="6" t="s">
        <v>946</v>
      </c>
      <c r="J5435" s="6" t="s">
        <v>398</v>
      </c>
      <c r="K5435" s="10">
        <v>7</v>
      </c>
      <c r="L5435" s="10">
        <v>7</v>
      </c>
      <c r="M5435" s="6" t="s">
        <v>425</v>
      </c>
      <c r="N5435" s="6">
        <f>IF(OR($G5435="FCC",$G5435="Hydrocracker",$G5435="Reformer"),IF(COUNTIFS($D:$D,$D5435,$A:$A,$A5435,$B:$B,$B5435,$G:$G,"CDU",$J:$J,"PLANNED")&gt;0,"tied","standalone"),"")</f>
        <v/>
      </c>
    </row>
    <row r="5436" spans="1:14">
      <c r="A5436" s="6">
        <v>2025</v>
      </c>
      <c r="B5436" s="6">
        <v>3</v>
      </c>
      <c r="C5436" s="6" t="s">
        <v>62</v>
      </c>
      <c r="D5436" s="6" t="s">
        <v>928</v>
      </c>
      <c r="E5436" s="6" t="s">
        <v>502</v>
      </c>
      <c r="F5436" s="6" t="str">
        <f>IF($M5436="PADD I","PADD 1",IF($M5436="PADD II","PADD 2",IF($M5436="PADD III","PADD 3",IF($M5436="PADD IV","PADD 4",IF($M5436="PADD V","PADD 5","")))))</f>
        <v>PADD 2</v>
      </c>
      <c r="G5436" s="6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6" t="s">
        <v>485</v>
      </c>
      <c r="I5436" s="6" t="s">
        <v>491</v>
      </c>
      <c r="J5436" s="6" t="s">
        <v>394</v>
      </c>
      <c r="K5436" s="10">
        <v>6.885</v>
      </c>
      <c r="L5436" s="10">
        <v>8.5</v>
      </c>
      <c r="M5436" s="6" t="s">
        <v>425</v>
      </c>
      <c r="N5436" s="6">
        <f>IF(OR($G5436="FCC",$G5436="Hydrocracker",$G5436="Reformer"),IF(COUNTIFS($D:$D,$D5436,$A:$A,$A5436,$B:$B,$B5436,$G:$G,"CDU",$J:$J,"PLANNED")&gt;0,"tied","standalone"),"")</f>
        <v/>
      </c>
    </row>
    <row r="5437" spans="1:14">
      <c r="A5437" s="6">
        <v>2025</v>
      </c>
      <c r="B5437" s="6">
        <v>3</v>
      </c>
      <c r="C5437" s="6" t="s">
        <v>62</v>
      </c>
      <c r="D5437" s="6" t="s">
        <v>458</v>
      </c>
      <c r="E5437" s="6" t="s">
        <v>459</v>
      </c>
      <c r="F5437" s="6" t="str">
        <f>IF($M5437="PADD I","PADD 1",IF($M5437="PADD II","PADD 2",IF($M5437="PADD III","PADD 3",IF($M5437="PADD IV","PADD 4",IF($M5437="PADD V","PADD 5","")))))</f>
        <v>PADD 3</v>
      </c>
      <c r="G5437" s="6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6" t="s">
        <v>428</v>
      </c>
      <c r="I5437" s="6" t="s">
        <v>556</v>
      </c>
      <c r="J5437" s="6" t="s">
        <v>394</v>
      </c>
      <c r="K5437" s="10">
        <v>6.76</v>
      </c>
      <c r="L5437" s="10">
        <v>52</v>
      </c>
      <c r="M5437" s="6" t="s">
        <v>421</v>
      </c>
      <c r="N5437" s="6">
        <f>IF(OR($G5437="FCC",$G5437="Hydrocracker",$G5437="Reformer"),IF(COUNTIFS($D:$D,$D5437,$A:$A,$A5437,$B:$B,$B5437,$G:$G,"CDU",$J:$J,"PLANNED")&gt;0,"tied","standalone"),"")</f>
        <v/>
      </c>
    </row>
    <row r="5438" spans="1:14">
      <c r="A5438" s="6">
        <v>2025</v>
      </c>
      <c r="B5438" s="6">
        <v>3</v>
      </c>
      <c r="C5438" s="6" t="s">
        <v>62</v>
      </c>
      <c r="D5438" s="6" t="s">
        <v>370</v>
      </c>
      <c r="E5438" s="6" t="s">
        <v>431</v>
      </c>
      <c r="F5438" s="6" t="str">
        <f>IF($M5438="PADD I","PADD 1",IF($M5438="PADD II","PADD 2",IF($M5438="PADD III","PADD 3",IF($M5438="PADD IV","PADD 4",IF($M5438="PADD V","PADD 5","")))))</f>
        <v>PADD 2</v>
      </c>
      <c r="G5438" s="6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6" t="s">
        <v>426</v>
      </c>
      <c r="I5438" s="6" t="s">
        <v>106</v>
      </c>
      <c r="J5438" s="6" t="s">
        <v>398</v>
      </c>
      <c r="K5438" s="10">
        <v>6.65</v>
      </c>
      <c r="L5438" s="10">
        <v>35</v>
      </c>
      <c r="M5438" s="6" t="s">
        <v>425</v>
      </c>
      <c r="N5438" s="6" t="str">
        <f>IF(OR($G5438="FCC",$G5438="Hydrocracker",$G5438="Reformer"),IF(COUNTIFS($D:$D,$D5438,$A:$A,$A5438,$B:$B,$B5438,$G:$G,"CDU",$J:$J,"PLANNED")&gt;0,"tied","standalone"),"")</f>
        <v>tied</v>
      </c>
    </row>
    <row r="5439" spans="1:14">
      <c r="A5439" s="6">
        <v>2025</v>
      </c>
      <c r="B5439" s="6">
        <v>3</v>
      </c>
      <c r="C5439" s="6" t="s">
        <v>62</v>
      </c>
      <c r="D5439" s="6" t="s">
        <v>689</v>
      </c>
      <c r="E5439" s="6" t="s">
        <v>502</v>
      </c>
      <c r="F5439" s="6" t="str">
        <f>IF($M5439="PADD I","PADD 1",IF($M5439="PADD II","PADD 2",IF($M5439="PADD III","PADD 3",IF($M5439="PADD IV","PADD 4",IF($M5439="PADD V","PADD 5","")))))</f>
        <v>PADD 5</v>
      </c>
      <c r="G5439" s="6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6" t="s">
        <v>485</v>
      </c>
      <c r="I5439" s="6" t="s">
        <v>1146</v>
      </c>
      <c r="J5439" s="6" t="s">
        <v>398</v>
      </c>
      <c r="K5439" s="10">
        <v>6.578</v>
      </c>
      <c r="L5439" s="10">
        <v>25.3</v>
      </c>
      <c r="M5439" s="6" t="s">
        <v>436</v>
      </c>
      <c r="N5439" s="6">
        <f>IF(OR($G5439="FCC",$G5439="Hydrocracker",$G5439="Reformer"),IF(COUNTIFS($D:$D,$D5439,$A:$A,$A5439,$B:$B,$B5439,$G:$G,"CDU",$J:$J,"PLANNED")&gt;0,"tied","standalone"),"")</f>
        <v/>
      </c>
    </row>
    <row r="5440" spans="1:14">
      <c r="A5440" s="6">
        <v>2025</v>
      </c>
      <c r="B5440" s="6">
        <v>3</v>
      </c>
      <c r="C5440" s="6" t="s">
        <v>62</v>
      </c>
      <c r="D5440" s="6" t="s">
        <v>496</v>
      </c>
      <c r="E5440" s="6" t="s">
        <v>441</v>
      </c>
      <c r="F5440" s="6" t="str">
        <f>IF($M5440="PADD I","PADD 1",IF($M5440="PADD II","PADD 2",IF($M5440="PADD III","PADD 3",IF($M5440="PADD IV","PADD 4",IF($M5440="PADD V","PADD 5","")))))</f>
        <v>PADD 3</v>
      </c>
      <c r="G5440" s="6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6" t="s">
        <v>428</v>
      </c>
      <c r="I5440" s="6" t="s">
        <v>1091</v>
      </c>
      <c r="J5440" s="6" t="s">
        <v>394</v>
      </c>
      <c r="K5440" s="10">
        <v>6.56</v>
      </c>
      <c r="L5440" s="10">
        <v>41</v>
      </c>
      <c r="M5440" s="6" t="s">
        <v>421</v>
      </c>
      <c r="N5440" s="6">
        <f>IF(OR($G5440="FCC",$G5440="Hydrocracker",$G5440="Reformer"),IF(COUNTIFS($D:$D,$D5440,$A:$A,$A5440,$B:$B,$B5440,$G:$G,"CDU",$J:$J,"PLANNED")&gt;0,"tied","standalone"),"")</f>
        <v/>
      </c>
    </row>
    <row r="5441" spans="1:14">
      <c r="A5441" s="6">
        <v>2025</v>
      </c>
      <c r="B5441" s="6">
        <v>3</v>
      </c>
      <c r="C5441" s="6" t="s">
        <v>62</v>
      </c>
      <c r="D5441" s="6" t="s">
        <v>515</v>
      </c>
      <c r="E5441" s="6" t="s">
        <v>419</v>
      </c>
      <c r="F5441" s="6" t="str">
        <f>IF($M5441="PADD I","PADD 1",IF($M5441="PADD II","PADD 2",IF($M5441="PADD III","PADD 3",IF($M5441="PADD IV","PADD 4",IF($M5441="PADD V","PADD 5","")))))</f>
        <v>PADD 5</v>
      </c>
      <c r="G5441" s="6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6" t="s">
        <v>426</v>
      </c>
      <c r="I5441" s="6" t="s">
        <v>106</v>
      </c>
      <c r="J5441" s="6" t="s">
        <v>398</v>
      </c>
      <c r="K5441" s="10">
        <v>6.5</v>
      </c>
      <c r="L5441" s="10">
        <v>50</v>
      </c>
      <c r="M5441" s="6" t="s">
        <v>436</v>
      </c>
      <c r="N5441" s="6" t="str">
        <f>IF(OR($G5441="FCC",$G5441="Hydrocracker",$G5441="Reformer"),IF(COUNTIFS($D:$D,$D5441,$A:$A,$A5441,$B:$B,$B5441,$G:$G,"CDU",$J:$J,"PLANNED")&gt;0,"tied","standalone"),"")</f>
        <v>standalone</v>
      </c>
    </row>
    <row r="5442" spans="1:14">
      <c r="A5442" s="6">
        <v>2025</v>
      </c>
      <c r="B5442" s="6">
        <v>3</v>
      </c>
      <c r="C5442" s="6" t="s">
        <v>62</v>
      </c>
      <c r="D5442" s="6" t="s">
        <v>479</v>
      </c>
      <c r="E5442" s="6" t="s">
        <v>438</v>
      </c>
      <c r="F5442" s="6" t="str">
        <f>IF($M5442="PADD I","PADD 1",IF($M5442="PADD II","PADD 2",IF($M5442="PADD III","PADD 3",IF($M5442="PADD IV","PADD 4",IF($M5442="PADD V","PADD 5","")))))</f>
        <v>PADD 4</v>
      </c>
      <c r="G5442" s="6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6" t="s">
        <v>39</v>
      </c>
      <c r="I5442" s="6" t="s">
        <v>82</v>
      </c>
      <c r="J5442" s="6" t="s">
        <v>398</v>
      </c>
      <c r="K5442" s="10">
        <v>6.4</v>
      </c>
      <c r="L5442" s="10">
        <v>64</v>
      </c>
      <c r="M5442" s="6" t="s">
        <v>480</v>
      </c>
      <c r="N5442" s="6">
        <f>IF(OR($G5442="FCC",$G5442="Hydrocracker",$G5442="Reformer"),IF(COUNTIFS($D:$D,$D5442,$A:$A,$A5442,$B:$B,$B5442,$G:$G,"CDU",$J:$J,"PLANNED")&gt;0,"tied","standalone"),"")</f>
        <v/>
      </c>
    </row>
    <row r="5443" spans="1:14">
      <c r="A5443" s="6">
        <v>2025</v>
      </c>
      <c r="B5443" s="6">
        <v>3</v>
      </c>
      <c r="C5443" s="6" t="s">
        <v>62</v>
      </c>
      <c r="D5443" s="6" t="s">
        <v>1003</v>
      </c>
      <c r="E5443" s="6" t="s">
        <v>783</v>
      </c>
      <c r="F5443" s="6" t="str">
        <f>IF($M5443="PADD I","PADD 1",IF($M5443="PADD II","PADD 2",IF($M5443="PADD III","PADD 3",IF($M5443="PADD IV","PADD 4",IF($M5443="PADD V","PADD 5","")))))</f>
        <v>PADD 2</v>
      </c>
      <c r="G5443" s="6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6" t="s">
        <v>44</v>
      </c>
      <c r="I5443" s="6" t="s">
        <v>499</v>
      </c>
      <c r="J5443" s="6" t="s">
        <v>398</v>
      </c>
      <c r="K5443" s="10">
        <v>6.24</v>
      </c>
      <c r="L5443" s="10">
        <v>12</v>
      </c>
      <c r="M5443" s="6" t="s">
        <v>425</v>
      </c>
      <c r="N5443" s="6">
        <f>IF(OR($G5443="FCC",$G5443="Hydrocracker",$G5443="Reformer"),IF(COUNTIFS($D:$D,$D5443,$A:$A,$A5443,$B:$B,$B5443,$G:$G,"CDU",$J:$J,"PLANNED")&gt;0,"tied","standalone"),"")</f>
        <v/>
      </c>
    </row>
    <row r="5444" spans="1:14">
      <c r="A5444" s="6">
        <v>2025</v>
      </c>
      <c r="B5444" s="6">
        <v>3</v>
      </c>
      <c r="C5444" s="6" t="s">
        <v>62</v>
      </c>
      <c r="D5444" s="6" t="s">
        <v>780</v>
      </c>
      <c r="E5444" s="6" t="s">
        <v>781</v>
      </c>
      <c r="F5444" s="6" t="str">
        <f>IF($M5444="PADD I","PADD 1",IF($M5444="PADD II","PADD 2",IF($M5444="PADD III","PADD 3",IF($M5444="PADD IV","PADD 4",IF($M5444="PADD V","PADD 5","")))))</f>
        <v>PADD 3</v>
      </c>
      <c r="G5444" s="6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6" t="s">
        <v>471</v>
      </c>
      <c r="I5444" s="6" t="s">
        <v>15</v>
      </c>
      <c r="J5444" s="6" t="s">
        <v>394</v>
      </c>
      <c r="K5444" s="10">
        <v>6.05</v>
      </c>
      <c r="L5444" s="10">
        <v>11</v>
      </c>
      <c r="M5444" s="6" t="s">
        <v>421</v>
      </c>
      <c r="N5444" s="6" t="str">
        <f>IF(OR($G5444="FCC",$G5444="Hydrocracker",$G5444="Reformer"),IF(COUNTIFS($D:$D,$D5444,$A:$A,$A5444,$B:$B,$B5444,$G:$G,"CDU",$J:$J,"PLANNED")&gt;0,"tied","standalone"),"")</f>
        <v>standalone</v>
      </c>
    </row>
    <row r="5445" spans="1:14">
      <c r="A5445" s="6">
        <v>2025</v>
      </c>
      <c r="B5445" s="6">
        <v>3</v>
      </c>
      <c r="C5445" s="6" t="s">
        <v>62</v>
      </c>
      <c r="D5445" s="6" t="s">
        <v>52</v>
      </c>
      <c r="E5445" s="6" t="s">
        <v>441</v>
      </c>
      <c r="F5445" s="6" t="str">
        <f>IF($M5445="PADD I","PADD 1",IF($M5445="PADD II","PADD 2",IF($M5445="PADD III","PADD 3",IF($M5445="PADD IV","PADD 4",IF($M5445="PADD V","PADD 5","")))))</f>
        <v>PADD 5</v>
      </c>
      <c r="G5445" s="6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6" t="s">
        <v>494</v>
      </c>
      <c r="I5445" s="6" t="s">
        <v>1124</v>
      </c>
      <c r="J5445" s="6" t="s">
        <v>394</v>
      </c>
      <c r="K5445" s="10">
        <v>5.85</v>
      </c>
      <c r="L5445" s="10">
        <v>45</v>
      </c>
      <c r="M5445" s="6" t="s">
        <v>436</v>
      </c>
      <c r="N5445" s="6" t="str">
        <f>IF(OR($G5445="FCC",$G5445="Hydrocracker",$G5445="Reformer"),IF(COUNTIFS($D:$D,$D5445,$A:$A,$A5445,$B:$B,$B5445,$G:$G,"CDU",$J:$J,"PLANNED")&gt;0,"tied","standalone"),"")</f>
        <v>standalone</v>
      </c>
    </row>
    <row r="5446" spans="1:14">
      <c r="A5446" s="6">
        <v>2025</v>
      </c>
      <c r="B5446" s="6">
        <v>3</v>
      </c>
      <c r="C5446" s="6" t="s">
        <v>62</v>
      </c>
      <c r="D5446" s="6" t="s">
        <v>725</v>
      </c>
      <c r="E5446" s="6" t="s">
        <v>502</v>
      </c>
      <c r="F5446" s="6" t="str">
        <f>IF($M5446="PADD I","PADD 1",IF($M5446="PADD II","PADD 2",IF($M5446="PADD III","PADD 3",IF($M5446="PADD IV","PADD 4",IF($M5446="PADD V","PADD 5","")))))</f>
        <v>PADD 2</v>
      </c>
      <c r="G5446" s="6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6" t="s">
        <v>44</v>
      </c>
      <c r="I5446" s="6" t="s">
        <v>1192</v>
      </c>
      <c r="J5446" s="6" t="s">
        <v>394</v>
      </c>
      <c r="K5446" s="10">
        <v>5.85</v>
      </c>
      <c r="L5446" s="10">
        <v>45</v>
      </c>
      <c r="M5446" s="6" t="s">
        <v>425</v>
      </c>
      <c r="N5446" s="6">
        <f>IF(OR($G5446="FCC",$G5446="Hydrocracker",$G5446="Reformer"),IF(COUNTIFS($D:$D,$D5446,$A:$A,$A5446,$B:$B,$B5446,$G:$G,"CDU",$J:$J,"PLANNED")&gt;0,"tied","standalone"),"")</f>
        <v/>
      </c>
    </row>
    <row r="5447" spans="1:14">
      <c r="A5447" s="6">
        <v>2025</v>
      </c>
      <c r="B5447" s="6">
        <v>3</v>
      </c>
      <c r="C5447" s="6" t="s">
        <v>62</v>
      </c>
      <c r="D5447" s="6" t="s">
        <v>501</v>
      </c>
      <c r="E5447" s="6" t="s">
        <v>502</v>
      </c>
      <c r="F5447" s="6" t="str">
        <f>IF($M5447="PADD I","PADD 1",IF($M5447="PADD II","PADD 2",IF($M5447="PADD III","PADD 3",IF($M5447="PADD IV","PADD 4",IF($M5447="PADD V","PADD 5","")))))</f>
        <v>PADD 2</v>
      </c>
      <c r="G5447" s="6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6" t="s">
        <v>426</v>
      </c>
      <c r="I5447" s="6" t="s">
        <v>106</v>
      </c>
      <c r="J5447" s="6" t="s">
        <v>398</v>
      </c>
      <c r="K5447" s="10">
        <v>5.8</v>
      </c>
      <c r="L5447" s="10">
        <v>5.8</v>
      </c>
      <c r="M5447" s="6" t="s">
        <v>425</v>
      </c>
      <c r="N5447" s="6" t="str">
        <f>IF(OR($G5447="FCC",$G5447="Hydrocracker",$G5447="Reformer"),IF(COUNTIFS($D:$D,$D5447,$A:$A,$A5447,$B:$B,$B5447,$G:$G,"CDU",$J:$J,"PLANNED")&gt;0,"tied","standalone"),"")</f>
        <v>tied</v>
      </c>
    </row>
    <row r="5448" spans="1:14">
      <c r="A5448" s="6">
        <v>2025</v>
      </c>
      <c r="B5448" s="6">
        <v>3</v>
      </c>
      <c r="C5448" s="6" t="s">
        <v>62</v>
      </c>
      <c r="D5448" s="6" t="s">
        <v>937</v>
      </c>
      <c r="E5448" s="6" t="s">
        <v>455</v>
      </c>
      <c r="F5448" s="6" t="str">
        <f>IF($M5448="PADD I","PADD 1",IF($M5448="PADD II","PADD 2",IF($M5448="PADD III","PADD 3",IF($M5448="PADD IV","PADD 4",IF($M5448="PADD V","PADD 5","")))))</f>
        <v>PADD 3</v>
      </c>
      <c r="G5448" s="6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6" t="s">
        <v>494</v>
      </c>
      <c r="I5448" s="6" t="s">
        <v>1072</v>
      </c>
      <c r="J5448" s="6" t="s">
        <v>398</v>
      </c>
      <c r="K5448" s="10">
        <v>5.7</v>
      </c>
      <c r="L5448" s="10">
        <v>30</v>
      </c>
      <c r="M5448" s="6" t="s">
        <v>421</v>
      </c>
      <c r="N5448" s="6" t="str">
        <f>IF(OR($G5448="FCC",$G5448="Hydrocracker",$G5448="Reformer"),IF(COUNTIFS($D:$D,$D5448,$A:$A,$A5448,$B:$B,$B5448,$G:$G,"CDU",$J:$J,"PLANNED")&gt;0,"tied","standalone"),"")</f>
        <v>standalone</v>
      </c>
    </row>
    <row r="5449" spans="1:14">
      <c r="A5449" s="6">
        <v>2025</v>
      </c>
      <c r="B5449" s="6">
        <v>3</v>
      </c>
      <c r="C5449" s="6" t="s">
        <v>62</v>
      </c>
      <c r="D5449" s="6" t="s">
        <v>370</v>
      </c>
      <c r="E5449" s="6" t="s">
        <v>431</v>
      </c>
      <c r="F5449" s="6" t="str">
        <f>IF($M5449="PADD I","PADD 1",IF($M5449="PADD II","PADD 2",IF($M5449="PADD III","PADD 3",IF($M5449="PADD IV","PADD 4",IF($M5449="PADD V","PADD 5","")))))</f>
        <v>PADD 2</v>
      </c>
      <c r="G5449" s="6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6" t="s">
        <v>485</v>
      </c>
      <c r="I5449" s="6" t="s">
        <v>491</v>
      </c>
      <c r="J5449" s="6" t="s">
        <v>398</v>
      </c>
      <c r="K5449" s="10">
        <v>5.7</v>
      </c>
      <c r="L5449" s="10">
        <v>30</v>
      </c>
      <c r="M5449" s="6" t="s">
        <v>425</v>
      </c>
      <c r="N5449" s="6">
        <f>IF(OR($G5449="FCC",$G5449="Hydrocracker",$G5449="Reformer"),IF(COUNTIFS($D:$D,$D5449,$A:$A,$A5449,$B:$B,$B5449,$G:$G,"CDU",$J:$J,"PLANNED")&gt;0,"tied","standalone"),"")</f>
        <v/>
      </c>
    </row>
    <row r="5450" spans="1:14">
      <c r="A5450" s="6">
        <v>2025</v>
      </c>
      <c r="B5450" s="6">
        <v>3</v>
      </c>
      <c r="C5450" s="6" t="s">
        <v>62</v>
      </c>
      <c r="D5450" s="6" t="s">
        <v>395</v>
      </c>
      <c r="E5450" s="6" t="s">
        <v>433</v>
      </c>
      <c r="F5450" s="6" t="str">
        <f>IF($M5450="PADD I","PADD 1",IF($M5450="PADD II","PADD 2",IF($M5450="PADD III","PADD 3",IF($M5450="PADD IV","PADD 4",IF($M5450="PADD V","PADD 5","")))))</f>
        <v>PADD 2</v>
      </c>
      <c r="G5450" s="6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6" t="s">
        <v>39</v>
      </c>
      <c r="I5450" s="6" t="s">
        <v>434</v>
      </c>
      <c r="J5450" s="6" t="s">
        <v>394</v>
      </c>
      <c r="K5450" s="10">
        <v>5.64</v>
      </c>
      <c r="L5450" s="10">
        <v>94</v>
      </c>
      <c r="M5450" s="6" t="s">
        <v>425</v>
      </c>
      <c r="N5450" s="6">
        <f>IF(OR($G5450="FCC",$G5450="Hydrocracker",$G5450="Reformer"),IF(COUNTIFS($D:$D,$D5450,$A:$A,$A5450,$B:$B,$B5450,$G:$G,"CDU",$J:$J,"PLANNED")&gt;0,"tied","standalone"),"")</f>
        <v/>
      </c>
    </row>
    <row r="5451" spans="1:14">
      <c r="A5451" s="6">
        <v>2025</v>
      </c>
      <c r="B5451" s="6">
        <v>3</v>
      </c>
      <c r="C5451" s="6" t="s">
        <v>62</v>
      </c>
      <c r="D5451" s="6" t="s">
        <v>370</v>
      </c>
      <c r="E5451" s="6" t="s">
        <v>431</v>
      </c>
      <c r="F5451" s="6" t="str">
        <f>IF($M5451="PADD I","PADD 1",IF($M5451="PADD II","PADD 2",IF($M5451="PADD III","PADD 3",IF($M5451="PADD IV","PADD 4",IF($M5451="PADD V","PADD 5","")))))</f>
        <v>PADD 2</v>
      </c>
      <c r="G5451" s="6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6" t="s">
        <v>44</v>
      </c>
      <c r="I5451" s="6" t="s">
        <v>1215</v>
      </c>
      <c r="J5451" s="6" t="s">
        <v>398</v>
      </c>
      <c r="K5451" s="10">
        <v>5.51</v>
      </c>
      <c r="L5451" s="10">
        <v>19</v>
      </c>
      <c r="M5451" s="6" t="s">
        <v>425</v>
      </c>
      <c r="N5451" s="6">
        <f>IF(OR($G5451="FCC",$G5451="Hydrocracker",$G5451="Reformer"),IF(COUNTIFS($D:$D,$D5451,$A:$A,$A5451,$B:$B,$B5451,$G:$G,"CDU",$J:$J,"PLANNED")&gt;0,"tied","standalone"),"")</f>
        <v/>
      </c>
    </row>
    <row r="5452" spans="1:14">
      <c r="A5452" s="6">
        <v>2025</v>
      </c>
      <c r="B5452" s="6">
        <v>3</v>
      </c>
      <c r="C5452" s="6" t="s">
        <v>62</v>
      </c>
      <c r="D5452" s="6" t="s">
        <v>1336</v>
      </c>
      <c r="E5452" s="6" t="s">
        <v>1337</v>
      </c>
      <c r="F5452" s="6" t="str">
        <f>IF($M5452="PADD I","PADD 1",IF($M5452="PADD II","PADD 2",IF($M5452="PADD III","PADD 3",IF($M5452="PADD IV","PADD 4",IF($M5452="PADD V","PADD 5","")))))</f>
        <v>PADD 4</v>
      </c>
      <c r="G5452" s="6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6" t="s">
        <v>44</v>
      </c>
      <c r="I5452" s="6" t="s">
        <v>1341</v>
      </c>
      <c r="J5452" s="6" t="s">
        <v>394</v>
      </c>
      <c r="K5452" s="10">
        <v>5.5</v>
      </c>
      <c r="L5452" s="10">
        <v>5.5</v>
      </c>
      <c r="M5452" s="6" t="s">
        <v>480</v>
      </c>
      <c r="N5452" s="6">
        <f>IF(OR($G5452="FCC",$G5452="Hydrocracker",$G5452="Reformer"),IF(COUNTIFS($D:$D,$D5452,$A:$A,$A5452,$B:$B,$B5452,$G:$G,"CDU",$J:$J,"PLANNED")&gt;0,"tied","standalone"),"")</f>
        <v/>
      </c>
    </row>
    <row r="5453" spans="1:14">
      <c r="A5453" s="6">
        <v>2025</v>
      </c>
      <c r="B5453" s="6">
        <v>3</v>
      </c>
      <c r="C5453" s="6" t="s">
        <v>62</v>
      </c>
      <c r="D5453" s="6" t="s">
        <v>1336</v>
      </c>
      <c r="E5453" s="6" t="s">
        <v>1337</v>
      </c>
      <c r="F5453" s="6" t="str">
        <f>IF($M5453="PADD I","PADD 1",IF($M5453="PADD II","PADD 2",IF($M5453="PADD III","PADD 3",IF($M5453="PADD IV","PADD 4",IF($M5453="PADD V","PADD 5","")))))</f>
        <v>PADD 4</v>
      </c>
      <c r="G5453" s="6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6" t="s">
        <v>426</v>
      </c>
      <c r="I5453" s="6" t="s">
        <v>106</v>
      </c>
      <c r="J5453" s="6" t="s">
        <v>394</v>
      </c>
      <c r="K5453" s="10">
        <v>5.5</v>
      </c>
      <c r="L5453" s="10">
        <v>5.5</v>
      </c>
      <c r="M5453" s="6" t="s">
        <v>480</v>
      </c>
      <c r="N5453" s="6" t="str">
        <f>IF(OR($G5453="FCC",$G5453="Hydrocracker",$G5453="Reformer"),IF(COUNTIFS($D:$D,$D5453,$A:$A,$A5453,$B:$B,$B5453,$G:$G,"CDU",$J:$J,"PLANNED")&gt;0,"tied","standalone"),"")</f>
        <v>standalone</v>
      </c>
    </row>
    <row r="5454" spans="1:14">
      <c r="A5454" s="6">
        <v>2025</v>
      </c>
      <c r="B5454" s="6">
        <v>3</v>
      </c>
      <c r="C5454" s="6" t="s">
        <v>62</v>
      </c>
      <c r="D5454" s="6" t="s">
        <v>49</v>
      </c>
      <c r="E5454" s="6" t="s">
        <v>438</v>
      </c>
      <c r="F5454" s="6" t="str">
        <f>IF($M5454="PADD I","PADD 1",IF($M5454="PADD II","PADD 2",IF($M5454="PADD III","PADD 3",IF($M5454="PADD IV","PADD 4",IF($M5454="PADD V","PADD 5","")))))</f>
        <v>PADD 2</v>
      </c>
      <c r="G5454" s="6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6" t="s">
        <v>426</v>
      </c>
      <c r="I5454" s="6" t="s">
        <v>106</v>
      </c>
      <c r="J5454" s="6" t="s">
        <v>394</v>
      </c>
      <c r="K5454" s="10">
        <v>5.45</v>
      </c>
      <c r="L5454" s="10">
        <v>54.5</v>
      </c>
      <c r="M5454" s="6" t="s">
        <v>425</v>
      </c>
      <c r="N5454" s="6" t="str">
        <f>IF(OR($G5454="FCC",$G5454="Hydrocracker",$G5454="Reformer"),IF(COUNTIFS($D:$D,$D5454,$A:$A,$A5454,$B:$B,$B5454,$G:$G,"CDU",$J:$J,"PLANNED")&gt;0,"tied","standalone"),"")</f>
        <v>tied</v>
      </c>
    </row>
    <row r="5455" spans="1:14">
      <c r="A5455" s="6">
        <v>2025</v>
      </c>
      <c r="B5455" s="6">
        <v>3</v>
      </c>
      <c r="C5455" s="6" t="s">
        <v>62</v>
      </c>
      <c r="D5455" s="6" t="s">
        <v>622</v>
      </c>
      <c r="E5455" s="6" t="s">
        <v>623</v>
      </c>
      <c r="F5455" s="6" t="str">
        <f>IF($M5455="PADD I","PADD 1",IF($M5455="PADD II","PADD 2",IF($M5455="PADD III","PADD 3",IF($M5455="PADD IV","PADD 4",IF($M5455="PADD V","PADD 5","")))))</f>
        <v>PADD 3</v>
      </c>
      <c r="G5455" s="6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6" t="s">
        <v>39</v>
      </c>
      <c r="I5455" s="6" t="s">
        <v>624</v>
      </c>
      <c r="J5455" s="6" t="s">
        <v>394</v>
      </c>
      <c r="K5455" s="10">
        <v>5</v>
      </c>
      <c r="L5455" s="10">
        <v>50</v>
      </c>
      <c r="M5455" s="6" t="s">
        <v>421</v>
      </c>
      <c r="N5455" s="6">
        <f>IF(OR($G5455="FCC",$G5455="Hydrocracker",$G5455="Reformer"),IF(COUNTIFS($D:$D,$D5455,$A:$A,$A5455,$B:$B,$B5455,$G:$G,"CDU",$J:$J,"PLANNED")&gt;0,"tied","standalone"),"")</f>
        <v/>
      </c>
    </row>
    <row r="5456" spans="1:14">
      <c r="A5456" s="6">
        <v>2025</v>
      </c>
      <c r="B5456" s="6">
        <v>3</v>
      </c>
      <c r="C5456" s="6" t="s">
        <v>62</v>
      </c>
      <c r="D5456" s="6" t="s">
        <v>487</v>
      </c>
      <c r="E5456" s="6" t="s">
        <v>488</v>
      </c>
      <c r="F5456" s="6" t="str">
        <f>IF($M5456="PADD I","PADD 1",IF($M5456="PADD II","PADD 2",IF($M5456="PADD III","PADD 3",IF($M5456="PADD IV","PADD 4",IF($M5456="PADD V","PADD 5","")))))</f>
        <v>PADD 4</v>
      </c>
      <c r="G5456" s="6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6" t="s">
        <v>428</v>
      </c>
      <c r="I5456" s="6" t="s">
        <v>544</v>
      </c>
      <c r="J5456" s="6" t="s">
        <v>394</v>
      </c>
      <c r="K5456" s="10">
        <v>4.8575</v>
      </c>
      <c r="L5456" s="10">
        <v>16.75</v>
      </c>
      <c r="M5456" s="6" t="s">
        <v>480</v>
      </c>
      <c r="N5456" s="6">
        <f>IF(OR($G5456="FCC",$G5456="Hydrocracker",$G5456="Reformer"),IF(COUNTIFS($D:$D,$D5456,$A:$A,$A5456,$B:$B,$B5456,$G:$G,"CDU",$J:$J,"PLANNED")&gt;0,"tied","standalone"),"")</f>
        <v/>
      </c>
    </row>
    <row r="5457" spans="1:14">
      <c r="A5457" s="6">
        <v>2025</v>
      </c>
      <c r="B5457" s="6">
        <v>3</v>
      </c>
      <c r="C5457" s="6" t="s">
        <v>62</v>
      </c>
      <c r="D5457" s="6" t="s">
        <v>440</v>
      </c>
      <c r="E5457" s="6" t="s">
        <v>441</v>
      </c>
      <c r="F5457" s="6" t="str">
        <f>IF($M5457="PADD I","PADD 1",IF($M5457="PADD II","PADD 2",IF($M5457="PADD III","PADD 3",IF($M5457="PADD IV","PADD 4",IF($M5457="PADD V","PADD 5","")))))</f>
        <v>PADD 3</v>
      </c>
      <c r="G5457" s="6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6" t="s">
        <v>44</v>
      </c>
      <c r="I5457" s="6" t="s">
        <v>1348</v>
      </c>
      <c r="J5457" s="6" t="s">
        <v>398</v>
      </c>
      <c r="K5457" s="10">
        <v>4.8</v>
      </c>
      <c r="L5457" s="10">
        <v>30</v>
      </c>
      <c r="M5457" s="6" t="s">
        <v>421</v>
      </c>
      <c r="N5457" s="6">
        <f>IF(OR($G5457="FCC",$G5457="Hydrocracker",$G5457="Reformer"),IF(COUNTIFS($D:$D,$D5457,$A:$A,$A5457,$B:$B,$B5457,$G:$G,"CDU",$J:$J,"PLANNED")&gt;0,"tied","standalone"),"")</f>
        <v/>
      </c>
    </row>
    <row r="5458" spans="1:14">
      <c r="A5458" s="6">
        <v>2025</v>
      </c>
      <c r="B5458" s="6">
        <v>3</v>
      </c>
      <c r="C5458" s="6" t="s">
        <v>62</v>
      </c>
      <c r="D5458" s="6" t="s">
        <v>901</v>
      </c>
      <c r="E5458" s="6" t="s">
        <v>902</v>
      </c>
      <c r="F5458" s="6" t="str">
        <f>IF($M5458="PADD I","PADD 1",IF($M5458="PADD II","PADD 2",IF($M5458="PADD III","PADD 3",IF($M5458="PADD IV","PADD 4",IF($M5458="PADD V","PADD 5","")))))</f>
        <v>PADD 3</v>
      </c>
      <c r="G5458" s="6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6" t="s">
        <v>428</v>
      </c>
      <c r="I5458" s="6" t="s">
        <v>910</v>
      </c>
      <c r="J5458" s="6" t="s">
        <v>394</v>
      </c>
      <c r="K5458" s="10">
        <v>4.68</v>
      </c>
      <c r="L5458" s="10">
        <v>36</v>
      </c>
      <c r="M5458" s="6" t="s">
        <v>421</v>
      </c>
      <c r="N5458" s="6">
        <f>IF(OR($G5458="FCC",$G5458="Hydrocracker",$G5458="Reformer"),IF(COUNTIFS($D:$D,$D5458,$A:$A,$A5458,$B:$B,$B5458,$G:$G,"CDU",$J:$J,"PLANNED")&gt;0,"tied","standalone"),"")</f>
        <v/>
      </c>
    </row>
    <row r="5459" spans="1:14">
      <c r="A5459" s="6">
        <v>2025</v>
      </c>
      <c r="B5459" s="6">
        <v>3</v>
      </c>
      <c r="C5459" s="6" t="s">
        <v>62</v>
      </c>
      <c r="D5459" s="6" t="s">
        <v>49</v>
      </c>
      <c r="E5459" s="6" t="s">
        <v>438</v>
      </c>
      <c r="F5459" s="6" t="str">
        <f>IF($M5459="PADD I","PADD 1",IF($M5459="PADD II","PADD 2",IF($M5459="PADD III","PADD 3",IF($M5459="PADD IV","PADD 4",IF($M5459="PADD V","PADD 5","")))))</f>
        <v>PADD 2</v>
      </c>
      <c r="G5459" s="6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6" t="s">
        <v>687</v>
      </c>
      <c r="I5459" s="6" t="s">
        <v>654</v>
      </c>
      <c r="J5459" s="6" t="s">
        <v>394</v>
      </c>
      <c r="K5459" s="10">
        <v>4.64</v>
      </c>
      <c r="L5459" s="10">
        <v>16</v>
      </c>
      <c r="M5459" s="6" t="s">
        <v>425</v>
      </c>
      <c r="N5459" s="6">
        <f>IF(OR($G5459="FCC",$G5459="Hydrocracker",$G5459="Reformer"),IF(COUNTIFS($D:$D,$D5459,$A:$A,$A5459,$B:$B,$B5459,$G:$G,"CDU",$J:$J,"PLANNED")&gt;0,"tied","standalone"),"")</f>
        <v/>
      </c>
    </row>
    <row r="5460" spans="1:14">
      <c r="A5460" s="6">
        <v>2025</v>
      </c>
      <c r="B5460" s="6">
        <v>3</v>
      </c>
      <c r="C5460" s="6" t="s">
        <v>62</v>
      </c>
      <c r="D5460" s="6" t="s">
        <v>937</v>
      </c>
      <c r="E5460" s="6" t="s">
        <v>455</v>
      </c>
      <c r="F5460" s="6" t="str">
        <f>IF($M5460="PADD I","PADD 1",IF($M5460="PADD II","PADD 2",IF($M5460="PADD III","PADD 3",IF($M5460="PADD IV","PADD 4",IF($M5460="PADD V","PADD 5","")))))</f>
        <v>PADD 3</v>
      </c>
      <c r="G5460" s="6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6" t="s">
        <v>426</v>
      </c>
      <c r="I5460" s="6" t="s">
        <v>856</v>
      </c>
      <c r="J5460" s="6" t="s">
        <v>398</v>
      </c>
      <c r="K5460" s="10">
        <v>4.56</v>
      </c>
      <c r="L5460" s="10">
        <v>24</v>
      </c>
      <c r="M5460" s="6" t="s">
        <v>421</v>
      </c>
      <c r="N5460" s="6" t="str">
        <f>IF(OR($G5460="FCC",$G5460="Hydrocracker",$G5460="Reformer"),IF(COUNTIFS($D:$D,$D5460,$A:$A,$A5460,$B:$B,$B5460,$G:$G,"CDU",$J:$J,"PLANNED")&gt;0,"tied","standalone"),"")</f>
        <v>standalone</v>
      </c>
    </row>
    <row r="5461" spans="1:14">
      <c r="A5461" s="6">
        <v>2025</v>
      </c>
      <c r="B5461" s="6">
        <v>3</v>
      </c>
      <c r="C5461" s="6" t="s">
        <v>62</v>
      </c>
      <c r="D5461" s="6" t="s">
        <v>501</v>
      </c>
      <c r="E5461" s="6" t="s">
        <v>502</v>
      </c>
      <c r="F5461" s="6" t="str">
        <f>IF($M5461="PADD I","PADD 1",IF($M5461="PADD II","PADD 2",IF($M5461="PADD III","PADD 3",IF($M5461="PADD IV","PADD 4",IF($M5461="PADD V","PADD 5","")))))</f>
        <v>PADD 2</v>
      </c>
      <c r="G5461" s="6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6" t="s">
        <v>471</v>
      </c>
      <c r="I5461" s="6" t="s">
        <v>949</v>
      </c>
      <c r="J5461" s="6" t="s">
        <v>398</v>
      </c>
      <c r="K5461" s="10">
        <v>4.4</v>
      </c>
      <c r="L5461" s="10">
        <v>4.4</v>
      </c>
      <c r="M5461" s="6" t="s">
        <v>425</v>
      </c>
      <c r="N5461" s="6" t="str">
        <f>IF(OR($G5461="FCC",$G5461="Hydrocracker",$G5461="Reformer"),IF(COUNTIFS($D:$D,$D5461,$A:$A,$A5461,$B:$B,$B5461,$G:$G,"CDU",$J:$J,"PLANNED")&gt;0,"tied","standalone"),"")</f>
        <v>tied</v>
      </c>
    </row>
    <row r="5462" spans="1:14">
      <c r="A5462" s="6">
        <v>2025</v>
      </c>
      <c r="B5462" s="6">
        <v>3</v>
      </c>
      <c r="C5462" s="6" t="s">
        <v>62</v>
      </c>
      <c r="D5462" s="6" t="s">
        <v>501</v>
      </c>
      <c r="E5462" s="6" t="s">
        <v>502</v>
      </c>
      <c r="F5462" s="6" t="str">
        <f>IF($M5462="PADD I","PADD 1",IF($M5462="PADD II","PADD 2",IF($M5462="PADD III","PADD 3",IF($M5462="PADD IV","PADD 4",IF($M5462="PADD V","PADD 5","")))))</f>
        <v>PADD 2</v>
      </c>
      <c r="G5462" s="6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6" t="s">
        <v>44</v>
      </c>
      <c r="I5462" s="6" t="s">
        <v>950</v>
      </c>
      <c r="J5462" s="6" t="s">
        <v>398</v>
      </c>
      <c r="K5462" s="10">
        <v>4.4</v>
      </c>
      <c r="L5462" s="10">
        <v>4.4</v>
      </c>
      <c r="M5462" s="6" t="s">
        <v>425</v>
      </c>
      <c r="N5462" s="6">
        <f>IF(OR($G5462="FCC",$G5462="Hydrocracker",$G5462="Reformer"),IF(COUNTIFS($D:$D,$D5462,$A:$A,$A5462,$B:$B,$B5462,$G:$G,"CDU",$J:$J,"PLANNED")&gt;0,"tied","standalone"),"")</f>
        <v/>
      </c>
    </row>
    <row r="5463" spans="1:14">
      <c r="A5463" s="6">
        <v>2025</v>
      </c>
      <c r="B5463" s="6">
        <v>3</v>
      </c>
      <c r="C5463" s="6" t="s">
        <v>62</v>
      </c>
      <c r="D5463" s="6" t="s">
        <v>901</v>
      </c>
      <c r="E5463" s="6" t="s">
        <v>902</v>
      </c>
      <c r="F5463" s="6" t="str">
        <f>IF($M5463="PADD I","PADD 1",IF($M5463="PADD II","PADD 2",IF($M5463="PADD III","PADD 3",IF($M5463="PADD IV","PADD 4",IF($M5463="PADD V","PADD 5","")))))</f>
        <v>PADD 3</v>
      </c>
      <c r="G5463" s="6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6" t="s">
        <v>39</v>
      </c>
      <c r="I5463" s="6" t="s">
        <v>904</v>
      </c>
      <c r="J5463" s="6" t="s">
        <v>394</v>
      </c>
      <c r="K5463" s="10">
        <v>4.38</v>
      </c>
      <c r="L5463" s="10">
        <v>73</v>
      </c>
      <c r="M5463" s="6" t="s">
        <v>421</v>
      </c>
      <c r="N5463" s="6">
        <f>IF(OR($G5463="FCC",$G5463="Hydrocracker",$G5463="Reformer"),IF(COUNTIFS($D:$D,$D5463,$A:$A,$A5463,$B:$B,$B5463,$G:$G,"CDU",$J:$J,"PLANNED")&gt;0,"tied","standalone"),"")</f>
        <v/>
      </c>
    </row>
    <row r="5464" spans="1:14">
      <c r="A5464" s="6">
        <v>2025</v>
      </c>
      <c r="B5464" s="6">
        <v>3</v>
      </c>
      <c r="C5464" s="6" t="s">
        <v>62</v>
      </c>
      <c r="D5464" s="6" t="s">
        <v>1202</v>
      </c>
      <c r="E5464" s="6" t="s">
        <v>502</v>
      </c>
      <c r="F5464" s="6" t="str">
        <f>IF($M5464="PADD I","PADD 1",IF($M5464="PADD II","PADD 2",IF($M5464="PADD III","PADD 3",IF($M5464="PADD IV","PADD 4",IF($M5464="PADD V","PADD 5","")))))</f>
        <v>PADD 4</v>
      </c>
      <c r="G5464" s="6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6" t="s">
        <v>44</v>
      </c>
      <c r="I5464" s="6" t="s">
        <v>543</v>
      </c>
      <c r="J5464" s="6" t="s">
        <v>394</v>
      </c>
      <c r="K5464" s="10">
        <v>4.375</v>
      </c>
      <c r="L5464" s="10">
        <v>12.5</v>
      </c>
      <c r="M5464" s="6" t="s">
        <v>480</v>
      </c>
      <c r="N5464" s="6">
        <f>IF(OR($G5464="FCC",$G5464="Hydrocracker",$G5464="Reformer"),IF(COUNTIFS($D:$D,$D5464,$A:$A,$A5464,$B:$B,$B5464,$G:$G,"CDU",$J:$J,"PLANNED")&gt;0,"tied","standalone"),"")</f>
        <v/>
      </c>
    </row>
    <row r="5465" spans="1:14">
      <c r="A5465" s="6">
        <v>2025</v>
      </c>
      <c r="B5465" s="6">
        <v>3</v>
      </c>
      <c r="C5465" s="6" t="s">
        <v>62</v>
      </c>
      <c r="D5465" s="6" t="s">
        <v>937</v>
      </c>
      <c r="E5465" s="6" t="s">
        <v>455</v>
      </c>
      <c r="F5465" s="6" t="str">
        <f>IF($M5465="PADD I","PADD 1",IF($M5465="PADD II","PADD 2",IF($M5465="PADD III","PADD 3",IF($M5465="PADD IV","PADD 4",IF($M5465="PADD V","PADD 5","")))))</f>
        <v>PADD 3</v>
      </c>
      <c r="G5465" s="6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6" t="s">
        <v>471</v>
      </c>
      <c r="I5465" s="6" t="s">
        <v>589</v>
      </c>
      <c r="J5465" s="6" t="s">
        <v>398</v>
      </c>
      <c r="K5465" s="10">
        <v>4.37</v>
      </c>
      <c r="L5465" s="10">
        <v>23</v>
      </c>
      <c r="M5465" s="6" t="s">
        <v>421</v>
      </c>
      <c r="N5465" s="6" t="str">
        <f>IF(OR($G5465="FCC",$G5465="Hydrocracker",$G5465="Reformer"),IF(COUNTIFS($D:$D,$D5465,$A:$A,$A5465,$B:$B,$B5465,$G:$G,"CDU",$J:$J,"PLANNED")&gt;0,"tied","standalone"),"")</f>
        <v>standalone</v>
      </c>
    </row>
    <row r="5466" spans="1:14">
      <c r="A5466" s="6">
        <v>2025</v>
      </c>
      <c r="B5466" s="6">
        <v>3</v>
      </c>
      <c r="C5466" s="6" t="s">
        <v>62</v>
      </c>
      <c r="D5466" s="6" t="s">
        <v>937</v>
      </c>
      <c r="E5466" s="6" t="s">
        <v>455</v>
      </c>
      <c r="F5466" s="6" t="str">
        <f>IF($M5466="PADD I","PADD 1",IF($M5466="PADD II","PADD 2",IF($M5466="PADD III","PADD 3",IF($M5466="PADD IV","PADD 4",IF($M5466="PADD V","PADD 5","")))))</f>
        <v>PADD 3</v>
      </c>
      <c r="G5466" s="6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6" t="s">
        <v>44</v>
      </c>
      <c r="I5466" s="6" t="s">
        <v>543</v>
      </c>
      <c r="J5466" s="6" t="s">
        <v>398</v>
      </c>
      <c r="K5466" s="10">
        <v>4.18</v>
      </c>
      <c r="L5466" s="10">
        <v>22</v>
      </c>
      <c r="M5466" s="6" t="s">
        <v>421</v>
      </c>
      <c r="N5466" s="6">
        <f>IF(OR($G5466="FCC",$G5466="Hydrocracker",$G5466="Reformer"),IF(COUNTIFS($D:$D,$D5466,$A:$A,$A5466,$B:$B,$B5466,$G:$G,"CDU",$J:$J,"PLANNED")&gt;0,"tied","standalone"),"")</f>
        <v/>
      </c>
    </row>
    <row r="5467" spans="1:14">
      <c r="A5467" s="6">
        <v>2025</v>
      </c>
      <c r="B5467" s="6">
        <v>3</v>
      </c>
      <c r="C5467" s="6" t="s">
        <v>62</v>
      </c>
      <c r="D5467" s="6" t="s">
        <v>996</v>
      </c>
      <c r="E5467" s="6" t="s">
        <v>455</v>
      </c>
      <c r="F5467" s="6" t="str">
        <f>IF($M5467="PADD I","PADD 1",IF($M5467="PADD II","PADD 2",IF($M5467="PADD III","PADD 3",IF($M5467="PADD IV","PADD 4",IF($M5467="PADD V","PADD 5","")))))</f>
        <v>PADD 5</v>
      </c>
      <c r="G5467" s="6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6" t="s">
        <v>510</v>
      </c>
      <c r="I5467" s="6" t="s">
        <v>1002</v>
      </c>
      <c r="J5467" s="6" t="s">
        <v>394</v>
      </c>
      <c r="K5467" s="10">
        <v>4.18</v>
      </c>
      <c r="L5467" s="10">
        <v>22</v>
      </c>
      <c r="M5467" s="6" t="s">
        <v>436</v>
      </c>
      <c r="N5467" s="6">
        <f>IF(OR($G5467="FCC",$G5467="Hydrocracker",$G5467="Reformer"),IF(COUNTIFS($D:$D,$D5467,$A:$A,$A5467,$B:$B,$B5467,$G:$G,"CDU",$J:$J,"PLANNED")&gt;0,"tied","standalone"),"")</f>
        <v/>
      </c>
    </row>
    <row r="5468" spans="1:14">
      <c r="A5468" s="6">
        <v>2025</v>
      </c>
      <c r="B5468" s="6">
        <v>3</v>
      </c>
      <c r="C5468" s="6" t="s">
        <v>62</v>
      </c>
      <c r="D5468" s="6" t="s">
        <v>51</v>
      </c>
      <c r="E5468" s="6" t="s">
        <v>431</v>
      </c>
      <c r="F5468" s="6" t="str">
        <f>IF($M5468="PADD I","PADD 1",IF($M5468="PADD II","PADD 2",IF($M5468="PADD III","PADD 3",IF($M5468="PADD IV","PADD 4",IF($M5468="PADD V","PADD 5","")))))</f>
        <v>PADD 3</v>
      </c>
      <c r="G5468" s="6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6" t="s">
        <v>485</v>
      </c>
      <c r="I5468" s="6" t="s">
        <v>1322</v>
      </c>
      <c r="J5468" s="6" t="s">
        <v>398</v>
      </c>
      <c r="K5468" s="10">
        <v>4.12</v>
      </c>
      <c r="L5468" s="10">
        <v>25.75</v>
      </c>
      <c r="M5468" s="6" t="s">
        <v>421</v>
      </c>
      <c r="N5468" s="6">
        <f>IF(OR($G5468="FCC",$G5468="Hydrocracker",$G5468="Reformer"),IF(COUNTIFS($D:$D,$D5468,$A:$A,$A5468,$B:$B,$B5468,$G:$G,"CDU",$J:$J,"PLANNED")&gt;0,"tied","standalone"),"")</f>
        <v/>
      </c>
    </row>
    <row r="5469" spans="1:14">
      <c r="A5469" s="6">
        <v>2025</v>
      </c>
      <c r="B5469" s="6">
        <v>3</v>
      </c>
      <c r="C5469" s="6" t="s">
        <v>62</v>
      </c>
      <c r="D5469" s="6" t="s">
        <v>518</v>
      </c>
      <c r="E5469" s="6" t="s">
        <v>419</v>
      </c>
      <c r="F5469" s="6" t="str">
        <f>IF($M5469="PADD I","PADD 1",IF($M5469="PADD II","PADD 2",IF($M5469="PADD III","PADD 3",IF($M5469="PADD IV","PADD 4",IF($M5469="PADD V","PADD 5","")))))</f>
        <v>PADD 3</v>
      </c>
      <c r="G5469" s="6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6" t="s">
        <v>471</v>
      </c>
      <c r="I5469" s="6" t="s">
        <v>685</v>
      </c>
      <c r="J5469" s="6" t="s">
        <v>394</v>
      </c>
      <c r="K5469" s="10">
        <v>3.85</v>
      </c>
      <c r="L5469" s="10">
        <v>7</v>
      </c>
      <c r="M5469" s="6" t="s">
        <v>421</v>
      </c>
      <c r="N5469" s="6" t="str">
        <f>IF(OR($G5469="FCC",$G5469="Hydrocracker",$G5469="Reformer"),IF(COUNTIFS($D:$D,$D5469,$A:$A,$A5469,$B:$B,$B5469,$G:$G,"CDU",$J:$J,"PLANNED")&gt;0,"tied","standalone"),"")</f>
        <v>standalone</v>
      </c>
    </row>
    <row r="5470" spans="1:14">
      <c r="A5470" s="6">
        <v>2025</v>
      </c>
      <c r="B5470" s="6">
        <v>3</v>
      </c>
      <c r="C5470" s="6" t="s">
        <v>62</v>
      </c>
      <c r="D5470" s="6" t="s">
        <v>440</v>
      </c>
      <c r="E5470" s="6" t="s">
        <v>441</v>
      </c>
      <c r="F5470" s="6" t="str">
        <f>IF($M5470="PADD I","PADD 1",IF($M5470="PADD II","PADD 2",IF($M5470="PADD III","PADD 3",IF($M5470="PADD IV","PADD 4",IF($M5470="PADD V","PADD 5","")))))</f>
        <v>PADD 3</v>
      </c>
      <c r="G5470" s="6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6" t="s">
        <v>494</v>
      </c>
      <c r="I5470" s="6" t="s">
        <v>1349</v>
      </c>
      <c r="J5470" s="6" t="s">
        <v>398</v>
      </c>
      <c r="K5470" s="10">
        <v>3.84</v>
      </c>
      <c r="L5470" s="10">
        <v>24</v>
      </c>
      <c r="M5470" s="6" t="s">
        <v>421</v>
      </c>
      <c r="N5470" s="6" t="str">
        <f>IF(OR($G5470="FCC",$G5470="Hydrocracker",$G5470="Reformer"),IF(COUNTIFS($D:$D,$D5470,$A:$A,$A5470,$B:$B,$B5470,$G:$G,"CDU",$J:$J,"PLANNED")&gt;0,"tied","standalone"),"")</f>
        <v>tied</v>
      </c>
    </row>
    <row r="5471" spans="1:14">
      <c r="A5471" s="6">
        <v>2025</v>
      </c>
      <c r="B5471" s="6">
        <v>3</v>
      </c>
      <c r="C5471" s="6" t="s">
        <v>62</v>
      </c>
      <c r="D5471" s="6" t="s">
        <v>764</v>
      </c>
      <c r="E5471" s="6" t="s">
        <v>455</v>
      </c>
      <c r="F5471" s="6" t="str">
        <f>IF($M5471="PADD I","PADD 1",IF($M5471="PADD II","PADD 2",IF($M5471="PADD III","PADD 3",IF($M5471="PADD IV","PADD 4",IF($M5471="PADD V","PADD 5","")))))</f>
        <v>PADD 3</v>
      </c>
      <c r="G5471" s="6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6" t="s">
        <v>494</v>
      </c>
      <c r="I5471" s="6" t="s">
        <v>14</v>
      </c>
      <c r="J5471" s="6" t="s">
        <v>394</v>
      </c>
      <c r="K5471" s="10">
        <v>3.835</v>
      </c>
      <c r="L5471" s="10">
        <v>29.5</v>
      </c>
      <c r="M5471" s="6" t="s">
        <v>421</v>
      </c>
      <c r="N5471" s="6" t="str">
        <f>IF(OR($G5471="FCC",$G5471="Hydrocracker",$G5471="Reformer"),IF(COUNTIFS($D:$D,$D5471,$A:$A,$A5471,$B:$B,$B5471,$G:$G,"CDU",$J:$J,"PLANNED")&gt;0,"tied","standalone"),"")</f>
        <v>standalone</v>
      </c>
    </row>
    <row r="5472" spans="1:14">
      <c r="A5472" s="6">
        <v>2025</v>
      </c>
      <c r="B5472" s="6">
        <v>3</v>
      </c>
      <c r="C5472" s="6" t="s">
        <v>62</v>
      </c>
      <c r="D5472" s="6" t="s">
        <v>937</v>
      </c>
      <c r="E5472" s="6" t="s">
        <v>455</v>
      </c>
      <c r="F5472" s="6" t="str">
        <f>IF($M5472="PADD I","PADD 1",IF($M5472="PADD II","PADD 2",IF($M5472="PADD III","PADD 3",IF($M5472="PADD IV","PADD 4",IF($M5472="PADD V","PADD 5","")))))</f>
        <v>PADD 3</v>
      </c>
      <c r="G5472" s="6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6" t="s">
        <v>44</v>
      </c>
      <c r="I5472" s="6" t="s">
        <v>968</v>
      </c>
      <c r="J5472" s="6" t="s">
        <v>398</v>
      </c>
      <c r="K5472" s="10">
        <v>3.8</v>
      </c>
      <c r="L5472" s="10">
        <v>20</v>
      </c>
      <c r="M5472" s="6" t="s">
        <v>421</v>
      </c>
      <c r="N5472" s="6">
        <f>IF(OR($G5472="FCC",$G5472="Hydrocracker",$G5472="Reformer"),IF(COUNTIFS($D:$D,$D5472,$A:$A,$A5472,$B:$B,$B5472,$G:$G,"CDU",$J:$J,"PLANNED")&gt;0,"tied","standalone"),"")</f>
        <v/>
      </c>
    </row>
    <row r="5473" spans="1:14">
      <c r="A5473" s="6">
        <v>2025</v>
      </c>
      <c r="B5473" s="6">
        <v>3</v>
      </c>
      <c r="C5473" s="6" t="s">
        <v>62</v>
      </c>
      <c r="D5473" s="6" t="s">
        <v>370</v>
      </c>
      <c r="E5473" s="6" t="s">
        <v>431</v>
      </c>
      <c r="F5473" s="6" t="str">
        <f>IF($M5473="PADD I","PADD 1",IF($M5473="PADD II","PADD 2",IF($M5473="PADD III","PADD 3",IF($M5473="PADD IV","PADD 4",IF($M5473="PADD V","PADD 5","")))))</f>
        <v>PADD 2</v>
      </c>
      <c r="G5473" s="6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6" t="s">
        <v>44</v>
      </c>
      <c r="I5473" s="6" t="s">
        <v>1215</v>
      </c>
      <c r="J5473" s="6" t="s">
        <v>398</v>
      </c>
      <c r="K5473" s="10">
        <v>3.8</v>
      </c>
      <c r="L5473" s="10">
        <v>20</v>
      </c>
      <c r="M5473" s="6" t="s">
        <v>425</v>
      </c>
      <c r="N5473" s="6">
        <f>IF(OR($G5473="FCC",$G5473="Hydrocracker",$G5473="Reformer"),IF(COUNTIFS($D:$D,$D5473,$A:$A,$A5473,$B:$B,$B5473,$G:$G,"CDU",$J:$J,"PLANNED")&gt;0,"tied","standalone"),"")</f>
        <v/>
      </c>
    </row>
    <row r="5474" spans="1:14">
      <c r="A5474" s="6">
        <v>2025</v>
      </c>
      <c r="B5474" s="6">
        <v>3</v>
      </c>
      <c r="C5474" s="6" t="s">
        <v>62</v>
      </c>
      <c r="D5474" s="6" t="s">
        <v>764</v>
      </c>
      <c r="E5474" s="6" t="s">
        <v>455</v>
      </c>
      <c r="F5474" s="6" t="str">
        <f>IF($M5474="PADD I","PADD 1",IF($M5474="PADD II","PADD 2",IF($M5474="PADD III","PADD 3",IF($M5474="PADD IV","PADD 4",IF($M5474="PADD V","PADD 5","")))))</f>
        <v>PADD 3</v>
      </c>
      <c r="G5474" s="6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6" t="s">
        <v>471</v>
      </c>
      <c r="I5474" s="6" t="s">
        <v>914</v>
      </c>
      <c r="J5474" s="6" t="s">
        <v>394</v>
      </c>
      <c r="K5474" s="10">
        <v>3.757</v>
      </c>
      <c r="L5474" s="10">
        <v>28.9</v>
      </c>
      <c r="M5474" s="6" t="s">
        <v>421</v>
      </c>
      <c r="N5474" s="6" t="str">
        <f>IF(OR($G5474="FCC",$G5474="Hydrocracker",$G5474="Reformer"),IF(COUNTIFS($D:$D,$D5474,$A:$A,$A5474,$B:$B,$B5474,$G:$G,"CDU",$J:$J,"PLANNED")&gt;0,"tied","standalone"),"")</f>
        <v>standalone</v>
      </c>
    </row>
    <row r="5475" spans="1:14">
      <c r="A5475" s="6">
        <v>2025</v>
      </c>
      <c r="B5475" s="6">
        <v>3</v>
      </c>
      <c r="C5475" s="6" t="s">
        <v>62</v>
      </c>
      <c r="D5475" s="6" t="s">
        <v>1336</v>
      </c>
      <c r="E5475" s="6" t="s">
        <v>1337</v>
      </c>
      <c r="F5475" s="6" t="str">
        <f>IF($M5475="PADD I","PADD 1",IF($M5475="PADD II","PADD 2",IF($M5475="PADD III","PADD 3",IF($M5475="PADD IV","PADD 4",IF($M5475="PADD V","PADD 5","")))))</f>
        <v>PADD 4</v>
      </c>
      <c r="G5475" s="6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6" t="s">
        <v>44</v>
      </c>
      <c r="I5475" s="6" t="s">
        <v>1342</v>
      </c>
      <c r="J5475" s="6" t="s">
        <v>394</v>
      </c>
      <c r="K5475" s="10">
        <v>3.5</v>
      </c>
      <c r="L5475" s="10">
        <v>3.5</v>
      </c>
      <c r="M5475" s="6" t="s">
        <v>480</v>
      </c>
      <c r="N5475" s="6">
        <f>IF(OR($G5475="FCC",$G5475="Hydrocracker",$G5475="Reformer"),IF(COUNTIFS($D:$D,$D5475,$A:$A,$A5475,$B:$B,$B5475,$G:$G,"CDU",$J:$J,"PLANNED")&gt;0,"tied","standalone"),"")</f>
        <v/>
      </c>
    </row>
    <row r="5476" spans="1:14">
      <c r="A5476" s="6">
        <v>2025</v>
      </c>
      <c r="B5476" s="6">
        <v>3</v>
      </c>
      <c r="C5476" s="6" t="s">
        <v>62</v>
      </c>
      <c r="D5476" s="6" t="s">
        <v>1003</v>
      </c>
      <c r="E5476" s="6" t="s">
        <v>783</v>
      </c>
      <c r="F5476" s="6" t="str">
        <f>IF($M5476="PADD I","PADD 1",IF($M5476="PADD II","PADD 2",IF($M5476="PADD III","PADD 3",IF($M5476="PADD IV","PADD 4",IF($M5476="PADD V","PADD 5","")))))</f>
        <v>PADD 2</v>
      </c>
      <c r="G5476" s="6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6" t="s">
        <v>510</v>
      </c>
      <c r="I5476" s="6" t="s">
        <v>666</v>
      </c>
      <c r="J5476" s="6" t="s">
        <v>398</v>
      </c>
      <c r="K5476" s="10">
        <v>3.432</v>
      </c>
      <c r="L5476" s="10">
        <v>6.6</v>
      </c>
      <c r="M5476" s="6" t="s">
        <v>425</v>
      </c>
      <c r="N5476" s="6">
        <f>IF(OR($G5476="FCC",$G5476="Hydrocracker",$G5476="Reformer"),IF(COUNTIFS($D:$D,$D5476,$A:$A,$A5476,$B:$B,$B5476,$G:$G,"CDU",$J:$J,"PLANNED")&gt;0,"tied","standalone"),"")</f>
        <v/>
      </c>
    </row>
    <row r="5477" spans="1:14">
      <c r="A5477" s="6">
        <v>2025</v>
      </c>
      <c r="B5477" s="6">
        <v>3</v>
      </c>
      <c r="C5477" s="6" t="s">
        <v>62</v>
      </c>
      <c r="D5477" s="6" t="s">
        <v>1336</v>
      </c>
      <c r="E5477" s="6" t="s">
        <v>1337</v>
      </c>
      <c r="F5477" s="6" t="str">
        <f>IF($M5477="PADD I","PADD 1",IF($M5477="PADD II","PADD 2",IF($M5477="PADD III","PADD 3",IF($M5477="PADD IV","PADD 4",IF($M5477="PADD V","PADD 5","")))))</f>
        <v>PADD 4</v>
      </c>
      <c r="G5477" s="6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6" t="s">
        <v>471</v>
      </c>
      <c r="I5477" s="6" t="s">
        <v>15</v>
      </c>
      <c r="J5477" s="6" t="s">
        <v>394</v>
      </c>
      <c r="K5477" s="10">
        <v>3.2</v>
      </c>
      <c r="L5477" s="10">
        <v>3.2</v>
      </c>
      <c r="M5477" s="6" t="s">
        <v>480</v>
      </c>
      <c r="N5477" s="6" t="str">
        <f>IF(OR($G5477="FCC",$G5477="Hydrocracker",$G5477="Reformer"),IF(COUNTIFS($D:$D,$D5477,$A:$A,$A5477,$B:$B,$B5477,$G:$G,"CDU",$J:$J,"PLANNED")&gt;0,"tied","standalone"),"")</f>
        <v>standalone</v>
      </c>
    </row>
    <row r="5478" spans="1:14">
      <c r="A5478" s="6">
        <v>2025</v>
      </c>
      <c r="B5478" s="6">
        <v>3</v>
      </c>
      <c r="C5478" s="6" t="s">
        <v>62</v>
      </c>
      <c r="D5478" s="6" t="s">
        <v>501</v>
      </c>
      <c r="E5478" s="6" t="s">
        <v>502</v>
      </c>
      <c r="F5478" s="6" t="str">
        <f>IF($M5478="PADD I","PADD 1",IF($M5478="PADD II","PADD 2",IF($M5478="PADD III","PADD 3",IF($M5478="PADD IV","PADD 4",IF($M5478="PADD V","PADD 5","")))))</f>
        <v>PADD 2</v>
      </c>
      <c r="G5478" s="6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6" t="s">
        <v>44</v>
      </c>
      <c r="I5478" s="6" t="s">
        <v>952</v>
      </c>
      <c r="J5478" s="6" t="s">
        <v>398</v>
      </c>
      <c r="K5478" s="10">
        <v>3.2</v>
      </c>
      <c r="L5478" s="10">
        <v>3.2</v>
      </c>
      <c r="M5478" s="6" t="s">
        <v>425</v>
      </c>
      <c r="N5478" s="6">
        <f>IF(OR($G5478="FCC",$G5478="Hydrocracker",$G5478="Reformer"),IF(COUNTIFS($D:$D,$D5478,$A:$A,$A5478,$B:$B,$B5478,$G:$G,"CDU",$J:$J,"PLANNED")&gt;0,"tied","standalone"),"")</f>
        <v/>
      </c>
    </row>
    <row r="5479" spans="1:14">
      <c r="A5479" s="6">
        <v>2025</v>
      </c>
      <c r="B5479" s="6">
        <v>3</v>
      </c>
      <c r="C5479" s="6" t="s">
        <v>62</v>
      </c>
      <c r="D5479" s="6" t="s">
        <v>373</v>
      </c>
      <c r="E5479" s="6" t="s">
        <v>438</v>
      </c>
      <c r="F5479" s="6" t="str">
        <f>IF($M5479="PADD I","PADD 1",IF($M5479="PADD II","PADD 2",IF($M5479="PADD III","PADD 3",IF($M5479="PADD IV","PADD 4",IF($M5479="PADD V","PADD 5","")))))</f>
        <v>PADD 3</v>
      </c>
      <c r="G5479" s="6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6" t="s">
        <v>44</v>
      </c>
      <c r="I5479" s="6" t="s">
        <v>732</v>
      </c>
      <c r="J5479" s="6" t="s">
        <v>398</v>
      </c>
      <c r="K5479" s="10">
        <v>3.18</v>
      </c>
      <c r="L5479" s="10">
        <v>106</v>
      </c>
      <c r="M5479" s="6" t="s">
        <v>421</v>
      </c>
      <c r="N5479" s="6">
        <f>IF(OR($G5479="FCC",$G5479="Hydrocracker",$G5479="Reformer"),IF(COUNTIFS($D:$D,$D5479,$A:$A,$A5479,$B:$B,$B5479,$G:$G,"CDU",$J:$J,"PLANNED")&gt;0,"tied","standalone"),"")</f>
        <v/>
      </c>
    </row>
    <row r="5480" spans="1:14">
      <c r="A5480" s="6">
        <v>2025</v>
      </c>
      <c r="B5480" s="6">
        <v>3</v>
      </c>
      <c r="C5480" s="6" t="s">
        <v>62</v>
      </c>
      <c r="D5480" s="6" t="s">
        <v>422</v>
      </c>
      <c r="E5480" s="6" t="s">
        <v>423</v>
      </c>
      <c r="F5480" s="6" t="str">
        <f>IF($M5480="PADD I","PADD 1",IF($M5480="PADD II","PADD 2",IF($M5480="PADD III","PADD 3",IF($M5480="PADD IV","PADD 4",IF($M5480="PADD V","PADD 5","")))))</f>
        <v>PADD 2</v>
      </c>
      <c r="G5480" s="6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6" t="s">
        <v>485</v>
      </c>
      <c r="I5480" s="6" t="s">
        <v>634</v>
      </c>
      <c r="J5480" s="6" t="s">
        <v>394</v>
      </c>
      <c r="K5480" s="10">
        <v>2.925</v>
      </c>
      <c r="L5480" s="10">
        <v>7.5</v>
      </c>
      <c r="M5480" s="6" t="s">
        <v>425</v>
      </c>
      <c r="N5480" s="6">
        <f>IF(OR($G5480="FCC",$G5480="Hydrocracker",$G5480="Reformer"),IF(COUNTIFS($D:$D,$D5480,$A:$A,$A5480,$B:$B,$B5480,$G:$G,"CDU",$J:$J,"PLANNED")&gt;0,"tied","standalone"),"")</f>
        <v/>
      </c>
    </row>
    <row r="5481" spans="1:14">
      <c r="A5481" s="6">
        <v>2025</v>
      </c>
      <c r="B5481" s="6">
        <v>3</v>
      </c>
      <c r="C5481" s="6" t="s">
        <v>62</v>
      </c>
      <c r="D5481" s="6" t="s">
        <v>41</v>
      </c>
      <c r="E5481" s="6" t="s">
        <v>786</v>
      </c>
      <c r="F5481" s="6" t="str">
        <f>IF($M5481="PADD I","PADD 1",IF($M5481="PADD II","PADD 2",IF($M5481="PADD III","PADD 3",IF($M5481="PADD IV","PADD 4",IF($M5481="PADD V","PADD 5","")))))</f>
        <v>PADD 1</v>
      </c>
      <c r="G5481" s="6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6" t="s">
        <v>494</v>
      </c>
      <c r="I5481" s="6" t="s">
        <v>495</v>
      </c>
      <c r="J5481" s="6" t="s">
        <v>394</v>
      </c>
      <c r="K5481" s="10">
        <v>2.3</v>
      </c>
      <c r="L5481" s="10">
        <v>23</v>
      </c>
      <c r="M5481" s="6" t="s">
        <v>463</v>
      </c>
      <c r="N5481" s="6" t="str">
        <f>IF(OR($G5481="FCC",$G5481="Hydrocracker",$G5481="Reformer"),IF(COUNTIFS($D:$D,$D5481,$A:$A,$A5481,$B:$B,$B5481,$G:$G,"CDU",$J:$J,"PLANNED")&gt;0,"tied","standalone"),"")</f>
        <v>standalone</v>
      </c>
    </row>
    <row r="5482" spans="1:14">
      <c r="A5482" s="6">
        <v>2025</v>
      </c>
      <c r="B5482" s="6">
        <v>3</v>
      </c>
      <c r="C5482" s="6" t="s">
        <v>62</v>
      </c>
      <c r="D5482" s="6" t="s">
        <v>901</v>
      </c>
      <c r="E5482" s="6" t="s">
        <v>902</v>
      </c>
      <c r="F5482" s="6" t="str">
        <f>IF($M5482="PADD I","PADD 1",IF($M5482="PADD II","PADD 2",IF($M5482="PADD III","PADD 3",IF($M5482="PADD IV","PADD 4",IF($M5482="PADD V","PADD 5","")))))</f>
        <v>PADD 3</v>
      </c>
      <c r="G5482" s="6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6" t="s">
        <v>428</v>
      </c>
      <c r="I5482" s="6" t="s">
        <v>910</v>
      </c>
      <c r="J5482" s="6" t="s">
        <v>394</v>
      </c>
      <c r="K5482" s="10">
        <v>2.16</v>
      </c>
      <c r="L5482" s="10">
        <v>36</v>
      </c>
      <c r="M5482" s="6" t="s">
        <v>421</v>
      </c>
      <c r="N5482" s="6">
        <f>IF(OR($G5482="FCC",$G5482="Hydrocracker",$G5482="Reformer"),IF(COUNTIFS($D:$D,$D5482,$A:$A,$A5482,$B:$B,$B5482,$G:$G,"CDU",$J:$J,"PLANNED")&gt;0,"tied","standalone"),"")</f>
        <v/>
      </c>
    </row>
    <row r="5483" spans="1:14">
      <c r="A5483" s="6">
        <v>2025</v>
      </c>
      <c r="B5483" s="6">
        <v>3</v>
      </c>
      <c r="C5483" s="6" t="s">
        <v>62</v>
      </c>
      <c r="D5483" s="6" t="s">
        <v>507</v>
      </c>
      <c r="E5483" s="6" t="s">
        <v>438</v>
      </c>
      <c r="F5483" s="6" t="str">
        <f>IF($M5483="PADD I","PADD 1",IF($M5483="PADD II","PADD 2",IF($M5483="PADD III","PADD 3",IF($M5483="PADD IV","PADD 4",IF($M5483="PADD V","PADD 5","")))))</f>
        <v>PADD 5</v>
      </c>
      <c r="G5483" s="6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6" t="s">
        <v>471</v>
      </c>
      <c r="I5483" s="6" t="s">
        <v>607</v>
      </c>
      <c r="J5483" s="6" t="s">
        <v>394</v>
      </c>
      <c r="K5483" s="10">
        <v>2</v>
      </c>
      <c r="L5483" s="10">
        <v>20</v>
      </c>
      <c r="M5483" s="6" t="s">
        <v>436</v>
      </c>
      <c r="N5483" s="6" t="str">
        <f>IF(OR($G5483="FCC",$G5483="Hydrocracker",$G5483="Reformer"),IF(COUNTIFS($D:$D,$D5483,$A:$A,$A5483,$B:$B,$B5483,$G:$G,"CDU",$J:$J,"PLANNED")&gt;0,"tied","standalone"),"")</f>
        <v>standalone</v>
      </c>
    </row>
    <row r="5484" spans="1:14">
      <c r="A5484" s="6">
        <v>2025</v>
      </c>
      <c r="B5484" s="6">
        <v>3</v>
      </c>
      <c r="C5484" s="6" t="s">
        <v>62</v>
      </c>
      <c r="D5484" s="6" t="s">
        <v>422</v>
      </c>
      <c r="E5484" s="6" t="s">
        <v>423</v>
      </c>
      <c r="F5484" s="6" t="str">
        <f>IF($M5484="PADD I","PADD 1",IF($M5484="PADD II","PADD 2",IF($M5484="PADD III","PADD 3",IF($M5484="PADD IV","PADD 4",IF($M5484="PADD V","PADD 5","")))))</f>
        <v>PADD 2</v>
      </c>
      <c r="G5484" s="6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6" t="s">
        <v>426</v>
      </c>
      <c r="I5484" s="6" t="s">
        <v>457</v>
      </c>
      <c r="J5484" s="6" t="s">
        <v>394</v>
      </c>
      <c r="K5484" s="10">
        <v>1.65</v>
      </c>
      <c r="L5484" s="10">
        <v>55</v>
      </c>
      <c r="M5484" s="6" t="s">
        <v>425</v>
      </c>
      <c r="N5484" s="6" t="str">
        <f>IF(OR($G5484="FCC",$G5484="Hydrocracker",$G5484="Reformer"),IF(COUNTIFS($D:$D,$D5484,$A:$A,$A5484,$B:$B,$B5484,$G:$G,"CDU",$J:$J,"PLANNED")&gt;0,"tied","standalone"),"")</f>
        <v>standalone</v>
      </c>
    </row>
    <row r="5485" spans="1:14">
      <c r="A5485" s="6">
        <v>2025</v>
      </c>
      <c r="B5485" s="6">
        <v>3</v>
      </c>
      <c r="C5485" s="6" t="s">
        <v>62</v>
      </c>
      <c r="D5485" s="6" t="s">
        <v>465</v>
      </c>
      <c r="E5485" s="6" t="s">
        <v>466</v>
      </c>
      <c r="F5485" s="6" t="str">
        <f>IF($M5485="PADD I","PADD 1",IF($M5485="PADD II","PADD 2",IF($M5485="PADD III","PADD 3",IF($M5485="PADD IV","PADD 4",IF($M5485="PADD V","PADD 5","")))))</f>
        <v>PADD 3</v>
      </c>
      <c r="G5485" s="6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6" t="s">
        <v>471</v>
      </c>
      <c r="I5485" s="6" t="s">
        <v>504</v>
      </c>
      <c r="J5485" s="6" t="s">
        <v>394</v>
      </c>
      <c r="K5485" s="10">
        <v>1.596</v>
      </c>
      <c r="L5485" s="10">
        <v>53.2</v>
      </c>
      <c r="M5485" s="6" t="s">
        <v>421</v>
      </c>
      <c r="N5485" s="6" t="str">
        <f>IF(OR($G5485="FCC",$G5485="Hydrocracker",$G5485="Reformer"),IF(COUNTIFS($D:$D,$D5485,$A:$A,$A5485,$B:$B,$B5485,$G:$G,"CDU",$J:$J,"PLANNED")&gt;0,"tied","standalone"),"")</f>
        <v>standalone</v>
      </c>
    </row>
    <row r="5486" spans="1:14">
      <c r="A5486" s="6">
        <v>2025</v>
      </c>
      <c r="B5486" s="6">
        <v>3</v>
      </c>
      <c r="C5486" s="6" t="s">
        <v>62</v>
      </c>
      <c r="D5486" s="6" t="s">
        <v>1336</v>
      </c>
      <c r="E5486" s="6" t="s">
        <v>1337</v>
      </c>
      <c r="F5486" s="6" t="str">
        <f>IF($M5486="PADD I","PADD 1",IF($M5486="PADD II","PADD 2",IF($M5486="PADD III","PADD 3",IF($M5486="PADD IV","PADD 4",IF($M5486="PADD V","PADD 5","")))))</f>
        <v>PADD 4</v>
      </c>
      <c r="G5486" s="6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6" t="s">
        <v>428</v>
      </c>
      <c r="I5486" s="6" t="s">
        <v>481</v>
      </c>
      <c r="J5486" s="6" t="s">
        <v>394</v>
      </c>
      <c r="K5486" s="10">
        <v>1.5</v>
      </c>
      <c r="L5486" s="10">
        <v>1.5</v>
      </c>
      <c r="M5486" s="6" t="s">
        <v>480</v>
      </c>
      <c r="N5486" s="6">
        <f>IF(OR($G5486="FCC",$G5486="Hydrocracker",$G5486="Reformer"),IF(COUNTIFS($D:$D,$D5486,$A:$A,$A5486,$B:$B,$B5486,$G:$G,"CDU",$J:$J,"PLANNED")&gt;0,"tied","standalone"),"")</f>
        <v/>
      </c>
    </row>
    <row r="5487" spans="1:14">
      <c r="A5487" s="6">
        <v>2025</v>
      </c>
      <c r="B5487" s="6">
        <v>3</v>
      </c>
      <c r="C5487" s="6" t="s">
        <v>62</v>
      </c>
      <c r="D5487" s="6" t="s">
        <v>375</v>
      </c>
      <c r="E5487" s="6" t="s">
        <v>435</v>
      </c>
      <c r="F5487" s="6" t="str">
        <f>IF($M5487="PADD I","PADD 1",IF($M5487="PADD II","PADD 2",IF($M5487="PADD III","PADD 3",IF($M5487="PADD IV","PADD 4",IF($M5487="PADD V","PADD 5","")))))</f>
        <v>PADD 5</v>
      </c>
      <c r="G5487" s="6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6" t="s">
        <v>618</v>
      </c>
      <c r="I5487" s="6" t="s">
        <v>654</v>
      </c>
      <c r="J5487" s="6" t="s">
        <v>394</v>
      </c>
      <c r="K5487" s="10">
        <v>1.5</v>
      </c>
      <c r="L5487" s="10">
        <v>1.5</v>
      </c>
      <c r="M5487" s="6" t="s">
        <v>436</v>
      </c>
      <c r="N5487" s="6">
        <f>IF(OR($G5487="FCC",$G5487="Hydrocracker",$G5487="Reformer"),IF(COUNTIFS($D:$D,$D5487,$A:$A,$A5487,$B:$B,$B5487,$G:$G,"CDU",$J:$J,"PLANNED")&gt;0,"tied","standalone"),"")</f>
        <v/>
      </c>
    </row>
    <row r="5488" spans="1:14">
      <c r="A5488" s="6">
        <v>2025</v>
      </c>
      <c r="B5488" s="6">
        <v>3</v>
      </c>
      <c r="C5488" s="6" t="s">
        <v>62</v>
      </c>
      <c r="D5488" s="6" t="s">
        <v>772</v>
      </c>
      <c r="E5488" s="6" t="s">
        <v>502</v>
      </c>
      <c r="F5488" s="6" t="str">
        <f>IF($M5488="PADD I","PADD 1",IF($M5488="PADD II","PADD 2",IF($M5488="PADD III","PADD 3",IF($M5488="PADD IV","PADD 4",IF($M5488="PADD V","PADD 5","")))))</f>
        <v>PADD 4</v>
      </c>
      <c r="G5488" s="6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6" t="s">
        <v>494</v>
      </c>
      <c r="I5488" s="6" t="s">
        <v>1197</v>
      </c>
      <c r="J5488" s="6" t="s">
        <v>394</v>
      </c>
      <c r="K5488" s="10">
        <v>1.5</v>
      </c>
      <c r="L5488" s="10">
        <v>15</v>
      </c>
      <c r="M5488" s="6" t="s">
        <v>480</v>
      </c>
      <c r="N5488" s="6" t="str">
        <f>IF(OR($G5488="FCC",$G5488="Hydrocracker",$G5488="Reformer"),IF(COUNTIFS($D:$D,$D5488,$A:$A,$A5488,$B:$B,$B5488,$G:$G,"CDU",$J:$J,"PLANNED")&gt;0,"tied","standalone"),"")</f>
        <v>standalone</v>
      </c>
    </row>
    <row r="5489" spans="1:14">
      <c r="A5489" s="6">
        <v>2025</v>
      </c>
      <c r="B5489" s="6">
        <v>3</v>
      </c>
      <c r="C5489" s="6" t="s">
        <v>62</v>
      </c>
      <c r="D5489" s="6" t="s">
        <v>712</v>
      </c>
      <c r="E5489" s="6" t="s">
        <v>602</v>
      </c>
      <c r="F5489" s="6" t="str">
        <f>IF($M5489="PADD I","PADD 1",IF($M5489="PADD II","PADD 2",IF($M5489="PADD III","PADD 3",IF($M5489="PADD IV","PADD 4",IF($M5489="PADD V","PADD 5","")))))</f>
        <v>PADD 3</v>
      </c>
      <c r="G5489" s="6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6" t="s">
        <v>426</v>
      </c>
      <c r="I5489" s="6" t="s">
        <v>106</v>
      </c>
      <c r="J5489" s="6" t="s">
        <v>398</v>
      </c>
      <c r="K5489" s="10">
        <v>1.5</v>
      </c>
      <c r="L5489" s="10">
        <v>25</v>
      </c>
      <c r="M5489" s="6" t="s">
        <v>421</v>
      </c>
      <c r="N5489" s="6" t="str">
        <f>IF(OR($G5489="FCC",$G5489="Hydrocracker",$G5489="Reformer"),IF(COUNTIFS($D:$D,$D5489,$A:$A,$A5489,$B:$B,$B5489,$G:$G,"CDU",$J:$J,"PLANNED")&gt;0,"tied","standalone"),"")</f>
        <v>standalone</v>
      </c>
    </row>
    <row r="5490" spans="1:14">
      <c r="A5490" s="6">
        <v>2025</v>
      </c>
      <c r="B5490" s="6">
        <v>3</v>
      </c>
      <c r="C5490" s="6" t="s">
        <v>62</v>
      </c>
      <c r="D5490" s="6" t="s">
        <v>1336</v>
      </c>
      <c r="E5490" s="6" t="s">
        <v>1337</v>
      </c>
      <c r="F5490" s="6" t="str">
        <f>IF($M5490="PADD I","PADD 1",IF($M5490="PADD II","PADD 2",IF($M5490="PADD III","PADD 3",IF($M5490="PADD IV","PADD 4",IF($M5490="PADD V","PADD 5","")))))</f>
        <v>PADD 4</v>
      </c>
      <c r="G5490" s="6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6" t="s">
        <v>510</v>
      </c>
      <c r="I5490" s="6" t="s">
        <v>666</v>
      </c>
      <c r="J5490" s="6" t="s">
        <v>394</v>
      </c>
      <c r="K5490" s="10">
        <v>1.3</v>
      </c>
      <c r="L5490" s="10">
        <v>1.3</v>
      </c>
      <c r="M5490" s="6" t="s">
        <v>480</v>
      </c>
      <c r="N5490" s="6">
        <f>IF(OR($G5490="FCC",$G5490="Hydrocracker",$G5490="Reformer"),IF(COUNTIFS($D:$D,$D5490,$A:$A,$A5490,$B:$B,$B5490,$G:$G,"CDU",$J:$J,"PLANNED")&gt;0,"tied","standalone"),"")</f>
        <v/>
      </c>
    </row>
    <row r="5491" spans="1:14">
      <c r="A5491" s="6">
        <v>2025</v>
      </c>
      <c r="B5491" s="6">
        <v>3</v>
      </c>
      <c r="C5491" s="6" t="s">
        <v>62</v>
      </c>
      <c r="D5491" s="6" t="s">
        <v>1202</v>
      </c>
      <c r="E5491" s="6" t="s">
        <v>502</v>
      </c>
      <c r="F5491" s="6" t="str">
        <f>IF($M5491="PADD I","PADD 1",IF($M5491="PADD II","PADD 2",IF($M5491="PADD III","PADD 3",IF($M5491="PADD IV","PADD 4",IF($M5491="PADD V","PADD 5","")))))</f>
        <v>PADD 4</v>
      </c>
      <c r="G5491" s="6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6" t="s">
        <v>44</v>
      </c>
      <c r="I5491" s="6" t="s">
        <v>543</v>
      </c>
      <c r="J5491" s="6" t="s">
        <v>394</v>
      </c>
      <c r="K5491" s="10">
        <v>1.25</v>
      </c>
      <c r="L5491" s="10">
        <v>12.5</v>
      </c>
      <c r="M5491" s="6" t="s">
        <v>480</v>
      </c>
      <c r="N5491" s="6">
        <f>IF(OR($G5491="FCC",$G5491="Hydrocracker",$G5491="Reformer"),IF(COUNTIFS($D:$D,$D5491,$A:$A,$A5491,$B:$B,$B5491,$G:$G,"CDU",$J:$J,"PLANNED")&gt;0,"tied","standalone"),"")</f>
        <v/>
      </c>
    </row>
    <row r="5492" spans="1:14">
      <c r="A5492" s="6">
        <v>2025</v>
      </c>
      <c r="B5492" s="6">
        <v>3</v>
      </c>
      <c r="C5492" s="6" t="s">
        <v>62</v>
      </c>
      <c r="D5492" s="6" t="s">
        <v>937</v>
      </c>
      <c r="E5492" s="6" t="s">
        <v>455</v>
      </c>
      <c r="F5492" s="6" t="str">
        <f>IF($M5492="PADD I","PADD 1",IF($M5492="PADD II","PADD 2",IF($M5492="PADD III","PADD 3",IF($M5492="PADD IV","PADD 4",IF($M5492="PADD V","PADD 5","")))))</f>
        <v>PADD 3</v>
      </c>
      <c r="G5492" s="6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6" t="s">
        <v>510</v>
      </c>
      <c r="I5492" s="6" t="s">
        <v>666</v>
      </c>
      <c r="J5492" s="6" t="s">
        <v>398</v>
      </c>
      <c r="K5492" s="10">
        <v>1.235</v>
      </c>
      <c r="L5492" s="10">
        <v>6.5</v>
      </c>
      <c r="M5492" s="6" t="s">
        <v>421</v>
      </c>
      <c r="N5492" s="6">
        <f>IF(OR($G5492="FCC",$G5492="Hydrocracker",$G5492="Reformer"),IF(COUNTIFS($D:$D,$D5492,$A:$A,$A5492,$B:$B,$B5492,$G:$G,"CDU",$J:$J,"PLANNED")&gt;0,"tied","standalone"),"")</f>
        <v/>
      </c>
    </row>
    <row r="5493" spans="1:14">
      <c r="A5493" s="6">
        <v>2025</v>
      </c>
      <c r="B5493" s="6">
        <v>3</v>
      </c>
      <c r="C5493" s="6" t="s">
        <v>62</v>
      </c>
      <c r="D5493" s="6" t="s">
        <v>851</v>
      </c>
      <c r="E5493" s="6" t="s">
        <v>829</v>
      </c>
      <c r="F5493" s="6" t="str">
        <f>IF($M5493="PADD I","PADD 1",IF($M5493="PADD II","PADD 2",IF($M5493="PADD III","PADD 3",IF($M5493="PADD IV","PADD 4",IF($M5493="PADD V","PADD 5","")))))</f>
        <v>PADD 2</v>
      </c>
      <c r="G5493" s="6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6" t="s">
        <v>44</v>
      </c>
      <c r="I5493" s="6" t="s">
        <v>1046</v>
      </c>
      <c r="J5493" s="6" t="s">
        <v>398</v>
      </c>
      <c r="K5493" s="10">
        <v>1.2</v>
      </c>
      <c r="L5493" s="10">
        <v>40</v>
      </c>
      <c r="M5493" s="6" t="s">
        <v>425</v>
      </c>
      <c r="N5493" s="6">
        <f>IF(OR($G5493="FCC",$G5493="Hydrocracker",$G5493="Reformer"),IF(COUNTIFS($D:$D,$D5493,$A:$A,$A5493,$B:$B,$B5493,$G:$G,"CDU",$J:$J,"PLANNED")&gt;0,"tied","standalone"),"")</f>
        <v/>
      </c>
    </row>
    <row r="5494" spans="1:14">
      <c r="A5494" s="6">
        <v>2025</v>
      </c>
      <c r="B5494" s="6">
        <v>3</v>
      </c>
      <c r="C5494" s="6" t="s">
        <v>62</v>
      </c>
      <c r="D5494" s="6" t="s">
        <v>682</v>
      </c>
      <c r="E5494" s="6" t="s">
        <v>683</v>
      </c>
      <c r="F5494" s="6" t="str">
        <f>IF($M5494="PADD I","PADD 1",IF($M5494="PADD II","PADD 2",IF($M5494="PADD III","PADD 3",IF($M5494="PADD IV","PADD 4",IF($M5494="PADD V","PADD 5","")))))</f>
        <v>PADD 4</v>
      </c>
      <c r="G5494" s="6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6" t="s">
        <v>44</v>
      </c>
      <c r="I5494" s="6" t="s">
        <v>724</v>
      </c>
      <c r="J5494" s="6" t="s">
        <v>394</v>
      </c>
      <c r="K5494" s="10">
        <v>1.15</v>
      </c>
      <c r="L5494" s="10">
        <v>11.5</v>
      </c>
      <c r="M5494" s="6" t="s">
        <v>480</v>
      </c>
      <c r="N5494" s="6">
        <f>IF(OR($G5494="FCC",$G5494="Hydrocracker",$G5494="Reformer"),IF(COUNTIFS($D:$D,$D5494,$A:$A,$A5494,$B:$B,$B5494,$G:$G,"CDU",$J:$J,"PLANNED")&gt;0,"tied","standalone"),"")</f>
        <v/>
      </c>
    </row>
    <row r="5495" spans="1:14">
      <c r="A5495" s="6">
        <v>2025</v>
      </c>
      <c r="B5495" s="6">
        <v>3</v>
      </c>
      <c r="C5495" s="6" t="s">
        <v>62</v>
      </c>
      <c r="D5495" s="6" t="s">
        <v>937</v>
      </c>
      <c r="E5495" s="6" t="s">
        <v>455</v>
      </c>
      <c r="F5495" s="6" t="str">
        <f>IF($M5495="PADD I","PADD 1",IF($M5495="PADD II","PADD 2",IF($M5495="PADD III","PADD 3",IF($M5495="PADD IV","PADD 4",IF($M5495="PADD V","PADD 5","")))))</f>
        <v>PADD 3</v>
      </c>
      <c r="G5495" s="6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6" t="s">
        <v>687</v>
      </c>
      <c r="I5495" s="6" t="s">
        <v>1329</v>
      </c>
      <c r="J5495" s="6" t="s">
        <v>398</v>
      </c>
      <c r="K5495" s="10">
        <v>1.14</v>
      </c>
      <c r="L5495" s="10">
        <v>6</v>
      </c>
      <c r="M5495" s="6" t="s">
        <v>421</v>
      </c>
      <c r="N5495" s="6">
        <f>IF(OR($G5495="FCC",$G5495="Hydrocracker",$G5495="Reformer"),IF(COUNTIFS($D:$D,$D5495,$A:$A,$A5495,$B:$B,$B5495,$G:$G,"CDU",$J:$J,"PLANNED")&gt;0,"tied","standalone"),"")</f>
        <v/>
      </c>
    </row>
    <row r="5496" spans="1:14">
      <c r="A5496" s="6">
        <v>2025</v>
      </c>
      <c r="B5496" s="6">
        <v>3</v>
      </c>
      <c r="C5496" s="6" t="s">
        <v>62</v>
      </c>
      <c r="D5496" s="6" t="s">
        <v>501</v>
      </c>
      <c r="E5496" s="6" t="s">
        <v>502</v>
      </c>
      <c r="F5496" s="6" t="str">
        <f>IF($M5496="PADD I","PADD 1",IF($M5496="PADD II","PADD 2",IF($M5496="PADD III","PADD 3",IF($M5496="PADD IV","PADD 4",IF($M5496="PADD V","PADD 5","")))))</f>
        <v>PADD 2</v>
      </c>
      <c r="G5496" s="6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6" t="s">
        <v>618</v>
      </c>
      <c r="I5496" s="6" t="s">
        <v>654</v>
      </c>
      <c r="J5496" s="6" t="s">
        <v>398</v>
      </c>
      <c r="K5496" s="10">
        <v>1.1</v>
      </c>
      <c r="L5496" s="10">
        <v>1.1</v>
      </c>
      <c r="M5496" s="6" t="s">
        <v>425</v>
      </c>
      <c r="N5496" s="6">
        <f>IF(OR($G5496="FCC",$G5496="Hydrocracker",$G5496="Reformer"),IF(COUNTIFS($D:$D,$D5496,$A:$A,$A5496,$B:$B,$B5496,$G:$G,"CDU",$J:$J,"PLANNED")&gt;0,"tied","standalone"),"")</f>
        <v/>
      </c>
    </row>
    <row r="5497" spans="1:14">
      <c r="A5497" s="6">
        <v>2025</v>
      </c>
      <c r="B5497" s="6">
        <v>3</v>
      </c>
      <c r="C5497" s="6" t="s">
        <v>62</v>
      </c>
      <c r="D5497" s="6" t="s">
        <v>937</v>
      </c>
      <c r="E5497" s="6" t="s">
        <v>455</v>
      </c>
      <c r="F5497" s="6" t="str">
        <f>IF($M5497="PADD I","PADD 1",IF($M5497="PADD II","PADD 2",IF($M5497="PADD III","PADD 3",IF($M5497="PADD IV","PADD 4",IF($M5497="PADD V","PADD 5","")))))</f>
        <v>PADD 3</v>
      </c>
      <c r="G5497" s="6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6" t="s">
        <v>471</v>
      </c>
      <c r="I5497" s="6" t="s">
        <v>609</v>
      </c>
      <c r="J5497" s="6" t="s">
        <v>394</v>
      </c>
      <c r="K5497" s="10">
        <v>1.1</v>
      </c>
      <c r="L5497" s="10">
        <v>11</v>
      </c>
      <c r="M5497" s="6" t="s">
        <v>421</v>
      </c>
      <c r="N5497" s="6" t="str">
        <f>IF(OR($G5497="FCC",$G5497="Hydrocracker",$G5497="Reformer"),IF(COUNTIFS($D:$D,$D5497,$A:$A,$A5497,$B:$B,$B5497,$G:$G,"CDU",$J:$J,"PLANNED")&gt;0,"tied","standalone"),"")</f>
        <v>standalone</v>
      </c>
    </row>
    <row r="5498" spans="1:14">
      <c r="A5498" s="6">
        <v>2025</v>
      </c>
      <c r="B5498" s="6">
        <v>3</v>
      </c>
      <c r="C5498" s="6" t="s">
        <v>62</v>
      </c>
      <c r="D5498" s="6" t="s">
        <v>1113</v>
      </c>
      <c r="E5498" s="6" t="s">
        <v>438</v>
      </c>
      <c r="F5498" s="6" t="str">
        <f>IF($M5498="PADD I","PADD 1",IF($M5498="PADD II","PADD 2",IF($M5498="PADD III","PADD 3",IF($M5498="PADD IV","PADD 4",IF($M5498="PADD V","PADD 5","")))))</f>
        <v>PADD 2</v>
      </c>
      <c r="G5498" s="6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6" t="s">
        <v>485</v>
      </c>
      <c r="I5498" s="6" t="s">
        <v>491</v>
      </c>
      <c r="J5498" s="6" t="s">
        <v>394</v>
      </c>
      <c r="K5498" s="10">
        <v>0.84</v>
      </c>
      <c r="L5498" s="10">
        <v>28</v>
      </c>
      <c r="M5498" s="6" t="s">
        <v>425</v>
      </c>
      <c r="N5498" s="6">
        <f>IF(OR($G5498="FCC",$G5498="Hydrocracker",$G5498="Reformer"),IF(COUNTIFS($D:$D,$D5498,$A:$A,$A5498,$B:$B,$B5498,$G:$G,"CDU",$J:$J,"PLANNED")&gt;0,"tied","standalone"),"")</f>
        <v/>
      </c>
    </row>
    <row r="5499" spans="1:14">
      <c r="A5499" s="6">
        <v>2025</v>
      </c>
      <c r="B5499" s="6">
        <v>3</v>
      </c>
      <c r="C5499" s="6" t="s">
        <v>62</v>
      </c>
      <c r="D5499" s="6" t="s">
        <v>849</v>
      </c>
      <c r="E5499" s="6" t="s">
        <v>441</v>
      </c>
      <c r="F5499" s="6" t="str">
        <f>IF($M5499="PADD I","PADD 1",IF($M5499="PADD II","PADD 2",IF($M5499="PADD III","PADD 3",IF($M5499="PADD IV","PADD 4",IF($M5499="PADD V","PADD 5","")))))</f>
        <v>PADD 4</v>
      </c>
      <c r="G5499" s="6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6" t="s">
        <v>485</v>
      </c>
      <c r="I5499" s="6" t="s">
        <v>1238</v>
      </c>
      <c r="J5499" s="6" t="s">
        <v>398</v>
      </c>
      <c r="K5499" s="10">
        <v>0.82</v>
      </c>
      <c r="L5499" s="10">
        <v>8.199999999999999</v>
      </c>
      <c r="M5499" s="6" t="s">
        <v>480</v>
      </c>
      <c r="N5499" s="6">
        <f>IF(OR($G5499="FCC",$G5499="Hydrocracker",$G5499="Reformer"),IF(COUNTIFS($D:$D,$D5499,$A:$A,$A5499,$B:$B,$B5499,$G:$G,"CDU",$J:$J,"PLANNED")&gt;0,"tied","standalone"),"")</f>
        <v/>
      </c>
    </row>
    <row r="5500" spans="1:14">
      <c r="A5500" s="6">
        <v>2025</v>
      </c>
      <c r="B5500" s="6">
        <v>3</v>
      </c>
      <c r="C5500" s="6" t="s">
        <v>62</v>
      </c>
      <c r="D5500" s="6" t="s">
        <v>49</v>
      </c>
      <c r="E5500" s="6" t="s">
        <v>438</v>
      </c>
      <c r="F5500" s="6" t="str">
        <f>IF($M5500="PADD I","PADD 1",IF($M5500="PADD II","PADD 2",IF($M5500="PADD III","PADD 3",IF($M5500="PADD IV","PADD 4",IF($M5500="PADD V","PADD 5","")))))</f>
        <v>PADD 2</v>
      </c>
      <c r="G5500" s="6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6" t="s">
        <v>485</v>
      </c>
      <c r="I5500" s="6" t="s">
        <v>681</v>
      </c>
      <c r="J5500" s="6" t="s">
        <v>394</v>
      </c>
      <c r="K5500" s="10">
        <v>0.72</v>
      </c>
      <c r="L5500" s="10">
        <v>12</v>
      </c>
      <c r="M5500" s="6" t="s">
        <v>425</v>
      </c>
      <c r="N5500" s="6">
        <f>IF(OR($G5500="FCC",$G5500="Hydrocracker",$G5500="Reformer"),IF(COUNTIFS($D:$D,$D5500,$A:$A,$A5500,$B:$B,$B5500,$G:$G,"CDU",$J:$J,"PLANNED")&gt;0,"tied","standalone"),"")</f>
        <v/>
      </c>
    </row>
    <row r="5501" spans="1:14">
      <c r="A5501" s="6">
        <v>2025</v>
      </c>
      <c r="B5501" s="6">
        <v>3</v>
      </c>
      <c r="C5501" s="6" t="s">
        <v>62</v>
      </c>
      <c r="D5501" s="6" t="s">
        <v>777</v>
      </c>
      <c r="E5501" s="6" t="s">
        <v>778</v>
      </c>
      <c r="F5501" s="6" t="str">
        <f>IF($M5501="PADD I","PADD 1",IF($M5501="PADD II","PADD 2",IF($M5501="PADD III","PADD 3",IF($M5501="PADD IV","PADD 4",IF($M5501="PADD V","PADD 5","")))))</f>
        <v>PADD 1</v>
      </c>
      <c r="G5501" s="6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6" t="s">
        <v>39</v>
      </c>
      <c r="I5501" s="6" t="s">
        <v>82</v>
      </c>
      <c r="J5501" s="6" t="s">
        <v>398</v>
      </c>
      <c r="K5501" s="10">
        <v>0.6899999999999999</v>
      </c>
      <c r="L5501" s="10">
        <v>23</v>
      </c>
      <c r="M5501" s="6" t="s">
        <v>463</v>
      </c>
      <c r="N5501" s="6">
        <f>IF(OR($G5501="FCC",$G5501="Hydrocracker",$G5501="Reformer"),IF(COUNTIFS($D:$D,$D5501,$A:$A,$A5501,$B:$B,$B5501,$G:$G,"CDU",$J:$J,"PLANNED")&gt;0,"tied","standalone"),"")</f>
        <v/>
      </c>
    </row>
    <row r="5502" spans="1:14">
      <c r="A5502" s="6">
        <v>2025</v>
      </c>
      <c r="B5502" s="6">
        <v>3</v>
      </c>
      <c r="C5502" s="6" t="s">
        <v>62</v>
      </c>
      <c r="D5502" s="6" t="s">
        <v>501</v>
      </c>
      <c r="E5502" s="6" t="s">
        <v>502</v>
      </c>
      <c r="F5502" s="6" t="str">
        <f>IF($M5502="PADD I","PADD 1",IF($M5502="PADD II","PADD 2",IF($M5502="PADD III","PADD 3",IF($M5502="PADD IV","PADD 4",IF($M5502="PADD V","PADD 5","")))))</f>
        <v>PADD 2</v>
      </c>
      <c r="G5502" s="6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6" t="s">
        <v>510</v>
      </c>
      <c r="I5502" s="6" t="s">
        <v>511</v>
      </c>
      <c r="J5502" s="6" t="s">
        <v>398</v>
      </c>
      <c r="K5502" s="10">
        <v>0.6</v>
      </c>
      <c r="L5502" s="10">
        <v>0.6</v>
      </c>
      <c r="M5502" s="6" t="s">
        <v>425</v>
      </c>
      <c r="N5502" s="6">
        <f>IF(OR($G5502="FCC",$G5502="Hydrocracker",$G5502="Reformer"),IF(COUNTIFS($D:$D,$D5502,$A:$A,$A5502,$B:$B,$B5502,$G:$G,"CDU",$J:$J,"PLANNED")&gt;0,"tied","standalone"),"")</f>
        <v/>
      </c>
    </row>
    <row r="5503" spans="1:14">
      <c r="A5503" s="6">
        <v>2025</v>
      </c>
      <c r="B5503" s="6">
        <v>3</v>
      </c>
      <c r="C5503" s="6" t="s">
        <v>62</v>
      </c>
      <c r="D5503" s="6" t="s">
        <v>378</v>
      </c>
      <c r="E5503" s="6" t="s">
        <v>477</v>
      </c>
      <c r="F5503" s="6" t="str">
        <f>IF($M5503="PADD I","PADD 1",IF($M5503="PADD II","PADD 2",IF($M5503="PADD III","PADD 3",IF($M5503="PADD IV","PADD 4",IF($M5503="PADD V","PADD 5","")))))</f>
        <v>PADD 3</v>
      </c>
      <c r="G5503" s="6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6" t="s">
        <v>471</v>
      </c>
      <c r="I5503" s="6" t="s">
        <v>1212</v>
      </c>
      <c r="J5503" s="6" t="s">
        <v>394</v>
      </c>
      <c r="K5503" s="10">
        <v>0.57</v>
      </c>
      <c r="L5503" s="10">
        <v>19</v>
      </c>
      <c r="M5503" s="6" t="s">
        <v>421</v>
      </c>
      <c r="N5503" s="6" t="str">
        <f>IF(OR($G5503="FCC",$G5503="Hydrocracker",$G5503="Reformer"),IF(COUNTIFS($D:$D,$D5503,$A:$A,$A5503,$B:$B,$B5503,$G:$G,"CDU",$J:$J,"PLANNED")&gt;0,"tied","standalone"),"")</f>
        <v>standalone</v>
      </c>
    </row>
    <row r="5504" spans="1:14">
      <c r="A5504" s="6">
        <v>2025</v>
      </c>
      <c r="B5504" s="6">
        <v>3</v>
      </c>
      <c r="C5504" s="6" t="s">
        <v>62</v>
      </c>
      <c r="D5504" s="6" t="s">
        <v>49</v>
      </c>
      <c r="E5504" s="6" t="s">
        <v>438</v>
      </c>
      <c r="F5504" s="6" t="str">
        <f>IF($M5504="PADD I","PADD 1",IF($M5504="PADD II","PADD 2",IF($M5504="PADD III","PADD 3",IF($M5504="PADD IV","PADD 4",IF($M5504="PADD V","PADD 5","")))))</f>
        <v>PADD 2</v>
      </c>
      <c r="G5504" s="6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6" t="s">
        <v>485</v>
      </c>
      <c r="I5504" s="6" t="s">
        <v>681</v>
      </c>
      <c r="J5504" s="6" t="s">
        <v>394</v>
      </c>
      <c r="K5504" s="10">
        <v>0.36</v>
      </c>
      <c r="L5504" s="10">
        <v>12</v>
      </c>
      <c r="M5504" s="6" t="s">
        <v>425</v>
      </c>
      <c r="N5504" s="6">
        <f>IF(OR($G5504="FCC",$G5504="Hydrocracker",$G5504="Reformer"),IF(COUNTIFS($D:$D,$D5504,$A:$A,$A5504,$B:$B,$B5504,$G:$G,"CDU",$J:$J,"PLANNED")&gt;0,"tied","standalone"),"")</f>
        <v/>
      </c>
    </row>
    <row r="5505" spans="1:14">
      <c r="A5505" s="6">
        <v>2025</v>
      </c>
      <c r="B5505" s="6">
        <v>3</v>
      </c>
      <c r="C5505" s="6" t="s">
        <v>62</v>
      </c>
      <c r="D5505" s="6" t="s">
        <v>777</v>
      </c>
      <c r="E5505" s="6" t="s">
        <v>778</v>
      </c>
      <c r="F5505" s="6" t="str">
        <f>IF($M5505="PADD I","PADD 1",IF($M5505="PADD II","PADD 2",IF($M5505="PADD III","PADD 3",IF($M5505="PADD IV","PADD 4",IF($M5505="PADD V","PADD 5","")))))</f>
        <v>PADD 1</v>
      </c>
      <c r="G5505" s="6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6" t="s">
        <v>428</v>
      </c>
      <c r="I5505" s="6" t="s">
        <v>481</v>
      </c>
      <c r="J5505" s="6" t="s">
        <v>398</v>
      </c>
      <c r="K5505" s="10">
        <v>0.255</v>
      </c>
      <c r="L5505" s="10">
        <v>8.5</v>
      </c>
      <c r="M5505" s="6" t="s">
        <v>463</v>
      </c>
      <c r="N5505" s="6">
        <f>IF(OR($G5505="FCC",$G5505="Hydrocracker",$G5505="Reformer"),IF(COUNTIFS($D:$D,$D5505,$A:$A,$A5505,$B:$B,$B5505,$G:$G,"CDU",$J:$J,"PLANNED")&gt;0,"tied","standalone"),"")</f>
        <v/>
      </c>
    </row>
    <row r="5506" spans="1:14">
      <c r="A5506" s="6">
        <v>2025</v>
      </c>
      <c r="B5506" s="6">
        <v>3</v>
      </c>
      <c r="C5506" s="6" t="s">
        <v>62</v>
      </c>
      <c r="D5506" s="6" t="s">
        <v>777</v>
      </c>
      <c r="E5506" s="6" t="s">
        <v>778</v>
      </c>
      <c r="F5506" s="6" t="str">
        <f>IF($M5506="PADD I","PADD 1",IF($M5506="PADD II","PADD 2",IF($M5506="PADD III","PADD 3",IF($M5506="PADD IV","PADD 4",IF($M5506="PADD V","PADD 5","")))))</f>
        <v>PADD 1</v>
      </c>
      <c r="G5506" s="6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6" t="s">
        <v>44</v>
      </c>
      <c r="I5506" s="6" t="s">
        <v>570</v>
      </c>
      <c r="J5506" s="6" t="s">
        <v>398</v>
      </c>
      <c r="K5506" s="10">
        <v>0.24</v>
      </c>
      <c r="L5506" s="10">
        <v>8</v>
      </c>
      <c r="M5506" s="6" t="s">
        <v>463</v>
      </c>
      <c r="N5506" s="6">
        <f>IF(OR($G5506="FCC",$G5506="Hydrocracker",$G5506="Reformer"),IF(COUNTIFS($D:$D,$D5506,$A:$A,$A5506,$B:$B,$B5506,$G:$G,"CDU",$J:$J,"PLANNED")&gt;0,"tied","standalone"),"")</f>
        <v/>
      </c>
    </row>
    <row r="5507" spans="1:14">
      <c r="A5507" s="6">
        <v>2025</v>
      </c>
      <c r="B5507" s="6">
        <v>3</v>
      </c>
      <c r="C5507" s="6" t="s">
        <v>62</v>
      </c>
      <c r="D5507" s="6" t="s">
        <v>851</v>
      </c>
      <c r="E5507" s="6" t="s">
        <v>829</v>
      </c>
      <c r="F5507" s="6" t="str">
        <f>IF($M5507="PADD I","PADD 1",IF($M5507="PADD II","PADD 2",IF($M5507="PADD III","PADD 3",IF($M5507="PADD IV","PADD 4",IF($M5507="PADD V","PADD 5","")))))</f>
        <v>PADD 2</v>
      </c>
      <c r="G5507" s="6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6" t="s">
        <v>510</v>
      </c>
      <c r="I5507" s="6" t="s">
        <v>511</v>
      </c>
      <c r="J5507" s="6" t="s">
        <v>398</v>
      </c>
      <c r="K5507" s="10">
        <v>0.18</v>
      </c>
      <c r="L5507" s="10">
        <v>6</v>
      </c>
      <c r="M5507" s="6" t="s">
        <v>425</v>
      </c>
      <c r="N5507" s="6">
        <f>IF(OR($G5507="FCC",$G5507="Hydrocracker",$G5507="Reformer"),IF(COUNTIFS($D:$D,$D5507,$A:$A,$A5507,$B:$B,$B5507,$G:$G,"CDU",$J:$J,"PLANNED")&gt;0,"tied","standalone"),"")</f>
        <v/>
      </c>
    </row>
    <row r="5508" spans="1:14">
      <c r="A5508" s="6">
        <v>2025</v>
      </c>
      <c r="B5508" s="6">
        <v>3</v>
      </c>
      <c r="C5508" s="6" t="s">
        <v>62</v>
      </c>
      <c r="D5508" s="6" t="s">
        <v>777</v>
      </c>
      <c r="E5508" s="6" t="s">
        <v>778</v>
      </c>
      <c r="F5508" s="6" t="str">
        <f>IF($M5508="PADD I","PADD 1",IF($M5508="PADD II","PADD 2",IF($M5508="PADD III","PADD 3",IF($M5508="PADD IV","PADD 4",IF($M5508="PADD V","PADD 5","")))))</f>
        <v>PADD 1</v>
      </c>
      <c r="G5508" s="6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6" t="s">
        <v>618</v>
      </c>
      <c r="I5508" s="6" t="s">
        <v>763</v>
      </c>
      <c r="J5508" s="6" t="s">
        <v>398</v>
      </c>
      <c r="K5508" s="10">
        <v>0.15</v>
      </c>
      <c r="L5508" s="10">
        <v>5</v>
      </c>
      <c r="M5508" s="6" t="s">
        <v>463</v>
      </c>
      <c r="N5508" s="6">
        <f>IF(OR($G5508="FCC",$G5508="Hydrocracker",$G5508="Reformer"),IF(COUNTIFS($D:$D,$D5508,$A:$A,$A5508,$B:$B,$B5508,$G:$G,"CDU",$J:$J,"PLANNED")&gt;0,"tied","standalone"),"")</f>
        <v/>
      </c>
    </row>
    <row r="5509" spans="1:14">
      <c r="A5509" s="6">
        <v>2025</v>
      </c>
      <c r="B5509" s="6">
        <v>3</v>
      </c>
      <c r="C5509" s="6" t="s">
        <v>62</v>
      </c>
      <c r="D5509" s="6" t="s">
        <v>777</v>
      </c>
      <c r="E5509" s="6" t="s">
        <v>778</v>
      </c>
      <c r="F5509" s="6" t="str">
        <f>IF($M5509="PADD I","PADD 1",IF($M5509="PADD II","PADD 2",IF($M5509="PADD III","PADD 3",IF($M5509="PADD IV","PADD 4",IF($M5509="PADD V","PADD 5","")))))</f>
        <v>PADD 1</v>
      </c>
      <c r="G5509" s="6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6" t="s">
        <v>44</v>
      </c>
      <c r="I5509" s="6" t="s">
        <v>802</v>
      </c>
      <c r="J5509" s="6" t="s">
        <v>398</v>
      </c>
      <c r="K5509" s="10">
        <v>0.138</v>
      </c>
      <c r="L5509" s="10">
        <v>4.6</v>
      </c>
      <c r="M5509" s="6" t="s">
        <v>463</v>
      </c>
      <c r="N5509" s="6">
        <f>IF(OR($G5509="FCC",$G5509="Hydrocracker",$G5509="Reformer"),IF(COUNTIFS($D:$D,$D5509,$A:$A,$A5509,$B:$B,$B5509,$G:$G,"CDU",$J:$J,"PLANNED")&gt;0,"tied","standalone"),"")</f>
        <v/>
      </c>
    </row>
    <row r="5510" spans="1:14">
      <c r="A5510" s="6">
        <v>2025</v>
      </c>
      <c r="B5510" s="6">
        <v>3</v>
      </c>
      <c r="C5510" s="6" t="s">
        <v>62</v>
      </c>
      <c r="D5510" s="6" t="s">
        <v>777</v>
      </c>
      <c r="E5510" s="6" t="s">
        <v>778</v>
      </c>
      <c r="F5510" s="6" t="str">
        <f>IF($M5510="PADD I","PADD 1",IF($M5510="PADD II","PADD 2",IF($M5510="PADD III","PADD 3",IF($M5510="PADD IV","PADD 4",IF($M5510="PADD V","PADD 5","")))))</f>
        <v>PADD 1</v>
      </c>
      <c r="G5510" s="6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6" t="s">
        <v>687</v>
      </c>
      <c r="I5510" s="6" t="s">
        <v>1350</v>
      </c>
      <c r="J5510" s="6" t="s">
        <v>398</v>
      </c>
      <c r="K5510" s="10">
        <v>0.135</v>
      </c>
      <c r="L5510" s="10">
        <v>4.5</v>
      </c>
      <c r="M5510" s="6" t="s">
        <v>463</v>
      </c>
      <c r="N5510" s="6">
        <f>IF(OR($G5510="FCC",$G5510="Hydrocracker",$G5510="Reformer"),IF(COUNTIFS($D:$D,$D5510,$A:$A,$A5510,$B:$B,$B5510,$G:$G,"CDU",$J:$J,"PLANNED")&gt;0,"tied","standalone"),"")</f>
        <v/>
      </c>
    </row>
    <row r="5511" spans="1:14">
      <c r="A5511" s="6">
        <v>2025</v>
      </c>
      <c r="B5511" s="6">
        <v>3</v>
      </c>
      <c r="C5511" s="6" t="s">
        <v>62</v>
      </c>
      <c r="D5511" s="6" t="s">
        <v>777</v>
      </c>
      <c r="E5511" s="6" t="s">
        <v>778</v>
      </c>
      <c r="F5511" s="6" t="str">
        <f>IF($M5511="PADD I","PADD 1",IF($M5511="PADD II","PADD 2",IF($M5511="PADD III","PADD 3",IF($M5511="PADD IV","PADD 4",IF($M5511="PADD V","PADD 5","")))))</f>
        <v>PADD 1</v>
      </c>
      <c r="G5511" s="6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6" t="s">
        <v>687</v>
      </c>
      <c r="I5511" s="6" t="s">
        <v>1351</v>
      </c>
      <c r="J5511" s="6" t="s">
        <v>398</v>
      </c>
      <c r="K5511" s="10">
        <v>0.135</v>
      </c>
      <c r="L5511" s="10">
        <v>4.5</v>
      </c>
      <c r="M5511" s="6" t="s">
        <v>463</v>
      </c>
      <c r="N5511" s="6">
        <f>IF(OR($G5511="FCC",$G5511="Hydrocracker",$G5511="Reformer"),IF(COUNTIFS($D:$D,$D5511,$A:$A,$A5511,$B:$B,$B5511,$G:$G,"CDU",$J:$J,"PLANNED")&gt;0,"tied","standalone"),"")</f>
        <v/>
      </c>
    </row>
    <row r="5512" spans="1:14">
      <c r="A5512" s="6">
        <v>2025</v>
      </c>
      <c r="B5512" s="6">
        <v>3</v>
      </c>
      <c r="C5512" s="6" t="s">
        <v>62</v>
      </c>
      <c r="D5512" s="6" t="s">
        <v>777</v>
      </c>
      <c r="E5512" s="6" t="s">
        <v>778</v>
      </c>
      <c r="F5512" s="6" t="str">
        <f>IF($M5512="PADD I","PADD 1",IF($M5512="PADD II","PADD 2",IF($M5512="PADD III","PADD 3",IF($M5512="PADD IV","PADD 4",IF($M5512="PADD V","PADD 5","")))))</f>
        <v>PADD 1</v>
      </c>
      <c r="G5512" s="6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6" t="s">
        <v>494</v>
      </c>
      <c r="I5512" s="6" t="s">
        <v>803</v>
      </c>
      <c r="J5512" s="6" t="s">
        <v>398</v>
      </c>
      <c r="K5512" s="10">
        <v>0.129</v>
      </c>
      <c r="L5512" s="10">
        <v>4.3</v>
      </c>
      <c r="M5512" s="6" t="s">
        <v>463</v>
      </c>
      <c r="N5512" s="6" t="str">
        <f>IF(OR($G5512="FCC",$G5512="Hydrocracker",$G5512="Reformer"),IF(COUNTIFS($D:$D,$D5512,$A:$A,$A5512,$B:$B,$B5512,$G:$G,"CDU",$J:$J,"PLANNED")&gt;0,"tied","standalone"),"")</f>
        <v>tied</v>
      </c>
    </row>
    <row r="5513" spans="1:14">
      <c r="A5513" s="6">
        <v>2025</v>
      </c>
      <c r="B5513" s="6">
        <v>3</v>
      </c>
      <c r="C5513" s="6" t="s">
        <v>62</v>
      </c>
      <c r="D5513" s="6" t="s">
        <v>777</v>
      </c>
      <c r="E5513" s="6" t="s">
        <v>778</v>
      </c>
      <c r="F5513" s="6" t="str">
        <f>IF($M5513="PADD I","PADD 1",IF($M5513="PADD II","PADD 2",IF($M5513="PADD III","PADD 3",IF($M5513="PADD IV","PADD 4",IF($M5513="PADD V","PADD 5","")))))</f>
        <v>PADD 1</v>
      </c>
      <c r="G5513" s="6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6" t="s">
        <v>471</v>
      </c>
      <c r="I5513" s="6" t="s">
        <v>621</v>
      </c>
      <c r="J5513" s="6" t="s">
        <v>398</v>
      </c>
      <c r="K5513" s="10">
        <v>0.108</v>
      </c>
      <c r="L5513" s="10">
        <v>3.6</v>
      </c>
      <c r="M5513" s="6" t="s">
        <v>463</v>
      </c>
      <c r="N5513" s="6" t="str">
        <f>IF(OR($G5513="FCC",$G5513="Hydrocracker",$G5513="Reformer"),IF(COUNTIFS($D:$D,$D5513,$A:$A,$A5513,$B:$B,$B5513,$G:$G,"CDU",$J:$J,"PLANNED")&gt;0,"tied","standalone"),"")</f>
        <v>tied</v>
      </c>
    </row>
    <row r="5514" spans="1:14">
      <c r="A5514" s="6">
        <v>2025</v>
      </c>
      <c r="B5514" s="6">
        <v>4</v>
      </c>
      <c r="C5514" s="6" t="s">
        <v>63</v>
      </c>
      <c r="D5514" s="6" t="s">
        <v>440</v>
      </c>
      <c r="E5514" s="6" t="s">
        <v>441</v>
      </c>
      <c r="F5514" s="6" t="str">
        <f>IF($M5514="PADD I","PADD 1",IF($M5514="PADD II","PADD 2",IF($M5514="PADD III","PADD 3",IF($M5514="PADD IV","PADD 4",IF($M5514="PADD V","PADD 5","")))))</f>
        <v>PADD 3</v>
      </c>
      <c r="G5514" s="6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6" t="s">
        <v>39</v>
      </c>
      <c r="I5514" s="6" t="s">
        <v>1345</v>
      </c>
      <c r="J5514" s="6" t="s">
        <v>398</v>
      </c>
      <c r="K5514" s="10">
        <v>175</v>
      </c>
      <c r="L5514" s="10">
        <v>175</v>
      </c>
      <c r="M5514" s="6" t="s">
        <v>421</v>
      </c>
      <c r="N5514" s="6">
        <f>IF(OR($G5514="FCC",$G5514="Hydrocracker",$G5514="Reformer"),IF(COUNTIFS($D:$D,$D5514,$A:$A,$A5514,$B:$B,$B5514,$G:$G,"CDU",$J:$J,"PLANNED")&gt;0,"tied","standalone"),"")</f>
        <v/>
      </c>
    </row>
    <row r="5515" spans="1:14">
      <c r="A5515" s="6">
        <v>2025</v>
      </c>
      <c r="B5515" s="6">
        <v>4</v>
      </c>
      <c r="C5515" s="6" t="s">
        <v>63</v>
      </c>
      <c r="D5515" s="6" t="s">
        <v>371</v>
      </c>
      <c r="E5515" s="6" t="s">
        <v>419</v>
      </c>
      <c r="F5515" s="6" t="str">
        <f>IF($M5515="PADD I","PADD 1",IF($M5515="PADD II","PADD 2",IF($M5515="PADD III","PADD 3",IF($M5515="PADD IV","PADD 4",IF($M5515="PADD V","PADD 5","")))))</f>
        <v>PADD 2</v>
      </c>
      <c r="G5515" s="6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6" t="s">
        <v>39</v>
      </c>
      <c r="I5515" s="6" t="s">
        <v>1343</v>
      </c>
      <c r="J5515" s="6" t="s">
        <v>398</v>
      </c>
      <c r="K5515" s="10">
        <v>170</v>
      </c>
      <c r="L5515" s="10">
        <v>170</v>
      </c>
      <c r="M5515" s="6" t="s">
        <v>425</v>
      </c>
      <c r="N5515" s="6">
        <f>IF(OR($G5515="FCC",$G5515="Hydrocracker",$G5515="Reformer"),IF(COUNTIFS($D:$D,$D5515,$A:$A,$A5515,$B:$B,$B5515,$G:$G,"CDU",$J:$J,"PLANNED")&gt;0,"tied","standalone"),"")</f>
        <v/>
      </c>
    </row>
    <row r="5516" spans="1:14">
      <c r="A5516" s="6">
        <v>2025</v>
      </c>
      <c r="B5516" s="6">
        <v>4</v>
      </c>
      <c r="C5516" s="6" t="s">
        <v>63</v>
      </c>
      <c r="D5516" s="6" t="s">
        <v>581</v>
      </c>
      <c r="E5516" s="6" t="s">
        <v>582</v>
      </c>
      <c r="F5516" s="6" t="str">
        <f>IF($M5516="PADD I","PADD 1",IF($M5516="PADD II","PADD 2",IF($M5516="PADD III","PADD 3",IF($M5516="PADD IV","PADD 4",IF($M5516="PADD V","PADD 5","")))))</f>
        <v>PADD 5</v>
      </c>
      <c r="G5516" s="6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6" t="s">
        <v>39</v>
      </c>
      <c r="I5516" s="6" t="s">
        <v>82</v>
      </c>
      <c r="J5516" s="6" t="s">
        <v>394</v>
      </c>
      <c r="K5516" s="10">
        <v>155</v>
      </c>
      <c r="L5516" s="10">
        <v>155</v>
      </c>
      <c r="M5516" s="6" t="s">
        <v>436</v>
      </c>
      <c r="N5516" s="6">
        <f>IF(OR($G5516="FCC",$G5516="Hydrocracker",$G5516="Reformer"),IF(COUNTIFS($D:$D,$D5516,$A:$A,$A5516,$B:$B,$B5516,$G:$G,"CDU",$J:$J,"PLANNED")&gt;0,"tied","standalone"),"")</f>
        <v/>
      </c>
    </row>
    <row r="5517" spans="1:14">
      <c r="A5517" s="6">
        <v>2025</v>
      </c>
      <c r="B5517" s="6">
        <v>4</v>
      </c>
      <c r="C5517" s="6" t="s">
        <v>63</v>
      </c>
      <c r="D5517" s="6" t="s">
        <v>375</v>
      </c>
      <c r="E5517" s="6" t="s">
        <v>435</v>
      </c>
      <c r="F5517" s="6" t="str">
        <f>IF($M5517="PADD I","PADD 1",IF($M5517="PADD II","PADD 2",IF($M5517="PADD III","PADD 3",IF($M5517="PADD IV","PADD 4",IF($M5517="PADD V","PADD 5","")))))</f>
        <v>PADD 5</v>
      </c>
      <c r="G5517" s="6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6" t="s">
        <v>39</v>
      </c>
      <c r="I5517" s="6" t="s">
        <v>94</v>
      </c>
      <c r="J5517" s="6" t="s">
        <v>394</v>
      </c>
      <c r="K5517" s="10">
        <v>134.85</v>
      </c>
      <c r="L5517" s="10">
        <v>155</v>
      </c>
      <c r="M5517" s="6" t="s">
        <v>436</v>
      </c>
      <c r="N5517" s="6">
        <f>IF(OR($G5517="FCC",$G5517="Hydrocracker",$G5517="Reformer"),IF(COUNTIFS($D:$D,$D5517,$A:$A,$A5517,$B:$B,$B5517,$G:$G,"CDU",$J:$J,"PLANNED")&gt;0,"tied","standalone"),"")</f>
        <v/>
      </c>
    </row>
    <row r="5518" spans="1:14">
      <c r="A5518" s="6">
        <v>2025</v>
      </c>
      <c r="B5518" s="6">
        <v>4</v>
      </c>
      <c r="C5518" s="6" t="s">
        <v>63</v>
      </c>
      <c r="D5518" s="6" t="s">
        <v>54</v>
      </c>
      <c r="E5518" s="6" t="s">
        <v>593</v>
      </c>
      <c r="F5518" s="6" t="str">
        <f>IF($M5518="PADD I","PADD 1",IF($M5518="PADD II","PADD 2",IF($M5518="PADD III","PADD 3",IF($M5518="PADD IV","PADD 4",IF($M5518="PADD V","PADD 5","")))))</f>
        <v>PADD 5</v>
      </c>
      <c r="G5518" s="6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6" t="s">
        <v>39</v>
      </c>
      <c r="I5518" s="6" t="s">
        <v>82</v>
      </c>
      <c r="J5518" s="6" t="s">
        <v>394</v>
      </c>
      <c r="K5518" s="10">
        <v>125.5</v>
      </c>
      <c r="L5518" s="10">
        <v>251</v>
      </c>
      <c r="M5518" s="6" t="s">
        <v>436</v>
      </c>
      <c r="N5518" s="6">
        <f>IF(OR($G5518="FCC",$G5518="Hydrocracker",$G5518="Reformer"),IF(COUNTIFS($D:$D,$D5518,$A:$A,$A5518,$B:$B,$B5518,$G:$G,"CDU",$J:$J,"PLANNED")&gt;0,"tied","standalone"),"")</f>
        <v/>
      </c>
    </row>
    <row r="5519" spans="1:14">
      <c r="A5519" s="6">
        <v>2025</v>
      </c>
      <c r="B5519" s="6">
        <v>4</v>
      </c>
      <c r="C5519" s="6" t="s">
        <v>63</v>
      </c>
      <c r="D5519" s="6" t="s">
        <v>792</v>
      </c>
      <c r="E5519" s="6" t="s">
        <v>438</v>
      </c>
      <c r="F5519" s="6" t="str">
        <f>IF($M5519="PADD I","PADD 1",IF($M5519="PADD II","PADD 2",IF($M5519="PADD III","PADD 3",IF($M5519="PADD IV","PADD 4",IF($M5519="PADD V","PADD 5","")))))</f>
        <v>PADD 5</v>
      </c>
      <c r="G5519" s="6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6" t="s">
        <v>39</v>
      </c>
      <c r="I5519" s="6" t="s">
        <v>82</v>
      </c>
      <c r="J5519" s="6" t="s">
        <v>398</v>
      </c>
      <c r="K5519" s="10">
        <v>120</v>
      </c>
      <c r="L5519" s="10">
        <v>120</v>
      </c>
      <c r="M5519" s="6" t="s">
        <v>436</v>
      </c>
      <c r="N5519" s="6">
        <f>IF(OR($G5519="FCC",$G5519="Hydrocracker",$G5519="Reformer"),IF(COUNTIFS($D:$D,$D5519,$A:$A,$A5519,$B:$B,$B5519,$G:$G,"CDU",$J:$J,"PLANNED")&gt;0,"tied","standalone"),"")</f>
        <v/>
      </c>
    </row>
    <row r="5520" spans="1:14">
      <c r="A5520" s="6">
        <v>2025</v>
      </c>
      <c r="B5520" s="6">
        <v>4</v>
      </c>
      <c r="C5520" s="6" t="s">
        <v>63</v>
      </c>
      <c r="D5520" s="6" t="s">
        <v>851</v>
      </c>
      <c r="E5520" s="6" t="s">
        <v>829</v>
      </c>
      <c r="F5520" s="6" t="str">
        <f>IF($M5520="PADD I","PADD 1",IF($M5520="PADD II","PADD 2",IF($M5520="PADD III","PADD 3",IF($M5520="PADD IV","PADD 4",IF($M5520="PADD V","PADD 5","")))))</f>
        <v>PADD 2</v>
      </c>
      <c r="G5520" s="6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6" t="s">
        <v>39</v>
      </c>
      <c r="I5520" s="6" t="s">
        <v>1027</v>
      </c>
      <c r="J5520" s="6" t="s">
        <v>398</v>
      </c>
      <c r="K5520" s="10">
        <v>112.05</v>
      </c>
      <c r="L5520" s="10">
        <v>135</v>
      </c>
      <c r="M5520" s="6" t="s">
        <v>425</v>
      </c>
      <c r="N5520" s="6">
        <f>IF(OR($G5520="FCC",$G5520="Hydrocracker",$G5520="Reformer"),IF(COUNTIFS($D:$D,$D5520,$A:$A,$A5520,$B:$B,$B5520,$G:$G,"CDU",$J:$J,"PLANNED")&gt;0,"tied","standalone"),"")</f>
        <v/>
      </c>
    </row>
    <row r="5521" spans="1:14">
      <c r="A5521" s="6">
        <v>2025</v>
      </c>
      <c r="B5521" s="6">
        <v>4</v>
      </c>
      <c r="C5521" s="6" t="s">
        <v>63</v>
      </c>
      <c r="D5521" s="6" t="s">
        <v>581</v>
      </c>
      <c r="E5521" s="6" t="s">
        <v>582</v>
      </c>
      <c r="F5521" s="6" t="str">
        <f>IF($M5521="PADD I","PADD 1",IF($M5521="PADD II","PADD 2",IF($M5521="PADD III","PADD 3",IF($M5521="PADD IV","PADD 4",IF($M5521="PADD V","PADD 5","")))))</f>
        <v>PADD 5</v>
      </c>
      <c r="G5521" s="6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6" t="s">
        <v>44</v>
      </c>
      <c r="I5521" s="6" t="s">
        <v>617</v>
      </c>
      <c r="J5521" s="6" t="s">
        <v>394</v>
      </c>
      <c r="K5521" s="10">
        <v>105</v>
      </c>
      <c r="L5521" s="10">
        <v>105</v>
      </c>
      <c r="M5521" s="6" t="s">
        <v>436</v>
      </c>
      <c r="N5521" s="6">
        <f>IF(OR($G5521="FCC",$G5521="Hydrocracker",$G5521="Reformer"),IF(COUNTIFS($D:$D,$D5521,$A:$A,$A5521,$B:$B,$B5521,$G:$G,"CDU",$J:$J,"PLANNED")&gt;0,"tied","standalone"),"")</f>
        <v/>
      </c>
    </row>
    <row r="5522" spans="1:14">
      <c r="A5522" s="6">
        <v>2025</v>
      </c>
      <c r="B5522" s="6">
        <v>4</v>
      </c>
      <c r="C5522" s="6" t="s">
        <v>63</v>
      </c>
      <c r="D5522" s="6" t="s">
        <v>581</v>
      </c>
      <c r="E5522" s="6" t="s">
        <v>582</v>
      </c>
      <c r="F5522" s="6" t="str">
        <f>IF($M5522="PADD I","PADD 1",IF($M5522="PADD II","PADD 2",IF($M5522="PADD III","PADD 3",IF($M5522="PADD IV","PADD 4",IF($M5522="PADD V","PADD 5","")))))</f>
        <v>PADD 5</v>
      </c>
      <c r="G5522" s="6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6" t="s">
        <v>428</v>
      </c>
      <c r="I5522" s="6" t="s">
        <v>429</v>
      </c>
      <c r="J5522" s="6" t="s">
        <v>394</v>
      </c>
      <c r="K5522" s="10">
        <v>98</v>
      </c>
      <c r="L5522" s="10">
        <v>98</v>
      </c>
      <c r="M5522" s="6" t="s">
        <v>436</v>
      </c>
      <c r="N5522" s="6">
        <f>IF(OR($G5522="FCC",$G5522="Hydrocracker",$G5522="Reformer"),IF(COUNTIFS($D:$D,$D5522,$A:$A,$A5522,$B:$B,$B5522,$G:$G,"CDU",$J:$J,"PLANNED")&gt;0,"tied","standalone"),"")</f>
        <v/>
      </c>
    </row>
    <row r="5523" spans="1:14">
      <c r="A5523" s="6">
        <v>2025</v>
      </c>
      <c r="B5523" s="6">
        <v>4</v>
      </c>
      <c r="C5523" s="6" t="s">
        <v>63</v>
      </c>
      <c r="D5523" s="6" t="s">
        <v>370</v>
      </c>
      <c r="E5523" s="6" t="s">
        <v>431</v>
      </c>
      <c r="F5523" s="6" t="str">
        <f>IF($M5523="PADD I","PADD 1",IF($M5523="PADD II","PADD 2",IF($M5523="PADD III","PADD 3",IF($M5523="PADD IV","PADD 4",IF($M5523="PADD V","PADD 5","")))))</f>
        <v>PADD 2</v>
      </c>
      <c r="G5523" s="6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6" t="s">
        <v>44</v>
      </c>
      <c r="I5523" s="6" t="s">
        <v>1214</v>
      </c>
      <c r="J5523" s="6" t="s">
        <v>398</v>
      </c>
      <c r="K5523" s="10">
        <v>87.3</v>
      </c>
      <c r="L5523" s="10">
        <v>90</v>
      </c>
      <c r="M5523" s="6" t="s">
        <v>425</v>
      </c>
      <c r="N5523" s="6">
        <f>IF(OR($G5523="FCC",$G5523="Hydrocracker",$G5523="Reformer"),IF(COUNTIFS($D:$D,$D5523,$A:$A,$A5523,$B:$B,$B5523,$G:$G,"CDU",$J:$J,"PLANNED")&gt;0,"tied","standalone"),"")</f>
        <v/>
      </c>
    </row>
    <row r="5524" spans="1:14">
      <c r="A5524" s="6">
        <v>2025</v>
      </c>
      <c r="B5524" s="6">
        <v>4</v>
      </c>
      <c r="C5524" s="6" t="s">
        <v>63</v>
      </c>
      <c r="D5524" s="6" t="s">
        <v>440</v>
      </c>
      <c r="E5524" s="6" t="s">
        <v>441</v>
      </c>
      <c r="F5524" s="6" t="str">
        <f>IF($M5524="PADD I","PADD 1",IF($M5524="PADD II","PADD 2",IF($M5524="PADD III","PADD 3",IF($M5524="PADD IV","PADD 4",IF($M5524="PADD V","PADD 5","")))))</f>
        <v>PADD 3</v>
      </c>
      <c r="G5524" s="6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6" t="s">
        <v>428</v>
      </c>
      <c r="I5524" s="6" t="s">
        <v>1347</v>
      </c>
      <c r="J5524" s="6" t="s">
        <v>398</v>
      </c>
      <c r="K5524" s="10">
        <v>80</v>
      </c>
      <c r="L5524" s="10">
        <v>80</v>
      </c>
      <c r="M5524" s="6" t="s">
        <v>421</v>
      </c>
      <c r="N5524" s="6">
        <f>IF(OR($G5524="FCC",$G5524="Hydrocracker",$G5524="Reformer"),IF(COUNTIFS($D:$D,$D5524,$A:$A,$A5524,$B:$B,$B5524,$G:$G,"CDU",$J:$J,"PLANNED")&gt;0,"tied","standalone"),"")</f>
        <v/>
      </c>
    </row>
    <row r="5525" spans="1:14">
      <c r="A5525" s="6">
        <v>2025</v>
      </c>
      <c r="B5525" s="6">
        <v>4</v>
      </c>
      <c r="C5525" s="6" t="s">
        <v>63</v>
      </c>
      <c r="D5525" s="6" t="s">
        <v>375</v>
      </c>
      <c r="E5525" s="6" t="s">
        <v>435</v>
      </c>
      <c r="F5525" s="6" t="str">
        <f>IF($M5525="PADD I","PADD 1",IF($M5525="PADD II","PADD 2",IF($M5525="PADD III","PADD 3",IF($M5525="PADD IV","PADD 4",IF($M5525="PADD V","PADD 5","")))))</f>
        <v>PADD 5</v>
      </c>
      <c r="G5525" s="6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6" t="s">
        <v>428</v>
      </c>
      <c r="I5525" s="6" t="s">
        <v>481</v>
      </c>
      <c r="J5525" s="6" t="s">
        <v>394</v>
      </c>
      <c r="K5525" s="10">
        <v>78.3</v>
      </c>
      <c r="L5525" s="10">
        <v>90</v>
      </c>
      <c r="M5525" s="6" t="s">
        <v>436</v>
      </c>
      <c r="N5525" s="6">
        <f>IF(OR($G5525="FCC",$G5525="Hydrocracker",$G5525="Reformer"),IF(COUNTIFS($D:$D,$D5525,$A:$A,$A5525,$B:$B,$B5525,$G:$G,"CDU",$J:$J,"PLANNED")&gt;0,"tied","standalone"),"")</f>
        <v/>
      </c>
    </row>
    <row r="5526" spans="1:14">
      <c r="A5526" s="6">
        <v>2025</v>
      </c>
      <c r="B5526" s="6">
        <v>4</v>
      </c>
      <c r="C5526" s="6" t="s">
        <v>63</v>
      </c>
      <c r="D5526" s="6" t="s">
        <v>375</v>
      </c>
      <c r="E5526" s="6" t="s">
        <v>435</v>
      </c>
      <c r="F5526" s="6" t="str">
        <f>IF($M5526="PADD I","PADD 1",IF($M5526="PADD II","PADD 2",IF($M5526="PADD III","PADD 3",IF($M5526="PADD IV","PADD 4",IF($M5526="PADD V","PADD 5","")))))</f>
        <v>PADD 5</v>
      </c>
      <c r="G5526" s="6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6" t="s">
        <v>44</v>
      </c>
      <c r="I5526" s="6" t="s">
        <v>1335</v>
      </c>
      <c r="J5526" s="6" t="s">
        <v>394</v>
      </c>
      <c r="K5526" s="10">
        <v>77.5</v>
      </c>
      <c r="L5526" s="10">
        <v>77.5</v>
      </c>
      <c r="M5526" s="6" t="s">
        <v>436</v>
      </c>
      <c r="N5526" s="6">
        <f>IF(OR($G5526="FCC",$G5526="Hydrocracker",$G5526="Reformer"),IF(COUNTIFS($D:$D,$D5526,$A:$A,$A5526,$B:$B,$B5526,$G:$G,"CDU",$J:$J,"PLANNED")&gt;0,"tied","standalone"),"")</f>
        <v/>
      </c>
    </row>
    <row r="5527" spans="1:14">
      <c r="A5527" s="6">
        <v>2025</v>
      </c>
      <c r="B5527" s="6">
        <v>4</v>
      </c>
      <c r="C5527" s="6" t="s">
        <v>63</v>
      </c>
      <c r="D5527" s="6" t="s">
        <v>660</v>
      </c>
      <c r="E5527" s="6" t="s">
        <v>661</v>
      </c>
      <c r="F5527" s="6" t="str">
        <f>IF($M5527="PADD I","PADD 1",IF($M5527="PADD II","PADD 2",IF($M5527="PADD III","PADD 3",IF($M5527="PADD IV","PADD 4",IF($M5527="PADD V","PADD 5","")))))</f>
        <v>PADD 2</v>
      </c>
      <c r="G5527" s="6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6" t="s">
        <v>39</v>
      </c>
      <c r="I5527" s="6" t="s">
        <v>424</v>
      </c>
      <c r="J5527" s="6" t="s">
        <v>398</v>
      </c>
      <c r="K5527" s="10">
        <v>75</v>
      </c>
      <c r="L5527" s="10">
        <v>75</v>
      </c>
      <c r="M5527" s="6" t="s">
        <v>425</v>
      </c>
      <c r="N5527" s="6">
        <f>IF(OR($G5527="FCC",$G5527="Hydrocracker",$G5527="Reformer"),IF(COUNTIFS($D:$D,$D5527,$A:$A,$A5527,$B:$B,$B5527,$G:$G,"CDU",$J:$J,"PLANNED")&gt;0,"tied","standalone"),"")</f>
        <v/>
      </c>
    </row>
    <row r="5528" spans="1:14">
      <c r="A5528" s="6">
        <v>2025</v>
      </c>
      <c r="B5528" s="6">
        <v>4</v>
      </c>
      <c r="C5528" s="6" t="s">
        <v>63</v>
      </c>
      <c r="D5528" s="6" t="s">
        <v>373</v>
      </c>
      <c r="E5528" s="6" t="s">
        <v>438</v>
      </c>
      <c r="F5528" s="6" t="str">
        <f>IF($M5528="PADD I","PADD 1",IF($M5528="PADD II","PADD 2",IF($M5528="PADD III","PADD 3",IF($M5528="PADD IV","PADD 4",IF($M5528="PADD V","PADD 5","")))))</f>
        <v>PADD 3</v>
      </c>
      <c r="G5528" s="6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6" t="s">
        <v>44</v>
      </c>
      <c r="I5528" s="6" t="s">
        <v>732</v>
      </c>
      <c r="J5528" s="6" t="s">
        <v>398</v>
      </c>
      <c r="K5528" s="10">
        <v>74.2</v>
      </c>
      <c r="L5528" s="10">
        <v>106</v>
      </c>
      <c r="M5528" s="6" t="s">
        <v>421</v>
      </c>
      <c r="N5528" s="6">
        <f>IF(OR($G5528="FCC",$G5528="Hydrocracker",$G5528="Reformer"),IF(COUNTIFS($D:$D,$D5528,$A:$A,$A5528,$B:$B,$B5528,$G:$G,"CDU",$J:$J,"PLANNED")&gt;0,"tied","standalone"),"")</f>
        <v/>
      </c>
    </row>
    <row r="5529" spans="1:14">
      <c r="A5529" s="6">
        <v>2025</v>
      </c>
      <c r="B5529" s="6">
        <v>4</v>
      </c>
      <c r="C5529" s="6" t="s">
        <v>63</v>
      </c>
      <c r="D5529" s="6" t="s">
        <v>851</v>
      </c>
      <c r="E5529" s="6" t="s">
        <v>829</v>
      </c>
      <c r="F5529" s="6" t="str">
        <f>IF($M5529="PADD I","PADD 1",IF($M5529="PADD II","PADD 2",IF($M5529="PADD III","PADD 3",IF($M5529="PADD IV","PADD 4",IF($M5529="PADD V","PADD 5","")))))</f>
        <v>PADD 2</v>
      </c>
      <c r="G5529" s="6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6" t="s">
        <v>426</v>
      </c>
      <c r="I5529" s="6" t="s">
        <v>106</v>
      </c>
      <c r="J5529" s="6" t="s">
        <v>398</v>
      </c>
      <c r="K5529" s="10">
        <v>73.95</v>
      </c>
      <c r="L5529" s="10">
        <v>85</v>
      </c>
      <c r="M5529" s="6" t="s">
        <v>425</v>
      </c>
      <c r="N5529" s="6" t="str">
        <f>IF(OR($G5529="FCC",$G5529="Hydrocracker",$G5529="Reformer"),IF(COUNTIFS($D:$D,$D5529,$A:$A,$A5529,$B:$B,$B5529,$G:$G,"CDU",$J:$J,"PLANNED")&gt;0,"tied","standalone"),"")</f>
        <v>tied</v>
      </c>
    </row>
    <row r="5530" spans="1:14">
      <c r="A5530" s="6">
        <v>2025</v>
      </c>
      <c r="B5530" s="6">
        <v>4</v>
      </c>
      <c r="C5530" s="6" t="s">
        <v>63</v>
      </c>
      <c r="D5530" s="6" t="s">
        <v>375</v>
      </c>
      <c r="E5530" s="6" t="s">
        <v>435</v>
      </c>
      <c r="F5530" s="6" t="str">
        <f>IF($M5530="PADD I","PADD 1",IF($M5530="PADD II","PADD 2",IF($M5530="PADD III","PADD 3",IF($M5530="PADD IV","PADD 4",IF($M5530="PADD V","PADD 5","")))))</f>
        <v>PADD 5</v>
      </c>
      <c r="G5530" s="6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6" t="s">
        <v>426</v>
      </c>
      <c r="I5530" s="6" t="s">
        <v>554</v>
      </c>
      <c r="J5530" s="6" t="s">
        <v>394</v>
      </c>
      <c r="K5530" s="10">
        <v>70</v>
      </c>
      <c r="L5530" s="10">
        <v>70</v>
      </c>
      <c r="M5530" s="6" t="s">
        <v>436</v>
      </c>
      <c r="N5530" s="6" t="str">
        <f>IF(OR($G5530="FCC",$G5530="Hydrocracker",$G5530="Reformer"),IF(COUNTIFS($D:$D,$D5530,$A:$A,$A5530,$B:$B,$B5530,$G:$G,"CDU",$J:$J,"PLANNED")&gt;0,"tied","standalone"),"")</f>
        <v>standalone</v>
      </c>
    </row>
    <row r="5531" spans="1:14">
      <c r="A5531" s="6">
        <v>2025</v>
      </c>
      <c r="B5531" s="6">
        <v>4</v>
      </c>
      <c r="C5531" s="6" t="s">
        <v>63</v>
      </c>
      <c r="D5531" s="6" t="s">
        <v>660</v>
      </c>
      <c r="E5531" s="6" t="s">
        <v>661</v>
      </c>
      <c r="F5531" s="6" t="str">
        <f>IF($M5531="PADD I","PADD 1",IF($M5531="PADD II","PADD 2",IF($M5531="PADD III","PADD 3",IF($M5531="PADD IV","PADD 4",IF($M5531="PADD V","PADD 5","")))))</f>
        <v>PADD 2</v>
      </c>
      <c r="G5531" s="6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6" t="s">
        <v>39</v>
      </c>
      <c r="I5531" s="6" t="s">
        <v>381</v>
      </c>
      <c r="J5531" s="6" t="s">
        <v>398</v>
      </c>
      <c r="K5531" s="10">
        <v>60</v>
      </c>
      <c r="L5531" s="10">
        <v>60</v>
      </c>
      <c r="M5531" s="6" t="s">
        <v>425</v>
      </c>
      <c r="N5531" s="6">
        <f>IF(OR($G5531="FCC",$G5531="Hydrocracker",$G5531="Reformer"),IF(COUNTIFS($D:$D,$D5531,$A:$A,$A5531,$B:$B,$B5531,$G:$G,"CDU",$J:$J,"PLANNED")&gt;0,"tied","standalone"),"")</f>
        <v/>
      </c>
    </row>
    <row r="5532" spans="1:14">
      <c r="A5532" s="6">
        <v>2025</v>
      </c>
      <c r="B5532" s="6">
        <v>4</v>
      </c>
      <c r="C5532" s="6" t="s">
        <v>63</v>
      </c>
      <c r="D5532" s="6" t="s">
        <v>1003</v>
      </c>
      <c r="E5532" s="6" t="s">
        <v>783</v>
      </c>
      <c r="F5532" s="6" t="str">
        <f>IF($M5532="PADD I","PADD 1",IF($M5532="PADD II","PADD 2",IF($M5532="PADD III","PADD 3",IF($M5532="PADD IV","PADD 4",IF($M5532="PADD V","PADD 5","")))))</f>
        <v>PADD 2</v>
      </c>
      <c r="G5532" s="6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6" t="s">
        <v>39</v>
      </c>
      <c r="I5532" s="6" t="s">
        <v>124</v>
      </c>
      <c r="J5532" s="6" t="s">
        <v>398</v>
      </c>
      <c r="K5532" s="10">
        <v>57.23</v>
      </c>
      <c r="L5532" s="10">
        <v>59</v>
      </c>
      <c r="M5532" s="6" t="s">
        <v>425</v>
      </c>
      <c r="N5532" s="6">
        <f>IF(OR($G5532="FCC",$G5532="Hydrocracker",$G5532="Reformer"),IF(COUNTIFS($D:$D,$D5532,$A:$A,$A5532,$B:$B,$B5532,$G:$G,"CDU",$J:$J,"PLANNED")&gt;0,"tied","standalone"),"")</f>
        <v/>
      </c>
    </row>
    <row r="5533" spans="1:14">
      <c r="A5533" s="6">
        <v>2025</v>
      </c>
      <c r="B5533" s="6">
        <v>4</v>
      </c>
      <c r="C5533" s="6" t="s">
        <v>63</v>
      </c>
      <c r="D5533" s="6" t="s">
        <v>49</v>
      </c>
      <c r="E5533" s="6" t="s">
        <v>438</v>
      </c>
      <c r="F5533" s="6" t="str">
        <f>IF($M5533="PADD I","PADD 1",IF($M5533="PADD II","PADD 2",IF($M5533="PADD III","PADD 3",IF($M5533="PADD IV","PADD 4",IF($M5533="PADD V","PADD 5","")))))</f>
        <v>PADD 2</v>
      </c>
      <c r="G5533" s="6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6" t="s">
        <v>39</v>
      </c>
      <c r="I5533" s="6" t="s">
        <v>770</v>
      </c>
      <c r="J5533" s="6" t="s">
        <v>398</v>
      </c>
      <c r="K5533" s="10">
        <v>55.4625</v>
      </c>
      <c r="L5533" s="10">
        <v>63.75</v>
      </c>
      <c r="M5533" s="6" t="s">
        <v>425</v>
      </c>
      <c r="N5533" s="6">
        <f>IF(OR($G5533="FCC",$G5533="Hydrocracker",$G5533="Reformer"),IF(COUNTIFS($D:$D,$D5533,$A:$A,$A5533,$B:$B,$B5533,$G:$G,"CDU",$J:$J,"PLANNED")&gt;0,"tied","standalone"),"")</f>
        <v/>
      </c>
    </row>
    <row r="5534" spans="1:14">
      <c r="A5534" s="6">
        <v>2025</v>
      </c>
      <c r="B5534" s="6">
        <v>4</v>
      </c>
      <c r="C5534" s="6" t="s">
        <v>63</v>
      </c>
      <c r="D5534" s="6" t="s">
        <v>581</v>
      </c>
      <c r="E5534" s="6" t="s">
        <v>582</v>
      </c>
      <c r="F5534" s="6" t="str">
        <f>IF($M5534="PADD I","PADD 1",IF($M5534="PADD II","PADD 2",IF($M5534="PADD III","PADD 3",IF($M5534="PADD IV","PADD 4",IF($M5534="PADD V","PADD 5","")))))</f>
        <v>PADD 5</v>
      </c>
      <c r="G5534" s="6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6" t="s">
        <v>426</v>
      </c>
      <c r="I5534" s="6" t="s">
        <v>106</v>
      </c>
      <c r="J5534" s="6" t="s">
        <v>394</v>
      </c>
      <c r="K5534" s="10">
        <v>53</v>
      </c>
      <c r="L5534" s="10">
        <v>100</v>
      </c>
      <c r="M5534" s="6" t="s">
        <v>436</v>
      </c>
      <c r="N5534" s="6" t="str">
        <f>IF(OR($G5534="FCC",$G5534="Hydrocracker",$G5534="Reformer"),IF(COUNTIFS($D:$D,$D5534,$A:$A,$A5534,$B:$B,$B5534,$G:$G,"CDU",$J:$J,"PLANNED")&gt;0,"tied","standalone"),"")</f>
        <v>standalone</v>
      </c>
    </row>
    <row r="5535" spans="1:14">
      <c r="A5535" s="6">
        <v>2025</v>
      </c>
      <c r="B5535" s="6">
        <v>4</v>
      </c>
      <c r="C5535" s="6" t="s">
        <v>63</v>
      </c>
      <c r="D5535" s="6" t="s">
        <v>370</v>
      </c>
      <c r="E5535" s="6" t="s">
        <v>431</v>
      </c>
      <c r="F5535" s="6" t="str">
        <f>IF($M5535="PADD I","PADD 1",IF($M5535="PADD II","PADD 2",IF($M5535="PADD III","PADD 3",IF($M5535="PADD IV","PADD 4",IF($M5535="PADD V","PADD 5","")))))</f>
        <v>PADD 2</v>
      </c>
      <c r="G5535" s="6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6" t="s">
        <v>471</v>
      </c>
      <c r="I5535" s="6" t="s">
        <v>240</v>
      </c>
      <c r="J5535" s="6" t="s">
        <v>398</v>
      </c>
      <c r="K5535" s="10">
        <v>50.44</v>
      </c>
      <c r="L5535" s="10">
        <v>52</v>
      </c>
      <c r="M5535" s="6" t="s">
        <v>425</v>
      </c>
      <c r="N5535" s="6" t="str">
        <f>IF(OR($G5535="FCC",$G5535="Hydrocracker",$G5535="Reformer"),IF(COUNTIFS($D:$D,$D5535,$A:$A,$A5535,$B:$B,$B5535,$G:$G,"CDU",$J:$J,"PLANNED")&gt;0,"tied","standalone"),"")</f>
        <v>tied</v>
      </c>
    </row>
    <row r="5536" spans="1:14">
      <c r="A5536" s="6">
        <v>2025</v>
      </c>
      <c r="B5536" s="6">
        <v>4</v>
      </c>
      <c r="C5536" s="6" t="s">
        <v>63</v>
      </c>
      <c r="D5536" s="6" t="s">
        <v>375</v>
      </c>
      <c r="E5536" s="6" t="s">
        <v>435</v>
      </c>
      <c r="F5536" s="6" t="str">
        <f>IF($M5536="PADD I","PADD 1",IF($M5536="PADD II","PADD 2",IF($M5536="PADD III","PADD 3",IF($M5536="PADD IV","PADD 4",IF($M5536="PADD V","PADD 5","")))))</f>
        <v>PADD 5</v>
      </c>
      <c r="G5536" s="6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6" t="s">
        <v>44</v>
      </c>
      <c r="I5536" s="6" t="s">
        <v>1224</v>
      </c>
      <c r="J5536" s="6" t="s">
        <v>394</v>
      </c>
      <c r="K5536" s="10">
        <v>50.2</v>
      </c>
      <c r="L5536" s="10">
        <v>50.2</v>
      </c>
      <c r="M5536" s="6" t="s">
        <v>436</v>
      </c>
      <c r="N5536" s="6">
        <f>IF(OR($G5536="FCC",$G5536="Hydrocracker",$G5536="Reformer"),IF(COUNTIFS($D:$D,$D5536,$A:$A,$A5536,$B:$B,$B5536,$G:$G,"CDU",$J:$J,"PLANNED")&gt;0,"tied","standalone"),"")</f>
        <v/>
      </c>
    </row>
    <row r="5537" spans="1:14">
      <c r="A5537" s="6">
        <v>2025</v>
      </c>
      <c r="B5537" s="6">
        <v>4</v>
      </c>
      <c r="C5537" s="6" t="s">
        <v>63</v>
      </c>
      <c r="D5537" s="6" t="s">
        <v>371</v>
      </c>
      <c r="E5537" s="6" t="s">
        <v>419</v>
      </c>
      <c r="F5537" s="6" t="str">
        <f>IF($M5537="PADD I","PADD 1",IF($M5537="PADD II","PADD 2",IF($M5537="PADD III","PADD 3",IF($M5537="PADD IV","PADD 4",IF($M5537="PADD V","PADD 5","")))))</f>
        <v>PADD 2</v>
      </c>
      <c r="G5537" s="6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6" t="s">
        <v>428</v>
      </c>
      <c r="I5537" s="6" t="s">
        <v>1344</v>
      </c>
      <c r="J5537" s="6" t="s">
        <v>398</v>
      </c>
      <c r="K5537" s="10">
        <v>50</v>
      </c>
      <c r="L5537" s="10">
        <v>50</v>
      </c>
      <c r="M5537" s="6" t="s">
        <v>425</v>
      </c>
      <c r="N5537" s="6">
        <f>IF(OR($G5537="FCC",$G5537="Hydrocracker",$G5537="Reformer"),IF(COUNTIFS($D:$D,$D5537,$A:$A,$A5537,$B:$B,$B5537,$G:$G,"CDU",$J:$J,"PLANNED")&gt;0,"tied","standalone"),"")</f>
        <v/>
      </c>
    </row>
    <row r="5538" spans="1:14">
      <c r="A5538" s="6">
        <v>2025</v>
      </c>
      <c r="B5538" s="6">
        <v>4</v>
      </c>
      <c r="C5538" s="6" t="s">
        <v>63</v>
      </c>
      <c r="D5538" s="6" t="s">
        <v>422</v>
      </c>
      <c r="E5538" s="6" t="s">
        <v>423</v>
      </c>
      <c r="F5538" s="6" t="str">
        <f>IF($M5538="PADD I","PADD 1",IF($M5538="PADD II","PADD 2",IF($M5538="PADD III","PADD 3",IF($M5538="PADD IV","PADD 4",IF($M5538="PADD V","PADD 5","")))))</f>
        <v>PADD 2</v>
      </c>
      <c r="G5538" s="6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6" t="s">
        <v>39</v>
      </c>
      <c r="I5538" s="6" t="s">
        <v>464</v>
      </c>
      <c r="J5538" s="6" t="s">
        <v>394</v>
      </c>
      <c r="K5538" s="10">
        <v>50</v>
      </c>
      <c r="L5538" s="10">
        <v>50</v>
      </c>
      <c r="M5538" s="6" t="s">
        <v>425</v>
      </c>
      <c r="N5538" s="6">
        <f>IF(OR($G5538="FCC",$G5538="Hydrocracker",$G5538="Reformer"),IF(COUNTIFS($D:$D,$D5538,$A:$A,$A5538,$B:$B,$B5538,$G:$G,"CDU",$J:$J,"PLANNED")&gt;0,"tied","standalone"),"")</f>
        <v/>
      </c>
    </row>
    <row r="5539" spans="1:14">
      <c r="A5539" s="6">
        <v>2025</v>
      </c>
      <c r="B5539" s="6">
        <v>4</v>
      </c>
      <c r="C5539" s="6" t="s">
        <v>63</v>
      </c>
      <c r="D5539" s="6" t="s">
        <v>1003</v>
      </c>
      <c r="E5539" s="6" t="s">
        <v>783</v>
      </c>
      <c r="F5539" s="6" t="str">
        <f>IF($M5539="PADD I","PADD 1",IF($M5539="PADD II","PADD 2",IF($M5539="PADD III","PADD 3",IF($M5539="PADD IV","PADD 4",IF($M5539="PADD V","PADD 5","")))))</f>
        <v>PADD 2</v>
      </c>
      <c r="G5539" s="6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6" t="s">
        <v>39</v>
      </c>
      <c r="I5539" s="6" t="s">
        <v>379</v>
      </c>
      <c r="J5539" s="6" t="s">
        <v>398</v>
      </c>
      <c r="K5539" s="10">
        <v>48.5</v>
      </c>
      <c r="L5539" s="10">
        <v>50</v>
      </c>
      <c r="M5539" s="6" t="s">
        <v>425</v>
      </c>
      <c r="N5539" s="6">
        <f>IF(OR($G5539="FCC",$G5539="Hydrocracker",$G5539="Reformer"),IF(COUNTIFS($D:$D,$D5539,$A:$A,$A5539,$B:$B,$B5539,$G:$G,"CDU",$J:$J,"PLANNED")&gt;0,"tied","standalone"),"")</f>
        <v/>
      </c>
    </row>
    <row r="5540" spans="1:14">
      <c r="A5540" s="6">
        <v>2025</v>
      </c>
      <c r="B5540" s="6">
        <v>4</v>
      </c>
      <c r="C5540" s="6" t="s">
        <v>63</v>
      </c>
      <c r="D5540" s="6" t="s">
        <v>581</v>
      </c>
      <c r="E5540" s="6" t="s">
        <v>582</v>
      </c>
      <c r="F5540" s="6" t="str">
        <f>IF($M5540="PADD I","PADD 1",IF($M5540="PADD II","PADD 2",IF($M5540="PADD III","PADD 3",IF($M5540="PADD IV","PADD 4",IF($M5540="PADD V","PADD 5","")))))</f>
        <v>PADD 5</v>
      </c>
      <c r="G5540" s="6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6" t="s">
        <v>426</v>
      </c>
      <c r="I5540" s="6" t="s">
        <v>106</v>
      </c>
      <c r="J5540" s="6" t="s">
        <v>394</v>
      </c>
      <c r="K5540" s="10">
        <v>47</v>
      </c>
      <c r="L5540" s="10">
        <v>100</v>
      </c>
      <c r="M5540" s="6" t="s">
        <v>436</v>
      </c>
      <c r="N5540" s="6" t="str">
        <f>IF(OR($G5540="FCC",$G5540="Hydrocracker",$G5540="Reformer"),IF(COUNTIFS($D:$D,$D5540,$A:$A,$A5540,$B:$B,$B5540,$G:$G,"CDU",$J:$J,"PLANNED")&gt;0,"tied","standalone"),"")</f>
        <v>standalone</v>
      </c>
    </row>
    <row r="5541" spans="1:14">
      <c r="A5541" s="6">
        <v>2025</v>
      </c>
      <c r="B5541" s="6">
        <v>4</v>
      </c>
      <c r="C5541" s="6" t="s">
        <v>63</v>
      </c>
      <c r="D5541" s="6" t="s">
        <v>792</v>
      </c>
      <c r="E5541" s="6" t="s">
        <v>438</v>
      </c>
      <c r="F5541" s="6" t="str">
        <f>IF($M5541="PADD I","PADD 1",IF($M5541="PADD II","PADD 2",IF($M5541="PADD III","PADD 3",IF($M5541="PADD IV","PADD 4",IF($M5541="PADD V","PADD 5","")))))</f>
        <v>PADD 5</v>
      </c>
      <c r="G5541" s="6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6" t="s">
        <v>428</v>
      </c>
      <c r="I5541" s="6" t="s">
        <v>481</v>
      </c>
      <c r="J5541" s="6" t="s">
        <v>398</v>
      </c>
      <c r="K5541" s="10">
        <v>47</v>
      </c>
      <c r="L5541" s="10">
        <v>47</v>
      </c>
      <c r="M5541" s="6" t="s">
        <v>436</v>
      </c>
      <c r="N5541" s="6">
        <f>IF(OR($G5541="FCC",$G5541="Hydrocracker",$G5541="Reformer"),IF(COUNTIFS($D:$D,$D5541,$A:$A,$A5541,$B:$B,$B5541,$G:$G,"CDU",$J:$J,"PLANNED")&gt;0,"tied","standalone"),"")</f>
        <v/>
      </c>
    </row>
    <row r="5542" spans="1:14">
      <c r="A5542" s="6">
        <v>2025</v>
      </c>
      <c r="B5542" s="6">
        <v>4</v>
      </c>
      <c r="C5542" s="6" t="s">
        <v>63</v>
      </c>
      <c r="D5542" s="6" t="s">
        <v>851</v>
      </c>
      <c r="E5542" s="6" t="s">
        <v>829</v>
      </c>
      <c r="F5542" s="6" t="str">
        <f>IF($M5542="PADD I","PADD 1",IF($M5542="PADD II","PADD 2",IF($M5542="PADD III","PADD 3",IF($M5542="PADD IV","PADD 4",IF($M5542="PADD V","PADD 5","")))))</f>
        <v>PADD 2</v>
      </c>
      <c r="G5542" s="6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6" t="s">
        <v>39</v>
      </c>
      <c r="I5542" s="6" t="s">
        <v>1032</v>
      </c>
      <c r="J5542" s="6" t="s">
        <v>398</v>
      </c>
      <c r="K5542" s="10">
        <v>45.65</v>
      </c>
      <c r="L5542" s="10">
        <v>55</v>
      </c>
      <c r="M5542" s="6" t="s">
        <v>425</v>
      </c>
      <c r="N5542" s="6">
        <f>IF(OR($G5542="FCC",$G5542="Hydrocracker",$G5542="Reformer"),IF(COUNTIFS($D:$D,$D5542,$A:$A,$A5542,$B:$B,$B5542,$G:$G,"CDU",$J:$J,"PLANNED")&gt;0,"tied","standalone"),"")</f>
        <v/>
      </c>
    </row>
    <row r="5543" spans="1:14">
      <c r="A5543" s="6">
        <v>2025</v>
      </c>
      <c r="B5543" s="6">
        <v>4</v>
      </c>
      <c r="C5543" s="6" t="s">
        <v>63</v>
      </c>
      <c r="D5543" s="6" t="s">
        <v>581</v>
      </c>
      <c r="E5543" s="6" t="s">
        <v>582</v>
      </c>
      <c r="F5543" s="6" t="str">
        <f>IF($M5543="PADD I","PADD 1",IF($M5543="PADD II","PADD 2",IF($M5543="PADD III","PADD 3",IF($M5543="PADD IV","PADD 4",IF($M5543="PADD V","PADD 5","")))))</f>
        <v>PADD 5</v>
      </c>
      <c r="G5543" s="6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6" t="s">
        <v>471</v>
      </c>
      <c r="I5543" s="6" t="s">
        <v>607</v>
      </c>
      <c r="J5543" s="6" t="s">
        <v>394</v>
      </c>
      <c r="K5543" s="10">
        <v>45</v>
      </c>
      <c r="L5543" s="10">
        <v>45</v>
      </c>
      <c r="M5543" s="6" t="s">
        <v>436</v>
      </c>
      <c r="N5543" s="6" t="str">
        <f>IF(OR($G5543="FCC",$G5543="Hydrocracker",$G5543="Reformer"),IF(COUNTIFS($D:$D,$D5543,$A:$A,$A5543,$B:$B,$B5543,$G:$G,"CDU",$J:$J,"PLANNED")&gt;0,"tied","standalone"),"")</f>
        <v>standalone</v>
      </c>
    </row>
    <row r="5544" spans="1:14">
      <c r="A5544" s="6">
        <v>2025</v>
      </c>
      <c r="B5544" s="6">
        <v>4</v>
      </c>
      <c r="C5544" s="6" t="s">
        <v>63</v>
      </c>
      <c r="D5544" s="6" t="s">
        <v>792</v>
      </c>
      <c r="E5544" s="6" t="s">
        <v>438</v>
      </c>
      <c r="F5544" s="6" t="str">
        <f>IF($M5544="PADD I","PADD 1",IF($M5544="PADD II","PADD 2",IF($M5544="PADD III","PADD 3",IF($M5544="PADD IV","PADD 4",IF($M5544="PADD V","PADD 5","")))))</f>
        <v>PADD 5</v>
      </c>
      <c r="G5544" s="6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6" t="s">
        <v>426</v>
      </c>
      <c r="I5544" s="6" t="s">
        <v>106</v>
      </c>
      <c r="J5544" s="6" t="s">
        <v>398</v>
      </c>
      <c r="K5544" s="10">
        <v>42</v>
      </c>
      <c r="L5544" s="10">
        <v>42</v>
      </c>
      <c r="M5544" s="6" t="s">
        <v>436</v>
      </c>
      <c r="N5544" s="6" t="str">
        <f>IF(OR($G5544="FCC",$G5544="Hydrocracker",$G5544="Reformer"),IF(COUNTIFS($D:$D,$D5544,$A:$A,$A5544,$B:$B,$B5544,$G:$G,"CDU",$J:$J,"PLANNED")&gt;0,"tied","standalone"),"")</f>
        <v>tied</v>
      </c>
    </row>
    <row r="5545" spans="1:14">
      <c r="A5545" s="6">
        <v>2025</v>
      </c>
      <c r="B5545" s="6">
        <v>4</v>
      </c>
      <c r="C5545" s="6" t="s">
        <v>63</v>
      </c>
      <c r="D5545" s="6" t="s">
        <v>375</v>
      </c>
      <c r="E5545" s="6" t="s">
        <v>435</v>
      </c>
      <c r="F5545" s="6" t="str">
        <f>IF($M5545="PADD I","PADD 1",IF($M5545="PADD II","PADD 2",IF($M5545="PADD III","PADD 3",IF($M5545="PADD IV","PADD 4",IF($M5545="PADD V","PADD 5","")))))</f>
        <v>PADD 5</v>
      </c>
      <c r="G5545" s="6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6" t="s">
        <v>494</v>
      </c>
      <c r="I5545" s="6" t="s">
        <v>548</v>
      </c>
      <c r="J5545" s="6" t="s">
        <v>394</v>
      </c>
      <c r="K5545" s="10">
        <v>42</v>
      </c>
      <c r="L5545" s="10">
        <v>42</v>
      </c>
      <c r="M5545" s="6" t="s">
        <v>436</v>
      </c>
      <c r="N5545" s="6" t="str">
        <f>IF(OR($G5545="FCC",$G5545="Hydrocracker",$G5545="Reformer"),IF(COUNTIFS($D:$D,$D5545,$A:$A,$A5545,$B:$B,$B5545,$G:$G,"CDU",$J:$J,"PLANNED")&gt;0,"tied","standalone"),"")</f>
        <v>standalone</v>
      </c>
    </row>
    <row r="5546" spans="1:14">
      <c r="A5546" s="6">
        <v>2025</v>
      </c>
      <c r="B5546" s="6">
        <v>4</v>
      </c>
      <c r="C5546" s="6" t="s">
        <v>63</v>
      </c>
      <c r="D5546" s="6" t="s">
        <v>371</v>
      </c>
      <c r="E5546" s="6" t="s">
        <v>419</v>
      </c>
      <c r="F5546" s="6" t="str">
        <f>IF($M5546="PADD I","PADD 1",IF($M5546="PADD II","PADD 2",IF($M5546="PADD III","PADD 3",IF($M5546="PADD IV","PADD 4",IF($M5546="PADD V","PADD 5","")))))</f>
        <v>PADD 2</v>
      </c>
      <c r="G5546" s="6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6" t="s">
        <v>426</v>
      </c>
      <c r="I5546" s="6" t="s">
        <v>707</v>
      </c>
      <c r="J5546" s="6" t="s">
        <v>398</v>
      </c>
      <c r="K5546" s="10">
        <v>42</v>
      </c>
      <c r="L5546" s="10">
        <v>42</v>
      </c>
      <c r="M5546" s="6" t="s">
        <v>425</v>
      </c>
      <c r="N5546" s="6" t="str">
        <f>IF(OR($G5546="FCC",$G5546="Hydrocracker",$G5546="Reformer"),IF(COUNTIFS($D:$D,$D5546,$A:$A,$A5546,$B:$B,$B5546,$G:$G,"CDU",$J:$J,"PLANNED")&gt;0,"tied","standalone"),"")</f>
        <v>tied</v>
      </c>
    </row>
    <row r="5547" spans="1:14">
      <c r="A5547" s="6">
        <v>2025</v>
      </c>
      <c r="B5547" s="6">
        <v>4</v>
      </c>
      <c r="C5547" s="6" t="s">
        <v>63</v>
      </c>
      <c r="D5547" s="6" t="s">
        <v>626</v>
      </c>
      <c r="E5547" s="6" t="s">
        <v>419</v>
      </c>
      <c r="F5547" s="6" t="str">
        <f>IF($M5547="PADD I","PADD 1",IF($M5547="PADD II","PADD 2",IF($M5547="PADD III","PADD 3",IF($M5547="PADD IV","PADD 4",IF($M5547="PADD V","PADD 5","")))))</f>
        <v>PADD 3</v>
      </c>
      <c r="G5547" s="6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6" t="s">
        <v>39</v>
      </c>
      <c r="I5547" s="6" t="s">
        <v>381</v>
      </c>
      <c r="J5547" s="6" t="s">
        <v>394</v>
      </c>
      <c r="K5547" s="10">
        <v>40.95</v>
      </c>
      <c r="L5547" s="10">
        <v>65</v>
      </c>
      <c r="M5547" s="6" t="s">
        <v>421</v>
      </c>
      <c r="N5547" s="6">
        <f>IF(OR($G5547="FCC",$G5547="Hydrocracker",$G5547="Reformer"),IF(COUNTIFS($D:$D,$D5547,$A:$A,$A5547,$B:$B,$B5547,$G:$G,"CDU",$J:$J,"PLANNED")&gt;0,"tied","standalone"),"")</f>
        <v/>
      </c>
    </row>
    <row r="5548" spans="1:14">
      <c r="A5548" s="6">
        <v>2025</v>
      </c>
      <c r="B5548" s="6">
        <v>4</v>
      </c>
      <c r="C5548" s="6" t="s">
        <v>63</v>
      </c>
      <c r="D5548" s="6" t="s">
        <v>1003</v>
      </c>
      <c r="E5548" s="6" t="s">
        <v>783</v>
      </c>
      <c r="F5548" s="6" t="str">
        <f>IF($M5548="PADD I","PADD 1",IF($M5548="PADD II","PADD 2",IF($M5548="PADD III","PADD 3",IF($M5548="PADD IV","PADD 4",IF($M5548="PADD V","PADD 5","")))))</f>
        <v>PADD 2</v>
      </c>
      <c r="G5548" s="6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6" t="s">
        <v>44</v>
      </c>
      <c r="I5548" s="6" t="s">
        <v>570</v>
      </c>
      <c r="J5548" s="6" t="s">
        <v>394</v>
      </c>
      <c r="K5548" s="10">
        <v>40.7</v>
      </c>
      <c r="L5548" s="10">
        <v>40.7</v>
      </c>
      <c r="M5548" s="6" t="s">
        <v>425</v>
      </c>
      <c r="N5548" s="6">
        <f>IF(OR($G5548="FCC",$G5548="Hydrocracker",$G5548="Reformer"),IF(COUNTIFS($D:$D,$D5548,$A:$A,$A5548,$B:$B,$B5548,$G:$G,"CDU",$J:$J,"PLANNED")&gt;0,"tied","standalone"),"")</f>
        <v/>
      </c>
    </row>
    <row r="5549" spans="1:14">
      <c r="A5549" s="6">
        <v>2025</v>
      </c>
      <c r="B5549" s="6">
        <v>4</v>
      </c>
      <c r="C5549" s="6" t="s">
        <v>63</v>
      </c>
      <c r="D5549" s="6" t="s">
        <v>540</v>
      </c>
      <c r="E5549" s="6" t="s">
        <v>541</v>
      </c>
      <c r="F5549" s="6" t="str">
        <f>IF($M5549="PADD I","PADD 1",IF($M5549="PADD II","PADD 2",IF($M5549="PADD III","PADD 3",IF($M5549="PADD IV","PADD 4",IF($M5549="PADD V","PADD 5","")))))</f>
        <v>PADD 3</v>
      </c>
      <c r="G5549" s="6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6" t="s">
        <v>426</v>
      </c>
      <c r="I5549" s="6" t="s">
        <v>522</v>
      </c>
      <c r="J5549" s="6" t="s">
        <v>398</v>
      </c>
      <c r="K5549" s="10">
        <v>40.5</v>
      </c>
      <c r="L5549" s="10">
        <v>81</v>
      </c>
      <c r="M5549" s="6" t="s">
        <v>421</v>
      </c>
      <c r="N5549" s="6" t="str">
        <f>IF(OR($G5549="FCC",$G5549="Hydrocracker",$G5549="Reformer"),IF(COUNTIFS($D:$D,$D5549,$A:$A,$A5549,$B:$B,$B5549,$G:$G,"CDU",$J:$J,"PLANNED")&gt;0,"tied","standalone"),"")</f>
        <v>standalone</v>
      </c>
    </row>
    <row r="5550" spans="1:14">
      <c r="A5550" s="6">
        <v>2025</v>
      </c>
      <c r="B5550" s="6">
        <v>4</v>
      </c>
      <c r="C5550" s="6" t="s">
        <v>63</v>
      </c>
      <c r="D5550" s="6" t="s">
        <v>851</v>
      </c>
      <c r="E5550" s="6" t="s">
        <v>829</v>
      </c>
      <c r="F5550" s="6" t="str">
        <f>IF($M5550="PADD I","PADD 1",IF($M5550="PADD II","PADD 2",IF($M5550="PADD III","PADD 3",IF($M5550="PADD IV","PADD 4",IF($M5550="PADD V","PADD 5","")))))</f>
        <v>PADD 2</v>
      </c>
      <c r="G5550" s="6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6" t="s">
        <v>44</v>
      </c>
      <c r="I5550" s="6" t="s">
        <v>1046</v>
      </c>
      <c r="J5550" s="6" t="s">
        <v>398</v>
      </c>
      <c r="K5550" s="10">
        <v>40</v>
      </c>
      <c r="L5550" s="10">
        <v>40</v>
      </c>
      <c r="M5550" s="6" t="s">
        <v>425</v>
      </c>
      <c r="N5550" s="6">
        <f>IF(OR($G5550="FCC",$G5550="Hydrocracker",$G5550="Reformer"),IF(COUNTIFS($D:$D,$D5550,$A:$A,$A5550,$B:$B,$B5550,$G:$G,"CDU",$J:$J,"PLANNED")&gt;0,"tied","standalone"),"")</f>
        <v/>
      </c>
    </row>
    <row r="5551" spans="1:14">
      <c r="A5551" s="6">
        <v>2025</v>
      </c>
      <c r="B5551" s="6">
        <v>4</v>
      </c>
      <c r="C5551" s="6" t="s">
        <v>63</v>
      </c>
      <c r="D5551" s="6" t="s">
        <v>1003</v>
      </c>
      <c r="E5551" s="6" t="s">
        <v>783</v>
      </c>
      <c r="F5551" s="6" t="str">
        <f>IF($M5551="PADD I","PADD 1",IF($M5551="PADD II","PADD 2",IF($M5551="PADD III","PADD 3",IF($M5551="PADD IV","PADD 4",IF($M5551="PADD V","PADD 5","")))))</f>
        <v>PADD 2</v>
      </c>
      <c r="G5551" s="6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6" t="s">
        <v>494</v>
      </c>
      <c r="I5551" s="6" t="s">
        <v>14</v>
      </c>
      <c r="J5551" s="6" t="s">
        <v>394</v>
      </c>
      <c r="K5551" s="10">
        <v>38.5</v>
      </c>
      <c r="L5551" s="10">
        <v>38.5</v>
      </c>
      <c r="M5551" s="6" t="s">
        <v>425</v>
      </c>
      <c r="N5551" s="6" t="str">
        <f>IF(OR($G5551="FCC",$G5551="Hydrocracker",$G5551="Reformer"),IF(COUNTIFS($D:$D,$D5551,$A:$A,$A5551,$B:$B,$B5551,$G:$G,"CDU",$J:$J,"PLANNED")&gt;0,"tied","standalone"),"")</f>
        <v>tied</v>
      </c>
    </row>
    <row r="5552" spans="1:14">
      <c r="A5552" s="6">
        <v>2025</v>
      </c>
      <c r="B5552" s="6">
        <v>4</v>
      </c>
      <c r="C5552" s="6" t="s">
        <v>63</v>
      </c>
      <c r="D5552" s="6" t="s">
        <v>789</v>
      </c>
      <c r="E5552" s="6" t="s">
        <v>455</v>
      </c>
      <c r="F5552" s="6" t="str">
        <f>IF($M5552="PADD I","PADD 1",IF($M5552="PADD II","PADD 2",IF($M5552="PADD III","PADD 3",IF($M5552="PADD IV","PADD 4",IF($M5552="PADD V","PADD 5","")))))</f>
        <v>PADD 2</v>
      </c>
      <c r="G5552" s="6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6" t="s">
        <v>39</v>
      </c>
      <c r="I5552" s="6" t="s">
        <v>134</v>
      </c>
      <c r="J5552" s="6" t="s">
        <v>394</v>
      </c>
      <c r="K5552" s="10">
        <v>37.84</v>
      </c>
      <c r="L5552" s="10">
        <v>88</v>
      </c>
      <c r="M5552" s="6" t="s">
        <v>425</v>
      </c>
      <c r="N5552" s="6">
        <f>IF(OR($G5552="FCC",$G5552="Hydrocracker",$G5552="Reformer"),IF(COUNTIFS($D:$D,$D5552,$A:$A,$A5552,$B:$B,$B5552,$G:$G,"CDU",$J:$J,"PLANNED")&gt;0,"tied","standalone"),"")</f>
        <v/>
      </c>
    </row>
    <row r="5553" spans="1:14">
      <c r="A5553" s="6">
        <v>2025</v>
      </c>
      <c r="B5553" s="6">
        <v>4</v>
      </c>
      <c r="C5553" s="6" t="s">
        <v>63</v>
      </c>
      <c r="D5553" s="6" t="s">
        <v>375</v>
      </c>
      <c r="E5553" s="6" t="s">
        <v>435</v>
      </c>
      <c r="F5553" s="6" t="str">
        <f>IF($M5553="PADD I","PADD 1",IF($M5553="PADD II","PADD 2",IF($M5553="PADD III","PADD 3",IF($M5553="PADD IV","PADD 4",IF($M5553="PADD V","PADD 5","")))))</f>
        <v>PADD 5</v>
      </c>
      <c r="G5553" s="6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6" t="s">
        <v>494</v>
      </c>
      <c r="I5553" s="6" t="s">
        <v>548</v>
      </c>
      <c r="J5553" s="6" t="s">
        <v>394</v>
      </c>
      <c r="K5553" s="10">
        <v>36.54</v>
      </c>
      <c r="L5553" s="10">
        <v>42</v>
      </c>
      <c r="M5553" s="6" t="s">
        <v>436</v>
      </c>
      <c r="N5553" s="6" t="str">
        <f>IF(OR($G5553="FCC",$G5553="Hydrocracker",$G5553="Reformer"),IF(COUNTIFS($D:$D,$D5553,$A:$A,$A5553,$B:$B,$B5553,$G:$G,"CDU",$J:$J,"PLANNED")&gt;0,"tied","standalone"),"")</f>
        <v>standalone</v>
      </c>
    </row>
    <row r="5554" spans="1:14">
      <c r="A5554" s="6">
        <v>2025</v>
      </c>
      <c r="B5554" s="6">
        <v>4</v>
      </c>
      <c r="C5554" s="6" t="s">
        <v>63</v>
      </c>
      <c r="D5554" s="6" t="s">
        <v>461</v>
      </c>
      <c r="E5554" s="6" t="s">
        <v>419</v>
      </c>
      <c r="F5554" s="6" t="str">
        <f>IF($M5554="PADD I","PADD 1",IF($M5554="PADD II","PADD 2",IF($M5554="PADD III","PADD 3",IF($M5554="PADD IV","PADD 4",IF($M5554="PADD V","PADD 5","")))))</f>
        <v>PADD 1</v>
      </c>
      <c r="G5554" s="6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6" t="s">
        <v>426</v>
      </c>
      <c r="I5554" s="6" t="s">
        <v>106</v>
      </c>
      <c r="J5554" s="6" t="s">
        <v>394</v>
      </c>
      <c r="K5554" s="10">
        <v>36.375</v>
      </c>
      <c r="L5554" s="10">
        <v>37.5</v>
      </c>
      <c r="M5554" s="6" t="s">
        <v>463</v>
      </c>
      <c r="N5554" s="6" t="str">
        <f>IF(OR($G5554="FCC",$G5554="Hydrocracker",$G5554="Reformer"),IF(COUNTIFS($D:$D,$D5554,$A:$A,$A5554,$B:$B,$B5554,$G:$G,"CDU",$J:$J,"PLANNED")&gt;0,"tied","standalone"),"")</f>
        <v>tied</v>
      </c>
    </row>
    <row r="5555" spans="1:14">
      <c r="A5555" s="6">
        <v>2025</v>
      </c>
      <c r="B5555" s="6">
        <v>4</v>
      </c>
      <c r="C5555" s="6" t="s">
        <v>63</v>
      </c>
      <c r="D5555" s="6" t="s">
        <v>1003</v>
      </c>
      <c r="E5555" s="6" t="s">
        <v>783</v>
      </c>
      <c r="F5555" s="6" t="str">
        <f>IF($M5555="PADD I","PADD 1",IF($M5555="PADD II","PADD 2",IF($M5555="PADD III","PADD 3",IF($M5555="PADD IV","PADD 4",IF($M5555="PADD V","PADD 5","")))))</f>
        <v>PADD 2</v>
      </c>
      <c r="G5555" s="6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6" t="s">
        <v>428</v>
      </c>
      <c r="I5555" s="6" t="s">
        <v>481</v>
      </c>
      <c r="J5555" s="6" t="s">
        <v>398</v>
      </c>
      <c r="K5555" s="10">
        <v>36.375</v>
      </c>
      <c r="L5555" s="10">
        <v>37.5</v>
      </c>
      <c r="M5555" s="6" t="s">
        <v>425</v>
      </c>
      <c r="N5555" s="6">
        <f>IF(OR($G5555="FCC",$G5555="Hydrocracker",$G5555="Reformer"),IF(COUNTIFS($D:$D,$D5555,$A:$A,$A5555,$B:$B,$B5555,$G:$G,"CDU",$J:$J,"PLANNED")&gt;0,"tied","standalone"),"")</f>
        <v/>
      </c>
    </row>
    <row r="5556" spans="1:14">
      <c r="A5556" s="6">
        <v>2025</v>
      </c>
      <c r="B5556" s="6">
        <v>4</v>
      </c>
      <c r="C5556" s="6" t="s">
        <v>63</v>
      </c>
      <c r="D5556" s="6" t="s">
        <v>498</v>
      </c>
      <c r="E5556" s="6" t="s">
        <v>441</v>
      </c>
      <c r="F5556" s="6" t="str">
        <f>IF($M5556="PADD I","PADD 1",IF($M5556="PADD II","PADD 2",IF($M5556="PADD III","PADD 3",IF($M5556="PADD IV","PADD 4",IF($M5556="PADD V","PADD 5","")))))</f>
        <v>PADD 3</v>
      </c>
      <c r="G5556" s="6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6" t="s">
        <v>44</v>
      </c>
      <c r="I5556" s="6" t="s">
        <v>499</v>
      </c>
      <c r="J5556" s="6" t="s">
        <v>394</v>
      </c>
      <c r="K5556" s="10">
        <v>35</v>
      </c>
      <c r="L5556" s="10">
        <v>35</v>
      </c>
      <c r="M5556" s="6" t="s">
        <v>421</v>
      </c>
      <c r="N5556" s="6">
        <f>IF(OR($G5556="FCC",$G5556="Hydrocracker",$G5556="Reformer"),IF(COUNTIFS($D:$D,$D5556,$A:$A,$A5556,$B:$B,$B5556,$G:$G,"CDU",$J:$J,"PLANNED")&gt;0,"tied","standalone"),"")</f>
        <v/>
      </c>
    </row>
    <row r="5557" spans="1:14">
      <c r="A5557" s="6">
        <v>2025</v>
      </c>
      <c r="B5557" s="6">
        <v>4</v>
      </c>
      <c r="C5557" s="6" t="s">
        <v>63</v>
      </c>
      <c r="D5557" s="6" t="s">
        <v>626</v>
      </c>
      <c r="E5557" s="6" t="s">
        <v>419</v>
      </c>
      <c r="F5557" s="6" t="str">
        <f>IF($M5557="PADD I","PADD 1",IF($M5557="PADD II","PADD 2",IF($M5557="PADD III","PADD 3",IF($M5557="PADD IV","PADD 4",IF($M5557="PADD V","PADD 5","")))))</f>
        <v>PADD 3</v>
      </c>
      <c r="G5557" s="6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6" t="s">
        <v>428</v>
      </c>
      <c r="I5557" s="6" t="s">
        <v>1014</v>
      </c>
      <c r="J5557" s="6" t="s">
        <v>394</v>
      </c>
      <c r="K5557" s="10">
        <v>33.453</v>
      </c>
      <c r="L5557" s="10">
        <v>53.1</v>
      </c>
      <c r="M5557" s="6" t="s">
        <v>421</v>
      </c>
      <c r="N5557" s="6">
        <f>IF(OR($G5557="FCC",$G5557="Hydrocracker",$G5557="Reformer"),IF(COUNTIFS($D:$D,$D5557,$A:$A,$A5557,$B:$B,$B5557,$G:$G,"CDU",$J:$J,"PLANNED")&gt;0,"tied","standalone"),"")</f>
        <v/>
      </c>
    </row>
    <row r="5558" spans="1:14">
      <c r="A5558" s="6">
        <v>2025</v>
      </c>
      <c r="B5558" s="6">
        <v>4</v>
      </c>
      <c r="C5558" s="6" t="s">
        <v>63</v>
      </c>
      <c r="D5558" s="6" t="s">
        <v>430</v>
      </c>
      <c r="E5558" s="6" t="s">
        <v>431</v>
      </c>
      <c r="F5558" s="6" t="str">
        <f>IF($M5558="PADD I","PADD 1",IF($M5558="PADD II","PADD 2",IF($M5558="PADD III","PADD 3",IF($M5558="PADD IV","PADD 4",IF($M5558="PADD V","PADD 5","")))))</f>
        <v>PADD 3</v>
      </c>
      <c r="G5558" s="6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6" t="s">
        <v>39</v>
      </c>
      <c r="I5558" s="6" t="s">
        <v>1028</v>
      </c>
      <c r="J5558" s="6" t="s">
        <v>398</v>
      </c>
      <c r="K5558" s="10">
        <v>33.3</v>
      </c>
      <c r="L5558" s="10">
        <v>90</v>
      </c>
      <c r="M5558" s="6" t="s">
        <v>421</v>
      </c>
      <c r="N5558" s="6">
        <f>IF(OR($G5558="FCC",$G5558="Hydrocracker",$G5558="Reformer"),IF(COUNTIFS($D:$D,$D5558,$A:$A,$A5558,$B:$B,$B5558,$G:$G,"CDU",$J:$J,"PLANNED")&gt;0,"tied","standalone"),"")</f>
        <v/>
      </c>
    </row>
    <row r="5559" spans="1:14">
      <c r="A5559" s="6">
        <v>2025</v>
      </c>
      <c r="B5559" s="6">
        <v>4</v>
      </c>
      <c r="C5559" s="6" t="s">
        <v>63</v>
      </c>
      <c r="D5559" s="6" t="s">
        <v>1278</v>
      </c>
      <c r="E5559" s="6" t="s">
        <v>661</v>
      </c>
      <c r="F5559" s="6" t="str">
        <f>IF($M5559="PADD I","PADD 1",IF($M5559="PADD II","PADD 2",IF($M5559="PADD III","PADD 3",IF($M5559="PADD IV","PADD 4",IF($M5559="PADD V","PADD 5","")))))</f>
        <v>PADD 2</v>
      </c>
      <c r="G5559" s="6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6" t="s">
        <v>44</v>
      </c>
      <c r="I5559" s="6" t="s">
        <v>551</v>
      </c>
      <c r="J5559" s="6" t="s">
        <v>394</v>
      </c>
      <c r="K5559" s="10">
        <v>32.625</v>
      </c>
      <c r="L5559" s="10">
        <v>37.5</v>
      </c>
      <c r="M5559" s="6" t="s">
        <v>425</v>
      </c>
      <c r="N5559" s="6">
        <f>IF(OR($G5559="FCC",$G5559="Hydrocracker",$G5559="Reformer"),IF(COUNTIFS($D:$D,$D5559,$A:$A,$A5559,$B:$B,$B5559,$G:$G,"CDU",$J:$J,"PLANNED")&gt;0,"tied","standalone"),"")</f>
        <v/>
      </c>
    </row>
    <row r="5560" spans="1:14">
      <c r="A5560" s="6">
        <v>2025</v>
      </c>
      <c r="B5560" s="6">
        <v>4</v>
      </c>
      <c r="C5560" s="6" t="s">
        <v>63</v>
      </c>
      <c r="D5560" s="6" t="s">
        <v>49</v>
      </c>
      <c r="E5560" s="6" t="s">
        <v>438</v>
      </c>
      <c r="F5560" s="6" t="str">
        <f>IF($M5560="PADD I","PADD 1",IF($M5560="PADD II","PADD 2",IF($M5560="PADD III","PADD 3",IF($M5560="PADD IV","PADD 4",IF($M5560="PADD V","PADD 5","")))))</f>
        <v>PADD 2</v>
      </c>
      <c r="G5560" s="6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6" t="s">
        <v>494</v>
      </c>
      <c r="I5560" s="6" t="s">
        <v>808</v>
      </c>
      <c r="J5560" s="6" t="s">
        <v>394</v>
      </c>
      <c r="K5560" s="10">
        <v>32.12</v>
      </c>
      <c r="L5560" s="10">
        <v>44</v>
      </c>
      <c r="M5560" s="6" t="s">
        <v>425</v>
      </c>
      <c r="N5560" s="6" t="str">
        <f>IF(OR($G5560="FCC",$G5560="Hydrocracker",$G5560="Reformer"),IF(COUNTIFS($D:$D,$D5560,$A:$A,$A5560,$B:$B,$B5560,$G:$G,"CDU",$J:$J,"PLANNED")&gt;0,"tied","standalone"),"")</f>
        <v>tied</v>
      </c>
    </row>
    <row r="5561" spans="1:14">
      <c r="A5561" s="6">
        <v>2025</v>
      </c>
      <c r="B5561" s="6">
        <v>4</v>
      </c>
      <c r="C5561" s="6" t="s">
        <v>63</v>
      </c>
      <c r="D5561" s="6" t="s">
        <v>660</v>
      </c>
      <c r="E5561" s="6" t="s">
        <v>661</v>
      </c>
      <c r="F5561" s="6" t="str">
        <f>IF($M5561="PADD I","PADD 1",IF($M5561="PADD II","PADD 2",IF($M5561="PADD III","PADD 3",IF($M5561="PADD IV","PADD 4",IF($M5561="PADD V","PADD 5","")))))</f>
        <v>PADD 2</v>
      </c>
      <c r="G5561" s="6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6" t="s">
        <v>426</v>
      </c>
      <c r="I5561" s="6" t="s">
        <v>106</v>
      </c>
      <c r="J5561" s="6" t="s">
        <v>398</v>
      </c>
      <c r="K5561" s="10">
        <v>32</v>
      </c>
      <c r="L5561" s="10">
        <v>32</v>
      </c>
      <c r="M5561" s="6" t="s">
        <v>425</v>
      </c>
      <c r="N5561" s="6" t="str">
        <f>IF(OR($G5561="FCC",$G5561="Hydrocracker",$G5561="Reformer"),IF(COUNTIFS($D:$D,$D5561,$A:$A,$A5561,$B:$B,$B5561,$G:$G,"CDU",$J:$J,"PLANNED")&gt;0,"tied","standalone"),"")</f>
        <v>tied</v>
      </c>
    </row>
    <row r="5562" spans="1:14">
      <c r="A5562" s="6">
        <v>2025</v>
      </c>
      <c r="B5562" s="6">
        <v>4</v>
      </c>
      <c r="C5562" s="6" t="s">
        <v>63</v>
      </c>
      <c r="D5562" s="6" t="s">
        <v>465</v>
      </c>
      <c r="E5562" s="6" t="s">
        <v>466</v>
      </c>
      <c r="F5562" s="6" t="str">
        <f>IF($M5562="PADD I","PADD 1",IF($M5562="PADD II","PADD 2",IF($M5562="PADD III","PADD 3",IF($M5562="PADD IV","PADD 4",IF($M5562="PADD V","PADD 5","")))))</f>
        <v>PADD 3</v>
      </c>
      <c r="G5562" s="6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6" t="s">
        <v>471</v>
      </c>
      <c r="I5562" s="6" t="s">
        <v>504</v>
      </c>
      <c r="J5562" s="6" t="s">
        <v>394</v>
      </c>
      <c r="K5562" s="10">
        <v>31.92</v>
      </c>
      <c r="L5562" s="10">
        <v>53.2</v>
      </c>
      <c r="M5562" s="6" t="s">
        <v>421</v>
      </c>
      <c r="N5562" s="6" t="str">
        <f>IF(OR($G5562="FCC",$G5562="Hydrocracker",$G5562="Reformer"),IF(COUNTIFS($D:$D,$D5562,$A:$A,$A5562,$B:$B,$B5562,$G:$G,"CDU",$J:$J,"PLANNED")&gt;0,"tied","standalone"),"")</f>
        <v>standalone</v>
      </c>
    </row>
    <row r="5563" spans="1:14">
      <c r="A5563" s="6">
        <v>2025</v>
      </c>
      <c r="B5563" s="6">
        <v>4</v>
      </c>
      <c r="C5563" s="6" t="s">
        <v>63</v>
      </c>
      <c r="D5563" s="6" t="s">
        <v>461</v>
      </c>
      <c r="E5563" s="6" t="s">
        <v>419</v>
      </c>
      <c r="F5563" s="6" t="str">
        <f>IF($M5563="PADD I","PADD 1",IF($M5563="PADD II","PADD 2",IF($M5563="PADD III","PADD 3",IF($M5563="PADD IV","PADD 4",IF($M5563="PADD V","PADD 5","")))))</f>
        <v>PADD 1</v>
      </c>
      <c r="G5563" s="6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6" t="s">
        <v>39</v>
      </c>
      <c r="I5563" s="6" t="s">
        <v>579</v>
      </c>
      <c r="J5563" s="6" t="s">
        <v>394</v>
      </c>
      <c r="K5563" s="10">
        <v>31.4086</v>
      </c>
      <c r="L5563" s="10">
        <v>32.38</v>
      </c>
      <c r="M5563" s="6" t="s">
        <v>463</v>
      </c>
      <c r="N5563" s="6">
        <f>IF(OR($G5563="FCC",$G5563="Hydrocracker",$G5563="Reformer"),IF(COUNTIFS($D:$D,$D5563,$A:$A,$A5563,$B:$B,$B5563,$G:$G,"CDU",$J:$J,"PLANNED")&gt;0,"tied","standalone"),"")</f>
        <v/>
      </c>
    </row>
    <row r="5564" spans="1:14">
      <c r="A5564" s="6">
        <v>2025</v>
      </c>
      <c r="B5564" s="6">
        <v>4</v>
      </c>
      <c r="C5564" s="6" t="s">
        <v>63</v>
      </c>
      <c r="D5564" s="6" t="s">
        <v>461</v>
      </c>
      <c r="E5564" s="6" t="s">
        <v>419</v>
      </c>
      <c r="F5564" s="6" t="str">
        <f>IF($M5564="PADD I","PADD 1",IF($M5564="PADD II","PADD 2",IF($M5564="PADD III","PADD 3",IF($M5564="PADD IV","PADD 4",IF($M5564="PADD V","PADD 5","")))))</f>
        <v>PADD 1</v>
      </c>
      <c r="G5564" s="6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6" t="s">
        <v>39</v>
      </c>
      <c r="I5564" s="6" t="s">
        <v>462</v>
      </c>
      <c r="J5564" s="6" t="s">
        <v>394</v>
      </c>
      <c r="K5564" s="10">
        <v>31.2825</v>
      </c>
      <c r="L5564" s="10">
        <v>32.25</v>
      </c>
      <c r="M5564" s="6" t="s">
        <v>463</v>
      </c>
      <c r="N5564" s="6">
        <f>IF(OR($G5564="FCC",$G5564="Hydrocracker",$G5564="Reformer"),IF(COUNTIFS($D:$D,$D5564,$A:$A,$A5564,$B:$B,$B5564,$G:$G,"CDU",$J:$J,"PLANNED")&gt;0,"tied","standalone"),"")</f>
        <v/>
      </c>
    </row>
    <row r="5565" spans="1:14">
      <c r="A5565" s="6">
        <v>2025</v>
      </c>
      <c r="B5565" s="6">
        <v>4</v>
      </c>
      <c r="C5565" s="6" t="s">
        <v>63</v>
      </c>
      <c r="D5565" s="6" t="s">
        <v>1003</v>
      </c>
      <c r="E5565" s="6" t="s">
        <v>783</v>
      </c>
      <c r="F5565" s="6" t="str">
        <f>IF($M5565="PADD I","PADD 1",IF($M5565="PADD II","PADD 2",IF($M5565="PADD III","PADD 3",IF($M5565="PADD IV","PADD 4",IF($M5565="PADD V","PADD 5","")))))</f>
        <v>PADD 2</v>
      </c>
      <c r="G5565" s="6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6" t="s">
        <v>471</v>
      </c>
      <c r="I5565" s="6" t="s">
        <v>832</v>
      </c>
      <c r="J5565" s="6" t="s">
        <v>398</v>
      </c>
      <c r="K5565" s="10">
        <v>31.04</v>
      </c>
      <c r="L5565" s="10">
        <v>32</v>
      </c>
      <c r="M5565" s="6" t="s">
        <v>425</v>
      </c>
      <c r="N5565" s="6" t="str">
        <f>IF(OR($G5565="FCC",$G5565="Hydrocracker",$G5565="Reformer"),IF(COUNTIFS($D:$D,$D5565,$A:$A,$A5565,$B:$B,$B5565,$G:$G,"CDU",$J:$J,"PLANNED")&gt;0,"tied","standalone"),"")</f>
        <v>tied</v>
      </c>
    </row>
    <row r="5566" spans="1:14">
      <c r="A5566" s="6">
        <v>2025</v>
      </c>
      <c r="B5566" s="6">
        <v>4</v>
      </c>
      <c r="C5566" s="6" t="s">
        <v>63</v>
      </c>
      <c r="D5566" s="6" t="s">
        <v>581</v>
      </c>
      <c r="E5566" s="6" t="s">
        <v>582</v>
      </c>
      <c r="F5566" s="6" t="str">
        <f>IF($M5566="PADD I","PADD 1",IF($M5566="PADD II","PADD 2",IF($M5566="PADD III","PADD 3",IF($M5566="PADD IV","PADD 4",IF($M5566="PADD V","PADD 5","")))))</f>
        <v>PADD 5</v>
      </c>
      <c r="G5566" s="6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6" t="s">
        <v>44</v>
      </c>
      <c r="I5566" s="6" t="s">
        <v>1179</v>
      </c>
      <c r="J5566" s="6" t="s">
        <v>394</v>
      </c>
      <c r="K5566" s="10">
        <v>30</v>
      </c>
      <c r="L5566" s="10">
        <v>30</v>
      </c>
      <c r="M5566" s="6" t="s">
        <v>436</v>
      </c>
      <c r="N5566" s="6">
        <f>IF(OR($G5566="FCC",$G5566="Hydrocracker",$G5566="Reformer"),IF(COUNTIFS($D:$D,$D5566,$A:$A,$A5566,$B:$B,$B5566,$G:$G,"CDU",$J:$J,"PLANNED")&gt;0,"tied","standalone"),"")</f>
        <v/>
      </c>
    </row>
    <row r="5567" spans="1:14">
      <c r="A5567" s="6">
        <v>2025</v>
      </c>
      <c r="B5567" s="6">
        <v>4</v>
      </c>
      <c r="C5567" s="6" t="s">
        <v>63</v>
      </c>
      <c r="D5567" s="6" t="s">
        <v>660</v>
      </c>
      <c r="E5567" s="6" t="s">
        <v>661</v>
      </c>
      <c r="F5567" s="6" t="str">
        <f>IF($M5567="PADD I","PADD 1",IF($M5567="PADD II","PADD 2",IF($M5567="PADD III","PADD 3",IF($M5567="PADD IV","PADD 4",IF($M5567="PADD V","PADD 5","")))))</f>
        <v>PADD 2</v>
      </c>
      <c r="G5567" s="6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6" t="s">
        <v>44</v>
      </c>
      <c r="I5567" s="6" t="s">
        <v>672</v>
      </c>
      <c r="J5567" s="6" t="s">
        <v>398</v>
      </c>
      <c r="K5567" s="10">
        <v>30</v>
      </c>
      <c r="L5567" s="10">
        <v>30</v>
      </c>
      <c r="M5567" s="6" t="s">
        <v>425</v>
      </c>
      <c r="N5567" s="6">
        <f>IF(OR($G5567="FCC",$G5567="Hydrocracker",$G5567="Reformer"),IF(COUNTIFS($D:$D,$D5567,$A:$A,$A5567,$B:$B,$B5567,$G:$G,"CDU",$J:$J,"PLANNED")&gt;0,"tied","standalone"),"")</f>
        <v/>
      </c>
    </row>
    <row r="5568" spans="1:14">
      <c r="A5568" s="6">
        <v>2025</v>
      </c>
      <c r="B5568" s="6">
        <v>4</v>
      </c>
      <c r="C5568" s="6" t="s">
        <v>63</v>
      </c>
      <c r="D5568" s="6" t="s">
        <v>440</v>
      </c>
      <c r="E5568" s="6" t="s">
        <v>441</v>
      </c>
      <c r="F5568" s="6" t="str">
        <f>IF($M5568="PADD I","PADD 1",IF($M5568="PADD II","PADD 2",IF($M5568="PADD III","PADD 3",IF($M5568="PADD IV","PADD 4",IF($M5568="PADD V","PADD 5","")))))</f>
        <v>PADD 3</v>
      </c>
      <c r="G5568" s="6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6" t="s">
        <v>44</v>
      </c>
      <c r="I5568" s="6" t="s">
        <v>1348</v>
      </c>
      <c r="J5568" s="6" t="s">
        <v>398</v>
      </c>
      <c r="K5568" s="10">
        <v>30</v>
      </c>
      <c r="L5568" s="10">
        <v>30</v>
      </c>
      <c r="M5568" s="6" t="s">
        <v>421</v>
      </c>
      <c r="N5568" s="6">
        <f>IF(OR($G5568="FCC",$G5568="Hydrocracker",$G5568="Reformer"),IF(COUNTIFS($D:$D,$D5568,$A:$A,$A5568,$B:$B,$B5568,$G:$G,"CDU",$J:$J,"PLANNED")&gt;0,"tied","standalone"),"")</f>
        <v/>
      </c>
    </row>
    <row r="5569" spans="1:14">
      <c r="A5569" s="6">
        <v>2025</v>
      </c>
      <c r="B5569" s="6">
        <v>4</v>
      </c>
      <c r="C5569" s="6" t="s">
        <v>63</v>
      </c>
      <c r="D5569" s="6" t="s">
        <v>1003</v>
      </c>
      <c r="E5569" s="6" t="s">
        <v>783</v>
      </c>
      <c r="F5569" s="6" t="str">
        <f>IF($M5569="PADD I","PADD 1",IF($M5569="PADD II","PADD 2",IF($M5569="PADD III","PADD 3",IF($M5569="PADD IV","PADD 4",IF($M5569="PADD V","PADD 5","")))))</f>
        <v>PADD 2</v>
      </c>
      <c r="G5569" s="6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6" t="s">
        <v>44</v>
      </c>
      <c r="I5569" s="6" t="s">
        <v>543</v>
      </c>
      <c r="J5569" s="6" t="s">
        <v>398</v>
      </c>
      <c r="K5569" s="10">
        <v>29.1</v>
      </c>
      <c r="L5569" s="10">
        <v>30</v>
      </c>
      <c r="M5569" s="6" t="s">
        <v>425</v>
      </c>
      <c r="N5569" s="6">
        <f>IF(OR($G5569="FCC",$G5569="Hydrocracker",$G5569="Reformer"),IF(COUNTIFS($D:$D,$D5569,$A:$A,$A5569,$B:$B,$B5569,$G:$G,"CDU",$J:$J,"PLANNED")&gt;0,"tied","standalone"),"")</f>
        <v/>
      </c>
    </row>
    <row r="5570" spans="1:14">
      <c r="A5570" s="6">
        <v>2025</v>
      </c>
      <c r="B5570" s="6">
        <v>4</v>
      </c>
      <c r="C5570" s="6" t="s">
        <v>63</v>
      </c>
      <c r="D5570" s="6" t="s">
        <v>375</v>
      </c>
      <c r="E5570" s="6" t="s">
        <v>435</v>
      </c>
      <c r="F5570" s="6" t="str">
        <f>IF($M5570="PADD I","PADD 1",IF($M5570="PADD II","PADD 2",IF($M5570="PADD III","PADD 3",IF($M5570="PADD IV","PADD 4",IF($M5570="PADD V","PADD 5","")))))</f>
        <v>PADD 5</v>
      </c>
      <c r="G5570" s="6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6" t="s">
        <v>44</v>
      </c>
      <c r="I5570" s="6" t="s">
        <v>551</v>
      </c>
      <c r="J5570" s="6" t="s">
        <v>394</v>
      </c>
      <c r="K5570" s="10">
        <v>28</v>
      </c>
      <c r="L5570" s="10">
        <v>28</v>
      </c>
      <c r="M5570" s="6" t="s">
        <v>436</v>
      </c>
      <c r="N5570" s="6">
        <f>IF(OR($G5570="FCC",$G5570="Hydrocracker",$G5570="Reformer"),IF(COUNTIFS($D:$D,$D5570,$A:$A,$A5570,$B:$B,$B5570,$G:$G,"CDU",$J:$J,"PLANNED")&gt;0,"tied","standalone"),"")</f>
        <v/>
      </c>
    </row>
    <row r="5571" spans="1:14">
      <c r="A5571" s="6">
        <v>2025</v>
      </c>
      <c r="B5571" s="6">
        <v>4</v>
      </c>
      <c r="C5571" s="6" t="s">
        <v>63</v>
      </c>
      <c r="D5571" s="6" t="s">
        <v>592</v>
      </c>
      <c r="E5571" s="6" t="s">
        <v>593</v>
      </c>
      <c r="F5571" s="6" t="str">
        <f>IF($M5571="PADD I","PADD 1",IF($M5571="PADD II","PADD 2",IF($M5571="PADD III","PADD 3",IF($M5571="PADD IV","PADD 4",IF($M5571="PADD V","PADD 5","")))))</f>
        <v>PADD 2</v>
      </c>
      <c r="G5571" s="6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6" t="s">
        <v>618</v>
      </c>
      <c r="I5571" s="6" t="s">
        <v>654</v>
      </c>
      <c r="J5571" s="6" t="s">
        <v>398</v>
      </c>
      <c r="K5571" s="10">
        <v>27.9</v>
      </c>
      <c r="L5571" s="10">
        <v>27.9</v>
      </c>
      <c r="M5571" s="6" t="s">
        <v>425</v>
      </c>
      <c r="N5571" s="6">
        <f>IF(OR($G5571="FCC",$G5571="Hydrocracker",$G5571="Reformer"),IF(COUNTIFS($D:$D,$D5571,$A:$A,$A5571,$B:$B,$B5571,$G:$G,"CDU",$J:$J,"PLANNED")&gt;0,"tied","standalone"),"")</f>
        <v/>
      </c>
    </row>
    <row r="5572" spans="1:14">
      <c r="A5572" s="6">
        <v>2025</v>
      </c>
      <c r="B5572" s="6">
        <v>4</v>
      </c>
      <c r="C5572" s="6" t="s">
        <v>63</v>
      </c>
      <c r="D5572" s="6" t="s">
        <v>54</v>
      </c>
      <c r="E5572" s="6" t="s">
        <v>593</v>
      </c>
      <c r="F5572" s="6" t="str">
        <f>IF($M5572="PADD I","PADD 1",IF($M5572="PADD II","PADD 2",IF($M5572="PADD III","PADD 3",IF($M5572="PADD IV","PADD 4",IF($M5572="PADD V","PADD 5","")))))</f>
        <v>PADD 5</v>
      </c>
      <c r="G5572" s="6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6" t="s">
        <v>485</v>
      </c>
      <c r="I5572" s="6" t="s">
        <v>491</v>
      </c>
      <c r="J5572" s="6" t="s">
        <v>394</v>
      </c>
      <c r="K5572" s="10">
        <v>27.5</v>
      </c>
      <c r="L5572" s="10">
        <v>55</v>
      </c>
      <c r="M5572" s="6" t="s">
        <v>436</v>
      </c>
      <c r="N5572" s="6">
        <f>IF(OR($G5572="FCC",$G5572="Hydrocracker",$G5572="Reformer"),IF(COUNTIFS($D:$D,$D5572,$A:$A,$A5572,$B:$B,$B5572,$G:$G,"CDU",$J:$J,"PLANNED")&gt;0,"tied","standalone"),"")</f>
        <v/>
      </c>
    </row>
    <row r="5573" spans="1:14">
      <c r="A5573" s="6">
        <v>2025</v>
      </c>
      <c r="B5573" s="6">
        <v>4</v>
      </c>
      <c r="C5573" s="6" t="s">
        <v>63</v>
      </c>
      <c r="D5573" s="6" t="s">
        <v>581</v>
      </c>
      <c r="E5573" s="6" t="s">
        <v>582</v>
      </c>
      <c r="F5573" s="6" t="str">
        <f>IF($M5573="PADD I","PADD 1",IF($M5573="PADD II","PADD 2",IF($M5573="PADD III","PADD 3",IF($M5573="PADD IV","PADD 4",IF($M5573="PADD V","PADD 5","")))))</f>
        <v>PADD 5</v>
      </c>
      <c r="G5573" s="6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6" t="s">
        <v>485</v>
      </c>
      <c r="I5573" s="6" t="s">
        <v>664</v>
      </c>
      <c r="J5573" s="6" t="s">
        <v>394</v>
      </c>
      <c r="K5573" s="10">
        <v>27</v>
      </c>
      <c r="L5573" s="10">
        <v>27</v>
      </c>
      <c r="M5573" s="6" t="s">
        <v>436</v>
      </c>
      <c r="N5573" s="6">
        <f>IF(OR($G5573="FCC",$G5573="Hydrocracker",$G5573="Reformer"),IF(COUNTIFS($D:$D,$D5573,$A:$A,$A5573,$B:$B,$B5573,$G:$G,"CDU",$J:$J,"PLANNED")&gt;0,"tied","standalone"),"")</f>
        <v/>
      </c>
    </row>
    <row r="5574" spans="1:14">
      <c r="A5574" s="6">
        <v>2025</v>
      </c>
      <c r="B5574" s="6">
        <v>4</v>
      </c>
      <c r="C5574" s="6" t="s">
        <v>63</v>
      </c>
      <c r="D5574" s="6" t="s">
        <v>375</v>
      </c>
      <c r="E5574" s="6" t="s">
        <v>435</v>
      </c>
      <c r="F5574" s="6" t="str">
        <f>IF($M5574="PADD I","PADD 1",IF($M5574="PADD II","PADD 2",IF($M5574="PADD III","PADD 3",IF($M5574="PADD IV","PADD 4",IF($M5574="PADD V","PADD 5","")))))</f>
        <v>PADD 5</v>
      </c>
      <c r="G5574" s="6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6" t="s">
        <v>471</v>
      </c>
      <c r="I5574" s="6" t="s">
        <v>15</v>
      </c>
      <c r="J5574" s="6" t="s">
        <v>394</v>
      </c>
      <c r="K5574" s="10">
        <v>26.97</v>
      </c>
      <c r="L5574" s="10">
        <v>31</v>
      </c>
      <c r="M5574" s="6" t="s">
        <v>436</v>
      </c>
      <c r="N5574" s="6" t="str">
        <f>IF(OR($G5574="FCC",$G5574="Hydrocracker",$G5574="Reformer"),IF(COUNTIFS($D:$D,$D5574,$A:$A,$A5574,$B:$B,$B5574,$G:$G,"CDU",$J:$J,"PLANNED")&gt;0,"tied","standalone"),"")</f>
        <v>standalone</v>
      </c>
    </row>
    <row r="5575" spans="1:14">
      <c r="A5575" s="6">
        <v>2025</v>
      </c>
      <c r="B5575" s="6">
        <v>4</v>
      </c>
      <c r="C5575" s="6" t="s">
        <v>63</v>
      </c>
      <c r="D5575" s="6" t="s">
        <v>501</v>
      </c>
      <c r="E5575" s="6" t="s">
        <v>502</v>
      </c>
      <c r="F5575" s="6" t="str">
        <f>IF($M5575="PADD I","PADD 1",IF($M5575="PADD II","PADD 2",IF($M5575="PADD III","PADD 3",IF($M5575="PADD IV","PADD 4",IF($M5575="PADD V","PADD 5","")))))</f>
        <v>PADD 2</v>
      </c>
      <c r="G5575" s="6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6" t="s">
        <v>428</v>
      </c>
      <c r="I5575" s="6" t="s">
        <v>481</v>
      </c>
      <c r="J5575" s="6" t="s">
        <v>398</v>
      </c>
      <c r="K5575" s="10">
        <v>26.32</v>
      </c>
      <c r="L5575" s="10">
        <v>56</v>
      </c>
      <c r="M5575" s="6" t="s">
        <v>425</v>
      </c>
      <c r="N5575" s="6">
        <f>IF(OR($G5575="FCC",$G5575="Hydrocracker",$G5575="Reformer"),IF(COUNTIFS($D:$D,$D5575,$A:$A,$A5575,$B:$B,$B5575,$G:$G,"CDU",$J:$J,"PLANNED")&gt;0,"tied","standalone"),"")</f>
        <v/>
      </c>
    </row>
    <row r="5576" spans="1:14">
      <c r="A5576" s="6">
        <v>2025</v>
      </c>
      <c r="B5576" s="6">
        <v>4</v>
      </c>
      <c r="C5576" s="6" t="s">
        <v>63</v>
      </c>
      <c r="D5576" s="6" t="s">
        <v>375</v>
      </c>
      <c r="E5576" s="6" t="s">
        <v>435</v>
      </c>
      <c r="F5576" s="6" t="str">
        <f>IF($M5576="PADD I","PADD 1",IF($M5576="PADD II","PADD 2",IF($M5576="PADD III","PADD 3",IF($M5576="PADD IV","PADD 4",IF($M5576="PADD V","PADD 5","")))))</f>
        <v>PADD 5</v>
      </c>
      <c r="G5576" s="6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6" t="s">
        <v>44</v>
      </c>
      <c r="I5576" s="6" t="s">
        <v>1233</v>
      </c>
      <c r="J5576" s="6" t="s">
        <v>394</v>
      </c>
      <c r="K5576" s="10">
        <v>26</v>
      </c>
      <c r="L5576" s="10">
        <v>26</v>
      </c>
      <c r="M5576" s="6" t="s">
        <v>436</v>
      </c>
      <c r="N5576" s="6">
        <f>IF(OR($G5576="FCC",$G5576="Hydrocracker",$G5576="Reformer"),IF(COUNTIFS($D:$D,$D5576,$A:$A,$A5576,$B:$B,$B5576,$G:$G,"CDU",$J:$J,"PLANNED")&gt;0,"tied","standalone"),"")</f>
        <v/>
      </c>
    </row>
    <row r="5577" spans="1:14">
      <c r="A5577" s="6">
        <v>2025</v>
      </c>
      <c r="B5577" s="6">
        <v>4</v>
      </c>
      <c r="C5577" s="6" t="s">
        <v>63</v>
      </c>
      <c r="D5577" s="6" t="s">
        <v>792</v>
      </c>
      <c r="E5577" s="6" t="s">
        <v>438</v>
      </c>
      <c r="F5577" s="6" t="str">
        <f>IF($M5577="PADD I","PADD 1",IF($M5577="PADD II","PADD 2",IF($M5577="PADD III","PADD 3",IF($M5577="PADD IV","PADD 4",IF($M5577="PADD V","PADD 5","")))))</f>
        <v>PADD 5</v>
      </c>
      <c r="G5577" s="6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6" t="s">
        <v>471</v>
      </c>
      <c r="I5577" s="6" t="s">
        <v>15</v>
      </c>
      <c r="J5577" s="6" t="s">
        <v>394</v>
      </c>
      <c r="K5577" s="10">
        <v>26</v>
      </c>
      <c r="L5577" s="10">
        <v>26</v>
      </c>
      <c r="M5577" s="6" t="s">
        <v>436</v>
      </c>
      <c r="N5577" s="6" t="str">
        <f>IF(OR($G5577="FCC",$G5577="Hydrocracker",$G5577="Reformer"),IF(COUNTIFS($D:$D,$D5577,$A:$A,$A5577,$B:$B,$B5577,$G:$G,"CDU",$J:$J,"PLANNED")&gt;0,"tied","standalone"),"")</f>
        <v>tied</v>
      </c>
    </row>
    <row r="5578" spans="1:14">
      <c r="A5578" s="6">
        <v>2025</v>
      </c>
      <c r="B5578" s="6">
        <v>4</v>
      </c>
      <c r="C5578" s="6" t="s">
        <v>63</v>
      </c>
      <c r="D5578" s="6" t="s">
        <v>49</v>
      </c>
      <c r="E5578" s="6" t="s">
        <v>438</v>
      </c>
      <c r="F5578" s="6" t="str">
        <f>IF($M5578="PADD I","PADD 1",IF($M5578="PADD II","PADD 2",IF($M5578="PADD III","PADD 3",IF($M5578="PADD IV","PADD 4",IF($M5578="PADD V","PADD 5","")))))</f>
        <v>PADD 2</v>
      </c>
      <c r="G5578" s="6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6" t="s">
        <v>471</v>
      </c>
      <c r="I5578" s="6" t="s">
        <v>771</v>
      </c>
      <c r="J5578" s="6" t="s">
        <v>394</v>
      </c>
      <c r="K5578" s="10">
        <v>25.8</v>
      </c>
      <c r="L5578" s="10">
        <v>43</v>
      </c>
      <c r="M5578" s="6" t="s">
        <v>425</v>
      </c>
      <c r="N5578" s="6" t="str">
        <f>IF(OR($G5578="FCC",$G5578="Hydrocracker",$G5578="Reformer"),IF(COUNTIFS($D:$D,$D5578,$A:$A,$A5578,$B:$B,$B5578,$G:$G,"CDU",$J:$J,"PLANNED")&gt;0,"tied","standalone"),"")</f>
        <v>tied</v>
      </c>
    </row>
    <row r="5579" spans="1:14">
      <c r="A5579" s="6">
        <v>2025</v>
      </c>
      <c r="B5579" s="6">
        <v>4</v>
      </c>
      <c r="C5579" s="6" t="s">
        <v>63</v>
      </c>
      <c r="D5579" s="6" t="s">
        <v>581</v>
      </c>
      <c r="E5579" s="6" t="s">
        <v>582</v>
      </c>
      <c r="F5579" s="6" t="str">
        <f>IF($M5579="PADD I","PADD 1",IF($M5579="PADD II","PADD 2",IF($M5579="PADD III","PADD 3",IF($M5579="PADD IV","PADD 4",IF($M5579="PADD V","PADD 5","")))))</f>
        <v>PADD 5</v>
      </c>
      <c r="G5579" s="6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6" t="s">
        <v>485</v>
      </c>
      <c r="I5579" s="6" t="s">
        <v>649</v>
      </c>
      <c r="J5579" s="6" t="s">
        <v>394</v>
      </c>
      <c r="K5579" s="10">
        <v>25</v>
      </c>
      <c r="L5579" s="10">
        <v>25</v>
      </c>
      <c r="M5579" s="6" t="s">
        <v>436</v>
      </c>
      <c r="N5579" s="6">
        <f>IF(OR($G5579="FCC",$G5579="Hydrocracker",$G5579="Reformer"),IF(COUNTIFS($D:$D,$D5579,$A:$A,$A5579,$B:$B,$B5579,$G:$G,"CDU",$J:$J,"PLANNED")&gt;0,"tied","standalone"),"")</f>
        <v/>
      </c>
    </row>
    <row r="5580" spans="1:14">
      <c r="A5580" s="6">
        <v>2025</v>
      </c>
      <c r="B5580" s="6">
        <v>4</v>
      </c>
      <c r="C5580" s="6" t="s">
        <v>63</v>
      </c>
      <c r="D5580" s="6" t="s">
        <v>581</v>
      </c>
      <c r="E5580" s="6" t="s">
        <v>582</v>
      </c>
      <c r="F5580" s="6" t="str">
        <f>IF($M5580="PADD I","PADD 1",IF($M5580="PADD II","PADD 2",IF($M5580="PADD III","PADD 3",IF($M5580="PADD IV","PADD 4",IF($M5580="PADD V","PADD 5","")))))</f>
        <v>PADD 5</v>
      </c>
      <c r="G5580" s="6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6" t="s">
        <v>687</v>
      </c>
      <c r="I5580" s="6" t="s">
        <v>1346</v>
      </c>
      <c r="J5580" s="6" t="s">
        <v>394</v>
      </c>
      <c r="K5580" s="10">
        <v>25</v>
      </c>
      <c r="L5580" s="10">
        <v>25</v>
      </c>
      <c r="M5580" s="6" t="s">
        <v>436</v>
      </c>
      <c r="N5580" s="6">
        <f>IF(OR($G5580="FCC",$G5580="Hydrocracker",$G5580="Reformer"),IF(COUNTIFS($D:$D,$D5580,$A:$A,$A5580,$B:$B,$B5580,$G:$G,"CDU",$J:$J,"PLANNED")&gt;0,"tied","standalone"),"")</f>
        <v/>
      </c>
    </row>
    <row r="5581" spans="1:14">
      <c r="A5581" s="6">
        <v>2025</v>
      </c>
      <c r="B5581" s="6">
        <v>4</v>
      </c>
      <c r="C5581" s="6" t="s">
        <v>63</v>
      </c>
      <c r="D5581" s="6" t="s">
        <v>660</v>
      </c>
      <c r="E5581" s="6" t="s">
        <v>661</v>
      </c>
      <c r="F5581" s="6" t="str">
        <f>IF($M5581="PADD I","PADD 1",IF($M5581="PADD II","PADD 2",IF($M5581="PADD III","PADD 3",IF($M5581="PADD IV","PADD 4",IF($M5581="PADD V","PADD 5","")))))</f>
        <v>PADD 2</v>
      </c>
      <c r="G5581" s="6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6" t="s">
        <v>471</v>
      </c>
      <c r="I5581" s="6" t="s">
        <v>15</v>
      </c>
      <c r="J5581" s="6" t="s">
        <v>398</v>
      </c>
      <c r="K5581" s="10">
        <v>25</v>
      </c>
      <c r="L5581" s="10">
        <v>25</v>
      </c>
      <c r="M5581" s="6" t="s">
        <v>425</v>
      </c>
      <c r="N5581" s="6" t="str">
        <f>IF(OR($G5581="FCC",$G5581="Hydrocracker",$G5581="Reformer"),IF(COUNTIFS($D:$D,$D5581,$A:$A,$A5581,$B:$B,$B5581,$G:$G,"CDU",$J:$J,"PLANNED")&gt;0,"tied","standalone"),"")</f>
        <v>tied</v>
      </c>
    </row>
    <row r="5582" spans="1:14">
      <c r="A5582" s="6">
        <v>2025</v>
      </c>
      <c r="B5582" s="6">
        <v>4</v>
      </c>
      <c r="C5582" s="6" t="s">
        <v>63</v>
      </c>
      <c r="D5582" s="6" t="s">
        <v>660</v>
      </c>
      <c r="E5582" s="6" t="s">
        <v>661</v>
      </c>
      <c r="F5582" s="6" t="str">
        <f>IF($M5582="PADD I","PADD 1",IF($M5582="PADD II","PADD 2",IF($M5582="PADD III","PADD 3",IF($M5582="PADD IV","PADD 4",IF($M5582="PADD V","PADD 5","")))))</f>
        <v>PADD 2</v>
      </c>
      <c r="G5582" s="6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6" t="s">
        <v>44</v>
      </c>
      <c r="I5582" s="6" t="s">
        <v>674</v>
      </c>
      <c r="J5582" s="6" t="s">
        <v>398</v>
      </c>
      <c r="K5582" s="10">
        <v>25</v>
      </c>
      <c r="L5582" s="10">
        <v>25</v>
      </c>
      <c r="M5582" s="6" t="s">
        <v>425</v>
      </c>
      <c r="N5582" s="6">
        <f>IF(OR($G5582="FCC",$G5582="Hydrocracker",$G5582="Reformer"),IF(COUNTIFS($D:$D,$D5582,$A:$A,$A5582,$B:$B,$B5582,$G:$G,"CDU",$J:$J,"PLANNED")&gt;0,"tied","standalone"),"")</f>
        <v/>
      </c>
    </row>
    <row r="5583" spans="1:14">
      <c r="A5583" s="6">
        <v>2025</v>
      </c>
      <c r="B5583" s="6">
        <v>4</v>
      </c>
      <c r="C5583" s="6" t="s">
        <v>63</v>
      </c>
      <c r="D5583" s="6" t="s">
        <v>660</v>
      </c>
      <c r="E5583" s="6" t="s">
        <v>661</v>
      </c>
      <c r="F5583" s="6" t="str">
        <f>IF($M5583="PADD I","PADD 1",IF($M5583="PADD II","PADD 2",IF($M5583="PADD III","PADD 3",IF($M5583="PADD IV","PADD 4",IF($M5583="PADD V","PADD 5","")))))</f>
        <v>PADD 2</v>
      </c>
      <c r="G5583" s="6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6" t="s">
        <v>44</v>
      </c>
      <c r="I5583" s="6" t="s">
        <v>508</v>
      </c>
      <c r="J5583" s="6" t="s">
        <v>398</v>
      </c>
      <c r="K5583" s="10">
        <v>25</v>
      </c>
      <c r="L5583" s="10">
        <v>25</v>
      </c>
      <c r="M5583" s="6" t="s">
        <v>425</v>
      </c>
      <c r="N5583" s="6">
        <f>IF(OR($G5583="FCC",$G5583="Hydrocracker",$G5583="Reformer"),IF(COUNTIFS($D:$D,$D5583,$A:$A,$A5583,$B:$B,$B5583,$G:$G,"CDU",$J:$J,"PLANNED")&gt;0,"tied","standalone"),"")</f>
        <v/>
      </c>
    </row>
    <row r="5584" spans="1:14">
      <c r="A5584" s="6">
        <v>2025</v>
      </c>
      <c r="B5584" s="6">
        <v>4</v>
      </c>
      <c r="C5584" s="6" t="s">
        <v>63</v>
      </c>
      <c r="D5584" s="6" t="s">
        <v>792</v>
      </c>
      <c r="E5584" s="6" t="s">
        <v>438</v>
      </c>
      <c r="F5584" s="6" t="str">
        <f>IF($M5584="PADD I","PADD 1",IF($M5584="PADD II","PADD 2",IF($M5584="PADD III","PADD 3",IF($M5584="PADD IV","PADD 4",IF($M5584="PADD V","PADD 5","")))))</f>
        <v>PADD 5</v>
      </c>
      <c r="G5584" s="6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6" t="s">
        <v>44</v>
      </c>
      <c r="I5584" s="6" t="s">
        <v>570</v>
      </c>
      <c r="J5584" s="6" t="s">
        <v>398</v>
      </c>
      <c r="K5584" s="10">
        <v>25</v>
      </c>
      <c r="L5584" s="10">
        <v>25</v>
      </c>
      <c r="M5584" s="6" t="s">
        <v>436</v>
      </c>
      <c r="N5584" s="6">
        <f>IF(OR($G5584="FCC",$G5584="Hydrocracker",$G5584="Reformer"),IF(COUNTIFS($D:$D,$D5584,$A:$A,$A5584,$B:$B,$B5584,$G:$G,"CDU",$J:$J,"PLANNED")&gt;0,"tied","standalone"),"")</f>
        <v/>
      </c>
    </row>
    <row r="5585" spans="1:14">
      <c r="A5585" s="6">
        <v>2025</v>
      </c>
      <c r="B5585" s="6">
        <v>4</v>
      </c>
      <c r="C5585" s="6" t="s">
        <v>63</v>
      </c>
      <c r="D5585" s="6" t="s">
        <v>1003</v>
      </c>
      <c r="E5585" s="6" t="s">
        <v>783</v>
      </c>
      <c r="F5585" s="6" t="str">
        <f>IF($M5585="PADD I","PADD 1",IF($M5585="PADD II","PADD 2",IF($M5585="PADD III","PADD 3",IF($M5585="PADD IV","PADD 4",IF($M5585="PADD V","PADD 5","")))))</f>
        <v>PADD 2</v>
      </c>
      <c r="G5585" s="6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6" t="s">
        <v>618</v>
      </c>
      <c r="I5585" s="6" t="s">
        <v>1155</v>
      </c>
      <c r="J5585" s="6" t="s">
        <v>398</v>
      </c>
      <c r="K5585" s="10">
        <v>24.444</v>
      </c>
      <c r="L5585" s="10">
        <v>25.2</v>
      </c>
      <c r="M5585" s="6" t="s">
        <v>425</v>
      </c>
      <c r="N5585" s="6">
        <f>IF(OR($G5585="FCC",$G5585="Hydrocracker",$G5585="Reformer"),IF(COUNTIFS($D:$D,$D5585,$A:$A,$A5585,$B:$B,$B5585,$G:$G,"CDU",$J:$J,"PLANNED")&gt;0,"tied","standalone"),"")</f>
        <v/>
      </c>
    </row>
    <row r="5586" spans="1:14">
      <c r="A5586" s="6">
        <v>2025</v>
      </c>
      <c r="B5586" s="6">
        <v>4</v>
      </c>
      <c r="C5586" s="6" t="s">
        <v>63</v>
      </c>
      <c r="D5586" s="6" t="s">
        <v>792</v>
      </c>
      <c r="E5586" s="6" t="s">
        <v>438</v>
      </c>
      <c r="F5586" s="6" t="str">
        <f>IF($M5586="PADD I","PADD 1",IF($M5586="PADD II","PADD 2",IF($M5586="PADD III","PADD 3",IF($M5586="PADD IV","PADD 4",IF($M5586="PADD V","PADD 5","")))))</f>
        <v>PADD 5</v>
      </c>
      <c r="G5586" s="6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6" t="s">
        <v>471</v>
      </c>
      <c r="I5586" s="6" t="s">
        <v>15</v>
      </c>
      <c r="J5586" s="6" t="s">
        <v>398</v>
      </c>
      <c r="K5586" s="10">
        <v>24.3</v>
      </c>
      <c r="L5586" s="10">
        <v>24.3</v>
      </c>
      <c r="M5586" s="6" t="s">
        <v>436</v>
      </c>
      <c r="N5586" s="6" t="str">
        <f>IF(OR($G5586="FCC",$G5586="Hydrocracker",$G5586="Reformer"),IF(COUNTIFS($D:$D,$D5586,$A:$A,$A5586,$B:$B,$B5586,$G:$G,"CDU",$J:$J,"PLANNED")&gt;0,"tied","standalone"),"")</f>
        <v>tied</v>
      </c>
    </row>
    <row r="5587" spans="1:14">
      <c r="A5587" s="6">
        <v>2025</v>
      </c>
      <c r="B5587" s="6">
        <v>4</v>
      </c>
      <c r="C5587" s="6" t="s">
        <v>63</v>
      </c>
      <c r="D5587" s="6" t="s">
        <v>1003</v>
      </c>
      <c r="E5587" s="6" t="s">
        <v>783</v>
      </c>
      <c r="F5587" s="6" t="str">
        <f>IF($M5587="PADD I","PADD 1",IF($M5587="PADD II","PADD 2",IF($M5587="PADD III","PADD 3",IF($M5587="PADD IV","PADD 4",IF($M5587="PADD V","PADD 5","")))))</f>
        <v>PADD 2</v>
      </c>
      <c r="G5587" s="6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6" t="s">
        <v>485</v>
      </c>
      <c r="I5587" s="6" t="s">
        <v>491</v>
      </c>
      <c r="J5587" s="6" t="s">
        <v>398</v>
      </c>
      <c r="K5587" s="10">
        <v>24.25</v>
      </c>
      <c r="L5587" s="10">
        <v>25</v>
      </c>
      <c r="M5587" s="6" t="s">
        <v>425</v>
      </c>
      <c r="N5587" s="6">
        <f>IF(OR($G5587="FCC",$G5587="Hydrocracker",$G5587="Reformer"),IF(COUNTIFS($D:$D,$D5587,$A:$A,$A5587,$B:$B,$B5587,$G:$G,"CDU",$J:$J,"PLANNED")&gt;0,"tied","standalone"),"")</f>
        <v/>
      </c>
    </row>
    <row r="5588" spans="1:14">
      <c r="A5588" s="6">
        <v>2025</v>
      </c>
      <c r="B5588" s="6">
        <v>4</v>
      </c>
      <c r="C5588" s="6" t="s">
        <v>63</v>
      </c>
      <c r="D5588" s="6" t="s">
        <v>440</v>
      </c>
      <c r="E5588" s="6" t="s">
        <v>441</v>
      </c>
      <c r="F5588" s="6" t="str">
        <f>IF($M5588="PADD I","PADD 1",IF($M5588="PADD II","PADD 2",IF($M5588="PADD III","PADD 3",IF($M5588="PADD IV","PADD 4",IF($M5588="PADD V","PADD 5","")))))</f>
        <v>PADD 3</v>
      </c>
      <c r="G5588" s="6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6" t="s">
        <v>494</v>
      </c>
      <c r="I5588" s="6" t="s">
        <v>1349</v>
      </c>
      <c r="J5588" s="6" t="s">
        <v>398</v>
      </c>
      <c r="K5588" s="10">
        <v>24</v>
      </c>
      <c r="L5588" s="10">
        <v>24</v>
      </c>
      <c r="M5588" s="6" t="s">
        <v>421</v>
      </c>
      <c r="N5588" s="6" t="str">
        <f>IF(OR($G5588="FCC",$G5588="Hydrocracker",$G5588="Reformer"),IF(COUNTIFS($D:$D,$D5588,$A:$A,$A5588,$B:$B,$B5588,$G:$G,"CDU",$J:$J,"PLANNED")&gt;0,"tied","standalone"),"")</f>
        <v>tied</v>
      </c>
    </row>
    <row r="5589" spans="1:14">
      <c r="A5589" s="6">
        <v>2025</v>
      </c>
      <c r="B5589" s="6">
        <v>4</v>
      </c>
      <c r="C5589" s="6" t="s">
        <v>63</v>
      </c>
      <c r="D5589" s="6" t="s">
        <v>49</v>
      </c>
      <c r="E5589" s="6" t="s">
        <v>438</v>
      </c>
      <c r="F5589" s="6" t="str">
        <f>IF($M5589="PADD I","PADD 1",IF($M5589="PADD II","PADD 2",IF($M5589="PADD III","PADD 3",IF($M5589="PADD IV","PADD 4",IF($M5589="PADD V","PADD 5","")))))</f>
        <v>PADD 2</v>
      </c>
      <c r="G5589" s="6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6" t="s">
        <v>44</v>
      </c>
      <c r="I5589" s="6" t="s">
        <v>791</v>
      </c>
      <c r="J5589" s="6" t="s">
        <v>394</v>
      </c>
      <c r="K5589" s="10">
        <v>23.25</v>
      </c>
      <c r="L5589" s="10">
        <v>46.5</v>
      </c>
      <c r="M5589" s="6" t="s">
        <v>425</v>
      </c>
      <c r="N5589" s="6">
        <f>IF(OR($G5589="FCC",$G5589="Hydrocracker",$G5589="Reformer"),IF(COUNTIFS($D:$D,$D5589,$A:$A,$A5589,$B:$B,$B5589,$G:$G,"CDU",$J:$J,"PLANNED")&gt;0,"tied","standalone"),"")</f>
        <v/>
      </c>
    </row>
    <row r="5590" spans="1:14">
      <c r="A5590" s="6">
        <v>2025</v>
      </c>
      <c r="B5590" s="6">
        <v>4</v>
      </c>
      <c r="C5590" s="6" t="s">
        <v>63</v>
      </c>
      <c r="D5590" s="6" t="s">
        <v>496</v>
      </c>
      <c r="E5590" s="6" t="s">
        <v>441</v>
      </c>
      <c r="F5590" s="6" t="str">
        <f>IF($M5590="PADD I","PADD 1",IF($M5590="PADD II","PADD 2",IF($M5590="PADD III","PADD 3",IF($M5590="PADD IV","PADD 4",IF($M5590="PADD V","PADD 5","")))))</f>
        <v>PADD 3</v>
      </c>
      <c r="G5590" s="6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6" t="s">
        <v>39</v>
      </c>
      <c r="I5590" s="6" t="s">
        <v>82</v>
      </c>
      <c r="J5590" s="6" t="s">
        <v>394</v>
      </c>
      <c r="K5590" s="10">
        <v>23.14</v>
      </c>
      <c r="L5590" s="10">
        <v>115.7</v>
      </c>
      <c r="M5590" s="6" t="s">
        <v>421</v>
      </c>
      <c r="N5590" s="6">
        <f>IF(OR($G5590="FCC",$G5590="Hydrocracker",$G5590="Reformer"),IF(COUNTIFS($D:$D,$D5590,$A:$A,$A5590,$B:$B,$B5590,$G:$G,"CDU",$J:$J,"PLANNED")&gt;0,"tied","standalone"),"")</f>
        <v/>
      </c>
    </row>
    <row r="5591" spans="1:14">
      <c r="A5591" s="6">
        <v>2025</v>
      </c>
      <c r="B5591" s="6">
        <v>4</v>
      </c>
      <c r="C5591" s="6" t="s">
        <v>63</v>
      </c>
      <c r="D5591" s="6" t="s">
        <v>660</v>
      </c>
      <c r="E5591" s="6" t="s">
        <v>661</v>
      </c>
      <c r="F5591" s="6" t="str">
        <f>IF($M5591="PADD I","PADD 1",IF($M5591="PADD II","PADD 2",IF($M5591="PADD III","PADD 3",IF($M5591="PADD IV","PADD 4",IF($M5591="PADD V","PADD 5","")))))</f>
        <v>PADD 2</v>
      </c>
      <c r="G5591" s="6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6" t="s">
        <v>44</v>
      </c>
      <c r="I5591" s="6" t="s">
        <v>676</v>
      </c>
      <c r="J5591" s="6" t="s">
        <v>398</v>
      </c>
      <c r="K5591" s="10">
        <v>23</v>
      </c>
      <c r="L5591" s="10">
        <v>23</v>
      </c>
      <c r="M5591" s="6" t="s">
        <v>425</v>
      </c>
      <c r="N5591" s="6">
        <f>IF(OR($G5591="FCC",$G5591="Hydrocracker",$G5591="Reformer"),IF(COUNTIFS($D:$D,$D5591,$A:$A,$A5591,$B:$B,$B5591,$G:$G,"CDU",$J:$J,"PLANNED")&gt;0,"tied","standalone"),"")</f>
        <v/>
      </c>
    </row>
    <row r="5592" spans="1:14">
      <c r="A5592" s="6">
        <v>2025</v>
      </c>
      <c r="B5592" s="6">
        <v>4</v>
      </c>
      <c r="C5592" s="6" t="s">
        <v>63</v>
      </c>
      <c r="D5592" s="6" t="s">
        <v>777</v>
      </c>
      <c r="E5592" s="6" t="s">
        <v>778</v>
      </c>
      <c r="F5592" s="6" t="str">
        <f>IF($M5592="PADD I","PADD 1",IF($M5592="PADD II","PADD 2",IF($M5592="PADD III","PADD 3",IF($M5592="PADD IV","PADD 4",IF($M5592="PADD V","PADD 5","")))))</f>
        <v>PADD 1</v>
      </c>
      <c r="G5592" s="6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6" t="s">
        <v>39</v>
      </c>
      <c r="I5592" s="6" t="s">
        <v>82</v>
      </c>
      <c r="J5592" s="6" t="s">
        <v>398</v>
      </c>
      <c r="K5592" s="10">
        <v>23</v>
      </c>
      <c r="L5592" s="10">
        <v>23</v>
      </c>
      <c r="M5592" s="6" t="s">
        <v>463</v>
      </c>
      <c r="N5592" s="6">
        <f>IF(OR($G5592="FCC",$G5592="Hydrocracker",$G5592="Reformer"),IF(COUNTIFS($D:$D,$D5592,$A:$A,$A5592,$B:$B,$B5592,$G:$G,"CDU",$J:$J,"PLANNED")&gt;0,"tied","standalone"),"")</f>
        <v/>
      </c>
    </row>
    <row r="5593" spans="1:14">
      <c r="A5593" s="6">
        <v>2025</v>
      </c>
      <c r="B5593" s="6">
        <v>4</v>
      </c>
      <c r="C5593" s="6" t="s">
        <v>63</v>
      </c>
      <c r="D5593" s="6" t="s">
        <v>550</v>
      </c>
      <c r="E5593" s="6" t="s">
        <v>438</v>
      </c>
      <c r="F5593" s="6" t="str">
        <f>IF($M5593="PADD I","PADD 1",IF($M5593="PADD II","PADD 2",IF($M5593="PADD III","PADD 3",IF($M5593="PADD IV","PADD 4",IF($M5593="PADD V","PADD 5","")))))</f>
        <v>PADD 2</v>
      </c>
      <c r="G5593" s="6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6" t="s">
        <v>39</v>
      </c>
      <c r="I5593" s="6" t="s">
        <v>580</v>
      </c>
      <c r="J5593" s="6" t="s">
        <v>394</v>
      </c>
      <c r="K5593" s="10">
        <v>22.5</v>
      </c>
      <c r="L5593" s="10">
        <v>75</v>
      </c>
      <c r="M5593" s="6" t="s">
        <v>425</v>
      </c>
      <c r="N5593" s="6">
        <f>IF(OR($G5593="FCC",$G5593="Hydrocracker",$G5593="Reformer"),IF(COUNTIFS($D:$D,$D5593,$A:$A,$A5593,$B:$B,$B5593,$G:$G,"CDU",$J:$J,"PLANNED")&gt;0,"tied","standalone"),"")</f>
        <v/>
      </c>
    </row>
    <row r="5594" spans="1:14">
      <c r="A5594" s="6">
        <v>2025</v>
      </c>
      <c r="B5594" s="6">
        <v>4</v>
      </c>
      <c r="C5594" s="6" t="s">
        <v>63</v>
      </c>
      <c r="D5594" s="6" t="s">
        <v>660</v>
      </c>
      <c r="E5594" s="6" t="s">
        <v>661</v>
      </c>
      <c r="F5594" s="6" t="str">
        <f>IF($M5594="PADD I","PADD 1",IF($M5594="PADD II","PADD 2",IF($M5594="PADD III","PADD 3",IF($M5594="PADD IV","PADD 4",IF($M5594="PADD V","PADD 5","")))))</f>
        <v>PADD 2</v>
      </c>
      <c r="G5594" s="6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6" t="s">
        <v>618</v>
      </c>
      <c r="I5594" s="6" t="s">
        <v>654</v>
      </c>
      <c r="J5594" s="6" t="s">
        <v>398</v>
      </c>
      <c r="K5594" s="10">
        <v>22.2</v>
      </c>
      <c r="L5594" s="10">
        <v>22.2</v>
      </c>
      <c r="M5594" s="6" t="s">
        <v>425</v>
      </c>
      <c r="N5594" s="6">
        <f>IF(OR($G5594="FCC",$G5594="Hydrocracker",$G5594="Reformer"),IF(COUNTIFS($D:$D,$D5594,$A:$A,$A5594,$B:$B,$B5594,$G:$G,"CDU",$J:$J,"PLANNED")&gt;0,"tied","standalone"),"")</f>
        <v/>
      </c>
    </row>
    <row r="5595" spans="1:14">
      <c r="A5595" s="6">
        <v>2025</v>
      </c>
      <c r="B5595" s="6">
        <v>4</v>
      </c>
      <c r="C5595" s="6" t="s">
        <v>63</v>
      </c>
      <c r="D5595" s="6" t="s">
        <v>1003</v>
      </c>
      <c r="E5595" s="6" t="s">
        <v>783</v>
      </c>
      <c r="F5595" s="6" t="str">
        <f>IF($M5595="PADD I","PADD 1",IF($M5595="PADD II","PADD 2",IF($M5595="PADD III","PADD 3",IF($M5595="PADD IV","PADD 4",IF($M5595="PADD V","PADD 5","")))))</f>
        <v>PADD 2</v>
      </c>
      <c r="G5595" s="6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6" t="s">
        <v>426</v>
      </c>
      <c r="I5595" s="6" t="s">
        <v>106</v>
      </c>
      <c r="J5595" s="6" t="s">
        <v>398</v>
      </c>
      <c r="K5595" s="10">
        <v>22.019</v>
      </c>
      <c r="L5595" s="10">
        <v>22.7</v>
      </c>
      <c r="M5595" s="6" t="s">
        <v>425</v>
      </c>
      <c r="N5595" s="6" t="str">
        <f>IF(OR($G5595="FCC",$G5595="Hydrocracker",$G5595="Reformer"),IF(COUNTIFS($D:$D,$D5595,$A:$A,$A5595,$B:$B,$B5595,$G:$G,"CDU",$J:$J,"PLANNED")&gt;0,"tied","standalone"),"")</f>
        <v>tied</v>
      </c>
    </row>
    <row r="5596" spans="1:14">
      <c r="A5596" s="6">
        <v>2025</v>
      </c>
      <c r="B5596" s="6">
        <v>4</v>
      </c>
      <c r="C5596" s="6" t="s">
        <v>63</v>
      </c>
      <c r="D5596" s="6" t="s">
        <v>660</v>
      </c>
      <c r="E5596" s="6" t="s">
        <v>661</v>
      </c>
      <c r="F5596" s="6" t="str">
        <f>IF($M5596="PADD I","PADD 1",IF($M5596="PADD II","PADD 2",IF($M5596="PADD III","PADD 3",IF($M5596="PADD IV","PADD 4",IF($M5596="PADD V","PADD 5","")))))</f>
        <v>PADD 2</v>
      </c>
      <c r="G5596" s="6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6" t="s">
        <v>428</v>
      </c>
      <c r="I5596" s="6" t="s">
        <v>677</v>
      </c>
      <c r="J5596" s="6" t="s">
        <v>398</v>
      </c>
      <c r="K5596" s="10">
        <v>22</v>
      </c>
      <c r="L5596" s="10">
        <v>22</v>
      </c>
      <c r="M5596" s="6" t="s">
        <v>425</v>
      </c>
      <c r="N5596" s="6">
        <f>IF(OR($G5596="FCC",$G5596="Hydrocracker",$G5596="Reformer"),IF(COUNTIFS($D:$D,$D5596,$A:$A,$A5596,$B:$B,$B5596,$G:$G,"CDU",$J:$J,"PLANNED")&gt;0,"tied","standalone"),"")</f>
        <v/>
      </c>
    </row>
    <row r="5597" spans="1:14">
      <c r="A5597" s="6">
        <v>2025</v>
      </c>
      <c r="B5597" s="6">
        <v>4</v>
      </c>
      <c r="C5597" s="6" t="s">
        <v>63</v>
      </c>
      <c r="D5597" s="6" t="s">
        <v>375</v>
      </c>
      <c r="E5597" s="6" t="s">
        <v>435</v>
      </c>
      <c r="F5597" s="6" t="str">
        <f>IF($M5597="PADD I","PADD 1",IF($M5597="PADD II","PADD 2",IF($M5597="PADD III","PADD 3",IF($M5597="PADD IV","PADD 4",IF($M5597="PADD V","PADD 5","")))))</f>
        <v>PADD 5</v>
      </c>
      <c r="G5597" s="6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6" t="s">
        <v>485</v>
      </c>
      <c r="I5597" s="6" t="s">
        <v>491</v>
      </c>
      <c r="J5597" s="6" t="s">
        <v>394</v>
      </c>
      <c r="K5597" s="10">
        <v>22</v>
      </c>
      <c r="L5597" s="10">
        <v>22</v>
      </c>
      <c r="M5597" s="6" t="s">
        <v>436</v>
      </c>
      <c r="N5597" s="6">
        <f>IF(OR($G5597="FCC",$G5597="Hydrocracker",$G5597="Reformer"),IF(COUNTIFS($D:$D,$D5597,$A:$A,$A5597,$B:$B,$B5597,$G:$G,"CDU",$J:$J,"PLANNED")&gt;0,"tied","standalone"),"")</f>
        <v/>
      </c>
    </row>
    <row r="5598" spans="1:14">
      <c r="A5598" s="6">
        <v>2025</v>
      </c>
      <c r="B5598" s="6">
        <v>4</v>
      </c>
      <c r="C5598" s="6" t="s">
        <v>63</v>
      </c>
      <c r="D5598" s="6" t="s">
        <v>789</v>
      </c>
      <c r="E5598" s="6" t="s">
        <v>455</v>
      </c>
      <c r="F5598" s="6" t="str">
        <f>IF($M5598="PADD I","PADD 1",IF($M5598="PADD II","PADD 2",IF($M5598="PADD III","PADD 3",IF($M5598="PADD IV","PADD 4",IF($M5598="PADD V","PADD 5","")))))</f>
        <v>PADD 2</v>
      </c>
      <c r="G5598" s="6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6" t="s">
        <v>44</v>
      </c>
      <c r="I5598" s="6" t="s">
        <v>790</v>
      </c>
      <c r="J5598" s="6" t="s">
        <v>394</v>
      </c>
      <c r="K5598" s="10">
        <v>21.44</v>
      </c>
      <c r="L5598" s="10">
        <v>32</v>
      </c>
      <c r="M5598" s="6" t="s">
        <v>425</v>
      </c>
      <c r="N5598" s="6">
        <f>IF(OR($G5598="FCC",$G5598="Hydrocracker",$G5598="Reformer"),IF(COUNTIFS($D:$D,$D5598,$A:$A,$A5598,$B:$B,$B5598,$G:$G,"CDU",$J:$J,"PLANNED")&gt;0,"tied","standalone"),"")</f>
        <v/>
      </c>
    </row>
    <row r="5599" spans="1:14">
      <c r="A5599" s="6">
        <v>2025</v>
      </c>
      <c r="B5599" s="6">
        <v>4</v>
      </c>
      <c r="C5599" s="6" t="s">
        <v>63</v>
      </c>
      <c r="D5599" s="6" t="s">
        <v>422</v>
      </c>
      <c r="E5599" s="6" t="s">
        <v>423</v>
      </c>
      <c r="F5599" s="6" t="str">
        <f>IF($M5599="PADD I","PADD 1",IF($M5599="PADD II","PADD 2",IF($M5599="PADD III","PADD 3",IF($M5599="PADD IV","PADD 4",IF($M5599="PADD V","PADD 5","")))))</f>
        <v>PADD 2</v>
      </c>
      <c r="G5599" s="6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6" t="s">
        <v>471</v>
      </c>
      <c r="I5599" s="6" t="s">
        <v>473</v>
      </c>
      <c r="J5599" s="6" t="s">
        <v>398</v>
      </c>
      <c r="K5599" s="10">
        <v>21.2</v>
      </c>
      <c r="L5599" s="10">
        <v>40</v>
      </c>
      <c r="M5599" s="6" t="s">
        <v>425</v>
      </c>
      <c r="N5599" s="6" t="str">
        <f>IF(OR($G5599="FCC",$G5599="Hydrocracker",$G5599="Reformer"),IF(COUNTIFS($D:$D,$D5599,$A:$A,$A5599,$B:$B,$B5599,$G:$G,"CDU",$J:$J,"PLANNED")&gt;0,"tied","standalone"),"")</f>
        <v>standalone</v>
      </c>
    </row>
    <row r="5600" spans="1:14">
      <c r="A5600" s="6">
        <v>2025</v>
      </c>
      <c r="B5600" s="6">
        <v>4</v>
      </c>
      <c r="C5600" s="6" t="s">
        <v>63</v>
      </c>
      <c r="D5600" s="6" t="s">
        <v>422</v>
      </c>
      <c r="E5600" s="6" t="s">
        <v>423</v>
      </c>
      <c r="F5600" s="6" t="str">
        <f>IF($M5600="PADD I","PADD 1",IF($M5600="PADD II","PADD 2",IF($M5600="PADD III","PADD 3",IF($M5600="PADD IV","PADD 4",IF($M5600="PADD V","PADD 5","")))))</f>
        <v>PADD 2</v>
      </c>
      <c r="G5600" s="6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6" t="s">
        <v>39</v>
      </c>
      <c r="I5600" s="6" t="s">
        <v>464</v>
      </c>
      <c r="J5600" s="6" t="s">
        <v>394</v>
      </c>
      <c r="K5600" s="10">
        <v>21.2</v>
      </c>
      <c r="L5600" s="10">
        <v>40</v>
      </c>
      <c r="M5600" s="6" t="s">
        <v>425</v>
      </c>
      <c r="N5600" s="6">
        <f>IF(OR($G5600="FCC",$G5600="Hydrocracker",$G5600="Reformer"),IF(COUNTIFS($D:$D,$D5600,$A:$A,$A5600,$B:$B,$B5600,$G:$G,"CDU",$J:$J,"PLANNED")&gt;0,"tied","standalone"),"")</f>
        <v/>
      </c>
    </row>
    <row r="5601" spans="1:14">
      <c r="A5601" s="6">
        <v>2025</v>
      </c>
      <c r="B5601" s="6">
        <v>4</v>
      </c>
      <c r="C5601" s="6" t="s">
        <v>63</v>
      </c>
      <c r="D5601" s="6" t="s">
        <v>461</v>
      </c>
      <c r="E5601" s="6" t="s">
        <v>419</v>
      </c>
      <c r="F5601" s="6" t="str">
        <f>IF($M5601="PADD I","PADD 1",IF($M5601="PADD II","PADD 2",IF($M5601="PADD III","PADD 3",IF($M5601="PADD IV","PADD 4",IF($M5601="PADD V","PADD 5","")))))</f>
        <v>PADD 1</v>
      </c>
      <c r="G5601" s="6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6" t="s">
        <v>44</v>
      </c>
      <c r="I5601" s="6" t="s">
        <v>508</v>
      </c>
      <c r="J5601" s="6" t="s">
        <v>394</v>
      </c>
      <c r="K5601" s="10">
        <v>20.6125</v>
      </c>
      <c r="L5601" s="10">
        <v>21.25</v>
      </c>
      <c r="M5601" s="6" t="s">
        <v>463</v>
      </c>
      <c r="N5601" s="6">
        <f>IF(OR($G5601="FCC",$G5601="Hydrocracker",$G5601="Reformer"),IF(COUNTIFS($D:$D,$D5601,$A:$A,$A5601,$B:$B,$B5601,$G:$G,"CDU",$J:$J,"PLANNED")&gt;0,"tied","standalone"),"")</f>
        <v/>
      </c>
    </row>
    <row r="5602" spans="1:14">
      <c r="A5602" s="6">
        <v>2025</v>
      </c>
      <c r="B5602" s="6">
        <v>4</v>
      </c>
      <c r="C5602" s="6" t="s">
        <v>63</v>
      </c>
      <c r="D5602" s="6" t="s">
        <v>1336</v>
      </c>
      <c r="E5602" s="6" t="s">
        <v>1337</v>
      </c>
      <c r="F5602" s="6" t="str">
        <f>IF($M5602="PADD I","PADD 1",IF($M5602="PADD II","PADD 2",IF($M5602="PADD III","PADD 3",IF($M5602="PADD IV","PADD 4",IF($M5602="PADD V","PADD 5","")))))</f>
        <v>PADD 4</v>
      </c>
      <c r="G5602" s="6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6" t="s">
        <v>39</v>
      </c>
      <c r="I5602" s="6" t="s">
        <v>82</v>
      </c>
      <c r="J5602" s="6" t="s">
        <v>394</v>
      </c>
      <c r="K5602" s="10">
        <v>20</v>
      </c>
      <c r="L5602" s="10">
        <v>20</v>
      </c>
      <c r="M5602" s="6" t="s">
        <v>480</v>
      </c>
      <c r="N5602" s="6">
        <f>IF(OR($G5602="FCC",$G5602="Hydrocracker",$G5602="Reformer"),IF(COUNTIFS($D:$D,$D5602,$A:$A,$A5602,$B:$B,$B5602,$G:$G,"CDU",$J:$J,"PLANNED")&gt;0,"tied","standalone"),"")</f>
        <v/>
      </c>
    </row>
    <row r="5603" spans="1:14">
      <c r="A5603" s="6">
        <v>2025</v>
      </c>
      <c r="B5603" s="6">
        <v>4</v>
      </c>
      <c r="C5603" s="6" t="s">
        <v>63</v>
      </c>
      <c r="D5603" s="6" t="s">
        <v>540</v>
      </c>
      <c r="E5603" s="6" t="s">
        <v>541</v>
      </c>
      <c r="F5603" s="6" t="str">
        <f>IF($M5603="PADD I","PADD 1",IF($M5603="PADD II","PADD 2",IF($M5603="PADD III","PADD 3",IF($M5603="PADD IV","PADD 4",IF($M5603="PADD V","PADD 5","")))))</f>
        <v>PADD 3</v>
      </c>
      <c r="G5603" s="6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6" t="s">
        <v>44</v>
      </c>
      <c r="I5603" s="6" t="s">
        <v>897</v>
      </c>
      <c r="J5603" s="6" t="s">
        <v>398</v>
      </c>
      <c r="K5603" s="10">
        <v>20</v>
      </c>
      <c r="L5603" s="10">
        <v>50</v>
      </c>
      <c r="M5603" s="6" t="s">
        <v>421</v>
      </c>
      <c r="N5603" s="6">
        <f>IF(OR($G5603="FCC",$G5603="Hydrocracker",$G5603="Reformer"),IF(COUNTIFS($D:$D,$D5603,$A:$A,$A5603,$B:$B,$B5603,$G:$G,"CDU",$J:$J,"PLANNED")&gt;0,"tied","standalone"),"")</f>
        <v/>
      </c>
    </row>
    <row r="5604" spans="1:14">
      <c r="A5604" s="6">
        <v>2025</v>
      </c>
      <c r="B5604" s="6">
        <v>4</v>
      </c>
      <c r="C5604" s="6" t="s">
        <v>63</v>
      </c>
      <c r="D5604" s="6" t="s">
        <v>660</v>
      </c>
      <c r="E5604" s="6" t="s">
        <v>661</v>
      </c>
      <c r="F5604" s="6" t="str">
        <f>IF($M5604="PADD I","PADD 1",IF($M5604="PADD II","PADD 2",IF($M5604="PADD III","PADD 3",IF($M5604="PADD IV","PADD 4",IF($M5604="PADD V","PADD 5","")))))</f>
        <v>PADD 2</v>
      </c>
      <c r="G5604" s="6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6" t="s">
        <v>44</v>
      </c>
      <c r="I5604" s="6" t="s">
        <v>679</v>
      </c>
      <c r="J5604" s="6" t="s">
        <v>398</v>
      </c>
      <c r="K5604" s="10">
        <v>20</v>
      </c>
      <c r="L5604" s="10">
        <v>20</v>
      </c>
      <c r="M5604" s="6" t="s">
        <v>425</v>
      </c>
      <c r="N5604" s="6">
        <f>IF(OR($G5604="FCC",$G5604="Hydrocracker",$G5604="Reformer"),IF(COUNTIFS($D:$D,$D5604,$A:$A,$A5604,$B:$B,$B5604,$G:$G,"CDU",$J:$J,"PLANNED")&gt;0,"tied","standalone"),"")</f>
        <v/>
      </c>
    </row>
    <row r="5605" spans="1:14">
      <c r="A5605" s="6">
        <v>2025</v>
      </c>
      <c r="B5605" s="6">
        <v>4</v>
      </c>
      <c r="C5605" s="6" t="s">
        <v>63</v>
      </c>
      <c r="D5605" s="6" t="s">
        <v>660</v>
      </c>
      <c r="E5605" s="6" t="s">
        <v>661</v>
      </c>
      <c r="F5605" s="6" t="str">
        <f>IF($M5605="PADD I","PADD 1",IF($M5605="PADD II","PADD 2",IF($M5605="PADD III","PADD 3",IF($M5605="PADD IV","PADD 4",IF($M5605="PADD V","PADD 5","")))))</f>
        <v>PADD 2</v>
      </c>
      <c r="G5605" s="6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6" t="s">
        <v>428</v>
      </c>
      <c r="I5605" s="6" t="s">
        <v>544</v>
      </c>
      <c r="J5605" s="6" t="s">
        <v>398</v>
      </c>
      <c r="K5605" s="10">
        <v>20</v>
      </c>
      <c r="L5605" s="10">
        <v>20</v>
      </c>
      <c r="M5605" s="6" t="s">
        <v>425</v>
      </c>
      <c r="N5605" s="6">
        <f>IF(OR($G5605="FCC",$G5605="Hydrocracker",$G5605="Reformer"),IF(COUNTIFS($D:$D,$D5605,$A:$A,$A5605,$B:$B,$B5605,$G:$G,"CDU",$J:$J,"PLANNED")&gt;0,"tied","standalone"),"")</f>
        <v/>
      </c>
    </row>
    <row r="5606" spans="1:14">
      <c r="A5606" s="6">
        <v>2025</v>
      </c>
      <c r="B5606" s="6">
        <v>4</v>
      </c>
      <c r="C5606" s="6" t="s">
        <v>63</v>
      </c>
      <c r="D5606" s="6" t="s">
        <v>901</v>
      </c>
      <c r="E5606" s="6" t="s">
        <v>902</v>
      </c>
      <c r="F5606" s="6" t="str">
        <f>IF($M5606="PADD I","PADD 1",IF($M5606="PADD II","PADD 2",IF($M5606="PADD III","PADD 3",IF($M5606="PADD IV","PADD 4",IF($M5606="PADD V","PADD 5","")))))</f>
        <v>PADD 3</v>
      </c>
      <c r="G5606" s="6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6" t="s">
        <v>39</v>
      </c>
      <c r="I5606" s="6" t="s">
        <v>903</v>
      </c>
      <c r="J5606" s="6" t="s">
        <v>398</v>
      </c>
      <c r="K5606" s="10">
        <v>19.5</v>
      </c>
      <c r="L5606" s="10">
        <v>65</v>
      </c>
      <c r="M5606" s="6" t="s">
        <v>421</v>
      </c>
      <c r="N5606" s="6">
        <f>IF(OR($G5606="FCC",$G5606="Hydrocracker",$G5606="Reformer"),IF(COUNTIFS($D:$D,$D5606,$A:$A,$A5606,$B:$B,$B5606,$G:$G,"CDU",$J:$J,"PLANNED")&gt;0,"tied","standalone"),"")</f>
        <v/>
      </c>
    </row>
    <row r="5607" spans="1:14">
      <c r="A5607" s="6">
        <v>2025</v>
      </c>
      <c r="B5607" s="6">
        <v>4</v>
      </c>
      <c r="C5607" s="6" t="s">
        <v>63</v>
      </c>
      <c r="D5607" s="6" t="s">
        <v>901</v>
      </c>
      <c r="E5607" s="6" t="s">
        <v>902</v>
      </c>
      <c r="F5607" s="6" t="str">
        <f>IF($M5607="PADD I","PADD 1",IF($M5607="PADD II","PADD 2",IF($M5607="PADD III","PADD 3",IF($M5607="PADD IV","PADD 4",IF($M5607="PADD V","PADD 5","")))))</f>
        <v>PADD 3</v>
      </c>
      <c r="G5607" s="6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6" t="s">
        <v>39</v>
      </c>
      <c r="I5607" s="6" t="s">
        <v>904</v>
      </c>
      <c r="J5607" s="6" t="s">
        <v>398</v>
      </c>
      <c r="K5607" s="10">
        <v>19.5</v>
      </c>
      <c r="L5607" s="10">
        <v>65</v>
      </c>
      <c r="M5607" s="6" t="s">
        <v>421</v>
      </c>
      <c r="N5607" s="6">
        <f>IF(OR($G5607="FCC",$G5607="Hydrocracker",$G5607="Reformer"),IF(COUNTIFS($D:$D,$D5607,$A:$A,$A5607,$B:$B,$B5607,$G:$G,"CDU",$J:$J,"PLANNED")&gt;0,"tied","standalone"),"")</f>
        <v/>
      </c>
    </row>
    <row r="5608" spans="1:14">
      <c r="A5608" s="6">
        <v>2025</v>
      </c>
      <c r="B5608" s="6">
        <v>4</v>
      </c>
      <c r="C5608" s="6" t="s">
        <v>63</v>
      </c>
      <c r="D5608" s="6" t="s">
        <v>660</v>
      </c>
      <c r="E5608" s="6" t="s">
        <v>661</v>
      </c>
      <c r="F5608" s="6" t="str">
        <f>IF($M5608="PADD I","PADD 1",IF($M5608="PADD II","PADD 2",IF($M5608="PADD III","PADD 3",IF($M5608="PADD IV","PADD 4",IF($M5608="PADD V","PADD 5","")))))</f>
        <v>PADD 2</v>
      </c>
      <c r="G5608" s="6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6" t="s">
        <v>485</v>
      </c>
      <c r="I5608" s="6" t="s">
        <v>491</v>
      </c>
      <c r="J5608" s="6" t="s">
        <v>398</v>
      </c>
      <c r="K5608" s="10">
        <v>19.5</v>
      </c>
      <c r="L5608" s="10">
        <v>19.5</v>
      </c>
      <c r="M5608" s="6" t="s">
        <v>425</v>
      </c>
      <c r="N5608" s="6">
        <f>IF(OR($G5608="FCC",$G5608="Hydrocracker",$G5608="Reformer"),IF(COUNTIFS($D:$D,$D5608,$A:$A,$A5608,$B:$B,$B5608,$G:$G,"CDU",$J:$J,"PLANNED")&gt;0,"tied","standalone"),"")</f>
        <v/>
      </c>
    </row>
    <row r="5609" spans="1:14">
      <c r="A5609" s="6">
        <v>2025</v>
      </c>
      <c r="B5609" s="6">
        <v>4</v>
      </c>
      <c r="C5609" s="6" t="s">
        <v>63</v>
      </c>
      <c r="D5609" s="6" t="s">
        <v>518</v>
      </c>
      <c r="E5609" s="6" t="s">
        <v>419</v>
      </c>
      <c r="F5609" s="6" t="str">
        <f>IF($M5609="PADD I","PADD 1",IF($M5609="PADD II","PADD 2",IF($M5609="PADD III","PADD 3",IF($M5609="PADD IV","PADD 4",IF($M5609="PADD V","PADD 5","")))))</f>
        <v>PADD 3</v>
      </c>
      <c r="G5609" s="6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6" t="s">
        <v>44</v>
      </c>
      <c r="I5609" s="6" t="s">
        <v>1078</v>
      </c>
      <c r="J5609" s="6" t="s">
        <v>398</v>
      </c>
      <c r="K5609" s="10">
        <v>19.38</v>
      </c>
      <c r="L5609" s="10">
        <v>34</v>
      </c>
      <c r="M5609" s="6" t="s">
        <v>421</v>
      </c>
      <c r="N5609" s="6">
        <f>IF(OR($G5609="FCC",$G5609="Hydrocracker",$G5609="Reformer"),IF(COUNTIFS($D:$D,$D5609,$A:$A,$A5609,$B:$B,$B5609,$G:$G,"CDU",$J:$J,"PLANNED")&gt;0,"tied","standalone"),"")</f>
        <v/>
      </c>
    </row>
    <row r="5610" spans="1:14">
      <c r="A5610" s="6">
        <v>2025</v>
      </c>
      <c r="B5610" s="6">
        <v>4</v>
      </c>
      <c r="C5610" s="6" t="s">
        <v>63</v>
      </c>
      <c r="D5610" s="6" t="s">
        <v>1278</v>
      </c>
      <c r="E5610" s="6" t="s">
        <v>661</v>
      </c>
      <c r="F5610" s="6" t="str">
        <f>IF($M5610="PADD I","PADD 1",IF($M5610="PADD II","PADD 2",IF($M5610="PADD III","PADD 3",IF($M5610="PADD IV","PADD 4",IF($M5610="PADD V","PADD 5","")))))</f>
        <v>PADD 2</v>
      </c>
      <c r="G5610" s="6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6" t="s">
        <v>471</v>
      </c>
      <c r="I5610" s="6" t="s">
        <v>15</v>
      </c>
      <c r="J5610" s="6" t="s">
        <v>394</v>
      </c>
      <c r="K5610" s="10">
        <v>19.345</v>
      </c>
      <c r="L5610" s="10">
        <v>26.5</v>
      </c>
      <c r="M5610" s="6" t="s">
        <v>425</v>
      </c>
      <c r="N5610" s="6" t="str">
        <f>IF(OR($G5610="FCC",$G5610="Hydrocracker",$G5610="Reformer"),IF(COUNTIFS($D:$D,$D5610,$A:$A,$A5610,$B:$B,$B5610,$G:$G,"CDU",$J:$J,"PLANNED")&gt;0,"tied","standalone"),"")</f>
        <v>standalone</v>
      </c>
    </row>
    <row r="5611" spans="1:14">
      <c r="A5611" s="6">
        <v>2025</v>
      </c>
      <c r="B5611" s="6">
        <v>4</v>
      </c>
      <c r="C5611" s="6" t="s">
        <v>63</v>
      </c>
      <c r="D5611" s="6" t="s">
        <v>501</v>
      </c>
      <c r="E5611" s="6" t="s">
        <v>502</v>
      </c>
      <c r="F5611" s="6" t="str">
        <f>IF($M5611="PADD I","PADD 1",IF($M5611="PADD II","PADD 2",IF($M5611="PADD III","PADD 3",IF($M5611="PADD IV","PADD 4",IF($M5611="PADD V","PADD 5","")))))</f>
        <v>PADD 2</v>
      </c>
      <c r="G5611" s="6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6" t="s">
        <v>39</v>
      </c>
      <c r="I5611" s="6" t="s">
        <v>531</v>
      </c>
      <c r="J5611" s="6" t="s">
        <v>398</v>
      </c>
      <c r="K5611" s="10">
        <v>18.8</v>
      </c>
      <c r="L5611" s="10">
        <v>40</v>
      </c>
      <c r="M5611" s="6" t="s">
        <v>425</v>
      </c>
      <c r="N5611" s="6">
        <f>IF(OR($G5611="FCC",$G5611="Hydrocracker",$G5611="Reformer"),IF(COUNTIFS($D:$D,$D5611,$A:$A,$A5611,$B:$B,$B5611,$G:$G,"CDU",$J:$J,"PLANNED")&gt;0,"tied","standalone"),"")</f>
        <v/>
      </c>
    </row>
    <row r="5612" spans="1:14">
      <c r="A5612" s="6">
        <v>2025</v>
      </c>
      <c r="B5612" s="6">
        <v>4</v>
      </c>
      <c r="C5612" s="6" t="s">
        <v>63</v>
      </c>
      <c r="D5612" s="6" t="s">
        <v>422</v>
      </c>
      <c r="E5612" s="6" t="s">
        <v>423</v>
      </c>
      <c r="F5612" s="6" t="str">
        <f>IF($M5612="PADD I","PADD 1",IF($M5612="PADD II","PADD 2",IF($M5612="PADD III","PADD 3",IF($M5612="PADD IV","PADD 4",IF($M5612="PADD V","PADD 5","")))))</f>
        <v>PADD 2</v>
      </c>
      <c r="G5612" s="6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6" t="s">
        <v>494</v>
      </c>
      <c r="I5612" s="6" t="s">
        <v>495</v>
      </c>
      <c r="J5612" s="6" t="s">
        <v>398</v>
      </c>
      <c r="K5612" s="10">
        <v>18.55</v>
      </c>
      <c r="L5612" s="10">
        <v>35</v>
      </c>
      <c r="M5612" s="6" t="s">
        <v>425</v>
      </c>
      <c r="N5612" s="6" t="str">
        <f>IF(OR($G5612="FCC",$G5612="Hydrocracker",$G5612="Reformer"),IF(COUNTIFS($D:$D,$D5612,$A:$A,$A5612,$B:$B,$B5612,$G:$G,"CDU",$J:$J,"PLANNED")&gt;0,"tied","standalone"),"")</f>
        <v>standalone</v>
      </c>
    </row>
    <row r="5613" spans="1:14">
      <c r="A5613" s="6">
        <v>2025</v>
      </c>
      <c r="B5613" s="6">
        <v>4</v>
      </c>
      <c r="C5613" s="6" t="s">
        <v>63</v>
      </c>
      <c r="D5613" s="6" t="s">
        <v>695</v>
      </c>
      <c r="E5613" s="6" t="s">
        <v>438</v>
      </c>
      <c r="F5613" s="6" t="str">
        <f>IF($M5613="PADD I","PADD 1",IF($M5613="PADD II","PADD 2",IF($M5613="PADD III","PADD 3",IF($M5613="PADD IV","PADD 4",IF($M5613="PADD V","PADD 5","")))))</f>
        <v>PADD 3</v>
      </c>
      <c r="G5613" s="6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6" t="s">
        <v>44</v>
      </c>
      <c r="I5613" s="6" t="s">
        <v>499</v>
      </c>
      <c r="J5613" s="6" t="s">
        <v>394</v>
      </c>
      <c r="K5613" s="10">
        <v>18.4</v>
      </c>
      <c r="L5613" s="10">
        <v>80</v>
      </c>
      <c r="M5613" s="6" t="s">
        <v>421</v>
      </c>
      <c r="N5613" s="6">
        <f>IF(OR($G5613="FCC",$G5613="Hydrocracker",$G5613="Reformer"),IF(COUNTIFS($D:$D,$D5613,$A:$A,$A5613,$B:$B,$B5613,$G:$G,"CDU",$J:$J,"PLANNED")&gt;0,"tied","standalone"),"")</f>
        <v/>
      </c>
    </row>
    <row r="5614" spans="1:14">
      <c r="A5614" s="6">
        <v>2025</v>
      </c>
      <c r="B5614" s="6">
        <v>4</v>
      </c>
      <c r="C5614" s="6" t="s">
        <v>63</v>
      </c>
      <c r="D5614" s="6" t="s">
        <v>838</v>
      </c>
      <c r="E5614" s="6" t="s">
        <v>455</v>
      </c>
      <c r="F5614" s="6" t="str">
        <f>IF($M5614="PADD I","PADD 1",IF($M5614="PADD II","PADD 2",IF($M5614="PADD III","PADD 3",IF($M5614="PADD IV","PADD 4",IF($M5614="PADD V","PADD 5","")))))</f>
        <v>PADD 3</v>
      </c>
      <c r="G5614" s="6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6" t="s">
        <v>471</v>
      </c>
      <c r="I5614" s="6" t="s">
        <v>832</v>
      </c>
      <c r="J5614" s="6" t="s">
        <v>394</v>
      </c>
      <c r="K5614" s="10">
        <v>18.24</v>
      </c>
      <c r="L5614" s="10">
        <v>32</v>
      </c>
      <c r="M5614" s="6" t="s">
        <v>421</v>
      </c>
      <c r="N5614" s="6" t="str">
        <f>IF(OR($G5614="FCC",$G5614="Hydrocracker",$G5614="Reformer"),IF(COUNTIFS($D:$D,$D5614,$A:$A,$A5614,$B:$B,$B5614,$G:$G,"CDU",$J:$J,"PLANNED")&gt;0,"tied","standalone"),"")</f>
        <v>standalone</v>
      </c>
    </row>
    <row r="5615" spans="1:14">
      <c r="A5615" s="6">
        <v>2025</v>
      </c>
      <c r="B5615" s="6">
        <v>4</v>
      </c>
      <c r="C5615" s="6" t="s">
        <v>63</v>
      </c>
      <c r="D5615" s="6" t="s">
        <v>461</v>
      </c>
      <c r="E5615" s="6" t="s">
        <v>419</v>
      </c>
      <c r="F5615" s="6" t="str">
        <f>IF($M5615="PADD I","PADD 1",IF($M5615="PADD II","PADD 2",IF($M5615="PADD III","PADD 3",IF($M5615="PADD IV","PADD 4",IF($M5615="PADD V","PADD 5","")))))</f>
        <v>PADD 1</v>
      </c>
      <c r="G5615" s="6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6" t="s">
        <v>428</v>
      </c>
      <c r="I5615" s="6" t="s">
        <v>481</v>
      </c>
      <c r="J5615" s="6" t="s">
        <v>394</v>
      </c>
      <c r="K5615" s="10">
        <v>18.1875</v>
      </c>
      <c r="L5615" s="10">
        <v>18.75</v>
      </c>
      <c r="M5615" s="6" t="s">
        <v>463</v>
      </c>
      <c r="N5615" s="6">
        <f>IF(OR($G5615="FCC",$G5615="Hydrocracker",$G5615="Reformer"),IF(COUNTIFS($D:$D,$D5615,$A:$A,$A5615,$B:$B,$B5615,$G:$G,"CDU",$J:$J,"PLANNED")&gt;0,"tied","standalone"),"")</f>
        <v/>
      </c>
    </row>
    <row r="5616" spans="1:14">
      <c r="A5616" s="6">
        <v>2025</v>
      </c>
      <c r="B5616" s="6">
        <v>4</v>
      </c>
      <c r="C5616" s="6" t="s">
        <v>63</v>
      </c>
      <c r="D5616" s="6" t="s">
        <v>726</v>
      </c>
      <c r="E5616" s="6" t="s">
        <v>727</v>
      </c>
      <c r="F5616" s="6" t="str">
        <f>IF($M5616="PADD I","PADD 1",IF($M5616="PADD II","PADD 2",IF($M5616="PADD III","PADD 3",IF($M5616="PADD IV","PADD 4",IF($M5616="PADD V","PADD 5","")))))</f>
        <v>PADD 1</v>
      </c>
      <c r="G5616" s="6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6" t="s">
        <v>39</v>
      </c>
      <c r="I5616" s="6" t="s">
        <v>1316</v>
      </c>
      <c r="J5616" s="6" t="s">
        <v>394</v>
      </c>
      <c r="K5616" s="10">
        <v>18.15</v>
      </c>
      <c r="L5616" s="10">
        <v>55</v>
      </c>
      <c r="M5616" s="6" t="s">
        <v>463</v>
      </c>
      <c r="N5616" s="6">
        <f>IF(OR($G5616="FCC",$G5616="Hydrocracker",$G5616="Reformer"),IF(COUNTIFS($D:$D,$D5616,$A:$A,$A5616,$B:$B,$B5616,$G:$G,"CDU",$J:$J,"PLANNED")&gt;0,"tied","standalone"),"")</f>
        <v/>
      </c>
    </row>
    <row r="5617" spans="1:14">
      <c r="A5617" s="6">
        <v>2025</v>
      </c>
      <c r="B5617" s="6">
        <v>4</v>
      </c>
      <c r="C5617" s="6" t="s">
        <v>63</v>
      </c>
      <c r="D5617" s="6" t="s">
        <v>370</v>
      </c>
      <c r="E5617" s="6" t="s">
        <v>431</v>
      </c>
      <c r="F5617" s="6" t="str">
        <f>IF($M5617="PADD I","PADD 1",IF($M5617="PADD II","PADD 2",IF($M5617="PADD III","PADD 3",IF($M5617="PADD IV","PADD 4",IF($M5617="PADD V","PADD 5","")))))</f>
        <v>PADD 2</v>
      </c>
      <c r="G5617" s="6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6" t="s">
        <v>39</v>
      </c>
      <c r="I5617" s="6" t="s">
        <v>82</v>
      </c>
      <c r="J5617" s="6" t="s">
        <v>398</v>
      </c>
      <c r="K5617" s="10">
        <v>18</v>
      </c>
      <c r="L5617" s="10">
        <v>90</v>
      </c>
      <c r="M5617" s="6" t="s">
        <v>425</v>
      </c>
      <c r="N5617" s="6">
        <f>IF(OR($G5617="FCC",$G5617="Hydrocracker",$G5617="Reformer"),IF(COUNTIFS($D:$D,$D5617,$A:$A,$A5617,$B:$B,$B5617,$G:$G,"CDU",$J:$J,"PLANNED")&gt;0,"tied","standalone"),"")</f>
        <v/>
      </c>
    </row>
    <row r="5618" spans="1:14">
      <c r="A5618" s="6">
        <v>2025</v>
      </c>
      <c r="B5618" s="6">
        <v>4</v>
      </c>
      <c r="C5618" s="6" t="s">
        <v>63</v>
      </c>
      <c r="D5618" s="6" t="s">
        <v>461</v>
      </c>
      <c r="E5618" s="6" t="s">
        <v>419</v>
      </c>
      <c r="F5618" s="6" t="str">
        <f>IF($M5618="PADD I","PADD 1",IF($M5618="PADD II","PADD 2",IF($M5618="PADD III","PADD 3",IF($M5618="PADD IV","PADD 4",IF($M5618="PADD V","PADD 5","")))))</f>
        <v>PADD 1</v>
      </c>
      <c r="G5618" s="6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6" t="s">
        <v>44</v>
      </c>
      <c r="I5618" s="6" t="s">
        <v>508</v>
      </c>
      <c r="J5618" s="6" t="s">
        <v>394</v>
      </c>
      <c r="K5618" s="10">
        <v>17.55</v>
      </c>
      <c r="L5618" s="10">
        <v>58.5</v>
      </c>
      <c r="M5618" s="6" t="s">
        <v>463</v>
      </c>
      <c r="N5618" s="6">
        <f>IF(OR($G5618="FCC",$G5618="Hydrocracker",$G5618="Reformer"),IF(COUNTIFS($D:$D,$D5618,$A:$A,$A5618,$B:$B,$B5618,$G:$G,"CDU",$J:$J,"PLANNED")&gt;0,"tied","standalone"),"")</f>
        <v/>
      </c>
    </row>
    <row r="5619" spans="1:14">
      <c r="A5619" s="6">
        <v>2025</v>
      </c>
      <c r="B5619" s="6">
        <v>4</v>
      </c>
      <c r="C5619" s="6" t="s">
        <v>63</v>
      </c>
      <c r="D5619" s="6" t="s">
        <v>824</v>
      </c>
      <c r="E5619" s="6" t="s">
        <v>825</v>
      </c>
      <c r="F5619" s="6" t="str">
        <f>IF($M5619="PADD I","PADD 1",IF($M5619="PADD II","PADD 2",IF($M5619="PADD III","PADD 3",IF($M5619="PADD IV","PADD 4",IF($M5619="PADD V","PADD 5","")))))</f>
        <v>PADD 1</v>
      </c>
      <c r="G5619" s="6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6" t="s">
        <v>494</v>
      </c>
      <c r="I5619" s="6" t="s">
        <v>14</v>
      </c>
      <c r="J5619" s="6" t="s">
        <v>398</v>
      </c>
      <c r="K5619" s="10">
        <v>17.46</v>
      </c>
      <c r="L5619" s="10">
        <v>18</v>
      </c>
      <c r="M5619" s="6" t="s">
        <v>463</v>
      </c>
      <c r="N5619" s="6" t="str">
        <f>IF(OR($G5619="FCC",$G5619="Hydrocracker",$G5619="Reformer"),IF(COUNTIFS($D:$D,$D5619,$A:$A,$A5619,$B:$B,$B5619,$G:$G,"CDU",$J:$J,"PLANNED")&gt;0,"tied","standalone"),"")</f>
        <v>standalone</v>
      </c>
    </row>
    <row r="5620" spans="1:14">
      <c r="A5620" s="6">
        <v>2025</v>
      </c>
      <c r="B5620" s="6">
        <v>4</v>
      </c>
      <c r="C5620" s="6" t="s">
        <v>63</v>
      </c>
      <c r="D5620" s="6" t="s">
        <v>824</v>
      </c>
      <c r="E5620" s="6" t="s">
        <v>825</v>
      </c>
      <c r="F5620" s="6" t="str">
        <f>IF($M5620="PADD I","PADD 1",IF($M5620="PADD II","PADD 2",IF($M5620="PADD III","PADD 3",IF($M5620="PADD IV","PADD 4",IF($M5620="PADD V","PADD 5","")))))</f>
        <v>PADD 1</v>
      </c>
      <c r="G5620" s="6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6" t="s">
        <v>494</v>
      </c>
      <c r="I5620" s="6" t="s">
        <v>14</v>
      </c>
      <c r="J5620" s="6" t="s">
        <v>394</v>
      </c>
      <c r="K5620" s="10">
        <v>17.46</v>
      </c>
      <c r="L5620" s="10">
        <v>18</v>
      </c>
      <c r="M5620" s="6" t="s">
        <v>463</v>
      </c>
      <c r="N5620" s="6" t="str">
        <f>IF(OR($G5620="FCC",$G5620="Hydrocracker",$G5620="Reformer"),IF(COUNTIFS($D:$D,$D5620,$A:$A,$A5620,$B:$B,$B5620,$G:$G,"CDU",$J:$J,"PLANNED")&gt;0,"tied","standalone"),"")</f>
        <v>standalone</v>
      </c>
    </row>
    <row r="5621" spans="1:14">
      <c r="A5621" s="6">
        <v>2025</v>
      </c>
      <c r="B5621" s="6">
        <v>4</v>
      </c>
      <c r="C5621" s="6" t="s">
        <v>63</v>
      </c>
      <c r="D5621" s="6" t="s">
        <v>518</v>
      </c>
      <c r="E5621" s="6" t="s">
        <v>419</v>
      </c>
      <c r="F5621" s="6" t="str">
        <f>IF($M5621="PADD I","PADD 1",IF($M5621="PADD II","PADD 2",IF($M5621="PADD III","PADD 3",IF($M5621="PADD IV","PADD 4",IF($M5621="PADD V","PADD 5","")))))</f>
        <v>PADD 3</v>
      </c>
      <c r="G5621" s="6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6" t="s">
        <v>426</v>
      </c>
      <c r="I5621" s="6" t="s">
        <v>519</v>
      </c>
      <c r="J5621" s="6" t="s">
        <v>398</v>
      </c>
      <c r="K5621" s="10">
        <v>17.1</v>
      </c>
      <c r="L5621" s="10">
        <v>30</v>
      </c>
      <c r="M5621" s="6" t="s">
        <v>421</v>
      </c>
      <c r="N5621" s="6" t="str">
        <f>IF(OR($G5621="FCC",$G5621="Hydrocracker",$G5621="Reformer"),IF(COUNTIFS($D:$D,$D5621,$A:$A,$A5621,$B:$B,$B5621,$G:$G,"CDU",$J:$J,"PLANNED")&gt;0,"tied","standalone"),"")</f>
        <v>standalone</v>
      </c>
    </row>
    <row r="5622" spans="1:14">
      <c r="A5622" s="6">
        <v>2025</v>
      </c>
      <c r="B5622" s="6">
        <v>4</v>
      </c>
      <c r="C5622" s="6" t="s">
        <v>63</v>
      </c>
      <c r="D5622" s="6" t="s">
        <v>1264</v>
      </c>
      <c r="E5622" s="6" t="s">
        <v>1265</v>
      </c>
      <c r="F5622" s="6" t="str">
        <f>IF($M5622="PADD I","PADD 1",IF($M5622="PADD II","PADD 2",IF($M5622="PADD III","PADD 3",IF($M5622="PADD IV","PADD 4",IF($M5622="PADD V","PADD 5","")))))</f>
        <v>PADD 1</v>
      </c>
      <c r="G5622" s="6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6" t="s">
        <v>39</v>
      </c>
      <c r="I5622" s="6" t="s">
        <v>132</v>
      </c>
      <c r="J5622" s="6" t="s">
        <v>394</v>
      </c>
      <c r="K5622" s="10">
        <v>16.8</v>
      </c>
      <c r="L5622" s="10">
        <v>56</v>
      </c>
      <c r="M5622" s="6" t="s">
        <v>463</v>
      </c>
      <c r="N5622" s="6">
        <f>IF(OR($G5622="FCC",$G5622="Hydrocracker",$G5622="Reformer"),IF(COUNTIFS($D:$D,$D5622,$A:$A,$A5622,$B:$B,$B5622,$G:$G,"CDU",$J:$J,"PLANNED")&gt;0,"tied","standalone"),"")</f>
        <v/>
      </c>
    </row>
    <row r="5623" spans="1:14">
      <c r="A5623" s="6">
        <v>2025</v>
      </c>
      <c r="B5623" s="6">
        <v>4</v>
      </c>
      <c r="C5623" s="6" t="s">
        <v>63</v>
      </c>
      <c r="D5623" s="6" t="s">
        <v>773</v>
      </c>
      <c r="E5623" s="6" t="s">
        <v>774</v>
      </c>
      <c r="F5623" s="6" t="str">
        <f>IF($M5623="PADD I","PADD 1",IF($M5623="PADD II","PADD 2",IF($M5623="PADD III","PADD 3",IF($M5623="PADD IV","PADD 4",IF($M5623="PADD V","PADD 5","")))))</f>
        <v>PADD 4</v>
      </c>
      <c r="G5623" s="6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6" t="s">
        <v>426</v>
      </c>
      <c r="I5623" s="6" t="s">
        <v>106</v>
      </c>
      <c r="J5623" s="6" t="s">
        <v>398</v>
      </c>
      <c r="K5623" s="10">
        <v>16.17</v>
      </c>
      <c r="L5623" s="10">
        <v>21</v>
      </c>
      <c r="M5623" s="6" t="s">
        <v>480</v>
      </c>
      <c r="N5623" s="6" t="str">
        <f>IF(OR($G5623="FCC",$G5623="Hydrocracker",$G5623="Reformer"),IF(COUNTIFS($D:$D,$D5623,$A:$A,$A5623,$B:$B,$B5623,$G:$G,"CDU",$J:$J,"PLANNED")&gt;0,"tied","standalone"),"")</f>
        <v>standalone</v>
      </c>
    </row>
    <row r="5624" spans="1:14">
      <c r="A5624" s="6">
        <v>2025</v>
      </c>
      <c r="B5624" s="6">
        <v>4</v>
      </c>
      <c r="C5624" s="6" t="s">
        <v>63</v>
      </c>
      <c r="D5624" s="6" t="s">
        <v>581</v>
      </c>
      <c r="E5624" s="6" t="s">
        <v>582</v>
      </c>
      <c r="F5624" s="6" t="str">
        <f>IF($M5624="PADD I","PADD 1",IF($M5624="PADD II","PADD 2",IF($M5624="PADD III","PADD 3",IF($M5624="PADD IV","PADD 4",IF($M5624="PADD V","PADD 5","")))))</f>
        <v>PADD 5</v>
      </c>
      <c r="G5624" s="6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6" t="s">
        <v>510</v>
      </c>
      <c r="I5624" s="6" t="s">
        <v>666</v>
      </c>
      <c r="J5624" s="6" t="s">
        <v>394</v>
      </c>
      <c r="K5624" s="10">
        <v>14.74</v>
      </c>
      <c r="L5624" s="10">
        <v>22</v>
      </c>
      <c r="M5624" s="6" t="s">
        <v>436</v>
      </c>
      <c r="N5624" s="6">
        <f>IF(OR($G5624="FCC",$G5624="Hydrocracker",$G5624="Reformer"),IF(COUNTIFS($D:$D,$D5624,$A:$A,$A5624,$B:$B,$B5624,$G:$G,"CDU",$J:$J,"PLANNED")&gt;0,"tied","standalone"),"")</f>
        <v/>
      </c>
    </row>
    <row r="5625" spans="1:14">
      <c r="A5625" s="6">
        <v>2025</v>
      </c>
      <c r="B5625" s="6">
        <v>4</v>
      </c>
      <c r="C5625" s="6" t="s">
        <v>63</v>
      </c>
      <c r="D5625" s="6" t="s">
        <v>789</v>
      </c>
      <c r="E5625" s="6" t="s">
        <v>455</v>
      </c>
      <c r="F5625" s="6" t="str">
        <f>IF($M5625="PADD I","PADD 1",IF($M5625="PADD II","PADD 2",IF($M5625="PADD III","PADD 3",IF($M5625="PADD IV","PADD 4",IF($M5625="PADD V","PADD 5","")))))</f>
        <v>PADD 2</v>
      </c>
      <c r="G5625" s="6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6" t="s">
        <v>426</v>
      </c>
      <c r="I5625" s="6" t="s">
        <v>106</v>
      </c>
      <c r="J5625" s="6" t="s">
        <v>398</v>
      </c>
      <c r="K5625" s="10">
        <v>14.1</v>
      </c>
      <c r="L5625" s="10">
        <v>30</v>
      </c>
      <c r="M5625" s="6" t="s">
        <v>425</v>
      </c>
      <c r="N5625" s="6" t="str">
        <f>IF(OR($G5625="FCC",$G5625="Hydrocracker",$G5625="Reformer"),IF(COUNTIFS($D:$D,$D5625,$A:$A,$A5625,$B:$B,$B5625,$G:$G,"CDU",$J:$J,"PLANNED")&gt;0,"tied","standalone"),"")</f>
        <v>standalone</v>
      </c>
    </row>
    <row r="5626" spans="1:14">
      <c r="A5626" s="6">
        <v>2025</v>
      </c>
      <c r="B5626" s="6">
        <v>4</v>
      </c>
      <c r="C5626" s="6" t="s">
        <v>63</v>
      </c>
      <c r="D5626" s="6" t="s">
        <v>865</v>
      </c>
      <c r="E5626" s="6" t="s">
        <v>502</v>
      </c>
      <c r="F5626" s="6" t="str">
        <f>IF($M5626="PADD I","PADD 1",IF($M5626="PADD II","PADD 2",IF($M5626="PADD III","PADD 3",IF($M5626="PADD IV","PADD 4",IF($M5626="PADD V","PADD 5","")))))</f>
        <v>PADD 4</v>
      </c>
      <c r="G5626" s="6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6" t="s">
        <v>426</v>
      </c>
      <c r="I5626" s="6" t="s">
        <v>886</v>
      </c>
      <c r="J5626" s="6" t="s">
        <v>398</v>
      </c>
      <c r="K5626" s="10">
        <v>13.86</v>
      </c>
      <c r="L5626" s="10">
        <v>22</v>
      </c>
      <c r="M5626" s="6" t="s">
        <v>480</v>
      </c>
      <c r="N5626" s="6" t="str">
        <f>IF(OR($G5626="FCC",$G5626="Hydrocracker",$G5626="Reformer"),IF(COUNTIFS($D:$D,$D5626,$A:$A,$A5626,$B:$B,$B5626,$G:$G,"CDU",$J:$J,"PLANNED")&gt;0,"tied","standalone"),"")</f>
        <v>standalone</v>
      </c>
    </row>
    <row r="5627" spans="1:14">
      <c r="A5627" s="6">
        <v>2025</v>
      </c>
      <c r="B5627" s="6">
        <v>4</v>
      </c>
      <c r="C5627" s="6" t="s">
        <v>63</v>
      </c>
      <c r="D5627" s="6" t="s">
        <v>789</v>
      </c>
      <c r="E5627" s="6" t="s">
        <v>455</v>
      </c>
      <c r="F5627" s="6" t="str">
        <f>IF($M5627="PADD I","PADD 1",IF($M5627="PADD II","PADD 2",IF($M5627="PADD III","PADD 3",IF($M5627="PADD IV","PADD 4",IF($M5627="PADD V","PADD 5","")))))</f>
        <v>PADD 2</v>
      </c>
      <c r="G5627" s="6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6" t="s">
        <v>44</v>
      </c>
      <c r="I5627" s="6" t="s">
        <v>739</v>
      </c>
      <c r="J5627" s="6" t="s">
        <v>398</v>
      </c>
      <c r="K5627" s="10">
        <v>13.76</v>
      </c>
      <c r="L5627" s="10">
        <v>32</v>
      </c>
      <c r="M5627" s="6" t="s">
        <v>425</v>
      </c>
      <c r="N5627" s="6">
        <f>IF(OR($G5627="FCC",$G5627="Hydrocracker",$G5627="Reformer"),IF(COUNTIFS($D:$D,$D5627,$A:$A,$A5627,$B:$B,$B5627,$G:$G,"CDU",$J:$J,"PLANNED")&gt;0,"tied","standalone"),"")</f>
        <v/>
      </c>
    </row>
    <row r="5628" spans="1:14">
      <c r="A5628" s="6">
        <v>2025</v>
      </c>
      <c r="B5628" s="6">
        <v>4</v>
      </c>
      <c r="C5628" s="6" t="s">
        <v>63</v>
      </c>
      <c r="D5628" s="6" t="s">
        <v>789</v>
      </c>
      <c r="E5628" s="6" t="s">
        <v>455</v>
      </c>
      <c r="F5628" s="6" t="str">
        <f>IF($M5628="PADD I","PADD 1",IF($M5628="PADD II","PADD 2",IF($M5628="PADD III","PADD 3",IF($M5628="PADD IV","PADD 4",IF($M5628="PADD V","PADD 5","")))))</f>
        <v>PADD 2</v>
      </c>
      <c r="G5628" s="6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6" t="s">
        <v>428</v>
      </c>
      <c r="I5628" s="6" t="s">
        <v>481</v>
      </c>
      <c r="J5628" s="6" t="s">
        <v>398</v>
      </c>
      <c r="K5628" s="10">
        <v>13.76</v>
      </c>
      <c r="L5628" s="10">
        <v>32</v>
      </c>
      <c r="M5628" s="6" t="s">
        <v>425</v>
      </c>
      <c r="N5628" s="6">
        <f>IF(OR($G5628="FCC",$G5628="Hydrocracker",$G5628="Reformer"),IF(COUNTIFS($D:$D,$D5628,$A:$A,$A5628,$B:$B,$B5628,$G:$G,"CDU",$J:$J,"PLANNED")&gt;0,"tied","standalone"),"")</f>
        <v/>
      </c>
    </row>
    <row r="5629" spans="1:14">
      <c r="A5629" s="6">
        <v>2025</v>
      </c>
      <c r="B5629" s="6">
        <v>4</v>
      </c>
      <c r="C5629" s="6" t="s">
        <v>63</v>
      </c>
      <c r="D5629" s="6" t="s">
        <v>375</v>
      </c>
      <c r="E5629" s="6" t="s">
        <v>435</v>
      </c>
      <c r="F5629" s="6" t="str">
        <f>IF($M5629="PADD I","PADD 1",IF($M5629="PADD II","PADD 2",IF($M5629="PADD III","PADD 3",IF($M5629="PADD IV","PADD 4",IF($M5629="PADD V","PADD 5","")))))</f>
        <v>PADD 5</v>
      </c>
      <c r="G5629" s="6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6" t="s">
        <v>485</v>
      </c>
      <c r="I5629" s="6" t="s">
        <v>863</v>
      </c>
      <c r="J5629" s="6" t="s">
        <v>394</v>
      </c>
      <c r="K5629" s="10">
        <v>13.25</v>
      </c>
      <c r="L5629" s="10">
        <v>25</v>
      </c>
      <c r="M5629" s="6" t="s">
        <v>436</v>
      </c>
      <c r="N5629" s="6">
        <f>IF(OR($G5629="FCC",$G5629="Hydrocracker",$G5629="Reformer"),IF(COUNTIFS($D:$D,$D5629,$A:$A,$A5629,$B:$B,$B5629,$G:$G,"CDU",$J:$J,"PLANNED")&gt;0,"tied","standalone"),"")</f>
        <v/>
      </c>
    </row>
    <row r="5630" spans="1:14">
      <c r="A5630" s="6">
        <v>2025</v>
      </c>
      <c r="B5630" s="6">
        <v>4</v>
      </c>
      <c r="C5630" s="6" t="s">
        <v>63</v>
      </c>
      <c r="D5630" s="6" t="s">
        <v>849</v>
      </c>
      <c r="E5630" s="6" t="s">
        <v>441</v>
      </c>
      <c r="F5630" s="6" t="str">
        <f>IF($M5630="PADD I","PADD 1",IF($M5630="PADD II","PADD 2",IF($M5630="PADD III","PADD 3",IF($M5630="PADD IV","PADD 4",IF($M5630="PADD V","PADD 5","")))))</f>
        <v>PADD 4</v>
      </c>
      <c r="G5630" s="6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6" t="s">
        <v>44</v>
      </c>
      <c r="I5630" s="6" t="s">
        <v>850</v>
      </c>
      <c r="J5630" s="6" t="s">
        <v>394</v>
      </c>
      <c r="K5630" s="10">
        <v>13.113</v>
      </c>
      <c r="L5630" s="10">
        <v>27.9</v>
      </c>
      <c r="M5630" s="6" t="s">
        <v>480</v>
      </c>
      <c r="N5630" s="6">
        <f>IF(OR($G5630="FCC",$G5630="Hydrocracker",$G5630="Reformer"),IF(COUNTIFS($D:$D,$D5630,$A:$A,$A5630,$B:$B,$B5630,$G:$G,"CDU",$J:$J,"PLANNED")&gt;0,"tied","standalone"),"")</f>
        <v/>
      </c>
    </row>
    <row r="5631" spans="1:14">
      <c r="A5631" s="6">
        <v>2025</v>
      </c>
      <c r="B5631" s="6">
        <v>4</v>
      </c>
      <c r="C5631" s="6" t="s">
        <v>63</v>
      </c>
      <c r="D5631" s="6" t="s">
        <v>461</v>
      </c>
      <c r="E5631" s="6" t="s">
        <v>419</v>
      </c>
      <c r="F5631" s="6" t="str">
        <f>IF($M5631="PADD I","PADD 1",IF($M5631="PADD II","PADD 2",IF($M5631="PADD III","PADD 3",IF($M5631="PADD IV","PADD 4",IF($M5631="PADD V","PADD 5","")))))</f>
        <v>PADD 1</v>
      </c>
      <c r="G5631" s="6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6" t="s">
        <v>44</v>
      </c>
      <c r="I5631" s="6" t="s">
        <v>538</v>
      </c>
      <c r="J5631" s="6" t="s">
        <v>394</v>
      </c>
      <c r="K5631" s="10">
        <v>13.095</v>
      </c>
      <c r="L5631" s="10">
        <v>13.5</v>
      </c>
      <c r="M5631" s="6" t="s">
        <v>463</v>
      </c>
      <c r="N5631" s="6">
        <f>IF(OR($G5631="FCC",$G5631="Hydrocracker",$G5631="Reformer"),IF(COUNTIFS($D:$D,$D5631,$A:$A,$A5631,$B:$B,$B5631,$G:$G,"CDU",$J:$J,"PLANNED")&gt;0,"tied","standalone"),"")</f>
        <v/>
      </c>
    </row>
    <row r="5632" spans="1:14">
      <c r="A5632" s="6">
        <v>2025</v>
      </c>
      <c r="B5632" s="6">
        <v>4</v>
      </c>
      <c r="C5632" s="6" t="s">
        <v>63</v>
      </c>
      <c r="D5632" s="6" t="s">
        <v>789</v>
      </c>
      <c r="E5632" s="6" t="s">
        <v>455</v>
      </c>
      <c r="F5632" s="6" t="str">
        <f>IF($M5632="PADD I","PADD 1",IF($M5632="PADD II","PADD 2",IF($M5632="PADD III","PADD 3",IF($M5632="PADD IV","PADD 4",IF($M5632="PADD V","PADD 5","")))))</f>
        <v>PADD 2</v>
      </c>
      <c r="G5632" s="6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6" t="s">
        <v>471</v>
      </c>
      <c r="I5632" s="6" t="s">
        <v>832</v>
      </c>
      <c r="J5632" s="6" t="s">
        <v>398</v>
      </c>
      <c r="K5632" s="10">
        <v>12.9</v>
      </c>
      <c r="L5632" s="10">
        <v>30</v>
      </c>
      <c r="M5632" s="6" t="s">
        <v>425</v>
      </c>
      <c r="N5632" s="6" t="str">
        <f>IF(OR($G5632="FCC",$G5632="Hydrocracker",$G5632="Reformer"),IF(COUNTIFS($D:$D,$D5632,$A:$A,$A5632,$B:$B,$B5632,$G:$G,"CDU",$J:$J,"PLANNED")&gt;0,"tied","standalone"),"")</f>
        <v>standalone</v>
      </c>
    </row>
    <row r="5633" spans="1:14">
      <c r="A5633" s="6">
        <v>2025</v>
      </c>
      <c r="B5633" s="6">
        <v>4</v>
      </c>
      <c r="C5633" s="6" t="s">
        <v>63</v>
      </c>
      <c r="D5633" s="6" t="s">
        <v>384</v>
      </c>
      <c r="E5633" s="6" t="s">
        <v>419</v>
      </c>
      <c r="F5633" s="6" t="str">
        <f>IF($M5633="PADD I","PADD 1",IF($M5633="PADD II","PADD 2",IF($M5633="PADD III","PADD 3",IF($M5633="PADD IV","PADD 4",IF($M5633="PADD V","PADD 5","")))))</f>
        <v>PADD 3</v>
      </c>
      <c r="G5633" s="6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6" t="s">
        <v>426</v>
      </c>
      <c r="I5633" s="6" t="s">
        <v>522</v>
      </c>
      <c r="J5633" s="6" t="s">
        <v>394</v>
      </c>
      <c r="K5633" s="10">
        <v>12.9</v>
      </c>
      <c r="L5633" s="10">
        <v>30</v>
      </c>
      <c r="M5633" s="6" t="s">
        <v>421</v>
      </c>
      <c r="N5633" s="6" t="str">
        <f>IF(OR($G5633="FCC",$G5633="Hydrocracker",$G5633="Reformer"),IF(COUNTIFS($D:$D,$D5633,$A:$A,$A5633,$B:$B,$B5633,$G:$G,"CDU",$J:$J,"PLANNED")&gt;0,"tied","standalone"),"")</f>
        <v>standalone</v>
      </c>
    </row>
    <row r="5634" spans="1:14">
      <c r="A5634" s="6">
        <v>2025</v>
      </c>
      <c r="B5634" s="6">
        <v>4</v>
      </c>
      <c r="C5634" s="6" t="s">
        <v>63</v>
      </c>
      <c r="D5634" s="6" t="s">
        <v>378</v>
      </c>
      <c r="E5634" s="6" t="s">
        <v>477</v>
      </c>
      <c r="F5634" s="6" t="str">
        <f>IF($M5634="PADD I","PADD 1",IF($M5634="PADD II","PADD 2",IF($M5634="PADD III","PADD 3",IF($M5634="PADD IV","PADD 4",IF($M5634="PADD V","PADD 5","")))))</f>
        <v>PADD 3</v>
      </c>
      <c r="G5634" s="6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6" t="s">
        <v>39</v>
      </c>
      <c r="I5634" s="6" t="s">
        <v>124</v>
      </c>
      <c r="J5634" s="6" t="s">
        <v>394</v>
      </c>
      <c r="K5634" s="10">
        <v>12.805</v>
      </c>
      <c r="L5634" s="10">
        <v>98.5</v>
      </c>
      <c r="M5634" s="6" t="s">
        <v>421</v>
      </c>
      <c r="N5634" s="6">
        <f>IF(OR($G5634="FCC",$G5634="Hydrocracker",$G5634="Reformer"),IF(COUNTIFS($D:$D,$D5634,$A:$A,$A5634,$B:$B,$B5634,$G:$G,"CDU",$J:$J,"PLANNED")&gt;0,"tied","standalone"),"")</f>
        <v/>
      </c>
    </row>
    <row r="5635" spans="1:14">
      <c r="A5635" s="6">
        <v>2025</v>
      </c>
      <c r="B5635" s="6">
        <v>4</v>
      </c>
      <c r="C5635" s="6" t="s">
        <v>63</v>
      </c>
      <c r="D5635" s="6" t="s">
        <v>378</v>
      </c>
      <c r="E5635" s="6" t="s">
        <v>477</v>
      </c>
      <c r="F5635" s="6" t="str">
        <f>IF($M5635="PADD I","PADD 1",IF($M5635="PADD II","PADD 2",IF($M5635="PADD III","PADD 3",IF($M5635="PADD IV","PADD 4",IF($M5635="PADD V","PADD 5","")))))</f>
        <v>PADD 3</v>
      </c>
      <c r="G5635" s="6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6" t="s">
        <v>39</v>
      </c>
      <c r="I5635" s="6" t="s">
        <v>379</v>
      </c>
      <c r="J5635" s="6" t="s">
        <v>394</v>
      </c>
      <c r="K5635" s="10">
        <v>12.805</v>
      </c>
      <c r="L5635" s="10">
        <v>98.5</v>
      </c>
      <c r="M5635" s="6" t="s">
        <v>421</v>
      </c>
      <c r="N5635" s="6">
        <f>IF(OR($G5635="FCC",$G5635="Hydrocracker",$G5635="Reformer"),IF(COUNTIFS($D:$D,$D5635,$A:$A,$A5635,$B:$B,$B5635,$G:$G,"CDU",$J:$J,"PLANNED")&gt;0,"tied","standalone"),"")</f>
        <v/>
      </c>
    </row>
    <row r="5636" spans="1:14">
      <c r="A5636" s="6">
        <v>2025</v>
      </c>
      <c r="B5636" s="6">
        <v>4</v>
      </c>
      <c r="C5636" s="6" t="s">
        <v>63</v>
      </c>
      <c r="D5636" s="6" t="s">
        <v>865</v>
      </c>
      <c r="E5636" s="6" t="s">
        <v>502</v>
      </c>
      <c r="F5636" s="6" t="str">
        <f>IF($M5636="PADD I","PADD 1",IF($M5636="PADD II","PADD 2",IF($M5636="PADD III","PADD 3",IF($M5636="PADD IV","PADD 4",IF($M5636="PADD V","PADD 5","")))))</f>
        <v>PADD 4</v>
      </c>
      <c r="G5636" s="6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6" t="s">
        <v>44</v>
      </c>
      <c r="I5636" s="6" t="s">
        <v>1352</v>
      </c>
      <c r="J5636" s="6" t="s">
        <v>398</v>
      </c>
      <c r="K5636" s="10">
        <v>12.6</v>
      </c>
      <c r="L5636" s="10">
        <v>20</v>
      </c>
      <c r="M5636" s="6" t="s">
        <v>480</v>
      </c>
      <c r="N5636" s="6">
        <f>IF(OR($G5636="FCC",$G5636="Hydrocracker",$G5636="Reformer"),IF(COUNTIFS($D:$D,$D5636,$A:$A,$A5636,$B:$B,$B5636,$G:$G,"CDU",$J:$J,"PLANNED")&gt;0,"tied","standalone"),"")</f>
        <v/>
      </c>
    </row>
    <row r="5637" spans="1:14">
      <c r="A5637" s="6">
        <v>2025</v>
      </c>
      <c r="B5637" s="6">
        <v>4</v>
      </c>
      <c r="C5637" s="6" t="s">
        <v>63</v>
      </c>
      <c r="D5637" s="6" t="s">
        <v>375</v>
      </c>
      <c r="E5637" s="6" t="s">
        <v>435</v>
      </c>
      <c r="F5637" s="6" t="str">
        <f>IF($M5637="PADD I","PADD 1",IF($M5637="PADD II","PADD 2",IF($M5637="PADD III","PADD 3",IF($M5637="PADD IV","PADD 4",IF($M5637="PADD V","PADD 5","")))))</f>
        <v>PADD 5</v>
      </c>
      <c r="G5637" s="6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6" t="s">
        <v>510</v>
      </c>
      <c r="I5637" s="6" t="s">
        <v>1338</v>
      </c>
      <c r="J5637" s="6" t="s">
        <v>394</v>
      </c>
      <c r="K5637" s="10">
        <v>12</v>
      </c>
      <c r="L5637" s="10">
        <v>12</v>
      </c>
      <c r="M5637" s="6" t="s">
        <v>436</v>
      </c>
      <c r="N5637" s="6">
        <f>IF(OR($G5637="FCC",$G5637="Hydrocracker",$G5637="Reformer"),IF(COUNTIFS($D:$D,$D5637,$A:$A,$A5637,$B:$B,$B5637,$G:$G,"CDU",$J:$J,"PLANNED")&gt;0,"tied","standalone"),"")</f>
        <v/>
      </c>
    </row>
    <row r="5638" spans="1:14">
      <c r="A5638" s="6">
        <v>2025</v>
      </c>
      <c r="B5638" s="6">
        <v>4</v>
      </c>
      <c r="C5638" s="6" t="s">
        <v>63</v>
      </c>
      <c r="D5638" s="6" t="s">
        <v>430</v>
      </c>
      <c r="E5638" s="6" t="s">
        <v>431</v>
      </c>
      <c r="F5638" s="6" t="str">
        <f>IF($M5638="PADD I","PADD 1",IF($M5638="PADD II","PADD 2",IF($M5638="PADD III","PADD 3",IF($M5638="PADD IV","PADD 4",IF($M5638="PADD V","PADD 5","")))))</f>
        <v>PADD 3</v>
      </c>
      <c r="G5638" s="6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6" t="s">
        <v>428</v>
      </c>
      <c r="I5638" s="6" t="s">
        <v>1037</v>
      </c>
      <c r="J5638" s="6" t="s">
        <v>394</v>
      </c>
      <c r="K5638" s="10">
        <v>11.88</v>
      </c>
      <c r="L5638" s="10">
        <v>44</v>
      </c>
      <c r="M5638" s="6" t="s">
        <v>421</v>
      </c>
      <c r="N5638" s="6">
        <f>IF(OR($G5638="FCC",$G5638="Hydrocracker",$G5638="Reformer"),IF(COUNTIFS($D:$D,$D5638,$A:$A,$A5638,$B:$B,$B5638,$G:$G,"CDU",$J:$J,"PLANNED")&gt;0,"tied","standalone"),"")</f>
        <v/>
      </c>
    </row>
    <row r="5639" spans="1:14">
      <c r="A5639" s="6">
        <v>2025</v>
      </c>
      <c r="B5639" s="6">
        <v>4</v>
      </c>
      <c r="C5639" s="6" t="s">
        <v>63</v>
      </c>
      <c r="D5639" s="6" t="s">
        <v>430</v>
      </c>
      <c r="E5639" s="6" t="s">
        <v>431</v>
      </c>
      <c r="F5639" s="6" t="str">
        <f>IF($M5639="PADD I","PADD 1",IF($M5639="PADD II","PADD 2",IF($M5639="PADD III","PADD 3",IF($M5639="PADD IV","PADD 4",IF($M5639="PADD V","PADD 5","")))))</f>
        <v>PADD 3</v>
      </c>
      <c r="G5639" s="6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6" t="s">
        <v>485</v>
      </c>
      <c r="I5639" s="6" t="s">
        <v>565</v>
      </c>
      <c r="J5639" s="6" t="s">
        <v>394</v>
      </c>
      <c r="K5639" s="10">
        <v>11.84</v>
      </c>
      <c r="L5639" s="10">
        <v>32</v>
      </c>
      <c r="M5639" s="6" t="s">
        <v>421</v>
      </c>
      <c r="N5639" s="6">
        <f>IF(OR($G5639="FCC",$G5639="Hydrocracker",$G5639="Reformer"),IF(COUNTIFS($D:$D,$D5639,$A:$A,$A5639,$B:$B,$B5639,$G:$G,"CDU",$J:$J,"PLANNED")&gt;0,"tied","standalone"),"")</f>
        <v/>
      </c>
    </row>
    <row r="5640" spans="1:14">
      <c r="A5640" s="6">
        <v>2025</v>
      </c>
      <c r="B5640" s="6">
        <v>4</v>
      </c>
      <c r="C5640" s="6" t="s">
        <v>63</v>
      </c>
      <c r="D5640" s="6" t="s">
        <v>1003</v>
      </c>
      <c r="E5640" s="6" t="s">
        <v>783</v>
      </c>
      <c r="F5640" s="6" t="str">
        <f>IF($M5640="PADD I","PADD 1",IF($M5640="PADD II","PADD 2",IF($M5640="PADD III","PADD 3",IF($M5640="PADD IV","PADD 4",IF($M5640="PADD V","PADD 5","")))))</f>
        <v>PADD 2</v>
      </c>
      <c r="G5640" s="6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6" t="s">
        <v>44</v>
      </c>
      <c r="I5640" s="6" t="s">
        <v>499</v>
      </c>
      <c r="J5640" s="6" t="s">
        <v>398</v>
      </c>
      <c r="K5640" s="10">
        <v>11.64</v>
      </c>
      <c r="L5640" s="10">
        <v>12</v>
      </c>
      <c r="M5640" s="6" t="s">
        <v>425</v>
      </c>
      <c r="N5640" s="6">
        <f>IF(OR($G5640="FCC",$G5640="Hydrocracker",$G5640="Reformer"),IF(COUNTIFS($D:$D,$D5640,$A:$A,$A5640,$B:$B,$B5640,$G:$G,"CDU",$J:$J,"PLANNED")&gt;0,"tied","standalone"),"")</f>
        <v/>
      </c>
    </row>
    <row r="5641" spans="1:14">
      <c r="A5641" s="6">
        <v>2025</v>
      </c>
      <c r="B5641" s="6">
        <v>4</v>
      </c>
      <c r="C5641" s="6" t="s">
        <v>63</v>
      </c>
      <c r="D5641" s="6" t="s">
        <v>518</v>
      </c>
      <c r="E5641" s="6" t="s">
        <v>419</v>
      </c>
      <c r="F5641" s="6" t="str">
        <f>IF($M5641="PADD I","PADD 1",IF($M5641="PADD II","PADD 2",IF($M5641="PADD III","PADD 3",IF($M5641="PADD IV","PADD 4",IF($M5641="PADD V","PADD 5","")))))</f>
        <v>PADD 3</v>
      </c>
      <c r="G5641" s="6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6" t="s">
        <v>44</v>
      </c>
      <c r="I5641" s="6" t="s">
        <v>1081</v>
      </c>
      <c r="J5641" s="6" t="s">
        <v>398</v>
      </c>
      <c r="K5641" s="10">
        <v>11.4</v>
      </c>
      <c r="L5641" s="10">
        <v>20</v>
      </c>
      <c r="M5641" s="6" t="s">
        <v>421</v>
      </c>
      <c r="N5641" s="6">
        <f>IF(OR($G5641="FCC",$G5641="Hydrocracker",$G5641="Reformer"),IF(COUNTIFS($D:$D,$D5641,$A:$A,$A5641,$B:$B,$B5641,$G:$G,"CDU",$J:$J,"PLANNED")&gt;0,"tied","standalone"),"")</f>
        <v/>
      </c>
    </row>
    <row r="5642" spans="1:14">
      <c r="A5642" s="6">
        <v>2025</v>
      </c>
      <c r="B5642" s="6">
        <v>4</v>
      </c>
      <c r="C5642" s="6" t="s">
        <v>63</v>
      </c>
      <c r="D5642" s="6" t="s">
        <v>518</v>
      </c>
      <c r="E5642" s="6" t="s">
        <v>419</v>
      </c>
      <c r="F5642" s="6" t="str">
        <f>IF($M5642="PADD I","PADD 1",IF($M5642="PADD II","PADD 2",IF($M5642="PADD III","PADD 3",IF($M5642="PADD IV","PADD 4",IF($M5642="PADD V","PADD 5","")))))</f>
        <v>PADD 3</v>
      </c>
      <c r="G5642" s="6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6" t="s">
        <v>471</v>
      </c>
      <c r="I5642" s="6" t="s">
        <v>908</v>
      </c>
      <c r="J5642" s="6" t="s">
        <v>398</v>
      </c>
      <c r="K5642" s="10">
        <v>11.4</v>
      </c>
      <c r="L5642" s="10">
        <v>20</v>
      </c>
      <c r="M5642" s="6" t="s">
        <v>421</v>
      </c>
      <c r="N5642" s="6" t="str">
        <f>IF(OR($G5642="FCC",$G5642="Hydrocracker",$G5642="Reformer"),IF(COUNTIFS($D:$D,$D5642,$A:$A,$A5642,$B:$B,$B5642,$G:$G,"CDU",$J:$J,"PLANNED")&gt;0,"tied","standalone"),"")</f>
        <v>standalone</v>
      </c>
    </row>
    <row r="5643" spans="1:14">
      <c r="A5643" s="6">
        <v>2025</v>
      </c>
      <c r="B5643" s="6">
        <v>4</v>
      </c>
      <c r="C5643" s="6" t="s">
        <v>63</v>
      </c>
      <c r="D5643" s="6" t="s">
        <v>789</v>
      </c>
      <c r="E5643" s="6" t="s">
        <v>455</v>
      </c>
      <c r="F5643" s="6" t="str">
        <f>IF($M5643="PADD I","PADD 1",IF($M5643="PADD II","PADD 2",IF($M5643="PADD III","PADD 3",IF($M5643="PADD IV","PADD 4",IF($M5643="PADD V","PADD 5","")))))</f>
        <v>PADD 2</v>
      </c>
      <c r="G5643" s="6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6" t="s">
        <v>44</v>
      </c>
      <c r="I5643" s="6" t="s">
        <v>543</v>
      </c>
      <c r="J5643" s="6" t="s">
        <v>398</v>
      </c>
      <c r="K5643" s="10">
        <v>11.395</v>
      </c>
      <c r="L5643" s="10">
        <v>26.5</v>
      </c>
      <c r="M5643" s="6" t="s">
        <v>425</v>
      </c>
      <c r="N5643" s="6">
        <f>IF(OR($G5643="FCC",$G5643="Hydrocracker",$G5643="Reformer"),IF(COUNTIFS($D:$D,$D5643,$A:$A,$A5643,$B:$B,$B5643,$G:$G,"CDU",$J:$J,"PLANNED")&gt;0,"tied","standalone"),"")</f>
        <v/>
      </c>
    </row>
    <row r="5644" spans="1:14">
      <c r="A5644" s="6">
        <v>2025</v>
      </c>
      <c r="B5644" s="6">
        <v>4</v>
      </c>
      <c r="C5644" s="6" t="s">
        <v>63</v>
      </c>
      <c r="D5644" s="6" t="s">
        <v>378</v>
      </c>
      <c r="E5644" s="6" t="s">
        <v>477</v>
      </c>
      <c r="F5644" s="6" t="str">
        <f>IF($M5644="PADD I","PADD 1",IF($M5644="PADD II","PADD 2",IF($M5644="PADD III","PADD 3",IF($M5644="PADD IV","PADD 4",IF($M5644="PADD V","PADD 5","")))))</f>
        <v>PADD 3</v>
      </c>
      <c r="G5644" s="6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6" t="s">
        <v>428</v>
      </c>
      <c r="I5644" s="6" t="s">
        <v>478</v>
      </c>
      <c r="J5644" s="6" t="s">
        <v>394</v>
      </c>
      <c r="K5644" s="10">
        <v>11.2</v>
      </c>
      <c r="L5644" s="10">
        <v>112</v>
      </c>
      <c r="M5644" s="6" t="s">
        <v>421</v>
      </c>
      <c r="N5644" s="6">
        <f>IF(OR($G5644="FCC",$G5644="Hydrocracker",$G5644="Reformer"),IF(COUNTIFS($D:$D,$D5644,$A:$A,$A5644,$B:$B,$B5644,$G:$G,"CDU",$J:$J,"PLANNED")&gt;0,"tied","standalone"),"")</f>
        <v/>
      </c>
    </row>
    <row r="5645" spans="1:14">
      <c r="A5645" s="6">
        <v>2025</v>
      </c>
      <c r="B5645" s="6">
        <v>4</v>
      </c>
      <c r="C5645" s="6" t="s">
        <v>63</v>
      </c>
      <c r="D5645" s="6" t="s">
        <v>458</v>
      </c>
      <c r="E5645" s="6" t="s">
        <v>459</v>
      </c>
      <c r="F5645" s="6" t="str">
        <f>IF($M5645="PADD I","PADD 1",IF($M5645="PADD II","PADD 2",IF($M5645="PADD III","PADD 3",IF($M5645="PADD IV","PADD 4",IF($M5645="PADD V","PADD 5","")))))</f>
        <v>PADD 3</v>
      </c>
      <c r="G5645" s="6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6" t="s">
        <v>39</v>
      </c>
      <c r="I5645" s="6" t="s">
        <v>460</v>
      </c>
      <c r="J5645" s="6" t="s">
        <v>394</v>
      </c>
      <c r="K5645" s="10">
        <v>10.4</v>
      </c>
      <c r="L5645" s="10">
        <v>80</v>
      </c>
      <c r="M5645" s="6" t="s">
        <v>421</v>
      </c>
      <c r="N5645" s="6">
        <f>IF(OR($G5645="FCC",$G5645="Hydrocracker",$G5645="Reformer"),IF(COUNTIFS($D:$D,$D5645,$A:$A,$A5645,$B:$B,$B5645,$G:$G,"CDU",$J:$J,"PLANNED")&gt;0,"tied","standalone"),"")</f>
        <v/>
      </c>
    </row>
    <row r="5646" spans="1:14">
      <c r="A5646" s="6">
        <v>2025</v>
      </c>
      <c r="B5646" s="6">
        <v>4</v>
      </c>
      <c r="C5646" s="6" t="s">
        <v>63</v>
      </c>
      <c r="D5646" s="6" t="s">
        <v>853</v>
      </c>
      <c r="E5646" s="6" t="s">
        <v>438</v>
      </c>
      <c r="F5646" s="6" t="str">
        <f>IF($M5646="PADD I","PADD 1",IF($M5646="PADD II","PADD 2",IF($M5646="PADD III","PADD 3",IF($M5646="PADD IV","PADD 4",IF($M5646="PADD V","PADD 5","")))))</f>
        <v>PADD 2</v>
      </c>
      <c r="G5646" s="6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6" t="s">
        <v>44</v>
      </c>
      <c r="I5646" s="6" t="s">
        <v>570</v>
      </c>
      <c r="J5646" s="6" t="s">
        <v>394</v>
      </c>
      <c r="K5646" s="10">
        <v>10.36</v>
      </c>
      <c r="L5646" s="10">
        <v>28</v>
      </c>
      <c r="M5646" s="6" t="s">
        <v>425</v>
      </c>
      <c r="N5646" s="6">
        <f>IF(OR($G5646="FCC",$G5646="Hydrocracker",$G5646="Reformer"),IF(COUNTIFS($D:$D,$D5646,$A:$A,$A5646,$B:$B,$B5646,$G:$G,"CDU",$J:$J,"PLANNED")&gt;0,"tied","standalone"),"")</f>
        <v/>
      </c>
    </row>
    <row r="5647" spans="1:14">
      <c r="A5647" s="6">
        <v>2025</v>
      </c>
      <c r="B5647" s="6">
        <v>4</v>
      </c>
      <c r="C5647" s="6" t="s">
        <v>63</v>
      </c>
      <c r="D5647" s="6" t="s">
        <v>764</v>
      </c>
      <c r="E5647" s="6" t="s">
        <v>455</v>
      </c>
      <c r="F5647" s="6" t="str">
        <f>IF($M5647="PADD I","PADD 1",IF($M5647="PADD II","PADD 2",IF($M5647="PADD III","PADD 3",IF($M5647="PADD IV","PADD 4",IF($M5647="PADD V","PADD 5","")))))</f>
        <v>PADD 3</v>
      </c>
      <c r="G5647" s="6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6" t="s">
        <v>471</v>
      </c>
      <c r="I5647" s="6" t="s">
        <v>1207</v>
      </c>
      <c r="J5647" s="6" t="s">
        <v>398</v>
      </c>
      <c r="K5647" s="10">
        <v>10.26</v>
      </c>
      <c r="L5647" s="10">
        <v>18</v>
      </c>
      <c r="M5647" s="6" t="s">
        <v>421</v>
      </c>
      <c r="N5647" s="6" t="str">
        <f>IF(OR($G5647="FCC",$G5647="Hydrocracker",$G5647="Reformer"),IF(COUNTIFS($D:$D,$D5647,$A:$A,$A5647,$B:$B,$B5647,$G:$G,"CDU",$J:$J,"PLANNED")&gt;0,"tied","standalone"),"")</f>
        <v>standalone</v>
      </c>
    </row>
    <row r="5648" spans="1:14">
      <c r="A5648" s="6">
        <v>2025</v>
      </c>
      <c r="B5648" s="6">
        <v>4</v>
      </c>
      <c r="C5648" s="6" t="s">
        <v>63</v>
      </c>
      <c r="D5648" s="6" t="s">
        <v>592</v>
      </c>
      <c r="E5648" s="6" t="s">
        <v>593</v>
      </c>
      <c r="F5648" s="6" t="str">
        <f>IF($M5648="PADD I","PADD 1",IF($M5648="PADD II","PADD 2",IF($M5648="PADD III","PADD 3",IF($M5648="PADD IV","PADD 4",IF($M5648="PADD V","PADD 5","")))))</f>
        <v>PADD 2</v>
      </c>
      <c r="G5648" s="6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6" t="s">
        <v>471</v>
      </c>
      <c r="I5648" s="6" t="s">
        <v>1164</v>
      </c>
      <c r="J5648" s="6" t="s">
        <v>394</v>
      </c>
      <c r="K5648" s="10">
        <v>10.2</v>
      </c>
      <c r="L5648" s="10">
        <v>60</v>
      </c>
      <c r="M5648" s="6" t="s">
        <v>425</v>
      </c>
      <c r="N5648" s="6" t="str">
        <f>IF(OR($G5648="FCC",$G5648="Hydrocracker",$G5648="Reformer"),IF(COUNTIFS($D:$D,$D5648,$A:$A,$A5648,$B:$B,$B5648,$G:$G,"CDU",$J:$J,"PLANNED")&gt;0,"tied","standalone"),"")</f>
        <v>standalone</v>
      </c>
    </row>
    <row r="5649" spans="1:14">
      <c r="A5649" s="6">
        <v>2025</v>
      </c>
      <c r="B5649" s="6">
        <v>4</v>
      </c>
      <c r="C5649" s="6" t="s">
        <v>63</v>
      </c>
      <c r="D5649" s="6" t="s">
        <v>901</v>
      </c>
      <c r="E5649" s="6" t="s">
        <v>902</v>
      </c>
      <c r="F5649" s="6" t="str">
        <f>IF($M5649="PADD I","PADD 1",IF($M5649="PADD II","PADD 2",IF($M5649="PADD III","PADD 3",IF($M5649="PADD IV","PADD 4",IF($M5649="PADD V","PADD 5","")))))</f>
        <v>PADD 3</v>
      </c>
      <c r="G5649" s="6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6" t="s">
        <v>428</v>
      </c>
      <c r="I5649" s="6" t="s">
        <v>910</v>
      </c>
      <c r="J5649" s="6" t="s">
        <v>398</v>
      </c>
      <c r="K5649" s="10">
        <v>9.720000000000001</v>
      </c>
      <c r="L5649" s="10">
        <v>36</v>
      </c>
      <c r="M5649" s="6" t="s">
        <v>421</v>
      </c>
      <c r="N5649" s="6">
        <f>IF(OR($G5649="FCC",$G5649="Hydrocracker",$G5649="Reformer"),IF(COUNTIFS($D:$D,$D5649,$A:$A,$A5649,$B:$B,$B5649,$G:$G,"CDU",$J:$J,"PLANNED")&gt;0,"tied","standalone"),"")</f>
        <v/>
      </c>
    </row>
    <row r="5650" spans="1:14">
      <c r="A5650" s="6">
        <v>2025</v>
      </c>
      <c r="B5650" s="6">
        <v>4</v>
      </c>
      <c r="C5650" s="6" t="s">
        <v>63</v>
      </c>
      <c r="D5650" s="6" t="s">
        <v>422</v>
      </c>
      <c r="E5650" s="6" t="s">
        <v>423</v>
      </c>
      <c r="F5650" s="6" t="str">
        <f>IF($M5650="PADD I","PADD 1",IF($M5650="PADD II","PADD 2",IF($M5650="PADD III","PADD 3",IF($M5650="PADD IV","PADD 4",IF($M5650="PADD V","PADD 5","")))))</f>
        <v>PADD 2</v>
      </c>
      <c r="G5650" s="6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6" t="s">
        <v>428</v>
      </c>
      <c r="I5650" s="6" t="s">
        <v>751</v>
      </c>
      <c r="J5650" s="6" t="s">
        <v>394</v>
      </c>
      <c r="K5650" s="10">
        <v>9.539999999999999</v>
      </c>
      <c r="L5650" s="10">
        <v>18</v>
      </c>
      <c r="M5650" s="6" t="s">
        <v>425</v>
      </c>
      <c r="N5650" s="6">
        <f>IF(OR($G5650="FCC",$G5650="Hydrocracker",$G5650="Reformer"),IF(COUNTIFS($D:$D,$D5650,$A:$A,$A5650,$B:$B,$B5650,$G:$G,"CDU",$J:$J,"PLANNED")&gt;0,"tied","standalone"),"")</f>
        <v/>
      </c>
    </row>
    <row r="5651" spans="1:14">
      <c r="A5651" s="6">
        <v>2025</v>
      </c>
      <c r="B5651" s="6">
        <v>4</v>
      </c>
      <c r="C5651" s="6" t="s">
        <v>63</v>
      </c>
      <c r="D5651" s="6" t="s">
        <v>789</v>
      </c>
      <c r="E5651" s="6" t="s">
        <v>455</v>
      </c>
      <c r="F5651" s="6" t="str">
        <f>IF($M5651="PADD I","PADD 1",IF($M5651="PADD II","PADD 2",IF($M5651="PADD III","PADD 3",IF($M5651="PADD IV","PADD 4",IF($M5651="PADD V","PADD 5","")))))</f>
        <v>PADD 2</v>
      </c>
      <c r="G5651" s="6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6" t="s">
        <v>494</v>
      </c>
      <c r="I5651" s="6" t="s">
        <v>845</v>
      </c>
      <c r="J5651" s="6" t="s">
        <v>394</v>
      </c>
      <c r="K5651" s="10">
        <v>9.380000000000001</v>
      </c>
      <c r="L5651" s="10">
        <v>14</v>
      </c>
      <c r="M5651" s="6" t="s">
        <v>425</v>
      </c>
      <c r="N5651" s="6" t="str">
        <f>IF(OR($G5651="FCC",$G5651="Hydrocracker",$G5651="Reformer"),IF(COUNTIFS($D:$D,$D5651,$A:$A,$A5651,$B:$B,$B5651,$G:$G,"CDU",$J:$J,"PLANNED")&gt;0,"tied","standalone"),"")</f>
        <v>standalone</v>
      </c>
    </row>
    <row r="5652" spans="1:14">
      <c r="A5652" s="6">
        <v>2025</v>
      </c>
      <c r="B5652" s="6">
        <v>4</v>
      </c>
      <c r="C5652" s="6" t="s">
        <v>63</v>
      </c>
      <c r="D5652" s="6" t="s">
        <v>726</v>
      </c>
      <c r="E5652" s="6" t="s">
        <v>727</v>
      </c>
      <c r="F5652" s="6" t="str">
        <f>IF($M5652="PADD I","PADD 1",IF($M5652="PADD II","PADD 2",IF($M5652="PADD III","PADD 3",IF($M5652="PADD IV","PADD 4",IF($M5652="PADD V","PADD 5","")))))</f>
        <v>PADD 1</v>
      </c>
      <c r="G5652" s="6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6" t="s">
        <v>428</v>
      </c>
      <c r="I5652" s="6" t="s">
        <v>1312</v>
      </c>
      <c r="J5652" s="6" t="s">
        <v>394</v>
      </c>
      <c r="K5652" s="10">
        <v>9.300000000000001</v>
      </c>
      <c r="L5652" s="10">
        <v>31</v>
      </c>
      <c r="M5652" s="6" t="s">
        <v>463</v>
      </c>
      <c r="N5652" s="6">
        <f>IF(OR($G5652="FCC",$G5652="Hydrocracker",$G5652="Reformer"),IF(COUNTIFS($D:$D,$D5652,$A:$A,$A5652,$B:$B,$B5652,$G:$G,"CDU",$J:$J,"PLANNED")&gt;0,"tied","standalone"),"")</f>
        <v/>
      </c>
    </row>
    <row r="5653" spans="1:14">
      <c r="A5653" s="6">
        <v>2025</v>
      </c>
      <c r="B5653" s="6">
        <v>4</v>
      </c>
      <c r="C5653" s="6" t="s">
        <v>63</v>
      </c>
      <c r="D5653" s="6" t="s">
        <v>550</v>
      </c>
      <c r="E5653" s="6" t="s">
        <v>438</v>
      </c>
      <c r="F5653" s="6" t="str">
        <f>IF($M5653="PADD I","PADD 1",IF($M5653="PADD II","PADD 2",IF($M5653="PADD III","PADD 3",IF($M5653="PADD IV","PADD 4",IF($M5653="PADD V","PADD 5","")))))</f>
        <v>PADD 2</v>
      </c>
      <c r="G5653" s="6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6" t="s">
        <v>44</v>
      </c>
      <c r="I5653" s="6" t="s">
        <v>551</v>
      </c>
      <c r="J5653" s="6" t="s">
        <v>394</v>
      </c>
      <c r="K5653" s="10">
        <v>9.15</v>
      </c>
      <c r="L5653" s="10">
        <v>30.5</v>
      </c>
      <c r="M5653" s="6" t="s">
        <v>425</v>
      </c>
      <c r="N5653" s="6">
        <f>IF(OR($G5653="FCC",$G5653="Hydrocracker",$G5653="Reformer"),IF(COUNTIFS($D:$D,$D5653,$A:$A,$A5653,$B:$B,$B5653,$G:$G,"CDU",$J:$J,"PLANNED")&gt;0,"tied","standalone"),"")</f>
        <v/>
      </c>
    </row>
    <row r="5654" spans="1:14">
      <c r="A5654" s="6">
        <v>2025</v>
      </c>
      <c r="B5654" s="6">
        <v>4</v>
      </c>
      <c r="C5654" s="6" t="s">
        <v>63</v>
      </c>
      <c r="D5654" s="6" t="s">
        <v>592</v>
      </c>
      <c r="E5654" s="6" t="s">
        <v>593</v>
      </c>
      <c r="F5654" s="6" t="str">
        <f>IF($M5654="PADD I","PADD 1",IF($M5654="PADD II","PADD 2",IF($M5654="PADD III","PADD 3",IF($M5654="PADD IV","PADD 4",IF($M5654="PADD V","PADD 5","")))))</f>
        <v>PADD 2</v>
      </c>
      <c r="G5654" s="6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6" t="s">
        <v>471</v>
      </c>
      <c r="I5654" s="6" t="s">
        <v>1162</v>
      </c>
      <c r="J5654" s="6" t="s">
        <v>394</v>
      </c>
      <c r="K5654" s="10">
        <v>9.1</v>
      </c>
      <c r="L5654" s="10">
        <v>70</v>
      </c>
      <c r="M5654" s="6" t="s">
        <v>425</v>
      </c>
      <c r="N5654" s="6" t="str">
        <f>IF(OR($G5654="FCC",$G5654="Hydrocracker",$G5654="Reformer"),IF(COUNTIFS($D:$D,$D5654,$A:$A,$A5654,$B:$B,$B5654,$G:$G,"CDU",$J:$J,"PLANNED")&gt;0,"tied","standalone"),"")</f>
        <v>standalone</v>
      </c>
    </row>
    <row r="5655" spans="1:14">
      <c r="A5655" s="6">
        <v>2025</v>
      </c>
      <c r="B5655" s="6">
        <v>4</v>
      </c>
      <c r="C5655" s="6" t="s">
        <v>63</v>
      </c>
      <c r="D5655" s="6" t="s">
        <v>370</v>
      </c>
      <c r="E5655" s="6" t="s">
        <v>431</v>
      </c>
      <c r="F5655" s="6" t="str">
        <f>IF($M5655="PADD I","PADD 1",IF($M5655="PADD II","PADD 2",IF($M5655="PADD III","PADD 3",IF($M5655="PADD IV","PADD 4",IF($M5655="PADD V","PADD 5","")))))</f>
        <v>PADD 2</v>
      </c>
      <c r="G5655" s="6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6" t="s">
        <v>485</v>
      </c>
      <c r="I5655" s="6" t="s">
        <v>491</v>
      </c>
      <c r="J5655" s="6" t="s">
        <v>398</v>
      </c>
      <c r="K5655" s="10">
        <v>9</v>
      </c>
      <c r="L5655" s="10">
        <v>30</v>
      </c>
      <c r="M5655" s="6" t="s">
        <v>425</v>
      </c>
      <c r="N5655" s="6">
        <f>IF(OR($G5655="FCC",$G5655="Hydrocracker",$G5655="Reformer"),IF(COUNTIFS($D:$D,$D5655,$A:$A,$A5655,$B:$B,$B5655,$G:$G,"CDU",$J:$J,"PLANNED")&gt;0,"tied","standalone"),"")</f>
        <v/>
      </c>
    </row>
    <row r="5656" spans="1:14">
      <c r="A5656" s="6">
        <v>2025</v>
      </c>
      <c r="B5656" s="6">
        <v>4</v>
      </c>
      <c r="C5656" s="6" t="s">
        <v>63</v>
      </c>
      <c r="D5656" s="6" t="s">
        <v>789</v>
      </c>
      <c r="E5656" s="6" t="s">
        <v>455</v>
      </c>
      <c r="F5656" s="6" t="str">
        <f>IF($M5656="PADD I","PADD 1",IF($M5656="PADD II","PADD 2",IF($M5656="PADD III","PADD 3",IF($M5656="PADD IV","PADD 4",IF($M5656="PADD V","PADD 5","")))))</f>
        <v>PADD 2</v>
      </c>
      <c r="G5656" s="6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6" t="s">
        <v>44</v>
      </c>
      <c r="I5656" s="6" t="s">
        <v>1246</v>
      </c>
      <c r="J5656" s="6" t="s">
        <v>398</v>
      </c>
      <c r="K5656" s="10">
        <v>8.6</v>
      </c>
      <c r="L5656" s="10">
        <v>20</v>
      </c>
      <c r="M5656" s="6" t="s">
        <v>425</v>
      </c>
      <c r="N5656" s="6">
        <f>IF(OR($G5656="FCC",$G5656="Hydrocracker",$G5656="Reformer"),IF(COUNTIFS($D:$D,$D5656,$A:$A,$A5656,$B:$B,$B5656,$G:$G,"CDU",$J:$J,"PLANNED")&gt;0,"tied","standalone"),"")</f>
        <v/>
      </c>
    </row>
    <row r="5657" spans="1:14">
      <c r="A5657" s="6">
        <v>2025</v>
      </c>
      <c r="B5657" s="6">
        <v>4</v>
      </c>
      <c r="C5657" s="6" t="s">
        <v>63</v>
      </c>
      <c r="D5657" s="6" t="s">
        <v>764</v>
      </c>
      <c r="E5657" s="6" t="s">
        <v>455</v>
      </c>
      <c r="F5657" s="6" t="str">
        <f>IF($M5657="PADD I","PADD 1",IF($M5657="PADD II","PADD 2",IF($M5657="PADD III","PADD 3",IF($M5657="PADD IV","PADD 4",IF($M5657="PADD V","PADD 5","")))))</f>
        <v>PADD 3</v>
      </c>
      <c r="G5657" s="6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6" t="s">
        <v>44</v>
      </c>
      <c r="I5657" s="6" t="s">
        <v>1353</v>
      </c>
      <c r="J5657" s="6" t="s">
        <v>398</v>
      </c>
      <c r="K5657" s="10">
        <v>8.550000000000001</v>
      </c>
      <c r="L5657" s="10">
        <v>15</v>
      </c>
      <c r="M5657" s="6" t="s">
        <v>421</v>
      </c>
      <c r="N5657" s="6">
        <f>IF(OR($G5657="FCC",$G5657="Hydrocracker",$G5657="Reformer"),IF(COUNTIFS($D:$D,$D5657,$A:$A,$A5657,$B:$B,$B5657,$G:$G,"CDU",$J:$J,"PLANNED")&gt;0,"tied","standalone"),"")</f>
        <v/>
      </c>
    </row>
    <row r="5658" spans="1:14">
      <c r="A5658" s="6">
        <v>2025</v>
      </c>
      <c r="B5658" s="6">
        <v>4</v>
      </c>
      <c r="C5658" s="6" t="s">
        <v>63</v>
      </c>
      <c r="D5658" s="6" t="s">
        <v>835</v>
      </c>
      <c r="E5658" s="6" t="s">
        <v>829</v>
      </c>
      <c r="F5658" s="6" t="str">
        <f>IF($M5658="PADD I","PADD 1",IF($M5658="PADD II","PADD 2",IF($M5658="PADD III","PADD 3",IF($M5658="PADD IV","PADD 4",IF($M5658="PADD V","PADD 5","")))))</f>
        <v>PADD 2</v>
      </c>
      <c r="G5658" s="6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6" t="s">
        <v>428</v>
      </c>
      <c r="I5658" s="6" t="s">
        <v>836</v>
      </c>
      <c r="J5658" s="6" t="s">
        <v>394</v>
      </c>
      <c r="K5658" s="10">
        <v>8.522</v>
      </c>
      <c r="L5658" s="10">
        <v>85.22</v>
      </c>
      <c r="M5658" s="6" t="s">
        <v>425</v>
      </c>
      <c r="N5658" s="6">
        <f>IF(OR($G5658="FCC",$G5658="Hydrocracker",$G5658="Reformer"),IF(COUNTIFS($D:$D,$D5658,$A:$A,$A5658,$B:$B,$B5658,$G:$G,"CDU",$J:$J,"PLANNED")&gt;0,"tied","standalone"),"")</f>
        <v/>
      </c>
    </row>
    <row r="5659" spans="1:14">
      <c r="A5659" s="6">
        <v>2025</v>
      </c>
      <c r="B5659" s="6">
        <v>4</v>
      </c>
      <c r="C5659" s="6" t="s">
        <v>63</v>
      </c>
      <c r="D5659" s="6" t="s">
        <v>777</v>
      </c>
      <c r="E5659" s="6" t="s">
        <v>778</v>
      </c>
      <c r="F5659" s="6" t="str">
        <f>IF($M5659="PADD I","PADD 1",IF($M5659="PADD II","PADD 2",IF($M5659="PADD III","PADD 3",IF($M5659="PADD IV","PADD 4",IF($M5659="PADD V","PADD 5","")))))</f>
        <v>PADD 1</v>
      </c>
      <c r="G5659" s="6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6" t="s">
        <v>428</v>
      </c>
      <c r="I5659" s="6" t="s">
        <v>481</v>
      </c>
      <c r="J5659" s="6" t="s">
        <v>398</v>
      </c>
      <c r="K5659" s="10">
        <v>8.5</v>
      </c>
      <c r="L5659" s="10">
        <v>8.5</v>
      </c>
      <c r="M5659" s="6" t="s">
        <v>463</v>
      </c>
      <c r="N5659" s="6">
        <f>IF(OR($G5659="FCC",$G5659="Hydrocracker",$G5659="Reformer"),IF(COUNTIFS($D:$D,$D5659,$A:$A,$A5659,$B:$B,$B5659,$G:$G,"CDU",$J:$J,"PLANNED")&gt;0,"tied","standalone"),"")</f>
        <v/>
      </c>
    </row>
    <row r="5660" spans="1:14">
      <c r="A5660" s="6">
        <v>2025</v>
      </c>
      <c r="B5660" s="6">
        <v>4</v>
      </c>
      <c r="C5660" s="6" t="s">
        <v>63</v>
      </c>
      <c r="D5660" s="6" t="s">
        <v>370</v>
      </c>
      <c r="E5660" s="6" t="s">
        <v>431</v>
      </c>
      <c r="F5660" s="6" t="str">
        <f>IF($M5660="PADD I","PADD 1",IF($M5660="PADD II","PADD 2",IF($M5660="PADD III","PADD 3",IF($M5660="PADD IV","PADD 4",IF($M5660="PADD V","PADD 5","")))))</f>
        <v>PADD 2</v>
      </c>
      <c r="G5660" s="6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6" t="s">
        <v>426</v>
      </c>
      <c r="I5660" s="6" t="s">
        <v>106</v>
      </c>
      <c r="J5660" s="6" t="s">
        <v>398</v>
      </c>
      <c r="K5660" s="10">
        <v>8.4</v>
      </c>
      <c r="L5660" s="10">
        <v>28</v>
      </c>
      <c r="M5660" s="6" t="s">
        <v>425</v>
      </c>
      <c r="N5660" s="6" t="str">
        <f>IF(OR($G5660="FCC",$G5660="Hydrocracker",$G5660="Reformer"),IF(COUNTIFS($D:$D,$D5660,$A:$A,$A5660,$B:$B,$B5660,$G:$G,"CDU",$J:$J,"PLANNED")&gt;0,"tied","standalone"),"")</f>
        <v>tied</v>
      </c>
    </row>
    <row r="5661" spans="1:14">
      <c r="A5661" s="6">
        <v>2025</v>
      </c>
      <c r="B5661" s="6">
        <v>4</v>
      </c>
      <c r="C5661" s="6" t="s">
        <v>63</v>
      </c>
      <c r="D5661" s="6" t="s">
        <v>496</v>
      </c>
      <c r="E5661" s="6" t="s">
        <v>441</v>
      </c>
      <c r="F5661" s="6" t="str">
        <f>IF($M5661="PADD I","PADD 1",IF($M5661="PADD II","PADD 2",IF($M5661="PADD III","PADD 3",IF($M5661="PADD IV","PADD 4",IF($M5661="PADD V","PADD 5","")))))</f>
        <v>PADD 3</v>
      </c>
      <c r="G5661" s="6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6" t="s">
        <v>428</v>
      </c>
      <c r="I5661" s="6" t="s">
        <v>1091</v>
      </c>
      <c r="J5661" s="6" t="s">
        <v>394</v>
      </c>
      <c r="K5661" s="10">
        <v>8.199999999999999</v>
      </c>
      <c r="L5661" s="10">
        <v>41</v>
      </c>
      <c r="M5661" s="6" t="s">
        <v>421</v>
      </c>
      <c r="N5661" s="6">
        <f>IF(OR($G5661="FCC",$G5661="Hydrocracker",$G5661="Reformer"),IF(COUNTIFS($D:$D,$D5661,$A:$A,$A5661,$B:$B,$B5661,$G:$G,"CDU",$J:$J,"PLANNED")&gt;0,"tied","standalone"),"")</f>
        <v/>
      </c>
    </row>
    <row r="5662" spans="1:14">
      <c r="A5662" s="6">
        <v>2025</v>
      </c>
      <c r="B5662" s="6">
        <v>4</v>
      </c>
      <c r="C5662" s="6" t="s">
        <v>63</v>
      </c>
      <c r="D5662" s="6" t="s">
        <v>765</v>
      </c>
      <c r="E5662" s="6" t="s">
        <v>766</v>
      </c>
      <c r="F5662" s="6" t="str">
        <f>IF($M5662="PADD I","PADD 1",IF($M5662="PADD II","PADD 2",IF($M5662="PADD III","PADD 3",IF($M5662="PADD IV","PADD 4",IF($M5662="PADD V","PADD 5","")))))</f>
        <v>PADD 2</v>
      </c>
      <c r="G5662" s="6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6" t="s">
        <v>39</v>
      </c>
      <c r="I5662" s="6" t="s">
        <v>1218</v>
      </c>
      <c r="J5662" s="6" t="s">
        <v>398</v>
      </c>
      <c r="K5662" s="10">
        <v>8.050000000000001</v>
      </c>
      <c r="L5662" s="10">
        <v>35</v>
      </c>
      <c r="M5662" s="6" t="s">
        <v>425</v>
      </c>
      <c r="N5662" s="6">
        <f>IF(OR($G5662="FCC",$G5662="Hydrocracker",$G5662="Reformer"),IF(COUNTIFS($D:$D,$D5662,$A:$A,$A5662,$B:$B,$B5662,$G:$G,"CDU",$J:$J,"PLANNED")&gt;0,"tied","standalone"),"")</f>
        <v/>
      </c>
    </row>
    <row r="5663" spans="1:14">
      <c r="A5663" s="6">
        <v>2025</v>
      </c>
      <c r="B5663" s="6">
        <v>4</v>
      </c>
      <c r="C5663" s="6" t="s">
        <v>63</v>
      </c>
      <c r="D5663" s="6" t="s">
        <v>660</v>
      </c>
      <c r="E5663" s="6" t="s">
        <v>661</v>
      </c>
      <c r="F5663" s="6" t="str">
        <f>IF($M5663="PADD I","PADD 1",IF($M5663="PADD II","PADD 2",IF($M5663="PADD III","PADD 3",IF($M5663="PADD IV","PADD 4",IF($M5663="PADD V","PADD 5","")))))</f>
        <v>PADD 2</v>
      </c>
      <c r="G5663" s="6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6" t="s">
        <v>510</v>
      </c>
      <c r="I5663" s="6" t="s">
        <v>666</v>
      </c>
      <c r="J5663" s="6" t="s">
        <v>398</v>
      </c>
      <c r="K5663" s="10">
        <v>8</v>
      </c>
      <c r="L5663" s="10">
        <v>8</v>
      </c>
      <c r="M5663" s="6" t="s">
        <v>425</v>
      </c>
      <c r="N5663" s="6">
        <f>IF(OR($G5663="FCC",$G5663="Hydrocracker",$G5663="Reformer"),IF(COUNTIFS($D:$D,$D5663,$A:$A,$A5663,$B:$B,$B5663,$G:$G,"CDU",$J:$J,"PLANNED")&gt;0,"tied","standalone"),"")</f>
        <v/>
      </c>
    </row>
    <row r="5664" spans="1:14">
      <c r="A5664" s="6">
        <v>2025</v>
      </c>
      <c r="B5664" s="6">
        <v>4</v>
      </c>
      <c r="C5664" s="6" t="s">
        <v>63</v>
      </c>
      <c r="D5664" s="6" t="s">
        <v>49</v>
      </c>
      <c r="E5664" s="6" t="s">
        <v>438</v>
      </c>
      <c r="F5664" s="6" t="str">
        <f>IF($M5664="PADD I","PADD 1",IF($M5664="PADD II","PADD 2",IF($M5664="PADD III","PADD 3",IF($M5664="PADD IV","PADD 4",IF($M5664="PADD V","PADD 5","")))))</f>
        <v>PADD 2</v>
      </c>
      <c r="G5664" s="6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6" t="s">
        <v>687</v>
      </c>
      <c r="I5664" s="6" t="s">
        <v>654</v>
      </c>
      <c r="J5664" s="6" t="s">
        <v>394</v>
      </c>
      <c r="K5664" s="10">
        <v>8</v>
      </c>
      <c r="L5664" s="10">
        <v>16</v>
      </c>
      <c r="M5664" s="6" t="s">
        <v>425</v>
      </c>
      <c r="N5664" s="6">
        <f>IF(OR($G5664="FCC",$G5664="Hydrocracker",$G5664="Reformer"),IF(COUNTIFS($D:$D,$D5664,$A:$A,$A5664,$B:$B,$B5664,$G:$G,"CDU",$J:$J,"PLANNED")&gt;0,"tied","standalone"),"")</f>
        <v/>
      </c>
    </row>
    <row r="5665" spans="1:14">
      <c r="A5665" s="6">
        <v>2025</v>
      </c>
      <c r="B5665" s="6">
        <v>4</v>
      </c>
      <c r="C5665" s="6" t="s">
        <v>63</v>
      </c>
      <c r="D5665" s="6" t="s">
        <v>777</v>
      </c>
      <c r="E5665" s="6" t="s">
        <v>778</v>
      </c>
      <c r="F5665" s="6" t="str">
        <f>IF($M5665="PADD I","PADD 1",IF($M5665="PADD II","PADD 2",IF($M5665="PADD III","PADD 3",IF($M5665="PADD IV","PADD 4",IF($M5665="PADD V","PADD 5","")))))</f>
        <v>PADD 1</v>
      </c>
      <c r="G5665" s="6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6" t="s">
        <v>44</v>
      </c>
      <c r="I5665" s="6" t="s">
        <v>570</v>
      </c>
      <c r="J5665" s="6" t="s">
        <v>398</v>
      </c>
      <c r="K5665" s="10">
        <v>8</v>
      </c>
      <c r="L5665" s="10">
        <v>8</v>
      </c>
      <c r="M5665" s="6" t="s">
        <v>463</v>
      </c>
      <c r="N5665" s="6">
        <f>IF(OR($G5665="FCC",$G5665="Hydrocracker",$G5665="Reformer"),IF(COUNTIFS($D:$D,$D5665,$A:$A,$A5665,$B:$B,$B5665,$G:$G,"CDU",$J:$J,"PLANNED")&gt;0,"tied","standalone"),"")</f>
        <v/>
      </c>
    </row>
    <row r="5666" spans="1:14">
      <c r="A5666" s="6">
        <v>2025</v>
      </c>
      <c r="B5666" s="6">
        <v>4</v>
      </c>
      <c r="C5666" s="6" t="s">
        <v>63</v>
      </c>
      <c r="D5666" s="6" t="s">
        <v>928</v>
      </c>
      <c r="E5666" s="6" t="s">
        <v>502</v>
      </c>
      <c r="F5666" s="6" t="str">
        <f>IF($M5666="PADD I","PADD 1",IF($M5666="PADD II","PADD 2",IF($M5666="PADD III","PADD 3",IF($M5666="PADD IV","PADD 4",IF($M5666="PADD V","PADD 5","")))))</f>
        <v>PADD 2</v>
      </c>
      <c r="G5666" s="6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6" t="s">
        <v>485</v>
      </c>
      <c r="I5666" s="6" t="s">
        <v>491</v>
      </c>
      <c r="J5666" s="6" t="s">
        <v>394</v>
      </c>
      <c r="K5666" s="10">
        <v>7.905</v>
      </c>
      <c r="L5666" s="10">
        <v>8.5</v>
      </c>
      <c r="M5666" s="6" t="s">
        <v>425</v>
      </c>
      <c r="N5666" s="6">
        <f>IF(OR($G5666="FCC",$G5666="Hydrocracker",$G5666="Reformer"),IF(COUNTIFS($D:$D,$D5666,$A:$A,$A5666,$B:$B,$B5666,$G:$G,"CDU",$J:$J,"PLANNED")&gt;0,"tied","standalone"),"")</f>
        <v/>
      </c>
    </row>
    <row r="5667" spans="1:14">
      <c r="A5667" s="6">
        <v>2025</v>
      </c>
      <c r="B5667" s="6">
        <v>4</v>
      </c>
      <c r="C5667" s="6" t="s">
        <v>63</v>
      </c>
      <c r="D5667" s="6" t="s">
        <v>865</v>
      </c>
      <c r="E5667" s="6" t="s">
        <v>502</v>
      </c>
      <c r="F5667" s="6" t="str">
        <f>IF($M5667="PADD I","PADD 1",IF($M5667="PADD II","PADD 2",IF($M5667="PADD III","PADD 3",IF($M5667="PADD IV","PADD 4",IF($M5667="PADD V","PADD 5","")))))</f>
        <v>PADD 4</v>
      </c>
      <c r="G5667" s="6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6" t="s">
        <v>471</v>
      </c>
      <c r="I5667" s="6" t="s">
        <v>882</v>
      </c>
      <c r="J5667" s="6" t="s">
        <v>398</v>
      </c>
      <c r="K5667" s="10">
        <v>7.875</v>
      </c>
      <c r="L5667" s="10">
        <v>12.5</v>
      </c>
      <c r="M5667" s="6" t="s">
        <v>480</v>
      </c>
      <c r="N5667" s="6" t="str">
        <f>IF(OR($G5667="FCC",$G5667="Hydrocracker",$G5667="Reformer"),IF(COUNTIFS($D:$D,$D5667,$A:$A,$A5667,$B:$B,$B5667,$G:$G,"CDU",$J:$J,"PLANNED")&gt;0,"tied","standalone"),"")</f>
        <v>standalone</v>
      </c>
    </row>
    <row r="5668" spans="1:14">
      <c r="A5668" s="6">
        <v>2025</v>
      </c>
      <c r="B5668" s="6">
        <v>4</v>
      </c>
      <c r="C5668" s="6" t="s">
        <v>63</v>
      </c>
      <c r="D5668" s="6" t="s">
        <v>550</v>
      </c>
      <c r="E5668" s="6" t="s">
        <v>438</v>
      </c>
      <c r="F5668" s="6" t="str">
        <f>IF($M5668="PADD I","PADD 1",IF($M5668="PADD II","PADD 2",IF($M5668="PADD III","PADD 3",IF($M5668="PADD IV","PADD 4",IF($M5668="PADD V","PADD 5","")))))</f>
        <v>PADD 2</v>
      </c>
      <c r="G5668" s="6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6" t="s">
        <v>426</v>
      </c>
      <c r="I5668" s="6" t="s">
        <v>106</v>
      </c>
      <c r="J5668" s="6" t="s">
        <v>394</v>
      </c>
      <c r="K5668" s="10">
        <v>7.8</v>
      </c>
      <c r="L5668" s="10">
        <v>26</v>
      </c>
      <c r="M5668" s="6" t="s">
        <v>425</v>
      </c>
      <c r="N5668" s="6" t="str">
        <f>IF(OR($G5668="FCC",$G5668="Hydrocracker",$G5668="Reformer"),IF(COUNTIFS($D:$D,$D5668,$A:$A,$A5668,$B:$B,$B5668,$G:$G,"CDU",$J:$J,"PLANNED")&gt;0,"tied","standalone"),"")</f>
        <v>standalone</v>
      </c>
    </row>
    <row r="5669" spans="1:14">
      <c r="A5669" s="6">
        <v>2025</v>
      </c>
      <c r="B5669" s="6">
        <v>4</v>
      </c>
      <c r="C5669" s="6" t="s">
        <v>63</v>
      </c>
      <c r="D5669" s="6" t="s">
        <v>851</v>
      </c>
      <c r="E5669" s="6" t="s">
        <v>829</v>
      </c>
      <c r="F5669" s="6" t="str">
        <f>IF($M5669="PADD I","PADD 1",IF($M5669="PADD II","PADD 2",IF($M5669="PADD III","PADD 3",IF($M5669="PADD IV","PADD 4",IF($M5669="PADD V","PADD 5","")))))</f>
        <v>PADD 2</v>
      </c>
      <c r="G5669" s="6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6" t="s">
        <v>485</v>
      </c>
      <c r="I5669" s="6" t="s">
        <v>944</v>
      </c>
      <c r="J5669" s="6" t="s">
        <v>398</v>
      </c>
      <c r="K5669" s="10">
        <v>7.755</v>
      </c>
      <c r="L5669" s="10">
        <v>16.5</v>
      </c>
      <c r="M5669" s="6" t="s">
        <v>425</v>
      </c>
      <c r="N5669" s="6">
        <f>IF(OR($G5669="FCC",$G5669="Hydrocracker",$G5669="Reformer"),IF(COUNTIFS($D:$D,$D5669,$A:$A,$A5669,$B:$B,$B5669,$G:$G,"CDU",$J:$J,"PLANNED")&gt;0,"tied","standalone"),"")</f>
        <v/>
      </c>
    </row>
    <row r="5670" spans="1:14">
      <c r="A5670" s="6">
        <v>2025</v>
      </c>
      <c r="B5670" s="6">
        <v>4</v>
      </c>
      <c r="C5670" s="6" t="s">
        <v>63</v>
      </c>
      <c r="D5670" s="6" t="s">
        <v>430</v>
      </c>
      <c r="E5670" s="6" t="s">
        <v>431</v>
      </c>
      <c r="F5670" s="6" t="str">
        <f>IF($M5670="PADD I","PADD 1",IF($M5670="PADD II","PADD 2",IF($M5670="PADD III","PADD 3",IF($M5670="PADD IV","PADD 4",IF($M5670="PADD V","PADD 5","")))))</f>
        <v>PADD 3</v>
      </c>
      <c r="G5670" s="6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6" t="s">
        <v>426</v>
      </c>
      <c r="I5670" s="6" t="s">
        <v>702</v>
      </c>
      <c r="J5670" s="6" t="s">
        <v>394</v>
      </c>
      <c r="K5670" s="10">
        <v>7.7</v>
      </c>
      <c r="L5670" s="10">
        <v>110</v>
      </c>
      <c r="M5670" s="6" t="s">
        <v>421</v>
      </c>
      <c r="N5670" s="6" t="str">
        <f>IF(OR($G5670="FCC",$G5670="Hydrocracker",$G5670="Reformer"),IF(COUNTIFS($D:$D,$D5670,$A:$A,$A5670,$B:$B,$B5670,$G:$G,"CDU",$J:$J,"PLANNED")&gt;0,"tied","standalone"),"")</f>
        <v>tied</v>
      </c>
    </row>
    <row r="5671" spans="1:14">
      <c r="A5671" s="6">
        <v>2025</v>
      </c>
      <c r="B5671" s="6">
        <v>4</v>
      </c>
      <c r="C5671" s="6" t="s">
        <v>63</v>
      </c>
      <c r="D5671" s="6" t="s">
        <v>550</v>
      </c>
      <c r="E5671" s="6" t="s">
        <v>438</v>
      </c>
      <c r="F5671" s="6" t="str">
        <f>IF($M5671="PADD I","PADD 1",IF($M5671="PADD II","PADD 2",IF($M5671="PADD III","PADD 3",IF($M5671="PADD IV","PADD 4",IF($M5671="PADD V","PADD 5","")))))</f>
        <v>PADD 2</v>
      </c>
      <c r="G5671" s="6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6" t="s">
        <v>44</v>
      </c>
      <c r="I5671" s="6" t="s">
        <v>570</v>
      </c>
      <c r="J5671" s="6" t="s">
        <v>394</v>
      </c>
      <c r="K5671" s="10">
        <v>7.05</v>
      </c>
      <c r="L5671" s="10">
        <v>23.5</v>
      </c>
      <c r="M5671" s="6" t="s">
        <v>425</v>
      </c>
      <c r="N5671" s="6">
        <f>IF(OR($G5671="FCC",$G5671="Hydrocracker",$G5671="Reformer"),IF(COUNTIFS($D:$D,$D5671,$A:$A,$A5671,$B:$B,$B5671,$G:$G,"CDU",$J:$J,"PLANNED")&gt;0,"tied","standalone"),"")</f>
        <v/>
      </c>
    </row>
    <row r="5672" spans="1:14">
      <c r="A5672" s="6">
        <v>2025</v>
      </c>
      <c r="B5672" s="6">
        <v>4</v>
      </c>
      <c r="C5672" s="6" t="s">
        <v>63</v>
      </c>
      <c r="D5672" s="6" t="s">
        <v>461</v>
      </c>
      <c r="E5672" s="6" t="s">
        <v>419</v>
      </c>
      <c r="F5672" s="6" t="str">
        <f>IF($M5672="PADD I","PADD 1",IF($M5672="PADD II","PADD 2",IF($M5672="PADD III","PADD 3",IF($M5672="PADD IV","PADD 4",IF($M5672="PADD V","PADD 5","")))))</f>
        <v>PADD 1</v>
      </c>
      <c r="G5672" s="6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6" t="s">
        <v>44</v>
      </c>
      <c r="I5672" s="6" t="s">
        <v>934</v>
      </c>
      <c r="J5672" s="6" t="s">
        <v>394</v>
      </c>
      <c r="K5672" s="10">
        <v>7.0325</v>
      </c>
      <c r="L5672" s="10">
        <v>7.25</v>
      </c>
      <c r="M5672" s="6" t="s">
        <v>463</v>
      </c>
      <c r="N5672" s="6">
        <f>IF(OR($G5672="FCC",$G5672="Hydrocracker",$G5672="Reformer"),IF(COUNTIFS($D:$D,$D5672,$A:$A,$A5672,$B:$B,$B5672,$G:$G,"CDU",$J:$J,"PLANNED")&gt;0,"tied","standalone"),"")</f>
        <v/>
      </c>
    </row>
    <row r="5673" spans="1:14">
      <c r="A5673" s="6">
        <v>2025</v>
      </c>
      <c r="B5673" s="6">
        <v>4</v>
      </c>
      <c r="C5673" s="6" t="s">
        <v>63</v>
      </c>
      <c r="D5673" s="6" t="s">
        <v>370</v>
      </c>
      <c r="E5673" s="6" t="s">
        <v>431</v>
      </c>
      <c r="F5673" s="6" t="str">
        <f>IF($M5673="PADD I","PADD 1",IF($M5673="PADD II","PADD 2",IF($M5673="PADD III","PADD 3",IF($M5673="PADD IV","PADD 4",IF($M5673="PADD V","PADD 5","")))))</f>
        <v>PADD 2</v>
      </c>
      <c r="G5673" s="6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6" t="s">
        <v>426</v>
      </c>
      <c r="I5673" s="6" t="s">
        <v>106</v>
      </c>
      <c r="J5673" s="6" t="s">
        <v>398</v>
      </c>
      <c r="K5673" s="10">
        <v>7</v>
      </c>
      <c r="L5673" s="10">
        <v>35</v>
      </c>
      <c r="M5673" s="6" t="s">
        <v>425</v>
      </c>
      <c r="N5673" s="6" t="str">
        <f>IF(OR($G5673="FCC",$G5673="Hydrocracker",$G5673="Reformer"),IF(COUNTIFS($D:$D,$D5673,$A:$A,$A5673,$B:$B,$B5673,$G:$G,"CDU",$J:$J,"PLANNED")&gt;0,"tied","standalone"),"")</f>
        <v>tied</v>
      </c>
    </row>
    <row r="5674" spans="1:14">
      <c r="A5674" s="6">
        <v>2025</v>
      </c>
      <c r="B5674" s="6">
        <v>4</v>
      </c>
      <c r="C5674" s="6" t="s">
        <v>63</v>
      </c>
      <c r="D5674" s="6" t="s">
        <v>461</v>
      </c>
      <c r="E5674" s="6" t="s">
        <v>419</v>
      </c>
      <c r="F5674" s="6" t="str">
        <f>IF($M5674="PADD I","PADD 1",IF($M5674="PADD II","PADD 2",IF($M5674="PADD III","PADD 3",IF($M5674="PADD IV","PADD 4",IF($M5674="PADD V","PADD 5","")))))</f>
        <v>PADD 1</v>
      </c>
      <c r="G5674" s="6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6" t="s">
        <v>44</v>
      </c>
      <c r="I5674" s="6" t="s">
        <v>935</v>
      </c>
      <c r="J5674" s="6" t="s">
        <v>394</v>
      </c>
      <c r="K5674" s="10">
        <v>6.79</v>
      </c>
      <c r="L5674" s="10">
        <v>7</v>
      </c>
      <c r="M5674" s="6" t="s">
        <v>463</v>
      </c>
      <c r="N5674" s="6">
        <f>IF(OR($G5674="FCC",$G5674="Hydrocracker",$G5674="Reformer"),IF(COUNTIFS($D:$D,$D5674,$A:$A,$A5674,$B:$B,$B5674,$G:$G,"CDU",$J:$J,"PLANNED")&gt;0,"tied","standalone"),"")</f>
        <v/>
      </c>
    </row>
    <row r="5675" spans="1:14">
      <c r="A5675" s="6">
        <v>2025</v>
      </c>
      <c r="B5675" s="6">
        <v>4</v>
      </c>
      <c r="C5675" s="6" t="s">
        <v>63</v>
      </c>
      <c r="D5675" s="6" t="s">
        <v>458</v>
      </c>
      <c r="E5675" s="6" t="s">
        <v>459</v>
      </c>
      <c r="F5675" s="6" t="str">
        <f>IF($M5675="PADD I","PADD 1",IF($M5675="PADD II","PADD 2",IF($M5675="PADD III","PADD 3",IF($M5675="PADD IV","PADD 4",IF($M5675="PADD V","PADD 5","")))))</f>
        <v>PADD 3</v>
      </c>
      <c r="G5675" s="6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6" t="s">
        <v>428</v>
      </c>
      <c r="I5675" s="6" t="s">
        <v>556</v>
      </c>
      <c r="J5675" s="6" t="s">
        <v>394</v>
      </c>
      <c r="K5675" s="10">
        <v>6.76</v>
      </c>
      <c r="L5675" s="10">
        <v>52</v>
      </c>
      <c r="M5675" s="6" t="s">
        <v>421</v>
      </c>
      <c r="N5675" s="6">
        <f>IF(OR($G5675="FCC",$G5675="Hydrocracker",$G5675="Reformer"),IF(COUNTIFS($D:$D,$D5675,$A:$A,$A5675,$B:$B,$B5675,$G:$G,"CDU",$J:$J,"PLANNED")&gt;0,"tied","standalone"),"")</f>
        <v/>
      </c>
    </row>
    <row r="5676" spans="1:14">
      <c r="A5676" s="6">
        <v>2025</v>
      </c>
      <c r="B5676" s="6">
        <v>4</v>
      </c>
      <c r="C5676" s="6" t="s">
        <v>63</v>
      </c>
      <c r="D5676" s="6" t="s">
        <v>422</v>
      </c>
      <c r="E5676" s="6" t="s">
        <v>423</v>
      </c>
      <c r="F5676" s="6" t="str">
        <f>IF($M5676="PADD I","PADD 1",IF($M5676="PADD II","PADD 2",IF($M5676="PADD III","PADD 3",IF($M5676="PADD IV","PADD 4",IF($M5676="PADD V","PADD 5","")))))</f>
        <v>PADD 2</v>
      </c>
      <c r="G5676" s="6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6" t="s">
        <v>485</v>
      </c>
      <c r="I5676" s="6" t="s">
        <v>634</v>
      </c>
      <c r="J5676" s="6" t="s">
        <v>394</v>
      </c>
      <c r="K5676" s="10">
        <v>6.5</v>
      </c>
      <c r="L5676" s="10">
        <v>6.5</v>
      </c>
      <c r="M5676" s="6" t="s">
        <v>425</v>
      </c>
      <c r="N5676" s="6">
        <f>IF(OR($G5676="FCC",$G5676="Hydrocracker",$G5676="Reformer"),IF(COUNTIFS($D:$D,$D5676,$A:$A,$A5676,$B:$B,$B5676,$G:$G,"CDU",$J:$J,"PLANNED")&gt;0,"tied","standalone"),"")</f>
        <v/>
      </c>
    </row>
    <row r="5677" spans="1:14">
      <c r="A5677" s="6">
        <v>2025</v>
      </c>
      <c r="B5677" s="6">
        <v>4</v>
      </c>
      <c r="C5677" s="6" t="s">
        <v>63</v>
      </c>
      <c r="D5677" s="6" t="s">
        <v>851</v>
      </c>
      <c r="E5677" s="6" t="s">
        <v>829</v>
      </c>
      <c r="F5677" s="6" t="str">
        <f>IF($M5677="PADD I","PADD 1",IF($M5677="PADD II","PADD 2",IF($M5677="PADD III","PADD 3",IF($M5677="PADD IV","PADD 4",IF($M5677="PADD V","PADD 5","")))))</f>
        <v>PADD 2</v>
      </c>
      <c r="G5677" s="6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6" t="s">
        <v>485</v>
      </c>
      <c r="I5677" s="6" t="s">
        <v>852</v>
      </c>
      <c r="J5677" s="6" t="s">
        <v>394</v>
      </c>
      <c r="K5677" s="10">
        <v>6.48</v>
      </c>
      <c r="L5677" s="10">
        <v>24</v>
      </c>
      <c r="M5677" s="6" t="s">
        <v>425</v>
      </c>
      <c r="N5677" s="6">
        <f>IF(OR($G5677="FCC",$G5677="Hydrocracker",$G5677="Reformer"),IF(COUNTIFS($D:$D,$D5677,$A:$A,$A5677,$B:$B,$B5677,$G:$G,"CDU",$J:$J,"PLANNED")&gt;0,"tied","standalone"),"")</f>
        <v/>
      </c>
    </row>
    <row r="5678" spans="1:14">
      <c r="A5678" s="6">
        <v>2025</v>
      </c>
      <c r="B5678" s="6">
        <v>4</v>
      </c>
      <c r="C5678" s="6" t="s">
        <v>63</v>
      </c>
      <c r="D5678" s="6" t="s">
        <v>550</v>
      </c>
      <c r="E5678" s="6" t="s">
        <v>438</v>
      </c>
      <c r="F5678" s="6" t="str">
        <f>IF($M5678="PADD I","PADD 1",IF($M5678="PADD II","PADD 2",IF($M5678="PADD III","PADD 3",IF($M5678="PADD IV","PADD 4",IF($M5678="PADD V","PADD 5","")))))</f>
        <v>PADD 2</v>
      </c>
      <c r="G5678" s="6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6" t="s">
        <v>471</v>
      </c>
      <c r="I5678" s="6" t="s">
        <v>589</v>
      </c>
      <c r="J5678" s="6" t="s">
        <v>394</v>
      </c>
      <c r="K5678" s="10">
        <v>6.45</v>
      </c>
      <c r="L5678" s="10">
        <v>21.5</v>
      </c>
      <c r="M5678" s="6" t="s">
        <v>425</v>
      </c>
      <c r="N5678" s="6" t="str">
        <f>IF(OR($G5678="FCC",$G5678="Hydrocracker",$G5678="Reformer"),IF(COUNTIFS($D:$D,$D5678,$A:$A,$A5678,$B:$B,$B5678,$G:$G,"CDU",$J:$J,"PLANNED")&gt;0,"tied","standalone"),"")</f>
        <v>standalone</v>
      </c>
    </row>
    <row r="5679" spans="1:14">
      <c r="A5679" s="6">
        <v>2025</v>
      </c>
      <c r="B5679" s="6">
        <v>4</v>
      </c>
      <c r="C5679" s="6" t="s">
        <v>63</v>
      </c>
      <c r="D5679" s="6" t="s">
        <v>1003</v>
      </c>
      <c r="E5679" s="6" t="s">
        <v>783</v>
      </c>
      <c r="F5679" s="6" t="str">
        <f>IF($M5679="PADD I","PADD 1",IF($M5679="PADD II","PADD 2",IF($M5679="PADD III","PADD 3",IF($M5679="PADD IV","PADD 4",IF($M5679="PADD V","PADD 5","")))))</f>
        <v>PADD 2</v>
      </c>
      <c r="G5679" s="6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6" t="s">
        <v>510</v>
      </c>
      <c r="I5679" s="6" t="s">
        <v>666</v>
      </c>
      <c r="J5679" s="6" t="s">
        <v>398</v>
      </c>
      <c r="K5679" s="10">
        <v>6.402</v>
      </c>
      <c r="L5679" s="10">
        <v>6.6</v>
      </c>
      <c r="M5679" s="6" t="s">
        <v>425</v>
      </c>
      <c r="N5679" s="6">
        <f>IF(OR($G5679="FCC",$G5679="Hydrocracker",$G5679="Reformer"),IF(COUNTIFS($D:$D,$D5679,$A:$A,$A5679,$B:$B,$B5679,$G:$G,"CDU",$J:$J,"PLANNED")&gt;0,"tied","standalone"),"")</f>
        <v/>
      </c>
    </row>
    <row r="5680" spans="1:14">
      <c r="A5680" s="6">
        <v>2025</v>
      </c>
      <c r="B5680" s="6">
        <v>4</v>
      </c>
      <c r="C5680" s="6" t="s">
        <v>63</v>
      </c>
      <c r="D5680" s="6" t="s">
        <v>461</v>
      </c>
      <c r="E5680" s="6" t="s">
        <v>419</v>
      </c>
      <c r="F5680" s="6" t="str">
        <f>IF($M5680="PADD I","PADD 1",IF($M5680="PADD II","PADD 2",IF($M5680="PADD III","PADD 3",IF($M5680="PADD IV","PADD 4",IF($M5680="PADD V","PADD 5","")))))</f>
        <v>PADD 1</v>
      </c>
      <c r="G5680" s="6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6" t="s">
        <v>1354</v>
      </c>
      <c r="I5680" s="6" t="s">
        <v>1355</v>
      </c>
      <c r="J5680" s="6" t="s">
        <v>394</v>
      </c>
      <c r="K5680" s="10">
        <v>6.305</v>
      </c>
      <c r="L5680" s="10">
        <v>6.5</v>
      </c>
      <c r="M5680" s="6" t="s">
        <v>463</v>
      </c>
      <c r="N5680" s="6">
        <f>IF(OR($G5680="FCC",$G5680="Hydrocracker",$G5680="Reformer"),IF(COUNTIFS($D:$D,$D5680,$A:$A,$A5680,$B:$B,$B5680,$G:$G,"CDU",$J:$J,"PLANNED")&gt;0,"tied","standalone"),"")</f>
        <v/>
      </c>
    </row>
    <row r="5681" spans="1:14">
      <c r="A5681" s="6">
        <v>2025</v>
      </c>
      <c r="B5681" s="6">
        <v>4</v>
      </c>
      <c r="C5681" s="6" t="s">
        <v>63</v>
      </c>
      <c r="D5681" s="6" t="s">
        <v>461</v>
      </c>
      <c r="E5681" s="6" t="s">
        <v>419</v>
      </c>
      <c r="F5681" s="6" t="str">
        <f>IF($M5681="PADD I","PADD 1",IF($M5681="PADD II","PADD 2",IF($M5681="PADD III","PADD 3",IF($M5681="PADD IV","PADD 4",IF($M5681="PADD V","PADD 5","")))))</f>
        <v>PADD 1</v>
      </c>
      <c r="G5681" s="6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6" t="s">
        <v>471</v>
      </c>
      <c r="I5681" s="6" t="s">
        <v>936</v>
      </c>
      <c r="J5681" s="6" t="s">
        <v>394</v>
      </c>
      <c r="K5681" s="10">
        <v>6.305</v>
      </c>
      <c r="L5681" s="10">
        <v>6.5</v>
      </c>
      <c r="M5681" s="6" t="s">
        <v>463</v>
      </c>
      <c r="N5681" s="6" t="str">
        <f>IF(OR($G5681="FCC",$G5681="Hydrocracker",$G5681="Reformer"),IF(COUNTIFS($D:$D,$D5681,$A:$A,$A5681,$B:$B,$B5681,$G:$G,"CDU",$J:$J,"PLANNED")&gt;0,"tied","standalone"),"")</f>
        <v>tied</v>
      </c>
    </row>
    <row r="5682" spans="1:14">
      <c r="A5682" s="6">
        <v>2025</v>
      </c>
      <c r="B5682" s="6">
        <v>4</v>
      </c>
      <c r="C5682" s="6" t="s">
        <v>63</v>
      </c>
      <c r="D5682" s="6" t="s">
        <v>55</v>
      </c>
      <c r="E5682" s="6" t="s">
        <v>906</v>
      </c>
      <c r="F5682" s="6" t="str">
        <f>IF($M5682="PADD I","PADD 1",IF($M5682="PADD II","PADD 2",IF($M5682="PADD III","PADD 3",IF($M5682="PADD IV","PADD 4",IF($M5682="PADD V","PADD 5","")))))</f>
        <v>PADD 5</v>
      </c>
      <c r="G5682" s="6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6" t="s">
        <v>39</v>
      </c>
      <c r="I5682" s="6" t="s">
        <v>907</v>
      </c>
      <c r="J5682" s="6" t="s">
        <v>398</v>
      </c>
      <c r="K5682" s="10">
        <v>6</v>
      </c>
      <c r="L5682" s="10">
        <v>60</v>
      </c>
      <c r="M5682" s="6" t="s">
        <v>436</v>
      </c>
      <c r="N5682" s="6">
        <f>IF(OR($G5682="FCC",$G5682="Hydrocracker",$G5682="Reformer"),IF(COUNTIFS($D:$D,$D5682,$A:$A,$A5682,$B:$B,$B5682,$G:$G,"CDU",$J:$J,"PLANNED")&gt;0,"tied","standalone"),"")</f>
        <v/>
      </c>
    </row>
    <row r="5683" spans="1:14">
      <c r="A5683" s="6">
        <v>2025</v>
      </c>
      <c r="B5683" s="6">
        <v>4</v>
      </c>
      <c r="C5683" s="6" t="s">
        <v>63</v>
      </c>
      <c r="D5683" s="6" t="s">
        <v>851</v>
      </c>
      <c r="E5683" s="6" t="s">
        <v>829</v>
      </c>
      <c r="F5683" s="6" t="str">
        <f>IF($M5683="PADD I","PADD 1",IF($M5683="PADD II","PADD 2",IF($M5683="PADD III","PADD 3",IF($M5683="PADD IV","PADD 4",IF($M5683="PADD V","PADD 5","")))))</f>
        <v>PADD 2</v>
      </c>
      <c r="G5683" s="6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6" t="s">
        <v>510</v>
      </c>
      <c r="I5683" s="6" t="s">
        <v>511</v>
      </c>
      <c r="J5683" s="6" t="s">
        <v>398</v>
      </c>
      <c r="K5683" s="10">
        <v>6</v>
      </c>
      <c r="L5683" s="10">
        <v>6</v>
      </c>
      <c r="M5683" s="6" t="s">
        <v>425</v>
      </c>
      <c r="N5683" s="6">
        <f>IF(OR($G5683="FCC",$G5683="Hydrocracker",$G5683="Reformer"),IF(COUNTIFS($D:$D,$D5683,$A:$A,$A5683,$B:$B,$B5683,$G:$G,"CDU",$J:$J,"PLANNED")&gt;0,"tied","standalone"),"")</f>
        <v/>
      </c>
    </row>
    <row r="5684" spans="1:14">
      <c r="A5684" s="6">
        <v>2025</v>
      </c>
      <c r="B5684" s="6">
        <v>4</v>
      </c>
      <c r="C5684" s="6" t="s">
        <v>63</v>
      </c>
      <c r="D5684" s="6" t="s">
        <v>680</v>
      </c>
      <c r="E5684" s="6" t="s">
        <v>541</v>
      </c>
      <c r="F5684" s="6" t="str">
        <f>IF($M5684="PADD I","PADD 1",IF($M5684="PADD II","PADD 2",IF($M5684="PADD III","PADD 3",IF($M5684="PADD IV","PADD 4",IF($M5684="PADD V","PADD 5","")))))</f>
        <v>PADD 3</v>
      </c>
      <c r="G5684" s="6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6" t="s">
        <v>44</v>
      </c>
      <c r="I5684" s="6" t="s">
        <v>514</v>
      </c>
      <c r="J5684" s="6" t="s">
        <v>394</v>
      </c>
      <c r="K5684" s="10">
        <v>6</v>
      </c>
      <c r="L5684" s="10">
        <v>12</v>
      </c>
      <c r="M5684" s="6" t="s">
        <v>421</v>
      </c>
      <c r="N5684" s="6">
        <f>IF(OR($G5684="FCC",$G5684="Hydrocracker",$G5684="Reformer"),IF(COUNTIFS($D:$D,$D5684,$A:$A,$A5684,$B:$B,$B5684,$G:$G,"CDU",$J:$J,"PLANNED")&gt;0,"tied","standalone"),"")</f>
        <v/>
      </c>
    </row>
    <row r="5685" spans="1:14">
      <c r="A5685" s="6">
        <v>2025</v>
      </c>
      <c r="B5685" s="6">
        <v>4</v>
      </c>
      <c r="C5685" s="6" t="s">
        <v>63</v>
      </c>
      <c r="D5685" s="6" t="s">
        <v>370</v>
      </c>
      <c r="E5685" s="6" t="s">
        <v>431</v>
      </c>
      <c r="F5685" s="6" t="str">
        <f>IF($M5685="PADD I","PADD 1",IF($M5685="PADD II","PADD 2",IF($M5685="PADD III","PADD 3",IF($M5685="PADD IV","PADD 4",IF($M5685="PADD V","PADD 5","")))))</f>
        <v>PADD 2</v>
      </c>
      <c r="G5685" s="6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6" t="s">
        <v>485</v>
      </c>
      <c r="I5685" s="6" t="s">
        <v>491</v>
      </c>
      <c r="J5685" s="6" t="s">
        <v>398</v>
      </c>
      <c r="K5685" s="10">
        <v>6</v>
      </c>
      <c r="L5685" s="10">
        <v>30</v>
      </c>
      <c r="M5685" s="6" t="s">
        <v>425</v>
      </c>
      <c r="N5685" s="6">
        <f>IF(OR($G5685="FCC",$G5685="Hydrocracker",$G5685="Reformer"),IF(COUNTIFS($D:$D,$D5685,$A:$A,$A5685,$B:$B,$B5685,$G:$G,"CDU",$J:$J,"PLANNED")&gt;0,"tied","standalone"),"")</f>
        <v/>
      </c>
    </row>
    <row r="5686" spans="1:14">
      <c r="A5686" s="6">
        <v>2025</v>
      </c>
      <c r="B5686" s="6">
        <v>4</v>
      </c>
      <c r="C5686" s="6" t="s">
        <v>63</v>
      </c>
      <c r="D5686" s="6" t="s">
        <v>41</v>
      </c>
      <c r="E5686" s="6" t="s">
        <v>786</v>
      </c>
      <c r="F5686" s="6" t="str">
        <f>IF($M5686="PADD I","PADD 1",IF($M5686="PADD II","PADD 2",IF($M5686="PADD III","PADD 3",IF($M5686="PADD IV","PADD 4",IF($M5686="PADD V","PADD 5","")))))</f>
        <v>PADD 1</v>
      </c>
      <c r="G5686" s="6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6" t="s">
        <v>44</v>
      </c>
      <c r="I5686" s="6" t="s">
        <v>1061</v>
      </c>
      <c r="J5686" s="6" t="s">
        <v>394</v>
      </c>
      <c r="K5686" s="10">
        <v>5.98</v>
      </c>
      <c r="L5686" s="10">
        <v>26</v>
      </c>
      <c r="M5686" s="6" t="s">
        <v>463</v>
      </c>
      <c r="N5686" s="6">
        <f>IF(OR($G5686="FCC",$G5686="Hydrocracker",$G5686="Reformer"),IF(COUNTIFS($D:$D,$D5686,$A:$A,$A5686,$B:$B,$B5686,$G:$G,"CDU",$J:$J,"PLANNED")&gt;0,"tied","standalone"),"")</f>
        <v/>
      </c>
    </row>
    <row r="5687" spans="1:14">
      <c r="A5687" s="6">
        <v>2025</v>
      </c>
      <c r="B5687" s="6">
        <v>4</v>
      </c>
      <c r="C5687" s="6" t="s">
        <v>63</v>
      </c>
      <c r="D5687" s="6" t="s">
        <v>458</v>
      </c>
      <c r="E5687" s="6" t="s">
        <v>459</v>
      </c>
      <c r="F5687" s="6" t="str">
        <f>IF($M5687="PADD I","PADD 1",IF($M5687="PADD II","PADD 2",IF($M5687="PADD III","PADD 3",IF($M5687="PADD IV","PADD 4",IF($M5687="PADD V","PADD 5","")))))</f>
        <v>PADD 3</v>
      </c>
      <c r="G5687" s="6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6" t="s">
        <v>39</v>
      </c>
      <c r="I5687" s="6" t="s">
        <v>460</v>
      </c>
      <c r="J5687" s="6" t="s">
        <v>394</v>
      </c>
      <c r="K5687" s="10">
        <v>5.6</v>
      </c>
      <c r="L5687" s="10">
        <v>80</v>
      </c>
      <c r="M5687" s="6" t="s">
        <v>421</v>
      </c>
      <c r="N5687" s="6">
        <f>IF(OR($G5687="FCC",$G5687="Hydrocracker",$G5687="Reformer"),IF(COUNTIFS($D:$D,$D5687,$A:$A,$A5687,$B:$B,$B5687,$G:$G,"CDU",$J:$J,"PLANNED")&gt;0,"tied","standalone"),"")</f>
        <v/>
      </c>
    </row>
    <row r="5688" spans="1:14">
      <c r="A5688" s="6">
        <v>2025</v>
      </c>
      <c r="B5688" s="6">
        <v>4</v>
      </c>
      <c r="C5688" s="6" t="s">
        <v>63</v>
      </c>
      <c r="D5688" s="6" t="s">
        <v>851</v>
      </c>
      <c r="E5688" s="6" t="s">
        <v>829</v>
      </c>
      <c r="F5688" s="6" t="str">
        <f>IF($M5688="PADD I","PADD 1",IF($M5688="PADD II","PADD 2",IF($M5688="PADD III","PADD 3",IF($M5688="PADD IV","PADD 4",IF($M5688="PADD V","PADD 5","")))))</f>
        <v>PADD 2</v>
      </c>
      <c r="G5688" s="6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6" t="s">
        <v>485</v>
      </c>
      <c r="I5688" s="6" t="s">
        <v>1229</v>
      </c>
      <c r="J5688" s="6" t="s">
        <v>394</v>
      </c>
      <c r="K5688" s="10">
        <v>5.52</v>
      </c>
      <c r="L5688" s="10">
        <v>24</v>
      </c>
      <c r="M5688" s="6" t="s">
        <v>425</v>
      </c>
      <c r="N5688" s="6">
        <f>IF(OR($G5688="FCC",$G5688="Hydrocracker",$G5688="Reformer"),IF(COUNTIFS($D:$D,$D5688,$A:$A,$A5688,$B:$B,$B5688,$G:$G,"CDU",$J:$J,"PLANNED")&gt;0,"tied","standalone"),"")</f>
        <v/>
      </c>
    </row>
    <row r="5689" spans="1:14">
      <c r="A5689" s="6">
        <v>2025</v>
      </c>
      <c r="B5689" s="6">
        <v>4</v>
      </c>
      <c r="C5689" s="6" t="s">
        <v>63</v>
      </c>
      <c r="D5689" s="6" t="s">
        <v>1336</v>
      </c>
      <c r="E5689" s="6" t="s">
        <v>1337</v>
      </c>
      <c r="F5689" s="6" t="str">
        <f>IF($M5689="PADD I","PADD 1",IF($M5689="PADD II","PADD 2",IF($M5689="PADD III","PADD 3",IF($M5689="PADD IV","PADD 4",IF($M5689="PADD V","PADD 5","")))))</f>
        <v>PADD 4</v>
      </c>
      <c r="G5689" s="6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6" t="s">
        <v>44</v>
      </c>
      <c r="I5689" s="6" t="s">
        <v>1341</v>
      </c>
      <c r="J5689" s="6" t="s">
        <v>394</v>
      </c>
      <c r="K5689" s="10">
        <v>5.5</v>
      </c>
      <c r="L5689" s="10">
        <v>5.5</v>
      </c>
      <c r="M5689" s="6" t="s">
        <v>480</v>
      </c>
      <c r="N5689" s="6">
        <f>IF(OR($G5689="FCC",$G5689="Hydrocracker",$G5689="Reformer"),IF(COUNTIFS($D:$D,$D5689,$A:$A,$A5689,$B:$B,$B5689,$G:$G,"CDU",$J:$J,"PLANNED")&gt;0,"tied","standalone"),"")</f>
        <v/>
      </c>
    </row>
    <row r="5690" spans="1:14">
      <c r="A5690" s="6">
        <v>2025</v>
      </c>
      <c r="B5690" s="6">
        <v>4</v>
      </c>
      <c r="C5690" s="6" t="s">
        <v>63</v>
      </c>
      <c r="D5690" s="6" t="s">
        <v>1336</v>
      </c>
      <c r="E5690" s="6" t="s">
        <v>1337</v>
      </c>
      <c r="F5690" s="6" t="str">
        <f>IF($M5690="PADD I","PADD 1",IF($M5690="PADD II","PADD 2",IF($M5690="PADD III","PADD 3",IF($M5690="PADD IV","PADD 4",IF($M5690="PADD V","PADD 5","")))))</f>
        <v>PADD 4</v>
      </c>
      <c r="G5690" s="6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6" t="s">
        <v>426</v>
      </c>
      <c r="I5690" s="6" t="s">
        <v>106</v>
      </c>
      <c r="J5690" s="6" t="s">
        <v>394</v>
      </c>
      <c r="K5690" s="10">
        <v>5.5</v>
      </c>
      <c r="L5690" s="10">
        <v>5.5</v>
      </c>
      <c r="M5690" s="6" t="s">
        <v>480</v>
      </c>
      <c r="N5690" s="6" t="str">
        <f>IF(OR($G5690="FCC",$G5690="Hydrocracker",$G5690="Reformer"),IF(COUNTIFS($D:$D,$D5690,$A:$A,$A5690,$B:$B,$B5690,$G:$G,"CDU",$J:$J,"PLANNED")&gt;0,"tied","standalone"),"")</f>
        <v>standalone</v>
      </c>
    </row>
    <row r="5691" spans="1:14">
      <c r="A5691" s="6">
        <v>2025</v>
      </c>
      <c r="B5691" s="6">
        <v>4</v>
      </c>
      <c r="C5691" s="6" t="s">
        <v>63</v>
      </c>
      <c r="D5691" s="6" t="s">
        <v>461</v>
      </c>
      <c r="E5691" s="6" t="s">
        <v>419</v>
      </c>
      <c r="F5691" s="6" t="str">
        <f>IF($M5691="PADD I","PADD 1",IF($M5691="PADD II","PADD 2",IF($M5691="PADD III","PADD 3",IF($M5691="PADD IV","PADD 4",IF($M5691="PADD V","PADD 5","")))))</f>
        <v>PADD 1</v>
      </c>
      <c r="G5691" s="6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6" t="s">
        <v>510</v>
      </c>
      <c r="I5691" s="6" t="s">
        <v>616</v>
      </c>
      <c r="J5691" s="6" t="s">
        <v>394</v>
      </c>
      <c r="K5691" s="10">
        <v>5.335</v>
      </c>
      <c r="L5691" s="10">
        <v>5.5</v>
      </c>
      <c r="M5691" s="6" t="s">
        <v>463</v>
      </c>
      <c r="N5691" s="6">
        <f>IF(OR($G5691="FCC",$G5691="Hydrocracker",$G5691="Reformer"),IF(COUNTIFS($D:$D,$D5691,$A:$A,$A5691,$B:$B,$B5691,$G:$G,"CDU",$J:$J,"PLANNED")&gt;0,"tied","standalone"),"")</f>
        <v/>
      </c>
    </row>
    <row r="5692" spans="1:14">
      <c r="A5692" s="6">
        <v>2025</v>
      </c>
      <c r="B5692" s="6">
        <v>4</v>
      </c>
      <c r="C5692" s="6" t="s">
        <v>63</v>
      </c>
      <c r="D5692" s="6" t="s">
        <v>777</v>
      </c>
      <c r="E5692" s="6" t="s">
        <v>778</v>
      </c>
      <c r="F5692" s="6" t="str">
        <f>IF($M5692="PADD I","PADD 1",IF($M5692="PADD II","PADD 2",IF($M5692="PADD III","PADD 3",IF($M5692="PADD IV","PADD 4",IF($M5692="PADD V","PADD 5","")))))</f>
        <v>PADD 1</v>
      </c>
      <c r="G5692" s="6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6" t="s">
        <v>618</v>
      </c>
      <c r="I5692" s="6" t="s">
        <v>763</v>
      </c>
      <c r="J5692" s="6" t="s">
        <v>398</v>
      </c>
      <c r="K5692" s="10">
        <v>5</v>
      </c>
      <c r="L5692" s="10">
        <v>5</v>
      </c>
      <c r="M5692" s="6" t="s">
        <v>463</v>
      </c>
      <c r="N5692" s="6">
        <f>IF(OR($G5692="FCC",$G5692="Hydrocracker",$G5692="Reformer"),IF(COUNTIFS($D:$D,$D5692,$A:$A,$A5692,$B:$B,$B5692,$G:$G,"CDU",$J:$J,"PLANNED")&gt;0,"tied","standalone"),"")</f>
        <v/>
      </c>
    </row>
    <row r="5693" spans="1:14">
      <c r="A5693" s="6">
        <v>2025</v>
      </c>
      <c r="B5693" s="6">
        <v>4</v>
      </c>
      <c r="C5693" s="6" t="s">
        <v>63</v>
      </c>
      <c r="D5693" s="6" t="s">
        <v>52</v>
      </c>
      <c r="E5693" s="6" t="s">
        <v>441</v>
      </c>
      <c r="F5693" s="6" t="str">
        <f>IF($M5693="PADD I","PADD 1",IF($M5693="PADD II","PADD 2",IF($M5693="PADD III","PADD 3",IF($M5693="PADD IV","PADD 4",IF($M5693="PADD V","PADD 5","")))))</f>
        <v>PADD 5</v>
      </c>
      <c r="G5693" s="6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6" t="s">
        <v>44</v>
      </c>
      <c r="I5693" s="6" t="s">
        <v>909</v>
      </c>
      <c r="J5693" s="6" t="s">
        <v>394</v>
      </c>
      <c r="K5693" s="10">
        <v>4.9</v>
      </c>
      <c r="L5693" s="10">
        <v>70</v>
      </c>
      <c r="M5693" s="6" t="s">
        <v>436</v>
      </c>
      <c r="N5693" s="6">
        <f>IF(OR($G5693="FCC",$G5693="Hydrocracker",$G5693="Reformer"),IF(COUNTIFS($D:$D,$D5693,$A:$A,$A5693,$B:$B,$B5693,$G:$G,"CDU",$J:$J,"PLANNED")&gt;0,"tied","standalone"),"")</f>
        <v/>
      </c>
    </row>
    <row r="5694" spans="1:14">
      <c r="A5694" s="6">
        <v>2025</v>
      </c>
      <c r="B5694" s="6">
        <v>4</v>
      </c>
      <c r="C5694" s="6" t="s">
        <v>63</v>
      </c>
      <c r="D5694" s="6" t="s">
        <v>487</v>
      </c>
      <c r="E5694" s="6" t="s">
        <v>488</v>
      </c>
      <c r="F5694" s="6" t="str">
        <f>IF($M5694="PADD I","PADD 1",IF($M5694="PADD II","PADD 2",IF($M5694="PADD III","PADD 3",IF($M5694="PADD IV","PADD 4",IF($M5694="PADD V","PADD 5","")))))</f>
        <v>PADD 4</v>
      </c>
      <c r="G5694" s="6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6" t="s">
        <v>44</v>
      </c>
      <c r="I5694" s="6" t="s">
        <v>543</v>
      </c>
      <c r="J5694" s="6" t="s">
        <v>394</v>
      </c>
      <c r="K5694" s="10">
        <v>4.83</v>
      </c>
      <c r="L5694" s="10">
        <v>21</v>
      </c>
      <c r="M5694" s="6" t="s">
        <v>480</v>
      </c>
      <c r="N5694" s="6">
        <f>IF(OR($G5694="FCC",$G5694="Hydrocracker",$G5694="Reformer"),IF(COUNTIFS($D:$D,$D5694,$A:$A,$A5694,$B:$B,$B5694,$G:$G,"CDU",$J:$J,"PLANNED")&gt;0,"tied","standalone"),"")</f>
        <v/>
      </c>
    </row>
    <row r="5695" spans="1:14">
      <c r="A5695" s="6">
        <v>2025</v>
      </c>
      <c r="B5695" s="6">
        <v>4</v>
      </c>
      <c r="C5695" s="6" t="s">
        <v>63</v>
      </c>
      <c r="D5695" s="6" t="s">
        <v>1093</v>
      </c>
      <c r="E5695" s="6" t="s">
        <v>438</v>
      </c>
      <c r="F5695" s="6" t="str">
        <f>IF($M5695="PADD I","PADD 1",IF($M5695="PADD II","PADD 2",IF($M5695="PADD III","PADD 3",IF($M5695="PADD IV","PADD 4",IF($M5695="PADD V","PADD 5","")))))</f>
        <v>PADD 2</v>
      </c>
      <c r="G5695" s="6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6" t="s">
        <v>44</v>
      </c>
      <c r="I5695" s="6" t="s">
        <v>1102</v>
      </c>
      <c r="J5695" s="6" t="s">
        <v>394</v>
      </c>
      <c r="K5695" s="10">
        <v>4.76</v>
      </c>
      <c r="L5695" s="10">
        <v>23.8</v>
      </c>
      <c r="M5695" s="6" t="s">
        <v>425</v>
      </c>
      <c r="N5695" s="6">
        <f>IF(OR($G5695="FCC",$G5695="Hydrocracker",$G5695="Reformer"),IF(COUNTIFS($D:$D,$D5695,$A:$A,$A5695,$B:$B,$B5695,$G:$G,"CDU",$J:$J,"PLANNED")&gt;0,"tied","standalone"),"")</f>
        <v/>
      </c>
    </row>
    <row r="5696" spans="1:14">
      <c r="A5696" s="6">
        <v>2025</v>
      </c>
      <c r="B5696" s="6">
        <v>4</v>
      </c>
      <c r="C5696" s="6" t="s">
        <v>63</v>
      </c>
      <c r="D5696" s="6" t="s">
        <v>777</v>
      </c>
      <c r="E5696" s="6" t="s">
        <v>778</v>
      </c>
      <c r="F5696" s="6" t="str">
        <f>IF($M5696="PADD I","PADD 1",IF($M5696="PADD II","PADD 2",IF($M5696="PADD III","PADD 3",IF($M5696="PADD IV","PADD 4",IF($M5696="PADD V","PADD 5","")))))</f>
        <v>PADD 1</v>
      </c>
      <c r="G5696" s="6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6" t="s">
        <v>44</v>
      </c>
      <c r="I5696" s="6" t="s">
        <v>802</v>
      </c>
      <c r="J5696" s="6" t="s">
        <v>398</v>
      </c>
      <c r="K5696" s="10">
        <v>4.6</v>
      </c>
      <c r="L5696" s="10">
        <v>4.6</v>
      </c>
      <c r="M5696" s="6" t="s">
        <v>463</v>
      </c>
      <c r="N5696" s="6">
        <f>IF(OR($G5696="FCC",$G5696="Hydrocracker",$G5696="Reformer"),IF(COUNTIFS($D:$D,$D5696,$A:$A,$A5696,$B:$B,$B5696,$G:$G,"CDU",$J:$J,"PLANNED")&gt;0,"tied","standalone"),"")</f>
        <v/>
      </c>
    </row>
    <row r="5697" spans="1:14">
      <c r="A5697" s="6">
        <v>2025</v>
      </c>
      <c r="B5697" s="6">
        <v>4</v>
      </c>
      <c r="C5697" s="6" t="s">
        <v>63</v>
      </c>
      <c r="D5697" s="6" t="s">
        <v>777</v>
      </c>
      <c r="E5697" s="6" t="s">
        <v>778</v>
      </c>
      <c r="F5697" s="6" t="str">
        <f>IF($M5697="PADD I","PADD 1",IF($M5697="PADD II","PADD 2",IF($M5697="PADD III","PADD 3",IF($M5697="PADD IV","PADD 4",IF($M5697="PADD V","PADD 5","")))))</f>
        <v>PADD 1</v>
      </c>
      <c r="G5697" s="6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6" t="s">
        <v>687</v>
      </c>
      <c r="I5697" s="6" t="s">
        <v>1350</v>
      </c>
      <c r="J5697" s="6" t="s">
        <v>398</v>
      </c>
      <c r="K5697" s="10">
        <v>4.5</v>
      </c>
      <c r="L5697" s="10">
        <v>4.5</v>
      </c>
      <c r="M5697" s="6" t="s">
        <v>463</v>
      </c>
      <c r="N5697" s="6">
        <f>IF(OR($G5697="FCC",$G5697="Hydrocracker",$G5697="Reformer"),IF(COUNTIFS($D:$D,$D5697,$A:$A,$A5697,$B:$B,$B5697,$G:$G,"CDU",$J:$J,"PLANNED")&gt;0,"tied","standalone"),"")</f>
        <v/>
      </c>
    </row>
    <row r="5698" spans="1:14">
      <c r="A5698" s="6">
        <v>2025</v>
      </c>
      <c r="B5698" s="6">
        <v>4</v>
      </c>
      <c r="C5698" s="6" t="s">
        <v>63</v>
      </c>
      <c r="D5698" s="6" t="s">
        <v>777</v>
      </c>
      <c r="E5698" s="6" t="s">
        <v>778</v>
      </c>
      <c r="F5698" s="6" t="str">
        <f>IF($M5698="PADD I","PADD 1",IF($M5698="PADD II","PADD 2",IF($M5698="PADD III","PADD 3",IF($M5698="PADD IV","PADD 4",IF($M5698="PADD V","PADD 5","")))))</f>
        <v>PADD 1</v>
      </c>
      <c r="G5698" s="6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6" t="s">
        <v>687</v>
      </c>
      <c r="I5698" s="6" t="s">
        <v>1351</v>
      </c>
      <c r="J5698" s="6" t="s">
        <v>398</v>
      </c>
      <c r="K5698" s="10">
        <v>4.5</v>
      </c>
      <c r="L5698" s="10">
        <v>4.5</v>
      </c>
      <c r="M5698" s="6" t="s">
        <v>463</v>
      </c>
      <c r="N5698" s="6">
        <f>IF(OR($G5698="FCC",$G5698="Hydrocracker",$G5698="Reformer"),IF(COUNTIFS($D:$D,$D5698,$A:$A,$A5698,$B:$B,$B5698,$G:$G,"CDU",$J:$J,"PLANNED")&gt;0,"tied","standalone"),"")</f>
        <v/>
      </c>
    </row>
    <row r="5699" spans="1:14">
      <c r="A5699" s="6">
        <v>2025</v>
      </c>
      <c r="B5699" s="6">
        <v>4</v>
      </c>
      <c r="C5699" s="6" t="s">
        <v>63</v>
      </c>
      <c r="D5699" s="6" t="s">
        <v>773</v>
      </c>
      <c r="E5699" s="6" t="s">
        <v>774</v>
      </c>
      <c r="F5699" s="6" t="str">
        <f>IF($M5699="PADD I","PADD 1",IF($M5699="PADD II","PADD 2",IF($M5699="PADD III","PADD 3",IF($M5699="PADD IV","PADD 4",IF($M5699="PADD V","PADD 5","")))))</f>
        <v>PADD 4</v>
      </c>
      <c r="G5699" s="6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6" t="s">
        <v>510</v>
      </c>
      <c r="I5699" s="6" t="s">
        <v>666</v>
      </c>
      <c r="J5699" s="6" t="s">
        <v>398</v>
      </c>
      <c r="K5699" s="10">
        <v>4.5</v>
      </c>
      <c r="L5699" s="10">
        <v>4.5</v>
      </c>
      <c r="M5699" s="6" t="s">
        <v>480</v>
      </c>
      <c r="N5699" s="6">
        <f>IF(OR($G5699="FCC",$G5699="Hydrocracker",$G5699="Reformer"),IF(COUNTIFS($D:$D,$D5699,$A:$A,$A5699,$B:$B,$B5699,$G:$G,"CDU",$J:$J,"PLANNED")&gt;0,"tied","standalone"),"")</f>
        <v/>
      </c>
    </row>
    <row r="5700" spans="1:14">
      <c r="A5700" s="6">
        <v>2025</v>
      </c>
      <c r="B5700" s="6">
        <v>4</v>
      </c>
      <c r="C5700" s="6" t="s">
        <v>63</v>
      </c>
      <c r="D5700" s="6" t="s">
        <v>777</v>
      </c>
      <c r="E5700" s="6" t="s">
        <v>778</v>
      </c>
      <c r="F5700" s="6" t="str">
        <f>IF($M5700="PADD I","PADD 1",IF($M5700="PADD II","PADD 2",IF($M5700="PADD III","PADD 3",IF($M5700="PADD IV","PADD 4",IF($M5700="PADD V","PADD 5","")))))</f>
        <v>PADD 1</v>
      </c>
      <c r="G5700" s="6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6" t="s">
        <v>494</v>
      </c>
      <c r="I5700" s="6" t="s">
        <v>803</v>
      </c>
      <c r="J5700" s="6" t="s">
        <v>398</v>
      </c>
      <c r="K5700" s="10">
        <v>4.3</v>
      </c>
      <c r="L5700" s="10">
        <v>4.3</v>
      </c>
      <c r="M5700" s="6" t="s">
        <v>463</v>
      </c>
      <c r="N5700" s="6" t="str">
        <f>IF(OR($G5700="FCC",$G5700="Hydrocracker",$G5700="Reformer"),IF(COUNTIFS($D:$D,$D5700,$A:$A,$A5700,$B:$B,$B5700,$G:$G,"CDU",$J:$J,"PLANNED")&gt;0,"tied","standalone"),"")</f>
        <v>tied</v>
      </c>
    </row>
    <row r="5701" spans="1:14">
      <c r="A5701" s="6">
        <v>2025</v>
      </c>
      <c r="B5701" s="6">
        <v>4</v>
      </c>
      <c r="C5701" s="6" t="s">
        <v>63</v>
      </c>
      <c r="D5701" s="6" t="s">
        <v>853</v>
      </c>
      <c r="E5701" s="6" t="s">
        <v>438</v>
      </c>
      <c r="F5701" s="6" t="str">
        <f>IF($M5701="PADD I","PADD 1",IF($M5701="PADD II","PADD 2",IF($M5701="PADD III","PADD 3",IF($M5701="PADD IV","PADD 4",IF($M5701="PADD V","PADD 5","")))))</f>
        <v>PADD 2</v>
      </c>
      <c r="G5701" s="6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6" t="s">
        <v>471</v>
      </c>
      <c r="I5701" s="6" t="s">
        <v>609</v>
      </c>
      <c r="J5701" s="6" t="s">
        <v>394</v>
      </c>
      <c r="K5701" s="10">
        <v>4.1625</v>
      </c>
      <c r="L5701" s="10">
        <v>11.25</v>
      </c>
      <c r="M5701" s="6" t="s">
        <v>425</v>
      </c>
      <c r="N5701" s="6" t="str">
        <f>IF(OR($G5701="FCC",$G5701="Hydrocracker",$G5701="Reformer"),IF(COUNTIFS($D:$D,$D5701,$A:$A,$A5701,$B:$B,$B5701,$G:$G,"CDU",$J:$J,"PLANNED")&gt;0,"tied","standalone"),"")</f>
        <v>standalone</v>
      </c>
    </row>
    <row r="5702" spans="1:14">
      <c r="A5702" s="6">
        <v>2025</v>
      </c>
      <c r="B5702" s="6">
        <v>4</v>
      </c>
      <c r="C5702" s="6" t="s">
        <v>63</v>
      </c>
      <c r="D5702" s="6" t="s">
        <v>682</v>
      </c>
      <c r="E5702" s="6" t="s">
        <v>683</v>
      </c>
      <c r="F5702" s="6" t="str">
        <f>IF($M5702="PADD I","PADD 1",IF($M5702="PADD II","PADD 2",IF($M5702="PADD III","PADD 3",IF($M5702="PADD IV","PADD 4",IF($M5702="PADD V","PADD 5","")))))</f>
        <v>PADD 4</v>
      </c>
      <c r="G5702" s="6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6" t="s">
        <v>426</v>
      </c>
      <c r="I5702" s="6" t="s">
        <v>684</v>
      </c>
      <c r="J5702" s="6" t="s">
        <v>394</v>
      </c>
      <c r="K5702" s="10">
        <v>4.125</v>
      </c>
      <c r="L5702" s="10">
        <v>12.5</v>
      </c>
      <c r="M5702" s="6" t="s">
        <v>480</v>
      </c>
      <c r="N5702" s="6" t="str">
        <f>IF(OR($G5702="FCC",$G5702="Hydrocracker",$G5702="Reformer"),IF(COUNTIFS($D:$D,$D5702,$A:$A,$A5702,$B:$B,$B5702,$G:$G,"CDU",$J:$J,"PLANNED")&gt;0,"tied","standalone"),"")</f>
        <v>standalone</v>
      </c>
    </row>
    <row r="5703" spans="1:14">
      <c r="A5703" s="6">
        <v>2025</v>
      </c>
      <c r="B5703" s="6">
        <v>4</v>
      </c>
      <c r="C5703" s="6" t="s">
        <v>63</v>
      </c>
      <c r="D5703" s="6" t="s">
        <v>581</v>
      </c>
      <c r="E5703" s="6" t="s">
        <v>582</v>
      </c>
      <c r="F5703" s="6" t="str">
        <f>IF($M5703="PADD I","PADD 1",IF($M5703="PADD II","PADD 2",IF($M5703="PADD III","PADD 3",IF($M5703="PADD IV","PADD 4",IF($M5703="PADD V","PADD 5","")))))</f>
        <v>PADD 5</v>
      </c>
      <c r="G5703" s="6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6" t="s">
        <v>494</v>
      </c>
      <c r="I5703" s="6" t="s">
        <v>14</v>
      </c>
      <c r="J5703" s="6" t="s">
        <v>394</v>
      </c>
      <c r="K5703" s="10">
        <v>4.08</v>
      </c>
      <c r="L5703" s="10">
        <v>24</v>
      </c>
      <c r="M5703" s="6" t="s">
        <v>436</v>
      </c>
      <c r="N5703" s="6" t="str">
        <f>IF(OR($G5703="FCC",$G5703="Hydrocracker",$G5703="Reformer"),IF(COUNTIFS($D:$D,$D5703,$A:$A,$A5703,$B:$B,$B5703,$G:$G,"CDU",$J:$J,"PLANNED")&gt;0,"tied","standalone"),"")</f>
        <v>standalone</v>
      </c>
    </row>
    <row r="5704" spans="1:14">
      <c r="A5704" s="6">
        <v>2025</v>
      </c>
      <c r="B5704" s="6">
        <v>4</v>
      </c>
      <c r="C5704" s="6" t="s">
        <v>63</v>
      </c>
      <c r="D5704" s="6" t="s">
        <v>422</v>
      </c>
      <c r="E5704" s="6" t="s">
        <v>423</v>
      </c>
      <c r="F5704" s="6" t="str">
        <f>IF($M5704="PADD I","PADD 1",IF($M5704="PADD II","PADD 2",IF($M5704="PADD III","PADD 3",IF($M5704="PADD IV","PADD 4",IF($M5704="PADD V","PADD 5","")))))</f>
        <v>PADD 2</v>
      </c>
      <c r="G5704" s="6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6" t="s">
        <v>485</v>
      </c>
      <c r="I5704" s="6" t="s">
        <v>634</v>
      </c>
      <c r="J5704" s="6" t="s">
        <v>394</v>
      </c>
      <c r="K5704" s="10">
        <v>3.975</v>
      </c>
      <c r="L5704" s="10">
        <v>7.5</v>
      </c>
      <c r="M5704" s="6" t="s">
        <v>425</v>
      </c>
      <c r="N5704" s="6">
        <f>IF(OR($G5704="FCC",$G5704="Hydrocracker",$G5704="Reformer"),IF(COUNTIFS($D:$D,$D5704,$A:$A,$A5704,$B:$B,$B5704,$G:$G,"CDU",$J:$J,"PLANNED")&gt;0,"tied","standalone"),"")</f>
        <v/>
      </c>
    </row>
    <row r="5705" spans="1:14">
      <c r="A5705" s="6">
        <v>2025</v>
      </c>
      <c r="B5705" s="6">
        <v>4</v>
      </c>
      <c r="C5705" s="6" t="s">
        <v>63</v>
      </c>
      <c r="D5705" s="6" t="s">
        <v>445</v>
      </c>
      <c r="E5705" s="6" t="s">
        <v>446</v>
      </c>
      <c r="F5705" s="6" t="str">
        <f>IF($M5705="PADD I","PADD 1",IF($M5705="PADD II","PADD 2",IF($M5705="PADD III","PADD 3",IF($M5705="PADD IV","PADD 4",IF($M5705="PADD V","PADD 5","")))))</f>
        <v>PADD 3</v>
      </c>
      <c r="G5705" s="6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6" t="s">
        <v>471</v>
      </c>
      <c r="I5705" s="6" t="s">
        <v>590</v>
      </c>
      <c r="J5705" s="6" t="s">
        <v>394</v>
      </c>
      <c r="K5705" s="10">
        <v>3.9</v>
      </c>
      <c r="L5705" s="10">
        <v>30</v>
      </c>
      <c r="M5705" s="6" t="s">
        <v>421</v>
      </c>
      <c r="N5705" s="6" t="str">
        <f>IF(OR($G5705="FCC",$G5705="Hydrocracker",$G5705="Reformer"),IF(COUNTIFS($D:$D,$D5705,$A:$A,$A5705,$B:$B,$B5705,$G:$G,"CDU",$J:$J,"PLANNED")&gt;0,"tied","standalone"),"")</f>
        <v>standalone</v>
      </c>
    </row>
    <row r="5706" spans="1:14">
      <c r="A5706" s="6">
        <v>2025</v>
      </c>
      <c r="B5706" s="6">
        <v>4</v>
      </c>
      <c r="C5706" s="6" t="s">
        <v>63</v>
      </c>
      <c r="D5706" s="6" t="s">
        <v>461</v>
      </c>
      <c r="E5706" s="6" t="s">
        <v>419</v>
      </c>
      <c r="F5706" s="6" t="str">
        <f>IF($M5706="PADD I","PADD 1",IF($M5706="PADD II","PADD 2",IF($M5706="PADD III","PADD 3",IF($M5706="PADD IV","PADD 4",IF($M5706="PADD V","PADD 5","")))))</f>
        <v>PADD 1</v>
      </c>
      <c r="G5706" s="6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6" t="s">
        <v>39</v>
      </c>
      <c r="I5706" s="6" t="s">
        <v>579</v>
      </c>
      <c r="J5706" s="6" t="s">
        <v>398</v>
      </c>
      <c r="K5706" s="10">
        <v>3.885</v>
      </c>
      <c r="L5706" s="10">
        <v>129.5</v>
      </c>
      <c r="M5706" s="6" t="s">
        <v>463</v>
      </c>
      <c r="N5706" s="6">
        <f>IF(OR($G5706="FCC",$G5706="Hydrocracker",$G5706="Reformer"),IF(COUNTIFS($D:$D,$D5706,$A:$A,$A5706,$B:$B,$B5706,$G:$G,"CDU",$J:$J,"PLANNED")&gt;0,"tied","standalone"),"")</f>
        <v/>
      </c>
    </row>
    <row r="5707" spans="1:14">
      <c r="A5707" s="6">
        <v>2025</v>
      </c>
      <c r="B5707" s="6">
        <v>4</v>
      </c>
      <c r="C5707" s="6" t="s">
        <v>63</v>
      </c>
      <c r="D5707" s="6" t="s">
        <v>461</v>
      </c>
      <c r="E5707" s="6" t="s">
        <v>419</v>
      </c>
      <c r="F5707" s="6" t="str">
        <f>IF($M5707="PADD I","PADD 1",IF($M5707="PADD II","PADD 2",IF($M5707="PADD III","PADD 3",IF($M5707="PADD IV","PADD 4",IF($M5707="PADD V","PADD 5","")))))</f>
        <v>PADD 1</v>
      </c>
      <c r="G5707" s="6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6" t="s">
        <v>39</v>
      </c>
      <c r="I5707" s="6" t="s">
        <v>462</v>
      </c>
      <c r="J5707" s="6" t="s">
        <v>398</v>
      </c>
      <c r="K5707" s="10">
        <v>3.87</v>
      </c>
      <c r="L5707" s="10">
        <v>129</v>
      </c>
      <c r="M5707" s="6" t="s">
        <v>463</v>
      </c>
      <c r="N5707" s="6">
        <f>IF(OR($G5707="FCC",$G5707="Hydrocracker",$G5707="Reformer"),IF(COUNTIFS($D:$D,$D5707,$A:$A,$A5707,$B:$B,$B5707,$G:$G,"CDU",$J:$J,"PLANNED")&gt;0,"tied","standalone"),"")</f>
        <v/>
      </c>
    </row>
    <row r="5708" spans="1:14">
      <c r="A5708" s="6">
        <v>2025</v>
      </c>
      <c r="B5708" s="6">
        <v>4</v>
      </c>
      <c r="C5708" s="6" t="s">
        <v>63</v>
      </c>
      <c r="D5708" s="6" t="s">
        <v>370</v>
      </c>
      <c r="E5708" s="6" t="s">
        <v>431</v>
      </c>
      <c r="F5708" s="6" t="str">
        <f>IF($M5708="PADD I","PADD 1",IF($M5708="PADD II","PADD 2",IF($M5708="PADD III","PADD 3",IF($M5708="PADD IV","PADD 4",IF($M5708="PADD V","PADD 5","")))))</f>
        <v>PADD 2</v>
      </c>
      <c r="G5708" s="6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6" t="s">
        <v>44</v>
      </c>
      <c r="I5708" s="6" t="s">
        <v>1215</v>
      </c>
      <c r="J5708" s="6" t="s">
        <v>398</v>
      </c>
      <c r="K5708" s="10">
        <v>3.8</v>
      </c>
      <c r="L5708" s="10">
        <v>19</v>
      </c>
      <c r="M5708" s="6" t="s">
        <v>425</v>
      </c>
      <c r="N5708" s="6">
        <f>IF(OR($G5708="FCC",$G5708="Hydrocracker",$G5708="Reformer"),IF(COUNTIFS($D:$D,$D5708,$A:$A,$A5708,$B:$B,$B5708,$G:$G,"CDU",$J:$J,"PLANNED")&gt;0,"tied","standalone"),"")</f>
        <v/>
      </c>
    </row>
    <row r="5709" spans="1:14">
      <c r="A5709" s="6">
        <v>2025</v>
      </c>
      <c r="B5709" s="6">
        <v>4</v>
      </c>
      <c r="C5709" s="6" t="s">
        <v>63</v>
      </c>
      <c r="D5709" s="6" t="s">
        <v>1113</v>
      </c>
      <c r="E5709" s="6" t="s">
        <v>438</v>
      </c>
      <c r="F5709" s="6" t="str">
        <f>IF($M5709="PADD I","PADD 1",IF($M5709="PADD II","PADD 2",IF($M5709="PADD III","PADD 3",IF($M5709="PADD IV","PADD 4",IF($M5709="PADD V","PADD 5","")))))</f>
        <v>PADD 2</v>
      </c>
      <c r="G5709" s="6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6" t="s">
        <v>485</v>
      </c>
      <c r="I5709" s="6" t="s">
        <v>491</v>
      </c>
      <c r="J5709" s="6" t="s">
        <v>394</v>
      </c>
      <c r="K5709" s="10">
        <v>3.64</v>
      </c>
      <c r="L5709" s="10">
        <v>28</v>
      </c>
      <c r="M5709" s="6" t="s">
        <v>425</v>
      </c>
      <c r="N5709" s="6">
        <f>IF(OR($G5709="FCC",$G5709="Hydrocracker",$G5709="Reformer"),IF(COUNTIFS($D:$D,$D5709,$A:$A,$A5709,$B:$B,$B5709,$G:$G,"CDU",$J:$J,"PLANNED")&gt;0,"tied","standalone"),"")</f>
        <v/>
      </c>
    </row>
    <row r="5710" spans="1:14">
      <c r="A5710" s="6">
        <v>2025</v>
      </c>
      <c r="B5710" s="6">
        <v>4</v>
      </c>
      <c r="C5710" s="6" t="s">
        <v>63</v>
      </c>
      <c r="D5710" s="6" t="s">
        <v>458</v>
      </c>
      <c r="E5710" s="6" t="s">
        <v>459</v>
      </c>
      <c r="F5710" s="6" t="str">
        <f>IF($M5710="PADD I","PADD 1",IF($M5710="PADD II","PADD 2",IF($M5710="PADD III","PADD 3",IF($M5710="PADD IV","PADD 4",IF($M5710="PADD V","PADD 5","")))))</f>
        <v>PADD 3</v>
      </c>
      <c r="G5710" s="6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6" t="s">
        <v>428</v>
      </c>
      <c r="I5710" s="6" t="s">
        <v>556</v>
      </c>
      <c r="J5710" s="6" t="s">
        <v>394</v>
      </c>
      <c r="K5710" s="10">
        <v>3.64</v>
      </c>
      <c r="L5710" s="10">
        <v>52</v>
      </c>
      <c r="M5710" s="6" t="s">
        <v>421</v>
      </c>
      <c r="N5710" s="6">
        <f>IF(OR($G5710="FCC",$G5710="Hydrocracker",$G5710="Reformer"),IF(COUNTIFS($D:$D,$D5710,$A:$A,$A5710,$B:$B,$B5710,$G:$G,"CDU",$J:$J,"PLANNED")&gt;0,"tied","standalone"),"")</f>
        <v/>
      </c>
    </row>
    <row r="5711" spans="1:14">
      <c r="A5711" s="6">
        <v>2025</v>
      </c>
      <c r="B5711" s="6">
        <v>4</v>
      </c>
      <c r="C5711" s="6" t="s">
        <v>63</v>
      </c>
      <c r="D5711" s="6" t="s">
        <v>777</v>
      </c>
      <c r="E5711" s="6" t="s">
        <v>778</v>
      </c>
      <c r="F5711" s="6" t="str">
        <f>IF($M5711="PADD I","PADD 1",IF($M5711="PADD II","PADD 2",IF($M5711="PADD III","PADD 3",IF($M5711="PADD IV","PADD 4",IF($M5711="PADD V","PADD 5","")))))</f>
        <v>PADD 1</v>
      </c>
      <c r="G5711" s="6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6" t="s">
        <v>471</v>
      </c>
      <c r="I5711" s="6" t="s">
        <v>621</v>
      </c>
      <c r="J5711" s="6" t="s">
        <v>398</v>
      </c>
      <c r="K5711" s="10">
        <v>3.6</v>
      </c>
      <c r="L5711" s="10">
        <v>3.6</v>
      </c>
      <c r="M5711" s="6" t="s">
        <v>463</v>
      </c>
      <c r="N5711" s="6" t="str">
        <f>IF(OR($G5711="FCC",$G5711="Hydrocracker",$G5711="Reformer"),IF(COUNTIFS($D:$D,$D5711,$A:$A,$A5711,$B:$B,$B5711,$G:$G,"CDU",$J:$J,"PLANNED")&gt;0,"tied","standalone"),"")</f>
        <v>tied</v>
      </c>
    </row>
    <row r="5712" spans="1:14">
      <c r="A5712" s="6">
        <v>2025</v>
      </c>
      <c r="B5712" s="6">
        <v>4</v>
      </c>
      <c r="C5712" s="6" t="s">
        <v>63</v>
      </c>
      <c r="D5712" s="6" t="s">
        <v>1336</v>
      </c>
      <c r="E5712" s="6" t="s">
        <v>1337</v>
      </c>
      <c r="F5712" s="6" t="str">
        <f>IF($M5712="PADD I","PADD 1",IF($M5712="PADD II","PADD 2",IF($M5712="PADD III","PADD 3",IF($M5712="PADD IV","PADD 4",IF($M5712="PADD V","PADD 5","")))))</f>
        <v>PADD 4</v>
      </c>
      <c r="G5712" s="6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6" t="s">
        <v>44</v>
      </c>
      <c r="I5712" s="6" t="s">
        <v>1342</v>
      </c>
      <c r="J5712" s="6" t="s">
        <v>394</v>
      </c>
      <c r="K5712" s="10">
        <v>3.5</v>
      </c>
      <c r="L5712" s="10">
        <v>3.5</v>
      </c>
      <c r="M5712" s="6" t="s">
        <v>480</v>
      </c>
      <c r="N5712" s="6">
        <f>IF(OR($G5712="FCC",$G5712="Hydrocracker",$G5712="Reformer"),IF(COUNTIFS($D:$D,$D5712,$A:$A,$A5712,$B:$B,$B5712,$G:$G,"CDU",$J:$J,"PLANNED")&gt;0,"tied","standalone"),"")</f>
        <v/>
      </c>
    </row>
    <row r="5713" spans="1:14">
      <c r="A5713" s="6">
        <v>2025</v>
      </c>
      <c r="B5713" s="6">
        <v>4</v>
      </c>
      <c r="C5713" s="6" t="s">
        <v>63</v>
      </c>
      <c r="D5713" s="6" t="s">
        <v>765</v>
      </c>
      <c r="E5713" s="6" t="s">
        <v>766</v>
      </c>
      <c r="F5713" s="6" t="str">
        <f>IF($M5713="PADD I","PADD 1",IF($M5713="PADD II","PADD 2",IF($M5713="PADD III","PADD 3",IF($M5713="PADD IV","PADD 4",IF($M5713="PADD V","PADD 5","")))))</f>
        <v>PADD 2</v>
      </c>
      <c r="G5713" s="6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6" t="s">
        <v>44</v>
      </c>
      <c r="I5713" s="6" t="s">
        <v>767</v>
      </c>
      <c r="J5713" s="6" t="s">
        <v>398</v>
      </c>
      <c r="K5713" s="10">
        <v>3.45</v>
      </c>
      <c r="L5713" s="10">
        <v>15</v>
      </c>
      <c r="M5713" s="6" t="s">
        <v>425</v>
      </c>
      <c r="N5713" s="6">
        <f>IF(OR($G5713="FCC",$G5713="Hydrocracker",$G5713="Reformer"),IF(COUNTIFS($D:$D,$D5713,$A:$A,$A5713,$B:$B,$B5713,$G:$G,"CDU",$J:$J,"PLANNED")&gt;0,"tied","standalone"),"")</f>
        <v/>
      </c>
    </row>
    <row r="5714" spans="1:14">
      <c r="A5714" s="6">
        <v>2025</v>
      </c>
      <c r="B5714" s="6">
        <v>4</v>
      </c>
      <c r="C5714" s="6" t="s">
        <v>63</v>
      </c>
      <c r="D5714" s="6" t="s">
        <v>465</v>
      </c>
      <c r="E5714" s="6" t="s">
        <v>466</v>
      </c>
      <c r="F5714" s="6" t="str">
        <f>IF($M5714="PADD I","PADD 1",IF($M5714="PADD II","PADD 2",IF($M5714="PADD III","PADD 3",IF($M5714="PADD IV","PADD 4",IF($M5714="PADD V","PADD 5","")))))</f>
        <v>PADD 3</v>
      </c>
      <c r="G5714" s="6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6" t="s">
        <v>485</v>
      </c>
      <c r="I5714" s="6" t="s">
        <v>503</v>
      </c>
      <c r="J5714" s="6" t="s">
        <v>394</v>
      </c>
      <c r="K5714" s="10">
        <v>3.4</v>
      </c>
      <c r="L5714" s="10">
        <v>34</v>
      </c>
      <c r="M5714" s="6" t="s">
        <v>421</v>
      </c>
      <c r="N5714" s="6">
        <f>IF(OR($G5714="FCC",$G5714="Hydrocracker",$G5714="Reformer"),IF(COUNTIFS($D:$D,$D5714,$A:$A,$A5714,$B:$B,$B5714,$G:$G,"CDU",$J:$J,"PLANNED")&gt;0,"tied","standalone"),"")</f>
        <v/>
      </c>
    </row>
    <row r="5715" spans="1:14">
      <c r="A5715" s="6">
        <v>2025</v>
      </c>
      <c r="B5715" s="6">
        <v>4</v>
      </c>
      <c r="C5715" s="6" t="s">
        <v>63</v>
      </c>
      <c r="D5715" s="6" t="s">
        <v>501</v>
      </c>
      <c r="E5715" s="6" t="s">
        <v>502</v>
      </c>
      <c r="F5715" s="6" t="str">
        <f>IF($M5715="PADD I","PADD 1",IF($M5715="PADD II","PADD 2",IF($M5715="PADD III","PADD 3",IF($M5715="PADD IV","PADD 4",IF($M5715="PADD V","PADD 5","")))))</f>
        <v>PADD 2</v>
      </c>
      <c r="G5715" s="6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6" t="s">
        <v>44</v>
      </c>
      <c r="I5715" s="6" t="s">
        <v>946</v>
      </c>
      <c r="J5715" s="6" t="s">
        <v>398</v>
      </c>
      <c r="K5715" s="10">
        <v>3.29</v>
      </c>
      <c r="L5715" s="10">
        <v>7</v>
      </c>
      <c r="M5715" s="6" t="s">
        <v>425</v>
      </c>
      <c r="N5715" s="6">
        <f>IF(OR($G5715="FCC",$G5715="Hydrocracker",$G5715="Reformer"),IF(COUNTIFS($D:$D,$D5715,$A:$A,$A5715,$B:$B,$B5715,$G:$G,"CDU",$J:$J,"PLANNED")&gt;0,"tied","standalone"),"")</f>
        <v/>
      </c>
    </row>
    <row r="5716" spans="1:14">
      <c r="A5716" s="6">
        <v>2025</v>
      </c>
      <c r="B5716" s="6">
        <v>4</v>
      </c>
      <c r="C5716" s="6" t="s">
        <v>63</v>
      </c>
      <c r="D5716" s="6" t="s">
        <v>378</v>
      </c>
      <c r="E5716" s="6" t="s">
        <v>477</v>
      </c>
      <c r="F5716" s="6" t="str">
        <f>IF($M5716="PADD I","PADD 1",IF($M5716="PADD II","PADD 2",IF($M5716="PADD III","PADD 3",IF($M5716="PADD IV","PADD 4",IF($M5716="PADD V","PADD 5","")))))</f>
        <v>PADD 3</v>
      </c>
      <c r="G5716" s="6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6" t="s">
        <v>471</v>
      </c>
      <c r="I5716" s="6" t="s">
        <v>1212</v>
      </c>
      <c r="J5716" s="6" t="s">
        <v>394</v>
      </c>
      <c r="K5716" s="10">
        <v>3.23</v>
      </c>
      <c r="L5716" s="10">
        <v>19</v>
      </c>
      <c r="M5716" s="6" t="s">
        <v>421</v>
      </c>
      <c r="N5716" s="6" t="str">
        <f>IF(OR($G5716="FCC",$G5716="Hydrocracker",$G5716="Reformer"),IF(COUNTIFS($D:$D,$D5716,$A:$A,$A5716,$B:$B,$B5716,$G:$G,"CDU",$J:$J,"PLANNED")&gt;0,"tied","standalone"),"")</f>
        <v>standalone</v>
      </c>
    </row>
    <row r="5717" spans="1:14">
      <c r="A5717" s="6">
        <v>2025</v>
      </c>
      <c r="B5717" s="6">
        <v>4</v>
      </c>
      <c r="C5717" s="6" t="s">
        <v>63</v>
      </c>
      <c r="D5717" s="6" t="s">
        <v>1336</v>
      </c>
      <c r="E5717" s="6" t="s">
        <v>1337</v>
      </c>
      <c r="F5717" s="6" t="str">
        <f>IF($M5717="PADD I","PADD 1",IF($M5717="PADD II","PADD 2",IF($M5717="PADD III","PADD 3",IF($M5717="PADD IV","PADD 4",IF($M5717="PADD V","PADD 5","")))))</f>
        <v>PADD 4</v>
      </c>
      <c r="G5717" s="6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6" t="s">
        <v>471</v>
      </c>
      <c r="I5717" s="6" t="s">
        <v>15</v>
      </c>
      <c r="J5717" s="6" t="s">
        <v>394</v>
      </c>
      <c r="K5717" s="10">
        <v>3.2</v>
      </c>
      <c r="L5717" s="10">
        <v>3.2</v>
      </c>
      <c r="M5717" s="6" t="s">
        <v>480</v>
      </c>
      <c r="N5717" s="6" t="str">
        <f>IF(OR($G5717="FCC",$G5717="Hydrocracker",$G5717="Reformer"),IF(COUNTIFS($D:$D,$D5717,$A:$A,$A5717,$B:$B,$B5717,$G:$G,"CDU",$J:$J,"PLANNED")&gt;0,"tied","standalone"),"")</f>
        <v>standalone</v>
      </c>
    </row>
    <row r="5718" spans="1:14">
      <c r="A5718" s="6">
        <v>2025</v>
      </c>
      <c r="B5718" s="6">
        <v>4</v>
      </c>
      <c r="C5718" s="6" t="s">
        <v>63</v>
      </c>
      <c r="D5718" s="6" t="s">
        <v>662</v>
      </c>
      <c r="E5718" s="6" t="s">
        <v>466</v>
      </c>
      <c r="F5718" s="6" t="str">
        <f>IF($M5718="PADD I","PADD 1",IF($M5718="PADD II","PADD 2",IF($M5718="PADD III","PADD 3",IF($M5718="PADD IV","PADD 4",IF($M5718="PADD V","PADD 5","")))))</f>
        <v>PADD 3</v>
      </c>
      <c r="G5718" s="6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6" t="s">
        <v>485</v>
      </c>
      <c r="I5718" s="6" t="s">
        <v>491</v>
      </c>
      <c r="J5718" s="6" t="s">
        <v>394</v>
      </c>
      <c r="K5718" s="10">
        <v>3.08</v>
      </c>
      <c r="L5718" s="10">
        <v>44</v>
      </c>
      <c r="M5718" s="6" t="s">
        <v>421</v>
      </c>
      <c r="N5718" s="6">
        <f>IF(OR($G5718="FCC",$G5718="Hydrocracker",$G5718="Reformer"),IF(COUNTIFS($D:$D,$D5718,$A:$A,$A5718,$B:$B,$B5718,$G:$G,"CDU",$J:$J,"PLANNED")&gt;0,"tied","standalone"),"")</f>
        <v/>
      </c>
    </row>
    <row r="5719" spans="1:14">
      <c r="A5719" s="6">
        <v>2025</v>
      </c>
      <c r="B5719" s="6">
        <v>4</v>
      </c>
      <c r="C5719" s="6" t="s">
        <v>63</v>
      </c>
      <c r="D5719" s="6" t="s">
        <v>789</v>
      </c>
      <c r="E5719" s="6" t="s">
        <v>455</v>
      </c>
      <c r="F5719" s="6" t="str">
        <f>IF($M5719="PADD I","PADD 1",IF($M5719="PADD II","PADD 2",IF($M5719="PADD III","PADD 3",IF($M5719="PADD IV","PADD 4",IF($M5719="PADD V","PADD 5","")))))</f>
        <v>PADD 2</v>
      </c>
      <c r="G5719" s="6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6" t="s">
        <v>618</v>
      </c>
      <c r="I5719" s="6" t="s">
        <v>654</v>
      </c>
      <c r="J5719" s="6" t="s">
        <v>398</v>
      </c>
      <c r="K5719" s="10">
        <v>3.01</v>
      </c>
      <c r="L5719" s="10">
        <v>7</v>
      </c>
      <c r="M5719" s="6" t="s">
        <v>425</v>
      </c>
      <c r="N5719" s="6">
        <f>IF(OR($G5719="FCC",$G5719="Hydrocracker",$G5719="Reformer"),IF(COUNTIFS($D:$D,$D5719,$A:$A,$A5719,$B:$B,$B5719,$G:$G,"CDU",$J:$J,"PLANNED")&gt;0,"tied","standalone"),"")</f>
        <v/>
      </c>
    </row>
    <row r="5720" spans="1:14">
      <c r="A5720" s="6">
        <v>2025</v>
      </c>
      <c r="B5720" s="6">
        <v>4</v>
      </c>
      <c r="C5720" s="6" t="s">
        <v>63</v>
      </c>
      <c r="D5720" s="6" t="s">
        <v>865</v>
      </c>
      <c r="E5720" s="6" t="s">
        <v>502</v>
      </c>
      <c r="F5720" s="6" t="str">
        <f>IF($M5720="PADD I","PADD 1",IF($M5720="PADD II","PADD 2",IF($M5720="PADD III","PADD 3",IF($M5720="PADD IV","PADD 4",IF($M5720="PADD V","PADD 5","")))))</f>
        <v>PADD 4</v>
      </c>
      <c r="G5720" s="6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6" t="s">
        <v>510</v>
      </c>
      <c r="I5720" s="6" t="s">
        <v>511</v>
      </c>
      <c r="J5720" s="6" t="s">
        <v>398</v>
      </c>
      <c r="K5720" s="10">
        <v>2.835</v>
      </c>
      <c r="L5720" s="10">
        <v>4.5</v>
      </c>
      <c r="M5720" s="6" t="s">
        <v>480</v>
      </c>
      <c r="N5720" s="6">
        <f>IF(OR($G5720="FCC",$G5720="Hydrocracker",$G5720="Reformer"),IF(COUNTIFS($D:$D,$D5720,$A:$A,$A5720,$B:$B,$B5720,$G:$G,"CDU",$J:$J,"PLANNED")&gt;0,"tied","standalone"),"")</f>
        <v/>
      </c>
    </row>
    <row r="5721" spans="1:14">
      <c r="A5721" s="6">
        <v>2025</v>
      </c>
      <c r="B5721" s="6">
        <v>4</v>
      </c>
      <c r="C5721" s="6" t="s">
        <v>63</v>
      </c>
      <c r="D5721" s="6" t="s">
        <v>382</v>
      </c>
      <c r="E5721" s="6" t="s">
        <v>431</v>
      </c>
      <c r="F5721" s="6" t="str">
        <f>IF($M5721="PADD I","PADD 1",IF($M5721="PADD II","PADD 2",IF($M5721="PADD III","PADD 3",IF($M5721="PADD IV","PADD 4",IF($M5721="PADD V","PADD 5","")))))</f>
        <v>PADD 3</v>
      </c>
      <c r="G5721" s="6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6" t="s">
        <v>44</v>
      </c>
      <c r="I5721" s="6" t="s">
        <v>993</v>
      </c>
      <c r="J5721" s="6" t="s">
        <v>394</v>
      </c>
      <c r="K5721" s="10">
        <v>2.8</v>
      </c>
      <c r="L5721" s="10">
        <v>40</v>
      </c>
      <c r="M5721" s="6" t="s">
        <v>421</v>
      </c>
      <c r="N5721" s="6">
        <f>IF(OR($G5721="FCC",$G5721="Hydrocracker",$G5721="Reformer"),IF(COUNTIFS($D:$D,$D5721,$A:$A,$A5721,$B:$B,$B5721,$G:$G,"CDU",$J:$J,"PLANNED")&gt;0,"tied","standalone"),"")</f>
        <v/>
      </c>
    </row>
    <row r="5722" spans="1:14">
      <c r="A5722" s="6">
        <v>2025</v>
      </c>
      <c r="B5722" s="6">
        <v>4</v>
      </c>
      <c r="C5722" s="6" t="s">
        <v>63</v>
      </c>
      <c r="D5722" s="6" t="s">
        <v>849</v>
      </c>
      <c r="E5722" s="6" t="s">
        <v>441</v>
      </c>
      <c r="F5722" s="6" t="str">
        <f>IF($M5722="PADD I","PADD 1",IF($M5722="PADD II","PADD 2",IF($M5722="PADD III","PADD 3",IF($M5722="PADD IV","PADD 4",IF($M5722="PADD V","PADD 5","")))))</f>
        <v>PADD 4</v>
      </c>
      <c r="G5722" s="6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6" t="s">
        <v>44</v>
      </c>
      <c r="I5722" s="6" t="s">
        <v>850</v>
      </c>
      <c r="J5722" s="6" t="s">
        <v>394</v>
      </c>
      <c r="K5722" s="10">
        <v>2.79</v>
      </c>
      <c r="L5722" s="10">
        <v>27.9</v>
      </c>
      <c r="M5722" s="6" t="s">
        <v>480</v>
      </c>
      <c r="N5722" s="6">
        <f>IF(OR($G5722="FCC",$G5722="Hydrocracker",$G5722="Reformer"),IF(COUNTIFS($D:$D,$D5722,$A:$A,$A5722,$B:$B,$B5722,$G:$G,"CDU",$J:$J,"PLANNED")&gt;0,"tied","standalone"),"")</f>
        <v/>
      </c>
    </row>
    <row r="5723" spans="1:14">
      <c r="A5723" s="6">
        <v>2025</v>
      </c>
      <c r="B5723" s="6">
        <v>4</v>
      </c>
      <c r="C5723" s="6" t="s">
        <v>63</v>
      </c>
      <c r="D5723" s="6" t="s">
        <v>501</v>
      </c>
      <c r="E5723" s="6" t="s">
        <v>502</v>
      </c>
      <c r="F5723" s="6" t="str">
        <f>IF($M5723="PADD I","PADD 1",IF($M5723="PADD II","PADD 2",IF($M5723="PADD III","PADD 3",IF($M5723="PADD IV","PADD 4",IF($M5723="PADD V","PADD 5","")))))</f>
        <v>PADD 2</v>
      </c>
      <c r="G5723" s="6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6" t="s">
        <v>426</v>
      </c>
      <c r="I5723" s="6" t="s">
        <v>106</v>
      </c>
      <c r="J5723" s="6" t="s">
        <v>398</v>
      </c>
      <c r="K5723" s="10">
        <v>2.726</v>
      </c>
      <c r="L5723" s="10">
        <v>5.8</v>
      </c>
      <c r="M5723" s="6" t="s">
        <v>425</v>
      </c>
      <c r="N5723" s="6" t="str">
        <f>IF(OR($G5723="FCC",$G5723="Hydrocracker",$G5723="Reformer"),IF(COUNTIFS($D:$D,$D5723,$A:$A,$A5723,$B:$B,$B5723,$G:$G,"CDU",$J:$J,"PLANNED")&gt;0,"tied","standalone"),"")</f>
        <v>tied</v>
      </c>
    </row>
    <row r="5724" spans="1:14">
      <c r="A5724" s="6">
        <v>2025</v>
      </c>
      <c r="B5724" s="6">
        <v>4</v>
      </c>
      <c r="C5724" s="6" t="s">
        <v>63</v>
      </c>
      <c r="D5724" s="6" t="s">
        <v>789</v>
      </c>
      <c r="E5724" s="6" t="s">
        <v>455</v>
      </c>
      <c r="F5724" s="6" t="str">
        <f>IF($M5724="PADD I","PADD 1",IF($M5724="PADD II","PADD 2",IF($M5724="PADD III","PADD 3",IF($M5724="PADD IV","PADD 4",IF($M5724="PADD V","PADD 5","")))))</f>
        <v>PADD 2</v>
      </c>
      <c r="G5724" s="6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6" t="s">
        <v>510</v>
      </c>
      <c r="I5724" s="6" t="s">
        <v>666</v>
      </c>
      <c r="J5724" s="6" t="s">
        <v>398</v>
      </c>
      <c r="K5724" s="10">
        <v>2.666</v>
      </c>
      <c r="L5724" s="10">
        <v>6.2</v>
      </c>
      <c r="M5724" s="6" t="s">
        <v>425</v>
      </c>
      <c r="N5724" s="6">
        <f>IF(OR($G5724="FCC",$G5724="Hydrocracker",$G5724="Reformer"),IF(COUNTIFS($D:$D,$D5724,$A:$A,$A5724,$B:$B,$B5724,$G:$G,"CDU",$J:$J,"PLANNED")&gt;0,"tied","standalone"),"")</f>
        <v/>
      </c>
    </row>
    <row r="5725" spans="1:14">
      <c r="A5725" s="6">
        <v>2025</v>
      </c>
      <c r="B5725" s="6">
        <v>4</v>
      </c>
      <c r="C5725" s="6" t="s">
        <v>63</v>
      </c>
      <c r="D5725" s="6" t="s">
        <v>772</v>
      </c>
      <c r="E5725" s="6" t="s">
        <v>502</v>
      </c>
      <c r="F5725" s="6" t="str">
        <f>IF($M5725="PADD I","PADD 1",IF($M5725="PADD II","PADD 2",IF($M5725="PADD III","PADD 3",IF($M5725="PADD IV","PADD 4",IF($M5725="PADD V","PADD 5","")))))</f>
        <v>PADD 4</v>
      </c>
      <c r="G5725" s="6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6" t="s">
        <v>39</v>
      </c>
      <c r="I5725" s="6" t="s">
        <v>1211</v>
      </c>
      <c r="J5725" s="6" t="s">
        <v>394</v>
      </c>
      <c r="K5725" s="10">
        <v>2.64</v>
      </c>
      <c r="L5725" s="10">
        <v>26.4</v>
      </c>
      <c r="M5725" s="6" t="s">
        <v>480</v>
      </c>
      <c r="N5725" s="6">
        <f>IF(OR($G5725="FCC",$G5725="Hydrocracker",$G5725="Reformer"),IF(COUNTIFS($D:$D,$D5725,$A:$A,$A5725,$B:$B,$B5725,$G:$G,"CDU",$J:$J,"PLANNED")&gt;0,"tied","standalone"),"")</f>
        <v/>
      </c>
    </row>
    <row r="5726" spans="1:14">
      <c r="A5726" s="6">
        <v>2025</v>
      </c>
      <c r="B5726" s="6">
        <v>4</v>
      </c>
      <c r="C5726" s="6" t="s">
        <v>63</v>
      </c>
      <c r="D5726" s="6" t="s">
        <v>689</v>
      </c>
      <c r="E5726" s="6" t="s">
        <v>502</v>
      </c>
      <c r="F5726" s="6" t="str">
        <f>IF($M5726="PADD I","PADD 1",IF($M5726="PADD II","PADD 2",IF($M5726="PADD III","PADD 3",IF($M5726="PADD IV","PADD 4",IF($M5726="PADD V","PADD 5","")))))</f>
        <v>PADD 5</v>
      </c>
      <c r="G5726" s="6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6" t="s">
        <v>485</v>
      </c>
      <c r="I5726" s="6" t="s">
        <v>1146</v>
      </c>
      <c r="J5726" s="6" t="s">
        <v>398</v>
      </c>
      <c r="K5726" s="10">
        <v>2.53</v>
      </c>
      <c r="L5726" s="10">
        <v>25.3</v>
      </c>
      <c r="M5726" s="6" t="s">
        <v>436</v>
      </c>
      <c r="N5726" s="6">
        <f>IF(OR($G5726="FCC",$G5726="Hydrocracker",$G5726="Reformer"),IF(COUNTIFS($D:$D,$D5726,$A:$A,$A5726,$B:$B,$B5726,$G:$G,"CDU",$J:$J,"PLANNED")&gt;0,"tied","standalone"),"")</f>
        <v/>
      </c>
    </row>
    <row r="5727" spans="1:14">
      <c r="A5727" s="6">
        <v>2025</v>
      </c>
      <c r="B5727" s="6">
        <v>4</v>
      </c>
      <c r="C5727" s="6" t="s">
        <v>63</v>
      </c>
      <c r="D5727" s="6" t="s">
        <v>765</v>
      </c>
      <c r="E5727" s="6" t="s">
        <v>766</v>
      </c>
      <c r="F5727" s="6" t="str">
        <f>IF($M5727="PADD I","PADD 1",IF($M5727="PADD II","PADD 2",IF($M5727="PADD III","PADD 3",IF($M5727="PADD IV","PADD 4",IF($M5727="PADD V","PADD 5","")))))</f>
        <v>PADD 2</v>
      </c>
      <c r="G5727" s="6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6" t="s">
        <v>44</v>
      </c>
      <c r="I5727" s="6" t="s">
        <v>1231</v>
      </c>
      <c r="J5727" s="6" t="s">
        <v>398</v>
      </c>
      <c r="K5727" s="10">
        <v>2.3</v>
      </c>
      <c r="L5727" s="10">
        <v>10</v>
      </c>
      <c r="M5727" s="6" t="s">
        <v>425</v>
      </c>
      <c r="N5727" s="6">
        <f>IF(OR($G5727="FCC",$G5727="Hydrocracker",$G5727="Reformer"),IF(COUNTIFS($D:$D,$D5727,$A:$A,$A5727,$B:$B,$B5727,$G:$G,"CDU",$J:$J,"PLANNED")&gt;0,"tied","standalone"),"")</f>
        <v/>
      </c>
    </row>
    <row r="5728" spans="1:14">
      <c r="A5728" s="6">
        <v>2025</v>
      </c>
      <c r="B5728" s="6">
        <v>4</v>
      </c>
      <c r="C5728" s="6" t="s">
        <v>63</v>
      </c>
      <c r="D5728" s="6" t="s">
        <v>461</v>
      </c>
      <c r="E5728" s="6" t="s">
        <v>419</v>
      </c>
      <c r="F5728" s="6" t="str">
        <f>IF($M5728="PADD I","PADD 1",IF($M5728="PADD II","PADD 2",IF($M5728="PADD III","PADD 3",IF($M5728="PADD IV","PADD 4",IF($M5728="PADD V","PADD 5","")))))</f>
        <v>PADD 1</v>
      </c>
      <c r="G5728" s="6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6" t="s">
        <v>428</v>
      </c>
      <c r="I5728" s="6" t="s">
        <v>481</v>
      </c>
      <c r="J5728" s="6" t="s">
        <v>398</v>
      </c>
      <c r="K5728" s="10">
        <v>2.25</v>
      </c>
      <c r="L5728" s="10">
        <v>75</v>
      </c>
      <c r="M5728" s="6" t="s">
        <v>463</v>
      </c>
      <c r="N5728" s="6">
        <f>IF(OR($G5728="FCC",$G5728="Hydrocracker",$G5728="Reformer"),IF(COUNTIFS($D:$D,$D5728,$A:$A,$A5728,$B:$B,$B5728,$G:$G,"CDU",$J:$J,"PLANNED")&gt;0,"tied","standalone"),"")</f>
        <v/>
      </c>
    </row>
    <row r="5729" spans="1:14">
      <c r="A5729" s="6">
        <v>2025</v>
      </c>
      <c r="B5729" s="6">
        <v>4</v>
      </c>
      <c r="C5729" s="6" t="s">
        <v>63</v>
      </c>
      <c r="D5729" s="6" t="s">
        <v>501</v>
      </c>
      <c r="E5729" s="6" t="s">
        <v>502</v>
      </c>
      <c r="F5729" s="6" t="str">
        <f>IF($M5729="PADD I","PADD 1",IF($M5729="PADD II","PADD 2",IF($M5729="PADD III","PADD 3",IF($M5729="PADD IV","PADD 4",IF($M5729="PADD V","PADD 5","")))))</f>
        <v>PADD 2</v>
      </c>
      <c r="G5729" s="6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6" t="s">
        <v>471</v>
      </c>
      <c r="I5729" s="6" t="s">
        <v>949</v>
      </c>
      <c r="J5729" s="6" t="s">
        <v>398</v>
      </c>
      <c r="K5729" s="10">
        <v>2.068</v>
      </c>
      <c r="L5729" s="10">
        <v>4.4</v>
      </c>
      <c r="M5729" s="6" t="s">
        <v>425</v>
      </c>
      <c r="N5729" s="6" t="str">
        <f>IF(OR($G5729="FCC",$G5729="Hydrocracker",$G5729="Reformer"),IF(COUNTIFS($D:$D,$D5729,$A:$A,$A5729,$B:$B,$B5729,$G:$G,"CDU",$J:$J,"PLANNED")&gt;0,"tied","standalone"),"")</f>
        <v>tied</v>
      </c>
    </row>
    <row r="5730" spans="1:14">
      <c r="A5730" s="6">
        <v>2025</v>
      </c>
      <c r="B5730" s="6">
        <v>4</v>
      </c>
      <c r="C5730" s="6" t="s">
        <v>63</v>
      </c>
      <c r="D5730" s="6" t="s">
        <v>501</v>
      </c>
      <c r="E5730" s="6" t="s">
        <v>502</v>
      </c>
      <c r="F5730" s="6" t="str">
        <f>IF($M5730="PADD I","PADD 1",IF($M5730="PADD II","PADD 2",IF($M5730="PADD III","PADD 3",IF($M5730="PADD IV","PADD 4",IF($M5730="PADD V","PADD 5","")))))</f>
        <v>PADD 2</v>
      </c>
      <c r="G5730" s="6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6" t="s">
        <v>44</v>
      </c>
      <c r="I5730" s="6" t="s">
        <v>950</v>
      </c>
      <c r="J5730" s="6" t="s">
        <v>398</v>
      </c>
      <c r="K5730" s="10">
        <v>2.068</v>
      </c>
      <c r="L5730" s="10">
        <v>4.4</v>
      </c>
      <c r="M5730" s="6" t="s">
        <v>425</v>
      </c>
      <c r="N5730" s="6">
        <f>IF(OR($G5730="FCC",$G5730="Hydrocracker",$G5730="Reformer"),IF(COUNTIFS($D:$D,$D5730,$A:$A,$A5730,$B:$B,$B5730,$G:$G,"CDU",$J:$J,"PLANNED")&gt;0,"tied","standalone"),"")</f>
        <v/>
      </c>
    </row>
    <row r="5731" spans="1:14">
      <c r="A5731" s="6">
        <v>2025</v>
      </c>
      <c r="B5731" s="6">
        <v>4</v>
      </c>
      <c r="C5731" s="6" t="s">
        <v>63</v>
      </c>
      <c r="D5731" s="6" t="s">
        <v>445</v>
      </c>
      <c r="E5731" s="6" t="s">
        <v>446</v>
      </c>
      <c r="F5731" s="6" t="str">
        <f>IF($M5731="PADD I","PADD 1",IF($M5731="PADD II","PADD 2",IF($M5731="PADD III","PADD 3",IF($M5731="PADD IV","PADD 4",IF($M5731="PADD V","PADD 5","")))))</f>
        <v>PADD 3</v>
      </c>
      <c r="G5731" s="6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6" t="s">
        <v>39</v>
      </c>
      <c r="I5731" s="6" t="s">
        <v>447</v>
      </c>
      <c r="J5731" s="6" t="s">
        <v>394</v>
      </c>
      <c r="K5731" s="10">
        <v>2.025</v>
      </c>
      <c r="L5731" s="10">
        <v>67.5</v>
      </c>
      <c r="M5731" s="6" t="s">
        <v>421</v>
      </c>
      <c r="N5731" s="6">
        <f>IF(OR($G5731="FCC",$G5731="Hydrocracker",$G5731="Reformer"),IF(COUNTIFS($D:$D,$D5731,$A:$A,$A5731,$B:$B,$B5731,$G:$G,"CDU",$J:$J,"PLANNED")&gt;0,"tied","standalone"),"")</f>
        <v/>
      </c>
    </row>
    <row r="5732" spans="1:14">
      <c r="A5732" s="6">
        <v>2025</v>
      </c>
      <c r="B5732" s="6">
        <v>4</v>
      </c>
      <c r="C5732" s="6" t="s">
        <v>63</v>
      </c>
      <c r="D5732" s="6" t="s">
        <v>773</v>
      </c>
      <c r="E5732" s="6" t="s">
        <v>774</v>
      </c>
      <c r="F5732" s="6" t="str">
        <f>IF($M5732="PADD I","PADD 1",IF($M5732="PADD II","PADD 2",IF($M5732="PADD III","PADD 3",IF($M5732="PADD IV","PADD 4",IF($M5732="PADD V","PADD 5","")))))</f>
        <v>PADD 4</v>
      </c>
      <c r="G5732" s="6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6" t="s">
        <v>485</v>
      </c>
      <c r="I5732" s="6" t="s">
        <v>1185</v>
      </c>
      <c r="J5732" s="6" t="s">
        <v>394</v>
      </c>
      <c r="K5732" s="10">
        <v>1.7</v>
      </c>
      <c r="L5732" s="10">
        <v>10</v>
      </c>
      <c r="M5732" s="6" t="s">
        <v>480</v>
      </c>
      <c r="N5732" s="6">
        <f>IF(OR($G5732="FCC",$G5732="Hydrocracker",$G5732="Reformer"),IF(COUNTIFS($D:$D,$D5732,$A:$A,$A5732,$B:$B,$B5732,$G:$G,"CDU",$J:$J,"PLANNED")&gt;0,"tied","standalone"),"")</f>
        <v/>
      </c>
    </row>
    <row r="5733" spans="1:14">
      <c r="A5733" s="6">
        <v>2025</v>
      </c>
      <c r="B5733" s="6">
        <v>4</v>
      </c>
      <c r="C5733" s="6" t="s">
        <v>63</v>
      </c>
      <c r="D5733" s="6" t="s">
        <v>501</v>
      </c>
      <c r="E5733" s="6" t="s">
        <v>502</v>
      </c>
      <c r="F5733" s="6" t="str">
        <f>IF($M5733="PADD I","PADD 1",IF($M5733="PADD II","PADD 2",IF($M5733="PADD III","PADD 3",IF($M5733="PADD IV","PADD 4",IF($M5733="PADD V","PADD 5","")))))</f>
        <v>PADD 2</v>
      </c>
      <c r="G5733" s="6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6" t="s">
        <v>44</v>
      </c>
      <c r="I5733" s="6" t="s">
        <v>952</v>
      </c>
      <c r="J5733" s="6" t="s">
        <v>398</v>
      </c>
      <c r="K5733" s="10">
        <v>1.504</v>
      </c>
      <c r="L5733" s="10">
        <v>3.2</v>
      </c>
      <c r="M5733" s="6" t="s">
        <v>425</v>
      </c>
      <c r="N5733" s="6">
        <f>IF(OR($G5733="FCC",$G5733="Hydrocracker",$G5733="Reformer"),IF(COUNTIFS($D:$D,$D5733,$A:$A,$A5733,$B:$B,$B5733,$G:$G,"CDU",$J:$J,"PLANNED")&gt;0,"tied","standalone"),"")</f>
        <v/>
      </c>
    </row>
    <row r="5734" spans="1:14">
      <c r="A5734" s="6">
        <v>2025</v>
      </c>
      <c r="B5734" s="6">
        <v>4</v>
      </c>
      <c r="C5734" s="6" t="s">
        <v>63</v>
      </c>
      <c r="D5734" s="6" t="s">
        <v>1336</v>
      </c>
      <c r="E5734" s="6" t="s">
        <v>1337</v>
      </c>
      <c r="F5734" s="6" t="str">
        <f>IF($M5734="PADD I","PADD 1",IF($M5734="PADD II","PADD 2",IF($M5734="PADD III","PADD 3",IF($M5734="PADD IV","PADD 4",IF($M5734="PADD V","PADD 5","")))))</f>
        <v>PADD 4</v>
      </c>
      <c r="G5734" s="6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6" t="s">
        <v>428</v>
      </c>
      <c r="I5734" s="6" t="s">
        <v>481</v>
      </c>
      <c r="J5734" s="6" t="s">
        <v>394</v>
      </c>
      <c r="K5734" s="10">
        <v>1.5</v>
      </c>
      <c r="L5734" s="10">
        <v>1.5</v>
      </c>
      <c r="M5734" s="6" t="s">
        <v>480</v>
      </c>
      <c r="N5734" s="6">
        <f>IF(OR($G5734="FCC",$G5734="Hydrocracker",$G5734="Reformer"),IF(COUNTIFS($D:$D,$D5734,$A:$A,$A5734,$B:$B,$B5734,$G:$G,"CDU",$J:$J,"PLANNED")&gt;0,"tied","standalone"),"")</f>
        <v/>
      </c>
    </row>
    <row r="5735" spans="1:14">
      <c r="A5735" s="6">
        <v>2025</v>
      </c>
      <c r="B5735" s="6">
        <v>4</v>
      </c>
      <c r="C5735" s="6" t="s">
        <v>63</v>
      </c>
      <c r="D5735" s="6" t="s">
        <v>375</v>
      </c>
      <c r="E5735" s="6" t="s">
        <v>435</v>
      </c>
      <c r="F5735" s="6" t="str">
        <f>IF($M5735="PADD I","PADD 1",IF($M5735="PADD II","PADD 2",IF($M5735="PADD III","PADD 3",IF($M5735="PADD IV","PADD 4",IF($M5735="PADD V","PADD 5","")))))</f>
        <v>PADD 5</v>
      </c>
      <c r="G5735" s="6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6" t="s">
        <v>618</v>
      </c>
      <c r="I5735" s="6" t="s">
        <v>654</v>
      </c>
      <c r="J5735" s="6" t="s">
        <v>394</v>
      </c>
      <c r="K5735" s="10">
        <v>1.5</v>
      </c>
      <c r="L5735" s="10">
        <v>1.5</v>
      </c>
      <c r="M5735" s="6" t="s">
        <v>436</v>
      </c>
      <c r="N5735" s="6">
        <f>IF(OR($G5735="FCC",$G5735="Hydrocracker",$G5735="Reformer"),IF(COUNTIFS($D:$D,$D5735,$A:$A,$A5735,$B:$B,$B5735,$G:$G,"CDU",$J:$J,"PLANNED")&gt;0,"tied","standalone"),"")</f>
        <v/>
      </c>
    </row>
    <row r="5736" spans="1:14">
      <c r="A5736" s="6">
        <v>2025</v>
      </c>
      <c r="B5736" s="6">
        <v>4</v>
      </c>
      <c r="C5736" s="6" t="s">
        <v>63</v>
      </c>
      <c r="D5736" s="6" t="s">
        <v>806</v>
      </c>
      <c r="E5736" s="6" t="s">
        <v>807</v>
      </c>
      <c r="F5736" s="6" t="str">
        <f>IF($M5736="PADD I","PADD 1",IF($M5736="PADD II","PADD 2",IF($M5736="PADD III","PADD 3",IF($M5736="PADD IV","PADD 4",IF($M5736="PADD V","PADD 5","")))))</f>
        <v>PADD 3</v>
      </c>
      <c r="G5736" s="6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6" t="s">
        <v>39</v>
      </c>
      <c r="I5736" s="6" t="s">
        <v>82</v>
      </c>
      <c r="J5736" s="6" t="s">
        <v>394</v>
      </c>
      <c r="K5736" s="10">
        <v>1.5</v>
      </c>
      <c r="L5736" s="10">
        <v>15</v>
      </c>
      <c r="M5736" s="6" t="s">
        <v>421</v>
      </c>
      <c r="N5736" s="6">
        <f>IF(OR($G5736="FCC",$G5736="Hydrocracker",$G5736="Reformer"),IF(COUNTIFS($D:$D,$D5736,$A:$A,$A5736,$B:$B,$B5736,$G:$G,"CDU",$J:$J,"PLANNED")&gt;0,"tied","standalone"),"")</f>
        <v/>
      </c>
    </row>
    <row r="5737" spans="1:14">
      <c r="A5737" s="6">
        <v>2025</v>
      </c>
      <c r="B5737" s="6">
        <v>4</v>
      </c>
      <c r="C5737" s="6" t="s">
        <v>63</v>
      </c>
      <c r="D5737" s="6" t="s">
        <v>765</v>
      </c>
      <c r="E5737" s="6" t="s">
        <v>766</v>
      </c>
      <c r="F5737" s="6" t="str">
        <f>IF($M5737="PADD I","PADD 1",IF($M5737="PADD II","PADD 2",IF($M5737="PADD III","PADD 3",IF($M5737="PADD IV","PADD 4",IF($M5737="PADD V","PADD 5","")))))</f>
        <v>PADD 2</v>
      </c>
      <c r="G5737" s="6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6" t="s">
        <v>44</v>
      </c>
      <c r="I5737" s="6" t="s">
        <v>508</v>
      </c>
      <c r="J5737" s="6" t="s">
        <v>398</v>
      </c>
      <c r="K5737" s="10">
        <v>1.495</v>
      </c>
      <c r="L5737" s="10">
        <v>6.5</v>
      </c>
      <c r="M5737" s="6" t="s">
        <v>425</v>
      </c>
      <c r="N5737" s="6">
        <f>IF(OR($G5737="FCC",$G5737="Hydrocracker",$G5737="Reformer"),IF(COUNTIFS($D:$D,$D5737,$A:$A,$A5737,$B:$B,$B5737,$G:$G,"CDU",$J:$J,"PLANNED")&gt;0,"tied","standalone"),"")</f>
        <v/>
      </c>
    </row>
    <row r="5738" spans="1:14">
      <c r="A5738" s="6">
        <v>2025</v>
      </c>
      <c r="B5738" s="6">
        <v>4</v>
      </c>
      <c r="C5738" s="6" t="s">
        <v>63</v>
      </c>
      <c r="D5738" s="6" t="s">
        <v>765</v>
      </c>
      <c r="E5738" s="6" t="s">
        <v>766</v>
      </c>
      <c r="F5738" s="6" t="str">
        <f>IF($M5738="PADD I","PADD 1",IF($M5738="PADD II","PADD 2",IF($M5738="PADD III","PADD 3",IF($M5738="PADD IV","PADD 4",IF($M5738="PADD V","PADD 5","")))))</f>
        <v>PADD 2</v>
      </c>
      <c r="G5738" s="6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6" t="s">
        <v>471</v>
      </c>
      <c r="I5738" s="6" t="s">
        <v>589</v>
      </c>
      <c r="J5738" s="6" t="s">
        <v>398</v>
      </c>
      <c r="K5738" s="10">
        <v>1.495</v>
      </c>
      <c r="L5738" s="10">
        <v>6.5</v>
      </c>
      <c r="M5738" s="6" t="s">
        <v>425</v>
      </c>
      <c r="N5738" s="6" t="str">
        <f>IF(OR($G5738="FCC",$G5738="Hydrocracker",$G5738="Reformer"),IF(COUNTIFS($D:$D,$D5738,$A:$A,$A5738,$B:$B,$B5738,$G:$G,"CDU",$J:$J,"PLANNED")&gt;0,"tied","standalone"),"")</f>
        <v>tied</v>
      </c>
    </row>
    <row r="5739" spans="1:14">
      <c r="A5739" s="6">
        <v>2025</v>
      </c>
      <c r="B5739" s="6">
        <v>4</v>
      </c>
      <c r="C5739" s="6" t="s">
        <v>63</v>
      </c>
      <c r="D5739" s="6" t="s">
        <v>662</v>
      </c>
      <c r="E5739" s="6" t="s">
        <v>466</v>
      </c>
      <c r="F5739" s="6" t="str">
        <f>IF($M5739="PADD I","PADD 1",IF($M5739="PADD II","PADD 2",IF($M5739="PADD III","PADD 3",IF($M5739="PADD IV","PADD 4",IF($M5739="PADD V","PADD 5","")))))</f>
        <v>PADD 3</v>
      </c>
      <c r="G5739" s="6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6" t="s">
        <v>485</v>
      </c>
      <c r="I5739" s="6" t="s">
        <v>491</v>
      </c>
      <c r="J5739" s="6" t="s">
        <v>394</v>
      </c>
      <c r="K5739" s="10">
        <v>1.32</v>
      </c>
      <c r="L5739" s="10">
        <v>44</v>
      </c>
      <c r="M5739" s="6" t="s">
        <v>421</v>
      </c>
      <c r="N5739" s="6">
        <f>IF(OR($G5739="FCC",$G5739="Hydrocracker",$G5739="Reformer"),IF(COUNTIFS($D:$D,$D5739,$A:$A,$A5739,$B:$B,$B5739,$G:$G,"CDU",$J:$J,"PLANNED")&gt;0,"tied","standalone"),"")</f>
        <v/>
      </c>
    </row>
    <row r="5740" spans="1:14">
      <c r="A5740" s="6">
        <v>2025</v>
      </c>
      <c r="B5740" s="6">
        <v>4</v>
      </c>
      <c r="C5740" s="6" t="s">
        <v>63</v>
      </c>
      <c r="D5740" s="6" t="s">
        <v>1336</v>
      </c>
      <c r="E5740" s="6" t="s">
        <v>1337</v>
      </c>
      <c r="F5740" s="6" t="str">
        <f>IF($M5740="PADD I","PADD 1",IF($M5740="PADD II","PADD 2",IF($M5740="PADD III","PADD 3",IF($M5740="PADD IV","PADD 4",IF($M5740="PADD V","PADD 5","")))))</f>
        <v>PADD 4</v>
      </c>
      <c r="G5740" s="6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6" t="s">
        <v>510</v>
      </c>
      <c r="I5740" s="6" t="s">
        <v>666</v>
      </c>
      <c r="J5740" s="6" t="s">
        <v>394</v>
      </c>
      <c r="K5740" s="10">
        <v>1.3</v>
      </c>
      <c r="L5740" s="10">
        <v>1.3</v>
      </c>
      <c r="M5740" s="6" t="s">
        <v>480</v>
      </c>
      <c r="N5740" s="6">
        <f>IF(OR($G5740="FCC",$G5740="Hydrocracker",$G5740="Reformer"),IF(COUNTIFS($D:$D,$D5740,$A:$A,$A5740,$B:$B,$B5740,$G:$G,"CDU",$J:$J,"PLANNED")&gt;0,"tied","standalone"),"")</f>
        <v/>
      </c>
    </row>
    <row r="5741" spans="1:14">
      <c r="A5741" s="6">
        <v>2025</v>
      </c>
      <c r="B5741" s="6">
        <v>4</v>
      </c>
      <c r="C5741" s="6" t="s">
        <v>63</v>
      </c>
      <c r="D5741" s="6" t="s">
        <v>445</v>
      </c>
      <c r="E5741" s="6" t="s">
        <v>446</v>
      </c>
      <c r="F5741" s="6" t="str">
        <f>IF($M5741="PADD I","PADD 1",IF($M5741="PADD II","PADD 2",IF($M5741="PADD III","PADD 3",IF($M5741="PADD IV","PADD 4",IF($M5741="PADD V","PADD 5","")))))</f>
        <v>PADD 3</v>
      </c>
      <c r="G5741" s="6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6" t="s">
        <v>44</v>
      </c>
      <c r="I5741" s="6" t="s">
        <v>600</v>
      </c>
      <c r="J5741" s="6" t="s">
        <v>394</v>
      </c>
      <c r="K5741" s="10">
        <v>1.233</v>
      </c>
      <c r="L5741" s="10">
        <v>41.1</v>
      </c>
      <c r="M5741" s="6" t="s">
        <v>421</v>
      </c>
      <c r="N5741" s="6">
        <f>IF(OR($G5741="FCC",$G5741="Hydrocracker",$G5741="Reformer"),IF(COUNTIFS($D:$D,$D5741,$A:$A,$A5741,$B:$B,$B5741,$G:$G,"CDU",$J:$J,"PLANNED")&gt;0,"tied","standalone"),"")</f>
        <v/>
      </c>
    </row>
    <row r="5742" spans="1:14">
      <c r="A5742" s="6">
        <v>2025</v>
      </c>
      <c r="B5742" s="6">
        <v>4</v>
      </c>
      <c r="C5742" s="6" t="s">
        <v>63</v>
      </c>
      <c r="D5742" s="6" t="s">
        <v>937</v>
      </c>
      <c r="E5742" s="6" t="s">
        <v>455</v>
      </c>
      <c r="F5742" s="6" t="str">
        <f>IF($M5742="PADD I","PADD 1",IF($M5742="PADD II","PADD 2",IF($M5742="PADD III","PADD 3",IF($M5742="PADD IV","PADD 4",IF($M5742="PADD V","PADD 5","")))))</f>
        <v>PADD 3</v>
      </c>
      <c r="G5742" s="6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6" t="s">
        <v>471</v>
      </c>
      <c r="I5742" s="6" t="s">
        <v>609</v>
      </c>
      <c r="J5742" s="6" t="s">
        <v>394</v>
      </c>
      <c r="K5742" s="10">
        <v>1.1</v>
      </c>
      <c r="L5742" s="10">
        <v>11</v>
      </c>
      <c r="M5742" s="6" t="s">
        <v>421</v>
      </c>
      <c r="N5742" s="6" t="str">
        <f>IF(OR($G5742="FCC",$G5742="Hydrocracker",$G5742="Reformer"),IF(COUNTIFS($D:$D,$D5742,$A:$A,$A5742,$B:$B,$B5742,$G:$G,"CDU",$J:$J,"PLANNED")&gt;0,"tied","standalone"),"")</f>
        <v>standalone</v>
      </c>
    </row>
    <row r="5743" spans="1:14">
      <c r="A5743" s="6">
        <v>2025</v>
      </c>
      <c r="B5743" s="6">
        <v>4</v>
      </c>
      <c r="C5743" s="6" t="s">
        <v>63</v>
      </c>
      <c r="D5743" s="6" t="s">
        <v>461</v>
      </c>
      <c r="E5743" s="6" t="s">
        <v>419</v>
      </c>
      <c r="F5743" s="6" t="str">
        <f>IF($M5743="PADD I","PADD 1",IF($M5743="PADD II","PADD 2",IF($M5743="PADD III","PADD 3",IF($M5743="PADD IV","PADD 4",IF($M5743="PADD V","PADD 5","")))))</f>
        <v>PADD 1</v>
      </c>
      <c r="G5743" s="6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6" t="s">
        <v>44</v>
      </c>
      <c r="I5743" s="6" t="s">
        <v>934</v>
      </c>
      <c r="J5743" s="6" t="s">
        <v>398</v>
      </c>
      <c r="K5743" s="10">
        <v>0.87</v>
      </c>
      <c r="L5743" s="10">
        <v>29</v>
      </c>
      <c r="M5743" s="6" t="s">
        <v>463</v>
      </c>
      <c r="N5743" s="6">
        <f>IF(OR($G5743="FCC",$G5743="Hydrocracker",$G5743="Reformer"),IF(COUNTIFS($D:$D,$D5743,$A:$A,$A5743,$B:$B,$B5743,$G:$G,"CDU",$J:$J,"PLANNED")&gt;0,"tied","standalone"),"")</f>
        <v/>
      </c>
    </row>
    <row r="5744" spans="1:14">
      <c r="A5744" s="6">
        <v>2025</v>
      </c>
      <c r="B5744" s="6">
        <v>4</v>
      </c>
      <c r="C5744" s="6" t="s">
        <v>63</v>
      </c>
      <c r="D5744" s="6" t="s">
        <v>461</v>
      </c>
      <c r="E5744" s="6" t="s">
        <v>419</v>
      </c>
      <c r="F5744" s="6" t="str">
        <f>IF($M5744="PADD I","PADD 1",IF($M5744="PADD II","PADD 2",IF($M5744="PADD III","PADD 3",IF($M5744="PADD IV","PADD 4",IF($M5744="PADD V","PADD 5","")))))</f>
        <v>PADD 1</v>
      </c>
      <c r="G5744" s="6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6" t="s">
        <v>471</v>
      </c>
      <c r="I5744" s="6" t="s">
        <v>936</v>
      </c>
      <c r="J5744" s="6" t="s">
        <v>398</v>
      </c>
      <c r="K5744" s="10">
        <v>0.78</v>
      </c>
      <c r="L5744" s="10">
        <v>26</v>
      </c>
      <c r="M5744" s="6" t="s">
        <v>463</v>
      </c>
      <c r="N5744" s="6" t="str">
        <f>IF(OR($G5744="FCC",$G5744="Hydrocracker",$G5744="Reformer"),IF(COUNTIFS($D:$D,$D5744,$A:$A,$A5744,$B:$B,$B5744,$G:$G,"CDU",$J:$J,"PLANNED")&gt;0,"tied","standalone"),"")</f>
        <v>tied</v>
      </c>
    </row>
    <row r="5745" spans="1:14">
      <c r="A5745" s="6">
        <v>2025</v>
      </c>
      <c r="B5745" s="6">
        <v>4</v>
      </c>
      <c r="C5745" s="6" t="s">
        <v>63</v>
      </c>
      <c r="D5745" s="6" t="s">
        <v>445</v>
      </c>
      <c r="E5745" s="6" t="s">
        <v>446</v>
      </c>
      <c r="F5745" s="6" t="str">
        <f>IF($M5745="PADD I","PADD 1",IF($M5745="PADD II","PADD 2",IF($M5745="PADD III","PADD 3",IF($M5745="PADD IV","PADD 4",IF($M5745="PADD V","PADD 5","")))))</f>
        <v>PADD 3</v>
      </c>
      <c r="G5745" s="6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6" t="s">
        <v>39</v>
      </c>
      <c r="I5745" s="6" t="s">
        <v>560</v>
      </c>
      <c r="J5745" s="6" t="s">
        <v>394</v>
      </c>
      <c r="K5745" s="10">
        <v>0.525</v>
      </c>
      <c r="L5745" s="10">
        <v>17.5</v>
      </c>
      <c r="M5745" s="6" t="s">
        <v>421</v>
      </c>
      <c r="N5745" s="6">
        <f>IF(OR($G5745="FCC",$G5745="Hydrocracker",$G5745="Reformer"),IF(COUNTIFS($D:$D,$D5745,$A:$A,$A5745,$B:$B,$B5745,$G:$G,"CDU",$J:$J,"PLANNED")&gt;0,"tied","standalone"),"")</f>
        <v/>
      </c>
    </row>
    <row r="5746" spans="1:14">
      <c r="A5746" s="6">
        <v>2025</v>
      </c>
      <c r="B5746" s="6">
        <v>4</v>
      </c>
      <c r="C5746" s="6" t="s">
        <v>63</v>
      </c>
      <c r="D5746" s="6" t="s">
        <v>501</v>
      </c>
      <c r="E5746" s="6" t="s">
        <v>502</v>
      </c>
      <c r="F5746" s="6" t="str">
        <f>IF($M5746="PADD I","PADD 1",IF($M5746="PADD II","PADD 2",IF($M5746="PADD III","PADD 3",IF($M5746="PADD IV","PADD 4",IF($M5746="PADD V","PADD 5","")))))</f>
        <v>PADD 2</v>
      </c>
      <c r="G5746" s="6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6" t="s">
        <v>618</v>
      </c>
      <c r="I5746" s="6" t="s">
        <v>654</v>
      </c>
      <c r="J5746" s="6" t="s">
        <v>398</v>
      </c>
      <c r="K5746" s="10">
        <v>0.517</v>
      </c>
      <c r="L5746" s="10">
        <v>1.1</v>
      </c>
      <c r="M5746" s="6" t="s">
        <v>425</v>
      </c>
      <c r="N5746" s="6">
        <f>IF(OR($G5746="FCC",$G5746="Hydrocracker",$G5746="Reformer"),IF(COUNTIFS($D:$D,$D5746,$A:$A,$A5746,$B:$B,$B5746,$G:$G,"CDU",$J:$J,"PLANNED")&gt;0,"tied","standalone"),"")</f>
        <v/>
      </c>
    </row>
    <row r="5747" spans="1:14">
      <c r="A5747" s="6">
        <v>2025</v>
      </c>
      <c r="B5747" s="6">
        <v>4</v>
      </c>
      <c r="C5747" s="6" t="s">
        <v>63</v>
      </c>
      <c r="D5747" s="6" t="s">
        <v>806</v>
      </c>
      <c r="E5747" s="6" t="s">
        <v>807</v>
      </c>
      <c r="F5747" s="6" t="str">
        <f>IF($M5747="PADD I","PADD 1",IF($M5747="PADD II","PADD 2",IF($M5747="PADD III","PADD 3",IF($M5747="PADD IV","PADD 4",IF($M5747="PADD V","PADD 5","")))))</f>
        <v>PADD 3</v>
      </c>
      <c r="G5747" s="6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6" t="s">
        <v>39</v>
      </c>
      <c r="I5747" s="6" t="s">
        <v>82</v>
      </c>
      <c r="J5747" s="6" t="s">
        <v>394</v>
      </c>
      <c r="K5747" s="10">
        <v>0.45</v>
      </c>
      <c r="L5747" s="10">
        <v>15</v>
      </c>
      <c r="M5747" s="6" t="s">
        <v>421</v>
      </c>
      <c r="N5747" s="6">
        <f>IF(OR($G5747="FCC",$G5747="Hydrocracker",$G5747="Reformer"),IF(COUNTIFS($D:$D,$D5747,$A:$A,$A5747,$B:$B,$B5747,$G:$G,"CDU",$J:$J,"PLANNED")&gt;0,"tied","standalone"),"")</f>
        <v/>
      </c>
    </row>
    <row r="5748" spans="1:14">
      <c r="A5748" s="6">
        <v>2025</v>
      </c>
      <c r="B5748" s="6">
        <v>4</v>
      </c>
      <c r="C5748" s="6" t="s">
        <v>63</v>
      </c>
      <c r="D5748" s="6" t="s">
        <v>49</v>
      </c>
      <c r="E5748" s="6" t="s">
        <v>438</v>
      </c>
      <c r="F5748" s="6" t="str">
        <f>IF($M5748="PADD I","PADD 1",IF($M5748="PADD II","PADD 2",IF($M5748="PADD III","PADD 3",IF($M5748="PADD IV","PADD 4",IF($M5748="PADD V","PADD 5","")))))</f>
        <v>PADD 2</v>
      </c>
      <c r="G5748" s="6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6" t="s">
        <v>485</v>
      </c>
      <c r="I5748" s="6" t="s">
        <v>681</v>
      </c>
      <c r="J5748" s="6" t="s">
        <v>394</v>
      </c>
      <c r="K5748" s="10">
        <v>0.36</v>
      </c>
      <c r="L5748" s="10">
        <v>12</v>
      </c>
      <c r="M5748" s="6" t="s">
        <v>425</v>
      </c>
      <c r="N5748" s="6">
        <f>IF(OR($G5748="FCC",$G5748="Hydrocracker",$G5748="Reformer"),IF(COUNTIFS($D:$D,$D5748,$A:$A,$A5748,$B:$B,$B5748,$G:$G,"CDU",$J:$J,"PLANNED")&gt;0,"tied","standalone"),"")</f>
        <v/>
      </c>
    </row>
    <row r="5749" spans="1:14">
      <c r="A5749" s="6">
        <v>2025</v>
      </c>
      <c r="B5749" s="6">
        <v>4</v>
      </c>
      <c r="C5749" s="6" t="s">
        <v>63</v>
      </c>
      <c r="D5749" s="6" t="s">
        <v>501</v>
      </c>
      <c r="E5749" s="6" t="s">
        <v>502</v>
      </c>
      <c r="F5749" s="6" t="str">
        <f>IF($M5749="PADD I","PADD 1",IF($M5749="PADD II","PADD 2",IF($M5749="PADD III","PADD 3",IF($M5749="PADD IV","PADD 4",IF($M5749="PADD V","PADD 5","")))))</f>
        <v>PADD 2</v>
      </c>
      <c r="G5749" s="6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6" t="s">
        <v>510</v>
      </c>
      <c r="I5749" s="6" t="s">
        <v>511</v>
      </c>
      <c r="J5749" s="6" t="s">
        <v>398</v>
      </c>
      <c r="K5749" s="10">
        <v>0.282</v>
      </c>
      <c r="L5749" s="10">
        <v>0.6</v>
      </c>
      <c r="M5749" s="6" t="s">
        <v>425</v>
      </c>
      <c r="N5749" s="6">
        <f>IF(OR($G5749="FCC",$G5749="Hydrocracker",$G5749="Reformer"),IF(COUNTIFS($D:$D,$D5749,$A:$A,$A5749,$B:$B,$B5749,$G:$G,"CDU",$J:$J,"PLANNED")&gt;0,"tied","standalone"),"")</f>
        <v/>
      </c>
    </row>
    <row r="5750" spans="1:14">
      <c r="A5750" s="6">
        <v>2025</v>
      </c>
      <c r="B5750" s="6">
        <v>4</v>
      </c>
      <c r="C5750" s="6" t="s">
        <v>63</v>
      </c>
      <c r="D5750" s="6" t="s">
        <v>849</v>
      </c>
      <c r="E5750" s="6" t="s">
        <v>441</v>
      </c>
      <c r="F5750" s="6" t="str">
        <f>IF($M5750="PADD I","PADD 1",IF($M5750="PADD II","PADD 2",IF($M5750="PADD III","PADD 3",IF($M5750="PADD IV","PADD 4",IF($M5750="PADD V","PADD 5","")))))</f>
        <v>PADD 4</v>
      </c>
      <c r="G5750" s="6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6" t="s">
        <v>510</v>
      </c>
      <c r="I5750" s="6" t="s">
        <v>958</v>
      </c>
      <c r="J5750" s="6" t="s">
        <v>394</v>
      </c>
      <c r="K5750" s="10">
        <v>0.168</v>
      </c>
      <c r="L5750" s="10">
        <v>5.6</v>
      </c>
      <c r="M5750" s="6" t="s">
        <v>480</v>
      </c>
      <c r="N5750" s="6">
        <f>IF(OR($G5750="FCC",$G5750="Hydrocracker",$G5750="Reformer"),IF(COUNTIFS($D:$D,$D5750,$A:$A,$A5750,$B:$B,$B5750,$G:$G,"CDU",$J:$J,"PLANNED")&gt;0,"tied","standalone"),"")</f>
        <v/>
      </c>
    </row>
    <row r="5751" spans="1:14">
      <c r="A5751" s="6">
        <v>2025</v>
      </c>
      <c r="B5751" s="6">
        <v>5</v>
      </c>
      <c r="C5751" s="6" t="s">
        <v>64</v>
      </c>
      <c r="D5751" s="6" t="s">
        <v>54</v>
      </c>
      <c r="E5751" s="6" t="s">
        <v>593</v>
      </c>
      <c r="F5751" s="6" t="str">
        <f>IF($M5751="PADD I","PADD 1",IF($M5751="PADD II","PADD 2",IF($M5751="PADD III","PADD 3",IF($M5751="PADD IV","PADD 4",IF($M5751="PADD V","PADD 5","")))))</f>
        <v>PADD 5</v>
      </c>
      <c r="G5751" s="6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6" t="s">
        <v>39</v>
      </c>
      <c r="I5751" s="6" t="s">
        <v>82</v>
      </c>
      <c r="J5751" s="6" t="s">
        <v>394</v>
      </c>
      <c r="K5751" s="10">
        <v>251</v>
      </c>
      <c r="L5751" s="10">
        <v>251</v>
      </c>
      <c r="M5751" s="6" t="s">
        <v>436</v>
      </c>
      <c r="N5751" s="6">
        <f>IF(OR($G5751="FCC",$G5751="Hydrocracker",$G5751="Reformer"),IF(COUNTIFS($D:$D,$D5751,$A:$A,$A5751,$B:$B,$B5751,$G:$G,"CDU",$J:$J,"PLANNED")&gt;0,"tied","standalone"),"")</f>
        <v/>
      </c>
    </row>
    <row r="5752" spans="1:14">
      <c r="A5752" s="6">
        <v>2025</v>
      </c>
      <c r="B5752" s="6">
        <v>5</v>
      </c>
      <c r="C5752" s="6" t="s">
        <v>64</v>
      </c>
      <c r="D5752" s="6" t="s">
        <v>789</v>
      </c>
      <c r="E5752" s="6" t="s">
        <v>455</v>
      </c>
      <c r="F5752" s="6" t="str">
        <f>IF($M5752="PADD I","PADD 1",IF($M5752="PADD II","PADD 2",IF($M5752="PADD III","PADD 3",IF($M5752="PADD IV","PADD 4",IF($M5752="PADD V","PADD 5","")))))</f>
        <v>PADD 2</v>
      </c>
      <c r="G5752" s="6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6" t="s">
        <v>39</v>
      </c>
      <c r="I5752" s="6" t="s">
        <v>134</v>
      </c>
      <c r="J5752" s="6" t="s">
        <v>394</v>
      </c>
      <c r="K5752" s="10">
        <v>88</v>
      </c>
      <c r="L5752" s="10">
        <v>88</v>
      </c>
      <c r="M5752" s="6" t="s">
        <v>425</v>
      </c>
      <c r="N5752" s="6">
        <f>IF(OR($G5752="FCC",$G5752="Hydrocracker",$G5752="Reformer"),IF(COUNTIFS($D:$D,$D5752,$A:$A,$A5752,$B:$B,$B5752,$G:$G,"CDU",$J:$J,"PLANNED")&gt;0,"tied","standalone"),"")</f>
        <v/>
      </c>
    </row>
    <row r="5753" spans="1:14">
      <c r="A5753" s="6">
        <v>2025</v>
      </c>
      <c r="B5753" s="6">
        <v>5</v>
      </c>
      <c r="C5753" s="6" t="s">
        <v>64</v>
      </c>
      <c r="D5753" s="6" t="s">
        <v>375</v>
      </c>
      <c r="E5753" s="6" t="s">
        <v>435</v>
      </c>
      <c r="F5753" s="6" t="str">
        <f>IF($M5753="PADD I","PADD 1",IF($M5753="PADD II","PADD 2",IF($M5753="PADD III","PADD 3",IF($M5753="PADD IV","PADD 4",IF($M5753="PADD V","PADD 5","")))))</f>
        <v>PADD 5</v>
      </c>
      <c r="G5753" s="6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6" t="s">
        <v>44</v>
      </c>
      <c r="I5753" s="6" t="s">
        <v>1335</v>
      </c>
      <c r="J5753" s="6" t="s">
        <v>394</v>
      </c>
      <c r="K5753" s="10">
        <v>77.5</v>
      </c>
      <c r="L5753" s="10">
        <v>77.5</v>
      </c>
      <c r="M5753" s="6" t="s">
        <v>436</v>
      </c>
      <c r="N5753" s="6">
        <f>IF(OR($G5753="FCC",$G5753="Hydrocracker",$G5753="Reformer"),IF(COUNTIFS($D:$D,$D5753,$A:$A,$A5753,$B:$B,$B5753,$G:$G,"CDU",$J:$J,"PLANNED")&gt;0,"tied","standalone"),"")</f>
        <v/>
      </c>
    </row>
    <row r="5754" spans="1:14">
      <c r="A5754" s="6">
        <v>2025</v>
      </c>
      <c r="B5754" s="6">
        <v>5</v>
      </c>
      <c r="C5754" s="6" t="s">
        <v>64</v>
      </c>
      <c r="D5754" s="6" t="s">
        <v>851</v>
      </c>
      <c r="E5754" s="6" t="s">
        <v>829</v>
      </c>
      <c r="F5754" s="6" t="str">
        <f>IF($M5754="PADD I","PADD 1",IF($M5754="PADD II","PADD 2",IF($M5754="PADD III","PADD 3",IF($M5754="PADD IV","PADD 4",IF($M5754="PADD V","PADD 5","")))))</f>
        <v>PADD 2</v>
      </c>
      <c r="G5754" s="6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6" t="s">
        <v>426</v>
      </c>
      <c r="I5754" s="6" t="s">
        <v>106</v>
      </c>
      <c r="J5754" s="6" t="s">
        <v>398</v>
      </c>
      <c r="K5754" s="10">
        <v>76.5</v>
      </c>
      <c r="L5754" s="10">
        <v>85</v>
      </c>
      <c r="M5754" s="6" t="s">
        <v>425</v>
      </c>
      <c r="N5754" s="6" t="str">
        <f>IF(OR($G5754="FCC",$G5754="Hydrocracker",$G5754="Reformer"),IF(COUNTIFS($D:$D,$D5754,$A:$A,$A5754,$B:$B,$B5754,$G:$G,"CDU",$J:$J,"PLANNED")&gt;0,"tied","standalone"),"")</f>
        <v>tied</v>
      </c>
    </row>
    <row r="5755" spans="1:14">
      <c r="A5755" s="6">
        <v>2025</v>
      </c>
      <c r="B5755" s="6">
        <v>5</v>
      </c>
      <c r="C5755" s="6" t="s">
        <v>64</v>
      </c>
      <c r="D5755" s="6" t="s">
        <v>375</v>
      </c>
      <c r="E5755" s="6" t="s">
        <v>435</v>
      </c>
      <c r="F5755" s="6" t="str">
        <f>IF($M5755="PADD I","PADD 1",IF($M5755="PADD II","PADD 2",IF($M5755="PADD III","PADD 3",IF($M5755="PADD IV","PADD 4",IF($M5755="PADD V","PADD 5","")))))</f>
        <v>PADD 5</v>
      </c>
      <c r="G5755" s="6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6" t="s">
        <v>426</v>
      </c>
      <c r="I5755" s="6" t="s">
        <v>554</v>
      </c>
      <c r="J5755" s="6" t="s">
        <v>394</v>
      </c>
      <c r="K5755" s="10">
        <v>70</v>
      </c>
      <c r="L5755" s="10">
        <v>70</v>
      </c>
      <c r="M5755" s="6" t="s">
        <v>436</v>
      </c>
      <c r="N5755" s="6" t="str">
        <f>IF(OR($G5755="FCC",$G5755="Hydrocracker",$G5755="Reformer"),IF(COUNTIFS($D:$D,$D5755,$A:$A,$A5755,$B:$B,$B5755,$G:$G,"CDU",$J:$J,"PLANNED")&gt;0,"tied","standalone"),"")</f>
        <v>standalone</v>
      </c>
    </row>
    <row r="5756" spans="1:14">
      <c r="A5756" s="6">
        <v>2025</v>
      </c>
      <c r="B5756" s="6">
        <v>5</v>
      </c>
      <c r="C5756" s="6" t="s">
        <v>64</v>
      </c>
      <c r="D5756" s="6" t="s">
        <v>665</v>
      </c>
      <c r="E5756" s="6" t="s">
        <v>455</v>
      </c>
      <c r="F5756" s="6" t="str">
        <f>IF($M5756="PADD I","PADD 1",IF($M5756="PADD II","PADD 2",IF($M5756="PADD III","PADD 3",IF($M5756="PADD IV","PADD 4",IF($M5756="PADD V","PADD 5","")))))</f>
        <v>PADD 5</v>
      </c>
      <c r="G5756" s="6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6" t="s">
        <v>426</v>
      </c>
      <c r="I5756" s="6" t="s">
        <v>106</v>
      </c>
      <c r="J5756" s="6" t="s">
        <v>394</v>
      </c>
      <c r="K5756" s="10">
        <v>66.98999999999999</v>
      </c>
      <c r="L5756" s="10">
        <v>77</v>
      </c>
      <c r="M5756" s="6" t="s">
        <v>436</v>
      </c>
      <c r="N5756" s="6" t="str">
        <f>IF(OR($G5756="FCC",$G5756="Hydrocracker",$G5756="Reformer"),IF(COUNTIFS($D:$D,$D5756,$A:$A,$A5756,$B:$B,$B5756,$G:$G,"CDU",$J:$J,"PLANNED")&gt;0,"tied","standalone"),"")</f>
        <v>standalone</v>
      </c>
    </row>
    <row r="5757" spans="1:14">
      <c r="A5757" s="6">
        <v>2025</v>
      </c>
      <c r="B5757" s="6">
        <v>5</v>
      </c>
      <c r="C5757" s="6" t="s">
        <v>64</v>
      </c>
      <c r="D5757" s="6" t="s">
        <v>54</v>
      </c>
      <c r="E5757" s="6" t="s">
        <v>593</v>
      </c>
      <c r="F5757" s="6" t="str">
        <f>IF($M5757="PADD I","PADD 1",IF($M5757="PADD II","PADD 2",IF($M5757="PADD III","PADD 3",IF($M5757="PADD IV","PADD 4",IF($M5757="PADD V","PADD 5","")))))</f>
        <v>PADD 5</v>
      </c>
      <c r="G5757" s="6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6" t="s">
        <v>485</v>
      </c>
      <c r="I5757" s="6" t="s">
        <v>491</v>
      </c>
      <c r="J5757" s="6" t="s">
        <v>394</v>
      </c>
      <c r="K5757" s="10">
        <v>55</v>
      </c>
      <c r="L5757" s="10">
        <v>55</v>
      </c>
      <c r="M5757" s="6" t="s">
        <v>436</v>
      </c>
      <c r="N5757" s="6">
        <f>IF(OR($G5757="FCC",$G5757="Hydrocracker",$G5757="Reformer"),IF(COUNTIFS($D:$D,$D5757,$A:$A,$A5757,$B:$B,$B5757,$G:$G,"CDU",$J:$J,"PLANNED")&gt;0,"tied","standalone"),"")</f>
        <v/>
      </c>
    </row>
    <row r="5758" spans="1:14">
      <c r="A5758" s="6">
        <v>2025</v>
      </c>
      <c r="B5758" s="6">
        <v>5</v>
      </c>
      <c r="C5758" s="6" t="s">
        <v>64</v>
      </c>
      <c r="D5758" s="6" t="s">
        <v>422</v>
      </c>
      <c r="E5758" s="6" t="s">
        <v>423</v>
      </c>
      <c r="F5758" s="6" t="str">
        <f>IF($M5758="PADD I","PADD 1",IF($M5758="PADD II","PADD 2",IF($M5758="PADD III","PADD 3",IF($M5758="PADD IV","PADD 4",IF($M5758="PADD V","PADD 5","")))))</f>
        <v>PADD 2</v>
      </c>
      <c r="G5758" s="6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6" t="s">
        <v>39</v>
      </c>
      <c r="I5758" s="6" t="s">
        <v>464</v>
      </c>
      <c r="J5758" s="6" t="s">
        <v>394</v>
      </c>
      <c r="K5758" s="10">
        <v>50</v>
      </c>
      <c r="L5758" s="10">
        <v>50</v>
      </c>
      <c r="M5758" s="6" t="s">
        <v>425</v>
      </c>
      <c r="N5758" s="6">
        <f>IF(OR($G5758="FCC",$G5758="Hydrocracker",$G5758="Reformer"),IF(COUNTIFS($D:$D,$D5758,$A:$A,$A5758,$B:$B,$B5758,$G:$G,"CDU",$J:$J,"PLANNED")&gt;0,"tied","standalone"),"")</f>
        <v/>
      </c>
    </row>
    <row r="5759" spans="1:14">
      <c r="A5759" s="6">
        <v>2025</v>
      </c>
      <c r="B5759" s="6">
        <v>5</v>
      </c>
      <c r="C5759" s="6" t="s">
        <v>64</v>
      </c>
      <c r="D5759" s="6" t="s">
        <v>371</v>
      </c>
      <c r="E5759" s="6" t="s">
        <v>419</v>
      </c>
      <c r="F5759" s="6" t="str">
        <f>IF($M5759="PADD I","PADD 1",IF($M5759="PADD II","PADD 2",IF($M5759="PADD III","PADD 3",IF($M5759="PADD IV","PADD 4",IF($M5759="PADD V","PADD 5","")))))</f>
        <v>PADD 2</v>
      </c>
      <c r="G5759" s="6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6" t="s">
        <v>39</v>
      </c>
      <c r="I5759" s="6" t="s">
        <v>1343</v>
      </c>
      <c r="J5759" s="6" t="s">
        <v>398</v>
      </c>
      <c r="K5759" s="10">
        <v>49.3</v>
      </c>
      <c r="L5759" s="10">
        <v>170</v>
      </c>
      <c r="M5759" s="6" t="s">
        <v>425</v>
      </c>
      <c r="N5759" s="6">
        <f>IF(OR($G5759="FCC",$G5759="Hydrocracker",$G5759="Reformer"),IF(COUNTIFS($D:$D,$D5759,$A:$A,$A5759,$B:$B,$B5759,$G:$G,"CDU",$J:$J,"PLANNED")&gt;0,"tied","standalone"),"")</f>
        <v/>
      </c>
    </row>
    <row r="5760" spans="1:14">
      <c r="A5760" s="6">
        <v>2025</v>
      </c>
      <c r="B5760" s="6">
        <v>5</v>
      </c>
      <c r="C5760" s="6" t="s">
        <v>64</v>
      </c>
      <c r="D5760" s="6" t="s">
        <v>375</v>
      </c>
      <c r="E5760" s="6" t="s">
        <v>435</v>
      </c>
      <c r="F5760" s="6" t="str">
        <f>IF($M5760="PADD I","PADD 1",IF($M5760="PADD II","PADD 2",IF($M5760="PADD III","PADD 3",IF($M5760="PADD IV","PADD 4",IF($M5760="PADD V","PADD 5","")))))</f>
        <v>PADD 5</v>
      </c>
      <c r="G5760" s="6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6" t="s">
        <v>494</v>
      </c>
      <c r="I5760" s="6" t="s">
        <v>548</v>
      </c>
      <c r="J5760" s="6" t="s">
        <v>394</v>
      </c>
      <c r="K5760" s="10">
        <v>42</v>
      </c>
      <c r="L5760" s="10">
        <v>42</v>
      </c>
      <c r="M5760" s="6" t="s">
        <v>436</v>
      </c>
      <c r="N5760" s="6" t="str">
        <f>IF(OR($G5760="FCC",$G5760="Hydrocracker",$G5760="Reformer"),IF(COUNTIFS($D:$D,$D5760,$A:$A,$A5760,$B:$B,$B5760,$G:$G,"CDU",$J:$J,"PLANNED")&gt;0,"tied","standalone"),"")</f>
        <v>standalone</v>
      </c>
    </row>
    <row r="5761" spans="1:14">
      <c r="A5761" s="6">
        <v>2025</v>
      </c>
      <c r="B5761" s="6">
        <v>5</v>
      </c>
      <c r="C5761" s="6" t="s">
        <v>64</v>
      </c>
      <c r="D5761" s="6" t="s">
        <v>422</v>
      </c>
      <c r="E5761" s="6" t="s">
        <v>423</v>
      </c>
      <c r="F5761" s="6" t="str">
        <f>IF($M5761="PADD I","PADD 1",IF($M5761="PADD II","PADD 2",IF($M5761="PADD III","PADD 3",IF($M5761="PADD IV","PADD 4",IF($M5761="PADD V","PADD 5","")))))</f>
        <v>PADD 2</v>
      </c>
      <c r="G5761" s="6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6" t="s">
        <v>471</v>
      </c>
      <c r="I5761" s="6" t="s">
        <v>473</v>
      </c>
      <c r="J5761" s="6" t="s">
        <v>398</v>
      </c>
      <c r="K5761" s="10">
        <v>40</v>
      </c>
      <c r="L5761" s="10">
        <v>40</v>
      </c>
      <c r="M5761" s="6" t="s">
        <v>425</v>
      </c>
      <c r="N5761" s="6" t="str">
        <f>IF(OR($G5761="FCC",$G5761="Hydrocracker",$G5761="Reformer"),IF(COUNTIFS($D:$D,$D5761,$A:$A,$A5761,$B:$B,$B5761,$G:$G,"CDU",$J:$J,"PLANNED")&gt;0,"tied","standalone"),"")</f>
        <v>standalone</v>
      </c>
    </row>
    <row r="5762" spans="1:14">
      <c r="A5762" s="6">
        <v>2025</v>
      </c>
      <c r="B5762" s="6">
        <v>5</v>
      </c>
      <c r="C5762" s="6" t="s">
        <v>64</v>
      </c>
      <c r="D5762" s="6" t="s">
        <v>382</v>
      </c>
      <c r="E5762" s="6" t="s">
        <v>431</v>
      </c>
      <c r="F5762" s="6" t="str">
        <f>IF($M5762="PADD I","PADD 1",IF($M5762="PADD II","PADD 2",IF($M5762="PADD III","PADD 3",IF($M5762="PADD IV","PADD 4",IF($M5762="PADD V","PADD 5","")))))</f>
        <v>PADD 3</v>
      </c>
      <c r="G5762" s="6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6" t="s">
        <v>44</v>
      </c>
      <c r="I5762" s="6" t="s">
        <v>993</v>
      </c>
      <c r="J5762" s="6" t="s">
        <v>394</v>
      </c>
      <c r="K5762" s="10">
        <v>40</v>
      </c>
      <c r="L5762" s="10">
        <v>40</v>
      </c>
      <c r="M5762" s="6" t="s">
        <v>421</v>
      </c>
      <c r="N5762" s="6">
        <f>IF(OR($G5762="FCC",$G5762="Hydrocracker",$G5762="Reformer"),IF(COUNTIFS($D:$D,$D5762,$A:$A,$A5762,$B:$B,$B5762,$G:$G,"CDU",$J:$J,"PLANNED")&gt;0,"tied","standalone"),"")</f>
        <v/>
      </c>
    </row>
    <row r="5763" spans="1:14">
      <c r="A5763" s="6">
        <v>2025</v>
      </c>
      <c r="B5763" s="6">
        <v>5</v>
      </c>
      <c r="C5763" s="6" t="s">
        <v>64</v>
      </c>
      <c r="D5763" s="6" t="s">
        <v>901</v>
      </c>
      <c r="E5763" s="6" t="s">
        <v>902</v>
      </c>
      <c r="F5763" s="6" t="str">
        <f>IF($M5763="PADD I","PADD 1",IF($M5763="PADD II","PADD 2",IF($M5763="PADD III","PADD 3",IF($M5763="PADD IV","PADD 4",IF($M5763="PADD V","PADD 5","")))))</f>
        <v>PADD 3</v>
      </c>
      <c r="G5763" s="6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6" t="s">
        <v>39</v>
      </c>
      <c r="I5763" s="6" t="s">
        <v>903</v>
      </c>
      <c r="J5763" s="6" t="s">
        <v>398</v>
      </c>
      <c r="K5763" s="10">
        <v>39.65</v>
      </c>
      <c r="L5763" s="10">
        <v>65</v>
      </c>
      <c r="M5763" s="6" t="s">
        <v>421</v>
      </c>
      <c r="N5763" s="6">
        <f>IF(OR($G5763="FCC",$G5763="Hydrocracker",$G5763="Reformer"),IF(COUNTIFS($D:$D,$D5763,$A:$A,$A5763,$B:$B,$B5763,$G:$G,"CDU",$J:$J,"PLANNED")&gt;0,"tied","standalone"),"")</f>
        <v/>
      </c>
    </row>
    <row r="5764" spans="1:14">
      <c r="A5764" s="6">
        <v>2025</v>
      </c>
      <c r="B5764" s="6">
        <v>5</v>
      </c>
      <c r="C5764" s="6" t="s">
        <v>64</v>
      </c>
      <c r="D5764" s="6" t="s">
        <v>901</v>
      </c>
      <c r="E5764" s="6" t="s">
        <v>902</v>
      </c>
      <c r="F5764" s="6" t="str">
        <f>IF($M5764="PADD I","PADD 1",IF($M5764="PADD II","PADD 2",IF($M5764="PADD III","PADD 3",IF($M5764="PADD IV","PADD 4",IF($M5764="PADD V","PADD 5","")))))</f>
        <v>PADD 3</v>
      </c>
      <c r="G5764" s="6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6" t="s">
        <v>39</v>
      </c>
      <c r="I5764" s="6" t="s">
        <v>904</v>
      </c>
      <c r="J5764" s="6" t="s">
        <v>398</v>
      </c>
      <c r="K5764" s="10">
        <v>39.65</v>
      </c>
      <c r="L5764" s="10">
        <v>65</v>
      </c>
      <c r="M5764" s="6" t="s">
        <v>421</v>
      </c>
      <c r="N5764" s="6">
        <f>IF(OR($G5764="FCC",$G5764="Hydrocracker",$G5764="Reformer"),IF(COUNTIFS($D:$D,$D5764,$A:$A,$A5764,$B:$B,$B5764,$G:$G,"CDU",$J:$J,"PLANNED")&gt;0,"tied","standalone"),"")</f>
        <v/>
      </c>
    </row>
    <row r="5765" spans="1:14">
      <c r="A5765" s="6">
        <v>2025</v>
      </c>
      <c r="B5765" s="6">
        <v>5</v>
      </c>
      <c r="C5765" s="6" t="s">
        <v>64</v>
      </c>
      <c r="D5765" s="6" t="s">
        <v>851</v>
      </c>
      <c r="E5765" s="6" t="s">
        <v>829</v>
      </c>
      <c r="F5765" s="6" t="str">
        <f>IF($M5765="PADD I","PADD 1",IF($M5765="PADD II","PADD 2",IF($M5765="PADD III","PADD 3",IF($M5765="PADD IV","PADD 4",IF($M5765="PADD V","PADD 5","")))))</f>
        <v>PADD 2</v>
      </c>
      <c r="G5765" s="6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6" t="s">
        <v>39</v>
      </c>
      <c r="I5765" s="6" t="s">
        <v>1027</v>
      </c>
      <c r="J5765" s="6" t="s">
        <v>398</v>
      </c>
      <c r="K5765" s="10">
        <v>39.15</v>
      </c>
      <c r="L5765" s="10">
        <v>135</v>
      </c>
      <c r="M5765" s="6" t="s">
        <v>425</v>
      </c>
      <c r="N5765" s="6">
        <f>IF(OR($G5765="FCC",$G5765="Hydrocracker",$G5765="Reformer"),IF(COUNTIFS($D:$D,$D5765,$A:$A,$A5765,$B:$B,$B5765,$G:$G,"CDU",$J:$J,"PLANNED")&gt;0,"tied","standalone"),"")</f>
        <v/>
      </c>
    </row>
    <row r="5766" spans="1:14">
      <c r="A5766" s="6">
        <v>2025</v>
      </c>
      <c r="B5766" s="6">
        <v>5</v>
      </c>
      <c r="C5766" s="6" t="s">
        <v>64</v>
      </c>
      <c r="D5766" s="6" t="s">
        <v>461</v>
      </c>
      <c r="E5766" s="6" t="s">
        <v>419</v>
      </c>
      <c r="F5766" s="6" t="str">
        <f>IF($M5766="PADD I","PADD 1",IF($M5766="PADD II","PADD 2",IF($M5766="PADD III","PADD 3",IF($M5766="PADD IV","PADD 4",IF($M5766="PADD V","PADD 5","")))))</f>
        <v>PADD 1</v>
      </c>
      <c r="G5766" s="6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6" t="s">
        <v>426</v>
      </c>
      <c r="I5766" s="6" t="s">
        <v>106</v>
      </c>
      <c r="J5766" s="6" t="s">
        <v>394</v>
      </c>
      <c r="K5766" s="10">
        <v>37.5</v>
      </c>
      <c r="L5766" s="10">
        <v>37.5</v>
      </c>
      <c r="M5766" s="6" t="s">
        <v>463</v>
      </c>
      <c r="N5766" s="6" t="str">
        <f>IF(OR($G5766="FCC",$G5766="Hydrocracker",$G5766="Reformer"),IF(COUNTIFS($D:$D,$D5766,$A:$A,$A5766,$B:$B,$B5766,$G:$G,"CDU",$J:$J,"PLANNED")&gt;0,"tied","standalone"),"")</f>
        <v>standalone</v>
      </c>
    </row>
    <row r="5767" spans="1:14">
      <c r="A5767" s="6">
        <v>2025</v>
      </c>
      <c r="B5767" s="6">
        <v>5</v>
      </c>
      <c r="C5767" s="6" t="s">
        <v>64</v>
      </c>
      <c r="D5767" s="6" t="s">
        <v>838</v>
      </c>
      <c r="E5767" s="6" t="s">
        <v>455</v>
      </c>
      <c r="F5767" s="6" t="str">
        <f>IF($M5767="PADD I","PADD 1",IF($M5767="PADD II","PADD 2",IF($M5767="PADD III","PADD 3",IF($M5767="PADD IV","PADD 4",IF($M5767="PADD V","PADD 5","")))))</f>
        <v>PADD 3</v>
      </c>
      <c r="G5767" s="6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6" t="s">
        <v>39</v>
      </c>
      <c r="I5767" s="6" t="s">
        <v>136</v>
      </c>
      <c r="J5767" s="6" t="s">
        <v>394</v>
      </c>
      <c r="K5767" s="10">
        <v>37.12</v>
      </c>
      <c r="L5767" s="10">
        <v>128</v>
      </c>
      <c r="M5767" s="6" t="s">
        <v>421</v>
      </c>
      <c r="N5767" s="6">
        <f>IF(OR($G5767="FCC",$G5767="Hydrocracker",$G5767="Reformer"),IF(COUNTIFS($D:$D,$D5767,$A:$A,$A5767,$B:$B,$B5767,$G:$G,"CDU",$J:$J,"PLANNED")&gt;0,"tied","standalone"),"")</f>
        <v/>
      </c>
    </row>
    <row r="5768" spans="1:14">
      <c r="A5768" s="6">
        <v>2025</v>
      </c>
      <c r="B5768" s="6">
        <v>5</v>
      </c>
      <c r="C5768" s="6" t="s">
        <v>64</v>
      </c>
      <c r="D5768" s="6" t="s">
        <v>422</v>
      </c>
      <c r="E5768" s="6" t="s">
        <v>423</v>
      </c>
      <c r="F5768" s="6" t="str">
        <f>IF($M5768="PADD I","PADD 1",IF($M5768="PADD II","PADD 2",IF($M5768="PADD III","PADD 3",IF($M5768="PADD IV","PADD 4",IF($M5768="PADD V","PADD 5","")))))</f>
        <v>PADD 2</v>
      </c>
      <c r="G5768" s="6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6" t="s">
        <v>494</v>
      </c>
      <c r="I5768" s="6" t="s">
        <v>495</v>
      </c>
      <c r="J5768" s="6" t="s">
        <v>398</v>
      </c>
      <c r="K5768" s="10">
        <v>35</v>
      </c>
      <c r="L5768" s="10">
        <v>35</v>
      </c>
      <c r="M5768" s="6" t="s">
        <v>425</v>
      </c>
      <c r="N5768" s="6" t="str">
        <f>IF(OR($G5768="FCC",$G5768="Hydrocracker",$G5768="Reformer"),IF(COUNTIFS($D:$D,$D5768,$A:$A,$A5768,$B:$B,$B5768,$G:$G,"CDU",$J:$J,"PLANNED")&gt;0,"tied","standalone"),"")</f>
        <v>standalone</v>
      </c>
    </row>
    <row r="5769" spans="1:14">
      <c r="A5769" s="6">
        <v>2025</v>
      </c>
      <c r="B5769" s="6">
        <v>5</v>
      </c>
      <c r="C5769" s="6" t="s">
        <v>64</v>
      </c>
      <c r="D5769" s="6" t="s">
        <v>422</v>
      </c>
      <c r="E5769" s="6" t="s">
        <v>423</v>
      </c>
      <c r="F5769" s="6" t="str">
        <f>IF($M5769="PADD I","PADD 1",IF($M5769="PADD II","PADD 2",IF($M5769="PADD III","PADD 3",IF($M5769="PADD IV","PADD 4",IF($M5769="PADD V","PADD 5","")))))</f>
        <v>PADD 2</v>
      </c>
      <c r="G5769" s="6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6" t="s">
        <v>39</v>
      </c>
      <c r="I5769" s="6" t="s">
        <v>464</v>
      </c>
      <c r="J5769" s="6" t="s">
        <v>394</v>
      </c>
      <c r="K5769" s="10">
        <v>33.6</v>
      </c>
      <c r="L5769" s="10">
        <v>40</v>
      </c>
      <c r="M5769" s="6" t="s">
        <v>425</v>
      </c>
      <c r="N5769" s="6">
        <f>IF(OR($G5769="FCC",$G5769="Hydrocracker",$G5769="Reformer"),IF(COUNTIFS($D:$D,$D5769,$A:$A,$A5769,$B:$B,$B5769,$G:$G,"CDU",$J:$J,"PLANNED")&gt;0,"tied","standalone"),"")</f>
        <v/>
      </c>
    </row>
    <row r="5770" spans="1:14">
      <c r="A5770" s="6">
        <v>2025</v>
      </c>
      <c r="B5770" s="6">
        <v>5</v>
      </c>
      <c r="C5770" s="6" t="s">
        <v>64</v>
      </c>
      <c r="D5770" s="6" t="s">
        <v>465</v>
      </c>
      <c r="E5770" s="6" t="s">
        <v>466</v>
      </c>
      <c r="F5770" s="6" t="str">
        <f>IF($M5770="PADD I","PADD 1",IF($M5770="PADD II","PADD 2",IF($M5770="PADD III","PADD 3",IF($M5770="PADD IV","PADD 4",IF($M5770="PADD V","PADD 5","")))))</f>
        <v>PADD 3</v>
      </c>
      <c r="G5770" s="6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6" t="s">
        <v>485</v>
      </c>
      <c r="I5770" s="6" t="s">
        <v>503</v>
      </c>
      <c r="J5770" s="6" t="s">
        <v>394</v>
      </c>
      <c r="K5770" s="10">
        <v>32.98</v>
      </c>
      <c r="L5770" s="10">
        <v>34</v>
      </c>
      <c r="M5770" s="6" t="s">
        <v>421</v>
      </c>
      <c r="N5770" s="6">
        <f>IF(OR($G5770="FCC",$G5770="Hydrocracker",$G5770="Reformer"),IF(COUNTIFS($D:$D,$D5770,$A:$A,$A5770,$B:$B,$B5770,$G:$G,"CDU",$J:$J,"PLANNED")&gt;0,"tied","standalone"),"")</f>
        <v/>
      </c>
    </row>
    <row r="5771" spans="1:14">
      <c r="A5771" s="6">
        <v>2025</v>
      </c>
      <c r="B5771" s="6">
        <v>5</v>
      </c>
      <c r="C5771" s="6" t="s">
        <v>64</v>
      </c>
      <c r="D5771" s="6" t="s">
        <v>461</v>
      </c>
      <c r="E5771" s="6" t="s">
        <v>419</v>
      </c>
      <c r="F5771" s="6" t="str">
        <f>IF($M5771="PADD I","PADD 1",IF($M5771="PADD II","PADD 2",IF($M5771="PADD III","PADD 3",IF($M5771="PADD IV","PADD 4",IF($M5771="PADD V","PADD 5","")))))</f>
        <v>PADD 1</v>
      </c>
      <c r="G5771" s="6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6" t="s">
        <v>39</v>
      </c>
      <c r="I5771" s="6" t="s">
        <v>579</v>
      </c>
      <c r="J5771" s="6" t="s">
        <v>394</v>
      </c>
      <c r="K5771" s="10">
        <v>32.38</v>
      </c>
      <c r="L5771" s="10">
        <v>32.38</v>
      </c>
      <c r="M5771" s="6" t="s">
        <v>463</v>
      </c>
      <c r="N5771" s="6">
        <f>IF(OR($G5771="FCC",$G5771="Hydrocracker",$G5771="Reformer"),IF(COUNTIFS($D:$D,$D5771,$A:$A,$A5771,$B:$B,$B5771,$G:$G,"CDU",$J:$J,"PLANNED")&gt;0,"tied","standalone"),"")</f>
        <v/>
      </c>
    </row>
    <row r="5772" spans="1:14">
      <c r="A5772" s="6">
        <v>2025</v>
      </c>
      <c r="B5772" s="6">
        <v>5</v>
      </c>
      <c r="C5772" s="6" t="s">
        <v>64</v>
      </c>
      <c r="D5772" s="6" t="s">
        <v>461</v>
      </c>
      <c r="E5772" s="6" t="s">
        <v>419</v>
      </c>
      <c r="F5772" s="6" t="str">
        <f>IF($M5772="PADD I","PADD 1",IF($M5772="PADD II","PADD 2",IF($M5772="PADD III","PADD 3",IF($M5772="PADD IV","PADD 4",IF($M5772="PADD V","PADD 5","")))))</f>
        <v>PADD 1</v>
      </c>
      <c r="G5772" s="6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6" t="s">
        <v>39</v>
      </c>
      <c r="I5772" s="6" t="s">
        <v>462</v>
      </c>
      <c r="J5772" s="6" t="s">
        <v>394</v>
      </c>
      <c r="K5772" s="10">
        <v>32.25</v>
      </c>
      <c r="L5772" s="10">
        <v>32.25</v>
      </c>
      <c r="M5772" s="6" t="s">
        <v>463</v>
      </c>
      <c r="N5772" s="6">
        <f>IF(OR($G5772="FCC",$G5772="Hydrocracker",$G5772="Reformer"),IF(COUNTIFS($D:$D,$D5772,$A:$A,$A5772,$B:$B,$B5772,$G:$G,"CDU",$J:$J,"PLANNED")&gt;0,"tied","standalone"),"")</f>
        <v/>
      </c>
    </row>
    <row r="5773" spans="1:14">
      <c r="A5773" s="6">
        <v>2025</v>
      </c>
      <c r="B5773" s="6">
        <v>5</v>
      </c>
      <c r="C5773" s="6" t="s">
        <v>64</v>
      </c>
      <c r="D5773" s="6" t="s">
        <v>789</v>
      </c>
      <c r="E5773" s="6" t="s">
        <v>455</v>
      </c>
      <c r="F5773" s="6" t="str">
        <f>IF($M5773="PADD I","PADD 1",IF($M5773="PADD II","PADD 2",IF($M5773="PADD III","PADD 3",IF($M5773="PADD IV","PADD 4",IF($M5773="PADD V","PADD 5","")))))</f>
        <v>PADD 2</v>
      </c>
      <c r="G5773" s="6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6" t="s">
        <v>44</v>
      </c>
      <c r="I5773" s="6" t="s">
        <v>739</v>
      </c>
      <c r="J5773" s="6" t="s">
        <v>398</v>
      </c>
      <c r="K5773" s="10">
        <v>32</v>
      </c>
      <c r="L5773" s="10">
        <v>32</v>
      </c>
      <c r="M5773" s="6" t="s">
        <v>425</v>
      </c>
      <c r="N5773" s="6">
        <f>IF(OR($G5773="FCC",$G5773="Hydrocracker",$G5773="Reformer"),IF(COUNTIFS($D:$D,$D5773,$A:$A,$A5773,$B:$B,$B5773,$G:$G,"CDU",$J:$J,"PLANNED")&gt;0,"tied","standalone"),"")</f>
        <v/>
      </c>
    </row>
    <row r="5774" spans="1:14">
      <c r="A5774" s="6">
        <v>2025</v>
      </c>
      <c r="B5774" s="6">
        <v>5</v>
      </c>
      <c r="C5774" s="6" t="s">
        <v>64</v>
      </c>
      <c r="D5774" s="6" t="s">
        <v>789</v>
      </c>
      <c r="E5774" s="6" t="s">
        <v>455</v>
      </c>
      <c r="F5774" s="6" t="str">
        <f>IF($M5774="PADD I","PADD 1",IF($M5774="PADD II","PADD 2",IF($M5774="PADD III","PADD 3",IF($M5774="PADD IV","PADD 4",IF($M5774="PADD V","PADD 5","")))))</f>
        <v>PADD 2</v>
      </c>
      <c r="G5774" s="6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6" t="s">
        <v>428</v>
      </c>
      <c r="I5774" s="6" t="s">
        <v>481</v>
      </c>
      <c r="J5774" s="6" t="s">
        <v>398</v>
      </c>
      <c r="K5774" s="10">
        <v>32</v>
      </c>
      <c r="L5774" s="10">
        <v>32</v>
      </c>
      <c r="M5774" s="6" t="s">
        <v>425</v>
      </c>
      <c r="N5774" s="6">
        <f>IF(OR($G5774="FCC",$G5774="Hydrocracker",$G5774="Reformer"),IF(COUNTIFS($D:$D,$D5774,$A:$A,$A5774,$B:$B,$B5774,$G:$G,"CDU",$J:$J,"PLANNED")&gt;0,"tied","standalone"),"")</f>
        <v/>
      </c>
    </row>
    <row r="5775" spans="1:14">
      <c r="A5775" s="6">
        <v>2025</v>
      </c>
      <c r="B5775" s="6">
        <v>5</v>
      </c>
      <c r="C5775" s="6" t="s">
        <v>64</v>
      </c>
      <c r="D5775" s="6" t="s">
        <v>789</v>
      </c>
      <c r="E5775" s="6" t="s">
        <v>455</v>
      </c>
      <c r="F5775" s="6" t="str">
        <f>IF($M5775="PADD I","PADD 1",IF($M5775="PADD II","PADD 2",IF($M5775="PADD III","PADD 3",IF($M5775="PADD IV","PADD 4",IF($M5775="PADD V","PADD 5","")))))</f>
        <v>PADD 2</v>
      </c>
      <c r="G5775" s="6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6" t="s">
        <v>44</v>
      </c>
      <c r="I5775" s="6" t="s">
        <v>790</v>
      </c>
      <c r="J5775" s="6" t="s">
        <v>394</v>
      </c>
      <c r="K5775" s="10">
        <v>32</v>
      </c>
      <c r="L5775" s="10">
        <v>32</v>
      </c>
      <c r="M5775" s="6" t="s">
        <v>425</v>
      </c>
      <c r="N5775" s="6">
        <f>IF(OR($G5775="FCC",$G5775="Hydrocracker",$G5775="Reformer"),IF(COUNTIFS($D:$D,$D5775,$A:$A,$A5775,$B:$B,$B5775,$G:$G,"CDU",$J:$J,"PLANNED")&gt;0,"tied","standalone"),"")</f>
        <v/>
      </c>
    </row>
    <row r="5776" spans="1:14">
      <c r="A5776" s="6">
        <v>2025</v>
      </c>
      <c r="B5776" s="6">
        <v>5</v>
      </c>
      <c r="C5776" s="6" t="s">
        <v>64</v>
      </c>
      <c r="D5776" s="6" t="s">
        <v>52</v>
      </c>
      <c r="E5776" s="6" t="s">
        <v>441</v>
      </c>
      <c r="F5776" s="6" t="str">
        <f>IF($M5776="PADD I","PADD 1",IF($M5776="PADD II","PADD 2",IF($M5776="PADD III","PADD 3",IF($M5776="PADD IV","PADD 4",IF($M5776="PADD V","PADD 5","")))))</f>
        <v>PADD 5</v>
      </c>
      <c r="G5776" s="6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6" t="s">
        <v>428</v>
      </c>
      <c r="I5776" s="6" t="s">
        <v>1085</v>
      </c>
      <c r="J5776" s="6" t="s">
        <v>394</v>
      </c>
      <c r="K5776" s="10">
        <v>30.59</v>
      </c>
      <c r="L5776" s="10">
        <v>161</v>
      </c>
      <c r="M5776" s="6" t="s">
        <v>436</v>
      </c>
      <c r="N5776" s="6">
        <f>IF(OR($G5776="FCC",$G5776="Hydrocracker",$G5776="Reformer"),IF(COUNTIFS($D:$D,$D5776,$A:$A,$A5776,$B:$B,$B5776,$G:$G,"CDU",$J:$J,"PLANNED")&gt;0,"tied","standalone"),"")</f>
        <v/>
      </c>
    </row>
    <row r="5777" spans="1:14">
      <c r="A5777" s="6">
        <v>2025</v>
      </c>
      <c r="B5777" s="6">
        <v>5</v>
      </c>
      <c r="C5777" s="6" t="s">
        <v>64</v>
      </c>
      <c r="D5777" s="6" t="s">
        <v>789</v>
      </c>
      <c r="E5777" s="6" t="s">
        <v>455</v>
      </c>
      <c r="F5777" s="6" t="str">
        <f>IF($M5777="PADD I","PADD 1",IF($M5777="PADD II","PADD 2",IF($M5777="PADD III","PADD 3",IF($M5777="PADD IV","PADD 4",IF($M5777="PADD V","PADD 5","")))))</f>
        <v>PADD 2</v>
      </c>
      <c r="G5777" s="6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6" t="s">
        <v>471</v>
      </c>
      <c r="I5777" s="6" t="s">
        <v>832</v>
      </c>
      <c r="J5777" s="6" t="s">
        <v>398</v>
      </c>
      <c r="K5777" s="10">
        <v>30</v>
      </c>
      <c r="L5777" s="10">
        <v>30</v>
      </c>
      <c r="M5777" s="6" t="s">
        <v>425</v>
      </c>
      <c r="N5777" s="6" t="str">
        <f>IF(OR($G5777="FCC",$G5777="Hydrocracker",$G5777="Reformer"),IF(COUNTIFS($D:$D,$D5777,$A:$A,$A5777,$B:$B,$B5777,$G:$G,"CDU",$J:$J,"PLANNED")&gt;0,"tied","standalone"),"")</f>
        <v>standalone</v>
      </c>
    </row>
    <row r="5778" spans="1:14">
      <c r="A5778" s="6">
        <v>2025</v>
      </c>
      <c r="B5778" s="6">
        <v>5</v>
      </c>
      <c r="C5778" s="6" t="s">
        <v>64</v>
      </c>
      <c r="D5778" s="6" t="s">
        <v>789</v>
      </c>
      <c r="E5778" s="6" t="s">
        <v>455</v>
      </c>
      <c r="F5778" s="6" t="str">
        <f>IF($M5778="PADD I","PADD 1",IF($M5778="PADD II","PADD 2",IF($M5778="PADD III","PADD 3",IF($M5778="PADD IV","PADD 4",IF($M5778="PADD V","PADD 5","")))))</f>
        <v>PADD 2</v>
      </c>
      <c r="G5778" s="6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6" t="s">
        <v>426</v>
      </c>
      <c r="I5778" s="6" t="s">
        <v>106</v>
      </c>
      <c r="J5778" s="6" t="s">
        <v>398</v>
      </c>
      <c r="K5778" s="10">
        <v>30</v>
      </c>
      <c r="L5778" s="10">
        <v>30</v>
      </c>
      <c r="M5778" s="6" t="s">
        <v>425</v>
      </c>
      <c r="N5778" s="6" t="str">
        <f>IF(OR($G5778="FCC",$G5778="Hydrocracker",$G5778="Reformer"),IF(COUNTIFS($D:$D,$D5778,$A:$A,$A5778,$B:$B,$B5778,$G:$G,"CDU",$J:$J,"PLANNED")&gt;0,"tied","standalone"),"")</f>
        <v>standalone</v>
      </c>
    </row>
    <row r="5779" spans="1:14">
      <c r="A5779" s="6">
        <v>2025</v>
      </c>
      <c r="B5779" s="6">
        <v>5</v>
      </c>
      <c r="C5779" s="6" t="s">
        <v>64</v>
      </c>
      <c r="D5779" s="6" t="s">
        <v>1169</v>
      </c>
      <c r="E5779" s="6" t="s">
        <v>1170</v>
      </c>
      <c r="F5779" s="6" t="str">
        <f>IF($M5779="PADD I","PADD 1",IF($M5779="PADD II","PADD 2",IF($M5779="PADD III","PADD 3",IF($M5779="PADD IV","PADD 4",IF($M5779="PADD V","PADD 5","")))))</f>
        <v>PADD 3</v>
      </c>
      <c r="G5779" s="6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6" t="s">
        <v>39</v>
      </c>
      <c r="I5779" s="6" t="s">
        <v>1171</v>
      </c>
      <c r="J5779" s="6" t="s">
        <v>398</v>
      </c>
      <c r="K5779" s="10">
        <v>27.5</v>
      </c>
      <c r="L5779" s="10">
        <v>50</v>
      </c>
      <c r="M5779" s="6" t="s">
        <v>421</v>
      </c>
      <c r="N5779" s="6">
        <f>IF(OR($G5779="FCC",$G5779="Hydrocracker",$G5779="Reformer"),IF(COUNTIFS($D:$D,$D5779,$A:$A,$A5779,$B:$B,$B5779,$G:$G,"CDU",$J:$J,"PLANNED")&gt;0,"tied","standalone"),"")</f>
        <v/>
      </c>
    </row>
    <row r="5780" spans="1:14">
      <c r="A5780" s="6">
        <v>2025</v>
      </c>
      <c r="B5780" s="6">
        <v>5</v>
      </c>
      <c r="C5780" s="6" t="s">
        <v>64</v>
      </c>
      <c r="D5780" s="6" t="s">
        <v>789</v>
      </c>
      <c r="E5780" s="6" t="s">
        <v>455</v>
      </c>
      <c r="F5780" s="6" t="str">
        <f>IF($M5780="PADD I","PADD 1",IF($M5780="PADD II","PADD 2",IF($M5780="PADD III","PADD 3",IF($M5780="PADD IV","PADD 4",IF($M5780="PADD V","PADD 5","")))))</f>
        <v>PADD 2</v>
      </c>
      <c r="G5780" s="6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6" t="s">
        <v>44</v>
      </c>
      <c r="I5780" s="6" t="s">
        <v>543</v>
      </c>
      <c r="J5780" s="6" t="s">
        <v>398</v>
      </c>
      <c r="K5780" s="10">
        <v>26.5</v>
      </c>
      <c r="L5780" s="10">
        <v>26.5</v>
      </c>
      <c r="M5780" s="6" t="s">
        <v>425</v>
      </c>
      <c r="N5780" s="6">
        <f>IF(OR($G5780="FCC",$G5780="Hydrocracker",$G5780="Reformer"),IF(COUNTIFS($D:$D,$D5780,$A:$A,$A5780,$B:$B,$B5780,$G:$G,"CDU",$J:$J,"PLANNED")&gt;0,"tied","standalone"),"")</f>
        <v/>
      </c>
    </row>
    <row r="5781" spans="1:14">
      <c r="A5781" s="6">
        <v>2025</v>
      </c>
      <c r="B5781" s="6">
        <v>5</v>
      </c>
      <c r="C5781" s="6" t="s">
        <v>64</v>
      </c>
      <c r="D5781" s="6" t="s">
        <v>375</v>
      </c>
      <c r="E5781" s="6" t="s">
        <v>435</v>
      </c>
      <c r="F5781" s="6" t="str">
        <f>IF($M5781="PADD I","PADD 1",IF($M5781="PADD II","PADD 2",IF($M5781="PADD III","PADD 3",IF($M5781="PADD IV","PADD 4",IF($M5781="PADD V","PADD 5","")))))</f>
        <v>PADD 5</v>
      </c>
      <c r="G5781" s="6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6" t="s">
        <v>44</v>
      </c>
      <c r="I5781" s="6" t="s">
        <v>1224</v>
      </c>
      <c r="J5781" s="6" t="s">
        <v>394</v>
      </c>
      <c r="K5781" s="10">
        <v>26.104</v>
      </c>
      <c r="L5781" s="10">
        <v>50.2</v>
      </c>
      <c r="M5781" s="6" t="s">
        <v>436</v>
      </c>
      <c r="N5781" s="6">
        <f>IF(OR($G5781="FCC",$G5781="Hydrocracker",$G5781="Reformer"),IF(COUNTIFS($D:$D,$D5781,$A:$A,$A5781,$B:$B,$B5781,$G:$G,"CDU",$J:$J,"PLANNED")&gt;0,"tied","standalone"),"")</f>
        <v/>
      </c>
    </row>
    <row r="5782" spans="1:14">
      <c r="A5782" s="6">
        <v>2025</v>
      </c>
      <c r="B5782" s="6">
        <v>5</v>
      </c>
      <c r="C5782" s="6" t="s">
        <v>64</v>
      </c>
      <c r="D5782" s="6" t="s">
        <v>375</v>
      </c>
      <c r="E5782" s="6" t="s">
        <v>435</v>
      </c>
      <c r="F5782" s="6" t="str">
        <f>IF($M5782="PADD I","PADD 1",IF($M5782="PADD II","PADD 2",IF($M5782="PADD III","PADD 3",IF($M5782="PADD IV","PADD 4",IF($M5782="PADD V","PADD 5","")))))</f>
        <v>PADD 5</v>
      </c>
      <c r="G5782" s="6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6" t="s">
        <v>39</v>
      </c>
      <c r="I5782" s="6" t="s">
        <v>94</v>
      </c>
      <c r="J5782" s="6" t="s">
        <v>394</v>
      </c>
      <c r="K5782" s="10">
        <v>26.04</v>
      </c>
      <c r="L5782" s="10">
        <v>54.25</v>
      </c>
      <c r="M5782" s="6" t="s">
        <v>436</v>
      </c>
      <c r="N5782" s="6">
        <f>IF(OR($G5782="FCC",$G5782="Hydrocracker",$G5782="Reformer"),IF(COUNTIFS($D:$D,$D5782,$A:$A,$A5782,$B:$B,$B5782,$G:$G,"CDU",$J:$J,"PLANNED")&gt;0,"tied","standalone"),"")</f>
        <v/>
      </c>
    </row>
    <row r="5783" spans="1:14">
      <c r="A5783" s="6">
        <v>2025</v>
      </c>
      <c r="B5783" s="6">
        <v>5</v>
      </c>
      <c r="C5783" s="6" t="s">
        <v>64</v>
      </c>
      <c r="D5783" s="6" t="s">
        <v>665</v>
      </c>
      <c r="E5783" s="6" t="s">
        <v>455</v>
      </c>
      <c r="F5783" s="6" t="str">
        <f>IF($M5783="PADD I","PADD 1",IF($M5783="PADD II","PADD 2",IF($M5783="PADD III","PADD 3",IF($M5783="PADD IV","PADD 4",IF($M5783="PADD V","PADD 5","")))))</f>
        <v>PADD 5</v>
      </c>
      <c r="G5783" s="6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6" t="s">
        <v>426</v>
      </c>
      <c r="I5783" s="6" t="s">
        <v>106</v>
      </c>
      <c r="J5783" s="6" t="s">
        <v>398</v>
      </c>
      <c r="K5783" s="10">
        <v>24.64</v>
      </c>
      <c r="L5783" s="10">
        <v>77</v>
      </c>
      <c r="M5783" s="6" t="s">
        <v>436</v>
      </c>
      <c r="N5783" s="6" t="str">
        <f>IF(OR($G5783="FCC",$G5783="Hydrocracker",$G5783="Reformer"),IF(COUNTIFS($D:$D,$D5783,$A:$A,$A5783,$B:$B,$B5783,$G:$G,"CDU",$J:$J,"PLANNED")&gt;0,"tied","standalone"),"")</f>
        <v>standalone</v>
      </c>
    </row>
    <row r="5784" spans="1:14">
      <c r="A5784" s="6">
        <v>2025</v>
      </c>
      <c r="B5784" s="6">
        <v>5</v>
      </c>
      <c r="C5784" s="6" t="s">
        <v>64</v>
      </c>
      <c r="D5784" s="6" t="s">
        <v>792</v>
      </c>
      <c r="E5784" s="6" t="s">
        <v>438</v>
      </c>
      <c r="F5784" s="6" t="str">
        <f>IF($M5784="PADD I","PADD 1",IF($M5784="PADD II","PADD 2",IF($M5784="PADD III","PADD 3",IF($M5784="PADD IV","PADD 4",IF($M5784="PADD V","PADD 5","")))))</f>
        <v>PADD 5</v>
      </c>
      <c r="G5784" s="6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6" t="s">
        <v>471</v>
      </c>
      <c r="I5784" s="6" t="s">
        <v>15</v>
      </c>
      <c r="J5784" s="6" t="s">
        <v>398</v>
      </c>
      <c r="K5784" s="10">
        <v>23.571</v>
      </c>
      <c r="L5784" s="10">
        <v>24.3</v>
      </c>
      <c r="M5784" s="6" t="s">
        <v>436</v>
      </c>
      <c r="N5784" s="6" t="str">
        <f>IF(OR($G5784="FCC",$G5784="Hydrocracker",$G5784="Reformer"),IF(COUNTIFS($D:$D,$D5784,$A:$A,$A5784,$B:$B,$B5784,$G:$G,"CDU",$J:$J,"PLANNED")&gt;0,"tied","standalone"),"")</f>
        <v>standalone</v>
      </c>
    </row>
    <row r="5785" spans="1:14">
      <c r="A5785" s="6">
        <v>2025</v>
      </c>
      <c r="B5785" s="6">
        <v>5</v>
      </c>
      <c r="C5785" s="6" t="s">
        <v>64</v>
      </c>
      <c r="D5785" s="6" t="s">
        <v>55</v>
      </c>
      <c r="E5785" s="6" t="s">
        <v>906</v>
      </c>
      <c r="F5785" s="6" t="str">
        <f>IF($M5785="PADD I","PADD 1",IF($M5785="PADD II","PADD 2",IF($M5785="PADD III","PADD 3",IF($M5785="PADD IV","PADD 4",IF($M5785="PADD V","PADD 5","")))))</f>
        <v>PADD 5</v>
      </c>
      <c r="G5785" s="6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6" t="s">
        <v>39</v>
      </c>
      <c r="I5785" s="6" t="s">
        <v>907</v>
      </c>
      <c r="J5785" s="6" t="s">
        <v>398</v>
      </c>
      <c r="K5785" s="10">
        <v>23.4</v>
      </c>
      <c r="L5785" s="10">
        <v>60</v>
      </c>
      <c r="M5785" s="6" t="s">
        <v>436</v>
      </c>
      <c r="N5785" s="6">
        <f>IF(OR($G5785="FCC",$G5785="Hydrocracker",$G5785="Reformer"),IF(COUNTIFS($D:$D,$D5785,$A:$A,$A5785,$B:$B,$B5785,$G:$G,"CDU",$J:$J,"PLANNED")&gt;0,"tied","standalone"),"")</f>
        <v/>
      </c>
    </row>
    <row r="5786" spans="1:14">
      <c r="A5786" s="6">
        <v>2025</v>
      </c>
      <c r="B5786" s="6">
        <v>5</v>
      </c>
      <c r="C5786" s="6" t="s">
        <v>64</v>
      </c>
      <c r="D5786" s="6" t="s">
        <v>777</v>
      </c>
      <c r="E5786" s="6" t="s">
        <v>778</v>
      </c>
      <c r="F5786" s="6" t="str">
        <f>IF($M5786="PADD I","PADD 1",IF($M5786="PADD II","PADD 2",IF($M5786="PADD III","PADD 3",IF($M5786="PADD IV","PADD 4",IF($M5786="PADD V","PADD 5","")))))</f>
        <v>PADD 1</v>
      </c>
      <c r="G5786" s="6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6" t="s">
        <v>39</v>
      </c>
      <c r="I5786" s="6" t="s">
        <v>82</v>
      </c>
      <c r="J5786" s="6" t="s">
        <v>398</v>
      </c>
      <c r="K5786" s="10">
        <v>23</v>
      </c>
      <c r="L5786" s="10">
        <v>23</v>
      </c>
      <c r="M5786" s="6" t="s">
        <v>463</v>
      </c>
      <c r="N5786" s="6">
        <f>IF(OR($G5786="FCC",$G5786="Hydrocracker",$G5786="Reformer"),IF(COUNTIFS($D:$D,$D5786,$A:$A,$A5786,$B:$B,$B5786,$G:$G,"CDU",$J:$J,"PLANNED")&gt;0,"tied","standalone"),"")</f>
        <v/>
      </c>
    </row>
    <row r="5787" spans="1:14">
      <c r="A5787" s="6">
        <v>2025</v>
      </c>
      <c r="B5787" s="6">
        <v>5</v>
      </c>
      <c r="C5787" s="6" t="s">
        <v>64</v>
      </c>
      <c r="D5787" s="6" t="s">
        <v>901</v>
      </c>
      <c r="E5787" s="6" t="s">
        <v>902</v>
      </c>
      <c r="F5787" s="6" t="str">
        <f>IF($M5787="PADD I","PADD 1",IF($M5787="PADD II","PADD 2",IF($M5787="PADD III","PADD 3",IF($M5787="PADD IV","PADD 4",IF($M5787="PADD V","PADD 5","")))))</f>
        <v>PADD 3</v>
      </c>
      <c r="G5787" s="6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6" t="s">
        <v>428</v>
      </c>
      <c r="I5787" s="6" t="s">
        <v>910</v>
      </c>
      <c r="J5787" s="6" t="s">
        <v>398</v>
      </c>
      <c r="K5787" s="10">
        <v>21.96</v>
      </c>
      <c r="L5787" s="10">
        <v>36</v>
      </c>
      <c r="M5787" s="6" t="s">
        <v>421</v>
      </c>
      <c r="N5787" s="6">
        <f>IF(OR($G5787="FCC",$G5787="Hydrocracker",$G5787="Reformer"),IF(COUNTIFS($D:$D,$D5787,$A:$A,$A5787,$B:$B,$B5787,$G:$G,"CDU",$J:$J,"PLANNED")&gt;0,"tied","standalone"),"")</f>
        <v/>
      </c>
    </row>
    <row r="5788" spans="1:14">
      <c r="A5788" s="6">
        <v>2025</v>
      </c>
      <c r="B5788" s="6">
        <v>5</v>
      </c>
      <c r="C5788" s="6" t="s">
        <v>64</v>
      </c>
      <c r="D5788" s="6" t="s">
        <v>461</v>
      </c>
      <c r="E5788" s="6" t="s">
        <v>419</v>
      </c>
      <c r="F5788" s="6" t="str">
        <f>IF($M5788="PADD I","PADD 1",IF($M5788="PADD II","PADD 2",IF($M5788="PADD III","PADD 3",IF($M5788="PADD IV","PADD 4",IF($M5788="PADD V","PADD 5","")))))</f>
        <v>PADD 1</v>
      </c>
      <c r="G5788" s="6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6" t="s">
        <v>44</v>
      </c>
      <c r="I5788" s="6" t="s">
        <v>508</v>
      </c>
      <c r="J5788" s="6" t="s">
        <v>394</v>
      </c>
      <c r="K5788" s="10">
        <v>21.25</v>
      </c>
      <c r="L5788" s="10">
        <v>21.25</v>
      </c>
      <c r="M5788" s="6" t="s">
        <v>463</v>
      </c>
      <c r="N5788" s="6">
        <f>IF(OR($G5788="FCC",$G5788="Hydrocracker",$G5788="Reformer"),IF(COUNTIFS($D:$D,$D5788,$A:$A,$A5788,$B:$B,$B5788,$G:$G,"CDU",$J:$J,"PLANNED")&gt;0,"tied","standalone"),"")</f>
        <v/>
      </c>
    </row>
    <row r="5789" spans="1:14">
      <c r="A5789" s="6">
        <v>2025</v>
      </c>
      <c r="B5789" s="6">
        <v>5</v>
      </c>
      <c r="C5789" s="6" t="s">
        <v>64</v>
      </c>
      <c r="D5789" s="6" t="s">
        <v>501</v>
      </c>
      <c r="E5789" s="6" t="s">
        <v>502</v>
      </c>
      <c r="F5789" s="6" t="str">
        <f>IF($M5789="PADD I","PADD 1",IF($M5789="PADD II","PADD 2",IF($M5789="PADD III","PADD 3",IF($M5789="PADD IV","PADD 4",IF($M5789="PADD V","PADD 5","")))))</f>
        <v>PADD 2</v>
      </c>
      <c r="G5789" s="6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6" t="s">
        <v>39</v>
      </c>
      <c r="I5789" s="6" t="s">
        <v>531</v>
      </c>
      <c r="J5789" s="6" t="s">
        <v>394</v>
      </c>
      <c r="K5789" s="10">
        <v>20.8</v>
      </c>
      <c r="L5789" s="10">
        <v>40</v>
      </c>
      <c r="M5789" s="6" t="s">
        <v>425</v>
      </c>
      <c r="N5789" s="6">
        <f>IF(OR($G5789="FCC",$G5789="Hydrocracker",$G5789="Reformer"),IF(COUNTIFS($D:$D,$D5789,$A:$A,$A5789,$B:$B,$B5789,$G:$G,"CDU",$J:$J,"PLANNED")&gt;0,"tied","standalone"),"")</f>
        <v/>
      </c>
    </row>
    <row r="5790" spans="1:14">
      <c r="A5790" s="6">
        <v>2025</v>
      </c>
      <c r="B5790" s="6">
        <v>5</v>
      </c>
      <c r="C5790" s="6" t="s">
        <v>64</v>
      </c>
      <c r="D5790" s="6" t="s">
        <v>838</v>
      </c>
      <c r="E5790" s="6" t="s">
        <v>455</v>
      </c>
      <c r="F5790" s="6" t="str">
        <f>IF($M5790="PADD I","PADD 1",IF($M5790="PADD II","PADD 2",IF($M5790="PADD III","PADD 3",IF($M5790="PADD IV","PADD 4",IF($M5790="PADD V","PADD 5","")))))</f>
        <v>PADD 3</v>
      </c>
      <c r="G5790" s="6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6" t="s">
        <v>39</v>
      </c>
      <c r="I5790" s="6" t="s">
        <v>136</v>
      </c>
      <c r="J5790" s="6" t="s">
        <v>394</v>
      </c>
      <c r="K5790" s="10">
        <v>20.48</v>
      </c>
      <c r="L5790" s="10">
        <v>128</v>
      </c>
      <c r="M5790" s="6" t="s">
        <v>421</v>
      </c>
      <c r="N5790" s="6">
        <f>IF(OR($G5790="FCC",$G5790="Hydrocracker",$G5790="Reformer"),IF(COUNTIFS($D:$D,$D5790,$A:$A,$A5790,$B:$B,$B5790,$G:$G,"CDU",$J:$J,"PLANNED")&gt;0,"tied","standalone"),"")</f>
        <v/>
      </c>
    </row>
    <row r="5791" spans="1:14">
      <c r="A5791" s="6">
        <v>2025</v>
      </c>
      <c r="B5791" s="6">
        <v>5</v>
      </c>
      <c r="C5791" s="6" t="s">
        <v>64</v>
      </c>
      <c r="D5791" s="6" t="s">
        <v>789</v>
      </c>
      <c r="E5791" s="6" t="s">
        <v>455</v>
      </c>
      <c r="F5791" s="6" t="str">
        <f>IF($M5791="PADD I","PADD 1",IF($M5791="PADD II","PADD 2",IF($M5791="PADD III","PADD 3",IF($M5791="PADD IV","PADD 4",IF($M5791="PADD V","PADD 5","")))))</f>
        <v>PADD 2</v>
      </c>
      <c r="G5791" s="6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6" t="s">
        <v>44</v>
      </c>
      <c r="I5791" s="6" t="s">
        <v>1246</v>
      </c>
      <c r="J5791" s="6" t="s">
        <v>398</v>
      </c>
      <c r="K5791" s="10">
        <v>20</v>
      </c>
      <c r="L5791" s="10">
        <v>20</v>
      </c>
      <c r="M5791" s="6" t="s">
        <v>425</v>
      </c>
      <c r="N5791" s="6">
        <f>IF(OR($G5791="FCC",$G5791="Hydrocracker",$G5791="Reformer"),IF(COUNTIFS($D:$D,$D5791,$A:$A,$A5791,$B:$B,$B5791,$G:$G,"CDU",$J:$J,"PLANNED")&gt;0,"tied","standalone"),"")</f>
        <v/>
      </c>
    </row>
    <row r="5792" spans="1:14">
      <c r="A5792" s="6">
        <v>2025</v>
      </c>
      <c r="B5792" s="6">
        <v>5</v>
      </c>
      <c r="C5792" s="6" t="s">
        <v>64</v>
      </c>
      <c r="D5792" s="6" t="s">
        <v>461</v>
      </c>
      <c r="E5792" s="6" t="s">
        <v>419</v>
      </c>
      <c r="F5792" s="6" t="str">
        <f>IF($M5792="PADD I","PADD 1",IF($M5792="PADD II","PADD 2",IF($M5792="PADD III","PADD 3",IF($M5792="PADD IV","PADD 4",IF($M5792="PADD V","PADD 5","")))))</f>
        <v>PADD 1</v>
      </c>
      <c r="G5792" s="6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6" t="s">
        <v>428</v>
      </c>
      <c r="I5792" s="6" t="s">
        <v>481</v>
      </c>
      <c r="J5792" s="6" t="s">
        <v>394</v>
      </c>
      <c r="K5792" s="10">
        <v>18.75</v>
      </c>
      <c r="L5792" s="10">
        <v>18.75</v>
      </c>
      <c r="M5792" s="6" t="s">
        <v>463</v>
      </c>
      <c r="N5792" s="6">
        <f>IF(OR($G5792="FCC",$G5792="Hydrocracker",$G5792="Reformer"),IF(COUNTIFS($D:$D,$D5792,$A:$A,$A5792,$B:$B,$B5792,$G:$G,"CDU",$J:$J,"PLANNED")&gt;0,"tied","standalone"),"")</f>
        <v/>
      </c>
    </row>
    <row r="5793" spans="1:14">
      <c r="A5793" s="6">
        <v>2025</v>
      </c>
      <c r="B5793" s="6">
        <v>5</v>
      </c>
      <c r="C5793" s="6" t="s">
        <v>64</v>
      </c>
      <c r="D5793" s="6" t="s">
        <v>665</v>
      </c>
      <c r="E5793" s="6" t="s">
        <v>455</v>
      </c>
      <c r="F5793" s="6" t="str">
        <f>IF($M5793="PADD I","PADD 1",IF($M5793="PADD II","PADD 2",IF($M5793="PADD III","PADD 3",IF($M5793="PADD IV","PADD 4",IF($M5793="PADD V","PADD 5","")))))</f>
        <v>PADD 5</v>
      </c>
      <c r="G5793" s="6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6" t="s">
        <v>39</v>
      </c>
      <c r="I5793" s="6" t="s">
        <v>1356</v>
      </c>
      <c r="J5793" s="6" t="s">
        <v>394</v>
      </c>
      <c r="K5793" s="10">
        <v>18.72</v>
      </c>
      <c r="L5793" s="10">
        <v>144</v>
      </c>
      <c r="M5793" s="6" t="s">
        <v>436</v>
      </c>
      <c r="N5793" s="6">
        <f>IF(OR($G5793="FCC",$G5793="Hydrocracker",$G5793="Reformer"),IF(COUNTIFS($D:$D,$D5793,$A:$A,$A5793,$B:$B,$B5793,$G:$G,"CDU",$J:$J,"PLANNED")&gt;0,"tied","standalone"),"")</f>
        <v/>
      </c>
    </row>
    <row r="5794" spans="1:14">
      <c r="A5794" s="6">
        <v>2025</v>
      </c>
      <c r="B5794" s="6">
        <v>5</v>
      </c>
      <c r="C5794" s="6" t="s">
        <v>64</v>
      </c>
      <c r="D5794" s="6" t="s">
        <v>820</v>
      </c>
      <c r="E5794" s="6" t="s">
        <v>710</v>
      </c>
      <c r="F5794" s="6" t="str">
        <f>IF($M5794="PADD I","PADD 1",IF($M5794="PADD II","PADD 2",IF($M5794="PADD III","PADD 3",IF($M5794="PADD IV","PADD 4",IF($M5794="PADD V","PADD 5","")))))</f>
        <v>PADD 3</v>
      </c>
      <c r="G5794" s="6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6" t="s">
        <v>485</v>
      </c>
      <c r="I5794" s="6" t="s">
        <v>491</v>
      </c>
      <c r="J5794" s="6" t="s">
        <v>398</v>
      </c>
      <c r="K5794" s="10">
        <v>18.56</v>
      </c>
      <c r="L5794" s="10">
        <v>32</v>
      </c>
      <c r="M5794" s="6" t="s">
        <v>421</v>
      </c>
      <c r="N5794" s="6">
        <f>IF(OR($G5794="FCC",$G5794="Hydrocracker",$G5794="Reformer"),IF(COUNTIFS($D:$D,$D5794,$A:$A,$A5794,$B:$B,$B5794,$G:$G,"CDU",$J:$J,"PLANNED")&gt;0,"tied","standalone"),"")</f>
        <v/>
      </c>
    </row>
    <row r="5795" spans="1:14">
      <c r="A5795" s="6">
        <v>2025</v>
      </c>
      <c r="B5795" s="6">
        <v>5</v>
      </c>
      <c r="C5795" s="6" t="s">
        <v>64</v>
      </c>
      <c r="D5795" s="6" t="s">
        <v>380</v>
      </c>
      <c r="E5795" s="6" t="s">
        <v>423</v>
      </c>
      <c r="F5795" s="6" t="str">
        <f>IF($M5795="PADD I","PADD 1",IF($M5795="PADD II","PADD 2",IF($M5795="PADD III","PADD 3",IF($M5795="PADD IV","PADD 4",IF($M5795="PADD V","PADD 5","")))))</f>
        <v>PADD 2</v>
      </c>
      <c r="G5795" s="6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6" t="s">
        <v>471</v>
      </c>
      <c r="I5795" s="6" t="s">
        <v>966</v>
      </c>
      <c r="J5795" s="6" t="s">
        <v>394</v>
      </c>
      <c r="K5795" s="10">
        <v>18</v>
      </c>
      <c r="L5795" s="10">
        <v>40</v>
      </c>
      <c r="M5795" s="6" t="s">
        <v>425</v>
      </c>
      <c r="N5795" s="6" t="str">
        <f>IF(OR($G5795="FCC",$G5795="Hydrocracker",$G5795="Reformer"),IF(COUNTIFS($D:$D,$D5795,$A:$A,$A5795,$B:$B,$B5795,$G:$G,"CDU",$J:$J,"PLANNED")&gt;0,"tied","standalone"),"")</f>
        <v>standalone</v>
      </c>
    </row>
    <row r="5796" spans="1:14">
      <c r="A5796" s="6">
        <v>2025</v>
      </c>
      <c r="B5796" s="6">
        <v>5</v>
      </c>
      <c r="C5796" s="6" t="s">
        <v>64</v>
      </c>
      <c r="D5796" s="6" t="s">
        <v>52</v>
      </c>
      <c r="E5796" s="6" t="s">
        <v>441</v>
      </c>
      <c r="F5796" s="6" t="str">
        <f>IF($M5796="PADD I","PADD 1",IF($M5796="PADD II","PADD 2",IF($M5796="PADD III","PADD 3",IF($M5796="PADD IV","PADD 4",IF($M5796="PADD V","PADD 5","")))))</f>
        <v>PADD 5</v>
      </c>
      <c r="G5796" s="6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6" t="s">
        <v>39</v>
      </c>
      <c r="I5796" s="6" t="s">
        <v>136</v>
      </c>
      <c r="J5796" s="6" t="s">
        <v>394</v>
      </c>
      <c r="K5796" s="10">
        <v>17.1</v>
      </c>
      <c r="L5796" s="10">
        <v>90</v>
      </c>
      <c r="M5796" s="6" t="s">
        <v>436</v>
      </c>
      <c r="N5796" s="6">
        <f>IF(OR($G5796="FCC",$G5796="Hydrocracker",$G5796="Reformer"),IF(COUNTIFS($D:$D,$D5796,$A:$A,$A5796,$B:$B,$B5796,$G:$G,"CDU",$J:$J,"PLANNED")&gt;0,"tied","standalone"),"")</f>
        <v/>
      </c>
    </row>
    <row r="5797" spans="1:14">
      <c r="A5797" s="6">
        <v>2025</v>
      </c>
      <c r="B5797" s="6">
        <v>5</v>
      </c>
      <c r="C5797" s="6" t="s">
        <v>64</v>
      </c>
      <c r="D5797" s="6" t="s">
        <v>851</v>
      </c>
      <c r="E5797" s="6" t="s">
        <v>829</v>
      </c>
      <c r="F5797" s="6" t="str">
        <f>IF($M5797="PADD I","PADD 1",IF($M5797="PADD II","PADD 2",IF($M5797="PADD III","PADD 3",IF($M5797="PADD IV","PADD 4",IF($M5797="PADD V","PADD 5","")))))</f>
        <v>PADD 2</v>
      </c>
      <c r="G5797" s="6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6" t="s">
        <v>39</v>
      </c>
      <c r="I5797" s="6" t="s">
        <v>1032</v>
      </c>
      <c r="J5797" s="6" t="s">
        <v>398</v>
      </c>
      <c r="K5797" s="10">
        <v>15.95</v>
      </c>
      <c r="L5797" s="10">
        <v>55</v>
      </c>
      <c r="M5797" s="6" t="s">
        <v>425</v>
      </c>
      <c r="N5797" s="6">
        <f>IF(OR($G5797="FCC",$G5797="Hydrocracker",$G5797="Reformer"),IF(COUNTIFS($D:$D,$D5797,$A:$A,$A5797,$B:$B,$B5797,$G:$G,"CDU",$J:$J,"PLANNED")&gt;0,"tied","standalone"),"")</f>
        <v/>
      </c>
    </row>
    <row r="5798" spans="1:14">
      <c r="A5798" s="6">
        <v>2025</v>
      </c>
      <c r="B5798" s="6">
        <v>5</v>
      </c>
      <c r="C5798" s="6" t="s">
        <v>64</v>
      </c>
      <c r="D5798" s="6" t="s">
        <v>765</v>
      </c>
      <c r="E5798" s="6" t="s">
        <v>766</v>
      </c>
      <c r="F5798" s="6" t="str">
        <f>IF($M5798="PADD I","PADD 1",IF($M5798="PADD II","PADD 2",IF($M5798="PADD III","PADD 3",IF($M5798="PADD IV","PADD 4",IF($M5798="PADD V","PADD 5","")))))</f>
        <v>PADD 2</v>
      </c>
      <c r="G5798" s="6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6" t="s">
        <v>39</v>
      </c>
      <c r="I5798" s="6" t="s">
        <v>1218</v>
      </c>
      <c r="J5798" s="6" t="s">
        <v>398</v>
      </c>
      <c r="K5798" s="10">
        <v>15.75</v>
      </c>
      <c r="L5798" s="10">
        <v>35</v>
      </c>
      <c r="M5798" s="6" t="s">
        <v>425</v>
      </c>
      <c r="N5798" s="6">
        <f>IF(OR($G5798="FCC",$G5798="Hydrocracker",$G5798="Reformer"),IF(COUNTIFS($D:$D,$D5798,$A:$A,$A5798,$B:$B,$B5798,$G:$G,"CDU",$J:$J,"PLANNED")&gt;0,"tied","standalone"),"")</f>
        <v/>
      </c>
    </row>
    <row r="5799" spans="1:14">
      <c r="A5799" s="6">
        <v>2025</v>
      </c>
      <c r="B5799" s="6">
        <v>5</v>
      </c>
      <c r="C5799" s="6" t="s">
        <v>64</v>
      </c>
      <c r="D5799" s="6" t="s">
        <v>382</v>
      </c>
      <c r="E5799" s="6" t="s">
        <v>431</v>
      </c>
      <c r="F5799" s="6" t="str">
        <f>IF($M5799="PADD I","PADD 1",IF($M5799="PADD II","PADD 2",IF($M5799="PADD III","PADD 3",IF($M5799="PADD IV","PADD 4",IF($M5799="PADD V","PADD 5","")))))</f>
        <v>PADD 3</v>
      </c>
      <c r="G5799" s="6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6" t="s">
        <v>426</v>
      </c>
      <c r="I5799" s="6" t="s">
        <v>106</v>
      </c>
      <c r="J5799" s="6" t="s">
        <v>394</v>
      </c>
      <c r="K5799" s="10">
        <v>15.6</v>
      </c>
      <c r="L5799" s="10">
        <v>120</v>
      </c>
      <c r="M5799" s="6" t="s">
        <v>421</v>
      </c>
      <c r="N5799" s="6" t="str">
        <f>IF(OR($G5799="FCC",$G5799="Hydrocracker",$G5799="Reformer"),IF(COUNTIFS($D:$D,$D5799,$A:$A,$A5799,$B:$B,$B5799,$G:$G,"CDU",$J:$J,"PLANNED")&gt;0,"tied","standalone"),"")</f>
        <v>standalone</v>
      </c>
    </row>
    <row r="5800" spans="1:14">
      <c r="A5800" s="6">
        <v>2025</v>
      </c>
      <c r="B5800" s="6">
        <v>5</v>
      </c>
      <c r="C5800" s="6" t="s">
        <v>64</v>
      </c>
      <c r="D5800" s="6" t="s">
        <v>375</v>
      </c>
      <c r="E5800" s="6" t="s">
        <v>435</v>
      </c>
      <c r="F5800" s="6" t="str">
        <f>IF($M5800="PADD I","PADD 1",IF($M5800="PADD II","PADD 2",IF($M5800="PADD III","PADD 3",IF($M5800="PADD IV","PADD 4",IF($M5800="PADD V","PADD 5","")))))</f>
        <v>PADD 5</v>
      </c>
      <c r="G5800" s="6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6" t="s">
        <v>428</v>
      </c>
      <c r="I5800" s="6" t="s">
        <v>481</v>
      </c>
      <c r="J5800" s="6" t="s">
        <v>394</v>
      </c>
      <c r="K5800" s="10">
        <v>15.12</v>
      </c>
      <c r="L5800" s="10">
        <v>31.5</v>
      </c>
      <c r="M5800" s="6" t="s">
        <v>436</v>
      </c>
      <c r="N5800" s="6">
        <f>IF(OR($G5800="FCC",$G5800="Hydrocracker",$G5800="Reformer"),IF(COUNTIFS($D:$D,$D5800,$A:$A,$A5800,$B:$B,$B5800,$G:$G,"CDU",$J:$J,"PLANNED")&gt;0,"tied","standalone"),"")</f>
        <v/>
      </c>
    </row>
    <row r="5801" spans="1:14">
      <c r="A5801" s="6">
        <v>2025</v>
      </c>
      <c r="B5801" s="6">
        <v>5</v>
      </c>
      <c r="C5801" s="6" t="s">
        <v>64</v>
      </c>
      <c r="D5801" s="6" t="s">
        <v>422</v>
      </c>
      <c r="E5801" s="6" t="s">
        <v>423</v>
      </c>
      <c r="F5801" s="6" t="str">
        <f>IF($M5801="PADD I","PADD 1",IF($M5801="PADD II","PADD 2",IF($M5801="PADD III","PADD 3",IF($M5801="PADD IV","PADD 4",IF($M5801="PADD V","PADD 5","")))))</f>
        <v>PADD 2</v>
      </c>
      <c r="G5801" s="6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6" t="s">
        <v>428</v>
      </c>
      <c r="I5801" s="6" t="s">
        <v>751</v>
      </c>
      <c r="J5801" s="6" t="s">
        <v>394</v>
      </c>
      <c r="K5801" s="10">
        <v>15.12</v>
      </c>
      <c r="L5801" s="10">
        <v>18</v>
      </c>
      <c r="M5801" s="6" t="s">
        <v>425</v>
      </c>
      <c r="N5801" s="6">
        <f>IF(OR($G5801="FCC",$G5801="Hydrocracker",$G5801="Reformer"),IF(COUNTIFS($D:$D,$D5801,$A:$A,$A5801,$B:$B,$B5801,$G:$G,"CDU",$J:$J,"PLANNED")&gt;0,"tied","standalone"),"")</f>
        <v/>
      </c>
    </row>
    <row r="5802" spans="1:14">
      <c r="A5802" s="6">
        <v>2025</v>
      </c>
      <c r="B5802" s="6">
        <v>5</v>
      </c>
      <c r="C5802" s="6" t="s">
        <v>64</v>
      </c>
      <c r="D5802" s="6" t="s">
        <v>865</v>
      </c>
      <c r="E5802" s="6" t="s">
        <v>502</v>
      </c>
      <c r="F5802" s="6" t="str">
        <f>IF($M5802="PADD I","PADD 1",IF($M5802="PADD II","PADD 2",IF($M5802="PADD III","PADD 3",IF($M5802="PADD IV","PADD 4",IF($M5802="PADD V","PADD 5","")))))</f>
        <v>PADD 4</v>
      </c>
      <c r="G5802" s="6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6" t="s">
        <v>426</v>
      </c>
      <c r="I5802" s="6" t="s">
        <v>886</v>
      </c>
      <c r="J5802" s="6" t="s">
        <v>398</v>
      </c>
      <c r="K5802" s="10">
        <v>14.96</v>
      </c>
      <c r="L5802" s="10">
        <v>22</v>
      </c>
      <c r="M5802" s="6" t="s">
        <v>480</v>
      </c>
      <c r="N5802" s="6" t="str">
        <f>IF(OR($G5802="FCC",$G5802="Hydrocracker",$G5802="Reformer"),IF(COUNTIFS($D:$D,$D5802,$A:$A,$A5802,$B:$B,$B5802,$G:$G,"CDU",$J:$J,"PLANNED")&gt;0,"tied","standalone"),"")</f>
        <v>standalone</v>
      </c>
    </row>
    <row r="5803" spans="1:14">
      <c r="A5803" s="6">
        <v>2025</v>
      </c>
      <c r="B5803" s="6">
        <v>5</v>
      </c>
      <c r="C5803" s="6" t="s">
        <v>64</v>
      </c>
      <c r="D5803" s="6" t="s">
        <v>375</v>
      </c>
      <c r="E5803" s="6" t="s">
        <v>435</v>
      </c>
      <c r="F5803" s="6" t="str">
        <f>IF($M5803="PADD I","PADD 1",IF($M5803="PADD II","PADD 2",IF($M5803="PADD III","PADD 3",IF($M5803="PADD IV","PADD 4",IF($M5803="PADD V","PADD 5","")))))</f>
        <v>PADD 5</v>
      </c>
      <c r="G5803" s="6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6" t="s">
        <v>44</v>
      </c>
      <c r="I5803" s="6" t="s">
        <v>551</v>
      </c>
      <c r="J5803" s="6" t="s">
        <v>394</v>
      </c>
      <c r="K5803" s="10">
        <v>14.56</v>
      </c>
      <c r="L5803" s="10">
        <v>28</v>
      </c>
      <c r="M5803" s="6" t="s">
        <v>436</v>
      </c>
      <c r="N5803" s="6">
        <f>IF(OR($G5803="FCC",$G5803="Hydrocracker",$G5803="Reformer"),IF(COUNTIFS($D:$D,$D5803,$A:$A,$A5803,$B:$B,$B5803,$G:$G,"CDU",$J:$J,"PLANNED")&gt;0,"tied","standalone"),"")</f>
        <v/>
      </c>
    </row>
    <row r="5804" spans="1:14">
      <c r="A5804" s="6">
        <v>2025</v>
      </c>
      <c r="B5804" s="6">
        <v>5</v>
      </c>
      <c r="C5804" s="6" t="s">
        <v>64</v>
      </c>
      <c r="D5804" s="6" t="s">
        <v>371</v>
      </c>
      <c r="E5804" s="6" t="s">
        <v>419</v>
      </c>
      <c r="F5804" s="6" t="str">
        <f>IF($M5804="PADD I","PADD 1",IF($M5804="PADD II","PADD 2",IF($M5804="PADD III","PADD 3",IF($M5804="PADD IV","PADD 4",IF($M5804="PADD V","PADD 5","")))))</f>
        <v>PADD 2</v>
      </c>
      <c r="G5804" s="6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6" t="s">
        <v>428</v>
      </c>
      <c r="I5804" s="6" t="s">
        <v>1344</v>
      </c>
      <c r="J5804" s="6" t="s">
        <v>398</v>
      </c>
      <c r="K5804" s="10">
        <v>14.5</v>
      </c>
      <c r="L5804" s="10">
        <v>50</v>
      </c>
      <c r="M5804" s="6" t="s">
        <v>425</v>
      </c>
      <c r="N5804" s="6">
        <f>IF(OR($G5804="FCC",$G5804="Hydrocracker",$G5804="Reformer"),IF(COUNTIFS($D:$D,$D5804,$A:$A,$A5804,$B:$B,$B5804,$G:$G,"CDU",$J:$J,"PLANNED")&gt;0,"tied","standalone"),"")</f>
        <v/>
      </c>
    </row>
    <row r="5805" spans="1:14">
      <c r="A5805" s="6">
        <v>2025</v>
      </c>
      <c r="B5805" s="6">
        <v>5</v>
      </c>
      <c r="C5805" s="6" t="s">
        <v>64</v>
      </c>
      <c r="D5805" s="6" t="s">
        <v>838</v>
      </c>
      <c r="E5805" s="6" t="s">
        <v>455</v>
      </c>
      <c r="F5805" s="6" t="str">
        <f>IF($M5805="PADD I","PADD 1",IF($M5805="PADD II","PADD 2",IF($M5805="PADD III","PADD 3",IF($M5805="PADD IV","PADD 4",IF($M5805="PADD V","PADD 5","")))))</f>
        <v>PADD 3</v>
      </c>
      <c r="G5805" s="6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6" t="s">
        <v>428</v>
      </c>
      <c r="I5805" s="6" t="s">
        <v>862</v>
      </c>
      <c r="J5805" s="6" t="s">
        <v>394</v>
      </c>
      <c r="K5805" s="10">
        <v>14.5</v>
      </c>
      <c r="L5805" s="10">
        <v>50</v>
      </c>
      <c r="M5805" s="6" t="s">
        <v>421</v>
      </c>
      <c r="N5805" s="6">
        <f>IF(OR($G5805="FCC",$G5805="Hydrocracker",$G5805="Reformer"),IF(COUNTIFS($D:$D,$D5805,$A:$A,$A5805,$B:$B,$B5805,$G:$G,"CDU",$J:$J,"PLANNED")&gt;0,"tied","standalone"),"")</f>
        <v/>
      </c>
    </row>
    <row r="5806" spans="1:14">
      <c r="A5806" s="6">
        <v>2025</v>
      </c>
      <c r="B5806" s="6">
        <v>5</v>
      </c>
      <c r="C5806" s="6" t="s">
        <v>64</v>
      </c>
      <c r="D5806" s="6" t="s">
        <v>1357</v>
      </c>
      <c r="E5806" s="6" t="s">
        <v>783</v>
      </c>
      <c r="F5806" s="6" t="str">
        <f>IF($M5806="PADD I","PADD 1",IF($M5806="PADD II","PADD 2",IF($M5806="PADD III","PADD 3",IF($M5806="PADD IV","PADD 4",IF($M5806="PADD V","PADD 5","")))))</f>
        <v>PADD 2</v>
      </c>
      <c r="G5806" s="6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6" t="s">
        <v>44</v>
      </c>
      <c r="I5806" s="6" t="s">
        <v>543</v>
      </c>
      <c r="J5806" s="6" t="s">
        <v>394</v>
      </c>
      <c r="K5806" s="10">
        <v>14.04</v>
      </c>
      <c r="L5806" s="10">
        <v>36</v>
      </c>
      <c r="M5806" s="6" t="s">
        <v>425</v>
      </c>
      <c r="N5806" s="6">
        <f>IF(OR($G5806="FCC",$G5806="Hydrocracker",$G5806="Reformer"),IF(COUNTIFS($D:$D,$D5806,$A:$A,$A5806,$B:$B,$B5806,$G:$G,"CDU",$J:$J,"PLANNED")&gt;0,"tied","standalone"),"")</f>
        <v/>
      </c>
    </row>
    <row r="5807" spans="1:14">
      <c r="A5807" s="6">
        <v>2025</v>
      </c>
      <c r="B5807" s="6">
        <v>5</v>
      </c>
      <c r="C5807" s="6" t="s">
        <v>64</v>
      </c>
      <c r="D5807" s="6" t="s">
        <v>789</v>
      </c>
      <c r="E5807" s="6" t="s">
        <v>455</v>
      </c>
      <c r="F5807" s="6" t="str">
        <f>IF($M5807="PADD I","PADD 1",IF($M5807="PADD II","PADD 2",IF($M5807="PADD III","PADD 3",IF($M5807="PADD IV","PADD 4",IF($M5807="PADD V","PADD 5","")))))</f>
        <v>PADD 2</v>
      </c>
      <c r="G5807" s="6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6" t="s">
        <v>494</v>
      </c>
      <c r="I5807" s="6" t="s">
        <v>845</v>
      </c>
      <c r="J5807" s="6" t="s">
        <v>394</v>
      </c>
      <c r="K5807" s="10">
        <v>14</v>
      </c>
      <c r="L5807" s="10">
        <v>14</v>
      </c>
      <c r="M5807" s="6" t="s">
        <v>425</v>
      </c>
      <c r="N5807" s="6" t="str">
        <f>IF(OR($G5807="FCC",$G5807="Hydrocracker",$G5807="Reformer"),IF(COUNTIFS($D:$D,$D5807,$A:$A,$A5807,$B:$B,$B5807,$G:$G,"CDU",$J:$J,"PLANNED")&gt;0,"tied","standalone"),"")</f>
        <v>standalone</v>
      </c>
    </row>
    <row r="5808" spans="1:14">
      <c r="A5808" s="6">
        <v>2025</v>
      </c>
      <c r="B5808" s="6">
        <v>5</v>
      </c>
      <c r="C5808" s="6" t="s">
        <v>64</v>
      </c>
      <c r="D5808" s="6" t="s">
        <v>592</v>
      </c>
      <c r="E5808" s="6" t="s">
        <v>593</v>
      </c>
      <c r="F5808" s="6" t="str">
        <f>IF($M5808="PADD I","PADD 1",IF($M5808="PADD II","PADD 2",IF($M5808="PADD III","PADD 3",IF($M5808="PADD IV","PADD 4",IF($M5808="PADD V","PADD 5","")))))</f>
        <v>PADD 2</v>
      </c>
      <c r="G5808" s="6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6" t="s">
        <v>471</v>
      </c>
      <c r="I5808" s="6" t="s">
        <v>1164</v>
      </c>
      <c r="J5808" s="6" t="s">
        <v>394</v>
      </c>
      <c r="K5808" s="10">
        <v>13.8</v>
      </c>
      <c r="L5808" s="10">
        <v>60</v>
      </c>
      <c r="M5808" s="6" t="s">
        <v>425</v>
      </c>
      <c r="N5808" s="6" t="str">
        <f>IF(OR($G5808="FCC",$G5808="Hydrocracker",$G5808="Reformer"),IF(COUNTIFS($D:$D,$D5808,$A:$A,$A5808,$B:$B,$B5808,$G:$G,"CDU",$J:$J,"PLANNED")&gt;0,"tied","standalone"),"")</f>
        <v>standalone</v>
      </c>
    </row>
    <row r="5809" spans="1:14">
      <c r="A5809" s="6">
        <v>2025</v>
      </c>
      <c r="B5809" s="6">
        <v>5</v>
      </c>
      <c r="C5809" s="6" t="s">
        <v>64</v>
      </c>
      <c r="D5809" s="6" t="s">
        <v>773</v>
      </c>
      <c r="E5809" s="6" t="s">
        <v>774</v>
      </c>
      <c r="F5809" s="6" t="str">
        <f>IF($M5809="PADD I","PADD 1",IF($M5809="PADD II","PADD 2",IF($M5809="PADD III","PADD 3",IF($M5809="PADD IV","PADD 4",IF($M5809="PADD V","PADD 5","")))))</f>
        <v>PADD 4</v>
      </c>
      <c r="G5809" s="6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6" t="s">
        <v>426</v>
      </c>
      <c r="I5809" s="6" t="s">
        <v>106</v>
      </c>
      <c r="J5809" s="6" t="s">
        <v>398</v>
      </c>
      <c r="K5809" s="10">
        <v>13.65</v>
      </c>
      <c r="L5809" s="10">
        <v>21</v>
      </c>
      <c r="M5809" s="6" t="s">
        <v>480</v>
      </c>
      <c r="N5809" s="6" t="str">
        <f>IF(OR($G5809="FCC",$G5809="Hydrocracker",$G5809="Reformer"),IF(COUNTIFS($D:$D,$D5809,$A:$A,$A5809,$B:$B,$B5809,$G:$G,"CDU",$J:$J,"PLANNED")&gt;0,"tied","standalone"),"")</f>
        <v>standalone</v>
      </c>
    </row>
    <row r="5810" spans="1:14">
      <c r="A5810" s="6">
        <v>2025</v>
      </c>
      <c r="B5810" s="6">
        <v>5</v>
      </c>
      <c r="C5810" s="6" t="s">
        <v>64</v>
      </c>
      <c r="D5810" s="6" t="s">
        <v>865</v>
      </c>
      <c r="E5810" s="6" t="s">
        <v>502</v>
      </c>
      <c r="F5810" s="6" t="str">
        <f>IF($M5810="PADD I","PADD 1",IF($M5810="PADD II","PADD 2",IF($M5810="PADD III","PADD 3",IF($M5810="PADD IV","PADD 4",IF($M5810="PADD V","PADD 5","")))))</f>
        <v>PADD 4</v>
      </c>
      <c r="G5810" s="6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6" t="s">
        <v>44</v>
      </c>
      <c r="I5810" s="6" t="s">
        <v>1352</v>
      </c>
      <c r="J5810" s="6" t="s">
        <v>398</v>
      </c>
      <c r="K5810" s="10">
        <v>13.6</v>
      </c>
      <c r="L5810" s="10">
        <v>20</v>
      </c>
      <c r="M5810" s="6" t="s">
        <v>480</v>
      </c>
      <c r="N5810" s="6">
        <f>IF(OR($G5810="FCC",$G5810="Hydrocracker",$G5810="Reformer"),IF(COUNTIFS($D:$D,$D5810,$A:$A,$A5810,$B:$B,$B5810,$G:$G,"CDU",$J:$J,"PLANNED")&gt;0,"tied","standalone"),"")</f>
        <v/>
      </c>
    </row>
    <row r="5811" spans="1:14">
      <c r="A5811" s="6">
        <v>2025</v>
      </c>
      <c r="B5811" s="6">
        <v>5</v>
      </c>
      <c r="C5811" s="6" t="s">
        <v>64</v>
      </c>
      <c r="D5811" s="6" t="s">
        <v>375</v>
      </c>
      <c r="E5811" s="6" t="s">
        <v>435</v>
      </c>
      <c r="F5811" s="6" t="str">
        <f>IF($M5811="PADD I","PADD 1",IF($M5811="PADD II","PADD 2",IF($M5811="PADD III","PADD 3",IF($M5811="PADD IV","PADD 4",IF($M5811="PADD V","PADD 5","")))))</f>
        <v>PADD 5</v>
      </c>
      <c r="G5811" s="6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6" t="s">
        <v>44</v>
      </c>
      <c r="I5811" s="6" t="s">
        <v>1233</v>
      </c>
      <c r="J5811" s="6" t="s">
        <v>394</v>
      </c>
      <c r="K5811" s="10">
        <v>13.52</v>
      </c>
      <c r="L5811" s="10">
        <v>26</v>
      </c>
      <c r="M5811" s="6" t="s">
        <v>436</v>
      </c>
      <c r="N5811" s="6">
        <f>IF(OR($G5811="FCC",$G5811="Hydrocracker",$G5811="Reformer"),IF(COUNTIFS($D:$D,$D5811,$A:$A,$A5811,$B:$B,$B5811,$G:$G,"CDU",$J:$J,"PLANNED")&gt;0,"tied","standalone"),"")</f>
        <v/>
      </c>
    </row>
    <row r="5812" spans="1:14">
      <c r="A5812" s="6">
        <v>2025</v>
      </c>
      <c r="B5812" s="6">
        <v>5</v>
      </c>
      <c r="C5812" s="6" t="s">
        <v>64</v>
      </c>
      <c r="D5812" s="6" t="s">
        <v>461</v>
      </c>
      <c r="E5812" s="6" t="s">
        <v>419</v>
      </c>
      <c r="F5812" s="6" t="str">
        <f>IF($M5812="PADD I","PADD 1",IF($M5812="PADD II","PADD 2",IF($M5812="PADD III","PADD 3",IF($M5812="PADD IV","PADD 4",IF($M5812="PADD V","PADD 5","")))))</f>
        <v>PADD 1</v>
      </c>
      <c r="G5812" s="6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6" t="s">
        <v>44</v>
      </c>
      <c r="I5812" s="6" t="s">
        <v>538</v>
      </c>
      <c r="J5812" s="6" t="s">
        <v>394</v>
      </c>
      <c r="K5812" s="10">
        <v>13.5</v>
      </c>
      <c r="L5812" s="10">
        <v>13.5</v>
      </c>
      <c r="M5812" s="6" t="s">
        <v>463</v>
      </c>
      <c r="N5812" s="6">
        <f>IF(OR($G5812="FCC",$G5812="Hydrocracker",$G5812="Reformer"),IF(COUNTIFS($D:$D,$D5812,$A:$A,$A5812,$B:$B,$B5812,$G:$G,"CDU",$J:$J,"PLANNED")&gt;0,"tied","standalone"),"")</f>
        <v/>
      </c>
    </row>
    <row r="5813" spans="1:14">
      <c r="A5813" s="6">
        <v>2025</v>
      </c>
      <c r="B5813" s="6">
        <v>5</v>
      </c>
      <c r="C5813" s="6" t="s">
        <v>64</v>
      </c>
      <c r="D5813" s="6" t="s">
        <v>592</v>
      </c>
      <c r="E5813" s="6" t="s">
        <v>593</v>
      </c>
      <c r="F5813" s="6" t="str">
        <f>IF($M5813="PADD I","PADD 1",IF($M5813="PADD II","PADD 2",IF($M5813="PADD III","PADD 3",IF($M5813="PADD IV","PADD 4",IF($M5813="PADD V","PADD 5","")))))</f>
        <v>PADD 2</v>
      </c>
      <c r="G5813" s="6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6" t="s">
        <v>471</v>
      </c>
      <c r="I5813" s="6" t="s">
        <v>1162</v>
      </c>
      <c r="J5813" s="6" t="s">
        <v>394</v>
      </c>
      <c r="K5813" s="10">
        <v>13.3</v>
      </c>
      <c r="L5813" s="10">
        <v>70</v>
      </c>
      <c r="M5813" s="6" t="s">
        <v>425</v>
      </c>
      <c r="N5813" s="6" t="str">
        <f>IF(OR($G5813="FCC",$G5813="Hydrocracker",$G5813="Reformer"),IF(COUNTIFS($D:$D,$D5813,$A:$A,$A5813,$B:$B,$B5813,$G:$G,"CDU",$J:$J,"PLANNED")&gt;0,"tied","standalone"),"")</f>
        <v>standalone</v>
      </c>
    </row>
    <row r="5814" spans="1:14">
      <c r="A5814" s="6">
        <v>2025</v>
      </c>
      <c r="B5814" s="6">
        <v>5</v>
      </c>
      <c r="C5814" s="6" t="s">
        <v>64</v>
      </c>
      <c r="D5814" s="6" t="s">
        <v>371</v>
      </c>
      <c r="E5814" s="6" t="s">
        <v>419</v>
      </c>
      <c r="F5814" s="6" t="str">
        <f>IF($M5814="PADD I","PADD 1",IF($M5814="PADD II","PADD 2",IF($M5814="PADD III","PADD 3",IF($M5814="PADD IV","PADD 4",IF($M5814="PADD V","PADD 5","")))))</f>
        <v>PADD 2</v>
      </c>
      <c r="G5814" s="6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6" t="s">
        <v>426</v>
      </c>
      <c r="I5814" s="6" t="s">
        <v>707</v>
      </c>
      <c r="J5814" s="6" t="s">
        <v>398</v>
      </c>
      <c r="K5814" s="10">
        <v>12.18</v>
      </c>
      <c r="L5814" s="10">
        <v>42</v>
      </c>
      <c r="M5814" s="6" t="s">
        <v>425</v>
      </c>
      <c r="N5814" s="6" t="str">
        <f>IF(OR($G5814="FCC",$G5814="Hydrocracker",$G5814="Reformer"),IF(COUNTIFS($D:$D,$D5814,$A:$A,$A5814,$B:$B,$B5814,$G:$G,"CDU",$J:$J,"PLANNED")&gt;0,"tied","standalone"),"")</f>
        <v>tied</v>
      </c>
    </row>
    <row r="5815" spans="1:14">
      <c r="A5815" s="6">
        <v>2025</v>
      </c>
      <c r="B5815" s="6">
        <v>5</v>
      </c>
      <c r="C5815" s="6" t="s">
        <v>64</v>
      </c>
      <c r="D5815" s="6" t="s">
        <v>851</v>
      </c>
      <c r="E5815" s="6" t="s">
        <v>829</v>
      </c>
      <c r="F5815" s="6" t="str">
        <f>IF($M5815="PADD I","PADD 1",IF($M5815="PADD II","PADD 2",IF($M5815="PADD III","PADD 3",IF($M5815="PADD IV","PADD 4",IF($M5815="PADD V","PADD 5","")))))</f>
        <v>PADD 2</v>
      </c>
      <c r="G5815" s="6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6" t="s">
        <v>44</v>
      </c>
      <c r="I5815" s="6" t="s">
        <v>1046</v>
      </c>
      <c r="J5815" s="6" t="s">
        <v>398</v>
      </c>
      <c r="K5815" s="10">
        <v>11.6</v>
      </c>
      <c r="L5815" s="10">
        <v>40</v>
      </c>
      <c r="M5815" s="6" t="s">
        <v>425</v>
      </c>
      <c r="N5815" s="6">
        <f>IF(OR($G5815="FCC",$G5815="Hydrocracker",$G5815="Reformer"),IF(COUNTIFS($D:$D,$D5815,$A:$A,$A5815,$B:$B,$B5815,$G:$G,"CDU",$J:$J,"PLANNED")&gt;0,"tied","standalone"),"")</f>
        <v/>
      </c>
    </row>
    <row r="5816" spans="1:14">
      <c r="A5816" s="6">
        <v>2025</v>
      </c>
      <c r="B5816" s="6">
        <v>5</v>
      </c>
      <c r="C5816" s="6" t="s">
        <v>64</v>
      </c>
      <c r="D5816" s="6" t="s">
        <v>375</v>
      </c>
      <c r="E5816" s="6" t="s">
        <v>435</v>
      </c>
      <c r="F5816" s="6" t="str">
        <f>IF($M5816="PADD I","PADD 1",IF($M5816="PADD II","PADD 2",IF($M5816="PADD III","PADD 3",IF($M5816="PADD IV","PADD 4",IF($M5816="PADD V","PADD 5","")))))</f>
        <v>PADD 5</v>
      </c>
      <c r="G5816" s="6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6" t="s">
        <v>485</v>
      </c>
      <c r="I5816" s="6" t="s">
        <v>491</v>
      </c>
      <c r="J5816" s="6" t="s">
        <v>394</v>
      </c>
      <c r="K5816" s="10">
        <v>11.44</v>
      </c>
      <c r="L5816" s="10">
        <v>22</v>
      </c>
      <c r="M5816" s="6" t="s">
        <v>436</v>
      </c>
      <c r="N5816" s="6">
        <f>IF(OR($G5816="FCC",$G5816="Hydrocracker",$G5816="Reformer"),IF(COUNTIFS($D:$D,$D5816,$A:$A,$A5816,$B:$B,$B5816,$G:$G,"CDU",$J:$J,"PLANNED")&gt;0,"tied","standalone"),"")</f>
        <v/>
      </c>
    </row>
    <row r="5817" spans="1:14">
      <c r="A5817" s="6">
        <v>2025</v>
      </c>
      <c r="B5817" s="6">
        <v>5</v>
      </c>
      <c r="C5817" s="6" t="s">
        <v>64</v>
      </c>
      <c r="D5817" s="6" t="s">
        <v>765</v>
      </c>
      <c r="E5817" s="6" t="s">
        <v>766</v>
      </c>
      <c r="F5817" s="6" t="str">
        <f>IF($M5817="PADD I","PADD 1",IF($M5817="PADD II","PADD 2",IF($M5817="PADD III","PADD 3",IF($M5817="PADD IV","PADD 4",IF($M5817="PADD V","PADD 5","")))))</f>
        <v>PADD 2</v>
      </c>
      <c r="G5817" s="6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6" t="s">
        <v>44</v>
      </c>
      <c r="I5817" s="6" t="s">
        <v>767</v>
      </c>
      <c r="J5817" s="6" t="s">
        <v>398</v>
      </c>
      <c r="K5817" s="10">
        <v>11.1</v>
      </c>
      <c r="L5817" s="10">
        <v>15</v>
      </c>
      <c r="M5817" s="6" t="s">
        <v>425</v>
      </c>
      <c r="N5817" s="6">
        <f>IF(OR($G5817="FCC",$G5817="Hydrocracker",$G5817="Reformer"),IF(COUNTIFS($D:$D,$D5817,$A:$A,$A5817,$B:$B,$B5817,$G:$G,"CDU",$J:$J,"PLANNED")&gt;0,"tied","standalone"),"")</f>
        <v/>
      </c>
    </row>
    <row r="5818" spans="1:14">
      <c r="A5818" s="6">
        <v>2025</v>
      </c>
      <c r="B5818" s="6">
        <v>5</v>
      </c>
      <c r="C5818" s="6" t="s">
        <v>64</v>
      </c>
      <c r="D5818" s="6" t="s">
        <v>838</v>
      </c>
      <c r="E5818" s="6" t="s">
        <v>455</v>
      </c>
      <c r="F5818" s="6" t="str">
        <f>IF($M5818="PADD I","PADD 1",IF($M5818="PADD II","PADD 2",IF($M5818="PADD III","PADD 3",IF($M5818="PADD IV","PADD 4",IF($M5818="PADD V","PADD 5","")))))</f>
        <v>PADD 3</v>
      </c>
      <c r="G5818" s="6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6" t="s">
        <v>471</v>
      </c>
      <c r="I5818" s="6" t="s">
        <v>832</v>
      </c>
      <c r="J5818" s="6" t="s">
        <v>394</v>
      </c>
      <c r="K5818" s="10">
        <v>10.24</v>
      </c>
      <c r="L5818" s="10">
        <v>32</v>
      </c>
      <c r="M5818" s="6" t="s">
        <v>421</v>
      </c>
      <c r="N5818" s="6" t="str">
        <f>IF(OR($G5818="FCC",$G5818="Hydrocracker",$G5818="Reformer"),IF(COUNTIFS($D:$D,$D5818,$A:$A,$A5818,$B:$B,$B5818,$G:$G,"CDU",$J:$J,"PLANNED")&gt;0,"tied","standalone"),"")</f>
        <v>standalone</v>
      </c>
    </row>
    <row r="5819" spans="1:14">
      <c r="A5819" s="6">
        <v>2025</v>
      </c>
      <c r="B5819" s="6">
        <v>5</v>
      </c>
      <c r="C5819" s="6" t="s">
        <v>64</v>
      </c>
      <c r="D5819" s="6" t="s">
        <v>820</v>
      </c>
      <c r="E5819" s="6" t="s">
        <v>710</v>
      </c>
      <c r="F5819" s="6" t="str">
        <f>IF($M5819="PADD I","PADD 1",IF($M5819="PADD II","PADD 2",IF($M5819="PADD III","PADD 3",IF($M5819="PADD IV","PADD 4",IF($M5819="PADD V","PADD 5","")))))</f>
        <v>PADD 3</v>
      </c>
      <c r="G5819" s="6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6" t="s">
        <v>39</v>
      </c>
      <c r="I5819" s="6" t="s">
        <v>821</v>
      </c>
      <c r="J5819" s="6" t="s">
        <v>394</v>
      </c>
      <c r="K5819" s="10">
        <v>10.08</v>
      </c>
      <c r="L5819" s="10">
        <v>63</v>
      </c>
      <c r="M5819" s="6" t="s">
        <v>421</v>
      </c>
      <c r="N5819" s="6">
        <f>IF(OR($G5819="FCC",$G5819="Hydrocracker",$G5819="Reformer"),IF(COUNTIFS($D:$D,$D5819,$A:$A,$A5819,$B:$B,$B5819,$G:$G,"CDU",$J:$J,"PLANNED")&gt;0,"tied","standalone"),"")</f>
        <v/>
      </c>
    </row>
    <row r="5820" spans="1:14">
      <c r="A5820" s="6">
        <v>2025</v>
      </c>
      <c r="B5820" s="6">
        <v>5</v>
      </c>
      <c r="C5820" s="6" t="s">
        <v>64</v>
      </c>
      <c r="D5820" s="6" t="s">
        <v>1003</v>
      </c>
      <c r="E5820" s="6" t="s">
        <v>783</v>
      </c>
      <c r="F5820" s="6" t="str">
        <f>IF($M5820="PADD I","PADD 1",IF($M5820="PADD II","PADD 2",IF($M5820="PADD III","PADD 3",IF($M5820="PADD IV","PADD 4",IF($M5820="PADD V","PADD 5","")))))</f>
        <v>PADD 2</v>
      </c>
      <c r="G5820" s="6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6" t="s">
        <v>44</v>
      </c>
      <c r="I5820" s="6" t="s">
        <v>570</v>
      </c>
      <c r="J5820" s="6" t="s">
        <v>394</v>
      </c>
      <c r="K5820" s="10">
        <v>9.361000000000001</v>
      </c>
      <c r="L5820" s="10">
        <v>40.7</v>
      </c>
      <c r="M5820" s="6" t="s">
        <v>425</v>
      </c>
      <c r="N5820" s="6">
        <f>IF(OR($G5820="FCC",$G5820="Hydrocracker",$G5820="Reformer"),IF(COUNTIFS($D:$D,$D5820,$A:$A,$A5820,$B:$B,$B5820,$G:$G,"CDU",$J:$J,"PLANNED")&gt;0,"tied","standalone"),"")</f>
        <v/>
      </c>
    </row>
    <row r="5821" spans="1:14">
      <c r="A5821" s="6">
        <v>2025</v>
      </c>
      <c r="B5821" s="6">
        <v>5</v>
      </c>
      <c r="C5821" s="6" t="s">
        <v>64</v>
      </c>
      <c r="D5821" s="6" t="s">
        <v>370</v>
      </c>
      <c r="E5821" s="6" t="s">
        <v>431</v>
      </c>
      <c r="F5821" s="6" t="str">
        <f>IF($M5821="PADD I","PADD 1",IF($M5821="PADD II","PADD 2",IF($M5821="PADD III","PADD 3",IF($M5821="PADD IV","PADD 4",IF($M5821="PADD V","PADD 5","")))))</f>
        <v>PADD 2</v>
      </c>
      <c r="G5821" s="6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6" t="s">
        <v>426</v>
      </c>
      <c r="I5821" s="6" t="s">
        <v>106</v>
      </c>
      <c r="J5821" s="6" t="s">
        <v>394</v>
      </c>
      <c r="K5821" s="10">
        <v>9.31</v>
      </c>
      <c r="L5821" s="10">
        <v>49</v>
      </c>
      <c r="M5821" s="6" t="s">
        <v>425</v>
      </c>
      <c r="N5821" s="6" t="str">
        <f>IF(OR($G5821="FCC",$G5821="Hydrocracker",$G5821="Reformer"),IF(COUNTIFS($D:$D,$D5821,$A:$A,$A5821,$B:$B,$B5821,$G:$G,"CDU",$J:$J,"PLANNED")&gt;0,"tied","standalone"),"")</f>
        <v>standalone</v>
      </c>
    </row>
    <row r="5822" spans="1:14">
      <c r="A5822" s="6">
        <v>2025</v>
      </c>
      <c r="B5822" s="6">
        <v>5</v>
      </c>
      <c r="C5822" s="6" t="s">
        <v>64</v>
      </c>
      <c r="D5822" s="6" t="s">
        <v>581</v>
      </c>
      <c r="E5822" s="6" t="s">
        <v>582</v>
      </c>
      <c r="F5822" s="6" t="str">
        <f>IF($M5822="PADD I","PADD 1",IF($M5822="PADD II","PADD 2",IF($M5822="PADD III","PADD 3",IF($M5822="PADD IV","PADD 4",IF($M5822="PADD V","PADD 5","")))))</f>
        <v>PADD 5</v>
      </c>
      <c r="G5822" s="6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6" t="s">
        <v>39</v>
      </c>
      <c r="I5822" s="6" t="s">
        <v>82</v>
      </c>
      <c r="J5822" s="6" t="s">
        <v>394</v>
      </c>
      <c r="K5822" s="10">
        <v>9.300000000000001</v>
      </c>
      <c r="L5822" s="10">
        <v>155</v>
      </c>
      <c r="M5822" s="6" t="s">
        <v>436</v>
      </c>
      <c r="N5822" s="6">
        <f>IF(OR($G5822="FCC",$G5822="Hydrocracker",$G5822="Reformer"),IF(COUNTIFS($D:$D,$D5822,$A:$A,$A5822,$B:$B,$B5822,$G:$G,"CDU",$J:$J,"PLANNED")&gt;0,"tied","standalone"),"")</f>
        <v/>
      </c>
    </row>
    <row r="5823" spans="1:14">
      <c r="A5823" s="6">
        <v>2025</v>
      </c>
      <c r="B5823" s="6">
        <v>5</v>
      </c>
      <c r="C5823" s="6" t="s">
        <v>64</v>
      </c>
      <c r="D5823" s="6" t="s">
        <v>838</v>
      </c>
      <c r="E5823" s="6" t="s">
        <v>455</v>
      </c>
      <c r="F5823" s="6" t="str">
        <f>IF($M5823="PADD I","PADD 1",IF($M5823="PADD II","PADD 2",IF($M5823="PADD III","PADD 3",IF($M5823="PADD IV","PADD 4",IF($M5823="PADD V","PADD 5","")))))</f>
        <v>PADD 3</v>
      </c>
      <c r="G5823" s="6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6" t="s">
        <v>494</v>
      </c>
      <c r="I5823" s="6" t="s">
        <v>881</v>
      </c>
      <c r="J5823" s="6" t="s">
        <v>394</v>
      </c>
      <c r="K5823" s="10">
        <v>8.800000000000001</v>
      </c>
      <c r="L5823" s="10">
        <v>55</v>
      </c>
      <c r="M5823" s="6" t="s">
        <v>421</v>
      </c>
      <c r="N5823" s="6" t="str">
        <f>IF(OR($G5823="FCC",$G5823="Hydrocracker",$G5823="Reformer"),IF(COUNTIFS($D:$D,$D5823,$A:$A,$A5823,$B:$B,$B5823,$G:$G,"CDU",$J:$J,"PLANNED")&gt;0,"tied","standalone"),"")</f>
        <v>standalone</v>
      </c>
    </row>
    <row r="5824" spans="1:14">
      <c r="A5824" s="6">
        <v>2025</v>
      </c>
      <c r="B5824" s="6">
        <v>5</v>
      </c>
      <c r="C5824" s="6" t="s">
        <v>64</v>
      </c>
      <c r="D5824" s="6" t="s">
        <v>865</v>
      </c>
      <c r="E5824" s="6" t="s">
        <v>502</v>
      </c>
      <c r="F5824" s="6" t="str">
        <f>IF($M5824="PADD I","PADD 1",IF($M5824="PADD II","PADD 2",IF($M5824="PADD III","PADD 3",IF($M5824="PADD IV","PADD 4",IF($M5824="PADD V","PADD 5","")))))</f>
        <v>PADD 4</v>
      </c>
      <c r="G5824" s="6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6" t="s">
        <v>471</v>
      </c>
      <c r="I5824" s="6" t="s">
        <v>882</v>
      </c>
      <c r="J5824" s="6" t="s">
        <v>398</v>
      </c>
      <c r="K5824" s="10">
        <v>8.5</v>
      </c>
      <c r="L5824" s="10">
        <v>12.5</v>
      </c>
      <c r="M5824" s="6" t="s">
        <v>480</v>
      </c>
      <c r="N5824" s="6" t="str">
        <f>IF(OR($G5824="FCC",$G5824="Hydrocracker",$G5824="Reformer"),IF(COUNTIFS($D:$D,$D5824,$A:$A,$A5824,$B:$B,$B5824,$G:$G,"CDU",$J:$J,"PLANNED")&gt;0,"tied","standalone"),"")</f>
        <v>standalone</v>
      </c>
    </row>
    <row r="5825" spans="1:14">
      <c r="A5825" s="6">
        <v>2025</v>
      </c>
      <c r="B5825" s="6">
        <v>5</v>
      </c>
      <c r="C5825" s="6" t="s">
        <v>64</v>
      </c>
      <c r="D5825" s="6" t="s">
        <v>777</v>
      </c>
      <c r="E5825" s="6" t="s">
        <v>778</v>
      </c>
      <c r="F5825" s="6" t="str">
        <f>IF($M5825="PADD I","PADD 1",IF($M5825="PADD II","PADD 2",IF($M5825="PADD III","PADD 3",IF($M5825="PADD IV","PADD 4",IF($M5825="PADD V","PADD 5","")))))</f>
        <v>PADD 1</v>
      </c>
      <c r="G5825" s="6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6" t="s">
        <v>428</v>
      </c>
      <c r="I5825" s="6" t="s">
        <v>481</v>
      </c>
      <c r="J5825" s="6" t="s">
        <v>398</v>
      </c>
      <c r="K5825" s="10">
        <v>8.5</v>
      </c>
      <c r="L5825" s="10">
        <v>8.5</v>
      </c>
      <c r="M5825" s="6" t="s">
        <v>463</v>
      </c>
      <c r="N5825" s="6">
        <f>IF(OR($G5825="FCC",$G5825="Hydrocracker",$G5825="Reformer"),IF(COUNTIFS($D:$D,$D5825,$A:$A,$A5825,$B:$B,$B5825,$G:$G,"CDU",$J:$J,"PLANNED")&gt;0,"tied","standalone"),"")</f>
        <v/>
      </c>
    </row>
    <row r="5826" spans="1:14">
      <c r="A5826" s="6">
        <v>2025</v>
      </c>
      <c r="B5826" s="6">
        <v>5</v>
      </c>
      <c r="C5826" s="6" t="s">
        <v>64</v>
      </c>
      <c r="D5826" s="6" t="s">
        <v>665</v>
      </c>
      <c r="E5826" s="6" t="s">
        <v>455</v>
      </c>
      <c r="F5826" s="6" t="str">
        <f>IF($M5826="PADD I","PADD 1",IF($M5826="PADD II","PADD 2",IF($M5826="PADD III","PADD 3",IF($M5826="PADD IV","PADD 4",IF($M5826="PADD V","PADD 5","")))))</f>
        <v>PADD 5</v>
      </c>
      <c r="G5826" s="6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6" t="s">
        <v>428</v>
      </c>
      <c r="I5826" s="6" t="s">
        <v>481</v>
      </c>
      <c r="J5826" s="6" t="s">
        <v>394</v>
      </c>
      <c r="K5826" s="10">
        <v>8.449999999999999</v>
      </c>
      <c r="L5826" s="10">
        <v>65</v>
      </c>
      <c r="M5826" s="6" t="s">
        <v>436</v>
      </c>
      <c r="N5826" s="6">
        <f>IF(OR($G5826="FCC",$G5826="Hydrocracker",$G5826="Reformer"),IF(COUNTIFS($D:$D,$D5826,$A:$A,$A5826,$B:$B,$B5826,$G:$G,"CDU",$J:$J,"PLANNED")&gt;0,"tied","standalone"),"")</f>
        <v/>
      </c>
    </row>
    <row r="5827" spans="1:14">
      <c r="A5827" s="6">
        <v>2025</v>
      </c>
      <c r="B5827" s="6">
        <v>5</v>
      </c>
      <c r="C5827" s="6" t="s">
        <v>64</v>
      </c>
      <c r="D5827" s="6" t="s">
        <v>375</v>
      </c>
      <c r="E5827" s="6" t="s">
        <v>435</v>
      </c>
      <c r="F5827" s="6" t="str">
        <f>IF($M5827="PADD I","PADD 1",IF($M5827="PADD II","PADD 2",IF($M5827="PADD III","PADD 3",IF($M5827="PADD IV","PADD 4",IF($M5827="PADD V","PADD 5","")))))</f>
        <v>PADD 5</v>
      </c>
      <c r="G5827" s="6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6" t="s">
        <v>44</v>
      </c>
      <c r="I5827" s="6" t="s">
        <v>1224</v>
      </c>
      <c r="J5827" s="6" t="s">
        <v>394</v>
      </c>
      <c r="K5827" s="10">
        <v>8.4336</v>
      </c>
      <c r="L5827" s="10">
        <v>17.57</v>
      </c>
      <c r="M5827" s="6" t="s">
        <v>436</v>
      </c>
      <c r="N5827" s="6">
        <f>IF(OR($G5827="FCC",$G5827="Hydrocracker",$G5827="Reformer"),IF(COUNTIFS($D:$D,$D5827,$A:$A,$A5827,$B:$B,$B5827,$G:$G,"CDU",$J:$J,"PLANNED")&gt;0,"tied","standalone"),"")</f>
        <v/>
      </c>
    </row>
    <row r="5828" spans="1:14">
      <c r="A5828" s="6">
        <v>2025</v>
      </c>
      <c r="B5828" s="6">
        <v>5</v>
      </c>
      <c r="C5828" s="6" t="s">
        <v>64</v>
      </c>
      <c r="D5828" s="6" t="s">
        <v>652</v>
      </c>
      <c r="E5828" s="6" t="s">
        <v>419</v>
      </c>
      <c r="F5828" s="6" t="str">
        <f>IF($M5828="PADD I","PADD 1",IF($M5828="PADD II","PADD 2",IF($M5828="PADD III","PADD 3",IF($M5828="PADD IV","PADD 4",IF($M5828="PADD V","PADD 5","")))))</f>
        <v>PADD 2</v>
      </c>
      <c r="G5828" s="6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6" t="s">
        <v>485</v>
      </c>
      <c r="I5828" s="6" t="s">
        <v>491</v>
      </c>
      <c r="J5828" s="6" t="s">
        <v>394</v>
      </c>
      <c r="K5828" s="10">
        <v>8.085000000000001</v>
      </c>
      <c r="L5828" s="10">
        <v>23.1</v>
      </c>
      <c r="M5828" s="6" t="s">
        <v>425</v>
      </c>
      <c r="N5828" s="6">
        <f>IF(OR($G5828="FCC",$G5828="Hydrocracker",$G5828="Reformer"),IF(COUNTIFS($D:$D,$D5828,$A:$A,$A5828,$B:$B,$B5828,$G:$G,"CDU",$J:$J,"PLANNED")&gt;0,"tied","standalone"),"")</f>
        <v/>
      </c>
    </row>
    <row r="5829" spans="1:14">
      <c r="A5829" s="6">
        <v>2025</v>
      </c>
      <c r="B5829" s="6">
        <v>5</v>
      </c>
      <c r="C5829" s="6" t="s">
        <v>64</v>
      </c>
      <c r="D5829" s="6" t="s">
        <v>838</v>
      </c>
      <c r="E5829" s="6" t="s">
        <v>455</v>
      </c>
      <c r="F5829" s="6" t="str">
        <f>IF($M5829="PADD I","PADD 1",IF($M5829="PADD II","PADD 2",IF($M5829="PADD III","PADD 3",IF($M5829="PADD IV","PADD 4",IF($M5829="PADD V","PADD 5","")))))</f>
        <v>PADD 3</v>
      </c>
      <c r="G5829" s="6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6" t="s">
        <v>428</v>
      </c>
      <c r="I5829" s="6" t="s">
        <v>862</v>
      </c>
      <c r="J5829" s="6" t="s">
        <v>394</v>
      </c>
      <c r="K5829" s="10">
        <v>8</v>
      </c>
      <c r="L5829" s="10">
        <v>50</v>
      </c>
      <c r="M5829" s="6" t="s">
        <v>421</v>
      </c>
      <c r="N5829" s="6">
        <f>IF(OR($G5829="FCC",$G5829="Hydrocracker",$G5829="Reformer"),IF(COUNTIFS($D:$D,$D5829,$A:$A,$A5829,$B:$B,$B5829,$G:$G,"CDU",$J:$J,"PLANNED")&gt;0,"tied","standalone"),"")</f>
        <v/>
      </c>
    </row>
    <row r="5830" spans="1:14">
      <c r="A5830" s="6">
        <v>2025</v>
      </c>
      <c r="B5830" s="6">
        <v>5</v>
      </c>
      <c r="C5830" s="6" t="s">
        <v>64</v>
      </c>
      <c r="D5830" s="6" t="s">
        <v>777</v>
      </c>
      <c r="E5830" s="6" t="s">
        <v>778</v>
      </c>
      <c r="F5830" s="6" t="str">
        <f>IF($M5830="PADD I","PADD 1",IF($M5830="PADD II","PADD 2",IF($M5830="PADD III","PADD 3",IF($M5830="PADD IV","PADD 4",IF($M5830="PADD V","PADD 5","")))))</f>
        <v>PADD 1</v>
      </c>
      <c r="G5830" s="6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6" t="s">
        <v>44</v>
      </c>
      <c r="I5830" s="6" t="s">
        <v>570</v>
      </c>
      <c r="J5830" s="6" t="s">
        <v>398</v>
      </c>
      <c r="K5830" s="10">
        <v>8</v>
      </c>
      <c r="L5830" s="10">
        <v>8</v>
      </c>
      <c r="M5830" s="6" t="s">
        <v>463</v>
      </c>
      <c r="N5830" s="6">
        <f>IF(OR($G5830="FCC",$G5830="Hydrocracker",$G5830="Reformer"),IF(COUNTIFS($D:$D,$D5830,$A:$A,$A5830,$B:$B,$B5830,$G:$G,"CDU",$J:$J,"PLANNED")&gt;0,"tied","standalone"),"")</f>
        <v/>
      </c>
    </row>
    <row r="5831" spans="1:14">
      <c r="A5831" s="6">
        <v>2025</v>
      </c>
      <c r="B5831" s="6">
        <v>5</v>
      </c>
      <c r="C5831" s="6" t="s">
        <v>64</v>
      </c>
      <c r="D5831" s="6" t="s">
        <v>422</v>
      </c>
      <c r="E5831" s="6" t="s">
        <v>423</v>
      </c>
      <c r="F5831" s="6" t="str">
        <f>IF($M5831="PADD I","PADD 1",IF($M5831="PADD II","PADD 2",IF($M5831="PADD III","PADD 3",IF($M5831="PADD IV","PADD 4",IF($M5831="PADD V","PADD 5","")))))</f>
        <v>PADD 2</v>
      </c>
      <c r="G5831" s="6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6" t="s">
        <v>485</v>
      </c>
      <c r="I5831" s="6" t="s">
        <v>634</v>
      </c>
      <c r="J5831" s="6" t="s">
        <v>394</v>
      </c>
      <c r="K5831" s="10">
        <v>7.5</v>
      </c>
      <c r="L5831" s="10">
        <v>7.5</v>
      </c>
      <c r="M5831" s="6" t="s">
        <v>425</v>
      </c>
      <c r="N5831" s="6">
        <f>IF(OR($G5831="FCC",$G5831="Hydrocracker",$G5831="Reformer"),IF(COUNTIFS($D:$D,$D5831,$A:$A,$A5831,$B:$B,$B5831,$G:$G,"CDU",$J:$J,"PLANNED")&gt;0,"tied","standalone"),"")</f>
        <v/>
      </c>
    </row>
    <row r="5832" spans="1:14">
      <c r="A5832" s="6">
        <v>2025</v>
      </c>
      <c r="B5832" s="6">
        <v>5</v>
      </c>
      <c r="C5832" s="6" t="s">
        <v>64</v>
      </c>
      <c r="D5832" s="6" t="s">
        <v>378</v>
      </c>
      <c r="E5832" s="6" t="s">
        <v>477</v>
      </c>
      <c r="F5832" s="6" t="str">
        <f>IF($M5832="PADD I","PADD 1",IF($M5832="PADD II","PADD 2",IF($M5832="PADD III","PADD 3",IF($M5832="PADD IV","PADD 4",IF($M5832="PADD V","PADD 5","")))))</f>
        <v>PADD 3</v>
      </c>
      <c r="G5832" s="6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6" t="s">
        <v>471</v>
      </c>
      <c r="I5832" s="6" t="s">
        <v>1212</v>
      </c>
      <c r="J5832" s="6" t="s">
        <v>394</v>
      </c>
      <c r="K5832" s="10">
        <v>7.41</v>
      </c>
      <c r="L5832" s="10">
        <v>19</v>
      </c>
      <c r="M5832" s="6" t="s">
        <v>421</v>
      </c>
      <c r="N5832" s="6" t="str">
        <f>IF(OR($G5832="FCC",$G5832="Hydrocracker",$G5832="Reformer"),IF(COUNTIFS($D:$D,$D5832,$A:$A,$A5832,$B:$B,$B5832,$G:$G,"CDU",$J:$J,"PLANNED")&gt;0,"tied","standalone"),"")</f>
        <v>standalone</v>
      </c>
    </row>
    <row r="5833" spans="1:14">
      <c r="A5833" s="6">
        <v>2025</v>
      </c>
      <c r="B5833" s="6">
        <v>5</v>
      </c>
      <c r="C5833" s="6" t="s">
        <v>64</v>
      </c>
      <c r="D5833" s="6" t="s">
        <v>765</v>
      </c>
      <c r="E5833" s="6" t="s">
        <v>766</v>
      </c>
      <c r="F5833" s="6" t="str">
        <f>IF($M5833="PADD I","PADD 1",IF($M5833="PADD II","PADD 2",IF($M5833="PADD III","PADD 3",IF($M5833="PADD IV","PADD 4",IF($M5833="PADD V","PADD 5","")))))</f>
        <v>PADD 2</v>
      </c>
      <c r="G5833" s="6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6" t="s">
        <v>44</v>
      </c>
      <c r="I5833" s="6" t="s">
        <v>1231</v>
      </c>
      <c r="J5833" s="6" t="s">
        <v>398</v>
      </c>
      <c r="K5833" s="10">
        <v>7.4</v>
      </c>
      <c r="L5833" s="10">
        <v>10</v>
      </c>
      <c r="M5833" s="6" t="s">
        <v>425</v>
      </c>
      <c r="N5833" s="6">
        <f>IF(OR($G5833="FCC",$G5833="Hydrocracker",$G5833="Reformer"),IF(COUNTIFS($D:$D,$D5833,$A:$A,$A5833,$B:$B,$B5833,$G:$G,"CDU",$J:$J,"PLANNED")&gt;0,"tied","standalone"),"")</f>
        <v/>
      </c>
    </row>
    <row r="5834" spans="1:14">
      <c r="A5834" s="6">
        <v>2025</v>
      </c>
      <c r="B5834" s="6">
        <v>5</v>
      </c>
      <c r="C5834" s="6" t="s">
        <v>64</v>
      </c>
      <c r="D5834" s="6" t="s">
        <v>461</v>
      </c>
      <c r="E5834" s="6" t="s">
        <v>419</v>
      </c>
      <c r="F5834" s="6" t="str">
        <f>IF($M5834="PADD I","PADD 1",IF($M5834="PADD II","PADD 2",IF($M5834="PADD III","PADD 3",IF($M5834="PADD IV","PADD 4",IF($M5834="PADD V","PADD 5","")))))</f>
        <v>PADD 1</v>
      </c>
      <c r="G5834" s="6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6" t="s">
        <v>44</v>
      </c>
      <c r="I5834" s="6" t="s">
        <v>934</v>
      </c>
      <c r="J5834" s="6" t="s">
        <v>394</v>
      </c>
      <c r="K5834" s="10">
        <v>7.25</v>
      </c>
      <c r="L5834" s="10">
        <v>7.25</v>
      </c>
      <c r="M5834" s="6" t="s">
        <v>463</v>
      </c>
      <c r="N5834" s="6">
        <f>IF(OR($G5834="FCC",$G5834="Hydrocracker",$G5834="Reformer"),IF(COUNTIFS($D:$D,$D5834,$A:$A,$A5834,$B:$B,$B5834,$G:$G,"CDU",$J:$J,"PLANNED")&gt;0,"tied","standalone"),"")</f>
        <v/>
      </c>
    </row>
    <row r="5835" spans="1:14">
      <c r="A5835" s="6">
        <v>2025</v>
      </c>
      <c r="B5835" s="6">
        <v>5</v>
      </c>
      <c r="C5835" s="6" t="s">
        <v>64</v>
      </c>
      <c r="D5835" s="6" t="s">
        <v>912</v>
      </c>
      <c r="E5835" s="6" t="s">
        <v>906</v>
      </c>
      <c r="F5835" s="6" t="str">
        <f>IF($M5835="PADD I","PADD 1",IF($M5835="PADD II","PADD 2",IF($M5835="PADD III","PADD 3",IF($M5835="PADD IV","PADD 4",IF($M5835="PADD V","PADD 5","")))))</f>
        <v>PADD 5</v>
      </c>
      <c r="G5835" s="6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6" t="s">
        <v>39</v>
      </c>
      <c r="I5835" s="6" t="s">
        <v>907</v>
      </c>
      <c r="J5835" s="6" t="s">
        <v>398</v>
      </c>
      <c r="K5835" s="10">
        <v>7.04</v>
      </c>
      <c r="L5835" s="10">
        <v>22</v>
      </c>
      <c r="M5835" s="6" t="s">
        <v>436</v>
      </c>
      <c r="N5835" s="6">
        <f>IF(OR($G5835="FCC",$G5835="Hydrocracker",$G5835="Reformer"),IF(COUNTIFS($D:$D,$D5835,$A:$A,$A5835,$B:$B,$B5835,$G:$G,"CDU",$J:$J,"PLANNED")&gt;0,"tied","standalone"),"")</f>
        <v/>
      </c>
    </row>
    <row r="5836" spans="1:14">
      <c r="A5836" s="6">
        <v>2025</v>
      </c>
      <c r="B5836" s="6">
        <v>5</v>
      </c>
      <c r="C5836" s="6" t="s">
        <v>64</v>
      </c>
      <c r="D5836" s="6" t="s">
        <v>789</v>
      </c>
      <c r="E5836" s="6" t="s">
        <v>455</v>
      </c>
      <c r="F5836" s="6" t="str">
        <f>IF($M5836="PADD I","PADD 1",IF($M5836="PADD II","PADD 2",IF($M5836="PADD III","PADD 3",IF($M5836="PADD IV","PADD 4",IF($M5836="PADD V","PADD 5","")))))</f>
        <v>PADD 2</v>
      </c>
      <c r="G5836" s="6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6" t="s">
        <v>618</v>
      </c>
      <c r="I5836" s="6" t="s">
        <v>654</v>
      </c>
      <c r="J5836" s="6" t="s">
        <v>398</v>
      </c>
      <c r="K5836" s="10">
        <v>7</v>
      </c>
      <c r="L5836" s="10">
        <v>7</v>
      </c>
      <c r="M5836" s="6" t="s">
        <v>425</v>
      </c>
      <c r="N5836" s="6">
        <f>IF(OR($G5836="FCC",$G5836="Hydrocracker",$G5836="Reformer"),IF(COUNTIFS($D:$D,$D5836,$A:$A,$A5836,$B:$B,$B5836,$G:$G,"CDU",$J:$J,"PLANNED")&gt;0,"tied","standalone"),"")</f>
        <v/>
      </c>
    </row>
    <row r="5837" spans="1:14">
      <c r="A5837" s="6">
        <v>2025</v>
      </c>
      <c r="B5837" s="6">
        <v>5</v>
      </c>
      <c r="C5837" s="6" t="s">
        <v>64</v>
      </c>
      <c r="D5837" s="6" t="s">
        <v>461</v>
      </c>
      <c r="E5837" s="6" t="s">
        <v>419</v>
      </c>
      <c r="F5837" s="6" t="str">
        <f>IF($M5837="PADD I","PADD 1",IF($M5837="PADD II","PADD 2",IF($M5837="PADD III","PADD 3",IF($M5837="PADD IV","PADD 4",IF($M5837="PADD V","PADD 5","")))))</f>
        <v>PADD 1</v>
      </c>
      <c r="G5837" s="6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6" t="s">
        <v>44</v>
      </c>
      <c r="I5837" s="6" t="s">
        <v>935</v>
      </c>
      <c r="J5837" s="6" t="s">
        <v>394</v>
      </c>
      <c r="K5837" s="10">
        <v>7</v>
      </c>
      <c r="L5837" s="10">
        <v>7</v>
      </c>
      <c r="M5837" s="6" t="s">
        <v>463</v>
      </c>
      <c r="N5837" s="6">
        <f>IF(OR($G5837="FCC",$G5837="Hydrocracker",$G5837="Reformer"),IF(COUNTIFS($D:$D,$D5837,$A:$A,$A5837,$B:$B,$B5837,$G:$G,"CDU",$J:$J,"PLANNED")&gt;0,"tied","standalone"),"")</f>
        <v/>
      </c>
    </row>
    <row r="5838" spans="1:14">
      <c r="A5838" s="6">
        <v>2025</v>
      </c>
      <c r="B5838" s="6">
        <v>5</v>
      </c>
      <c r="C5838" s="6" t="s">
        <v>64</v>
      </c>
      <c r="D5838" s="6" t="s">
        <v>461</v>
      </c>
      <c r="E5838" s="6" t="s">
        <v>419</v>
      </c>
      <c r="F5838" s="6" t="str">
        <f>IF($M5838="PADD I","PADD 1",IF($M5838="PADD II","PADD 2",IF($M5838="PADD III","PADD 3",IF($M5838="PADD IV","PADD 4",IF($M5838="PADD V","PADD 5","")))))</f>
        <v>PADD 1</v>
      </c>
      <c r="G5838" s="6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6" t="s">
        <v>1354</v>
      </c>
      <c r="I5838" s="6" t="s">
        <v>1355</v>
      </c>
      <c r="J5838" s="6" t="s">
        <v>394</v>
      </c>
      <c r="K5838" s="10">
        <v>6.5</v>
      </c>
      <c r="L5838" s="10">
        <v>6.5</v>
      </c>
      <c r="M5838" s="6" t="s">
        <v>463</v>
      </c>
      <c r="N5838" s="6">
        <f>IF(OR($G5838="FCC",$G5838="Hydrocracker",$G5838="Reformer"),IF(COUNTIFS($D:$D,$D5838,$A:$A,$A5838,$B:$B,$B5838,$G:$G,"CDU",$J:$J,"PLANNED")&gt;0,"tied","standalone"),"")</f>
        <v/>
      </c>
    </row>
    <row r="5839" spans="1:14">
      <c r="A5839" s="6">
        <v>2025</v>
      </c>
      <c r="B5839" s="6">
        <v>5</v>
      </c>
      <c r="C5839" s="6" t="s">
        <v>64</v>
      </c>
      <c r="D5839" s="6" t="s">
        <v>461</v>
      </c>
      <c r="E5839" s="6" t="s">
        <v>419</v>
      </c>
      <c r="F5839" s="6" t="str">
        <f>IF($M5839="PADD I","PADD 1",IF($M5839="PADD II","PADD 2",IF($M5839="PADD III","PADD 3",IF($M5839="PADD IV","PADD 4",IF($M5839="PADD V","PADD 5","")))))</f>
        <v>PADD 1</v>
      </c>
      <c r="G5839" s="6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6" t="s">
        <v>471</v>
      </c>
      <c r="I5839" s="6" t="s">
        <v>936</v>
      </c>
      <c r="J5839" s="6" t="s">
        <v>394</v>
      </c>
      <c r="K5839" s="10">
        <v>6.5</v>
      </c>
      <c r="L5839" s="10">
        <v>6.5</v>
      </c>
      <c r="M5839" s="6" t="s">
        <v>463</v>
      </c>
      <c r="N5839" s="6" t="str">
        <f>IF(OR($G5839="FCC",$G5839="Hydrocracker",$G5839="Reformer"),IF(COUNTIFS($D:$D,$D5839,$A:$A,$A5839,$B:$B,$B5839,$G:$G,"CDU",$J:$J,"PLANNED")&gt;0,"tied","standalone"),"")</f>
        <v>standalone</v>
      </c>
    </row>
    <row r="5840" spans="1:14">
      <c r="A5840" s="6">
        <v>2025</v>
      </c>
      <c r="B5840" s="6">
        <v>5</v>
      </c>
      <c r="C5840" s="6" t="s">
        <v>64</v>
      </c>
      <c r="D5840" s="6" t="s">
        <v>422</v>
      </c>
      <c r="E5840" s="6" t="s">
        <v>423</v>
      </c>
      <c r="F5840" s="6" t="str">
        <f>IF($M5840="PADD I","PADD 1",IF($M5840="PADD II","PADD 2",IF($M5840="PADD III","PADD 3",IF($M5840="PADD IV","PADD 4",IF($M5840="PADD V","PADD 5","")))))</f>
        <v>PADD 2</v>
      </c>
      <c r="G5840" s="6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6" t="s">
        <v>485</v>
      </c>
      <c r="I5840" s="6" t="s">
        <v>634</v>
      </c>
      <c r="J5840" s="6" t="s">
        <v>394</v>
      </c>
      <c r="K5840" s="10">
        <v>6.5</v>
      </c>
      <c r="L5840" s="10">
        <v>6.5</v>
      </c>
      <c r="M5840" s="6" t="s">
        <v>425</v>
      </c>
      <c r="N5840" s="6">
        <f>IF(OR($G5840="FCC",$G5840="Hydrocracker",$G5840="Reformer"),IF(COUNTIFS($D:$D,$D5840,$A:$A,$A5840,$B:$B,$B5840,$G:$G,"CDU",$J:$J,"PLANNED")&gt;0,"tied","standalone"),"")</f>
        <v/>
      </c>
    </row>
    <row r="5841" spans="1:14">
      <c r="A5841" s="6">
        <v>2025</v>
      </c>
      <c r="B5841" s="6">
        <v>5</v>
      </c>
      <c r="C5841" s="6" t="s">
        <v>64</v>
      </c>
      <c r="D5841" s="6" t="s">
        <v>581</v>
      </c>
      <c r="E5841" s="6" t="s">
        <v>582</v>
      </c>
      <c r="F5841" s="6" t="str">
        <f>IF($M5841="PADD I","PADD 1",IF($M5841="PADD II","PADD 2",IF($M5841="PADD III","PADD 3",IF($M5841="PADD IV","PADD 4",IF($M5841="PADD V","PADD 5","")))))</f>
        <v>PADD 5</v>
      </c>
      <c r="G5841" s="6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6" t="s">
        <v>44</v>
      </c>
      <c r="I5841" s="6" t="s">
        <v>617</v>
      </c>
      <c r="J5841" s="6" t="s">
        <v>394</v>
      </c>
      <c r="K5841" s="10">
        <v>6.3</v>
      </c>
      <c r="L5841" s="10">
        <v>105</v>
      </c>
      <c r="M5841" s="6" t="s">
        <v>436</v>
      </c>
      <c r="N5841" s="6">
        <f>IF(OR($G5841="FCC",$G5841="Hydrocracker",$G5841="Reformer"),IF(COUNTIFS($D:$D,$D5841,$A:$A,$A5841,$B:$B,$B5841,$G:$G,"CDU",$J:$J,"PLANNED")&gt;0,"tied","standalone"),"")</f>
        <v/>
      </c>
    </row>
    <row r="5842" spans="1:14">
      <c r="A5842" s="6">
        <v>2025</v>
      </c>
      <c r="B5842" s="6">
        <v>5</v>
      </c>
      <c r="C5842" s="6" t="s">
        <v>64</v>
      </c>
      <c r="D5842" s="6" t="s">
        <v>824</v>
      </c>
      <c r="E5842" s="6" t="s">
        <v>825</v>
      </c>
      <c r="F5842" s="6" t="str">
        <f>IF($M5842="PADD I","PADD 1",IF($M5842="PADD II","PADD 2",IF($M5842="PADD III","PADD 3",IF($M5842="PADD IV","PADD 4",IF($M5842="PADD V","PADD 5","")))))</f>
        <v>PADD 1</v>
      </c>
      <c r="G5842" s="6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6" t="s">
        <v>494</v>
      </c>
      <c r="I5842" s="6" t="s">
        <v>14</v>
      </c>
      <c r="J5842" s="6" t="s">
        <v>398</v>
      </c>
      <c r="K5842" s="10">
        <v>6.3</v>
      </c>
      <c r="L5842" s="10">
        <v>18</v>
      </c>
      <c r="M5842" s="6" t="s">
        <v>463</v>
      </c>
      <c r="N5842" s="6" t="str">
        <f>IF(OR($G5842="FCC",$G5842="Hydrocracker",$G5842="Reformer"),IF(COUNTIFS($D:$D,$D5842,$A:$A,$A5842,$B:$B,$B5842,$G:$G,"CDU",$J:$J,"PLANNED")&gt;0,"tied","standalone"),"")</f>
        <v>standalone</v>
      </c>
    </row>
    <row r="5843" spans="1:14">
      <c r="A5843" s="6">
        <v>2025</v>
      </c>
      <c r="B5843" s="6">
        <v>5</v>
      </c>
      <c r="C5843" s="6" t="s">
        <v>64</v>
      </c>
      <c r="D5843" s="6" t="s">
        <v>375</v>
      </c>
      <c r="E5843" s="6" t="s">
        <v>435</v>
      </c>
      <c r="F5843" s="6" t="str">
        <f>IF($M5843="PADD I","PADD 1",IF($M5843="PADD II","PADD 2",IF($M5843="PADD III","PADD 3",IF($M5843="PADD IV","PADD 4",IF($M5843="PADD V","PADD 5","")))))</f>
        <v>PADD 5</v>
      </c>
      <c r="G5843" s="6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6" t="s">
        <v>510</v>
      </c>
      <c r="I5843" s="6" t="s">
        <v>1338</v>
      </c>
      <c r="J5843" s="6" t="s">
        <v>394</v>
      </c>
      <c r="K5843" s="10">
        <v>6.24</v>
      </c>
      <c r="L5843" s="10">
        <v>12</v>
      </c>
      <c r="M5843" s="6" t="s">
        <v>436</v>
      </c>
      <c r="N5843" s="6">
        <f>IF(OR($G5843="FCC",$G5843="Hydrocracker",$G5843="Reformer"),IF(COUNTIFS($D:$D,$D5843,$A:$A,$A5843,$B:$B,$B5843,$G:$G,"CDU",$J:$J,"PLANNED")&gt;0,"tied","standalone"),"")</f>
        <v/>
      </c>
    </row>
    <row r="5844" spans="1:14">
      <c r="A5844" s="6">
        <v>2025</v>
      </c>
      <c r="B5844" s="6">
        <v>5</v>
      </c>
      <c r="C5844" s="6" t="s">
        <v>64</v>
      </c>
      <c r="D5844" s="6" t="s">
        <v>789</v>
      </c>
      <c r="E5844" s="6" t="s">
        <v>455</v>
      </c>
      <c r="F5844" s="6" t="str">
        <f>IF($M5844="PADD I","PADD 1",IF($M5844="PADD II","PADD 2",IF($M5844="PADD III","PADD 3",IF($M5844="PADD IV","PADD 4",IF($M5844="PADD V","PADD 5","")))))</f>
        <v>PADD 2</v>
      </c>
      <c r="G5844" s="6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6" t="s">
        <v>510</v>
      </c>
      <c r="I5844" s="6" t="s">
        <v>666</v>
      </c>
      <c r="J5844" s="6" t="s">
        <v>398</v>
      </c>
      <c r="K5844" s="10">
        <v>6.2</v>
      </c>
      <c r="L5844" s="10">
        <v>6.2</v>
      </c>
      <c r="M5844" s="6" t="s">
        <v>425</v>
      </c>
      <c r="N5844" s="6">
        <f>IF(OR($G5844="FCC",$G5844="Hydrocracker",$G5844="Reformer"),IF(COUNTIFS($D:$D,$D5844,$A:$A,$A5844,$B:$B,$B5844,$G:$G,"CDU",$J:$J,"PLANNED")&gt;0,"tied","standalone"),"")</f>
        <v/>
      </c>
    </row>
    <row r="5845" spans="1:14">
      <c r="A5845" s="6">
        <v>2025</v>
      </c>
      <c r="B5845" s="6">
        <v>5</v>
      </c>
      <c r="C5845" s="6" t="s">
        <v>64</v>
      </c>
      <c r="D5845" s="6" t="s">
        <v>1003</v>
      </c>
      <c r="E5845" s="6" t="s">
        <v>783</v>
      </c>
      <c r="F5845" s="6" t="str">
        <f>IF($M5845="PADD I","PADD 1",IF($M5845="PADD II","PADD 2",IF($M5845="PADD III","PADD 3",IF($M5845="PADD IV","PADD 4",IF($M5845="PADD V","PADD 5","")))))</f>
        <v>PADD 2</v>
      </c>
      <c r="G5845" s="6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6" t="s">
        <v>494</v>
      </c>
      <c r="I5845" s="6" t="s">
        <v>14</v>
      </c>
      <c r="J5845" s="6" t="s">
        <v>394</v>
      </c>
      <c r="K5845" s="10">
        <v>6.16</v>
      </c>
      <c r="L5845" s="10">
        <v>38.5</v>
      </c>
      <c r="M5845" s="6" t="s">
        <v>425</v>
      </c>
      <c r="N5845" s="6" t="str">
        <f>IF(OR($G5845="FCC",$G5845="Hydrocracker",$G5845="Reformer"),IF(COUNTIFS($D:$D,$D5845,$A:$A,$A5845,$B:$B,$B5845,$G:$G,"CDU",$J:$J,"PLANNED")&gt;0,"tied","standalone"),"")</f>
        <v>standalone</v>
      </c>
    </row>
    <row r="5846" spans="1:14">
      <c r="A5846" s="6">
        <v>2025</v>
      </c>
      <c r="B5846" s="6">
        <v>5</v>
      </c>
      <c r="C5846" s="6" t="s">
        <v>64</v>
      </c>
      <c r="D5846" s="6" t="s">
        <v>581</v>
      </c>
      <c r="E5846" s="6" t="s">
        <v>582</v>
      </c>
      <c r="F5846" s="6" t="str">
        <f>IF($M5846="PADD I","PADD 1",IF($M5846="PADD II","PADD 2",IF($M5846="PADD III","PADD 3",IF($M5846="PADD IV","PADD 4",IF($M5846="PADD V","PADD 5","")))))</f>
        <v>PADD 5</v>
      </c>
      <c r="G5846" s="6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6" t="s">
        <v>426</v>
      </c>
      <c r="I5846" s="6" t="s">
        <v>106</v>
      </c>
      <c r="J5846" s="6" t="s">
        <v>394</v>
      </c>
      <c r="K5846" s="10">
        <v>6</v>
      </c>
      <c r="L5846" s="10">
        <v>100</v>
      </c>
      <c r="M5846" s="6" t="s">
        <v>436</v>
      </c>
      <c r="N5846" s="6" t="str">
        <f>IF(OR($G5846="FCC",$G5846="Hydrocracker",$G5846="Reformer"),IF(COUNTIFS($D:$D,$D5846,$A:$A,$A5846,$B:$B,$B5846,$G:$G,"CDU",$J:$J,"PLANNED")&gt;0,"tied","standalone"),"")</f>
        <v>standalone</v>
      </c>
    </row>
    <row r="5847" spans="1:14">
      <c r="A5847" s="6">
        <v>2025</v>
      </c>
      <c r="B5847" s="6">
        <v>5</v>
      </c>
      <c r="C5847" s="6" t="s">
        <v>64</v>
      </c>
      <c r="D5847" s="6" t="s">
        <v>576</v>
      </c>
      <c r="E5847" s="6" t="s">
        <v>455</v>
      </c>
      <c r="F5847" s="6" t="str">
        <f>IF($M5847="PADD I","PADD 1",IF($M5847="PADD II","PADD 2",IF($M5847="PADD III","PADD 3",IF($M5847="PADD IV","PADD 4",IF($M5847="PADD V","PADD 5","")))))</f>
        <v>PADD 3</v>
      </c>
      <c r="G5847" s="6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6" t="s">
        <v>485</v>
      </c>
      <c r="I5847" s="6" t="s">
        <v>1004</v>
      </c>
      <c r="J5847" s="6" t="s">
        <v>394</v>
      </c>
      <c r="K5847" s="10">
        <v>6</v>
      </c>
      <c r="L5847" s="10">
        <v>100</v>
      </c>
      <c r="M5847" s="6" t="s">
        <v>421</v>
      </c>
      <c r="N5847" s="6">
        <f>IF(OR($G5847="FCC",$G5847="Hydrocracker",$G5847="Reformer"),IF(COUNTIFS($D:$D,$D5847,$A:$A,$A5847,$B:$B,$B5847,$G:$G,"CDU",$J:$J,"PLANNED")&gt;0,"tied","standalone"),"")</f>
        <v/>
      </c>
    </row>
    <row r="5848" spans="1:14">
      <c r="A5848" s="6">
        <v>2025</v>
      </c>
      <c r="B5848" s="6">
        <v>5</v>
      </c>
      <c r="C5848" s="6" t="s">
        <v>64</v>
      </c>
      <c r="D5848" s="6" t="s">
        <v>581</v>
      </c>
      <c r="E5848" s="6" t="s">
        <v>582</v>
      </c>
      <c r="F5848" s="6" t="str">
        <f>IF($M5848="PADD I","PADD 1",IF($M5848="PADD II","PADD 2",IF($M5848="PADD III","PADD 3",IF($M5848="PADD IV","PADD 4",IF($M5848="PADD V","PADD 5","")))))</f>
        <v>PADD 5</v>
      </c>
      <c r="G5848" s="6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6" t="s">
        <v>428</v>
      </c>
      <c r="I5848" s="6" t="s">
        <v>429</v>
      </c>
      <c r="J5848" s="6" t="s">
        <v>394</v>
      </c>
      <c r="K5848" s="10">
        <v>5.88</v>
      </c>
      <c r="L5848" s="10">
        <v>98</v>
      </c>
      <c r="M5848" s="6" t="s">
        <v>436</v>
      </c>
      <c r="N5848" s="6">
        <f>IF(OR($G5848="FCC",$G5848="Hydrocracker",$G5848="Reformer"),IF(COUNTIFS($D:$D,$D5848,$A:$A,$A5848,$B:$B,$B5848,$G:$G,"CDU",$J:$J,"PLANNED")&gt;0,"tied","standalone"),"")</f>
        <v/>
      </c>
    </row>
    <row r="5849" spans="1:14">
      <c r="A5849" s="6">
        <v>2025</v>
      </c>
      <c r="B5849" s="6">
        <v>5</v>
      </c>
      <c r="C5849" s="6" t="s">
        <v>64</v>
      </c>
      <c r="D5849" s="6" t="s">
        <v>665</v>
      </c>
      <c r="E5849" s="6" t="s">
        <v>455</v>
      </c>
      <c r="F5849" s="6" t="str">
        <f>IF($M5849="PADD I","PADD 1",IF($M5849="PADD II","PADD 2",IF($M5849="PADD III","PADD 3",IF($M5849="PADD IV","PADD 4",IF($M5849="PADD V","PADD 5","")))))</f>
        <v>PADD 5</v>
      </c>
      <c r="G5849" s="6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6" t="s">
        <v>44</v>
      </c>
      <c r="I5849" s="6" t="s">
        <v>1358</v>
      </c>
      <c r="J5849" s="6" t="s">
        <v>394</v>
      </c>
      <c r="K5849" s="10">
        <v>5.85</v>
      </c>
      <c r="L5849" s="10">
        <v>45</v>
      </c>
      <c r="M5849" s="6" t="s">
        <v>436</v>
      </c>
      <c r="N5849" s="6">
        <f>IF(OR($G5849="FCC",$G5849="Hydrocracker",$G5849="Reformer"),IF(COUNTIFS($D:$D,$D5849,$A:$A,$A5849,$B:$B,$B5849,$G:$G,"CDU",$J:$J,"PLANNED")&gt;0,"tied","standalone"),"")</f>
        <v/>
      </c>
    </row>
    <row r="5850" spans="1:14">
      <c r="A5850" s="6">
        <v>2025</v>
      </c>
      <c r="B5850" s="6">
        <v>5</v>
      </c>
      <c r="C5850" s="6" t="s">
        <v>64</v>
      </c>
      <c r="D5850" s="6" t="s">
        <v>461</v>
      </c>
      <c r="E5850" s="6" t="s">
        <v>419</v>
      </c>
      <c r="F5850" s="6" t="str">
        <f>IF($M5850="PADD I","PADD 1",IF($M5850="PADD II","PADD 2",IF($M5850="PADD III","PADD 3",IF($M5850="PADD IV","PADD 4",IF($M5850="PADD V","PADD 5","")))))</f>
        <v>PADD 1</v>
      </c>
      <c r="G5850" s="6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6" t="s">
        <v>510</v>
      </c>
      <c r="I5850" s="6" t="s">
        <v>616</v>
      </c>
      <c r="J5850" s="6" t="s">
        <v>394</v>
      </c>
      <c r="K5850" s="10">
        <v>5.5</v>
      </c>
      <c r="L5850" s="10">
        <v>5.5</v>
      </c>
      <c r="M5850" s="6" t="s">
        <v>463</v>
      </c>
      <c r="N5850" s="6">
        <f>IF(OR($G5850="FCC",$G5850="Hydrocracker",$G5850="Reformer"),IF(COUNTIFS($D:$D,$D5850,$A:$A,$A5850,$B:$B,$B5850,$G:$G,"CDU",$J:$J,"PLANNED")&gt;0,"tied","standalone"),"")</f>
        <v/>
      </c>
    </row>
    <row r="5851" spans="1:14">
      <c r="A5851" s="6">
        <v>2025</v>
      </c>
      <c r="B5851" s="6">
        <v>5</v>
      </c>
      <c r="C5851" s="6" t="s">
        <v>64</v>
      </c>
      <c r="D5851" s="6" t="s">
        <v>851</v>
      </c>
      <c r="E5851" s="6" t="s">
        <v>829</v>
      </c>
      <c r="F5851" s="6" t="str">
        <f>IF($M5851="PADD I","PADD 1",IF($M5851="PADD II","PADD 2",IF($M5851="PADD III","PADD 3",IF($M5851="PADD IV","PADD 4",IF($M5851="PADD V","PADD 5","")))))</f>
        <v>PADD 2</v>
      </c>
      <c r="G5851" s="6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6" t="s">
        <v>510</v>
      </c>
      <c r="I5851" s="6" t="s">
        <v>511</v>
      </c>
      <c r="J5851" s="6" t="s">
        <v>398</v>
      </c>
      <c r="K5851" s="10">
        <v>5.4</v>
      </c>
      <c r="L5851" s="10">
        <v>6</v>
      </c>
      <c r="M5851" s="6" t="s">
        <v>425</v>
      </c>
      <c r="N5851" s="6">
        <f>IF(OR($G5851="FCC",$G5851="Hydrocracker",$G5851="Reformer"),IF(COUNTIFS($D:$D,$D5851,$A:$A,$A5851,$B:$B,$B5851,$G:$G,"CDU",$J:$J,"PLANNED")&gt;0,"tied","standalone"),"")</f>
        <v/>
      </c>
    </row>
    <row r="5852" spans="1:14">
      <c r="A5852" s="6">
        <v>2025</v>
      </c>
      <c r="B5852" s="6">
        <v>5</v>
      </c>
      <c r="C5852" s="6" t="s">
        <v>64</v>
      </c>
      <c r="D5852" s="6" t="s">
        <v>665</v>
      </c>
      <c r="E5852" s="6" t="s">
        <v>455</v>
      </c>
      <c r="F5852" s="6" t="str">
        <f>IF($M5852="PADD I","PADD 1",IF($M5852="PADD II","PADD 2",IF($M5852="PADD III","PADD 3",IF($M5852="PADD IV","PADD 4",IF($M5852="PADD V","PADD 5","")))))</f>
        <v>PADD 5</v>
      </c>
      <c r="G5852" s="6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6" t="s">
        <v>44</v>
      </c>
      <c r="I5852" s="6" t="s">
        <v>1288</v>
      </c>
      <c r="J5852" s="6" t="s">
        <v>394</v>
      </c>
      <c r="K5852" s="10">
        <v>5.33</v>
      </c>
      <c r="L5852" s="10">
        <v>41</v>
      </c>
      <c r="M5852" s="6" t="s">
        <v>436</v>
      </c>
      <c r="N5852" s="6">
        <f>IF(OR($G5852="FCC",$G5852="Hydrocracker",$G5852="Reformer"),IF(COUNTIFS($D:$D,$D5852,$A:$A,$A5852,$B:$B,$B5852,$G:$G,"CDU",$J:$J,"PLANNED")&gt;0,"tied","standalone"),"")</f>
        <v/>
      </c>
    </row>
    <row r="5853" spans="1:14">
      <c r="A5853" s="6">
        <v>2025</v>
      </c>
      <c r="B5853" s="6">
        <v>5</v>
      </c>
      <c r="C5853" s="6" t="s">
        <v>64</v>
      </c>
      <c r="D5853" s="6" t="s">
        <v>540</v>
      </c>
      <c r="E5853" s="6" t="s">
        <v>541</v>
      </c>
      <c r="F5853" s="6" t="str">
        <f>IF($M5853="PADD I","PADD 1",IF($M5853="PADD II","PADD 2",IF($M5853="PADD III","PADD 3",IF($M5853="PADD IV","PADD 4",IF($M5853="PADD V","PADD 5","")))))</f>
        <v>PADD 3</v>
      </c>
      <c r="G5853" s="6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6" t="s">
        <v>426</v>
      </c>
      <c r="I5853" s="6" t="s">
        <v>522</v>
      </c>
      <c r="J5853" s="6" t="s">
        <v>394</v>
      </c>
      <c r="K5853" s="10">
        <v>5.28</v>
      </c>
      <c r="L5853" s="10">
        <v>88</v>
      </c>
      <c r="M5853" s="6" t="s">
        <v>421</v>
      </c>
      <c r="N5853" s="6" t="str">
        <f>IF(OR($G5853="FCC",$G5853="Hydrocracker",$G5853="Reformer"),IF(COUNTIFS($D:$D,$D5853,$A:$A,$A5853,$B:$B,$B5853,$G:$G,"CDU",$J:$J,"PLANNED")&gt;0,"tied","standalone"),"")</f>
        <v>standalone</v>
      </c>
    </row>
    <row r="5854" spans="1:14">
      <c r="A5854" s="6">
        <v>2025</v>
      </c>
      <c r="B5854" s="6">
        <v>5</v>
      </c>
      <c r="C5854" s="6" t="s">
        <v>64</v>
      </c>
      <c r="D5854" s="6" t="s">
        <v>665</v>
      </c>
      <c r="E5854" s="6" t="s">
        <v>455</v>
      </c>
      <c r="F5854" s="6" t="str">
        <f>IF($M5854="PADD I","PADD 1",IF($M5854="PADD II","PADD 2",IF($M5854="PADD III","PADD 3",IF($M5854="PADD IV","PADD 4",IF($M5854="PADD V","PADD 5","")))))</f>
        <v>PADD 5</v>
      </c>
      <c r="G5854" s="6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6" t="s">
        <v>471</v>
      </c>
      <c r="I5854" s="6" t="s">
        <v>716</v>
      </c>
      <c r="J5854" s="6" t="s">
        <v>394</v>
      </c>
      <c r="K5854" s="10">
        <v>5.2</v>
      </c>
      <c r="L5854" s="10">
        <v>40</v>
      </c>
      <c r="M5854" s="6" t="s">
        <v>436</v>
      </c>
      <c r="N5854" s="6" t="str">
        <f>IF(OR($G5854="FCC",$G5854="Hydrocracker",$G5854="Reformer"),IF(COUNTIFS($D:$D,$D5854,$A:$A,$A5854,$B:$B,$B5854,$G:$G,"CDU",$J:$J,"PLANNED")&gt;0,"tied","standalone"),"")</f>
        <v>standalone</v>
      </c>
    </row>
    <row r="5855" spans="1:14">
      <c r="A5855" s="6">
        <v>2025</v>
      </c>
      <c r="B5855" s="6">
        <v>5</v>
      </c>
      <c r="C5855" s="6" t="s">
        <v>64</v>
      </c>
      <c r="D5855" s="6" t="s">
        <v>820</v>
      </c>
      <c r="E5855" s="6" t="s">
        <v>710</v>
      </c>
      <c r="F5855" s="6" t="str">
        <f>IF($M5855="PADD I","PADD 1",IF($M5855="PADD II","PADD 2",IF($M5855="PADD III","PADD 3",IF($M5855="PADD IV","PADD 4",IF($M5855="PADD V","PADD 5","")))))</f>
        <v>PADD 3</v>
      </c>
      <c r="G5855" s="6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6" t="s">
        <v>485</v>
      </c>
      <c r="I5855" s="6" t="s">
        <v>491</v>
      </c>
      <c r="J5855" s="6" t="s">
        <v>394</v>
      </c>
      <c r="K5855" s="10">
        <v>5.12</v>
      </c>
      <c r="L5855" s="10">
        <v>32</v>
      </c>
      <c r="M5855" s="6" t="s">
        <v>421</v>
      </c>
      <c r="N5855" s="6">
        <f>IF(OR($G5855="FCC",$G5855="Hydrocracker",$G5855="Reformer"),IF(COUNTIFS($D:$D,$D5855,$A:$A,$A5855,$B:$B,$B5855,$G:$G,"CDU",$J:$J,"PLANNED")&gt;0,"tied","standalone"),"")</f>
        <v/>
      </c>
    </row>
    <row r="5856" spans="1:14">
      <c r="A5856" s="6">
        <v>2025</v>
      </c>
      <c r="B5856" s="6">
        <v>5</v>
      </c>
      <c r="C5856" s="6" t="s">
        <v>64</v>
      </c>
      <c r="D5856" s="6" t="s">
        <v>838</v>
      </c>
      <c r="E5856" s="6" t="s">
        <v>455</v>
      </c>
      <c r="F5856" s="6" t="str">
        <f>IF($M5856="PADD I","PADD 1",IF($M5856="PADD II","PADD 2",IF($M5856="PADD III","PADD 3",IF($M5856="PADD IV","PADD 4",IF($M5856="PADD V","PADD 5","")))))</f>
        <v>PADD 3</v>
      </c>
      <c r="G5856" s="6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6" t="s">
        <v>471</v>
      </c>
      <c r="I5856" s="6" t="s">
        <v>832</v>
      </c>
      <c r="J5856" s="6" t="s">
        <v>394</v>
      </c>
      <c r="K5856" s="10">
        <v>5.12</v>
      </c>
      <c r="L5856" s="10">
        <v>32</v>
      </c>
      <c r="M5856" s="6" t="s">
        <v>421</v>
      </c>
      <c r="N5856" s="6" t="str">
        <f>IF(OR($G5856="FCC",$G5856="Hydrocracker",$G5856="Reformer"),IF(COUNTIFS($D:$D,$D5856,$A:$A,$A5856,$B:$B,$B5856,$G:$G,"CDU",$J:$J,"PLANNED")&gt;0,"tied","standalone"),"")</f>
        <v>standalone</v>
      </c>
    </row>
    <row r="5857" spans="1:14">
      <c r="A5857" s="6">
        <v>2025</v>
      </c>
      <c r="B5857" s="6">
        <v>5</v>
      </c>
      <c r="C5857" s="6" t="s">
        <v>64</v>
      </c>
      <c r="D5857" s="6" t="s">
        <v>824</v>
      </c>
      <c r="E5857" s="6" t="s">
        <v>825</v>
      </c>
      <c r="F5857" s="6" t="str">
        <f>IF($M5857="PADD I","PADD 1",IF($M5857="PADD II","PADD 2",IF($M5857="PADD III","PADD 3",IF($M5857="PADD IV","PADD 4",IF($M5857="PADD V","PADD 5","")))))</f>
        <v>PADD 1</v>
      </c>
      <c r="G5857" s="6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6" t="s">
        <v>485</v>
      </c>
      <c r="I5857" s="6" t="s">
        <v>826</v>
      </c>
      <c r="J5857" s="6" t="s">
        <v>394</v>
      </c>
      <c r="K5857" s="10">
        <v>5</v>
      </c>
      <c r="L5857" s="10">
        <v>50</v>
      </c>
      <c r="M5857" s="6" t="s">
        <v>463</v>
      </c>
      <c r="N5857" s="6">
        <f>IF(OR($G5857="FCC",$G5857="Hydrocracker",$G5857="Reformer"),IF(COUNTIFS($D:$D,$D5857,$A:$A,$A5857,$B:$B,$B5857,$G:$G,"CDU",$J:$J,"PLANNED")&gt;0,"tied","standalone"),"")</f>
        <v/>
      </c>
    </row>
    <row r="5858" spans="1:14">
      <c r="A5858" s="6">
        <v>2025</v>
      </c>
      <c r="B5858" s="6">
        <v>5</v>
      </c>
      <c r="C5858" s="6" t="s">
        <v>64</v>
      </c>
      <c r="D5858" s="6" t="s">
        <v>777</v>
      </c>
      <c r="E5858" s="6" t="s">
        <v>778</v>
      </c>
      <c r="F5858" s="6" t="str">
        <f>IF($M5858="PADD I","PADD 1",IF($M5858="PADD II","PADD 2",IF($M5858="PADD III","PADD 3",IF($M5858="PADD IV","PADD 4",IF($M5858="PADD V","PADD 5","")))))</f>
        <v>PADD 1</v>
      </c>
      <c r="G5858" s="6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6" t="s">
        <v>618</v>
      </c>
      <c r="I5858" s="6" t="s">
        <v>763</v>
      </c>
      <c r="J5858" s="6" t="s">
        <v>398</v>
      </c>
      <c r="K5858" s="10">
        <v>5</v>
      </c>
      <c r="L5858" s="10">
        <v>5</v>
      </c>
      <c r="M5858" s="6" t="s">
        <v>463</v>
      </c>
      <c r="N5858" s="6">
        <f>IF(OR($G5858="FCC",$G5858="Hydrocracker",$G5858="Reformer"),IF(COUNTIFS($D:$D,$D5858,$A:$A,$A5858,$B:$B,$B5858,$G:$G,"CDU",$J:$J,"PLANNED")&gt;0,"tied","standalone"),"")</f>
        <v/>
      </c>
    </row>
    <row r="5859" spans="1:14">
      <c r="A5859" s="6">
        <v>2025</v>
      </c>
      <c r="B5859" s="6">
        <v>5</v>
      </c>
      <c r="C5859" s="6" t="s">
        <v>64</v>
      </c>
      <c r="D5859" s="6" t="s">
        <v>375</v>
      </c>
      <c r="E5859" s="6" t="s">
        <v>435</v>
      </c>
      <c r="F5859" s="6" t="str">
        <f>IF($M5859="PADD I","PADD 1",IF($M5859="PADD II","PADD 2",IF($M5859="PADD III","PADD 3",IF($M5859="PADD IV","PADD 4",IF($M5859="PADD V","PADD 5","")))))</f>
        <v>PADD 5</v>
      </c>
      <c r="G5859" s="6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6" t="s">
        <v>471</v>
      </c>
      <c r="I5859" s="6" t="s">
        <v>15</v>
      </c>
      <c r="J5859" s="6" t="s">
        <v>394</v>
      </c>
      <c r="K5859" s="10">
        <v>4.9584</v>
      </c>
      <c r="L5859" s="10">
        <v>10.33</v>
      </c>
      <c r="M5859" s="6" t="s">
        <v>436</v>
      </c>
      <c r="N5859" s="6" t="str">
        <f>IF(OR($G5859="FCC",$G5859="Hydrocracker",$G5859="Reformer"),IF(COUNTIFS($D:$D,$D5859,$A:$A,$A5859,$B:$B,$B5859,$G:$G,"CDU",$J:$J,"PLANNED")&gt;0,"tied","standalone"),"")</f>
        <v>standalone</v>
      </c>
    </row>
    <row r="5860" spans="1:14">
      <c r="A5860" s="6">
        <v>2025</v>
      </c>
      <c r="B5860" s="6">
        <v>5</v>
      </c>
      <c r="C5860" s="6" t="s">
        <v>64</v>
      </c>
      <c r="D5860" s="6" t="s">
        <v>395</v>
      </c>
      <c r="E5860" s="6" t="s">
        <v>433</v>
      </c>
      <c r="F5860" s="6" t="str">
        <f>IF($M5860="PADD I","PADD 1",IF($M5860="PADD II","PADD 2",IF($M5860="PADD III","PADD 3",IF($M5860="PADD IV","PADD 4",IF($M5860="PADD V","PADD 5","")))))</f>
        <v>PADD 2</v>
      </c>
      <c r="G5860" s="6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6" t="s">
        <v>426</v>
      </c>
      <c r="I5860" s="6" t="s">
        <v>106</v>
      </c>
      <c r="J5860" s="6" t="s">
        <v>394</v>
      </c>
      <c r="K5860" s="10">
        <v>4.92</v>
      </c>
      <c r="L5860" s="10">
        <v>82</v>
      </c>
      <c r="M5860" s="6" t="s">
        <v>425</v>
      </c>
      <c r="N5860" s="6" t="str">
        <f>IF(OR($G5860="FCC",$G5860="Hydrocracker",$G5860="Reformer"),IF(COUNTIFS($D:$D,$D5860,$A:$A,$A5860,$B:$B,$B5860,$G:$G,"CDU",$J:$J,"PLANNED")&gt;0,"tied","standalone"),"")</f>
        <v>standalone</v>
      </c>
    </row>
    <row r="5861" spans="1:14">
      <c r="A5861" s="6">
        <v>2025</v>
      </c>
      <c r="B5861" s="6">
        <v>5</v>
      </c>
      <c r="C5861" s="6" t="s">
        <v>64</v>
      </c>
      <c r="D5861" s="6" t="s">
        <v>765</v>
      </c>
      <c r="E5861" s="6" t="s">
        <v>766</v>
      </c>
      <c r="F5861" s="6" t="str">
        <f>IF($M5861="PADD I","PADD 1",IF($M5861="PADD II","PADD 2",IF($M5861="PADD III","PADD 3",IF($M5861="PADD IV","PADD 4",IF($M5861="PADD V","PADD 5","")))))</f>
        <v>PADD 2</v>
      </c>
      <c r="G5861" s="6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6" t="s">
        <v>44</v>
      </c>
      <c r="I5861" s="6" t="s">
        <v>508</v>
      </c>
      <c r="J5861" s="6" t="s">
        <v>398</v>
      </c>
      <c r="K5861" s="10">
        <v>4.81</v>
      </c>
      <c r="L5861" s="10">
        <v>6.5</v>
      </c>
      <c r="M5861" s="6" t="s">
        <v>425</v>
      </c>
      <c r="N5861" s="6">
        <f>IF(OR($G5861="FCC",$G5861="Hydrocracker",$G5861="Reformer"),IF(COUNTIFS($D:$D,$D5861,$A:$A,$A5861,$B:$B,$B5861,$G:$G,"CDU",$J:$J,"PLANNED")&gt;0,"tied","standalone"),"")</f>
        <v/>
      </c>
    </row>
    <row r="5862" spans="1:14">
      <c r="A5862" s="6">
        <v>2025</v>
      </c>
      <c r="B5862" s="6">
        <v>5</v>
      </c>
      <c r="C5862" s="6" t="s">
        <v>64</v>
      </c>
      <c r="D5862" s="6" t="s">
        <v>765</v>
      </c>
      <c r="E5862" s="6" t="s">
        <v>766</v>
      </c>
      <c r="F5862" s="6" t="str">
        <f>IF($M5862="PADD I","PADD 1",IF($M5862="PADD II","PADD 2",IF($M5862="PADD III","PADD 3",IF($M5862="PADD IV","PADD 4",IF($M5862="PADD V","PADD 5","")))))</f>
        <v>PADD 2</v>
      </c>
      <c r="G5862" s="6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6" t="s">
        <v>471</v>
      </c>
      <c r="I5862" s="6" t="s">
        <v>589</v>
      </c>
      <c r="J5862" s="6" t="s">
        <v>398</v>
      </c>
      <c r="K5862" s="10">
        <v>4.81</v>
      </c>
      <c r="L5862" s="10">
        <v>6.5</v>
      </c>
      <c r="M5862" s="6" t="s">
        <v>425</v>
      </c>
      <c r="N5862" s="6" t="str">
        <f>IF(OR($G5862="FCC",$G5862="Hydrocracker",$G5862="Reformer"),IF(COUNTIFS($D:$D,$D5862,$A:$A,$A5862,$B:$B,$B5862,$G:$G,"CDU",$J:$J,"PLANNED")&gt;0,"tied","standalone"),"")</f>
        <v>tied</v>
      </c>
    </row>
    <row r="5863" spans="1:14">
      <c r="A5863" s="6">
        <v>2025</v>
      </c>
      <c r="B5863" s="6">
        <v>5</v>
      </c>
      <c r="C5863" s="6" t="s">
        <v>64</v>
      </c>
      <c r="D5863" s="6" t="s">
        <v>773</v>
      </c>
      <c r="E5863" s="6" t="s">
        <v>774</v>
      </c>
      <c r="F5863" s="6" t="str">
        <f>IF($M5863="PADD I","PADD 1",IF($M5863="PADD II","PADD 2",IF($M5863="PADD III","PADD 3",IF($M5863="PADD IV","PADD 4",IF($M5863="PADD V","PADD 5","")))))</f>
        <v>PADD 4</v>
      </c>
      <c r="G5863" s="6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6" t="s">
        <v>485</v>
      </c>
      <c r="I5863" s="6" t="s">
        <v>1185</v>
      </c>
      <c r="J5863" s="6" t="s">
        <v>394</v>
      </c>
      <c r="K5863" s="10">
        <v>4.8</v>
      </c>
      <c r="L5863" s="10">
        <v>10</v>
      </c>
      <c r="M5863" s="6" t="s">
        <v>480</v>
      </c>
      <c r="N5863" s="6">
        <f>IF(OR($G5863="FCC",$G5863="Hydrocracker",$G5863="Reformer"),IF(COUNTIFS($D:$D,$D5863,$A:$A,$A5863,$B:$B,$B5863,$G:$G,"CDU",$J:$J,"PLANNED")&gt;0,"tied","standalone"),"")</f>
        <v/>
      </c>
    </row>
    <row r="5864" spans="1:14">
      <c r="A5864" s="6">
        <v>2025</v>
      </c>
      <c r="B5864" s="6">
        <v>5</v>
      </c>
      <c r="C5864" s="6" t="s">
        <v>64</v>
      </c>
      <c r="D5864" s="6" t="s">
        <v>375</v>
      </c>
      <c r="E5864" s="6" t="s">
        <v>435</v>
      </c>
      <c r="F5864" s="6" t="str">
        <f>IF($M5864="PADD I","PADD 1",IF($M5864="PADD II","PADD 2",IF($M5864="PADD III","PADD 3",IF($M5864="PADD IV","PADD 4",IF($M5864="PADD V","PADD 5","")))))</f>
        <v>PADD 5</v>
      </c>
      <c r="G5864" s="6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6" t="s">
        <v>44</v>
      </c>
      <c r="I5864" s="6" t="s">
        <v>551</v>
      </c>
      <c r="J5864" s="6" t="s">
        <v>394</v>
      </c>
      <c r="K5864" s="10">
        <v>4.704</v>
      </c>
      <c r="L5864" s="10">
        <v>9.800000000000001</v>
      </c>
      <c r="M5864" s="6" t="s">
        <v>436</v>
      </c>
      <c r="N5864" s="6">
        <f>IF(OR($G5864="FCC",$G5864="Hydrocracker",$G5864="Reformer"),IF(COUNTIFS($D:$D,$D5864,$A:$A,$A5864,$B:$B,$B5864,$G:$G,"CDU",$J:$J,"PLANNED")&gt;0,"tied","standalone"),"")</f>
        <v/>
      </c>
    </row>
    <row r="5865" spans="1:14">
      <c r="A5865" s="6">
        <v>2025</v>
      </c>
      <c r="B5865" s="6">
        <v>5</v>
      </c>
      <c r="C5865" s="6" t="s">
        <v>64</v>
      </c>
      <c r="D5865" s="6" t="s">
        <v>665</v>
      </c>
      <c r="E5865" s="6" t="s">
        <v>455</v>
      </c>
      <c r="F5865" s="6" t="str">
        <f>IF($M5865="PADD I","PADD 1",IF($M5865="PADD II","PADD 2",IF($M5865="PADD III","PADD 3",IF($M5865="PADD IV","PADD 4",IF($M5865="PADD V","PADD 5","")))))</f>
        <v>PADD 5</v>
      </c>
      <c r="G5865" s="6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6" t="s">
        <v>494</v>
      </c>
      <c r="I5865" s="6" t="s">
        <v>14</v>
      </c>
      <c r="J5865" s="6" t="s">
        <v>394</v>
      </c>
      <c r="K5865" s="10">
        <v>4.68</v>
      </c>
      <c r="L5865" s="10">
        <v>36</v>
      </c>
      <c r="M5865" s="6" t="s">
        <v>436</v>
      </c>
      <c r="N5865" s="6" t="str">
        <f>IF(OR($G5865="FCC",$G5865="Hydrocracker",$G5865="Reformer"),IF(COUNTIFS($D:$D,$D5865,$A:$A,$A5865,$B:$B,$B5865,$G:$G,"CDU",$J:$J,"PLANNED")&gt;0,"tied","standalone"),"")</f>
        <v>standalone</v>
      </c>
    </row>
    <row r="5866" spans="1:14">
      <c r="A5866" s="6">
        <v>2025</v>
      </c>
      <c r="B5866" s="6">
        <v>5</v>
      </c>
      <c r="C5866" s="6" t="s">
        <v>64</v>
      </c>
      <c r="D5866" s="6" t="s">
        <v>777</v>
      </c>
      <c r="E5866" s="6" t="s">
        <v>778</v>
      </c>
      <c r="F5866" s="6" t="str">
        <f>IF($M5866="PADD I","PADD 1",IF($M5866="PADD II","PADD 2",IF($M5866="PADD III","PADD 3",IF($M5866="PADD IV","PADD 4",IF($M5866="PADD V","PADD 5","")))))</f>
        <v>PADD 1</v>
      </c>
      <c r="G5866" s="6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6" t="s">
        <v>44</v>
      </c>
      <c r="I5866" s="6" t="s">
        <v>802</v>
      </c>
      <c r="J5866" s="6" t="s">
        <v>398</v>
      </c>
      <c r="K5866" s="10">
        <v>4.6</v>
      </c>
      <c r="L5866" s="10">
        <v>4.6</v>
      </c>
      <c r="M5866" s="6" t="s">
        <v>463</v>
      </c>
      <c r="N5866" s="6">
        <f>IF(OR($G5866="FCC",$G5866="Hydrocracker",$G5866="Reformer"),IF(COUNTIFS($D:$D,$D5866,$A:$A,$A5866,$B:$B,$B5866,$G:$G,"CDU",$J:$J,"PLANNED")&gt;0,"tied","standalone"),"")</f>
        <v/>
      </c>
    </row>
    <row r="5867" spans="1:14">
      <c r="A5867" s="6">
        <v>2025</v>
      </c>
      <c r="B5867" s="6">
        <v>5</v>
      </c>
      <c r="C5867" s="6" t="s">
        <v>64</v>
      </c>
      <c r="D5867" s="6" t="s">
        <v>52</v>
      </c>
      <c r="E5867" s="6" t="s">
        <v>441</v>
      </c>
      <c r="F5867" s="6" t="str">
        <f>IF($M5867="PADD I","PADD 1",IF($M5867="PADD II","PADD 2",IF($M5867="PADD III","PADD 3",IF($M5867="PADD IV","PADD 4",IF($M5867="PADD V","PADD 5","")))))</f>
        <v>PADD 5</v>
      </c>
      <c r="G5867" s="6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6" t="s">
        <v>494</v>
      </c>
      <c r="I5867" s="6" t="s">
        <v>1124</v>
      </c>
      <c r="J5867" s="6" t="s">
        <v>394</v>
      </c>
      <c r="K5867" s="10">
        <v>4.5</v>
      </c>
      <c r="L5867" s="10">
        <v>45</v>
      </c>
      <c r="M5867" s="6" t="s">
        <v>436</v>
      </c>
      <c r="N5867" s="6" t="str">
        <f>IF(OR($G5867="FCC",$G5867="Hydrocracker",$G5867="Reformer"),IF(COUNTIFS($D:$D,$D5867,$A:$A,$A5867,$B:$B,$B5867,$G:$G,"CDU",$J:$J,"PLANNED")&gt;0,"tied","standalone"),"")</f>
        <v>standalone</v>
      </c>
    </row>
    <row r="5868" spans="1:14">
      <c r="A5868" s="6">
        <v>2025</v>
      </c>
      <c r="B5868" s="6">
        <v>5</v>
      </c>
      <c r="C5868" s="6" t="s">
        <v>64</v>
      </c>
      <c r="D5868" s="6" t="s">
        <v>777</v>
      </c>
      <c r="E5868" s="6" t="s">
        <v>778</v>
      </c>
      <c r="F5868" s="6" t="str">
        <f>IF($M5868="PADD I","PADD 1",IF($M5868="PADD II","PADD 2",IF($M5868="PADD III","PADD 3",IF($M5868="PADD IV","PADD 4",IF($M5868="PADD V","PADD 5","")))))</f>
        <v>PADD 1</v>
      </c>
      <c r="G5868" s="6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6" t="s">
        <v>687</v>
      </c>
      <c r="I5868" s="6" t="s">
        <v>1350</v>
      </c>
      <c r="J5868" s="6" t="s">
        <v>398</v>
      </c>
      <c r="K5868" s="10">
        <v>4.5</v>
      </c>
      <c r="L5868" s="10">
        <v>4.5</v>
      </c>
      <c r="M5868" s="6" t="s">
        <v>463</v>
      </c>
      <c r="N5868" s="6">
        <f>IF(OR($G5868="FCC",$G5868="Hydrocracker",$G5868="Reformer"),IF(COUNTIFS($D:$D,$D5868,$A:$A,$A5868,$B:$B,$B5868,$G:$G,"CDU",$J:$J,"PLANNED")&gt;0,"tied","standalone"),"")</f>
        <v/>
      </c>
    </row>
    <row r="5869" spans="1:14">
      <c r="A5869" s="6">
        <v>2025</v>
      </c>
      <c r="B5869" s="6">
        <v>5</v>
      </c>
      <c r="C5869" s="6" t="s">
        <v>64</v>
      </c>
      <c r="D5869" s="6" t="s">
        <v>777</v>
      </c>
      <c r="E5869" s="6" t="s">
        <v>778</v>
      </c>
      <c r="F5869" s="6" t="str">
        <f>IF($M5869="PADD I","PADD 1",IF($M5869="PADD II","PADD 2",IF($M5869="PADD III","PADD 3",IF($M5869="PADD IV","PADD 4",IF($M5869="PADD V","PADD 5","")))))</f>
        <v>PADD 1</v>
      </c>
      <c r="G5869" s="6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6" t="s">
        <v>687</v>
      </c>
      <c r="I5869" s="6" t="s">
        <v>1351</v>
      </c>
      <c r="J5869" s="6" t="s">
        <v>398</v>
      </c>
      <c r="K5869" s="10">
        <v>4.5</v>
      </c>
      <c r="L5869" s="10">
        <v>4.5</v>
      </c>
      <c r="M5869" s="6" t="s">
        <v>463</v>
      </c>
      <c r="N5869" s="6">
        <f>IF(OR($G5869="FCC",$G5869="Hydrocracker",$G5869="Reformer"),IF(COUNTIFS($D:$D,$D5869,$A:$A,$A5869,$B:$B,$B5869,$G:$G,"CDU",$J:$J,"PLANNED")&gt;0,"tied","standalone"),"")</f>
        <v/>
      </c>
    </row>
    <row r="5870" spans="1:14">
      <c r="A5870" s="6">
        <v>2025</v>
      </c>
      <c r="B5870" s="6">
        <v>5</v>
      </c>
      <c r="C5870" s="6" t="s">
        <v>64</v>
      </c>
      <c r="D5870" s="6" t="s">
        <v>592</v>
      </c>
      <c r="E5870" s="6" t="s">
        <v>593</v>
      </c>
      <c r="F5870" s="6" t="str">
        <f>IF($M5870="PADD I","PADD 1",IF($M5870="PADD II","PADD 2",IF($M5870="PADD III","PADD 3",IF($M5870="PADD IV","PADD 4",IF($M5870="PADD V","PADD 5","")))))</f>
        <v>PADD 2</v>
      </c>
      <c r="G5870" s="6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6" t="s">
        <v>618</v>
      </c>
      <c r="I5870" s="6" t="s">
        <v>654</v>
      </c>
      <c r="J5870" s="6" t="s">
        <v>398</v>
      </c>
      <c r="K5870" s="10">
        <v>4.464</v>
      </c>
      <c r="L5870" s="10">
        <v>27.9</v>
      </c>
      <c r="M5870" s="6" t="s">
        <v>425</v>
      </c>
      <c r="N5870" s="6">
        <f>IF(OR($G5870="FCC",$G5870="Hydrocracker",$G5870="Reformer"),IF(COUNTIFS($D:$D,$D5870,$A:$A,$A5870,$B:$B,$B5870,$G:$G,"CDU",$J:$J,"PLANNED")&gt;0,"tied","standalone"),"")</f>
        <v/>
      </c>
    </row>
    <row r="5871" spans="1:14">
      <c r="A5871" s="6">
        <v>2025</v>
      </c>
      <c r="B5871" s="6">
        <v>5</v>
      </c>
      <c r="C5871" s="6" t="s">
        <v>64</v>
      </c>
      <c r="D5871" s="6" t="s">
        <v>901</v>
      </c>
      <c r="E5871" s="6" t="s">
        <v>902</v>
      </c>
      <c r="F5871" s="6" t="str">
        <f>IF($M5871="PADD I","PADD 1",IF($M5871="PADD II","PADD 2",IF($M5871="PADD III","PADD 3",IF($M5871="PADD IV","PADD 4",IF($M5871="PADD V","PADD 5","")))))</f>
        <v>PADD 3</v>
      </c>
      <c r="G5871" s="6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6" t="s">
        <v>39</v>
      </c>
      <c r="I5871" s="6" t="s">
        <v>904</v>
      </c>
      <c r="J5871" s="6" t="s">
        <v>394</v>
      </c>
      <c r="K5871" s="10">
        <v>4.38</v>
      </c>
      <c r="L5871" s="10">
        <v>73</v>
      </c>
      <c r="M5871" s="6" t="s">
        <v>421</v>
      </c>
      <c r="N5871" s="6">
        <f>IF(OR($G5871="FCC",$G5871="Hydrocracker",$G5871="Reformer"),IF(COUNTIFS($D:$D,$D5871,$A:$A,$A5871,$B:$B,$B5871,$G:$G,"CDU",$J:$J,"PLANNED")&gt;0,"tied","standalone"),"")</f>
        <v/>
      </c>
    </row>
    <row r="5872" spans="1:14">
      <c r="A5872" s="6">
        <v>2025</v>
      </c>
      <c r="B5872" s="6">
        <v>5</v>
      </c>
      <c r="C5872" s="6" t="s">
        <v>64</v>
      </c>
      <c r="D5872" s="6" t="s">
        <v>375</v>
      </c>
      <c r="E5872" s="6" t="s">
        <v>435</v>
      </c>
      <c r="F5872" s="6" t="str">
        <f>IF($M5872="PADD I","PADD 1",IF($M5872="PADD II","PADD 2",IF($M5872="PADD III","PADD 3",IF($M5872="PADD IV","PADD 4",IF($M5872="PADD V","PADD 5","")))))</f>
        <v>PADD 5</v>
      </c>
      <c r="G5872" s="6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6" t="s">
        <v>44</v>
      </c>
      <c r="I5872" s="6" t="s">
        <v>1233</v>
      </c>
      <c r="J5872" s="6" t="s">
        <v>394</v>
      </c>
      <c r="K5872" s="10">
        <v>4.368</v>
      </c>
      <c r="L5872" s="10">
        <v>9.1</v>
      </c>
      <c r="M5872" s="6" t="s">
        <v>436</v>
      </c>
      <c r="N5872" s="6">
        <f>IF(OR($G5872="FCC",$G5872="Hydrocracker",$G5872="Reformer"),IF(COUNTIFS($D:$D,$D5872,$A:$A,$A5872,$B:$B,$B5872,$G:$G,"CDU",$J:$J,"PLANNED")&gt;0,"tied","standalone"),"")</f>
        <v/>
      </c>
    </row>
    <row r="5873" spans="1:14">
      <c r="A5873" s="6">
        <v>2025</v>
      </c>
      <c r="B5873" s="6">
        <v>5</v>
      </c>
      <c r="C5873" s="6" t="s">
        <v>64</v>
      </c>
      <c r="D5873" s="6" t="s">
        <v>806</v>
      </c>
      <c r="E5873" s="6" t="s">
        <v>807</v>
      </c>
      <c r="F5873" s="6" t="str">
        <f>IF($M5873="PADD I","PADD 1",IF($M5873="PADD II","PADD 2",IF($M5873="PADD III","PADD 3",IF($M5873="PADD IV","PADD 4",IF($M5873="PADD V","PADD 5","")))))</f>
        <v>PADD 3</v>
      </c>
      <c r="G5873" s="6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6" t="s">
        <v>39</v>
      </c>
      <c r="I5873" s="6" t="s">
        <v>82</v>
      </c>
      <c r="J5873" s="6" t="s">
        <v>398</v>
      </c>
      <c r="K5873" s="10">
        <v>4.35</v>
      </c>
      <c r="L5873" s="10">
        <v>15</v>
      </c>
      <c r="M5873" s="6" t="s">
        <v>421</v>
      </c>
      <c r="N5873" s="6">
        <f>IF(OR($G5873="FCC",$G5873="Hydrocracker",$G5873="Reformer"),IF(COUNTIFS($D:$D,$D5873,$A:$A,$A5873,$B:$B,$B5873,$G:$G,"CDU",$J:$J,"PLANNED")&gt;0,"tied","standalone"),"")</f>
        <v/>
      </c>
    </row>
    <row r="5874" spans="1:14">
      <c r="A5874" s="6">
        <v>2025</v>
      </c>
      <c r="B5874" s="6">
        <v>5</v>
      </c>
      <c r="C5874" s="6" t="s">
        <v>64</v>
      </c>
      <c r="D5874" s="6" t="s">
        <v>777</v>
      </c>
      <c r="E5874" s="6" t="s">
        <v>778</v>
      </c>
      <c r="F5874" s="6" t="str">
        <f>IF($M5874="PADD I","PADD 1",IF($M5874="PADD II","PADD 2",IF($M5874="PADD III","PADD 3",IF($M5874="PADD IV","PADD 4",IF($M5874="PADD V","PADD 5","")))))</f>
        <v>PADD 1</v>
      </c>
      <c r="G5874" s="6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6" t="s">
        <v>494</v>
      </c>
      <c r="I5874" s="6" t="s">
        <v>803</v>
      </c>
      <c r="J5874" s="6" t="s">
        <v>398</v>
      </c>
      <c r="K5874" s="10">
        <v>4.3</v>
      </c>
      <c r="L5874" s="10">
        <v>4.3</v>
      </c>
      <c r="M5874" s="6" t="s">
        <v>463</v>
      </c>
      <c r="N5874" s="6" t="str">
        <f>IF(OR($G5874="FCC",$G5874="Hydrocracker",$G5874="Reformer"),IF(COUNTIFS($D:$D,$D5874,$A:$A,$A5874,$B:$B,$B5874,$G:$G,"CDU",$J:$J,"PLANNED")&gt;0,"tied","standalone"),"")</f>
        <v>tied</v>
      </c>
    </row>
    <row r="5875" spans="1:14">
      <c r="A5875" s="6">
        <v>2025</v>
      </c>
      <c r="B5875" s="6">
        <v>5</v>
      </c>
      <c r="C5875" s="6" t="s">
        <v>64</v>
      </c>
      <c r="D5875" s="6" t="s">
        <v>772</v>
      </c>
      <c r="E5875" s="6" t="s">
        <v>502</v>
      </c>
      <c r="F5875" s="6" t="str">
        <f>IF($M5875="PADD I","PADD 1",IF($M5875="PADD II","PADD 2",IF($M5875="PADD III","PADD 3",IF($M5875="PADD IV","PADD 4",IF($M5875="PADD V","PADD 5","")))))</f>
        <v>PADD 4</v>
      </c>
      <c r="G5875" s="6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6" t="s">
        <v>39</v>
      </c>
      <c r="I5875" s="6" t="s">
        <v>1211</v>
      </c>
      <c r="J5875" s="6" t="s">
        <v>394</v>
      </c>
      <c r="K5875" s="10">
        <v>4.224</v>
      </c>
      <c r="L5875" s="10">
        <v>26.4</v>
      </c>
      <c r="M5875" s="6" t="s">
        <v>480</v>
      </c>
      <c r="N5875" s="6">
        <f>IF(OR($G5875="FCC",$G5875="Hydrocracker",$G5875="Reformer"),IF(COUNTIFS($D:$D,$D5875,$A:$A,$A5875,$B:$B,$B5875,$G:$G,"CDU",$J:$J,"PLANNED")&gt;0,"tied","standalone"),"")</f>
        <v/>
      </c>
    </row>
    <row r="5876" spans="1:14">
      <c r="A5876" s="6">
        <v>2025</v>
      </c>
      <c r="B5876" s="6">
        <v>5</v>
      </c>
      <c r="C5876" s="6" t="s">
        <v>64</v>
      </c>
      <c r="D5876" s="6" t="s">
        <v>665</v>
      </c>
      <c r="E5876" s="6" t="s">
        <v>455</v>
      </c>
      <c r="F5876" s="6" t="str">
        <f>IF($M5876="PADD I","PADD 1",IF($M5876="PADD II","PADD 2",IF($M5876="PADD III","PADD 3",IF($M5876="PADD IV","PADD 4",IF($M5876="PADD V","PADD 5","")))))</f>
        <v>PADD 5</v>
      </c>
      <c r="G5876" s="6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6" t="s">
        <v>44</v>
      </c>
      <c r="I5876" s="6" t="s">
        <v>1359</v>
      </c>
      <c r="J5876" s="6" t="s">
        <v>394</v>
      </c>
      <c r="K5876" s="10">
        <v>3.77</v>
      </c>
      <c r="L5876" s="10">
        <v>29</v>
      </c>
      <c r="M5876" s="6" t="s">
        <v>436</v>
      </c>
      <c r="N5876" s="6">
        <f>IF(OR($G5876="FCC",$G5876="Hydrocracker",$G5876="Reformer"),IF(COUNTIFS($D:$D,$D5876,$A:$A,$A5876,$B:$B,$B5876,$G:$G,"CDU",$J:$J,"PLANNED")&gt;0,"tied","standalone"),"")</f>
        <v/>
      </c>
    </row>
    <row r="5877" spans="1:14">
      <c r="A5877" s="6">
        <v>2025</v>
      </c>
      <c r="B5877" s="6">
        <v>5</v>
      </c>
      <c r="C5877" s="6" t="s">
        <v>64</v>
      </c>
      <c r="D5877" s="6" t="s">
        <v>375</v>
      </c>
      <c r="E5877" s="6" t="s">
        <v>435</v>
      </c>
      <c r="F5877" s="6" t="str">
        <f>IF($M5877="PADD I","PADD 1",IF($M5877="PADD II","PADD 2",IF($M5877="PADD III","PADD 3",IF($M5877="PADD IV","PADD 4",IF($M5877="PADD V","PADD 5","")))))</f>
        <v>PADD 5</v>
      </c>
      <c r="G5877" s="6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6" t="s">
        <v>485</v>
      </c>
      <c r="I5877" s="6" t="s">
        <v>491</v>
      </c>
      <c r="J5877" s="6" t="s">
        <v>394</v>
      </c>
      <c r="K5877" s="10">
        <v>3.696</v>
      </c>
      <c r="L5877" s="10">
        <v>7.7</v>
      </c>
      <c r="M5877" s="6" t="s">
        <v>436</v>
      </c>
      <c r="N5877" s="6">
        <f>IF(OR($G5877="FCC",$G5877="Hydrocracker",$G5877="Reformer"),IF(COUNTIFS($D:$D,$D5877,$A:$A,$A5877,$B:$B,$B5877,$G:$G,"CDU",$J:$J,"PLANNED")&gt;0,"tied","standalone"),"")</f>
        <v/>
      </c>
    </row>
    <row r="5878" spans="1:14">
      <c r="A5878" s="6">
        <v>2025</v>
      </c>
      <c r="B5878" s="6">
        <v>5</v>
      </c>
      <c r="C5878" s="6" t="s">
        <v>64</v>
      </c>
      <c r="D5878" s="6" t="s">
        <v>665</v>
      </c>
      <c r="E5878" s="6" t="s">
        <v>455</v>
      </c>
      <c r="F5878" s="6" t="str">
        <f>IF($M5878="PADD I","PADD 1",IF($M5878="PADD II","PADD 2",IF($M5878="PADD III","PADD 3",IF($M5878="PADD IV","PADD 4",IF($M5878="PADD V","PADD 5","")))))</f>
        <v>PADD 5</v>
      </c>
      <c r="G5878" s="6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6" t="s">
        <v>485</v>
      </c>
      <c r="I5878" s="6" t="s">
        <v>1185</v>
      </c>
      <c r="J5878" s="6" t="s">
        <v>394</v>
      </c>
      <c r="K5878" s="10">
        <v>3.64</v>
      </c>
      <c r="L5878" s="10">
        <v>28</v>
      </c>
      <c r="M5878" s="6" t="s">
        <v>436</v>
      </c>
      <c r="N5878" s="6">
        <f>IF(OR($G5878="FCC",$G5878="Hydrocracker",$G5878="Reformer"),IF(COUNTIFS($D:$D,$D5878,$A:$A,$A5878,$B:$B,$B5878,$G:$G,"CDU",$J:$J,"PLANNED")&gt;0,"tied","standalone"),"")</f>
        <v/>
      </c>
    </row>
    <row r="5879" spans="1:14">
      <c r="A5879" s="6">
        <v>2025</v>
      </c>
      <c r="B5879" s="6">
        <v>5</v>
      </c>
      <c r="C5879" s="6" t="s">
        <v>64</v>
      </c>
      <c r="D5879" s="6" t="s">
        <v>777</v>
      </c>
      <c r="E5879" s="6" t="s">
        <v>778</v>
      </c>
      <c r="F5879" s="6" t="str">
        <f>IF($M5879="PADD I","PADD 1",IF($M5879="PADD II","PADD 2",IF($M5879="PADD III","PADD 3",IF($M5879="PADD IV","PADD 4",IF($M5879="PADD V","PADD 5","")))))</f>
        <v>PADD 1</v>
      </c>
      <c r="G5879" s="6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6" t="s">
        <v>471</v>
      </c>
      <c r="I5879" s="6" t="s">
        <v>621</v>
      </c>
      <c r="J5879" s="6" t="s">
        <v>398</v>
      </c>
      <c r="K5879" s="10">
        <v>3.6</v>
      </c>
      <c r="L5879" s="10">
        <v>3.6</v>
      </c>
      <c r="M5879" s="6" t="s">
        <v>463</v>
      </c>
      <c r="N5879" s="6" t="str">
        <f>IF(OR($G5879="FCC",$G5879="Hydrocracker",$G5879="Reformer"),IF(COUNTIFS($D:$D,$D5879,$A:$A,$A5879,$B:$B,$B5879,$G:$G,"CDU",$J:$J,"PLANNED")&gt;0,"tied","standalone"),"")</f>
        <v>tied</v>
      </c>
    </row>
    <row r="5880" spans="1:14">
      <c r="A5880" s="6">
        <v>2025</v>
      </c>
      <c r="B5880" s="6">
        <v>5</v>
      </c>
      <c r="C5880" s="6" t="s">
        <v>64</v>
      </c>
      <c r="D5880" s="6" t="s">
        <v>820</v>
      </c>
      <c r="E5880" s="6" t="s">
        <v>710</v>
      </c>
      <c r="F5880" s="6" t="str">
        <f>IF($M5880="PADD I","PADD 1",IF($M5880="PADD II","PADD 2",IF($M5880="PADD III","PADD 3",IF($M5880="PADD IV","PADD 4",IF($M5880="PADD V","PADD 5","")))))</f>
        <v>PADD 3</v>
      </c>
      <c r="G5880" s="6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6" t="s">
        <v>44</v>
      </c>
      <c r="I5880" s="6" t="s">
        <v>676</v>
      </c>
      <c r="J5880" s="6" t="s">
        <v>394</v>
      </c>
      <c r="K5880" s="10">
        <v>3.52</v>
      </c>
      <c r="L5880" s="10">
        <v>22</v>
      </c>
      <c r="M5880" s="6" t="s">
        <v>421</v>
      </c>
      <c r="N5880" s="6">
        <f>IF(OR($G5880="FCC",$G5880="Hydrocracker",$G5880="Reformer"),IF(COUNTIFS($D:$D,$D5880,$A:$A,$A5880,$B:$B,$B5880,$G:$G,"CDU",$J:$J,"PLANNED")&gt;0,"tied","standalone"),"")</f>
        <v/>
      </c>
    </row>
    <row r="5881" spans="1:14">
      <c r="A5881" s="6">
        <v>2025</v>
      </c>
      <c r="B5881" s="6">
        <v>5</v>
      </c>
      <c r="C5881" s="6" t="s">
        <v>64</v>
      </c>
      <c r="D5881" s="6" t="s">
        <v>820</v>
      </c>
      <c r="E5881" s="6" t="s">
        <v>710</v>
      </c>
      <c r="F5881" s="6" t="str">
        <f>IF($M5881="PADD I","PADD 1",IF($M5881="PADD II","PADD 2",IF($M5881="PADD III","PADD 3",IF($M5881="PADD IV","PADD 4",IF($M5881="PADD V","PADD 5","")))))</f>
        <v>PADD 3</v>
      </c>
      <c r="G5881" s="6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6" t="s">
        <v>44</v>
      </c>
      <c r="I5881" s="6" t="s">
        <v>831</v>
      </c>
      <c r="J5881" s="6" t="s">
        <v>394</v>
      </c>
      <c r="K5881" s="10">
        <v>3.52</v>
      </c>
      <c r="L5881" s="10">
        <v>22</v>
      </c>
      <c r="M5881" s="6" t="s">
        <v>421</v>
      </c>
      <c r="N5881" s="6">
        <f>IF(OR($G5881="FCC",$G5881="Hydrocracker",$G5881="Reformer"),IF(COUNTIFS($D:$D,$D5881,$A:$A,$A5881,$B:$B,$B5881,$G:$G,"CDU",$J:$J,"PLANNED")&gt;0,"tied","standalone"),"")</f>
        <v/>
      </c>
    </row>
    <row r="5882" spans="1:14">
      <c r="A5882" s="6">
        <v>2025</v>
      </c>
      <c r="B5882" s="6">
        <v>5</v>
      </c>
      <c r="C5882" s="6" t="s">
        <v>64</v>
      </c>
      <c r="D5882" s="6" t="s">
        <v>375</v>
      </c>
      <c r="E5882" s="6" t="s">
        <v>435</v>
      </c>
      <c r="F5882" s="6" t="str">
        <f>IF($M5882="PADD I","PADD 1",IF($M5882="PADD II","PADD 2",IF($M5882="PADD III","PADD 3",IF($M5882="PADD IV","PADD 4",IF($M5882="PADD V","PADD 5","")))))</f>
        <v>PADD 5</v>
      </c>
      <c r="G5882" s="6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6" t="s">
        <v>485</v>
      </c>
      <c r="I5882" s="6" t="s">
        <v>863</v>
      </c>
      <c r="J5882" s="6" t="s">
        <v>394</v>
      </c>
      <c r="K5882" s="10">
        <v>3.5136</v>
      </c>
      <c r="L5882" s="10">
        <v>7.32</v>
      </c>
      <c r="M5882" s="6" t="s">
        <v>436</v>
      </c>
      <c r="N5882" s="6">
        <f>IF(OR($G5882="FCC",$G5882="Hydrocracker",$G5882="Reformer"),IF(COUNTIFS($D:$D,$D5882,$A:$A,$A5882,$B:$B,$B5882,$G:$G,"CDU",$J:$J,"PLANNED")&gt;0,"tied","standalone"),"")</f>
        <v/>
      </c>
    </row>
    <row r="5883" spans="1:14">
      <c r="A5883" s="6">
        <v>2025</v>
      </c>
      <c r="B5883" s="6">
        <v>5</v>
      </c>
      <c r="C5883" s="6" t="s">
        <v>64</v>
      </c>
      <c r="D5883" s="6" t="s">
        <v>498</v>
      </c>
      <c r="E5883" s="6" t="s">
        <v>441</v>
      </c>
      <c r="F5883" s="6" t="str">
        <f>IF($M5883="PADD I","PADD 1",IF($M5883="PADD II","PADD 2",IF($M5883="PADD III","PADD 3",IF($M5883="PADD IV","PADD 4",IF($M5883="PADD V","PADD 5","")))))</f>
        <v>PADD 3</v>
      </c>
      <c r="G5883" s="6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6" t="s">
        <v>44</v>
      </c>
      <c r="I5883" s="6" t="s">
        <v>499</v>
      </c>
      <c r="J5883" s="6" t="s">
        <v>394</v>
      </c>
      <c r="K5883" s="10">
        <v>3.5</v>
      </c>
      <c r="L5883" s="10">
        <v>35</v>
      </c>
      <c r="M5883" s="6" t="s">
        <v>421</v>
      </c>
      <c r="N5883" s="6">
        <f>IF(OR($G5883="FCC",$G5883="Hydrocracker",$G5883="Reformer"),IF(COUNTIFS($D:$D,$D5883,$A:$A,$A5883,$B:$B,$B5883,$G:$G,"CDU",$J:$J,"PLANNED")&gt;0,"tied","standalone"),"")</f>
        <v/>
      </c>
    </row>
    <row r="5884" spans="1:14">
      <c r="A5884" s="6">
        <v>2025</v>
      </c>
      <c r="B5884" s="6">
        <v>5</v>
      </c>
      <c r="C5884" s="6" t="s">
        <v>64</v>
      </c>
      <c r="D5884" s="6" t="s">
        <v>378</v>
      </c>
      <c r="E5884" s="6" t="s">
        <v>477</v>
      </c>
      <c r="F5884" s="6" t="str">
        <f>IF($M5884="PADD I","PADD 1",IF($M5884="PADD II","PADD 2",IF($M5884="PADD III","PADD 3",IF($M5884="PADD IV","PADD 4",IF($M5884="PADD V","PADD 5","")))))</f>
        <v>PADD 3</v>
      </c>
      <c r="G5884" s="6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6" t="s">
        <v>428</v>
      </c>
      <c r="I5884" s="6" t="s">
        <v>478</v>
      </c>
      <c r="J5884" s="6" t="s">
        <v>394</v>
      </c>
      <c r="K5884" s="10">
        <v>3.36</v>
      </c>
      <c r="L5884" s="10">
        <v>112</v>
      </c>
      <c r="M5884" s="6" t="s">
        <v>421</v>
      </c>
      <c r="N5884" s="6">
        <f>IF(OR($G5884="FCC",$G5884="Hydrocracker",$G5884="Reformer"),IF(COUNTIFS($D:$D,$D5884,$A:$A,$A5884,$B:$B,$B5884,$G:$G,"CDU",$J:$J,"PLANNED")&gt;0,"tied","standalone"),"")</f>
        <v/>
      </c>
    </row>
    <row r="5885" spans="1:14">
      <c r="A5885" s="6">
        <v>2025</v>
      </c>
      <c r="B5885" s="6">
        <v>5</v>
      </c>
      <c r="C5885" s="6" t="s">
        <v>64</v>
      </c>
      <c r="D5885" s="6" t="s">
        <v>851</v>
      </c>
      <c r="E5885" s="6" t="s">
        <v>829</v>
      </c>
      <c r="F5885" s="6" t="str">
        <f>IF($M5885="PADD I","PADD 1",IF($M5885="PADD II","PADD 2",IF($M5885="PADD III","PADD 3",IF($M5885="PADD IV","PADD 4",IF($M5885="PADD V","PADD 5","")))))</f>
        <v>PADD 2</v>
      </c>
      <c r="G5885" s="6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6" t="s">
        <v>485</v>
      </c>
      <c r="I5885" s="6" t="s">
        <v>1229</v>
      </c>
      <c r="J5885" s="6" t="s">
        <v>394</v>
      </c>
      <c r="K5885" s="10">
        <v>3.12</v>
      </c>
      <c r="L5885" s="10">
        <v>24</v>
      </c>
      <c r="M5885" s="6" t="s">
        <v>425</v>
      </c>
      <c r="N5885" s="6">
        <f>IF(OR($G5885="FCC",$G5885="Hydrocracker",$G5885="Reformer"),IF(COUNTIFS($D:$D,$D5885,$A:$A,$A5885,$B:$B,$B5885,$G:$G,"CDU",$J:$J,"PLANNED")&gt;0,"tied","standalone"),"")</f>
        <v/>
      </c>
    </row>
    <row r="5886" spans="1:14">
      <c r="A5886" s="6">
        <v>2025</v>
      </c>
      <c r="B5886" s="6">
        <v>5</v>
      </c>
      <c r="C5886" s="6" t="s">
        <v>64</v>
      </c>
      <c r="D5886" s="6" t="s">
        <v>822</v>
      </c>
      <c r="E5886" s="6" t="s">
        <v>455</v>
      </c>
      <c r="F5886" s="6" t="str">
        <f>IF($M5886="PADD I","PADD 1",IF($M5886="PADD II","PADD 2",IF($M5886="PADD III","PADD 3",IF($M5886="PADD IV","PADD 4",IF($M5886="PADD V","PADD 5","")))))</f>
        <v>PADD 3</v>
      </c>
      <c r="G5886" s="6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6" t="s">
        <v>39</v>
      </c>
      <c r="I5886" s="6" t="s">
        <v>1360</v>
      </c>
      <c r="J5886" s="6" t="s">
        <v>394</v>
      </c>
      <c r="K5886" s="10">
        <v>3.075</v>
      </c>
      <c r="L5886" s="10">
        <v>102.5</v>
      </c>
      <c r="M5886" s="6" t="s">
        <v>421</v>
      </c>
      <c r="N5886" s="6">
        <f>IF(OR($G5886="FCC",$G5886="Hydrocracker",$G5886="Reformer"),IF(COUNTIFS($D:$D,$D5886,$A:$A,$A5886,$B:$B,$B5886,$G:$G,"CDU",$J:$J,"PLANNED")&gt;0,"tied","standalone"),"")</f>
        <v/>
      </c>
    </row>
    <row r="5887" spans="1:14">
      <c r="A5887" s="6">
        <v>2025</v>
      </c>
      <c r="B5887" s="6">
        <v>5</v>
      </c>
      <c r="C5887" s="6" t="s">
        <v>64</v>
      </c>
      <c r="D5887" s="6" t="s">
        <v>822</v>
      </c>
      <c r="E5887" s="6" t="s">
        <v>455</v>
      </c>
      <c r="F5887" s="6" t="str">
        <f>IF($M5887="PADD I","PADD 1",IF($M5887="PADD II","PADD 2",IF($M5887="PADD III","PADD 3",IF($M5887="PADD IV","PADD 4",IF($M5887="PADD V","PADD 5","")))))</f>
        <v>PADD 3</v>
      </c>
      <c r="G5887" s="6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6" t="s">
        <v>39</v>
      </c>
      <c r="I5887" s="6" t="s">
        <v>1360</v>
      </c>
      <c r="J5887" s="6" t="s">
        <v>394</v>
      </c>
      <c r="K5887" s="10">
        <v>3.075</v>
      </c>
      <c r="L5887" s="10">
        <v>102.5</v>
      </c>
      <c r="M5887" s="6" t="s">
        <v>421</v>
      </c>
      <c r="N5887" s="6">
        <f>IF(OR($G5887="FCC",$G5887="Hydrocracker",$G5887="Reformer"),IF(COUNTIFS($D:$D,$D5887,$A:$A,$A5887,$B:$B,$B5887,$G:$G,"CDU",$J:$J,"PLANNED")&gt;0,"tied","standalone"),"")</f>
        <v/>
      </c>
    </row>
    <row r="5888" spans="1:14">
      <c r="A5888" s="6">
        <v>2025</v>
      </c>
      <c r="B5888" s="6">
        <v>5</v>
      </c>
      <c r="C5888" s="6" t="s">
        <v>64</v>
      </c>
      <c r="D5888" s="6" t="s">
        <v>865</v>
      </c>
      <c r="E5888" s="6" t="s">
        <v>502</v>
      </c>
      <c r="F5888" s="6" t="str">
        <f>IF($M5888="PADD I","PADD 1",IF($M5888="PADD II","PADD 2",IF($M5888="PADD III","PADD 3",IF($M5888="PADD IV","PADD 4",IF($M5888="PADD V","PADD 5","")))))</f>
        <v>PADD 4</v>
      </c>
      <c r="G5888" s="6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6" t="s">
        <v>510</v>
      </c>
      <c r="I5888" s="6" t="s">
        <v>511</v>
      </c>
      <c r="J5888" s="6" t="s">
        <v>398</v>
      </c>
      <c r="K5888" s="10">
        <v>3.06</v>
      </c>
      <c r="L5888" s="10">
        <v>4.5</v>
      </c>
      <c r="M5888" s="6" t="s">
        <v>480</v>
      </c>
      <c r="N5888" s="6">
        <f>IF(OR($G5888="FCC",$G5888="Hydrocracker",$G5888="Reformer"),IF(COUNTIFS($D:$D,$D5888,$A:$A,$A5888,$B:$B,$B5888,$G:$G,"CDU",$J:$J,"PLANNED")&gt;0,"tied","standalone"),"")</f>
        <v/>
      </c>
    </row>
    <row r="5889" spans="1:14">
      <c r="A5889" s="6">
        <v>2025</v>
      </c>
      <c r="B5889" s="6">
        <v>5</v>
      </c>
      <c r="C5889" s="6" t="s">
        <v>64</v>
      </c>
      <c r="D5889" s="6" t="s">
        <v>928</v>
      </c>
      <c r="E5889" s="6" t="s">
        <v>502</v>
      </c>
      <c r="F5889" s="6" t="str">
        <f>IF($M5889="PADD I","PADD 1",IF($M5889="PADD II","PADD 2",IF($M5889="PADD III","PADD 3",IF($M5889="PADD IV","PADD 4",IF($M5889="PADD V","PADD 5","")))))</f>
        <v>PADD 2</v>
      </c>
      <c r="G5889" s="6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6" t="s">
        <v>485</v>
      </c>
      <c r="I5889" s="6" t="s">
        <v>491</v>
      </c>
      <c r="J5889" s="6" t="s">
        <v>394</v>
      </c>
      <c r="K5889" s="10">
        <v>2.975</v>
      </c>
      <c r="L5889" s="10">
        <v>8.5</v>
      </c>
      <c r="M5889" s="6" t="s">
        <v>425</v>
      </c>
      <c r="N5889" s="6">
        <f>IF(OR($G5889="FCC",$G5889="Hydrocracker",$G5889="Reformer"),IF(COUNTIFS($D:$D,$D5889,$A:$A,$A5889,$B:$B,$B5889,$G:$G,"CDU",$J:$J,"PLANNED")&gt;0,"tied","standalone"),"")</f>
        <v/>
      </c>
    </row>
    <row r="5890" spans="1:14">
      <c r="A5890" s="6">
        <v>2025</v>
      </c>
      <c r="B5890" s="6">
        <v>5</v>
      </c>
      <c r="C5890" s="6" t="s">
        <v>64</v>
      </c>
      <c r="D5890" s="6" t="s">
        <v>820</v>
      </c>
      <c r="E5890" s="6" t="s">
        <v>710</v>
      </c>
      <c r="F5890" s="6" t="str">
        <f>IF($M5890="PADD I","PADD 1",IF($M5890="PADD II","PADD 2",IF($M5890="PADD III","PADD 3",IF($M5890="PADD IV","PADD 4",IF($M5890="PADD V","PADD 5","")))))</f>
        <v>PADD 3</v>
      </c>
      <c r="G5890" s="6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6" t="s">
        <v>494</v>
      </c>
      <c r="I5890" s="6" t="s">
        <v>14</v>
      </c>
      <c r="J5890" s="6" t="s">
        <v>394</v>
      </c>
      <c r="K5890" s="10">
        <v>2.96</v>
      </c>
      <c r="L5890" s="10">
        <v>18.5</v>
      </c>
      <c r="M5890" s="6" t="s">
        <v>421</v>
      </c>
      <c r="N5890" s="6" t="str">
        <f>IF(OR($G5890="FCC",$G5890="Hydrocracker",$G5890="Reformer"),IF(COUNTIFS($D:$D,$D5890,$A:$A,$A5890,$B:$B,$B5890,$G:$G,"CDU",$J:$J,"PLANNED")&gt;0,"tied","standalone"),"")</f>
        <v>standalone</v>
      </c>
    </row>
    <row r="5891" spans="1:14">
      <c r="A5891" s="6">
        <v>2025</v>
      </c>
      <c r="B5891" s="6">
        <v>5</v>
      </c>
      <c r="C5891" s="6" t="s">
        <v>64</v>
      </c>
      <c r="D5891" s="6" t="s">
        <v>773</v>
      </c>
      <c r="E5891" s="6" t="s">
        <v>774</v>
      </c>
      <c r="F5891" s="6" t="str">
        <f>IF($M5891="PADD I","PADD 1",IF($M5891="PADD II","PADD 2",IF($M5891="PADD III","PADD 3",IF($M5891="PADD IV","PADD 4",IF($M5891="PADD V","PADD 5","")))))</f>
        <v>PADD 4</v>
      </c>
      <c r="G5891" s="6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6" t="s">
        <v>510</v>
      </c>
      <c r="I5891" s="6" t="s">
        <v>666</v>
      </c>
      <c r="J5891" s="6" t="s">
        <v>398</v>
      </c>
      <c r="K5891" s="10">
        <v>2.925</v>
      </c>
      <c r="L5891" s="10">
        <v>4.5</v>
      </c>
      <c r="M5891" s="6" t="s">
        <v>480</v>
      </c>
      <c r="N5891" s="6">
        <f>IF(OR($G5891="FCC",$G5891="Hydrocracker",$G5891="Reformer"),IF(COUNTIFS($D:$D,$D5891,$A:$A,$A5891,$B:$B,$B5891,$G:$G,"CDU",$J:$J,"PLANNED")&gt;0,"tied","standalone"),"")</f>
        <v/>
      </c>
    </row>
    <row r="5892" spans="1:14">
      <c r="A5892" s="6">
        <v>2025</v>
      </c>
      <c r="B5892" s="6">
        <v>5</v>
      </c>
      <c r="C5892" s="6" t="s">
        <v>64</v>
      </c>
      <c r="D5892" s="6" t="s">
        <v>822</v>
      </c>
      <c r="E5892" s="6" t="s">
        <v>455</v>
      </c>
      <c r="F5892" s="6" t="str">
        <f>IF($M5892="PADD I","PADD 1",IF($M5892="PADD II","PADD 2",IF($M5892="PADD III","PADD 3",IF($M5892="PADD IV","PADD 4",IF($M5892="PADD V","PADD 5","")))))</f>
        <v>PADD 3</v>
      </c>
      <c r="G5892" s="6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6" t="s">
        <v>426</v>
      </c>
      <c r="I5892" s="6" t="s">
        <v>823</v>
      </c>
      <c r="J5892" s="6" t="s">
        <v>394</v>
      </c>
      <c r="K5892" s="10">
        <v>2.88</v>
      </c>
      <c r="L5892" s="10">
        <v>96</v>
      </c>
      <c r="M5892" s="6" t="s">
        <v>421</v>
      </c>
      <c r="N5892" s="6" t="str">
        <f>IF(OR($G5892="FCC",$G5892="Hydrocracker",$G5892="Reformer"),IF(COUNTIFS($D:$D,$D5892,$A:$A,$A5892,$B:$B,$B5892,$G:$G,"CDU",$J:$J,"PLANNED")&gt;0,"tied","standalone"),"")</f>
        <v>standalone</v>
      </c>
    </row>
    <row r="5893" spans="1:14">
      <c r="A5893" s="6">
        <v>2025</v>
      </c>
      <c r="B5893" s="6">
        <v>5</v>
      </c>
      <c r="C5893" s="6" t="s">
        <v>64</v>
      </c>
      <c r="D5893" s="6" t="s">
        <v>822</v>
      </c>
      <c r="E5893" s="6" t="s">
        <v>455</v>
      </c>
      <c r="F5893" s="6" t="str">
        <f>IF($M5893="PADD I","PADD 1",IF($M5893="PADD II","PADD 2",IF($M5893="PADD III","PADD 3",IF($M5893="PADD IV","PADD 4",IF($M5893="PADD V","PADD 5","")))))</f>
        <v>PADD 3</v>
      </c>
      <c r="G5893" s="6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6" t="s">
        <v>426</v>
      </c>
      <c r="I5893" s="6" t="s">
        <v>823</v>
      </c>
      <c r="J5893" s="6" t="s">
        <v>394</v>
      </c>
      <c r="K5893" s="10">
        <v>2.88</v>
      </c>
      <c r="L5893" s="10">
        <v>96</v>
      </c>
      <c r="M5893" s="6" t="s">
        <v>421</v>
      </c>
      <c r="N5893" s="6" t="str">
        <f>IF(OR($G5893="FCC",$G5893="Hydrocracker",$G5893="Reformer"),IF(COUNTIFS($D:$D,$D5893,$A:$A,$A5893,$B:$B,$B5893,$G:$G,"CDU",$J:$J,"PLANNED")&gt;0,"tied","standalone"),"")</f>
        <v>standalone</v>
      </c>
    </row>
    <row r="5894" spans="1:14">
      <c r="A5894" s="6">
        <v>2025</v>
      </c>
      <c r="B5894" s="6">
        <v>5</v>
      </c>
      <c r="C5894" s="6" t="s">
        <v>64</v>
      </c>
      <c r="D5894" s="6" t="s">
        <v>928</v>
      </c>
      <c r="E5894" s="6" t="s">
        <v>502</v>
      </c>
      <c r="F5894" s="6" t="str">
        <f>IF($M5894="PADD I","PADD 1",IF($M5894="PADD II","PADD 2",IF($M5894="PADD III","PADD 3",IF($M5894="PADD IV","PADD 4",IF($M5894="PADD V","PADD 5","")))))</f>
        <v>PADD 2</v>
      </c>
      <c r="G5894" s="6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6" t="s">
        <v>39</v>
      </c>
      <c r="I5894" s="6" t="s">
        <v>929</v>
      </c>
      <c r="J5894" s="6" t="s">
        <v>394</v>
      </c>
      <c r="K5894" s="10">
        <v>2.7306</v>
      </c>
      <c r="L5894" s="10">
        <v>91.02</v>
      </c>
      <c r="M5894" s="6" t="s">
        <v>425</v>
      </c>
      <c r="N5894" s="6">
        <f>IF(OR($G5894="FCC",$G5894="Hydrocracker",$G5894="Reformer"),IF(COUNTIFS($D:$D,$D5894,$A:$A,$A5894,$B:$B,$B5894,$G:$G,"CDU",$J:$J,"PLANNED")&gt;0,"tied","standalone"),"")</f>
        <v/>
      </c>
    </row>
    <row r="5895" spans="1:14">
      <c r="A5895" s="6">
        <v>2025</v>
      </c>
      <c r="B5895" s="6">
        <v>5</v>
      </c>
      <c r="C5895" s="6" t="s">
        <v>64</v>
      </c>
      <c r="D5895" s="6" t="s">
        <v>581</v>
      </c>
      <c r="E5895" s="6" t="s">
        <v>582</v>
      </c>
      <c r="F5895" s="6" t="str">
        <f>IF($M5895="PADD I","PADD 1",IF($M5895="PADD II","PADD 2",IF($M5895="PADD III","PADD 3",IF($M5895="PADD IV","PADD 4",IF($M5895="PADD V","PADD 5","")))))</f>
        <v>PADD 5</v>
      </c>
      <c r="G5895" s="6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6" t="s">
        <v>471</v>
      </c>
      <c r="I5895" s="6" t="s">
        <v>607</v>
      </c>
      <c r="J5895" s="6" t="s">
        <v>394</v>
      </c>
      <c r="K5895" s="10">
        <v>2.7</v>
      </c>
      <c r="L5895" s="10">
        <v>45</v>
      </c>
      <c r="M5895" s="6" t="s">
        <v>436</v>
      </c>
      <c r="N5895" s="6" t="str">
        <f>IF(OR($G5895="FCC",$G5895="Hydrocracker",$G5895="Reformer"),IF(COUNTIFS($D:$D,$D5895,$A:$A,$A5895,$B:$B,$B5895,$G:$G,"CDU",$J:$J,"PLANNED")&gt;0,"tied","standalone"),"")</f>
        <v>standalone</v>
      </c>
    </row>
    <row r="5896" spans="1:14">
      <c r="A5896" s="6">
        <v>2025</v>
      </c>
      <c r="B5896" s="6">
        <v>5</v>
      </c>
      <c r="C5896" s="6" t="s">
        <v>64</v>
      </c>
      <c r="D5896" s="6" t="s">
        <v>370</v>
      </c>
      <c r="E5896" s="6" t="s">
        <v>431</v>
      </c>
      <c r="F5896" s="6" t="str">
        <f>IF($M5896="PADD I","PADD 1",IF($M5896="PADD II","PADD 2",IF($M5896="PADD III","PADD 3",IF($M5896="PADD IV","PADD 4",IF($M5896="PADD V","PADD 5","")))))</f>
        <v>PADD 2</v>
      </c>
      <c r="G5896" s="6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6" t="s">
        <v>44</v>
      </c>
      <c r="I5896" s="6" t="s">
        <v>1214</v>
      </c>
      <c r="J5896" s="6" t="s">
        <v>398</v>
      </c>
      <c r="K5896" s="10">
        <v>2.7</v>
      </c>
      <c r="L5896" s="10">
        <v>90</v>
      </c>
      <c r="M5896" s="6" t="s">
        <v>425</v>
      </c>
      <c r="N5896" s="6">
        <f>IF(OR($G5896="FCC",$G5896="Hydrocracker",$G5896="Reformer"),IF(COUNTIFS($D:$D,$D5896,$A:$A,$A5896,$B:$B,$B5896,$G:$G,"CDU",$J:$J,"PLANNED")&gt;0,"tied","standalone"),"")</f>
        <v/>
      </c>
    </row>
    <row r="5897" spans="1:14">
      <c r="A5897" s="6">
        <v>2025</v>
      </c>
      <c r="B5897" s="6">
        <v>5</v>
      </c>
      <c r="C5897" s="6" t="s">
        <v>64</v>
      </c>
      <c r="D5897" s="6" t="s">
        <v>665</v>
      </c>
      <c r="E5897" s="6" t="s">
        <v>455</v>
      </c>
      <c r="F5897" s="6" t="str">
        <f>IF($M5897="PADD I","PADD 1",IF($M5897="PADD II","PADD 2",IF($M5897="PADD III","PADD 3",IF($M5897="PADD IV","PADD 4",IF($M5897="PADD V","PADD 5","")))))</f>
        <v>PADD 5</v>
      </c>
      <c r="G5897" s="6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6" t="s">
        <v>510</v>
      </c>
      <c r="I5897" s="6" t="s">
        <v>511</v>
      </c>
      <c r="J5897" s="6" t="s">
        <v>394</v>
      </c>
      <c r="K5897" s="10">
        <v>2.6</v>
      </c>
      <c r="L5897" s="10">
        <v>20</v>
      </c>
      <c r="M5897" s="6" t="s">
        <v>436</v>
      </c>
      <c r="N5897" s="6">
        <f>IF(OR($G5897="FCC",$G5897="Hydrocracker",$G5897="Reformer"),IF(COUNTIFS($D:$D,$D5897,$A:$A,$A5897,$B:$B,$B5897,$G:$G,"CDU",$J:$J,"PLANNED")&gt;0,"tied","standalone"),"")</f>
        <v/>
      </c>
    </row>
    <row r="5898" spans="1:14">
      <c r="A5898" s="6">
        <v>2025</v>
      </c>
      <c r="B5898" s="6">
        <v>5</v>
      </c>
      <c r="C5898" s="6" t="s">
        <v>64</v>
      </c>
      <c r="D5898" s="6" t="s">
        <v>820</v>
      </c>
      <c r="E5898" s="6" t="s">
        <v>710</v>
      </c>
      <c r="F5898" s="6" t="str">
        <f>IF($M5898="PADD I","PADD 1",IF($M5898="PADD II","PADD 2",IF($M5898="PADD III","PADD 3",IF($M5898="PADD IV","PADD 4",IF($M5898="PADD V","PADD 5","")))))</f>
        <v>PADD 3</v>
      </c>
      <c r="G5898" s="6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6" t="s">
        <v>471</v>
      </c>
      <c r="I5898" s="6" t="s">
        <v>833</v>
      </c>
      <c r="J5898" s="6" t="s">
        <v>394</v>
      </c>
      <c r="K5898" s="10">
        <v>2.56</v>
      </c>
      <c r="L5898" s="10">
        <v>16</v>
      </c>
      <c r="M5898" s="6" t="s">
        <v>421</v>
      </c>
      <c r="N5898" s="6" t="str">
        <f>IF(OR($G5898="FCC",$G5898="Hydrocracker",$G5898="Reformer"),IF(COUNTIFS($D:$D,$D5898,$A:$A,$A5898,$B:$B,$B5898,$G:$G,"CDU",$J:$J,"PLANNED")&gt;0,"tied","standalone"),"")</f>
        <v>standalone</v>
      </c>
    </row>
    <row r="5899" spans="1:14">
      <c r="A5899" s="6">
        <v>2025</v>
      </c>
      <c r="B5899" s="6">
        <v>5</v>
      </c>
      <c r="C5899" s="6" t="s">
        <v>64</v>
      </c>
      <c r="D5899" s="6" t="s">
        <v>928</v>
      </c>
      <c r="E5899" s="6" t="s">
        <v>502</v>
      </c>
      <c r="F5899" s="6" t="str">
        <f>IF($M5899="PADD I","PADD 1",IF($M5899="PADD II","PADD 2",IF($M5899="PADD III","PADD 3",IF($M5899="PADD IV","PADD 4",IF($M5899="PADD V","PADD 5","")))))</f>
        <v>PADD 2</v>
      </c>
      <c r="G5899" s="6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6" t="s">
        <v>39</v>
      </c>
      <c r="I5899" s="6" t="s">
        <v>929</v>
      </c>
      <c r="J5899" s="6" t="s">
        <v>394</v>
      </c>
      <c r="K5899" s="10">
        <v>2.55</v>
      </c>
      <c r="L5899" s="10">
        <v>85</v>
      </c>
      <c r="M5899" s="6" t="s">
        <v>425</v>
      </c>
      <c r="N5899" s="6">
        <f>IF(OR($G5899="FCC",$G5899="Hydrocracker",$G5899="Reformer"),IF(COUNTIFS($D:$D,$D5899,$A:$A,$A5899,$B:$B,$B5899,$G:$G,"CDU",$J:$J,"PLANNED")&gt;0,"tied","standalone"),"")</f>
        <v/>
      </c>
    </row>
    <row r="5900" spans="1:14">
      <c r="A5900" s="6">
        <v>2025</v>
      </c>
      <c r="B5900" s="6">
        <v>5</v>
      </c>
      <c r="C5900" s="6" t="s">
        <v>64</v>
      </c>
      <c r="D5900" s="6" t="s">
        <v>820</v>
      </c>
      <c r="E5900" s="6" t="s">
        <v>710</v>
      </c>
      <c r="F5900" s="6" t="str">
        <f>IF($M5900="PADD I","PADD 1",IF($M5900="PADD II","PADD 2",IF($M5900="PADD III","PADD 3",IF($M5900="PADD IV","PADD 4",IF($M5900="PADD V","PADD 5","")))))</f>
        <v>PADD 3</v>
      </c>
      <c r="G5900" s="6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6" t="s">
        <v>44</v>
      </c>
      <c r="I5900" s="6" t="s">
        <v>834</v>
      </c>
      <c r="J5900" s="6" t="s">
        <v>394</v>
      </c>
      <c r="K5900" s="10">
        <v>2.4</v>
      </c>
      <c r="L5900" s="10">
        <v>15</v>
      </c>
      <c r="M5900" s="6" t="s">
        <v>421</v>
      </c>
      <c r="N5900" s="6">
        <f>IF(OR($G5900="FCC",$G5900="Hydrocracker",$G5900="Reformer"),IF(COUNTIFS($D:$D,$D5900,$A:$A,$A5900,$B:$B,$B5900,$G:$G,"CDU",$J:$J,"PLANNED")&gt;0,"tied","standalone"),"")</f>
        <v/>
      </c>
    </row>
    <row r="5901" spans="1:14">
      <c r="A5901" s="6">
        <v>2025</v>
      </c>
      <c r="B5901" s="6">
        <v>5</v>
      </c>
      <c r="C5901" s="6" t="s">
        <v>64</v>
      </c>
      <c r="D5901" s="6" t="s">
        <v>820</v>
      </c>
      <c r="E5901" s="6" t="s">
        <v>710</v>
      </c>
      <c r="F5901" s="6" t="str">
        <f>IF($M5901="PADD I","PADD 1",IF($M5901="PADD II","PADD 2",IF($M5901="PADD III","PADD 3",IF($M5901="PADD IV","PADD 4",IF($M5901="PADD V","PADD 5","")))))</f>
        <v>PADD 3</v>
      </c>
      <c r="G5901" s="6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6" t="s">
        <v>428</v>
      </c>
      <c r="I5901" s="6" t="s">
        <v>481</v>
      </c>
      <c r="J5901" s="6" t="s">
        <v>394</v>
      </c>
      <c r="K5901" s="10">
        <v>2.4</v>
      </c>
      <c r="L5901" s="10">
        <v>15</v>
      </c>
      <c r="M5901" s="6" t="s">
        <v>421</v>
      </c>
      <c r="N5901" s="6">
        <f>IF(OR($G5901="FCC",$G5901="Hydrocracker",$G5901="Reformer"),IF(COUNTIFS($D:$D,$D5901,$A:$A,$A5901,$B:$B,$B5901,$G:$G,"CDU",$J:$J,"PLANNED")&gt;0,"tied","standalone"),"")</f>
        <v/>
      </c>
    </row>
    <row r="5902" spans="1:14">
      <c r="A5902" s="6">
        <v>2025</v>
      </c>
      <c r="B5902" s="6">
        <v>5</v>
      </c>
      <c r="C5902" s="6" t="s">
        <v>64</v>
      </c>
      <c r="D5902" s="6" t="s">
        <v>496</v>
      </c>
      <c r="E5902" s="6" t="s">
        <v>441</v>
      </c>
      <c r="F5902" s="6" t="str">
        <f>IF($M5902="PADD I","PADD 1",IF($M5902="PADD II","PADD 2",IF($M5902="PADD III","PADD 3",IF($M5902="PADD IV","PADD 4",IF($M5902="PADD V","PADD 5","")))))</f>
        <v>PADD 3</v>
      </c>
      <c r="G5902" s="6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6" t="s">
        <v>471</v>
      </c>
      <c r="I5902" s="6" t="s">
        <v>533</v>
      </c>
      <c r="J5902" s="6" t="s">
        <v>394</v>
      </c>
      <c r="K5902" s="10">
        <v>2.3</v>
      </c>
      <c r="L5902" s="10">
        <v>23</v>
      </c>
      <c r="M5902" s="6" t="s">
        <v>421</v>
      </c>
      <c r="N5902" s="6" t="str">
        <f>IF(OR($G5902="FCC",$G5902="Hydrocracker",$G5902="Reformer"),IF(COUNTIFS($D:$D,$D5902,$A:$A,$A5902,$B:$B,$B5902,$G:$G,"CDU",$J:$J,"PLANNED")&gt;0,"tied","standalone"),"")</f>
        <v>standalone</v>
      </c>
    </row>
    <row r="5903" spans="1:14">
      <c r="A5903" s="6">
        <v>2025</v>
      </c>
      <c r="B5903" s="6">
        <v>5</v>
      </c>
      <c r="C5903" s="6" t="s">
        <v>64</v>
      </c>
      <c r="D5903" s="6" t="s">
        <v>822</v>
      </c>
      <c r="E5903" s="6" t="s">
        <v>455</v>
      </c>
      <c r="F5903" s="6" t="str">
        <f>IF($M5903="PADD I","PADD 1",IF($M5903="PADD II","PADD 2",IF($M5903="PADD III","PADD 3",IF($M5903="PADD IV","PADD 4",IF($M5903="PADD V","PADD 5","")))))</f>
        <v>PADD 3</v>
      </c>
      <c r="G5903" s="6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6" t="s">
        <v>44</v>
      </c>
      <c r="I5903" s="6" t="s">
        <v>905</v>
      </c>
      <c r="J5903" s="6" t="s">
        <v>394</v>
      </c>
      <c r="K5903" s="10">
        <v>2.28</v>
      </c>
      <c r="L5903" s="10">
        <v>76</v>
      </c>
      <c r="M5903" s="6" t="s">
        <v>421</v>
      </c>
      <c r="N5903" s="6">
        <f>IF(OR($G5903="FCC",$G5903="Hydrocracker",$G5903="Reformer"),IF(COUNTIFS($D:$D,$D5903,$A:$A,$A5903,$B:$B,$B5903,$G:$G,"CDU",$J:$J,"PLANNED")&gt;0,"tied","standalone"),"")</f>
        <v/>
      </c>
    </row>
    <row r="5904" spans="1:14">
      <c r="A5904" s="6">
        <v>2025</v>
      </c>
      <c r="B5904" s="6">
        <v>5</v>
      </c>
      <c r="C5904" s="6" t="s">
        <v>64</v>
      </c>
      <c r="D5904" s="6" t="s">
        <v>822</v>
      </c>
      <c r="E5904" s="6" t="s">
        <v>455</v>
      </c>
      <c r="F5904" s="6" t="str">
        <f>IF($M5904="PADD I","PADD 1",IF($M5904="PADD II","PADD 2",IF($M5904="PADD III","PADD 3",IF($M5904="PADD IV","PADD 4",IF($M5904="PADD V","PADD 5","")))))</f>
        <v>PADD 3</v>
      </c>
      <c r="G5904" s="6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6" t="s">
        <v>44</v>
      </c>
      <c r="I5904" s="6" t="s">
        <v>905</v>
      </c>
      <c r="J5904" s="6" t="s">
        <v>394</v>
      </c>
      <c r="K5904" s="10">
        <v>2.28</v>
      </c>
      <c r="L5904" s="10">
        <v>76</v>
      </c>
      <c r="M5904" s="6" t="s">
        <v>421</v>
      </c>
      <c r="N5904" s="6">
        <f>IF(OR($G5904="FCC",$G5904="Hydrocracker",$G5904="Reformer"),IF(COUNTIFS($D:$D,$D5904,$A:$A,$A5904,$B:$B,$B5904,$G:$G,"CDU",$J:$J,"PLANNED")&gt;0,"tied","standalone"),"")</f>
        <v/>
      </c>
    </row>
    <row r="5905" spans="1:14">
      <c r="A5905" s="6">
        <v>2025</v>
      </c>
      <c r="B5905" s="6">
        <v>5</v>
      </c>
      <c r="C5905" s="6" t="s">
        <v>64</v>
      </c>
      <c r="D5905" s="6" t="s">
        <v>49</v>
      </c>
      <c r="E5905" s="6" t="s">
        <v>438</v>
      </c>
      <c r="F5905" s="6" t="str">
        <f>IF($M5905="PADD I","PADD 1",IF($M5905="PADD II","PADD 2",IF($M5905="PADD III","PADD 3",IF($M5905="PADD IV","PADD 4",IF($M5905="PADD V","PADD 5","")))))</f>
        <v>PADD 2</v>
      </c>
      <c r="G5905" s="6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6" t="s">
        <v>485</v>
      </c>
      <c r="I5905" s="6" t="s">
        <v>681</v>
      </c>
      <c r="J5905" s="6" t="s">
        <v>394</v>
      </c>
      <c r="K5905" s="10">
        <v>2.28</v>
      </c>
      <c r="L5905" s="10">
        <v>12</v>
      </c>
      <c r="M5905" s="6" t="s">
        <v>425</v>
      </c>
      <c r="N5905" s="6">
        <f>IF(OR($G5905="FCC",$G5905="Hydrocracker",$G5905="Reformer"),IF(COUNTIFS($D:$D,$D5905,$A:$A,$A5905,$B:$B,$B5905,$G:$G,"CDU",$J:$J,"PLANNED")&gt;0,"tied","standalone"),"")</f>
        <v/>
      </c>
    </row>
    <row r="5906" spans="1:14">
      <c r="A5906" s="6">
        <v>2025</v>
      </c>
      <c r="B5906" s="6">
        <v>5</v>
      </c>
      <c r="C5906" s="6" t="s">
        <v>64</v>
      </c>
      <c r="D5906" s="6" t="s">
        <v>375</v>
      </c>
      <c r="E5906" s="6" t="s">
        <v>435</v>
      </c>
      <c r="F5906" s="6" t="str">
        <f>IF($M5906="PADD I","PADD 1",IF($M5906="PADD II","PADD 2",IF($M5906="PADD III","PADD 3",IF($M5906="PADD IV","PADD 4",IF($M5906="PADD V","PADD 5","")))))</f>
        <v>PADD 5</v>
      </c>
      <c r="G5906" s="6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6" t="s">
        <v>510</v>
      </c>
      <c r="I5906" s="6" t="s">
        <v>1338</v>
      </c>
      <c r="J5906" s="6" t="s">
        <v>394</v>
      </c>
      <c r="K5906" s="10">
        <v>2.016</v>
      </c>
      <c r="L5906" s="10">
        <v>4.2</v>
      </c>
      <c r="M5906" s="6" t="s">
        <v>436</v>
      </c>
      <c r="N5906" s="6">
        <f>IF(OR($G5906="FCC",$G5906="Hydrocracker",$G5906="Reformer"),IF(COUNTIFS($D:$D,$D5906,$A:$A,$A5906,$B:$B,$B5906,$G:$G,"CDU",$J:$J,"PLANNED")&gt;0,"tied","standalone"),"")</f>
        <v/>
      </c>
    </row>
    <row r="5907" spans="1:14">
      <c r="A5907" s="6">
        <v>2025</v>
      </c>
      <c r="B5907" s="6">
        <v>5</v>
      </c>
      <c r="C5907" s="6" t="s">
        <v>64</v>
      </c>
      <c r="D5907" s="6" t="s">
        <v>52</v>
      </c>
      <c r="E5907" s="6" t="s">
        <v>441</v>
      </c>
      <c r="F5907" s="6" t="str">
        <f>IF($M5907="PADD I","PADD 1",IF($M5907="PADD II","PADD 2",IF($M5907="PADD III","PADD 3",IF($M5907="PADD IV","PADD 4",IF($M5907="PADD V","PADD 5","")))))</f>
        <v>PADD 5</v>
      </c>
      <c r="G5907" s="6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6" t="s">
        <v>510</v>
      </c>
      <c r="I5907" s="6" t="s">
        <v>511</v>
      </c>
      <c r="J5907" s="6" t="s">
        <v>394</v>
      </c>
      <c r="K5907" s="10">
        <v>1.98</v>
      </c>
      <c r="L5907" s="10">
        <v>33</v>
      </c>
      <c r="M5907" s="6" t="s">
        <v>436</v>
      </c>
      <c r="N5907" s="6">
        <f>IF(OR($G5907="FCC",$G5907="Hydrocracker",$G5907="Reformer"),IF(COUNTIFS($D:$D,$D5907,$A:$A,$A5907,$B:$B,$B5907,$G:$G,"CDU",$J:$J,"PLANNED")&gt;0,"tied","standalone"),"")</f>
        <v/>
      </c>
    </row>
    <row r="5908" spans="1:14">
      <c r="A5908" s="6">
        <v>2025</v>
      </c>
      <c r="B5908" s="6">
        <v>5</v>
      </c>
      <c r="C5908" s="6" t="s">
        <v>64</v>
      </c>
      <c r="D5908" s="6" t="s">
        <v>820</v>
      </c>
      <c r="E5908" s="6" t="s">
        <v>710</v>
      </c>
      <c r="F5908" s="6" t="str">
        <f>IF($M5908="PADD I","PADD 1",IF($M5908="PADD II","PADD 2",IF($M5908="PADD III","PADD 3",IF($M5908="PADD IV","PADD 4",IF($M5908="PADD V","PADD 5","")))))</f>
        <v>PADD 3</v>
      </c>
      <c r="G5908" s="6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6" t="s">
        <v>44</v>
      </c>
      <c r="I5908" s="6" t="s">
        <v>843</v>
      </c>
      <c r="J5908" s="6" t="s">
        <v>394</v>
      </c>
      <c r="K5908" s="10">
        <v>1.92</v>
      </c>
      <c r="L5908" s="10">
        <v>12</v>
      </c>
      <c r="M5908" s="6" t="s">
        <v>421</v>
      </c>
      <c r="N5908" s="6">
        <f>IF(OR($G5908="FCC",$G5908="Hydrocracker",$G5908="Reformer"),IF(COUNTIFS($D:$D,$D5908,$A:$A,$A5908,$B:$B,$B5908,$G:$G,"CDU",$J:$J,"PLANNED")&gt;0,"tied","standalone"),"")</f>
        <v/>
      </c>
    </row>
    <row r="5909" spans="1:14">
      <c r="A5909" s="6">
        <v>2025</v>
      </c>
      <c r="B5909" s="6">
        <v>5</v>
      </c>
      <c r="C5909" s="6" t="s">
        <v>64</v>
      </c>
      <c r="D5909" s="6" t="s">
        <v>820</v>
      </c>
      <c r="E5909" s="6" t="s">
        <v>710</v>
      </c>
      <c r="F5909" s="6" t="str">
        <f>IF($M5909="PADD I","PADD 1",IF($M5909="PADD II","PADD 2",IF($M5909="PADD III","PADD 3",IF($M5909="PADD IV","PADD 4",IF($M5909="PADD V","PADD 5","")))))</f>
        <v>PADD 3</v>
      </c>
      <c r="G5909" s="6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6" t="s">
        <v>44</v>
      </c>
      <c r="I5909" s="6" t="s">
        <v>844</v>
      </c>
      <c r="J5909" s="6" t="s">
        <v>394</v>
      </c>
      <c r="K5909" s="10">
        <v>1.92</v>
      </c>
      <c r="L5909" s="10">
        <v>12</v>
      </c>
      <c r="M5909" s="6" t="s">
        <v>421</v>
      </c>
      <c r="N5909" s="6">
        <f>IF(OR($G5909="FCC",$G5909="Hydrocracker",$G5909="Reformer"),IF(COUNTIFS($D:$D,$D5909,$A:$A,$A5909,$B:$B,$B5909,$G:$G,"CDU",$J:$J,"PLANNED")&gt;0,"tied","standalone"),"")</f>
        <v/>
      </c>
    </row>
    <row r="5910" spans="1:14">
      <c r="A5910" s="6">
        <v>2025</v>
      </c>
      <c r="B5910" s="6">
        <v>5</v>
      </c>
      <c r="C5910" s="6" t="s">
        <v>64</v>
      </c>
      <c r="D5910" s="6" t="s">
        <v>921</v>
      </c>
      <c r="E5910" s="6" t="s">
        <v>922</v>
      </c>
      <c r="F5910" s="6" t="str">
        <f>IF($M5910="PADD I","PADD 1",IF($M5910="PADD II","PADD 2",IF($M5910="PADD III","PADD 3",IF($M5910="PADD IV","PADD 4",IF($M5910="PADD V","PADD 5","")))))</f>
        <v>PADD 4</v>
      </c>
      <c r="G5910" s="6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6" t="s">
        <v>39</v>
      </c>
      <c r="I5910" s="6" t="s">
        <v>82</v>
      </c>
      <c r="J5910" s="6" t="s">
        <v>398</v>
      </c>
      <c r="K5910" s="10">
        <v>1.87</v>
      </c>
      <c r="L5910" s="10">
        <v>3.4</v>
      </c>
      <c r="M5910" s="6" t="s">
        <v>480</v>
      </c>
      <c r="N5910" s="6">
        <f>IF(OR($G5910="FCC",$G5910="Hydrocracker",$G5910="Reformer"),IF(COUNTIFS($D:$D,$D5910,$A:$A,$A5910,$B:$B,$B5910,$G:$G,"CDU",$J:$J,"PLANNED")&gt;0,"tied","standalone"),"")</f>
        <v/>
      </c>
    </row>
    <row r="5911" spans="1:14">
      <c r="A5911" s="6">
        <v>2025</v>
      </c>
      <c r="B5911" s="6">
        <v>5</v>
      </c>
      <c r="C5911" s="6" t="s">
        <v>64</v>
      </c>
      <c r="D5911" s="6" t="s">
        <v>581</v>
      </c>
      <c r="E5911" s="6" t="s">
        <v>582</v>
      </c>
      <c r="F5911" s="6" t="str">
        <f>IF($M5911="PADD I","PADD 1",IF($M5911="PADD II","PADD 2",IF($M5911="PADD III","PADD 3",IF($M5911="PADD IV","PADD 4",IF($M5911="PADD V","PADD 5","")))))</f>
        <v>PADD 5</v>
      </c>
      <c r="G5911" s="6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6" t="s">
        <v>44</v>
      </c>
      <c r="I5911" s="6" t="s">
        <v>1179</v>
      </c>
      <c r="J5911" s="6" t="s">
        <v>394</v>
      </c>
      <c r="K5911" s="10">
        <v>1.8</v>
      </c>
      <c r="L5911" s="10">
        <v>30</v>
      </c>
      <c r="M5911" s="6" t="s">
        <v>436</v>
      </c>
      <c r="N5911" s="6">
        <f>IF(OR($G5911="FCC",$G5911="Hydrocracker",$G5911="Reformer"),IF(COUNTIFS($D:$D,$D5911,$A:$A,$A5911,$B:$B,$B5911,$G:$G,"CDU",$J:$J,"PLANNED")&gt;0,"tied","standalone"),"")</f>
        <v/>
      </c>
    </row>
    <row r="5912" spans="1:14">
      <c r="A5912" s="6">
        <v>2025</v>
      </c>
      <c r="B5912" s="6">
        <v>5</v>
      </c>
      <c r="C5912" s="6" t="s">
        <v>64</v>
      </c>
      <c r="D5912" s="6" t="s">
        <v>853</v>
      </c>
      <c r="E5912" s="6" t="s">
        <v>438</v>
      </c>
      <c r="F5912" s="6" t="str">
        <f>IF($M5912="PADD I","PADD 1",IF($M5912="PADD II","PADD 2",IF($M5912="PADD III","PADD 3",IF($M5912="PADD IV","PADD 4",IF($M5912="PADD V","PADD 5","")))))</f>
        <v>PADD 2</v>
      </c>
      <c r="G5912" s="6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6" t="s">
        <v>471</v>
      </c>
      <c r="I5912" s="6" t="s">
        <v>607</v>
      </c>
      <c r="J5912" s="6" t="s">
        <v>394</v>
      </c>
      <c r="K5912" s="10">
        <v>1.8</v>
      </c>
      <c r="L5912" s="10">
        <v>11.25</v>
      </c>
      <c r="M5912" s="6" t="s">
        <v>425</v>
      </c>
      <c r="N5912" s="6" t="str">
        <f>IF(OR($G5912="FCC",$G5912="Hydrocracker",$G5912="Reformer"),IF(COUNTIFS($D:$D,$D5912,$A:$A,$A5912,$B:$B,$B5912,$G:$G,"CDU",$J:$J,"PLANNED")&gt;0,"tied","standalone"),"")</f>
        <v>standalone</v>
      </c>
    </row>
    <row r="5913" spans="1:14">
      <c r="A5913" s="6">
        <v>2025</v>
      </c>
      <c r="B5913" s="6">
        <v>5</v>
      </c>
      <c r="C5913" s="6" t="s">
        <v>64</v>
      </c>
      <c r="D5913" s="6" t="s">
        <v>52</v>
      </c>
      <c r="E5913" s="6" t="s">
        <v>441</v>
      </c>
      <c r="F5913" s="6" t="str">
        <f>IF($M5913="PADD I","PADD 1",IF($M5913="PADD II","PADD 2",IF($M5913="PADD III","PADD 3",IF($M5913="PADD IV","PADD 4",IF($M5913="PADD V","PADD 5","")))))</f>
        <v>PADD 5</v>
      </c>
      <c r="G5913" s="6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6" t="s">
        <v>471</v>
      </c>
      <c r="I5913" s="6" t="s">
        <v>589</v>
      </c>
      <c r="J5913" s="6" t="s">
        <v>394</v>
      </c>
      <c r="K5913" s="10">
        <v>1.8</v>
      </c>
      <c r="L5913" s="10">
        <v>60</v>
      </c>
      <c r="M5913" s="6" t="s">
        <v>436</v>
      </c>
      <c r="N5913" s="6" t="str">
        <f>IF(OR($G5913="FCC",$G5913="Hydrocracker",$G5913="Reformer"),IF(COUNTIFS($D:$D,$D5913,$A:$A,$A5913,$B:$B,$B5913,$G:$G,"CDU",$J:$J,"PLANNED")&gt;0,"tied","standalone"),"")</f>
        <v>standalone</v>
      </c>
    </row>
    <row r="5914" spans="1:14">
      <c r="A5914" s="6">
        <v>2025</v>
      </c>
      <c r="B5914" s="6">
        <v>5</v>
      </c>
      <c r="C5914" s="6" t="s">
        <v>64</v>
      </c>
      <c r="D5914" s="6" t="s">
        <v>820</v>
      </c>
      <c r="E5914" s="6" t="s">
        <v>710</v>
      </c>
      <c r="F5914" s="6" t="str">
        <f>IF($M5914="PADD I","PADD 1",IF($M5914="PADD II","PADD 2",IF($M5914="PADD III","PADD 3",IF($M5914="PADD IV","PADD 4",IF($M5914="PADD V","PADD 5","")))))</f>
        <v>PADD 3</v>
      </c>
      <c r="G5914" s="6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6" t="s">
        <v>44</v>
      </c>
      <c r="I5914" s="6" t="s">
        <v>846</v>
      </c>
      <c r="J5914" s="6" t="s">
        <v>394</v>
      </c>
      <c r="K5914" s="10">
        <v>1.76</v>
      </c>
      <c r="L5914" s="10">
        <v>11</v>
      </c>
      <c r="M5914" s="6" t="s">
        <v>421</v>
      </c>
      <c r="N5914" s="6">
        <f>IF(OR($G5914="FCC",$G5914="Hydrocracker",$G5914="Reformer"),IF(COUNTIFS($D:$D,$D5914,$A:$A,$A5914,$B:$B,$B5914,$G:$G,"CDU",$J:$J,"PLANNED")&gt;0,"tied","standalone"),"")</f>
        <v/>
      </c>
    </row>
    <row r="5915" spans="1:14">
      <c r="A5915" s="6">
        <v>2025</v>
      </c>
      <c r="B5915" s="6">
        <v>5</v>
      </c>
      <c r="C5915" s="6" t="s">
        <v>64</v>
      </c>
      <c r="D5915" s="6" t="s">
        <v>665</v>
      </c>
      <c r="E5915" s="6" t="s">
        <v>455</v>
      </c>
      <c r="F5915" s="6" t="str">
        <f>IF($M5915="PADD I","PADD 1",IF($M5915="PADD II","PADD 2",IF($M5915="PADD III","PADD 3",IF($M5915="PADD IV","PADD 4",IF($M5915="PADD V","PADD 5","")))))</f>
        <v>PADD 5</v>
      </c>
      <c r="G5915" s="6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6" t="s">
        <v>44</v>
      </c>
      <c r="I5915" s="6" t="s">
        <v>1361</v>
      </c>
      <c r="J5915" s="6" t="s">
        <v>394</v>
      </c>
      <c r="K5915" s="10">
        <v>1.755</v>
      </c>
      <c r="L5915" s="10">
        <v>13.5</v>
      </c>
      <c r="M5915" s="6" t="s">
        <v>436</v>
      </c>
      <c r="N5915" s="6">
        <f>IF(OR($G5915="FCC",$G5915="Hydrocracker",$G5915="Reformer"),IF(COUNTIFS($D:$D,$D5915,$A:$A,$A5915,$B:$B,$B5915,$G:$G,"CDU",$J:$J,"PLANNED")&gt;0,"tied","standalone"),"")</f>
        <v/>
      </c>
    </row>
    <row r="5916" spans="1:14">
      <c r="A5916" s="6">
        <v>2025</v>
      </c>
      <c r="B5916" s="6">
        <v>5</v>
      </c>
      <c r="C5916" s="6" t="s">
        <v>64</v>
      </c>
      <c r="D5916" s="6" t="s">
        <v>822</v>
      </c>
      <c r="E5916" s="6" t="s">
        <v>455</v>
      </c>
      <c r="F5916" s="6" t="str">
        <f>IF($M5916="PADD I","PADD 1",IF($M5916="PADD II","PADD 2",IF($M5916="PADD III","PADD 3",IF($M5916="PADD IV","PADD 4",IF($M5916="PADD V","PADD 5","")))))</f>
        <v>PADD 3</v>
      </c>
      <c r="G5916" s="6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6" t="s">
        <v>44</v>
      </c>
      <c r="I5916" s="6" t="s">
        <v>827</v>
      </c>
      <c r="J5916" s="6" t="s">
        <v>394</v>
      </c>
      <c r="K5916" s="10">
        <v>1.74</v>
      </c>
      <c r="L5916" s="10">
        <v>58</v>
      </c>
      <c r="M5916" s="6" t="s">
        <v>421</v>
      </c>
      <c r="N5916" s="6">
        <f>IF(OR($G5916="FCC",$G5916="Hydrocracker",$G5916="Reformer"),IF(COUNTIFS($D:$D,$D5916,$A:$A,$A5916,$B:$B,$B5916,$G:$G,"CDU",$J:$J,"PLANNED")&gt;0,"tied","standalone"),"")</f>
        <v/>
      </c>
    </row>
    <row r="5917" spans="1:14">
      <c r="A5917" s="6">
        <v>2025</v>
      </c>
      <c r="B5917" s="6">
        <v>5</v>
      </c>
      <c r="C5917" s="6" t="s">
        <v>64</v>
      </c>
      <c r="D5917" s="6" t="s">
        <v>822</v>
      </c>
      <c r="E5917" s="6" t="s">
        <v>455</v>
      </c>
      <c r="F5917" s="6" t="str">
        <f>IF($M5917="PADD I","PADD 1",IF($M5917="PADD II","PADD 2",IF($M5917="PADD III","PADD 3",IF($M5917="PADD IV","PADD 4",IF($M5917="PADD V","PADD 5","")))))</f>
        <v>PADD 3</v>
      </c>
      <c r="G5917" s="6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6" t="s">
        <v>44</v>
      </c>
      <c r="I5917" s="6" t="s">
        <v>827</v>
      </c>
      <c r="J5917" s="6" t="s">
        <v>394</v>
      </c>
      <c r="K5917" s="10">
        <v>1.74</v>
      </c>
      <c r="L5917" s="10">
        <v>58</v>
      </c>
      <c r="M5917" s="6" t="s">
        <v>421</v>
      </c>
      <c r="N5917" s="6">
        <f>IF(OR($G5917="FCC",$G5917="Hydrocracker",$G5917="Reformer"),IF(COUNTIFS($D:$D,$D5917,$A:$A,$A5917,$B:$B,$B5917,$G:$G,"CDU",$J:$J,"PLANNED")&gt;0,"tied","standalone"),"")</f>
        <v/>
      </c>
    </row>
    <row r="5918" spans="1:14">
      <c r="A5918" s="6">
        <v>2025</v>
      </c>
      <c r="B5918" s="6">
        <v>5</v>
      </c>
      <c r="C5918" s="6" t="s">
        <v>64</v>
      </c>
      <c r="D5918" s="6" t="s">
        <v>820</v>
      </c>
      <c r="E5918" s="6" t="s">
        <v>710</v>
      </c>
      <c r="F5918" s="6" t="str">
        <f>IF($M5918="PADD I","PADD 1",IF($M5918="PADD II","PADD 2",IF($M5918="PADD III","PADD 3",IF($M5918="PADD IV","PADD 4",IF($M5918="PADD V","PADD 5","")))))</f>
        <v>PADD 3</v>
      </c>
      <c r="G5918" s="6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6" t="s">
        <v>573</v>
      </c>
      <c r="I5918" s="6" t="s">
        <v>574</v>
      </c>
      <c r="J5918" s="6" t="s">
        <v>394</v>
      </c>
      <c r="K5918" s="10">
        <v>1.728</v>
      </c>
      <c r="L5918" s="10">
        <v>10.8</v>
      </c>
      <c r="M5918" s="6" t="s">
        <v>421</v>
      </c>
      <c r="N5918" s="6">
        <f>IF(OR($G5918="FCC",$G5918="Hydrocracker",$G5918="Reformer"),IF(COUNTIFS($D:$D,$D5918,$A:$A,$A5918,$B:$B,$B5918,$G:$G,"CDU",$J:$J,"PLANNED")&gt;0,"tied","standalone"),"")</f>
        <v/>
      </c>
    </row>
    <row r="5919" spans="1:14">
      <c r="A5919" s="6">
        <v>2025</v>
      </c>
      <c r="B5919" s="6">
        <v>5</v>
      </c>
      <c r="C5919" s="6" t="s">
        <v>64</v>
      </c>
      <c r="D5919" s="6" t="s">
        <v>921</v>
      </c>
      <c r="E5919" s="6" t="s">
        <v>922</v>
      </c>
      <c r="F5919" s="6" t="str">
        <f>IF($M5919="PADD I","PADD 1",IF($M5919="PADD II","PADD 2",IF($M5919="PADD III","PADD 3",IF($M5919="PADD IV","PADD 4",IF($M5919="PADD V","PADD 5","")))))</f>
        <v>PADD 4</v>
      </c>
      <c r="G5919" s="6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6" t="s">
        <v>44</v>
      </c>
      <c r="I5919" s="6" t="s">
        <v>923</v>
      </c>
      <c r="J5919" s="6" t="s">
        <v>398</v>
      </c>
      <c r="K5919" s="10">
        <v>1.65</v>
      </c>
      <c r="L5919" s="10">
        <v>3</v>
      </c>
      <c r="M5919" s="6" t="s">
        <v>480</v>
      </c>
      <c r="N5919" s="6">
        <f>IF(OR($G5919="FCC",$G5919="Hydrocracker",$G5919="Reformer"),IF(COUNTIFS($D:$D,$D5919,$A:$A,$A5919,$B:$B,$B5919,$G:$G,"CDU",$J:$J,"PLANNED")&gt;0,"tied","standalone"),"")</f>
        <v/>
      </c>
    </row>
    <row r="5920" spans="1:14">
      <c r="A5920" s="6">
        <v>2025</v>
      </c>
      <c r="B5920" s="6">
        <v>5</v>
      </c>
      <c r="C5920" s="6" t="s">
        <v>64</v>
      </c>
      <c r="D5920" s="6" t="s">
        <v>921</v>
      </c>
      <c r="E5920" s="6" t="s">
        <v>922</v>
      </c>
      <c r="F5920" s="6" t="str">
        <f>IF($M5920="PADD I","PADD 1",IF($M5920="PADD II","PADD 2",IF($M5920="PADD III","PADD 3",IF($M5920="PADD IV","PADD 4",IF($M5920="PADD V","PADD 5","")))))</f>
        <v>PADD 4</v>
      </c>
      <c r="G5920" s="6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6" t="s">
        <v>471</v>
      </c>
      <c r="I5920" s="6" t="s">
        <v>15</v>
      </c>
      <c r="J5920" s="6" t="s">
        <v>398</v>
      </c>
      <c r="K5920" s="10">
        <v>1.65</v>
      </c>
      <c r="L5920" s="10">
        <v>3</v>
      </c>
      <c r="M5920" s="6" t="s">
        <v>480</v>
      </c>
      <c r="N5920" s="6" t="str">
        <f>IF(OR($G5920="FCC",$G5920="Hydrocracker",$G5920="Reformer"),IF(COUNTIFS($D:$D,$D5920,$A:$A,$A5920,$B:$B,$B5920,$G:$G,"CDU",$J:$J,"PLANNED")&gt;0,"tied","standalone"),"")</f>
        <v>tied</v>
      </c>
    </row>
    <row r="5921" spans="1:14">
      <c r="A5921" s="6">
        <v>2025</v>
      </c>
      <c r="B5921" s="6">
        <v>5</v>
      </c>
      <c r="C5921" s="6" t="s">
        <v>64</v>
      </c>
      <c r="D5921" s="6" t="s">
        <v>581</v>
      </c>
      <c r="E5921" s="6" t="s">
        <v>582</v>
      </c>
      <c r="F5921" s="6" t="str">
        <f>IF($M5921="PADD I","PADD 1",IF($M5921="PADD II","PADD 2",IF($M5921="PADD III","PADD 3",IF($M5921="PADD IV","PADD 4",IF($M5921="PADD V","PADD 5","")))))</f>
        <v>PADD 5</v>
      </c>
      <c r="G5921" s="6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6" t="s">
        <v>485</v>
      </c>
      <c r="I5921" s="6" t="s">
        <v>664</v>
      </c>
      <c r="J5921" s="6" t="s">
        <v>394</v>
      </c>
      <c r="K5921" s="10">
        <v>1.62</v>
      </c>
      <c r="L5921" s="10">
        <v>27</v>
      </c>
      <c r="M5921" s="6" t="s">
        <v>436</v>
      </c>
      <c r="N5921" s="6">
        <f>IF(OR($G5921="FCC",$G5921="Hydrocracker",$G5921="Reformer"),IF(COUNTIFS($D:$D,$D5921,$A:$A,$A5921,$B:$B,$B5921,$G:$G,"CDU",$J:$J,"PLANNED")&gt;0,"tied","standalone"),"")</f>
        <v/>
      </c>
    </row>
    <row r="5922" spans="1:14">
      <c r="A5922" s="6">
        <v>2025</v>
      </c>
      <c r="B5922" s="6">
        <v>5</v>
      </c>
      <c r="C5922" s="6" t="s">
        <v>64</v>
      </c>
      <c r="D5922" s="6" t="s">
        <v>665</v>
      </c>
      <c r="E5922" s="6" t="s">
        <v>455</v>
      </c>
      <c r="F5922" s="6" t="str">
        <f>IF($M5922="PADD I","PADD 1",IF($M5922="PADD II","PADD 2",IF($M5922="PADD III","PADD 3",IF($M5922="PADD IV","PADD 4",IF($M5922="PADD V","PADD 5","")))))</f>
        <v>PADD 5</v>
      </c>
      <c r="G5922" s="6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6" t="s">
        <v>44</v>
      </c>
      <c r="I5922" s="6" t="s">
        <v>1235</v>
      </c>
      <c r="J5922" s="6" t="s">
        <v>394</v>
      </c>
      <c r="K5922" s="10">
        <v>1.56</v>
      </c>
      <c r="L5922" s="10">
        <v>12</v>
      </c>
      <c r="M5922" s="6" t="s">
        <v>436</v>
      </c>
      <c r="N5922" s="6">
        <f>IF(OR($G5922="FCC",$G5922="Hydrocracker",$G5922="Reformer"),IF(COUNTIFS($D:$D,$D5922,$A:$A,$A5922,$B:$B,$B5922,$G:$G,"CDU",$J:$J,"PLANNED")&gt;0,"tied","standalone"),"")</f>
        <v/>
      </c>
    </row>
    <row r="5923" spans="1:14">
      <c r="A5923" s="6">
        <v>2025</v>
      </c>
      <c r="B5923" s="6">
        <v>5</v>
      </c>
      <c r="C5923" s="6" t="s">
        <v>64</v>
      </c>
      <c r="D5923" s="6" t="s">
        <v>370</v>
      </c>
      <c r="E5923" s="6" t="s">
        <v>431</v>
      </c>
      <c r="F5923" s="6" t="str">
        <f>IF($M5923="PADD I","PADD 1",IF($M5923="PADD II","PADD 2",IF($M5923="PADD III","PADD 3",IF($M5923="PADD IV","PADD 4",IF($M5923="PADD V","PADD 5","")))))</f>
        <v>PADD 2</v>
      </c>
      <c r="G5923" s="6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6" t="s">
        <v>471</v>
      </c>
      <c r="I5923" s="6" t="s">
        <v>240</v>
      </c>
      <c r="J5923" s="6" t="s">
        <v>398</v>
      </c>
      <c r="K5923" s="10">
        <v>1.56</v>
      </c>
      <c r="L5923" s="10">
        <v>52</v>
      </c>
      <c r="M5923" s="6" t="s">
        <v>425</v>
      </c>
      <c r="N5923" s="6" t="str">
        <f>IF(OR($G5923="FCC",$G5923="Hydrocracker",$G5923="Reformer"),IF(COUNTIFS($D:$D,$D5923,$A:$A,$A5923,$B:$B,$B5923,$G:$G,"CDU",$J:$J,"PLANNED")&gt;0,"tied","standalone"),"")</f>
        <v>standalone</v>
      </c>
    </row>
    <row r="5924" spans="1:14">
      <c r="A5924" s="6">
        <v>2025</v>
      </c>
      <c r="B5924" s="6">
        <v>5</v>
      </c>
      <c r="C5924" s="6" t="s">
        <v>64</v>
      </c>
      <c r="D5924" s="6" t="s">
        <v>581</v>
      </c>
      <c r="E5924" s="6" t="s">
        <v>582</v>
      </c>
      <c r="F5924" s="6" t="str">
        <f>IF($M5924="PADD I","PADD 1",IF($M5924="PADD II","PADD 2",IF($M5924="PADD III","PADD 3",IF($M5924="PADD IV","PADD 4",IF($M5924="PADD V","PADD 5","")))))</f>
        <v>PADD 5</v>
      </c>
      <c r="G5924" s="6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6" t="s">
        <v>485</v>
      </c>
      <c r="I5924" s="6" t="s">
        <v>649</v>
      </c>
      <c r="J5924" s="6" t="s">
        <v>394</v>
      </c>
      <c r="K5924" s="10">
        <v>1.5</v>
      </c>
      <c r="L5924" s="10">
        <v>25</v>
      </c>
      <c r="M5924" s="6" t="s">
        <v>436</v>
      </c>
      <c r="N5924" s="6">
        <f>IF(OR($G5924="FCC",$G5924="Hydrocracker",$G5924="Reformer"),IF(COUNTIFS($D:$D,$D5924,$A:$A,$A5924,$B:$B,$B5924,$G:$G,"CDU",$J:$J,"PLANNED")&gt;0,"tied","standalone"),"")</f>
        <v/>
      </c>
    </row>
    <row r="5925" spans="1:14">
      <c r="A5925" s="6">
        <v>2025</v>
      </c>
      <c r="B5925" s="6">
        <v>5</v>
      </c>
      <c r="C5925" s="6" t="s">
        <v>64</v>
      </c>
      <c r="D5925" s="6" t="s">
        <v>581</v>
      </c>
      <c r="E5925" s="6" t="s">
        <v>582</v>
      </c>
      <c r="F5925" s="6" t="str">
        <f>IF($M5925="PADD I","PADD 1",IF($M5925="PADD II","PADD 2",IF($M5925="PADD III","PADD 3",IF($M5925="PADD IV","PADD 4",IF($M5925="PADD V","PADD 5","")))))</f>
        <v>PADD 5</v>
      </c>
      <c r="G5925" s="6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6" t="s">
        <v>687</v>
      </c>
      <c r="I5925" s="6" t="s">
        <v>1346</v>
      </c>
      <c r="J5925" s="6" t="s">
        <v>394</v>
      </c>
      <c r="K5925" s="10">
        <v>1.5</v>
      </c>
      <c r="L5925" s="10">
        <v>25</v>
      </c>
      <c r="M5925" s="6" t="s">
        <v>436</v>
      </c>
      <c r="N5925" s="6">
        <f>IF(OR($G5925="FCC",$G5925="Hydrocracker",$G5925="Reformer"),IF(COUNTIFS($D:$D,$D5925,$A:$A,$A5925,$B:$B,$B5925,$G:$G,"CDU",$J:$J,"PLANNED")&gt;0,"tied","standalone"),"")</f>
        <v/>
      </c>
    </row>
    <row r="5926" spans="1:14">
      <c r="A5926" s="6">
        <v>2025</v>
      </c>
      <c r="B5926" s="6">
        <v>5</v>
      </c>
      <c r="C5926" s="6" t="s">
        <v>64</v>
      </c>
      <c r="D5926" s="6" t="s">
        <v>487</v>
      </c>
      <c r="E5926" s="6" t="s">
        <v>488</v>
      </c>
      <c r="F5926" s="6" t="str">
        <f>IF($M5926="PADD I","PADD 1",IF($M5926="PADD II","PADD 2",IF($M5926="PADD III","PADD 3",IF($M5926="PADD IV","PADD 4",IF($M5926="PADD V","PADD 5","")))))</f>
        <v>PADD 4</v>
      </c>
      <c r="G5926" s="6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6" t="s">
        <v>44</v>
      </c>
      <c r="I5926" s="6" t="s">
        <v>543</v>
      </c>
      <c r="J5926" s="6" t="s">
        <v>394</v>
      </c>
      <c r="K5926" s="10">
        <v>1.26</v>
      </c>
      <c r="L5926" s="10">
        <v>21</v>
      </c>
      <c r="M5926" s="6" t="s">
        <v>480</v>
      </c>
      <c r="N5926" s="6">
        <f>IF(OR($G5926="FCC",$G5926="Hydrocracker",$G5926="Reformer"),IF(COUNTIFS($D:$D,$D5926,$A:$A,$A5926,$B:$B,$B5926,$G:$G,"CDU",$J:$J,"PLANNED")&gt;0,"tied","standalone"),"")</f>
        <v/>
      </c>
    </row>
    <row r="5927" spans="1:14">
      <c r="A5927" s="6">
        <v>2025</v>
      </c>
      <c r="B5927" s="6">
        <v>5</v>
      </c>
      <c r="C5927" s="6" t="s">
        <v>64</v>
      </c>
      <c r="D5927" s="6" t="s">
        <v>613</v>
      </c>
      <c r="E5927" s="6" t="s">
        <v>446</v>
      </c>
      <c r="F5927" s="6" t="str">
        <f>IF($M5927="PADD I","PADD 1",IF($M5927="PADD II","PADD 2",IF($M5927="PADD III","PADD 3",IF($M5927="PADD IV","PADD 4",IF($M5927="PADD V","PADD 5","")))))</f>
        <v>PADD 3</v>
      </c>
      <c r="G5927" s="6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6" t="s">
        <v>44</v>
      </c>
      <c r="I5927" s="6" t="s">
        <v>499</v>
      </c>
      <c r="J5927" s="6" t="s">
        <v>394</v>
      </c>
      <c r="K5927" s="10">
        <v>1.155</v>
      </c>
      <c r="L5927" s="10">
        <v>38.5</v>
      </c>
      <c r="M5927" s="6" t="s">
        <v>421</v>
      </c>
      <c r="N5927" s="6">
        <f>IF(OR($G5927="FCC",$G5927="Hydrocracker",$G5927="Reformer"),IF(COUNTIFS($D:$D,$D5927,$A:$A,$A5927,$B:$B,$B5927,$G:$G,"CDU",$J:$J,"PLANNED")&gt;0,"tied","standalone"),"")</f>
        <v/>
      </c>
    </row>
    <row r="5928" spans="1:14">
      <c r="A5928" s="6">
        <v>2025</v>
      </c>
      <c r="B5928" s="6">
        <v>5</v>
      </c>
      <c r="C5928" s="6" t="s">
        <v>64</v>
      </c>
      <c r="D5928" s="6" t="s">
        <v>822</v>
      </c>
      <c r="E5928" s="6" t="s">
        <v>455</v>
      </c>
      <c r="F5928" s="6" t="str">
        <f>IF($M5928="PADD I","PADD 1",IF($M5928="PADD II","PADD 2",IF($M5928="PADD III","PADD 3",IF($M5928="PADD IV","PADD 4",IF($M5928="PADD V","PADD 5","")))))</f>
        <v>PADD 3</v>
      </c>
      <c r="G5928" s="6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6" t="s">
        <v>39</v>
      </c>
      <c r="I5928" s="6" t="s">
        <v>1147</v>
      </c>
      <c r="J5928" s="6" t="s">
        <v>394</v>
      </c>
      <c r="K5928" s="10">
        <v>1.116</v>
      </c>
      <c r="L5928" s="10">
        <v>37.2</v>
      </c>
      <c r="M5928" s="6" t="s">
        <v>421</v>
      </c>
      <c r="N5928" s="6">
        <f>IF(OR($G5928="FCC",$G5928="Hydrocracker",$G5928="Reformer"),IF(COUNTIFS($D:$D,$D5928,$A:$A,$A5928,$B:$B,$B5928,$G:$G,"CDU",$J:$J,"PLANNED")&gt;0,"tied","standalone"),"")</f>
        <v/>
      </c>
    </row>
    <row r="5929" spans="1:14">
      <c r="A5929" s="6">
        <v>2025</v>
      </c>
      <c r="B5929" s="6">
        <v>5</v>
      </c>
      <c r="C5929" s="6" t="s">
        <v>64</v>
      </c>
      <c r="D5929" s="6" t="s">
        <v>822</v>
      </c>
      <c r="E5929" s="6" t="s">
        <v>455</v>
      </c>
      <c r="F5929" s="6" t="str">
        <f>IF($M5929="PADD I","PADD 1",IF($M5929="PADD II","PADD 2",IF($M5929="PADD III","PADD 3",IF($M5929="PADD IV","PADD 4",IF($M5929="PADD V","PADD 5","")))))</f>
        <v>PADD 3</v>
      </c>
      <c r="G5929" s="6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6" t="s">
        <v>39</v>
      </c>
      <c r="I5929" s="6" t="s">
        <v>1147</v>
      </c>
      <c r="J5929" s="6" t="s">
        <v>394</v>
      </c>
      <c r="K5929" s="10">
        <v>1.116</v>
      </c>
      <c r="L5929" s="10">
        <v>37.2</v>
      </c>
      <c r="M5929" s="6" t="s">
        <v>421</v>
      </c>
      <c r="N5929" s="6">
        <f>IF(OR($G5929="FCC",$G5929="Hydrocracker",$G5929="Reformer"),IF(COUNTIFS($D:$D,$D5929,$A:$A,$A5929,$B:$B,$B5929,$G:$G,"CDU",$J:$J,"PLANNED")&gt;0,"tied","standalone"),"")</f>
        <v/>
      </c>
    </row>
    <row r="5930" spans="1:14">
      <c r="A5930" s="6">
        <v>2025</v>
      </c>
      <c r="B5930" s="6">
        <v>5</v>
      </c>
      <c r="C5930" s="6" t="s">
        <v>64</v>
      </c>
      <c r="D5930" s="6" t="s">
        <v>822</v>
      </c>
      <c r="E5930" s="6" t="s">
        <v>455</v>
      </c>
      <c r="F5930" s="6" t="str">
        <f>IF($M5930="PADD I","PADD 1",IF($M5930="PADD II","PADD 2",IF($M5930="PADD III","PADD 3",IF($M5930="PADD IV","PADD 4",IF($M5930="PADD V","PADD 5","")))))</f>
        <v>PADD 3</v>
      </c>
      <c r="G5930" s="6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6" t="s">
        <v>44</v>
      </c>
      <c r="I5930" s="6" t="s">
        <v>1362</v>
      </c>
      <c r="J5930" s="6" t="s">
        <v>394</v>
      </c>
      <c r="K5930" s="10">
        <v>1.11</v>
      </c>
      <c r="L5930" s="10">
        <v>37</v>
      </c>
      <c r="M5930" s="6" t="s">
        <v>421</v>
      </c>
      <c r="N5930" s="6">
        <f>IF(OR($G5930="FCC",$G5930="Hydrocracker",$G5930="Reformer"),IF(COUNTIFS($D:$D,$D5930,$A:$A,$A5930,$B:$B,$B5930,$G:$G,"CDU",$J:$J,"PLANNED")&gt;0,"tied","standalone"),"")</f>
        <v/>
      </c>
    </row>
    <row r="5931" spans="1:14">
      <c r="A5931" s="6">
        <v>2025</v>
      </c>
      <c r="B5931" s="6">
        <v>5</v>
      </c>
      <c r="C5931" s="6" t="s">
        <v>64</v>
      </c>
      <c r="D5931" s="6" t="s">
        <v>822</v>
      </c>
      <c r="E5931" s="6" t="s">
        <v>455</v>
      </c>
      <c r="F5931" s="6" t="str">
        <f>IF($M5931="PADD I","PADD 1",IF($M5931="PADD II","PADD 2",IF($M5931="PADD III","PADD 3",IF($M5931="PADD IV","PADD 4",IF($M5931="PADD V","PADD 5","")))))</f>
        <v>PADD 3</v>
      </c>
      <c r="G5931" s="6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6" t="s">
        <v>44</v>
      </c>
      <c r="I5931" s="6" t="s">
        <v>1362</v>
      </c>
      <c r="J5931" s="6" t="s">
        <v>394</v>
      </c>
      <c r="K5931" s="10">
        <v>1.11</v>
      </c>
      <c r="L5931" s="10">
        <v>37</v>
      </c>
      <c r="M5931" s="6" t="s">
        <v>421</v>
      </c>
      <c r="N5931" s="6">
        <f>IF(OR($G5931="FCC",$G5931="Hydrocracker",$G5931="Reformer"),IF(COUNTIFS($D:$D,$D5931,$A:$A,$A5931,$B:$B,$B5931,$G:$G,"CDU",$J:$J,"PLANNED")&gt;0,"tied","standalone"),"")</f>
        <v/>
      </c>
    </row>
    <row r="5932" spans="1:14">
      <c r="A5932" s="6">
        <v>2025</v>
      </c>
      <c r="B5932" s="6">
        <v>5</v>
      </c>
      <c r="C5932" s="6" t="s">
        <v>64</v>
      </c>
      <c r="D5932" s="6" t="s">
        <v>901</v>
      </c>
      <c r="E5932" s="6" t="s">
        <v>902</v>
      </c>
      <c r="F5932" s="6" t="str">
        <f>IF($M5932="PADD I","PADD 1",IF($M5932="PADD II","PADD 2",IF($M5932="PADD III","PADD 3",IF($M5932="PADD IV","PADD 4",IF($M5932="PADD V","PADD 5","")))))</f>
        <v>PADD 3</v>
      </c>
      <c r="G5932" s="6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6" t="s">
        <v>428</v>
      </c>
      <c r="I5932" s="6" t="s">
        <v>910</v>
      </c>
      <c r="J5932" s="6" t="s">
        <v>394</v>
      </c>
      <c r="K5932" s="10">
        <v>1.08</v>
      </c>
      <c r="L5932" s="10">
        <v>36</v>
      </c>
      <c r="M5932" s="6" t="s">
        <v>421</v>
      </c>
      <c r="N5932" s="6">
        <f>IF(OR($G5932="FCC",$G5932="Hydrocracker",$G5932="Reformer"),IF(COUNTIFS($D:$D,$D5932,$A:$A,$A5932,$B:$B,$B5932,$G:$G,"CDU",$J:$J,"PLANNED")&gt;0,"tied","standalone"),"")</f>
        <v/>
      </c>
    </row>
    <row r="5933" spans="1:14">
      <c r="A5933" s="6">
        <v>2025</v>
      </c>
      <c r="B5933" s="6">
        <v>5</v>
      </c>
      <c r="C5933" s="6" t="s">
        <v>64</v>
      </c>
      <c r="D5933" s="6" t="s">
        <v>822</v>
      </c>
      <c r="E5933" s="6" t="s">
        <v>455</v>
      </c>
      <c r="F5933" s="6" t="str">
        <f>IF($M5933="PADD I","PADD 1",IF($M5933="PADD II","PADD 2",IF($M5933="PADD III","PADD 3",IF($M5933="PADD IV","PADD 4",IF($M5933="PADD V","PADD 5","")))))</f>
        <v>PADD 3</v>
      </c>
      <c r="G5933" s="6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6" t="s">
        <v>471</v>
      </c>
      <c r="I5933" s="6" t="s">
        <v>1363</v>
      </c>
      <c r="J5933" s="6" t="s">
        <v>394</v>
      </c>
      <c r="K5933" s="10">
        <v>1.05</v>
      </c>
      <c r="L5933" s="10">
        <v>35</v>
      </c>
      <c r="M5933" s="6" t="s">
        <v>421</v>
      </c>
      <c r="N5933" s="6" t="str">
        <f>IF(OR($G5933="FCC",$G5933="Hydrocracker",$G5933="Reformer"),IF(COUNTIFS($D:$D,$D5933,$A:$A,$A5933,$B:$B,$B5933,$G:$G,"CDU",$J:$J,"PLANNED")&gt;0,"tied","standalone"),"")</f>
        <v>standalone</v>
      </c>
    </row>
    <row r="5934" spans="1:14">
      <c r="A5934" s="6">
        <v>2025</v>
      </c>
      <c r="B5934" s="6">
        <v>5</v>
      </c>
      <c r="C5934" s="6" t="s">
        <v>64</v>
      </c>
      <c r="D5934" s="6" t="s">
        <v>822</v>
      </c>
      <c r="E5934" s="6" t="s">
        <v>455</v>
      </c>
      <c r="F5934" s="6" t="str">
        <f>IF($M5934="PADD I","PADD 1",IF($M5934="PADD II","PADD 2",IF($M5934="PADD III","PADD 3",IF($M5934="PADD IV","PADD 4",IF($M5934="PADD V","PADD 5","")))))</f>
        <v>PADD 3</v>
      </c>
      <c r="G5934" s="6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6" t="s">
        <v>471</v>
      </c>
      <c r="I5934" s="6" t="s">
        <v>1363</v>
      </c>
      <c r="J5934" s="6" t="s">
        <v>394</v>
      </c>
      <c r="K5934" s="10">
        <v>1.05</v>
      </c>
      <c r="L5934" s="10">
        <v>35</v>
      </c>
      <c r="M5934" s="6" t="s">
        <v>421</v>
      </c>
      <c r="N5934" s="6" t="str">
        <f>IF(OR($G5934="FCC",$G5934="Hydrocracker",$G5934="Reformer"),IF(COUNTIFS($D:$D,$D5934,$A:$A,$A5934,$B:$B,$B5934,$G:$G,"CDU",$J:$J,"PLANNED")&gt;0,"tied","standalone"),"")</f>
        <v>standalone</v>
      </c>
    </row>
    <row r="5935" spans="1:14">
      <c r="A5935" s="6">
        <v>2025</v>
      </c>
      <c r="B5935" s="6">
        <v>5</v>
      </c>
      <c r="C5935" s="6" t="s">
        <v>64</v>
      </c>
      <c r="D5935" s="6" t="s">
        <v>820</v>
      </c>
      <c r="E5935" s="6" t="s">
        <v>710</v>
      </c>
      <c r="F5935" s="6" t="str">
        <f>IF($M5935="PADD I","PADD 1",IF($M5935="PADD II","PADD 2",IF($M5935="PADD III","PADD 3",IF($M5935="PADD IV","PADD 4",IF($M5935="PADD V","PADD 5","")))))</f>
        <v>PADD 3</v>
      </c>
      <c r="G5935" s="6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6" t="s">
        <v>471</v>
      </c>
      <c r="I5935" s="6" t="s">
        <v>860</v>
      </c>
      <c r="J5935" s="6" t="s">
        <v>394</v>
      </c>
      <c r="K5935" s="10">
        <v>1.024</v>
      </c>
      <c r="L5935" s="10">
        <v>6.4</v>
      </c>
      <c r="M5935" s="6" t="s">
        <v>421</v>
      </c>
      <c r="N5935" s="6" t="str">
        <f>IF(OR($G5935="FCC",$G5935="Hydrocracker",$G5935="Reformer"),IF(COUNTIFS($D:$D,$D5935,$A:$A,$A5935,$B:$B,$B5935,$G:$G,"CDU",$J:$J,"PLANNED")&gt;0,"tied","standalone"),"")</f>
        <v>standalone</v>
      </c>
    </row>
    <row r="5936" spans="1:14">
      <c r="A5936" s="6">
        <v>2025</v>
      </c>
      <c r="B5936" s="6">
        <v>5</v>
      </c>
      <c r="C5936" s="6" t="s">
        <v>64</v>
      </c>
      <c r="D5936" s="6" t="s">
        <v>928</v>
      </c>
      <c r="E5936" s="6" t="s">
        <v>502</v>
      </c>
      <c r="F5936" s="6" t="str">
        <f>IF($M5936="PADD I","PADD 1",IF($M5936="PADD II","PADD 2",IF($M5936="PADD III","PADD 3",IF($M5936="PADD IV","PADD 4",IF($M5936="PADD V","PADD 5","")))))</f>
        <v>PADD 2</v>
      </c>
      <c r="G5936" s="6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6" t="s">
        <v>428</v>
      </c>
      <c r="I5936" s="6" t="s">
        <v>586</v>
      </c>
      <c r="J5936" s="6" t="s">
        <v>394</v>
      </c>
      <c r="K5936" s="10">
        <v>0.96</v>
      </c>
      <c r="L5936" s="10">
        <v>32</v>
      </c>
      <c r="M5936" s="6" t="s">
        <v>425</v>
      </c>
      <c r="N5936" s="6">
        <f>IF(OR($G5936="FCC",$G5936="Hydrocracker",$G5936="Reformer"),IF(COUNTIFS($D:$D,$D5936,$A:$A,$A5936,$B:$B,$B5936,$G:$G,"CDU",$J:$J,"PLANNED")&gt;0,"tied","standalone"),"")</f>
        <v/>
      </c>
    </row>
    <row r="5937" spans="1:14">
      <c r="A5937" s="6">
        <v>2025</v>
      </c>
      <c r="B5937" s="6">
        <v>5</v>
      </c>
      <c r="C5937" s="6" t="s">
        <v>64</v>
      </c>
      <c r="D5937" s="6" t="s">
        <v>1180</v>
      </c>
      <c r="E5937" s="6" t="s">
        <v>502</v>
      </c>
      <c r="F5937" s="6" t="str">
        <f>IF($M5937="PADD I","PADD 1",IF($M5937="PADD II","PADD 2",IF($M5937="PADD III","PADD 3",IF($M5937="PADD IV","PADD 4",IF($M5937="PADD V","PADD 5","")))))</f>
        <v>PADD 2</v>
      </c>
      <c r="G5937" s="6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6" t="s">
        <v>44</v>
      </c>
      <c r="I5937" s="6" t="s">
        <v>543</v>
      </c>
      <c r="J5937" s="6" t="s">
        <v>394</v>
      </c>
      <c r="K5937" s="10">
        <v>0.93</v>
      </c>
      <c r="L5937" s="10">
        <v>15.5</v>
      </c>
      <c r="M5937" s="6" t="s">
        <v>425</v>
      </c>
      <c r="N5937" s="6">
        <f>IF(OR($G5937="FCC",$G5937="Hydrocracker",$G5937="Reformer"),IF(COUNTIFS($D:$D,$D5937,$A:$A,$A5937,$B:$B,$B5937,$G:$G,"CDU",$J:$J,"PLANNED")&gt;0,"tied","standalone"),"")</f>
        <v/>
      </c>
    </row>
    <row r="5938" spans="1:14">
      <c r="A5938" s="6">
        <v>2025</v>
      </c>
      <c r="B5938" s="6">
        <v>5</v>
      </c>
      <c r="C5938" s="6" t="s">
        <v>64</v>
      </c>
      <c r="D5938" s="6" t="s">
        <v>822</v>
      </c>
      <c r="E5938" s="6" t="s">
        <v>455</v>
      </c>
      <c r="F5938" s="6" t="str">
        <f>IF($M5938="PADD I","PADD 1",IF($M5938="PADD II","PADD 2",IF($M5938="PADD III","PADD 3",IF($M5938="PADD IV","PADD 4",IF($M5938="PADD V","PADD 5","")))))</f>
        <v>PADD 3</v>
      </c>
      <c r="G5938" s="6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6" t="s">
        <v>428</v>
      </c>
      <c r="I5938" s="6" t="s">
        <v>481</v>
      </c>
      <c r="J5938" s="6" t="s">
        <v>394</v>
      </c>
      <c r="K5938" s="10">
        <v>0.9</v>
      </c>
      <c r="L5938" s="10">
        <v>30</v>
      </c>
      <c r="M5938" s="6" t="s">
        <v>421</v>
      </c>
      <c r="N5938" s="6">
        <f>IF(OR($G5938="FCC",$G5938="Hydrocracker",$G5938="Reformer"),IF(COUNTIFS($D:$D,$D5938,$A:$A,$A5938,$B:$B,$B5938,$G:$G,"CDU",$J:$J,"PLANNED")&gt;0,"tied","standalone"),"")</f>
        <v/>
      </c>
    </row>
    <row r="5939" spans="1:14">
      <c r="A5939" s="6">
        <v>2025</v>
      </c>
      <c r="B5939" s="6">
        <v>5</v>
      </c>
      <c r="C5939" s="6" t="s">
        <v>64</v>
      </c>
      <c r="D5939" s="6" t="s">
        <v>822</v>
      </c>
      <c r="E5939" s="6" t="s">
        <v>455</v>
      </c>
      <c r="F5939" s="6" t="str">
        <f>IF($M5939="PADD I","PADD 1",IF($M5939="PADD II","PADD 2",IF($M5939="PADD III","PADD 3",IF($M5939="PADD IV","PADD 4",IF($M5939="PADD V","PADD 5","")))))</f>
        <v>PADD 3</v>
      </c>
      <c r="G5939" s="6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6" t="s">
        <v>428</v>
      </c>
      <c r="I5939" s="6" t="s">
        <v>481</v>
      </c>
      <c r="J5939" s="6" t="s">
        <v>394</v>
      </c>
      <c r="K5939" s="10">
        <v>0.9</v>
      </c>
      <c r="L5939" s="10">
        <v>30</v>
      </c>
      <c r="M5939" s="6" t="s">
        <v>421</v>
      </c>
      <c r="N5939" s="6">
        <f>IF(OR($G5939="FCC",$G5939="Hydrocracker",$G5939="Reformer"),IF(COUNTIFS($D:$D,$D5939,$A:$A,$A5939,$B:$B,$B5939,$G:$G,"CDU",$J:$J,"PLANNED")&gt;0,"tied","standalone"),"")</f>
        <v/>
      </c>
    </row>
    <row r="5940" spans="1:14">
      <c r="A5940" s="6">
        <v>2025</v>
      </c>
      <c r="B5940" s="6">
        <v>5</v>
      </c>
      <c r="C5940" s="6" t="s">
        <v>64</v>
      </c>
      <c r="D5940" s="6" t="s">
        <v>928</v>
      </c>
      <c r="E5940" s="6" t="s">
        <v>502</v>
      </c>
      <c r="F5940" s="6" t="str">
        <f>IF($M5940="PADD I","PADD 1",IF($M5940="PADD II","PADD 2",IF($M5940="PADD III","PADD 3",IF($M5940="PADD IV","PADD 4",IF($M5940="PADD V","PADD 5","")))))</f>
        <v>PADD 2</v>
      </c>
      <c r="G5940" s="6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6" t="s">
        <v>428</v>
      </c>
      <c r="I5940" s="6" t="s">
        <v>586</v>
      </c>
      <c r="J5940" s="6" t="s">
        <v>394</v>
      </c>
      <c r="K5940" s="10">
        <v>0.9</v>
      </c>
      <c r="L5940" s="10">
        <v>30</v>
      </c>
      <c r="M5940" s="6" t="s">
        <v>425</v>
      </c>
      <c r="N5940" s="6">
        <f>IF(OR($G5940="FCC",$G5940="Hydrocracker",$G5940="Reformer"),IF(COUNTIFS($D:$D,$D5940,$A:$A,$A5940,$B:$B,$B5940,$G:$G,"CDU",$J:$J,"PLANNED")&gt;0,"tied","standalone"),"")</f>
        <v/>
      </c>
    </row>
    <row r="5941" spans="1:14">
      <c r="A5941" s="6">
        <v>2025</v>
      </c>
      <c r="B5941" s="6">
        <v>5</v>
      </c>
      <c r="C5941" s="6" t="s">
        <v>64</v>
      </c>
      <c r="D5941" s="6" t="s">
        <v>849</v>
      </c>
      <c r="E5941" s="6" t="s">
        <v>441</v>
      </c>
      <c r="F5941" s="6" t="str">
        <f>IF($M5941="PADD I","PADD 1",IF($M5941="PADD II","PADD 2",IF($M5941="PADD III","PADD 3",IF($M5941="PADD IV","PADD 4",IF($M5941="PADD V","PADD 5","")))))</f>
        <v>PADD 4</v>
      </c>
      <c r="G5941" s="6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6" t="s">
        <v>44</v>
      </c>
      <c r="I5941" s="6" t="s">
        <v>850</v>
      </c>
      <c r="J5941" s="6" t="s">
        <v>394</v>
      </c>
      <c r="K5941" s="10">
        <v>0.837</v>
      </c>
      <c r="L5941" s="10">
        <v>27.9</v>
      </c>
      <c r="M5941" s="6" t="s">
        <v>480</v>
      </c>
      <c r="N5941" s="6">
        <f>IF(OR($G5941="FCC",$G5941="Hydrocracker",$G5941="Reformer"),IF(COUNTIFS($D:$D,$D5941,$A:$A,$A5941,$B:$B,$B5941,$G:$G,"CDU",$J:$J,"PLANNED")&gt;0,"tied","standalone"),"")</f>
        <v/>
      </c>
    </row>
    <row r="5942" spans="1:14">
      <c r="A5942" s="6">
        <v>2025</v>
      </c>
      <c r="B5942" s="6">
        <v>5</v>
      </c>
      <c r="C5942" s="6" t="s">
        <v>64</v>
      </c>
      <c r="D5942" s="6" t="s">
        <v>375</v>
      </c>
      <c r="E5942" s="6" t="s">
        <v>435</v>
      </c>
      <c r="F5942" s="6" t="str">
        <f>IF($M5942="PADD I","PADD 1",IF($M5942="PADD II","PADD 2",IF($M5942="PADD III","PADD 3",IF($M5942="PADD IV","PADD 4",IF($M5942="PADD V","PADD 5","")))))</f>
        <v>PADD 5</v>
      </c>
      <c r="G5942" s="6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6" t="s">
        <v>618</v>
      </c>
      <c r="I5942" s="6" t="s">
        <v>654</v>
      </c>
      <c r="J5942" s="6" t="s">
        <v>394</v>
      </c>
      <c r="K5942" s="10">
        <v>0.78</v>
      </c>
      <c r="L5942" s="10">
        <v>1.5</v>
      </c>
      <c r="M5942" s="6" t="s">
        <v>436</v>
      </c>
      <c r="N5942" s="6">
        <f>IF(OR($G5942="FCC",$G5942="Hydrocracker",$G5942="Reformer"),IF(COUNTIFS($D:$D,$D5942,$A:$A,$A5942,$B:$B,$B5942,$G:$G,"CDU",$J:$J,"PLANNED")&gt;0,"tied","standalone"),"")</f>
        <v/>
      </c>
    </row>
    <row r="5943" spans="1:14">
      <c r="A5943" s="6">
        <v>2025</v>
      </c>
      <c r="B5943" s="6">
        <v>5</v>
      </c>
      <c r="C5943" s="6" t="s">
        <v>64</v>
      </c>
      <c r="D5943" s="6" t="s">
        <v>820</v>
      </c>
      <c r="E5943" s="6" t="s">
        <v>710</v>
      </c>
      <c r="F5943" s="6" t="str">
        <f>IF($M5943="PADD I","PADD 1",IF($M5943="PADD II","PADD 2",IF($M5943="PADD III","PADD 3",IF($M5943="PADD IV","PADD 4",IF($M5943="PADD V","PADD 5","")))))</f>
        <v>PADD 3</v>
      </c>
      <c r="G5943" s="6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6" t="s">
        <v>618</v>
      </c>
      <c r="I5943" s="6" t="s">
        <v>654</v>
      </c>
      <c r="J5943" s="6" t="s">
        <v>394</v>
      </c>
      <c r="K5943" s="10">
        <v>0.72</v>
      </c>
      <c r="L5943" s="10">
        <v>4.5</v>
      </c>
      <c r="M5943" s="6" t="s">
        <v>421</v>
      </c>
      <c r="N5943" s="6">
        <f>IF(OR($G5943="FCC",$G5943="Hydrocracker",$G5943="Reformer"),IF(COUNTIFS($D:$D,$D5943,$A:$A,$A5943,$B:$B,$B5943,$G:$G,"CDU",$J:$J,"PLANNED")&gt;0,"tied","standalone"),"")</f>
        <v/>
      </c>
    </row>
    <row r="5944" spans="1:14">
      <c r="A5944" s="6">
        <v>2025</v>
      </c>
      <c r="B5944" s="6">
        <v>5</v>
      </c>
      <c r="C5944" s="6" t="s">
        <v>64</v>
      </c>
      <c r="D5944" s="6" t="s">
        <v>680</v>
      </c>
      <c r="E5944" s="6" t="s">
        <v>541</v>
      </c>
      <c r="F5944" s="6" t="str">
        <f>IF($M5944="PADD I","PADD 1",IF($M5944="PADD II","PADD 2",IF($M5944="PADD III","PADD 3",IF($M5944="PADD IV","PADD 4",IF($M5944="PADD V","PADD 5","")))))</f>
        <v>PADD 3</v>
      </c>
      <c r="G5944" s="6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6" t="s">
        <v>44</v>
      </c>
      <c r="I5944" s="6" t="s">
        <v>514</v>
      </c>
      <c r="J5944" s="6" t="s">
        <v>394</v>
      </c>
      <c r="K5944" s="10">
        <v>0.72</v>
      </c>
      <c r="L5944" s="10">
        <v>12</v>
      </c>
      <c r="M5944" s="6" t="s">
        <v>421</v>
      </c>
      <c r="N5944" s="6">
        <f>IF(OR($G5944="FCC",$G5944="Hydrocracker",$G5944="Reformer"),IF(COUNTIFS($D:$D,$D5944,$A:$A,$A5944,$B:$B,$B5944,$G:$G,"CDU",$J:$J,"PLANNED")&gt;0,"tied","standalone"),"")</f>
        <v/>
      </c>
    </row>
    <row r="5945" spans="1:14">
      <c r="A5945" s="6">
        <v>2025</v>
      </c>
      <c r="B5945" s="6">
        <v>5</v>
      </c>
      <c r="C5945" s="6" t="s">
        <v>64</v>
      </c>
      <c r="D5945" s="6" t="s">
        <v>822</v>
      </c>
      <c r="E5945" s="6" t="s">
        <v>455</v>
      </c>
      <c r="F5945" s="6" t="str">
        <f>IF($M5945="PADD I","PADD 1",IF($M5945="PADD II","PADD 2",IF($M5945="PADD III","PADD 3",IF($M5945="PADD IV","PADD 4",IF($M5945="PADD V","PADD 5","")))))</f>
        <v>PADD 3</v>
      </c>
      <c r="G5945" s="6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6" t="s">
        <v>510</v>
      </c>
      <c r="I5945" s="6" t="s">
        <v>842</v>
      </c>
      <c r="J5945" s="6" t="s">
        <v>394</v>
      </c>
      <c r="K5945" s="10">
        <v>0.66</v>
      </c>
      <c r="L5945" s="10">
        <v>22</v>
      </c>
      <c r="M5945" s="6" t="s">
        <v>421</v>
      </c>
      <c r="N5945" s="6">
        <f>IF(OR($G5945="FCC",$G5945="Hydrocracker",$G5945="Reformer"),IF(COUNTIFS($D:$D,$D5945,$A:$A,$A5945,$B:$B,$B5945,$G:$G,"CDU",$J:$J,"PLANNED")&gt;0,"tied","standalone"),"")</f>
        <v/>
      </c>
    </row>
    <row r="5946" spans="1:14">
      <c r="A5946" s="6">
        <v>2025</v>
      </c>
      <c r="B5946" s="6">
        <v>5</v>
      </c>
      <c r="C5946" s="6" t="s">
        <v>64</v>
      </c>
      <c r="D5946" s="6" t="s">
        <v>822</v>
      </c>
      <c r="E5946" s="6" t="s">
        <v>455</v>
      </c>
      <c r="F5946" s="6" t="str">
        <f>IF($M5946="PADD I","PADD 1",IF($M5946="PADD II","PADD 2",IF($M5946="PADD III","PADD 3",IF($M5946="PADD IV","PADD 4",IF($M5946="PADD V","PADD 5","")))))</f>
        <v>PADD 3</v>
      </c>
      <c r="G5946" s="6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6" t="s">
        <v>510</v>
      </c>
      <c r="I5946" s="6" t="s">
        <v>842</v>
      </c>
      <c r="J5946" s="6" t="s">
        <v>394</v>
      </c>
      <c r="K5946" s="10">
        <v>0.66</v>
      </c>
      <c r="L5946" s="10">
        <v>22</v>
      </c>
      <c r="M5946" s="6" t="s">
        <v>421</v>
      </c>
      <c r="N5946" s="6">
        <f>IF(OR($G5946="FCC",$G5946="Hydrocracker",$G5946="Reformer"),IF(COUNTIFS($D:$D,$D5946,$A:$A,$A5946,$B:$B,$B5946,$G:$G,"CDU",$J:$J,"PLANNED")&gt;0,"tied","standalone"),"")</f>
        <v/>
      </c>
    </row>
    <row r="5947" spans="1:14">
      <c r="A5947" s="6">
        <v>2025</v>
      </c>
      <c r="B5947" s="6">
        <v>5</v>
      </c>
      <c r="C5947" s="6" t="s">
        <v>64</v>
      </c>
      <c r="D5947" s="6" t="s">
        <v>1336</v>
      </c>
      <c r="E5947" s="6" t="s">
        <v>1337</v>
      </c>
      <c r="F5947" s="6" t="str">
        <f>IF($M5947="PADD I","PADD 1",IF($M5947="PADD II","PADD 2",IF($M5947="PADD III","PADD 3",IF($M5947="PADD IV","PADD 4",IF($M5947="PADD V","PADD 5","")))))</f>
        <v>PADD 4</v>
      </c>
      <c r="G5947" s="6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6" t="s">
        <v>39</v>
      </c>
      <c r="I5947" s="6" t="s">
        <v>82</v>
      </c>
      <c r="J5947" s="6" t="s">
        <v>394</v>
      </c>
      <c r="K5947" s="10">
        <v>0.6</v>
      </c>
      <c r="L5947" s="10">
        <v>20</v>
      </c>
      <c r="M5947" s="6" t="s">
        <v>480</v>
      </c>
      <c r="N5947" s="6">
        <f>IF(OR($G5947="FCC",$G5947="Hydrocracker",$G5947="Reformer"),IF(COUNTIFS($D:$D,$D5947,$A:$A,$A5947,$B:$B,$B5947,$G:$G,"CDU",$J:$J,"PLANNED")&gt;0,"tied","standalone"),"")</f>
        <v/>
      </c>
    </row>
    <row r="5948" spans="1:14">
      <c r="A5948" s="6">
        <v>2025</v>
      </c>
      <c r="B5948" s="6">
        <v>5</v>
      </c>
      <c r="C5948" s="6" t="s">
        <v>64</v>
      </c>
      <c r="D5948" s="6" t="s">
        <v>853</v>
      </c>
      <c r="E5948" s="6" t="s">
        <v>438</v>
      </c>
      <c r="F5948" s="6" t="str">
        <f>IF($M5948="PADD I","PADD 1",IF($M5948="PADD II","PADD 2",IF($M5948="PADD III","PADD 3",IF($M5948="PADD IV","PADD 4",IF($M5948="PADD V","PADD 5","")))))</f>
        <v>PADD 2</v>
      </c>
      <c r="G5948" s="6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6" t="s">
        <v>44</v>
      </c>
      <c r="I5948" s="6" t="s">
        <v>1227</v>
      </c>
      <c r="J5948" s="6" t="s">
        <v>394</v>
      </c>
      <c r="K5948" s="10">
        <v>0.6</v>
      </c>
      <c r="L5948" s="10">
        <v>20</v>
      </c>
      <c r="M5948" s="6" t="s">
        <v>425</v>
      </c>
      <c r="N5948" s="6">
        <f>IF(OR($G5948="FCC",$G5948="Hydrocracker",$G5948="Reformer"),IF(COUNTIFS($D:$D,$D5948,$A:$A,$A5948,$B:$B,$B5948,$G:$G,"CDU",$J:$J,"PLANNED")&gt;0,"tied","standalone"),"")</f>
        <v/>
      </c>
    </row>
    <row r="5949" spans="1:14">
      <c r="A5949" s="6">
        <v>2025</v>
      </c>
      <c r="B5949" s="6">
        <v>5</v>
      </c>
      <c r="C5949" s="6" t="s">
        <v>64</v>
      </c>
      <c r="D5949" s="6" t="s">
        <v>921</v>
      </c>
      <c r="E5949" s="6" t="s">
        <v>922</v>
      </c>
      <c r="F5949" s="6" t="str">
        <f>IF($M5949="PADD I","PADD 1",IF($M5949="PADD II","PADD 2",IF($M5949="PADD III","PADD 3",IF($M5949="PADD IV","PADD 4",IF($M5949="PADD V","PADD 5","")))))</f>
        <v>PADD 4</v>
      </c>
      <c r="G5949" s="6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6" t="s">
        <v>618</v>
      </c>
      <c r="I5949" s="6" t="s">
        <v>1252</v>
      </c>
      <c r="J5949" s="6" t="s">
        <v>398</v>
      </c>
      <c r="K5949" s="10">
        <v>0.55</v>
      </c>
      <c r="L5949" s="10">
        <v>1</v>
      </c>
      <c r="M5949" s="6" t="s">
        <v>480</v>
      </c>
      <c r="N5949" s="6">
        <f>IF(OR($G5949="FCC",$G5949="Hydrocracker",$G5949="Reformer"),IF(COUNTIFS($D:$D,$D5949,$A:$A,$A5949,$B:$B,$B5949,$G:$G,"CDU",$J:$J,"PLANNED")&gt;0,"tied","standalone"),"")</f>
        <v/>
      </c>
    </row>
    <row r="5950" spans="1:14">
      <c r="A5950" s="6">
        <v>2025</v>
      </c>
      <c r="B5950" s="6">
        <v>5</v>
      </c>
      <c r="C5950" s="6" t="s">
        <v>64</v>
      </c>
      <c r="D5950" s="6" t="s">
        <v>996</v>
      </c>
      <c r="E5950" s="6" t="s">
        <v>455</v>
      </c>
      <c r="F5950" s="6" t="str">
        <f>IF($M5950="PADD I","PADD 1",IF($M5950="PADD II","PADD 2",IF($M5950="PADD III","PADD 3",IF($M5950="PADD IV","PADD 4",IF($M5950="PADD V","PADD 5","")))))</f>
        <v>PADD 5</v>
      </c>
      <c r="G5950" s="6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6" t="s">
        <v>471</v>
      </c>
      <c r="I5950" s="6" t="s">
        <v>1023</v>
      </c>
      <c r="J5950" s="6" t="s">
        <v>394</v>
      </c>
      <c r="K5950" s="10">
        <v>0.54</v>
      </c>
      <c r="L5950" s="10">
        <v>18</v>
      </c>
      <c r="M5950" s="6" t="s">
        <v>436</v>
      </c>
      <c r="N5950" s="6" t="str">
        <f>IF(OR($G5950="FCC",$G5950="Hydrocracker",$G5950="Reformer"),IF(COUNTIFS($D:$D,$D5950,$A:$A,$A5950,$B:$B,$B5950,$G:$G,"CDU",$J:$J,"PLANNED")&gt;0,"tied","standalone"),"")</f>
        <v>standalone</v>
      </c>
    </row>
    <row r="5951" spans="1:14">
      <c r="A5951" s="6">
        <v>2025</v>
      </c>
      <c r="B5951" s="6">
        <v>5</v>
      </c>
      <c r="C5951" s="6" t="s">
        <v>64</v>
      </c>
      <c r="D5951" s="6" t="s">
        <v>665</v>
      </c>
      <c r="E5951" s="6" t="s">
        <v>455</v>
      </c>
      <c r="F5951" s="6" t="str">
        <f>IF($M5951="PADD I","PADD 1",IF($M5951="PADD II","PADD 2",IF($M5951="PADD III","PADD 3",IF($M5951="PADD IV","PADD 4",IF($M5951="PADD V","PADD 5","")))))</f>
        <v>PADD 5</v>
      </c>
      <c r="G5951" s="6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6" t="s">
        <v>618</v>
      </c>
      <c r="I5951" s="6" t="s">
        <v>1364</v>
      </c>
      <c r="J5951" s="6" t="s">
        <v>394</v>
      </c>
      <c r="K5951" s="10">
        <v>0.494</v>
      </c>
      <c r="L5951" s="10">
        <v>3.8</v>
      </c>
      <c r="M5951" s="6" t="s">
        <v>436</v>
      </c>
      <c r="N5951" s="6">
        <f>IF(OR($G5951="FCC",$G5951="Hydrocracker",$G5951="Reformer"),IF(COUNTIFS($D:$D,$D5951,$A:$A,$A5951,$B:$B,$B5951,$G:$G,"CDU",$J:$J,"PLANNED")&gt;0,"tied","standalone"),"")</f>
        <v/>
      </c>
    </row>
    <row r="5952" spans="1:14">
      <c r="A5952" s="6">
        <v>2025</v>
      </c>
      <c r="B5952" s="6">
        <v>5</v>
      </c>
      <c r="C5952" s="6" t="s">
        <v>64</v>
      </c>
      <c r="D5952" s="6" t="s">
        <v>1113</v>
      </c>
      <c r="E5952" s="6" t="s">
        <v>438</v>
      </c>
      <c r="F5952" s="6" t="str">
        <f>IF($M5952="PADD I","PADD 1",IF($M5952="PADD II","PADD 2",IF($M5952="PADD III","PADD 3",IF($M5952="PADD IV","PADD 4",IF($M5952="PADD V","PADD 5","")))))</f>
        <v>PADD 2</v>
      </c>
      <c r="G5952" s="6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6" t="s">
        <v>44</v>
      </c>
      <c r="I5952" s="6" t="s">
        <v>739</v>
      </c>
      <c r="J5952" s="6" t="s">
        <v>394</v>
      </c>
      <c r="K5952" s="10">
        <v>0.42</v>
      </c>
      <c r="L5952" s="10">
        <v>7</v>
      </c>
      <c r="M5952" s="6" t="s">
        <v>425</v>
      </c>
      <c r="N5952" s="6">
        <f>IF(OR($G5952="FCC",$G5952="Hydrocracker",$G5952="Reformer"),IF(COUNTIFS($D:$D,$D5952,$A:$A,$A5952,$B:$B,$B5952,$G:$G,"CDU",$J:$J,"PLANNED")&gt;0,"tied","standalone"),"")</f>
        <v/>
      </c>
    </row>
    <row r="5953" spans="1:14">
      <c r="A5953" s="6">
        <v>2025</v>
      </c>
      <c r="B5953" s="6">
        <v>5</v>
      </c>
      <c r="C5953" s="6" t="s">
        <v>64</v>
      </c>
      <c r="D5953" s="6" t="s">
        <v>849</v>
      </c>
      <c r="E5953" s="6" t="s">
        <v>441</v>
      </c>
      <c r="F5953" s="6" t="str">
        <f>IF($M5953="PADD I","PADD 1",IF($M5953="PADD II","PADD 2",IF($M5953="PADD III","PADD 3",IF($M5953="PADD IV","PADD 4",IF($M5953="PADD V","PADD 5","")))))</f>
        <v>PADD 4</v>
      </c>
      <c r="G5953" s="6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6" t="s">
        <v>44</v>
      </c>
      <c r="I5953" s="6" t="s">
        <v>1114</v>
      </c>
      <c r="J5953" s="6" t="s">
        <v>394</v>
      </c>
      <c r="K5953" s="10">
        <v>0.399</v>
      </c>
      <c r="L5953" s="10">
        <v>13.3</v>
      </c>
      <c r="M5953" s="6" t="s">
        <v>480</v>
      </c>
      <c r="N5953" s="6">
        <f>IF(OR($G5953="FCC",$G5953="Hydrocracker",$G5953="Reformer"),IF(COUNTIFS($D:$D,$D5953,$A:$A,$A5953,$B:$B,$B5953,$G:$G,"CDU",$J:$J,"PLANNED")&gt;0,"tied","standalone"),"")</f>
        <v/>
      </c>
    </row>
    <row r="5954" spans="1:14">
      <c r="A5954" s="6">
        <v>2025</v>
      </c>
      <c r="B5954" s="6">
        <v>5</v>
      </c>
      <c r="C5954" s="6" t="s">
        <v>64</v>
      </c>
      <c r="D5954" s="6" t="s">
        <v>378</v>
      </c>
      <c r="E5954" s="6" t="s">
        <v>477</v>
      </c>
      <c r="F5954" s="6" t="str">
        <f>IF($M5954="PADD I","PADD 1",IF($M5954="PADD II","PADD 2",IF($M5954="PADD III","PADD 3",IF($M5954="PADD IV","PADD 4",IF($M5954="PADD V","PADD 5","")))))</f>
        <v>PADD 3</v>
      </c>
      <c r="G5954" s="6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6" t="s">
        <v>510</v>
      </c>
      <c r="I5954" s="6" t="s">
        <v>1125</v>
      </c>
      <c r="J5954" s="6" t="s">
        <v>394</v>
      </c>
      <c r="K5954" s="10">
        <v>0.375</v>
      </c>
      <c r="L5954" s="10">
        <v>12.5</v>
      </c>
      <c r="M5954" s="6" t="s">
        <v>421</v>
      </c>
      <c r="N5954" s="6">
        <f>IF(OR($G5954="FCC",$G5954="Hydrocracker",$G5954="Reformer"),IF(COUNTIFS($D:$D,$D5954,$A:$A,$A5954,$B:$B,$B5954,$G:$G,"CDU",$J:$J,"PLANNED")&gt;0,"tied","standalone"),"")</f>
        <v/>
      </c>
    </row>
    <row r="5955" spans="1:14">
      <c r="A5955" s="6">
        <v>2025</v>
      </c>
      <c r="B5955" s="6">
        <v>5</v>
      </c>
      <c r="C5955" s="6" t="s">
        <v>64</v>
      </c>
      <c r="D5955" s="6" t="s">
        <v>928</v>
      </c>
      <c r="E5955" s="6" t="s">
        <v>502</v>
      </c>
      <c r="F5955" s="6" t="str">
        <f>IF($M5955="PADD I","PADD 1",IF($M5955="PADD II","PADD 2",IF($M5955="PADD III","PADD 3",IF($M5955="PADD IV","PADD 4",IF($M5955="PADD V","PADD 5","")))))</f>
        <v>PADD 2</v>
      </c>
      <c r="G5955" s="6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6" t="s">
        <v>485</v>
      </c>
      <c r="I5955" s="6" t="s">
        <v>491</v>
      </c>
      <c r="J5955" s="6" t="s">
        <v>394</v>
      </c>
      <c r="K5955" s="10">
        <v>0.255</v>
      </c>
      <c r="L5955" s="10">
        <v>8.5</v>
      </c>
      <c r="M5955" s="6" t="s">
        <v>425</v>
      </c>
      <c r="N5955" s="6">
        <f>IF(OR($G5955="FCC",$G5955="Hydrocracker",$G5955="Reformer"),IF(COUNTIFS($D:$D,$D5955,$A:$A,$A5955,$B:$B,$B5955,$G:$G,"CDU",$J:$J,"PLANNED")&gt;0,"tied","standalone"),"")</f>
        <v/>
      </c>
    </row>
    <row r="5956" spans="1:14">
      <c r="A5956" s="6">
        <v>2025</v>
      </c>
      <c r="B5956" s="6">
        <v>5</v>
      </c>
      <c r="C5956" s="6" t="s">
        <v>64</v>
      </c>
      <c r="D5956" s="6" t="s">
        <v>375</v>
      </c>
      <c r="E5956" s="6" t="s">
        <v>435</v>
      </c>
      <c r="F5956" s="6" t="str">
        <f>IF($M5956="PADD I","PADD 1",IF($M5956="PADD II","PADD 2",IF($M5956="PADD III","PADD 3",IF($M5956="PADD IV","PADD 4",IF($M5956="PADD V","PADD 5","")))))</f>
        <v>PADD 5</v>
      </c>
      <c r="G5956" s="6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6" t="s">
        <v>618</v>
      </c>
      <c r="I5956" s="6" t="s">
        <v>654</v>
      </c>
      <c r="J5956" s="6" t="s">
        <v>394</v>
      </c>
      <c r="K5956" s="10">
        <v>0.2544</v>
      </c>
      <c r="L5956" s="10">
        <v>0.53</v>
      </c>
      <c r="M5956" s="6" t="s">
        <v>436</v>
      </c>
      <c r="N5956" s="6">
        <f>IF(OR($G5956="FCC",$G5956="Hydrocracker",$G5956="Reformer"),IF(COUNTIFS($D:$D,$D5956,$A:$A,$A5956,$B:$B,$B5956,$G:$G,"CDU",$J:$J,"PLANNED")&gt;0,"tied","standalone"),"")</f>
        <v/>
      </c>
    </row>
    <row r="5957" spans="1:14">
      <c r="A5957" s="6">
        <v>2025</v>
      </c>
      <c r="B5957" s="6">
        <v>5</v>
      </c>
      <c r="C5957" s="6" t="s">
        <v>64</v>
      </c>
      <c r="D5957" s="6" t="s">
        <v>1336</v>
      </c>
      <c r="E5957" s="6" t="s">
        <v>1337</v>
      </c>
      <c r="F5957" s="6" t="str">
        <f>IF($M5957="PADD I","PADD 1",IF($M5957="PADD II","PADD 2",IF($M5957="PADD III","PADD 3",IF($M5957="PADD IV","PADD 4",IF($M5957="PADD V","PADD 5","")))))</f>
        <v>PADD 4</v>
      </c>
      <c r="G5957" s="6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6" t="s">
        <v>44</v>
      </c>
      <c r="I5957" s="6" t="s">
        <v>1341</v>
      </c>
      <c r="J5957" s="6" t="s">
        <v>394</v>
      </c>
      <c r="K5957" s="10">
        <v>0.165</v>
      </c>
      <c r="L5957" s="10">
        <v>5.5</v>
      </c>
      <c r="M5957" s="6" t="s">
        <v>480</v>
      </c>
      <c r="N5957" s="6">
        <f>IF(OR($G5957="FCC",$G5957="Hydrocracker",$G5957="Reformer"),IF(COUNTIFS($D:$D,$D5957,$A:$A,$A5957,$B:$B,$B5957,$G:$G,"CDU",$J:$J,"PLANNED")&gt;0,"tied","standalone"),"")</f>
        <v/>
      </c>
    </row>
    <row r="5958" spans="1:14">
      <c r="A5958" s="6">
        <v>2025</v>
      </c>
      <c r="B5958" s="6">
        <v>5</v>
      </c>
      <c r="C5958" s="6" t="s">
        <v>64</v>
      </c>
      <c r="D5958" s="6" t="s">
        <v>1336</v>
      </c>
      <c r="E5958" s="6" t="s">
        <v>1337</v>
      </c>
      <c r="F5958" s="6" t="str">
        <f>IF($M5958="PADD I","PADD 1",IF($M5958="PADD II","PADD 2",IF($M5958="PADD III","PADD 3",IF($M5958="PADD IV","PADD 4",IF($M5958="PADD V","PADD 5","")))))</f>
        <v>PADD 4</v>
      </c>
      <c r="G5958" s="6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6" t="s">
        <v>426</v>
      </c>
      <c r="I5958" s="6" t="s">
        <v>106</v>
      </c>
      <c r="J5958" s="6" t="s">
        <v>394</v>
      </c>
      <c r="K5958" s="10">
        <v>0.165</v>
      </c>
      <c r="L5958" s="10">
        <v>5.5</v>
      </c>
      <c r="M5958" s="6" t="s">
        <v>480</v>
      </c>
      <c r="N5958" s="6" t="str">
        <f>IF(OR($G5958="FCC",$G5958="Hydrocracker",$G5958="Reformer"),IF(COUNTIFS($D:$D,$D5958,$A:$A,$A5958,$B:$B,$B5958,$G:$G,"CDU",$J:$J,"PLANNED")&gt;0,"tied","standalone"),"")</f>
        <v>standalone</v>
      </c>
    </row>
    <row r="5959" spans="1:14">
      <c r="A5959" s="6">
        <v>2025</v>
      </c>
      <c r="B5959" s="6">
        <v>5</v>
      </c>
      <c r="C5959" s="6" t="s">
        <v>64</v>
      </c>
      <c r="D5959" s="6" t="s">
        <v>1336</v>
      </c>
      <c r="E5959" s="6" t="s">
        <v>1337</v>
      </c>
      <c r="F5959" s="6" t="str">
        <f>IF($M5959="PADD I","PADD 1",IF($M5959="PADD II","PADD 2",IF($M5959="PADD III","PADD 3",IF($M5959="PADD IV","PADD 4",IF($M5959="PADD V","PADD 5","")))))</f>
        <v>PADD 4</v>
      </c>
      <c r="G5959" s="6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6" t="s">
        <v>44</v>
      </c>
      <c r="I5959" s="6" t="s">
        <v>1342</v>
      </c>
      <c r="J5959" s="6" t="s">
        <v>394</v>
      </c>
      <c r="K5959" s="10">
        <v>0.105</v>
      </c>
      <c r="L5959" s="10">
        <v>3.5</v>
      </c>
      <c r="M5959" s="6" t="s">
        <v>480</v>
      </c>
      <c r="N5959" s="6">
        <f>IF(OR($G5959="FCC",$G5959="Hydrocracker",$G5959="Reformer"),IF(COUNTIFS($D:$D,$D5959,$A:$A,$A5959,$B:$B,$B5959,$G:$G,"CDU",$J:$J,"PLANNED")&gt;0,"tied","standalone"),"")</f>
        <v/>
      </c>
    </row>
    <row r="5960" spans="1:14">
      <c r="A5960" s="6">
        <v>2025</v>
      </c>
      <c r="B5960" s="6">
        <v>5</v>
      </c>
      <c r="C5960" s="6" t="s">
        <v>64</v>
      </c>
      <c r="D5960" s="6" t="s">
        <v>1336</v>
      </c>
      <c r="E5960" s="6" t="s">
        <v>1337</v>
      </c>
      <c r="F5960" s="6" t="str">
        <f>IF($M5960="PADD I","PADD 1",IF($M5960="PADD II","PADD 2",IF($M5960="PADD III","PADD 3",IF($M5960="PADD IV","PADD 4",IF($M5960="PADD V","PADD 5","")))))</f>
        <v>PADD 4</v>
      </c>
      <c r="G5960" s="6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6" t="s">
        <v>471</v>
      </c>
      <c r="I5960" s="6" t="s">
        <v>15</v>
      </c>
      <c r="J5960" s="6" t="s">
        <v>394</v>
      </c>
      <c r="K5960" s="10">
        <v>0.096</v>
      </c>
      <c r="L5960" s="10">
        <v>3.2</v>
      </c>
      <c r="M5960" s="6" t="s">
        <v>480</v>
      </c>
      <c r="N5960" s="6" t="str">
        <f>IF(OR($G5960="FCC",$G5960="Hydrocracker",$G5960="Reformer"),IF(COUNTIFS($D:$D,$D5960,$A:$A,$A5960,$B:$B,$B5960,$G:$G,"CDU",$J:$J,"PLANNED")&gt;0,"tied","standalone"),"")</f>
        <v>standalone</v>
      </c>
    </row>
    <row r="5961" spans="1:14">
      <c r="A5961" s="6">
        <v>2025</v>
      </c>
      <c r="B5961" s="6">
        <v>5</v>
      </c>
      <c r="C5961" s="6" t="s">
        <v>64</v>
      </c>
      <c r="D5961" s="6" t="s">
        <v>1336</v>
      </c>
      <c r="E5961" s="6" t="s">
        <v>1337</v>
      </c>
      <c r="F5961" s="6" t="str">
        <f>IF($M5961="PADD I","PADD 1",IF($M5961="PADD II","PADD 2",IF($M5961="PADD III","PADD 3",IF($M5961="PADD IV","PADD 4",IF($M5961="PADD V","PADD 5","")))))</f>
        <v>PADD 4</v>
      </c>
      <c r="G5961" s="6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6" t="s">
        <v>428</v>
      </c>
      <c r="I5961" s="6" t="s">
        <v>481</v>
      </c>
      <c r="J5961" s="6" t="s">
        <v>394</v>
      </c>
      <c r="K5961" s="10">
        <v>0.045</v>
      </c>
      <c r="L5961" s="10">
        <v>1.5</v>
      </c>
      <c r="M5961" s="6" t="s">
        <v>480</v>
      </c>
      <c r="N5961" s="6">
        <f>IF(OR($G5961="FCC",$G5961="Hydrocracker",$G5961="Reformer"),IF(COUNTIFS($D:$D,$D5961,$A:$A,$A5961,$B:$B,$B5961,$G:$G,"CDU",$J:$J,"PLANNED")&gt;0,"tied","standalone"),"")</f>
        <v/>
      </c>
    </row>
    <row r="5962" spans="1:14">
      <c r="A5962" s="6">
        <v>2025</v>
      </c>
      <c r="B5962" s="6">
        <v>5</v>
      </c>
      <c r="C5962" s="6" t="s">
        <v>64</v>
      </c>
      <c r="D5962" s="6" t="s">
        <v>1336</v>
      </c>
      <c r="E5962" s="6" t="s">
        <v>1337</v>
      </c>
      <c r="F5962" s="6" t="str">
        <f>IF($M5962="PADD I","PADD 1",IF($M5962="PADD II","PADD 2",IF($M5962="PADD III","PADD 3",IF($M5962="PADD IV","PADD 4",IF($M5962="PADD V","PADD 5","")))))</f>
        <v>PADD 4</v>
      </c>
      <c r="G5962" s="6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6" t="s">
        <v>510</v>
      </c>
      <c r="I5962" s="6" t="s">
        <v>666</v>
      </c>
      <c r="J5962" s="6" t="s">
        <v>394</v>
      </c>
      <c r="K5962" s="10">
        <v>0.039</v>
      </c>
      <c r="L5962" s="10">
        <v>1.3</v>
      </c>
      <c r="M5962" s="6" t="s">
        <v>480</v>
      </c>
      <c r="N5962" s="6">
        <f>IF(OR($G5962="FCC",$G5962="Hydrocracker",$G5962="Reformer"),IF(COUNTIFS($D:$D,$D5962,$A:$A,$A5962,$B:$B,$B5962,$G:$G,"CDU",$J:$J,"PLANNED")&gt;0,"tied","standalone"),"")</f>
        <v/>
      </c>
    </row>
    <row r="5963" spans="1:14">
      <c r="A5963" s="6">
        <v>2025</v>
      </c>
      <c r="B5963" s="6">
        <v>6</v>
      </c>
      <c r="C5963" s="6" t="s">
        <v>65</v>
      </c>
      <c r="D5963" s="6" t="s">
        <v>54</v>
      </c>
      <c r="E5963" s="6" t="s">
        <v>593</v>
      </c>
      <c r="F5963" s="6" t="str">
        <f>IF($M5963="PADD I","PADD 1",IF($M5963="PADD II","PADD 2",IF($M5963="PADD III","PADD 3",IF($M5963="PADD IV","PADD 4",IF($M5963="PADD V","PADD 5","")))))</f>
        <v>PADD 5</v>
      </c>
      <c r="G5963" s="6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6" t="s">
        <v>39</v>
      </c>
      <c r="I5963" s="6" t="s">
        <v>82</v>
      </c>
      <c r="J5963" s="6" t="s">
        <v>394</v>
      </c>
      <c r="K5963" s="10">
        <v>150.6</v>
      </c>
      <c r="L5963" s="10">
        <v>251</v>
      </c>
      <c r="M5963" s="6" t="s">
        <v>436</v>
      </c>
      <c r="N5963" s="6">
        <f>IF(OR($G5963="FCC",$G5963="Hydrocracker",$G5963="Reformer"),IF(COUNTIFS($D:$D,$D5963,$A:$A,$A5963,$B:$B,$B5963,$G:$G,"CDU",$J:$J,"PLANNED")&gt;0,"tied","standalone"),"")</f>
        <v/>
      </c>
    </row>
    <row r="5964" spans="1:14">
      <c r="A5964" s="6">
        <v>2025</v>
      </c>
      <c r="B5964" s="6">
        <v>6</v>
      </c>
      <c r="C5964" s="6" t="s">
        <v>65</v>
      </c>
      <c r="D5964" s="6" t="s">
        <v>375</v>
      </c>
      <c r="E5964" s="6" t="s">
        <v>435</v>
      </c>
      <c r="F5964" s="6" t="str">
        <f>IF($M5964="PADD I","PADD 1",IF($M5964="PADD II","PADD 2",IF($M5964="PADD III","PADD 3",IF($M5964="PADD IV","PADD 4",IF($M5964="PADD V","PADD 5","")))))</f>
        <v>PADD 5</v>
      </c>
      <c r="G5964" s="6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6" t="s">
        <v>44</v>
      </c>
      <c r="I5964" s="6" t="s">
        <v>1335</v>
      </c>
      <c r="J5964" s="6" t="s">
        <v>394</v>
      </c>
      <c r="K5964" s="10">
        <v>77.5</v>
      </c>
      <c r="L5964" s="10">
        <v>77.5</v>
      </c>
      <c r="M5964" s="6" t="s">
        <v>436</v>
      </c>
      <c r="N5964" s="6">
        <f>IF(OR($G5964="FCC",$G5964="Hydrocracker",$G5964="Reformer"),IF(COUNTIFS($D:$D,$D5964,$A:$A,$A5964,$B:$B,$B5964,$G:$G,"CDU",$J:$J,"PLANNED")&gt;0,"tied","standalone"),"")</f>
        <v/>
      </c>
    </row>
    <row r="5965" spans="1:14">
      <c r="A5965" s="6">
        <v>2025</v>
      </c>
      <c r="B5965" s="6">
        <v>6</v>
      </c>
      <c r="C5965" s="6" t="s">
        <v>65</v>
      </c>
      <c r="D5965" s="6" t="s">
        <v>375</v>
      </c>
      <c r="E5965" s="6" t="s">
        <v>435</v>
      </c>
      <c r="F5965" s="6" t="str">
        <f>IF($M5965="PADD I","PADD 1",IF($M5965="PADD II","PADD 2",IF($M5965="PADD III","PADD 3",IF($M5965="PADD IV","PADD 4",IF($M5965="PADD V","PADD 5","")))))</f>
        <v>PADD 5</v>
      </c>
      <c r="G5965" s="6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6" t="s">
        <v>426</v>
      </c>
      <c r="I5965" s="6" t="s">
        <v>554</v>
      </c>
      <c r="J5965" s="6" t="s">
        <v>394</v>
      </c>
      <c r="K5965" s="10">
        <v>70</v>
      </c>
      <c r="L5965" s="10">
        <v>70</v>
      </c>
      <c r="M5965" s="6" t="s">
        <v>436</v>
      </c>
      <c r="N5965" s="6" t="str">
        <f>IF(OR($G5965="FCC",$G5965="Hydrocracker",$G5965="Reformer"),IF(COUNTIFS($D:$D,$D5965,$A:$A,$A5965,$B:$B,$B5965,$G:$G,"CDU",$J:$J,"PLANNED")&gt;0,"tied","standalone"),"")</f>
        <v>standalone</v>
      </c>
    </row>
    <row r="5966" spans="1:14">
      <c r="A5966" s="6">
        <v>2025</v>
      </c>
      <c r="B5966" s="6">
        <v>6</v>
      </c>
      <c r="C5966" s="6" t="s">
        <v>65</v>
      </c>
      <c r="D5966" s="6" t="s">
        <v>375</v>
      </c>
      <c r="E5966" s="6" t="s">
        <v>435</v>
      </c>
      <c r="F5966" s="6" t="str">
        <f>IF($M5966="PADD I","PADD 1",IF($M5966="PADD II","PADD 2",IF($M5966="PADD III","PADD 3",IF($M5966="PADD IV","PADD 4",IF($M5966="PADD V","PADD 5","")))))</f>
        <v>PADD 5</v>
      </c>
      <c r="G5966" s="6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6" t="s">
        <v>39</v>
      </c>
      <c r="I5966" s="6" t="s">
        <v>94</v>
      </c>
      <c r="J5966" s="6" t="s">
        <v>394</v>
      </c>
      <c r="K5966" s="10">
        <v>54.25</v>
      </c>
      <c r="L5966" s="10">
        <v>54.25</v>
      </c>
      <c r="M5966" s="6" t="s">
        <v>436</v>
      </c>
      <c r="N5966" s="6">
        <f>IF(OR($G5966="FCC",$G5966="Hydrocracker",$G5966="Reformer"),IF(COUNTIFS($D:$D,$D5966,$A:$A,$A5966,$B:$B,$B5966,$G:$G,"CDU",$J:$J,"PLANNED")&gt;0,"tied","standalone"),"")</f>
        <v/>
      </c>
    </row>
    <row r="5967" spans="1:14">
      <c r="A5967" s="6">
        <v>2025</v>
      </c>
      <c r="B5967" s="6">
        <v>6</v>
      </c>
      <c r="C5967" s="6" t="s">
        <v>65</v>
      </c>
      <c r="D5967" s="6" t="s">
        <v>422</v>
      </c>
      <c r="E5967" s="6" t="s">
        <v>423</v>
      </c>
      <c r="F5967" s="6" t="str">
        <f>IF($M5967="PADD I","PADD 1",IF($M5967="PADD II","PADD 2",IF($M5967="PADD III","PADD 3",IF($M5967="PADD IV","PADD 4",IF($M5967="PADD V","PADD 5","")))))</f>
        <v>PADD 2</v>
      </c>
      <c r="G5967" s="6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6" t="s">
        <v>39</v>
      </c>
      <c r="I5967" s="6" t="s">
        <v>464</v>
      </c>
      <c r="J5967" s="6" t="s">
        <v>394</v>
      </c>
      <c r="K5967" s="10">
        <v>50</v>
      </c>
      <c r="L5967" s="10">
        <v>50</v>
      </c>
      <c r="M5967" s="6" t="s">
        <v>425</v>
      </c>
      <c r="N5967" s="6">
        <f>IF(OR($G5967="FCC",$G5967="Hydrocracker",$G5967="Reformer"),IF(COUNTIFS($D:$D,$D5967,$A:$A,$A5967,$B:$B,$B5967,$G:$G,"CDU",$J:$J,"PLANNED")&gt;0,"tied","standalone"),"")</f>
        <v/>
      </c>
    </row>
    <row r="5968" spans="1:14">
      <c r="A5968" s="6">
        <v>2025</v>
      </c>
      <c r="B5968" s="6">
        <v>6</v>
      </c>
      <c r="C5968" s="6" t="s">
        <v>65</v>
      </c>
      <c r="D5968" s="6" t="s">
        <v>665</v>
      </c>
      <c r="E5968" s="6" t="s">
        <v>455</v>
      </c>
      <c r="F5968" s="6" t="str">
        <f>IF($M5968="PADD I","PADD 1",IF($M5968="PADD II","PADD 2",IF($M5968="PADD III","PADD 3",IF($M5968="PADD IV","PADD 4",IF($M5968="PADD V","PADD 5","")))))</f>
        <v>PADD 5</v>
      </c>
      <c r="G5968" s="6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6" t="s">
        <v>426</v>
      </c>
      <c r="I5968" s="6" t="s">
        <v>106</v>
      </c>
      <c r="J5968" s="6" t="s">
        <v>394</v>
      </c>
      <c r="K5968" s="10">
        <v>46.2</v>
      </c>
      <c r="L5968" s="10">
        <v>77</v>
      </c>
      <c r="M5968" s="6" t="s">
        <v>436</v>
      </c>
      <c r="N5968" s="6" t="str">
        <f>IF(OR($G5968="FCC",$G5968="Hydrocracker",$G5968="Reformer"),IF(COUNTIFS($D:$D,$D5968,$A:$A,$A5968,$B:$B,$B5968,$G:$G,"CDU",$J:$J,"PLANNED")&gt;0,"tied","standalone"),"")</f>
        <v>standalone</v>
      </c>
    </row>
    <row r="5969" spans="1:14">
      <c r="A5969" s="6">
        <v>2025</v>
      </c>
      <c r="B5969" s="6">
        <v>6</v>
      </c>
      <c r="C5969" s="6" t="s">
        <v>65</v>
      </c>
      <c r="D5969" s="6" t="s">
        <v>622</v>
      </c>
      <c r="E5969" s="6" t="s">
        <v>623</v>
      </c>
      <c r="F5969" s="6" t="str">
        <f>IF($M5969="PADD I","PADD 1",IF($M5969="PADD II","PADD 2",IF($M5969="PADD III","PADD 3",IF($M5969="PADD IV","PADD 4",IF($M5969="PADD V","PADD 5","")))))</f>
        <v>PADD 3</v>
      </c>
      <c r="G5969" s="6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6" t="s">
        <v>39</v>
      </c>
      <c r="I5969" s="6" t="s">
        <v>624</v>
      </c>
      <c r="J5969" s="6" t="s">
        <v>398</v>
      </c>
      <c r="K5969" s="10">
        <v>45</v>
      </c>
      <c r="L5969" s="10">
        <v>50</v>
      </c>
      <c r="M5969" s="6" t="s">
        <v>421</v>
      </c>
      <c r="N5969" s="6">
        <f>IF(OR($G5969="FCC",$G5969="Hydrocracker",$G5969="Reformer"),IF(COUNTIFS($D:$D,$D5969,$A:$A,$A5969,$B:$B,$B5969,$G:$G,"CDU",$J:$J,"PLANNED")&gt;0,"tied","standalone"),"")</f>
        <v/>
      </c>
    </row>
    <row r="5970" spans="1:14">
      <c r="A5970" s="6">
        <v>2025</v>
      </c>
      <c r="B5970" s="6">
        <v>6</v>
      </c>
      <c r="C5970" s="6" t="s">
        <v>65</v>
      </c>
      <c r="D5970" s="6" t="s">
        <v>375</v>
      </c>
      <c r="E5970" s="6" t="s">
        <v>435</v>
      </c>
      <c r="F5970" s="6" t="str">
        <f>IF($M5970="PADD I","PADD 1",IF($M5970="PADD II","PADD 2",IF($M5970="PADD III","PADD 3",IF($M5970="PADD IV","PADD 4",IF($M5970="PADD V","PADD 5","")))))</f>
        <v>PADD 5</v>
      </c>
      <c r="G5970" s="6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6" t="s">
        <v>494</v>
      </c>
      <c r="I5970" s="6" t="s">
        <v>548</v>
      </c>
      <c r="J5970" s="6" t="s">
        <v>394</v>
      </c>
      <c r="K5970" s="10">
        <v>42</v>
      </c>
      <c r="L5970" s="10">
        <v>42</v>
      </c>
      <c r="M5970" s="6" t="s">
        <v>436</v>
      </c>
      <c r="N5970" s="6" t="str">
        <f>IF(OR($G5970="FCC",$G5970="Hydrocracker",$G5970="Reformer"),IF(COUNTIFS($D:$D,$D5970,$A:$A,$A5970,$B:$B,$B5970,$G:$G,"CDU",$J:$J,"PLANNED")&gt;0,"tied","standalone"),"")</f>
        <v>standalone</v>
      </c>
    </row>
    <row r="5971" spans="1:14">
      <c r="A5971" s="6">
        <v>2025</v>
      </c>
      <c r="B5971" s="6">
        <v>6</v>
      </c>
      <c r="C5971" s="6" t="s">
        <v>65</v>
      </c>
      <c r="D5971" s="6" t="s">
        <v>382</v>
      </c>
      <c r="E5971" s="6" t="s">
        <v>431</v>
      </c>
      <c r="F5971" s="6" t="str">
        <f>IF($M5971="PADD I","PADD 1",IF($M5971="PADD II","PADD 2",IF($M5971="PADD III","PADD 3",IF($M5971="PADD IV","PADD 4",IF($M5971="PADD V","PADD 5","")))))</f>
        <v>PADD 3</v>
      </c>
      <c r="G5971" s="6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6" t="s">
        <v>44</v>
      </c>
      <c r="I5971" s="6" t="s">
        <v>993</v>
      </c>
      <c r="J5971" s="6" t="s">
        <v>394</v>
      </c>
      <c r="K5971" s="10">
        <v>40</v>
      </c>
      <c r="L5971" s="10">
        <v>40</v>
      </c>
      <c r="M5971" s="6" t="s">
        <v>421</v>
      </c>
      <c r="N5971" s="6">
        <f>IF(OR($G5971="FCC",$G5971="Hydrocracker",$G5971="Reformer"),IF(COUNTIFS($D:$D,$D5971,$A:$A,$A5971,$B:$B,$B5971,$G:$G,"CDU",$J:$J,"PLANNED")&gt;0,"tied","standalone"),"")</f>
        <v/>
      </c>
    </row>
    <row r="5972" spans="1:14">
      <c r="A5972" s="6">
        <v>2025</v>
      </c>
      <c r="B5972" s="6">
        <v>6</v>
      </c>
      <c r="C5972" s="6" t="s">
        <v>65</v>
      </c>
      <c r="D5972" s="6" t="s">
        <v>54</v>
      </c>
      <c r="E5972" s="6" t="s">
        <v>593</v>
      </c>
      <c r="F5972" s="6" t="str">
        <f>IF($M5972="PADD I","PADD 1",IF($M5972="PADD II","PADD 2",IF($M5972="PADD III","PADD 3",IF($M5972="PADD IV","PADD 4",IF($M5972="PADD V","PADD 5","")))))</f>
        <v>PADD 5</v>
      </c>
      <c r="G5972" s="6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6" t="s">
        <v>485</v>
      </c>
      <c r="I5972" s="6" t="s">
        <v>491</v>
      </c>
      <c r="J5972" s="6" t="s">
        <v>394</v>
      </c>
      <c r="K5972" s="10">
        <v>33</v>
      </c>
      <c r="L5972" s="10">
        <v>55</v>
      </c>
      <c r="M5972" s="6" t="s">
        <v>436</v>
      </c>
      <c r="N5972" s="6">
        <f>IF(OR($G5972="FCC",$G5972="Hydrocracker",$G5972="Reformer"),IF(COUNTIFS($D:$D,$D5972,$A:$A,$A5972,$B:$B,$B5972,$G:$G,"CDU",$J:$J,"PLANNED")&gt;0,"tied","standalone"),"")</f>
        <v/>
      </c>
    </row>
    <row r="5973" spans="1:14">
      <c r="A5973" s="6">
        <v>2025</v>
      </c>
      <c r="B5973" s="6">
        <v>6</v>
      </c>
      <c r="C5973" s="6" t="s">
        <v>65</v>
      </c>
      <c r="D5973" s="6" t="s">
        <v>437</v>
      </c>
      <c r="E5973" s="6" t="s">
        <v>438</v>
      </c>
      <c r="F5973" s="6" t="str">
        <f>IF($M5973="PADD I","PADD 1",IF($M5973="PADD II","PADD 2",IF($M5973="PADD III","PADD 3",IF($M5973="PADD IV","PADD 4",IF($M5973="PADD V","PADD 5","")))))</f>
        <v>PADD 3</v>
      </c>
      <c r="G5973" s="6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6" t="s">
        <v>494</v>
      </c>
      <c r="I5973" s="6" t="s">
        <v>526</v>
      </c>
      <c r="J5973" s="6" t="s">
        <v>394</v>
      </c>
      <c r="K5973" s="10">
        <v>32.9</v>
      </c>
      <c r="L5973" s="10">
        <v>70</v>
      </c>
      <c r="M5973" s="6" t="s">
        <v>421</v>
      </c>
      <c r="N5973" s="6" t="str">
        <f>IF(OR($G5973="FCC",$G5973="Hydrocracker",$G5973="Reformer"),IF(COUNTIFS($D:$D,$D5973,$A:$A,$A5973,$B:$B,$B5973,$G:$G,"CDU",$J:$J,"PLANNED")&gt;0,"tied","standalone"),"")</f>
        <v>standalone</v>
      </c>
    </row>
    <row r="5974" spans="1:14">
      <c r="A5974" s="6">
        <v>2025</v>
      </c>
      <c r="B5974" s="6">
        <v>6</v>
      </c>
      <c r="C5974" s="6" t="s">
        <v>65</v>
      </c>
      <c r="D5974" s="6" t="s">
        <v>820</v>
      </c>
      <c r="E5974" s="6" t="s">
        <v>710</v>
      </c>
      <c r="F5974" s="6" t="str">
        <f>IF($M5974="PADD I","PADD 1",IF($M5974="PADD II","PADD 2",IF($M5974="PADD III","PADD 3",IF($M5974="PADD IV","PADD 4",IF($M5974="PADD V","PADD 5","")))))</f>
        <v>PADD 3</v>
      </c>
      <c r="G5974" s="6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6" t="s">
        <v>485</v>
      </c>
      <c r="I5974" s="6" t="s">
        <v>491</v>
      </c>
      <c r="J5974" s="6" t="s">
        <v>398</v>
      </c>
      <c r="K5974" s="10">
        <v>32</v>
      </c>
      <c r="L5974" s="10">
        <v>32</v>
      </c>
      <c r="M5974" s="6" t="s">
        <v>421</v>
      </c>
      <c r="N5974" s="6">
        <f>IF(OR($G5974="FCC",$G5974="Hydrocracker",$G5974="Reformer"),IF(COUNTIFS($D:$D,$D5974,$A:$A,$A5974,$B:$B,$B5974,$G:$G,"CDU",$J:$J,"PLANNED")&gt;0,"tied","standalone"),"")</f>
        <v/>
      </c>
    </row>
    <row r="5975" spans="1:14">
      <c r="A5975" s="6">
        <v>2025</v>
      </c>
      <c r="B5975" s="6">
        <v>6</v>
      </c>
      <c r="C5975" s="6" t="s">
        <v>65</v>
      </c>
      <c r="D5975" s="6" t="s">
        <v>375</v>
      </c>
      <c r="E5975" s="6" t="s">
        <v>435</v>
      </c>
      <c r="F5975" s="6" t="str">
        <f>IF($M5975="PADD I","PADD 1",IF($M5975="PADD II","PADD 2",IF($M5975="PADD III","PADD 3",IF($M5975="PADD IV","PADD 4",IF($M5975="PADD V","PADD 5","")))))</f>
        <v>PADD 5</v>
      </c>
      <c r="G5975" s="6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6" t="s">
        <v>428</v>
      </c>
      <c r="I5975" s="6" t="s">
        <v>481</v>
      </c>
      <c r="J5975" s="6" t="s">
        <v>394</v>
      </c>
      <c r="K5975" s="10">
        <v>31.5</v>
      </c>
      <c r="L5975" s="10">
        <v>31.5</v>
      </c>
      <c r="M5975" s="6" t="s">
        <v>436</v>
      </c>
      <c r="N5975" s="6">
        <f>IF(OR($G5975="FCC",$G5975="Hydrocracker",$G5975="Reformer"),IF(COUNTIFS($D:$D,$D5975,$A:$A,$A5975,$B:$B,$B5975,$G:$G,"CDU",$J:$J,"PLANNED")&gt;0,"tied","standalone"),"")</f>
        <v/>
      </c>
    </row>
    <row r="5976" spans="1:14">
      <c r="A5976" s="6">
        <v>2025</v>
      </c>
      <c r="B5976" s="6">
        <v>6</v>
      </c>
      <c r="C5976" s="6" t="s">
        <v>65</v>
      </c>
      <c r="D5976" s="6" t="s">
        <v>1169</v>
      </c>
      <c r="E5976" s="6" t="s">
        <v>1170</v>
      </c>
      <c r="F5976" s="6" t="str">
        <f>IF($M5976="PADD I","PADD 1",IF($M5976="PADD II","PADD 2",IF($M5976="PADD III","PADD 3",IF($M5976="PADD IV","PADD 4",IF($M5976="PADD V","PADD 5","")))))</f>
        <v>PADD 3</v>
      </c>
      <c r="G5976" s="6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6" t="s">
        <v>39</v>
      </c>
      <c r="I5976" s="6" t="s">
        <v>1171</v>
      </c>
      <c r="J5976" s="6" t="s">
        <v>398</v>
      </c>
      <c r="K5976" s="10">
        <v>30</v>
      </c>
      <c r="L5976" s="10">
        <v>50</v>
      </c>
      <c r="M5976" s="6" t="s">
        <v>421</v>
      </c>
      <c r="N5976" s="6">
        <f>IF(OR($G5976="FCC",$G5976="Hydrocracker",$G5976="Reformer"),IF(COUNTIFS($D:$D,$D5976,$A:$A,$A5976,$B:$B,$B5976,$G:$G,"CDU",$J:$J,"PLANNED")&gt;0,"tied","standalone"),"")</f>
        <v/>
      </c>
    </row>
    <row r="5977" spans="1:14">
      <c r="A5977" s="6">
        <v>2025</v>
      </c>
      <c r="B5977" s="6">
        <v>6</v>
      </c>
      <c r="C5977" s="6" t="s">
        <v>65</v>
      </c>
      <c r="D5977" s="6" t="s">
        <v>726</v>
      </c>
      <c r="E5977" s="6" t="s">
        <v>727</v>
      </c>
      <c r="F5977" s="6" t="str">
        <f>IF($M5977="PADD I","PADD 1",IF($M5977="PADD II","PADD 2",IF($M5977="PADD III","PADD 3",IF($M5977="PADD IV","PADD 4",IF($M5977="PADD V","PADD 5","")))))</f>
        <v>PADD 1</v>
      </c>
      <c r="G5977" s="6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6" t="s">
        <v>39</v>
      </c>
      <c r="I5977" s="6" t="s">
        <v>728</v>
      </c>
      <c r="J5977" s="6" t="s">
        <v>394</v>
      </c>
      <c r="K5977" s="10">
        <v>29.7</v>
      </c>
      <c r="L5977" s="10">
        <v>110</v>
      </c>
      <c r="M5977" s="6" t="s">
        <v>463</v>
      </c>
      <c r="N5977" s="6">
        <f>IF(OR($G5977="FCC",$G5977="Hydrocracker",$G5977="Reformer"),IF(COUNTIFS($D:$D,$D5977,$A:$A,$A5977,$B:$B,$B5977,$G:$G,"CDU",$J:$J,"PLANNED")&gt;0,"tied","standalone"),"")</f>
        <v/>
      </c>
    </row>
    <row r="5978" spans="1:14">
      <c r="A5978" s="6">
        <v>2025</v>
      </c>
      <c r="B5978" s="6">
        <v>6</v>
      </c>
      <c r="C5978" s="6" t="s">
        <v>65</v>
      </c>
      <c r="D5978" s="6" t="s">
        <v>789</v>
      </c>
      <c r="E5978" s="6" t="s">
        <v>455</v>
      </c>
      <c r="F5978" s="6" t="str">
        <f>IF($M5978="PADD I","PADD 1",IF($M5978="PADD II","PADD 2",IF($M5978="PADD III","PADD 3",IF($M5978="PADD IV","PADD 4",IF($M5978="PADD V","PADD 5","")))))</f>
        <v>PADD 2</v>
      </c>
      <c r="G5978" s="6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6" t="s">
        <v>39</v>
      </c>
      <c r="I5978" s="6" t="s">
        <v>134</v>
      </c>
      <c r="J5978" s="6" t="s">
        <v>394</v>
      </c>
      <c r="K5978" s="10">
        <v>29.04</v>
      </c>
      <c r="L5978" s="10">
        <v>88</v>
      </c>
      <c r="M5978" s="6" t="s">
        <v>425</v>
      </c>
      <c r="N5978" s="6">
        <f>IF(OR($G5978="FCC",$G5978="Hydrocracker",$G5978="Reformer"),IF(COUNTIFS($D:$D,$D5978,$A:$A,$A5978,$B:$B,$B5978,$G:$G,"CDU",$J:$J,"PLANNED")&gt;0,"tied","standalone"),"")</f>
        <v/>
      </c>
    </row>
    <row r="5979" spans="1:14">
      <c r="A5979" s="6">
        <v>2025</v>
      </c>
      <c r="B5979" s="6">
        <v>6</v>
      </c>
      <c r="C5979" s="6" t="s">
        <v>65</v>
      </c>
      <c r="D5979" s="6" t="s">
        <v>437</v>
      </c>
      <c r="E5979" s="6" t="s">
        <v>438</v>
      </c>
      <c r="F5979" s="6" t="str">
        <f>IF($M5979="PADD I","PADD 1",IF($M5979="PADD II","PADD 2",IF($M5979="PADD III","PADD 3",IF($M5979="PADD IV","PADD 4",IF($M5979="PADD V","PADD 5","")))))</f>
        <v>PADD 3</v>
      </c>
      <c r="G5979" s="6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6" t="s">
        <v>426</v>
      </c>
      <c r="I5979" s="6" t="s">
        <v>522</v>
      </c>
      <c r="J5979" s="6" t="s">
        <v>394</v>
      </c>
      <c r="K5979" s="10">
        <v>29</v>
      </c>
      <c r="L5979" s="10">
        <v>145</v>
      </c>
      <c r="M5979" s="6" t="s">
        <v>421</v>
      </c>
      <c r="N5979" s="6" t="str">
        <f>IF(OR($G5979="FCC",$G5979="Hydrocracker",$G5979="Reformer"),IF(COUNTIFS($D:$D,$D5979,$A:$A,$A5979,$B:$B,$B5979,$G:$G,"CDU",$J:$J,"PLANNED")&gt;0,"tied","standalone"),"")</f>
        <v>standalone</v>
      </c>
    </row>
    <row r="5980" spans="1:14">
      <c r="A5980" s="6">
        <v>2025</v>
      </c>
      <c r="B5980" s="6">
        <v>6</v>
      </c>
      <c r="C5980" s="6" t="s">
        <v>65</v>
      </c>
      <c r="D5980" s="6" t="s">
        <v>518</v>
      </c>
      <c r="E5980" s="6" t="s">
        <v>419</v>
      </c>
      <c r="F5980" s="6" t="str">
        <f>IF($M5980="PADD I","PADD 1",IF($M5980="PADD II","PADD 2",IF($M5980="PADD III","PADD 3",IF($M5980="PADD IV","PADD 4",IF($M5980="PADD V","PADD 5","")))))</f>
        <v>PADD 3</v>
      </c>
      <c r="G5980" s="6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6" t="s">
        <v>44</v>
      </c>
      <c r="I5980" s="6" t="s">
        <v>1078</v>
      </c>
      <c r="J5980" s="6" t="s">
        <v>394</v>
      </c>
      <c r="K5980" s="10">
        <v>26.18</v>
      </c>
      <c r="L5980" s="10">
        <v>34</v>
      </c>
      <c r="M5980" s="6" t="s">
        <v>421</v>
      </c>
      <c r="N5980" s="6">
        <f>IF(OR($G5980="FCC",$G5980="Hydrocracker",$G5980="Reformer"),IF(COUNTIFS($D:$D,$D5980,$A:$A,$A5980,$B:$B,$B5980,$G:$G,"CDU",$J:$J,"PLANNED")&gt;0,"tied","standalone"),"")</f>
        <v/>
      </c>
    </row>
    <row r="5981" spans="1:14">
      <c r="A5981" s="6">
        <v>2025</v>
      </c>
      <c r="B5981" s="6">
        <v>6</v>
      </c>
      <c r="C5981" s="6" t="s">
        <v>65</v>
      </c>
      <c r="D5981" s="6" t="s">
        <v>824</v>
      </c>
      <c r="E5981" s="6" t="s">
        <v>825</v>
      </c>
      <c r="F5981" s="6" t="str">
        <f>IF($M5981="PADD I","PADD 1",IF($M5981="PADD II","PADD 2",IF($M5981="PADD III","PADD 3",IF($M5981="PADD IV","PADD 4",IF($M5981="PADD V","PADD 5","")))))</f>
        <v>PADD 1</v>
      </c>
      <c r="G5981" s="6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6" t="s">
        <v>485</v>
      </c>
      <c r="I5981" s="6" t="s">
        <v>826</v>
      </c>
      <c r="J5981" s="6" t="s">
        <v>394</v>
      </c>
      <c r="K5981" s="10">
        <v>25</v>
      </c>
      <c r="L5981" s="10">
        <v>50</v>
      </c>
      <c r="M5981" s="6" t="s">
        <v>463</v>
      </c>
      <c r="N5981" s="6">
        <f>IF(OR($G5981="FCC",$G5981="Hydrocracker",$G5981="Reformer"),IF(COUNTIFS($D:$D,$D5981,$A:$A,$A5981,$B:$B,$B5981,$G:$G,"CDU",$J:$J,"PLANNED")&gt;0,"tied","standalone"),"")</f>
        <v/>
      </c>
    </row>
    <row r="5982" spans="1:14">
      <c r="A5982" s="6">
        <v>2025</v>
      </c>
      <c r="B5982" s="6">
        <v>6</v>
      </c>
      <c r="C5982" s="6" t="s">
        <v>65</v>
      </c>
      <c r="D5982" s="6" t="s">
        <v>789</v>
      </c>
      <c r="E5982" s="6" t="s">
        <v>455</v>
      </c>
      <c r="F5982" s="6" t="str">
        <f>IF($M5982="PADD I","PADD 1",IF($M5982="PADD II","PADD 2",IF($M5982="PADD III","PADD 3",IF($M5982="PADD IV","PADD 4",IF($M5982="PADD V","PADD 5","")))))</f>
        <v>PADD 2</v>
      </c>
      <c r="G5982" s="6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6" t="s">
        <v>44</v>
      </c>
      <c r="I5982" s="6" t="s">
        <v>790</v>
      </c>
      <c r="J5982" s="6" t="s">
        <v>394</v>
      </c>
      <c r="K5982" s="10">
        <v>23.36</v>
      </c>
      <c r="L5982" s="10">
        <v>32</v>
      </c>
      <c r="M5982" s="6" t="s">
        <v>425</v>
      </c>
      <c r="N5982" s="6">
        <f>IF(OR($G5982="FCC",$G5982="Hydrocracker",$G5982="Reformer"),IF(COUNTIFS($D:$D,$D5982,$A:$A,$A5982,$B:$B,$B5982,$G:$G,"CDU",$J:$J,"PLANNED")&gt;0,"tied","standalone"),"")</f>
        <v/>
      </c>
    </row>
    <row r="5983" spans="1:14">
      <c r="A5983" s="6">
        <v>2025</v>
      </c>
      <c r="B5983" s="6">
        <v>6</v>
      </c>
      <c r="C5983" s="6" t="s">
        <v>65</v>
      </c>
      <c r="D5983" s="6" t="s">
        <v>789</v>
      </c>
      <c r="E5983" s="6" t="s">
        <v>455</v>
      </c>
      <c r="F5983" s="6" t="str">
        <f>IF($M5983="PADD I","PADD 1",IF($M5983="PADD II","PADD 2",IF($M5983="PADD III","PADD 3",IF($M5983="PADD IV","PADD 4",IF($M5983="PADD V","PADD 5","")))))</f>
        <v>PADD 2</v>
      </c>
      <c r="G5983" s="6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6" t="s">
        <v>44</v>
      </c>
      <c r="I5983" s="6" t="s">
        <v>739</v>
      </c>
      <c r="J5983" s="6" t="s">
        <v>398</v>
      </c>
      <c r="K5983" s="10">
        <v>20.16</v>
      </c>
      <c r="L5983" s="10">
        <v>32</v>
      </c>
      <c r="M5983" s="6" t="s">
        <v>425</v>
      </c>
      <c r="N5983" s="6">
        <f>IF(OR($G5983="FCC",$G5983="Hydrocracker",$G5983="Reformer"),IF(COUNTIFS($D:$D,$D5983,$A:$A,$A5983,$B:$B,$B5983,$G:$G,"CDU",$J:$J,"PLANNED")&gt;0,"tied","standalone"),"")</f>
        <v/>
      </c>
    </row>
    <row r="5984" spans="1:14">
      <c r="A5984" s="6">
        <v>2025</v>
      </c>
      <c r="B5984" s="6">
        <v>6</v>
      </c>
      <c r="C5984" s="6" t="s">
        <v>65</v>
      </c>
      <c r="D5984" s="6" t="s">
        <v>789</v>
      </c>
      <c r="E5984" s="6" t="s">
        <v>455</v>
      </c>
      <c r="F5984" s="6" t="str">
        <f>IF($M5984="PADD I","PADD 1",IF($M5984="PADD II","PADD 2",IF($M5984="PADD III","PADD 3",IF($M5984="PADD IV","PADD 4",IF($M5984="PADD V","PADD 5","")))))</f>
        <v>PADD 2</v>
      </c>
      <c r="G5984" s="6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6" t="s">
        <v>428</v>
      </c>
      <c r="I5984" s="6" t="s">
        <v>481</v>
      </c>
      <c r="J5984" s="6" t="s">
        <v>398</v>
      </c>
      <c r="K5984" s="10">
        <v>20.16</v>
      </c>
      <c r="L5984" s="10">
        <v>32</v>
      </c>
      <c r="M5984" s="6" t="s">
        <v>425</v>
      </c>
      <c r="N5984" s="6">
        <f>IF(OR($G5984="FCC",$G5984="Hydrocracker",$G5984="Reformer"),IF(COUNTIFS($D:$D,$D5984,$A:$A,$A5984,$B:$B,$B5984,$G:$G,"CDU",$J:$J,"PLANNED")&gt;0,"tied","standalone"),"")</f>
        <v/>
      </c>
    </row>
    <row r="5985" spans="1:14">
      <c r="A5985" s="6">
        <v>2025</v>
      </c>
      <c r="B5985" s="6">
        <v>6</v>
      </c>
      <c r="C5985" s="6" t="s">
        <v>65</v>
      </c>
      <c r="D5985" s="6" t="s">
        <v>422</v>
      </c>
      <c r="E5985" s="6" t="s">
        <v>423</v>
      </c>
      <c r="F5985" s="6" t="str">
        <f>IF($M5985="PADD I","PADD 1",IF($M5985="PADD II","PADD 2",IF($M5985="PADD III","PADD 3",IF($M5985="PADD IV","PADD 4",IF($M5985="PADD V","PADD 5","")))))</f>
        <v>PADD 2</v>
      </c>
      <c r="G5985" s="6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6" t="s">
        <v>471</v>
      </c>
      <c r="I5985" s="6" t="s">
        <v>473</v>
      </c>
      <c r="J5985" s="6" t="s">
        <v>398</v>
      </c>
      <c r="K5985" s="10">
        <v>20</v>
      </c>
      <c r="L5985" s="10">
        <v>40</v>
      </c>
      <c r="M5985" s="6" t="s">
        <v>425</v>
      </c>
      <c r="N5985" s="6" t="str">
        <f>IF(OR($G5985="FCC",$G5985="Hydrocracker",$G5985="Reformer"),IF(COUNTIFS($D:$D,$D5985,$A:$A,$A5985,$B:$B,$B5985,$G:$G,"CDU",$J:$J,"PLANNED")&gt;0,"tied","standalone"),"")</f>
        <v>standalone</v>
      </c>
    </row>
    <row r="5986" spans="1:14">
      <c r="A5986" s="6">
        <v>2025</v>
      </c>
      <c r="B5986" s="6">
        <v>6</v>
      </c>
      <c r="C5986" s="6" t="s">
        <v>65</v>
      </c>
      <c r="D5986" s="6" t="s">
        <v>789</v>
      </c>
      <c r="E5986" s="6" t="s">
        <v>455</v>
      </c>
      <c r="F5986" s="6" t="str">
        <f>IF($M5986="PADD I","PADD 1",IF($M5986="PADD II","PADD 2",IF($M5986="PADD III","PADD 3",IF($M5986="PADD IV","PADD 4",IF($M5986="PADD V","PADD 5","")))))</f>
        <v>PADD 2</v>
      </c>
      <c r="G5986" s="6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6" t="s">
        <v>471</v>
      </c>
      <c r="I5986" s="6" t="s">
        <v>832</v>
      </c>
      <c r="J5986" s="6" t="s">
        <v>398</v>
      </c>
      <c r="K5986" s="10">
        <v>18.9</v>
      </c>
      <c r="L5986" s="10">
        <v>30</v>
      </c>
      <c r="M5986" s="6" t="s">
        <v>425</v>
      </c>
      <c r="N5986" s="6" t="str">
        <f>IF(OR($G5986="FCC",$G5986="Hydrocracker",$G5986="Reformer"),IF(COUNTIFS($D:$D,$D5986,$A:$A,$A5986,$B:$B,$B5986,$G:$G,"CDU",$J:$J,"PLANNED")&gt;0,"tied","standalone"),"")</f>
        <v>standalone</v>
      </c>
    </row>
    <row r="5987" spans="1:14">
      <c r="A5987" s="6">
        <v>2025</v>
      </c>
      <c r="B5987" s="6">
        <v>6</v>
      </c>
      <c r="C5987" s="6" t="s">
        <v>65</v>
      </c>
      <c r="D5987" s="6" t="s">
        <v>789</v>
      </c>
      <c r="E5987" s="6" t="s">
        <v>455</v>
      </c>
      <c r="F5987" s="6" t="str">
        <f>IF($M5987="PADD I","PADD 1",IF($M5987="PADD II","PADD 2",IF($M5987="PADD III","PADD 3",IF($M5987="PADD IV","PADD 4",IF($M5987="PADD V","PADD 5","")))))</f>
        <v>PADD 2</v>
      </c>
      <c r="G5987" s="6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6" t="s">
        <v>426</v>
      </c>
      <c r="I5987" s="6" t="s">
        <v>106</v>
      </c>
      <c r="J5987" s="6" t="s">
        <v>398</v>
      </c>
      <c r="K5987" s="10">
        <v>18.9</v>
      </c>
      <c r="L5987" s="10">
        <v>30</v>
      </c>
      <c r="M5987" s="6" t="s">
        <v>425</v>
      </c>
      <c r="N5987" s="6" t="str">
        <f>IF(OR($G5987="FCC",$G5987="Hydrocracker",$G5987="Reformer"),IF(COUNTIFS($D:$D,$D5987,$A:$A,$A5987,$B:$B,$B5987,$G:$G,"CDU",$J:$J,"PLANNED")&gt;0,"tied","standalone"),"")</f>
        <v>standalone</v>
      </c>
    </row>
    <row r="5988" spans="1:14">
      <c r="A5988" s="6">
        <v>2025</v>
      </c>
      <c r="B5988" s="6">
        <v>6</v>
      </c>
      <c r="C5988" s="6" t="s">
        <v>65</v>
      </c>
      <c r="D5988" s="6" t="s">
        <v>777</v>
      </c>
      <c r="E5988" s="6" t="s">
        <v>778</v>
      </c>
      <c r="F5988" s="6" t="str">
        <f>IF($M5988="PADD I","PADD 1",IF($M5988="PADD II","PADD 2",IF($M5988="PADD III","PADD 3",IF($M5988="PADD IV","PADD 4",IF($M5988="PADD V","PADD 5","")))))</f>
        <v>PADD 1</v>
      </c>
      <c r="G5988" s="6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6" t="s">
        <v>39</v>
      </c>
      <c r="I5988" s="6" t="s">
        <v>82</v>
      </c>
      <c r="J5988" s="6" t="s">
        <v>398</v>
      </c>
      <c r="K5988" s="10">
        <v>17.71</v>
      </c>
      <c r="L5988" s="10">
        <v>23</v>
      </c>
      <c r="M5988" s="6" t="s">
        <v>463</v>
      </c>
      <c r="N5988" s="6">
        <f>IF(OR($G5988="FCC",$G5988="Hydrocracker",$G5988="Reformer"),IF(COUNTIFS($D:$D,$D5988,$A:$A,$A5988,$B:$B,$B5988,$G:$G,"CDU",$J:$J,"PLANNED")&gt;0,"tied","standalone"),"")</f>
        <v/>
      </c>
    </row>
    <row r="5989" spans="1:14">
      <c r="A5989" s="6">
        <v>2025</v>
      </c>
      <c r="B5989" s="6">
        <v>6</v>
      </c>
      <c r="C5989" s="6" t="s">
        <v>65</v>
      </c>
      <c r="D5989" s="6" t="s">
        <v>375</v>
      </c>
      <c r="E5989" s="6" t="s">
        <v>435</v>
      </c>
      <c r="F5989" s="6" t="str">
        <f>IF($M5989="PADD I","PADD 1",IF($M5989="PADD II","PADD 2",IF($M5989="PADD III","PADD 3",IF($M5989="PADD IV","PADD 4",IF($M5989="PADD V","PADD 5","")))))</f>
        <v>PADD 5</v>
      </c>
      <c r="G5989" s="6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6" t="s">
        <v>44</v>
      </c>
      <c r="I5989" s="6" t="s">
        <v>1224</v>
      </c>
      <c r="J5989" s="6" t="s">
        <v>394</v>
      </c>
      <c r="K5989" s="10">
        <v>17.57</v>
      </c>
      <c r="L5989" s="10">
        <v>17.57</v>
      </c>
      <c r="M5989" s="6" t="s">
        <v>436</v>
      </c>
      <c r="N5989" s="6">
        <f>IF(OR($G5989="FCC",$G5989="Hydrocracker",$G5989="Reformer"),IF(COUNTIFS($D:$D,$D5989,$A:$A,$A5989,$B:$B,$B5989,$G:$G,"CDU",$J:$J,"PLANNED")&gt;0,"tied","standalone"),"")</f>
        <v/>
      </c>
    </row>
    <row r="5990" spans="1:14">
      <c r="A5990" s="6">
        <v>2025</v>
      </c>
      <c r="B5990" s="6">
        <v>6</v>
      </c>
      <c r="C5990" s="6" t="s">
        <v>65</v>
      </c>
      <c r="D5990" s="6" t="s">
        <v>422</v>
      </c>
      <c r="E5990" s="6" t="s">
        <v>423</v>
      </c>
      <c r="F5990" s="6" t="str">
        <f>IF($M5990="PADD I","PADD 1",IF($M5990="PADD II","PADD 2",IF($M5990="PADD III","PADD 3",IF($M5990="PADD IV","PADD 4",IF($M5990="PADD V","PADD 5","")))))</f>
        <v>PADD 2</v>
      </c>
      <c r="G5990" s="6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6" t="s">
        <v>494</v>
      </c>
      <c r="I5990" s="6" t="s">
        <v>495</v>
      </c>
      <c r="J5990" s="6" t="s">
        <v>398</v>
      </c>
      <c r="K5990" s="10">
        <v>17.5</v>
      </c>
      <c r="L5990" s="10">
        <v>35</v>
      </c>
      <c r="M5990" s="6" t="s">
        <v>425</v>
      </c>
      <c r="N5990" s="6" t="str">
        <f>IF(OR($G5990="FCC",$G5990="Hydrocracker",$G5990="Reformer"),IF(COUNTIFS($D:$D,$D5990,$A:$A,$A5990,$B:$B,$B5990,$G:$G,"CDU",$J:$J,"PLANNED")&gt;0,"tied","standalone"),"")</f>
        <v>standalone</v>
      </c>
    </row>
    <row r="5991" spans="1:14">
      <c r="A5991" s="6">
        <v>2025</v>
      </c>
      <c r="B5991" s="6">
        <v>6</v>
      </c>
      <c r="C5991" s="6" t="s">
        <v>65</v>
      </c>
      <c r="D5991" s="6" t="s">
        <v>484</v>
      </c>
      <c r="E5991" s="6" t="s">
        <v>438</v>
      </c>
      <c r="F5991" s="6" t="str">
        <f>IF($M5991="PADD I","PADD 1",IF($M5991="PADD II","PADD 2",IF($M5991="PADD III","PADD 3",IF($M5991="PADD IV","PADD 4",IF($M5991="PADD V","PADD 5","")))))</f>
        <v>PADD 5</v>
      </c>
      <c r="G5991" s="6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6" t="s">
        <v>485</v>
      </c>
      <c r="I5991" s="6" t="s">
        <v>486</v>
      </c>
      <c r="J5991" s="6" t="s">
        <v>394</v>
      </c>
      <c r="K5991" s="10">
        <v>16.8</v>
      </c>
      <c r="L5991" s="10">
        <v>42</v>
      </c>
      <c r="M5991" s="6" t="s">
        <v>436</v>
      </c>
      <c r="N5991" s="6">
        <f>IF(OR($G5991="FCC",$G5991="Hydrocracker",$G5991="Reformer"),IF(COUNTIFS($D:$D,$D5991,$A:$A,$A5991,$B:$B,$B5991,$G:$G,"CDU",$J:$J,"PLANNED")&gt;0,"tied","standalone"),"")</f>
        <v/>
      </c>
    </row>
    <row r="5992" spans="1:14">
      <c r="A5992" s="6">
        <v>2025</v>
      </c>
      <c r="B5992" s="6">
        <v>6</v>
      </c>
      <c r="C5992" s="6" t="s">
        <v>65</v>
      </c>
      <c r="D5992" s="6" t="s">
        <v>789</v>
      </c>
      <c r="E5992" s="6" t="s">
        <v>455</v>
      </c>
      <c r="F5992" s="6" t="str">
        <f>IF($M5992="PADD I","PADD 1",IF($M5992="PADD II","PADD 2",IF($M5992="PADD III","PADD 3",IF($M5992="PADD IV","PADD 4",IF($M5992="PADD V","PADD 5","")))))</f>
        <v>PADD 2</v>
      </c>
      <c r="G5992" s="6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6" t="s">
        <v>44</v>
      </c>
      <c r="I5992" s="6" t="s">
        <v>543</v>
      </c>
      <c r="J5992" s="6" t="s">
        <v>398</v>
      </c>
      <c r="K5992" s="10">
        <v>16.695</v>
      </c>
      <c r="L5992" s="10">
        <v>26.5</v>
      </c>
      <c r="M5992" s="6" t="s">
        <v>425</v>
      </c>
      <c r="N5992" s="6">
        <f>IF(OR($G5992="FCC",$G5992="Hydrocracker",$G5992="Reformer"),IF(COUNTIFS($D:$D,$D5992,$A:$A,$A5992,$B:$B,$B5992,$G:$G,"CDU",$J:$J,"PLANNED")&gt;0,"tied","standalone"),"")</f>
        <v/>
      </c>
    </row>
    <row r="5993" spans="1:14">
      <c r="A5993" s="6">
        <v>2025</v>
      </c>
      <c r="B5993" s="6">
        <v>6</v>
      </c>
      <c r="C5993" s="6" t="s">
        <v>65</v>
      </c>
      <c r="D5993" s="6" t="s">
        <v>490</v>
      </c>
      <c r="E5993" s="6" t="s">
        <v>419</v>
      </c>
      <c r="F5993" s="6" t="str">
        <f>IF($M5993="PADD I","PADD 1",IF($M5993="PADD II","PADD 2",IF($M5993="PADD III","PADD 3",IF($M5993="PADD IV","PADD 4",IF($M5993="PADD V","PADD 5","")))))</f>
        <v>PADD 5</v>
      </c>
      <c r="G5993" s="6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6" t="s">
        <v>485</v>
      </c>
      <c r="I5993" s="6" t="s">
        <v>491</v>
      </c>
      <c r="J5993" s="6" t="s">
        <v>394</v>
      </c>
      <c r="K5993" s="10">
        <v>15.9</v>
      </c>
      <c r="L5993" s="10">
        <v>53</v>
      </c>
      <c r="M5993" s="6" t="s">
        <v>436</v>
      </c>
      <c r="N5993" s="6">
        <f>IF(OR($G5993="FCC",$G5993="Hydrocracker",$G5993="Reformer"),IF(COUNTIFS($D:$D,$D5993,$A:$A,$A5993,$B:$B,$B5993,$G:$G,"CDU",$J:$J,"PLANNED")&gt;0,"tied","standalone"),"")</f>
        <v/>
      </c>
    </row>
    <row r="5994" spans="1:14">
      <c r="A5994" s="6">
        <v>2025</v>
      </c>
      <c r="B5994" s="6">
        <v>6</v>
      </c>
      <c r="C5994" s="6" t="s">
        <v>65</v>
      </c>
      <c r="D5994" s="6" t="s">
        <v>518</v>
      </c>
      <c r="E5994" s="6" t="s">
        <v>419</v>
      </c>
      <c r="F5994" s="6" t="str">
        <f>IF($M5994="PADD I","PADD 1",IF($M5994="PADD II","PADD 2",IF($M5994="PADD III","PADD 3",IF($M5994="PADD IV","PADD 4",IF($M5994="PADD V","PADD 5","")))))</f>
        <v>PADD 3</v>
      </c>
      <c r="G5994" s="6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6" t="s">
        <v>44</v>
      </c>
      <c r="I5994" s="6" t="s">
        <v>1080</v>
      </c>
      <c r="J5994" s="6" t="s">
        <v>394</v>
      </c>
      <c r="K5994" s="10">
        <v>15.4</v>
      </c>
      <c r="L5994" s="10">
        <v>20</v>
      </c>
      <c r="M5994" s="6" t="s">
        <v>421</v>
      </c>
      <c r="N5994" s="6">
        <f>IF(OR($G5994="FCC",$G5994="Hydrocracker",$G5994="Reformer"),IF(COUNTIFS($D:$D,$D5994,$A:$A,$A5994,$B:$B,$B5994,$G:$G,"CDU",$J:$J,"PLANNED")&gt;0,"tied","standalone"),"")</f>
        <v/>
      </c>
    </row>
    <row r="5995" spans="1:14">
      <c r="A5995" s="6">
        <v>2025</v>
      </c>
      <c r="B5995" s="6">
        <v>6</v>
      </c>
      <c r="C5995" s="6" t="s">
        <v>65</v>
      </c>
      <c r="D5995" s="6" t="s">
        <v>518</v>
      </c>
      <c r="E5995" s="6" t="s">
        <v>419</v>
      </c>
      <c r="F5995" s="6" t="str">
        <f>IF($M5995="PADD I","PADD 1",IF($M5995="PADD II","PADD 2",IF($M5995="PADD III","PADD 3",IF($M5995="PADD IV","PADD 4",IF($M5995="PADD V","PADD 5","")))))</f>
        <v>PADD 3</v>
      </c>
      <c r="G5995" s="6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6" t="s">
        <v>471</v>
      </c>
      <c r="I5995" s="6" t="s">
        <v>908</v>
      </c>
      <c r="J5995" s="6" t="s">
        <v>394</v>
      </c>
      <c r="K5995" s="10">
        <v>15.4</v>
      </c>
      <c r="L5995" s="10">
        <v>20</v>
      </c>
      <c r="M5995" s="6" t="s">
        <v>421</v>
      </c>
      <c r="N5995" s="6" t="str">
        <f>IF(OR($G5995="FCC",$G5995="Hydrocracker",$G5995="Reformer"),IF(COUNTIFS($D:$D,$D5995,$A:$A,$A5995,$B:$B,$B5995,$G:$G,"CDU",$J:$J,"PLANNED")&gt;0,"tied","standalone"),"")</f>
        <v>standalone</v>
      </c>
    </row>
    <row r="5996" spans="1:14">
      <c r="A5996" s="6">
        <v>2025</v>
      </c>
      <c r="B5996" s="6">
        <v>6</v>
      </c>
      <c r="C5996" s="6" t="s">
        <v>65</v>
      </c>
      <c r="D5996" s="6" t="s">
        <v>43</v>
      </c>
      <c r="E5996" s="6" t="s">
        <v>455</v>
      </c>
      <c r="F5996" s="6" t="str">
        <f>IF($M5996="PADD I","PADD 1",IF($M5996="PADD II","PADD 2",IF($M5996="PADD III","PADD 3",IF($M5996="PADD IV","PADD 4",IF($M5996="PADD V","PADD 5","")))))</f>
        <v>PADD 3</v>
      </c>
      <c r="G5996" s="6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6" t="s">
        <v>426</v>
      </c>
      <c r="I5996" s="6" t="s">
        <v>106</v>
      </c>
      <c r="J5996" s="6" t="s">
        <v>394</v>
      </c>
      <c r="K5996" s="10">
        <v>14.96</v>
      </c>
      <c r="L5996" s="10">
        <v>88</v>
      </c>
      <c r="M5996" s="6" t="s">
        <v>421</v>
      </c>
      <c r="N5996" s="6" t="str">
        <f>IF(OR($G5996="FCC",$G5996="Hydrocracker",$G5996="Reformer"),IF(COUNTIFS($D:$D,$D5996,$A:$A,$A5996,$B:$B,$B5996,$G:$G,"CDU",$J:$J,"PLANNED")&gt;0,"tied","standalone"),"")</f>
        <v>standalone</v>
      </c>
    </row>
    <row r="5997" spans="1:14">
      <c r="A5997" s="6">
        <v>2025</v>
      </c>
      <c r="B5997" s="6">
        <v>6</v>
      </c>
      <c r="C5997" s="6" t="s">
        <v>65</v>
      </c>
      <c r="D5997" s="6" t="s">
        <v>371</v>
      </c>
      <c r="E5997" s="6" t="s">
        <v>419</v>
      </c>
      <c r="F5997" s="6" t="str">
        <f>IF($M5997="PADD I","PADD 1",IF($M5997="PADD II","PADD 2",IF($M5997="PADD III","PADD 3",IF($M5997="PADD IV","PADD 4",IF($M5997="PADD V","PADD 5","")))))</f>
        <v>PADD 2</v>
      </c>
      <c r="G5997" s="6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6" t="s">
        <v>39</v>
      </c>
      <c r="I5997" s="6" t="s">
        <v>571</v>
      </c>
      <c r="J5997" s="6" t="s">
        <v>398</v>
      </c>
      <c r="K5997" s="10">
        <v>14.3</v>
      </c>
      <c r="L5997" s="10">
        <v>110</v>
      </c>
      <c r="M5997" s="6" t="s">
        <v>425</v>
      </c>
      <c r="N5997" s="6">
        <f>IF(OR($G5997="FCC",$G5997="Hydrocracker",$G5997="Reformer"),IF(COUNTIFS($D:$D,$D5997,$A:$A,$A5997,$B:$B,$B5997,$G:$G,"CDU",$J:$J,"PLANNED")&gt;0,"tied","standalone"),"")</f>
        <v/>
      </c>
    </row>
    <row r="5998" spans="1:14">
      <c r="A5998" s="6">
        <v>2025</v>
      </c>
      <c r="B5998" s="6">
        <v>6</v>
      </c>
      <c r="C5998" s="6" t="s">
        <v>65</v>
      </c>
      <c r="D5998" s="6" t="s">
        <v>371</v>
      </c>
      <c r="E5998" s="6" t="s">
        <v>419</v>
      </c>
      <c r="F5998" s="6" t="str">
        <f>IF($M5998="PADD I","PADD 1",IF($M5998="PADD II","PADD 2",IF($M5998="PADD III","PADD 3",IF($M5998="PADD IV","PADD 4",IF($M5998="PADD V","PADD 5","")))))</f>
        <v>PADD 2</v>
      </c>
      <c r="G5998" s="6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6" t="s">
        <v>428</v>
      </c>
      <c r="I5998" s="6" t="s">
        <v>469</v>
      </c>
      <c r="J5998" s="6" t="s">
        <v>398</v>
      </c>
      <c r="K5998" s="10">
        <v>13.65</v>
      </c>
      <c r="L5998" s="10">
        <v>105</v>
      </c>
      <c r="M5998" s="6" t="s">
        <v>425</v>
      </c>
      <c r="N5998" s="6">
        <f>IF(OR($G5998="FCC",$G5998="Hydrocracker",$G5998="Reformer"),IF(COUNTIFS($D:$D,$D5998,$A:$A,$A5998,$B:$B,$B5998,$G:$G,"CDU",$J:$J,"PLANNED")&gt;0,"tied","standalone"),"")</f>
        <v/>
      </c>
    </row>
    <row r="5999" spans="1:14">
      <c r="A5999" s="6">
        <v>2025</v>
      </c>
      <c r="B5999" s="6">
        <v>6</v>
      </c>
      <c r="C5999" s="6" t="s">
        <v>65</v>
      </c>
      <c r="D5999" s="6" t="s">
        <v>458</v>
      </c>
      <c r="E5999" s="6" t="s">
        <v>459</v>
      </c>
      <c r="F5999" s="6" t="str">
        <f>IF($M5999="PADD I","PADD 1",IF($M5999="PADD II","PADD 2",IF($M5999="PADD III","PADD 3",IF($M5999="PADD IV","PADD 4",IF($M5999="PADD V","PADD 5","")))))</f>
        <v>PADD 3</v>
      </c>
      <c r="G5999" s="6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6" t="s">
        <v>39</v>
      </c>
      <c r="I5999" s="6" t="s">
        <v>460</v>
      </c>
      <c r="J5999" s="6" t="s">
        <v>394</v>
      </c>
      <c r="K5999" s="10">
        <v>13.6</v>
      </c>
      <c r="L5999" s="10">
        <v>80</v>
      </c>
      <c r="M5999" s="6" t="s">
        <v>421</v>
      </c>
      <c r="N5999" s="6">
        <f>IF(OR($G5999="FCC",$G5999="Hydrocracker",$G5999="Reformer"),IF(COUNTIFS($D:$D,$D5999,$A:$A,$A5999,$B:$B,$B5999,$G:$G,"CDU",$J:$J,"PLANNED")&gt;0,"tied","standalone"),"")</f>
        <v/>
      </c>
    </row>
    <row r="6000" spans="1:14">
      <c r="A6000" s="6">
        <v>2025</v>
      </c>
      <c r="B6000" s="6">
        <v>6</v>
      </c>
      <c r="C6000" s="6" t="s">
        <v>65</v>
      </c>
      <c r="D6000" s="6" t="s">
        <v>678</v>
      </c>
      <c r="E6000" s="6" t="s">
        <v>438</v>
      </c>
      <c r="F6000" s="6" t="str">
        <f>IF($M6000="PADD I","PADD 1",IF($M6000="PADD II","PADD 2",IF($M6000="PADD III","PADD 3",IF($M6000="PADD IV","PADD 4",IF($M6000="PADD V","PADD 5","")))))</f>
        <v>PADD 3</v>
      </c>
      <c r="G6000" s="6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6" t="s">
        <v>39</v>
      </c>
      <c r="I6000" s="6" t="s">
        <v>1098</v>
      </c>
      <c r="J6000" s="6" t="s">
        <v>394</v>
      </c>
      <c r="K6000" s="10">
        <v>13.4</v>
      </c>
      <c r="L6000" s="10">
        <v>67</v>
      </c>
      <c r="M6000" s="6" t="s">
        <v>421</v>
      </c>
      <c r="N6000" s="6">
        <f>IF(OR($G6000="FCC",$G6000="Hydrocracker",$G6000="Reformer"),IF(COUNTIFS($D:$D,$D6000,$A:$A,$A6000,$B:$B,$B6000,$G:$G,"CDU",$J:$J,"PLANNED")&gt;0,"tied","standalone"),"")</f>
        <v/>
      </c>
    </row>
    <row r="6001" spans="1:14">
      <c r="A6001" s="6">
        <v>2025</v>
      </c>
      <c r="B6001" s="6">
        <v>6</v>
      </c>
      <c r="C6001" s="6" t="s">
        <v>65</v>
      </c>
      <c r="D6001" s="6" t="s">
        <v>789</v>
      </c>
      <c r="E6001" s="6" t="s">
        <v>455</v>
      </c>
      <c r="F6001" s="6" t="str">
        <f>IF($M6001="PADD I","PADD 1",IF($M6001="PADD II","PADD 2",IF($M6001="PADD III","PADD 3",IF($M6001="PADD IV","PADD 4",IF($M6001="PADD V","PADD 5","")))))</f>
        <v>PADD 2</v>
      </c>
      <c r="G6001" s="6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6" t="s">
        <v>44</v>
      </c>
      <c r="I6001" s="6" t="s">
        <v>1246</v>
      </c>
      <c r="J6001" s="6" t="s">
        <v>398</v>
      </c>
      <c r="K6001" s="10">
        <v>12.6</v>
      </c>
      <c r="L6001" s="10">
        <v>20</v>
      </c>
      <c r="M6001" s="6" t="s">
        <v>425</v>
      </c>
      <c r="N6001" s="6">
        <f>IF(OR($G6001="FCC",$G6001="Hydrocracker",$G6001="Reformer"),IF(COUNTIFS($D:$D,$D6001,$A:$A,$A6001,$B:$B,$B6001,$G:$G,"CDU",$J:$J,"PLANNED")&gt;0,"tied","standalone"),"")</f>
        <v/>
      </c>
    </row>
    <row r="6002" spans="1:14">
      <c r="A6002" s="6">
        <v>2025</v>
      </c>
      <c r="B6002" s="6">
        <v>6</v>
      </c>
      <c r="C6002" s="6" t="s">
        <v>65</v>
      </c>
      <c r="D6002" s="6" t="s">
        <v>1365</v>
      </c>
      <c r="E6002" s="6" t="s">
        <v>1366</v>
      </c>
      <c r="F6002" s="6" t="str">
        <f>IF($M6002="PADD I","PADD 1",IF($M6002="PADD II","PADD 2",IF($M6002="PADD III","PADD 3",IF($M6002="PADD IV","PADD 4",IF($M6002="PADD V","PADD 5","")))))</f>
        <v>PADD 1</v>
      </c>
      <c r="G6002" s="6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6" t="s">
        <v>39</v>
      </c>
      <c r="I6002" s="6" t="s">
        <v>82</v>
      </c>
      <c r="J6002" s="6" t="s">
        <v>398</v>
      </c>
      <c r="K6002" s="10">
        <v>11.64</v>
      </c>
      <c r="L6002" s="10">
        <v>12</v>
      </c>
      <c r="M6002" s="6" t="s">
        <v>463</v>
      </c>
      <c r="N6002" s="6">
        <f>IF(OR($G6002="FCC",$G6002="Hydrocracker",$G6002="Reformer"),IF(COUNTIFS($D:$D,$D6002,$A:$A,$A6002,$B:$B,$B6002,$G:$G,"CDU",$J:$J,"PLANNED")&gt;0,"tied","standalone"),"")</f>
        <v/>
      </c>
    </row>
    <row r="6003" spans="1:14">
      <c r="A6003" s="6">
        <v>2025</v>
      </c>
      <c r="B6003" s="6">
        <v>6</v>
      </c>
      <c r="C6003" s="6" t="s">
        <v>65</v>
      </c>
      <c r="D6003" s="6" t="s">
        <v>437</v>
      </c>
      <c r="E6003" s="6" t="s">
        <v>438</v>
      </c>
      <c r="F6003" s="6" t="str">
        <f>IF($M6003="PADD I","PADD 1",IF($M6003="PADD II","PADD 2",IF($M6003="PADD III","PADD 3",IF($M6003="PADD IV","PADD 4",IF($M6003="PADD V","PADD 5","")))))</f>
        <v>PADD 3</v>
      </c>
      <c r="G6003" s="6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6" t="s">
        <v>631</v>
      </c>
      <c r="I6003" s="6" t="s">
        <v>918</v>
      </c>
      <c r="J6003" s="6" t="s">
        <v>394</v>
      </c>
      <c r="K6003" s="10">
        <v>10.88</v>
      </c>
      <c r="L6003" s="10">
        <v>64</v>
      </c>
      <c r="M6003" s="6" t="s">
        <v>421</v>
      </c>
      <c r="N6003" s="6" t="str">
        <f>IF(OR($G6003="FCC",$G6003="Hydrocracker",$G6003="Reformer"),IF(COUNTIFS($D:$D,$D6003,$A:$A,$A6003,$B:$B,$B6003,$G:$G,"CDU",$J:$J,"PLANNED")&gt;0,"tied","standalone"),"")</f>
        <v>standalone</v>
      </c>
    </row>
    <row r="6004" spans="1:14">
      <c r="A6004" s="6">
        <v>2025</v>
      </c>
      <c r="B6004" s="6">
        <v>6</v>
      </c>
      <c r="C6004" s="6" t="s">
        <v>65</v>
      </c>
      <c r="D6004" s="6" t="s">
        <v>824</v>
      </c>
      <c r="E6004" s="6" t="s">
        <v>825</v>
      </c>
      <c r="F6004" s="6" t="str">
        <f>IF($M6004="PADD I","PADD 1",IF($M6004="PADD II","PADD 2",IF($M6004="PADD III","PADD 3",IF($M6004="PADD IV","PADD 4",IF($M6004="PADD V","PADD 5","")))))</f>
        <v>PADD 1</v>
      </c>
      <c r="G6004" s="6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6" t="s">
        <v>494</v>
      </c>
      <c r="I6004" s="6" t="s">
        <v>14</v>
      </c>
      <c r="J6004" s="6" t="s">
        <v>394</v>
      </c>
      <c r="K6004" s="10">
        <v>10.8</v>
      </c>
      <c r="L6004" s="10">
        <v>18</v>
      </c>
      <c r="M6004" s="6" t="s">
        <v>463</v>
      </c>
      <c r="N6004" s="6" t="str">
        <f>IF(OR($G6004="FCC",$G6004="Hydrocracker",$G6004="Reformer"),IF(COUNTIFS($D:$D,$D6004,$A:$A,$A6004,$B:$B,$B6004,$G:$G,"CDU",$J:$J,"PLANNED")&gt;0,"tied","standalone"),"")</f>
        <v>standalone</v>
      </c>
    </row>
    <row r="6005" spans="1:14">
      <c r="A6005" s="6">
        <v>2025</v>
      </c>
      <c r="B6005" s="6">
        <v>6</v>
      </c>
      <c r="C6005" s="6" t="s">
        <v>65</v>
      </c>
      <c r="D6005" s="6" t="s">
        <v>534</v>
      </c>
      <c r="E6005" s="6" t="s">
        <v>459</v>
      </c>
      <c r="F6005" s="6" t="str">
        <f>IF($M6005="PADD I","PADD 1",IF($M6005="PADD II","PADD 2",IF($M6005="PADD III","PADD 3",IF($M6005="PADD IV","PADD 4",IF($M6005="PADD V","PADD 5","")))))</f>
        <v>PADD 3</v>
      </c>
      <c r="G6005" s="6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6" t="s">
        <v>44</v>
      </c>
      <c r="I6005" s="6" t="s">
        <v>551</v>
      </c>
      <c r="J6005" s="6" t="s">
        <v>394</v>
      </c>
      <c r="K6005" s="10">
        <v>10.465</v>
      </c>
      <c r="L6005" s="10">
        <v>45.5</v>
      </c>
      <c r="M6005" s="6" t="s">
        <v>421</v>
      </c>
      <c r="N6005" s="6">
        <f>IF(OR($G6005="FCC",$G6005="Hydrocracker",$G6005="Reformer"),IF(COUNTIFS($D:$D,$D6005,$A:$A,$A6005,$B:$B,$B6005,$G:$G,"CDU",$J:$J,"PLANNED")&gt;0,"tied","standalone"),"")</f>
        <v/>
      </c>
    </row>
    <row r="6006" spans="1:14">
      <c r="A6006" s="6">
        <v>2025</v>
      </c>
      <c r="B6006" s="6">
        <v>6</v>
      </c>
      <c r="C6006" s="6" t="s">
        <v>65</v>
      </c>
      <c r="D6006" s="6" t="s">
        <v>375</v>
      </c>
      <c r="E6006" s="6" t="s">
        <v>435</v>
      </c>
      <c r="F6006" s="6" t="str">
        <f>IF($M6006="PADD I","PADD 1",IF($M6006="PADD II","PADD 2",IF($M6006="PADD III","PADD 3",IF($M6006="PADD IV","PADD 4",IF($M6006="PADD V","PADD 5","")))))</f>
        <v>PADD 5</v>
      </c>
      <c r="G6006" s="6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6" t="s">
        <v>471</v>
      </c>
      <c r="I6006" s="6" t="s">
        <v>15</v>
      </c>
      <c r="J6006" s="6" t="s">
        <v>394</v>
      </c>
      <c r="K6006" s="10">
        <v>10.33</v>
      </c>
      <c r="L6006" s="10">
        <v>10.33</v>
      </c>
      <c r="M6006" s="6" t="s">
        <v>436</v>
      </c>
      <c r="N6006" s="6" t="str">
        <f>IF(OR($G6006="FCC",$G6006="Hydrocracker",$G6006="Reformer"),IF(COUNTIFS($D:$D,$D6006,$A:$A,$A6006,$B:$B,$B6006,$G:$G,"CDU",$J:$J,"PLANNED")&gt;0,"tied","standalone"),"")</f>
        <v>standalone</v>
      </c>
    </row>
    <row r="6007" spans="1:14">
      <c r="A6007" s="6">
        <v>2025</v>
      </c>
      <c r="B6007" s="6">
        <v>6</v>
      </c>
      <c r="C6007" s="6" t="s">
        <v>65</v>
      </c>
      <c r="D6007" s="6" t="s">
        <v>789</v>
      </c>
      <c r="E6007" s="6" t="s">
        <v>455</v>
      </c>
      <c r="F6007" s="6" t="str">
        <f>IF($M6007="PADD I","PADD 1",IF($M6007="PADD II","PADD 2",IF($M6007="PADD III","PADD 3",IF($M6007="PADD IV","PADD 4",IF($M6007="PADD V","PADD 5","")))))</f>
        <v>PADD 2</v>
      </c>
      <c r="G6007" s="6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6" t="s">
        <v>494</v>
      </c>
      <c r="I6007" s="6" t="s">
        <v>845</v>
      </c>
      <c r="J6007" s="6" t="s">
        <v>394</v>
      </c>
      <c r="K6007" s="10">
        <v>10.22</v>
      </c>
      <c r="L6007" s="10">
        <v>14</v>
      </c>
      <c r="M6007" s="6" t="s">
        <v>425</v>
      </c>
      <c r="N6007" s="6" t="str">
        <f>IF(OR($G6007="FCC",$G6007="Hydrocracker",$G6007="Reformer"),IF(COUNTIFS($D:$D,$D6007,$A:$A,$A6007,$B:$B,$B6007,$G:$G,"CDU",$J:$J,"PLANNED")&gt;0,"tied","standalone"),"")</f>
        <v>standalone</v>
      </c>
    </row>
    <row r="6008" spans="1:14">
      <c r="A6008" s="6">
        <v>2025</v>
      </c>
      <c r="B6008" s="6">
        <v>6</v>
      </c>
      <c r="C6008" s="6" t="s">
        <v>65</v>
      </c>
      <c r="D6008" s="6" t="s">
        <v>678</v>
      </c>
      <c r="E6008" s="6" t="s">
        <v>438</v>
      </c>
      <c r="F6008" s="6" t="str">
        <f>IF($M6008="PADD I","PADD 1",IF($M6008="PADD II","PADD 2",IF($M6008="PADD III","PADD 3",IF($M6008="PADD IV","PADD 4",IF($M6008="PADD V","PADD 5","")))))</f>
        <v>PADD 3</v>
      </c>
      <c r="G6008" s="6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6" t="s">
        <v>426</v>
      </c>
      <c r="I6008" s="6" t="s">
        <v>106</v>
      </c>
      <c r="J6008" s="6" t="s">
        <v>394</v>
      </c>
      <c r="K6008" s="10">
        <v>9.945</v>
      </c>
      <c r="L6008" s="10">
        <v>58.5</v>
      </c>
      <c r="M6008" s="6" t="s">
        <v>421</v>
      </c>
      <c r="N6008" s="6" t="str">
        <f>IF(OR($G6008="FCC",$G6008="Hydrocracker",$G6008="Reformer"),IF(COUNTIFS($D:$D,$D6008,$A:$A,$A6008,$B:$B,$B6008,$G:$G,"CDU",$J:$J,"PLANNED")&gt;0,"tied","standalone"),"")</f>
        <v>standalone</v>
      </c>
    </row>
    <row r="6009" spans="1:14">
      <c r="A6009" s="6">
        <v>2025</v>
      </c>
      <c r="B6009" s="6">
        <v>6</v>
      </c>
      <c r="C6009" s="6" t="s">
        <v>65</v>
      </c>
      <c r="D6009" s="6" t="s">
        <v>375</v>
      </c>
      <c r="E6009" s="6" t="s">
        <v>435</v>
      </c>
      <c r="F6009" s="6" t="str">
        <f>IF($M6009="PADD I","PADD 1",IF($M6009="PADD II","PADD 2",IF($M6009="PADD III","PADD 3",IF($M6009="PADD IV","PADD 4",IF($M6009="PADD V","PADD 5","")))))</f>
        <v>PADD 5</v>
      </c>
      <c r="G6009" s="6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6" t="s">
        <v>44</v>
      </c>
      <c r="I6009" s="6" t="s">
        <v>551</v>
      </c>
      <c r="J6009" s="6" t="s">
        <v>394</v>
      </c>
      <c r="K6009" s="10">
        <v>9.800000000000001</v>
      </c>
      <c r="L6009" s="10">
        <v>9.800000000000001</v>
      </c>
      <c r="M6009" s="6" t="s">
        <v>436</v>
      </c>
      <c r="N6009" s="6">
        <f>IF(OR($G6009="FCC",$G6009="Hydrocracker",$G6009="Reformer"),IF(COUNTIFS($D:$D,$D6009,$A:$A,$A6009,$B:$B,$B6009,$G:$G,"CDU",$J:$J,"PLANNED")&gt;0,"tied","standalone"),"")</f>
        <v/>
      </c>
    </row>
    <row r="6010" spans="1:14">
      <c r="A6010" s="6">
        <v>2025</v>
      </c>
      <c r="B6010" s="6">
        <v>6</v>
      </c>
      <c r="C6010" s="6" t="s">
        <v>65</v>
      </c>
      <c r="D6010" s="6" t="s">
        <v>375</v>
      </c>
      <c r="E6010" s="6" t="s">
        <v>435</v>
      </c>
      <c r="F6010" s="6" t="str">
        <f>IF($M6010="PADD I","PADD 1",IF($M6010="PADD II","PADD 2",IF($M6010="PADD III","PADD 3",IF($M6010="PADD IV","PADD 4",IF($M6010="PADD V","PADD 5","")))))</f>
        <v>PADD 5</v>
      </c>
      <c r="G6010" s="6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6" t="s">
        <v>44</v>
      </c>
      <c r="I6010" s="6" t="s">
        <v>1233</v>
      </c>
      <c r="J6010" s="6" t="s">
        <v>394</v>
      </c>
      <c r="K6010" s="10">
        <v>9.1</v>
      </c>
      <c r="L6010" s="10">
        <v>9.1</v>
      </c>
      <c r="M6010" s="6" t="s">
        <v>436</v>
      </c>
      <c r="N6010" s="6">
        <f>IF(OR($G6010="FCC",$G6010="Hydrocracker",$G6010="Reformer"),IF(COUNTIFS($D:$D,$D6010,$A:$A,$A6010,$B:$B,$B6010,$G:$G,"CDU",$J:$J,"PLANNED")&gt;0,"tied","standalone"),"")</f>
        <v/>
      </c>
    </row>
    <row r="6011" spans="1:14">
      <c r="A6011" s="6">
        <v>2025</v>
      </c>
      <c r="B6011" s="6">
        <v>6</v>
      </c>
      <c r="C6011" s="6" t="s">
        <v>65</v>
      </c>
      <c r="D6011" s="6" t="s">
        <v>52</v>
      </c>
      <c r="E6011" s="6" t="s">
        <v>441</v>
      </c>
      <c r="F6011" s="6" t="str">
        <f>IF($M6011="PADD I","PADD 1",IF($M6011="PADD II","PADD 2",IF($M6011="PADD III","PADD 3",IF($M6011="PADD IV","PADD 4",IF($M6011="PADD V","PADD 5","")))))</f>
        <v>PADD 5</v>
      </c>
      <c r="G6011" s="6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6" t="s">
        <v>494</v>
      </c>
      <c r="I6011" s="6" t="s">
        <v>1124</v>
      </c>
      <c r="J6011" s="6" t="s">
        <v>394</v>
      </c>
      <c r="K6011" s="10">
        <v>9</v>
      </c>
      <c r="L6011" s="10">
        <v>45</v>
      </c>
      <c r="M6011" s="6" t="s">
        <v>436</v>
      </c>
      <c r="N6011" s="6" t="str">
        <f>IF(OR($G6011="FCC",$G6011="Hydrocracker",$G6011="Reformer"),IF(COUNTIFS($D:$D,$D6011,$A:$A,$A6011,$B:$B,$B6011,$G:$G,"CDU",$J:$J,"PLANNED")&gt;0,"tied","standalone"),"")</f>
        <v>standalone</v>
      </c>
    </row>
    <row r="6012" spans="1:14">
      <c r="A6012" s="6">
        <v>2025</v>
      </c>
      <c r="B6012" s="6">
        <v>6</v>
      </c>
      <c r="C6012" s="6" t="s">
        <v>65</v>
      </c>
      <c r="D6012" s="6" t="s">
        <v>458</v>
      </c>
      <c r="E6012" s="6" t="s">
        <v>459</v>
      </c>
      <c r="F6012" s="6" t="str">
        <f>IF($M6012="PADD I","PADD 1",IF($M6012="PADD II","PADD 2",IF($M6012="PADD III","PADD 3",IF($M6012="PADD IV","PADD 4",IF($M6012="PADD V","PADD 5","")))))</f>
        <v>PADD 3</v>
      </c>
      <c r="G6012" s="6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6" t="s">
        <v>428</v>
      </c>
      <c r="I6012" s="6" t="s">
        <v>556</v>
      </c>
      <c r="J6012" s="6" t="s">
        <v>394</v>
      </c>
      <c r="K6012" s="10">
        <v>8.84</v>
      </c>
      <c r="L6012" s="10">
        <v>52</v>
      </c>
      <c r="M6012" s="6" t="s">
        <v>421</v>
      </c>
      <c r="N6012" s="6">
        <f>IF(OR($G6012="FCC",$G6012="Hydrocracker",$G6012="Reformer"),IF(COUNTIFS($D:$D,$D6012,$A:$A,$A6012,$B:$B,$B6012,$G:$G,"CDU",$J:$J,"PLANNED")&gt;0,"tied","standalone"),"")</f>
        <v/>
      </c>
    </row>
    <row r="6013" spans="1:14">
      <c r="A6013" s="6">
        <v>2025</v>
      </c>
      <c r="B6013" s="6">
        <v>6</v>
      </c>
      <c r="C6013" s="6" t="s">
        <v>65</v>
      </c>
      <c r="D6013" s="6" t="s">
        <v>395</v>
      </c>
      <c r="E6013" s="6" t="s">
        <v>433</v>
      </c>
      <c r="F6013" s="6" t="str">
        <f>IF($M6013="PADD I","PADD 1",IF($M6013="PADD II","PADD 2",IF($M6013="PADD III","PADD 3",IF($M6013="PADD IV","PADD 4",IF($M6013="PADD V","PADD 5","")))))</f>
        <v>PADD 2</v>
      </c>
      <c r="G6013" s="6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6" t="s">
        <v>426</v>
      </c>
      <c r="I6013" s="6" t="s">
        <v>106</v>
      </c>
      <c r="J6013" s="6" t="s">
        <v>394</v>
      </c>
      <c r="K6013" s="10">
        <v>8.199999999999999</v>
      </c>
      <c r="L6013" s="10">
        <v>82</v>
      </c>
      <c r="M6013" s="6" t="s">
        <v>425</v>
      </c>
      <c r="N6013" s="6" t="str">
        <f>IF(OR($G6013="FCC",$G6013="Hydrocracker",$G6013="Reformer"),IF(COUNTIFS($D:$D,$D6013,$A:$A,$A6013,$B:$B,$B6013,$G:$G,"CDU",$J:$J,"PLANNED")&gt;0,"tied","standalone"),"")</f>
        <v>standalone</v>
      </c>
    </row>
    <row r="6014" spans="1:14">
      <c r="A6014" s="6">
        <v>2025</v>
      </c>
      <c r="B6014" s="6">
        <v>6</v>
      </c>
      <c r="C6014" s="6" t="s">
        <v>65</v>
      </c>
      <c r="D6014" s="6" t="s">
        <v>375</v>
      </c>
      <c r="E6014" s="6" t="s">
        <v>435</v>
      </c>
      <c r="F6014" s="6" t="str">
        <f>IF($M6014="PADD I","PADD 1",IF($M6014="PADD II","PADD 2",IF($M6014="PADD III","PADD 3",IF($M6014="PADD IV","PADD 4",IF($M6014="PADD V","PADD 5","")))))</f>
        <v>PADD 5</v>
      </c>
      <c r="G6014" s="6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6" t="s">
        <v>485</v>
      </c>
      <c r="I6014" s="6" t="s">
        <v>491</v>
      </c>
      <c r="J6014" s="6" t="s">
        <v>394</v>
      </c>
      <c r="K6014" s="10">
        <v>7.7</v>
      </c>
      <c r="L6014" s="10">
        <v>7.7</v>
      </c>
      <c r="M6014" s="6" t="s">
        <v>436</v>
      </c>
      <c r="N6014" s="6">
        <f>IF(OR($G6014="FCC",$G6014="Hydrocracker",$G6014="Reformer"),IF(COUNTIFS($D:$D,$D6014,$A:$A,$A6014,$B:$B,$B6014,$G:$G,"CDU",$J:$J,"PLANNED")&gt;0,"tied","standalone"),"")</f>
        <v/>
      </c>
    </row>
    <row r="6015" spans="1:14">
      <c r="A6015" s="6">
        <v>2025</v>
      </c>
      <c r="B6015" s="6">
        <v>6</v>
      </c>
      <c r="C6015" s="6" t="s">
        <v>65</v>
      </c>
      <c r="D6015" s="6" t="s">
        <v>375</v>
      </c>
      <c r="E6015" s="6" t="s">
        <v>435</v>
      </c>
      <c r="F6015" s="6" t="str">
        <f>IF($M6015="PADD I","PADD 1",IF($M6015="PADD II","PADD 2",IF($M6015="PADD III","PADD 3",IF($M6015="PADD IV","PADD 4",IF($M6015="PADD V","PADD 5","")))))</f>
        <v>PADD 5</v>
      </c>
      <c r="G6015" s="6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6" t="s">
        <v>485</v>
      </c>
      <c r="I6015" s="6" t="s">
        <v>863</v>
      </c>
      <c r="J6015" s="6" t="s">
        <v>394</v>
      </c>
      <c r="K6015" s="10">
        <v>7.5</v>
      </c>
      <c r="L6015" s="10">
        <v>25</v>
      </c>
      <c r="M6015" s="6" t="s">
        <v>436</v>
      </c>
      <c r="N6015" s="6">
        <f>IF(OR($G6015="FCC",$G6015="Hydrocracker",$G6015="Reformer"),IF(COUNTIFS($D:$D,$D6015,$A:$A,$A6015,$B:$B,$B6015,$G:$G,"CDU",$J:$J,"PLANNED")&gt;0,"tied","standalone"),"")</f>
        <v/>
      </c>
    </row>
    <row r="6016" spans="1:14">
      <c r="A6016" s="6">
        <v>2025</v>
      </c>
      <c r="B6016" s="6">
        <v>6</v>
      </c>
      <c r="C6016" s="6" t="s">
        <v>65</v>
      </c>
      <c r="D6016" s="6" t="s">
        <v>375</v>
      </c>
      <c r="E6016" s="6" t="s">
        <v>435</v>
      </c>
      <c r="F6016" s="6" t="str">
        <f>IF($M6016="PADD I","PADD 1",IF($M6016="PADD II","PADD 2",IF($M6016="PADD III","PADD 3",IF($M6016="PADD IV","PADD 4",IF($M6016="PADD V","PADD 5","")))))</f>
        <v>PADD 5</v>
      </c>
      <c r="G6016" s="6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6" t="s">
        <v>485</v>
      </c>
      <c r="I6016" s="6" t="s">
        <v>863</v>
      </c>
      <c r="J6016" s="6" t="s">
        <v>394</v>
      </c>
      <c r="K6016" s="10">
        <v>7.32</v>
      </c>
      <c r="L6016" s="10">
        <v>7.32</v>
      </c>
      <c r="M6016" s="6" t="s">
        <v>436</v>
      </c>
      <c r="N6016" s="6">
        <f>IF(OR($G6016="FCC",$G6016="Hydrocracker",$G6016="Reformer"),IF(COUNTIFS($D:$D,$D6016,$A:$A,$A6016,$B:$B,$B6016,$G:$G,"CDU",$J:$J,"PLANNED")&gt;0,"tied","standalone"),"")</f>
        <v/>
      </c>
    </row>
    <row r="6017" spans="1:14">
      <c r="A6017" s="6">
        <v>2025</v>
      </c>
      <c r="B6017" s="6">
        <v>6</v>
      </c>
      <c r="C6017" s="6" t="s">
        <v>65</v>
      </c>
      <c r="D6017" s="6" t="s">
        <v>1365</v>
      </c>
      <c r="E6017" s="6" t="s">
        <v>1366</v>
      </c>
      <c r="F6017" s="6" t="str">
        <f>IF($M6017="PADD I","PADD 1",IF($M6017="PADD II","PADD 2",IF($M6017="PADD III","PADD 3",IF($M6017="PADD IV","PADD 4",IF($M6017="PADD V","PADD 5","")))))</f>
        <v>PADD 1</v>
      </c>
      <c r="G6017" s="6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6" t="s">
        <v>44</v>
      </c>
      <c r="I6017" s="6" t="s">
        <v>954</v>
      </c>
      <c r="J6017" s="6" t="s">
        <v>398</v>
      </c>
      <c r="K6017" s="10">
        <v>6.79</v>
      </c>
      <c r="L6017" s="10">
        <v>7</v>
      </c>
      <c r="M6017" s="6" t="s">
        <v>463</v>
      </c>
      <c r="N6017" s="6">
        <f>IF(OR($G6017="FCC",$G6017="Hydrocracker",$G6017="Reformer"),IF(COUNTIFS($D:$D,$D6017,$A:$A,$A6017,$B:$B,$B6017,$G:$G,"CDU",$J:$J,"PLANNED")&gt;0,"tied","standalone"),"")</f>
        <v/>
      </c>
    </row>
    <row r="6018" spans="1:14">
      <c r="A6018" s="6">
        <v>2025</v>
      </c>
      <c r="B6018" s="6">
        <v>6</v>
      </c>
      <c r="C6018" s="6" t="s">
        <v>65</v>
      </c>
      <c r="D6018" s="6" t="s">
        <v>777</v>
      </c>
      <c r="E6018" s="6" t="s">
        <v>778</v>
      </c>
      <c r="F6018" s="6" t="str">
        <f>IF($M6018="PADD I","PADD 1",IF($M6018="PADD II","PADD 2",IF($M6018="PADD III","PADD 3",IF($M6018="PADD IV","PADD 4",IF($M6018="PADD V","PADD 5","")))))</f>
        <v>PADD 1</v>
      </c>
      <c r="G6018" s="6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6" t="s">
        <v>428</v>
      </c>
      <c r="I6018" s="6" t="s">
        <v>481</v>
      </c>
      <c r="J6018" s="6" t="s">
        <v>398</v>
      </c>
      <c r="K6018" s="10">
        <v>6.545</v>
      </c>
      <c r="L6018" s="10">
        <v>8.5</v>
      </c>
      <c r="M6018" s="6" t="s">
        <v>463</v>
      </c>
      <c r="N6018" s="6">
        <f>IF(OR($G6018="FCC",$G6018="Hydrocracker",$G6018="Reformer"),IF(COUNTIFS($D:$D,$D6018,$A:$A,$A6018,$B:$B,$B6018,$G:$G,"CDU",$J:$J,"PLANNED")&gt;0,"tied","standalone"),"")</f>
        <v/>
      </c>
    </row>
    <row r="6019" spans="1:14">
      <c r="A6019" s="6">
        <v>2025</v>
      </c>
      <c r="B6019" s="6">
        <v>6</v>
      </c>
      <c r="C6019" s="6" t="s">
        <v>65</v>
      </c>
      <c r="D6019" s="6" t="s">
        <v>422</v>
      </c>
      <c r="E6019" s="6" t="s">
        <v>423</v>
      </c>
      <c r="F6019" s="6" t="str">
        <f>IF($M6019="PADD I","PADD 1",IF($M6019="PADD II","PADD 2",IF($M6019="PADD III","PADD 3",IF($M6019="PADD IV","PADD 4",IF($M6019="PADD V","PADD 5","")))))</f>
        <v>PADD 2</v>
      </c>
      <c r="G6019" s="6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6" t="s">
        <v>485</v>
      </c>
      <c r="I6019" s="6" t="s">
        <v>634</v>
      </c>
      <c r="J6019" s="6" t="s">
        <v>394</v>
      </c>
      <c r="K6019" s="10">
        <v>6.5</v>
      </c>
      <c r="L6019" s="10">
        <v>6.5</v>
      </c>
      <c r="M6019" s="6" t="s">
        <v>425</v>
      </c>
      <c r="N6019" s="6">
        <f>IF(OR($G6019="FCC",$G6019="Hydrocracker",$G6019="Reformer"),IF(COUNTIFS($D:$D,$D6019,$A:$A,$A6019,$B:$B,$B6019,$G:$G,"CDU",$J:$J,"PLANNED")&gt;0,"tied","standalone"),"")</f>
        <v/>
      </c>
    </row>
    <row r="6020" spans="1:14">
      <c r="A6020" s="6">
        <v>2025</v>
      </c>
      <c r="B6020" s="6">
        <v>6</v>
      </c>
      <c r="C6020" s="6" t="s">
        <v>65</v>
      </c>
      <c r="D6020" s="6" t="s">
        <v>437</v>
      </c>
      <c r="E6020" s="6" t="s">
        <v>438</v>
      </c>
      <c r="F6020" s="6" t="str">
        <f>IF($M6020="PADD I","PADD 1",IF($M6020="PADD II","PADD 2",IF($M6020="PADD III","PADD 3",IF($M6020="PADD IV","PADD 4",IF($M6020="PADD V","PADD 5","")))))</f>
        <v>PADD 3</v>
      </c>
      <c r="G6020" s="6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6" t="s">
        <v>631</v>
      </c>
      <c r="I6020" s="6" t="s">
        <v>918</v>
      </c>
      <c r="J6020" s="6" t="s">
        <v>394</v>
      </c>
      <c r="K6020" s="10">
        <v>6.4</v>
      </c>
      <c r="L6020" s="10">
        <v>16</v>
      </c>
      <c r="M6020" s="6" t="s">
        <v>421</v>
      </c>
      <c r="N6020" s="6" t="str">
        <f>IF(OR($G6020="FCC",$G6020="Hydrocracker",$G6020="Reformer"),IF(COUNTIFS($D:$D,$D6020,$A:$A,$A6020,$B:$B,$B6020,$G:$G,"CDU",$J:$J,"PLANNED")&gt;0,"tied","standalone"),"")</f>
        <v>standalone</v>
      </c>
    </row>
    <row r="6021" spans="1:14">
      <c r="A6021" s="6">
        <v>2025</v>
      </c>
      <c r="B6021" s="6">
        <v>6</v>
      </c>
      <c r="C6021" s="6" t="s">
        <v>65</v>
      </c>
      <c r="D6021" s="6" t="s">
        <v>461</v>
      </c>
      <c r="E6021" s="6" t="s">
        <v>419</v>
      </c>
      <c r="F6021" s="6" t="str">
        <f>IF($M6021="PADD I","PADD 1",IF($M6021="PADD II","PADD 2",IF($M6021="PADD III","PADD 3",IF($M6021="PADD IV","PADD 4",IF($M6021="PADD V","PADD 5","")))))</f>
        <v>PADD 1</v>
      </c>
      <c r="G6021" s="6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6" t="s">
        <v>426</v>
      </c>
      <c r="I6021" s="6" t="s">
        <v>106</v>
      </c>
      <c r="J6021" s="6" t="s">
        <v>394</v>
      </c>
      <c r="K6021" s="10">
        <v>6.375</v>
      </c>
      <c r="L6021" s="10">
        <v>37.5</v>
      </c>
      <c r="M6021" s="6" t="s">
        <v>463</v>
      </c>
      <c r="N6021" s="6" t="str">
        <f>IF(OR($G6021="FCC",$G6021="Hydrocracker",$G6021="Reformer"),IF(COUNTIFS($D:$D,$D6021,$A:$A,$A6021,$B:$B,$B6021,$G:$G,"CDU",$J:$J,"PLANNED")&gt;0,"tied","standalone"),"")</f>
        <v>standalone</v>
      </c>
    </row>
    <row r="6022" spans="1:14">
      <c r="A6022" s="6">
        <v>2025</v>
      </c>
      <c r="B6022" s="6">
        <v>6</v>
      </c>
      <c r="C6022" s="6" t="s">
        <v>65</v>
      </c>
      <c r="D6022" s="6" t="s">
        <v>777</v>
      </c>
      <c r="E6022" s="6" t="s">
        <v>778</v>
      </c>
      <c r="F6022" s="6" t="str">
        <f>IF($M6022="PADD I","PADD 1",IF($M6022="PADD II","PADD 2",IF($M6022="PADD III","PADD 3",IF($M6022="PADD IV","PADD 4",IF($M6022="PADD V","PADD 5","")))))</f>
        <v>PADD 1</v>
      </c>
      <c r="G6022" s="6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6" t="s">
        <v>44</v>
      </c>
      <c r="I6022" s="6" t="s">
        <v>570</v>
      </c>
      <c r="J6022" s="6" t="s">
        <v>398</v>
      </c>
      <c r="K6022" s="10">
        <v>6.16</v>
      </c>
      <c r="L6022" s="10">
        <v>8</v>
      </c>
      <c r="M6022" s="6" t="s">
        <v>463</v>
      </c>
      <c r="N6022" s="6">
        <f>IF(OR($G6022="FCC",$G6022="Hydrocracker",$G6022="Reformer"),IF(COUNTIFS($D:$D,$D6022,$A:$A,$A6022,$B:$B,$B6022,$G:$G,"CDU",$J:$J,"PLANNED")&gt;0,"tied","standalone"),"")</f>
        <v/>
      </c>
    </row>
    <row r="6023" spans="1:14">
      <c r="A6023" s="6">
        <v>2025</v>
      </c>
      <c r="B6023" s="6">
        <v>6</v>
      </c>
      <c r="C6023" s="6" t="s">
        <v>65</v>
      </c>
      <c r="D6023" s="6" t="s">
        <v>461</v>
      </c>
      <c r="E6023" s="6" t="s">
        <v>419</v>
      </c>
      <c r="F6023" s="6" t="str">
        <f>IF($M6023="PADD I","PADD 1",IF($M6023="PADD II","PADD 2",IF($M6023="PADD III","PADD 3",IF($M6023="PADD IV","PADD 4",IF($M6023="PADD V","PADD 5","")))))</f>
        <v>PADD 1</v>
      </c>
      <c r="G6023" s="6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6" t="s">
        <v>39</v>
      </c>
      <c r="I6023" s="6" t="s">
        <v>579</v>
      </c>
      <c r="J6023" s="6" t="s">
        <v>394</v>
      </c>
      <c r="K6023" s="10">
        <v>5.5046</v>
      </c>
      <c r="L6023" s="10">
        <v>32.38</v>
      </c>
      <c r="M6023" s="6" t="s">
        <v>463</v>
      </c>
      <c r="N6023" s="6">
        <f>IF(OR($G6023="FCC",$G6023="Hydrocracker",$G6023="Reformer"),IF(COUNTIFS($D:$D,$D6023,$A:$A,$A6023,$B:$B,$B6023,$G:$G,"CDU",$J:$J,"PLANNED")&gt;0,"tied","standalone"),"")</f>
        <v/>
      </c>
    </row>
    <row r="6024" spans="1:14">
      <c r="A6024" s="6">
        <v>2025</v>
      </c>
      <c r="B6024" s="6">
        <v>6</v>
      </c>
      <c r="C6024" s="6" t="s">
        <v>65</v>
      </c>
      <c r="D6024" s="6" t="s">
        <v>461</v>
      </c>
      <c r="E6024" s="6" t="s">
        <v>419</v>
      </c>
      <c r="F6024" s="6" t="str">
        <f>IF($M6024="PADD I","PADD 1",IF($M6024="PADD II","PADD 2",IF($M6024="PADD III","PADD 3",IF($M6024="PADD IV","PADD 4",IF($M6024="PADD V","PADD 5","")))))</f>
        <v>PADD 1</v>
      </c>
      <c r="G6024" s="6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6" t="s">
        <v>39</v>
      </c>
      <c r="I6024" s="6" t="s">
        <v>462</v>
      </c>
      <c r="J6024" s="6" t="s">
        <v>394</v>
      </c>
      <c r="K6024" s="10">
        <v>5.4825</v>
      </c>
      <c r="L6024" s="10">
        <v>32.25</v>
      </c>
      <c r="M6024" s="6" t="s">
        <v>463</v>
      </c>
      <c r="N6024" s="6">
        <f>IF(OR($G6024="FCC",$G6024="Hydrocracker",$G6024="Reformer"),IF(COUNTIFS($D:$D,$D6024,$A:$A,$A6024,$B:$B,$B6024,$G:$G,"CDU",$J:$J,"PLANNED")&gt;0,"tied","standalone"),"")</f>
        <v/>
      </c>
    </row>
    <row r="6025" spans="1:14">
      <c r="A6025" s="6">
        <v>2025</v>
      </c>
      <c r="B6025" s="6">
        <v>6</v>
      </c>
      <c r="C6025" s="6" t="s">
        <v>65</v>
      </c>
      <c r="D6025" s="6" t="s">
        <v>518</v>
      </c>
      <c r="E6025" s="6" t="s">
        <v>419</v>
      </c>
      <c r="F6025" s="6" t="str">
        <f>IF($M6025="PADD I","PADD 1",IF($M6025="PADD II","PADD 2",IF($M6025="PADD III","PADD 3",IF($M6025="PADD IV","PADD 4",IF($M6025="PADD V","PADD 5","")))))</f>
        <v>PADD 3</v>
      </c>
      <c r="G6025" s="6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6" t="s">
        <v>39</v>
      </c>
      <c r="I6025" s="6" t="s">
        <v>611</v>
      </c>
      <c r="J6025" s="6" t="s">
        <v>394</v>
      </c>
      <c r="K6025" s="10">
        <v>5.2</v>
      </c>
      <c r="L6025" s="10">
        <v>40</v>
      </c>
      <c r="M6025" s="6" t="s">
        <v>421</v>
      </c>
      <c r="N6025" s="6">
        <f>IF(OR($G6025="FCC",$G6025="Hydrocracker",$G6025="Reformer"),IF(COUNTIFS($D:$D,$D6025,$A:$A,$A6025,$B:$B,$B6025,$G:$G,"CDU",$J:$J,"PLANNED")&gt;0,"tied","standalone"),"")</f>
        <v/>
      </c>
    </row>
    <row r="6026" spans="1:14">
      <c r="A6026" s="6">
        <v>2025</v>
      </c>
      <c r="B6026" s="6">
        <v>6</v>
      </c>
      <c r="C6026" s="6" t="s">
        <v>65</v>
      </c>
      <c r="D6026" s="6" t="s">
        <v>1365</v>
      </c>
      <c r="E6026" s="6" t="s">
        <v>1366</v>
      </c>
      <c r="F6026" s="6" t="str">
        <f>IF($M6026="PADD I","PADD 1",IF($M6026="PADD II","PADD 2",IF($M6026="PADD III","PADD 3",IF($M6026="PADD IV","PADD 4",IF($M6026="PADD V","PADD 5","")))))</f>
        <v>PADD 1</v>
      </c>
      <c r="G6026" s="6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6" t="s">
        <v>44</v>
      </c>
      <c r="I6026" s="6" t="s">
        <v>1367</v>
      </c>
      <c r="J6026" s="6" t="s">
        <v>398</v>
      </c>
      <c r="K6026" s="10">
        <v>4.656</v>
      </c>
      <c r="L6026" s="10">
        <v>4.8</v>
      </c>
      <c r="M6026" s="6" t="s">
        <v>463</v>
      </c>
      <c r="N6026" s="6">
        <f>IF(OR($G6026="FCC",$G6026="Hydrocracker",$G6026="Reformer"),IF(COUNTIFS($D:$D,$D6026,$A:$A,$A6026,$B:$B,$B6026,$G:$G,"CDU",$J:$J,"PLANNED")&gt;0,"tied","standalone"),"")</f>
        <v/>
      </c>
    </row>
    <row r="6027" spans="1:14">
      <c r="A6027" s="6">
        <v>2025</v>
      </c>
      <c r="B6027" s="6">
        <v>6</v>
      </c>
      <c r="C6027" s="6" t="s">
        <v>65</v>
      </c>
      <c r="D6027" s="6" t="s">
        <v>789</v>
      </c>
      <c r="E6027" s="6" t="s">
        <v>455</v>
      </c>
      <c r="F6027" s="6" t="str">
        <f>IF($M6027="PADD I","PADD 1",IF($M6027="PADD II","PADD 2",IF($M6027="PADD III","PADD 3",IF($M6027="PADD IV","PADD 4",IF($M6027="PADD V","PADD 5","")))))</f>
        <v>PADD 2</v>
      </c>
      <c r="G6027" s="6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6" t="s">
        <v>618</v>
      </c>
      <c r="I6027" s="6" t="s">
        <v>654</v>
      </c>
      <c r="J6027" s="6" t="s">
        <v>398</v>
      </c>
      <c r="K6027" s="10">
        <v>4.41</v>
      </c>
      <c r="L6027" s="10">
        <v>7</v>
      </c>
      <c r="M6027" s="6" t="s">
        <v>425</v>
      </c>
      <c r="N6027" s="6">
        <f>IF(OR($G6027="FCC",$G6027="Hydrocracker",$G6027="Reformer"),IF(COUNTIFS($D:$D,$D6027,$A:$A,$A6027,$B:$B,$B6027,$G:$G,"CDU",$J:$J,"PLANNED")&gt;0,"tied","standalone"),"")</f>
        <v/>
      </c>
    </row>
    <row r="6028" spans="1:14">
      <c r="A6028" s="6">
        <v>2025</v>
      </c>
      <c r="B6028" s="6">
        <v>6</v>
      </c>
      <c r="C6028" s="6" t="s">
        <v>65</v>
      </c>
      <c r="D6028" s="6" t="s">
        <v>375</v>
      </c>
      <c r="E6028" s="6" t="s">
        <v>435</v>
      </c>
      <c r="F6028" s="6" t="str">
        <f>IF($M6028="PADD I","PADD 1",IF($M6028="PADD II","PADD 2",IF($M6028="PADD III","PADD 3",IF($M6028="PADD IV","PADD 4",IF($M6028="PADD V","PADD 5","")))))</f>
        <v>PADD 5</v>
      </c>
      <c r="G6028" s="6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6" t="s">
        <v>510</v>
      </c>
      <c r="I6028" s="6" t="s">
        <v>1338</v>
      </c>
      <c r="J6028" s="6" t="s">
        <v>394</v>
      </c>
      <c r="K6028" s="10">
        <v>4.2</v>
      </c>
      <c r="L6028" s="10">
        <v>4.2</v>
      </c>
      <c r="M6028" s="6" t="s">
        <v>436</v>
      </c>
      <c r="N6028" s="6">
        <f>IF(OR($G6028="FCC",$G6028="Hydrocracker",$G6028="Reformer"),IF(COUNTIFS($D:$D,$D6028,$A:$A,$A6028,$B:$B,$B6028,$G:$G,"CDU",$J:$J,"PLANNED")&gt;0,"tied","standalone"),"")</f>
        <v/>
      </c>
    </row>
    <row r="6029" spans="1:14">
      <c r="A6029" s="6">
        <v>2025</v>
      </c>
      <c r="B6029" s="6">
        <v>6</v>
      </c>
      <c r="C6029" s="6" t="s">
        <v>65</v>
      </c>
      <c r="D6029" s="6" t="s">
        <v>41</v>
      </c>
      <c r="E6029" s="6" t="s">
        <v>786</v>
      </c>
      <c r="F6029" s="6" t="str">
        <f>IF($M6029="PADD I","PADD 1",IF($M6029="PADD II","PADD 2",IF($M6029="PADD III","PADD 3",IF($M6029="PADD IV","PADD 4",IF($M6029="PADD V","PADD 5","")))))</f>
        <v>PADD 1</v>
      </c>
      <c r="G6029" s="6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6" t="s">
        <v>471</v>
      </c>
      <c r="I6029" s="6" t="s">
        <v>832</v>
      </c>
      <c r="J6029" s="6" t="s">
        <v>394</v>
      </c>
      <c r="K6029" s="10">
        <v>4.2</v>
      </c>
      <c r="L6029" s="10">
        <v>60</v>
      </c>
      <c r="M6029" s="6" t="s">
        <v>463</v>
      </c>
      <c r="N6029" s="6" t="str">
        <f>IF(OR($G6029="FCC",$G6029="Hydrocracker",$G6029="Reformer"),IF(COUNTIFS($D:$D,$D6029,$A:$A,$A6029,$B:$B,$B6029,$G:$G,"CDU",$J:$J,"PLANNED")&gt;0,"tied","standalone"),"")</f>
        <v>standalone</v>
      </c>
    </row>
    <row r="6030" spans="1:14">
      <c r="A6030" s="6">
        <v>2025</v>
      </c>
      <c r="B6030" s="6">
        <v>6</v>
      </c>
      <c r="C6030" s="6" t="s">
        <v>65</v>
      </c>
      <c r="D6030" s="6" t="s">
        <v>41</v>
      </c>
      <c r="E6030" s="6" t="s">
        <v>786</v>
      </c>
      <c r="F6030" s="6" t="str">
        <f>IF($M6030="PADD I","PADD 1",IF($M6030="PADD II","PADD 2",IF($M6030="PADD III","PADD 3",IF($M6030="PADD IV","PADD 4",IF($M6030="PADD V","PADD 5","")))))</f>
        <v>PADD 1</v>
      </c>
      <c r="G6030" s="6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6" t="s">
        <v>44</v>
      </c>
      <c r="I6030" s="6" t="s">
        <v>543</v>
      </c>
      <c r="J6030" s="6" t="s">
        <v>394</v>
      </c>
      <c r="K6030" s="10">
        <v>4.2</v>
      </c>
      <c r="L6030" s="10">
        <v>60</v>
      </c>
      <c r="M6030" s="6" t="s">
        <v>463</v>
      </c>
      <c r="N6030" s="6">
        <f>IF(OR($G6030="FCC",$G6030="Hydrocracker",$G6030="Reformer"),IF(COUNTIFS($D:$D,$D6030,$A:$A,$A6030,$B:$B,$B6030,$G:$G,"CDU",$J:$J,"PLANNED")&gt;0,"tied","standalone"),"")</f>
        <v/>
      </c>
    </row>
    <row r="6031" spans="1:14">
      <c r="A6031" s="6">
        <v>2025</v>
      </c>
      <c r="B6031" s="6">
        <v>6</v>
      </c>
      <c r="C6031" s="6" t="s">
        <v>65</v>
      </c>
      <c r="D6031" s="6" t="s">
        <v>52</v>
      </c>
      <c r="E6031" s="6" t="s">
        <v>441</v>
      </c>
      <c r="F6031" s="6" t="str">
        <f>IF($M6031="PADD I","PADD 1",IF($M6031="PADD II","PADD 2",IF($M6031="PADD III","PADD 3",IF($M6031="PADD IV","PADD 4",IF($M6031="PADD V","PADD 5","")))))</f>
        <v>PADD 5</v>
      </c>
      <c r="G6031" s="6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6" t="s">
        <v>471</v>
      </c>
      <c r="I6031" s="6" t="s">
        <v>589</v>
      </c>
      <c r="J6031" s="6" t="s">
        <v>394</v>
      </c>
      <c r="K6031" s="10">
        <v>4.2</v>
      </c>
      <c r="L6031" s="10">
        <v>60</v>
      </c>
      <c r="M6031" s="6" t="s">
        <v>436</v>
      </c>
      <c r="N6031" s="6" t="str">
        <f>IF(OR($G6031="FCC",$G6031="Hydrocracker",$G6031="Reformer"),IF(COUNTIFS($D:$D,$D6031,$A:$A,$A6031,$B:$B,$B6031,$G:$G,"CDU",$J:$J,"PLANNED")&gt;0,"tied","standalone"),"")</f>
        <v>standalone</v>
      </c>
    </row>
    <row r="6032" spans="1:14">
      <c r="A6032" s="6">
        <v>2025</v>
      </c>
      <c r="B6032" s="6">
        <v>6</v>
      </c>
      <c r="C6032" s="6" t="s">
        <v>65</v>
      </c>
      <c r="D6032" s="6" t="s">
        <v>422</v>
      </c>
      <c r="E6032" s="6" t="s">
        <v>423</v>
      </c>
      <c r="F6032" s="6" t="str">
        <f>IF($M6032="PADD I","PADD 1",IF($M6032="PADD II","PADD 2",IF($M6032="PADD III","PADD 3",IF($M6032="PADD IV","PADD 4",IF($M6032="PADD V","PADD 5","")))))</f>
        <v>PADD 2</v>
      </c>
      <c r="G6032" s="6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6" t="s">
        <v>485</v>
      </c>
      <c r="I6032" s="6" t="s">
        <v>634</v>
      </c>
      <c r="J6032" s="6" t="s">
        <v>394</v>
      </c>
      <c r="K6032" s="10">
        <v>3.975</v>
      </c>
      <c r="L6032" s="10">
        <v>7.5</v>
      </c>
      <c r="M6032" s="6" t="s">
        <v>425</v>
      </c>
      <c r="N6032" s="6">
        <f>IF(OR($G6032="FCC",$G6032="Hydrocracker",$G6032="Reformer"),IF(COUNTIFS($D:$D,$D6032,$A:$A,$A6032,$B:$B,$B6032,$G:$G,"CDU",$J:$J,"PLANNED")&gt;0,"tied","standalone"),"")</f>
        <v/>
      </c>
    </row>
    <row r="6033" spans="1:14">
      <c r="A6033" s="6">
        <v>2025</v>
      </c>
      <c r="B6033" s="6">
        <v>6</v>
      </c>
      <c r="C6033" s="6" t="s">
        <v>65</v>
      </c>
      <c r="D6033" s="6" t="s">
        <v>789</v>
      </c>
      <c r="E6033" s="6" t="s">
        <v>455</v>
      </c>
      <c r="F6033" s="6" t="str">
        <f>IF($M6033="PADD I","PADD 1",IF($M6033="PADD II","PADD 2",IF($M6033="PADD III","PADD 3",IF($M6033="PADD IV","PADD 4",IF($M6033="PADD V","PADD 5","")))))</f>
        <v>PADD 2</v>
      </c>
      <c r="G6033" s="6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6" t="s">
        <v>510</v>
      </c>
      <c r="I6033" s="6" t="s">
        <v>666</v>
      </c>
      <c r="J6033" s="6" t="s">
        <v>398</v>
      </c>
      <c r="K6033" s="10">
        <v>3.906</v>
      </c>
      <c r="L6033" s="10">
        <v>6.2</v>
      </c>
      <c r="M6033" s="6" t="s">
        <v>425</v>
      </c>
      <c r="N6033" s="6">
        <f>IF(OR($G6033="FCC",$G6033="Hydrocracker",$G6033="Reformer"),IF(COUNTIFS($D:$D,$D6033,$A:$A,$A6033,$B:$B,$B6033,$G:$G,"CDU",$J:$J,"PLANNED")&gt;0,"tied","standalone"),"")</f>
        <v/>
      </c>
    </row>
    <row r="6034" spans="1:14">
      <c r="A6034" s="6">
        <v>2025</v>
      </c>
      <c r="B6034" s="6">
        <v>6</v>
      </c>
      <c r="C6034" s="6" t="s">
        <v>65</v>
      </c>
      <c r="D6034" s="6" t="s">
        <v>384</v>
      </c>
      <c r="E6034" s="6" t="s">
        <v>419</v>
      </c>
      <c r="F6034" s="6" t="str">
        <f>IF($M6034="PADD I","PADD 1",IF($M6034="PADD II","PADD 2",IF($M6034="PADD III","PADD 3",IF($M6034="PADD IV","PADD 4",IF($M6034="PADD V","PADD 5","")))))</f>
        <v>PADD 3</v>
      </c>
      <c r="G6034" s="6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6" t="s">
        <v>426</v>
      </c>
      <c r="I6034" s="6" t="s">
        <v>522</v>
      </c>
      <c r="J6034" s="6" t="s">
        <v>394</v>
      </c>
      <c r="K6034" s="10">
        <v>3.9</v>
      </c>
      <c r="L6034" s="10">
        <v>30</v>
      </c>
      <c r="M6034" s="6" t="s">
        <v>421</v>
      </c>
      <c r="N6034" s="6" t="str">
        <f>IF(OR($G6034="FCC",$G6034="Hydrocracker",$G6034="Reformer"),IF(COUNTIFS($D:$D,$D6034,$A:$A,$A6034,$B:$B,$B6034,$G:$G,"CDU",$J:$J,"PLANNED")&gt;0,"tied","standalone"),"")</f>
        <v>standalone</v>
      </c>
    </row>
    <row r="6035" spans="1:14">
      <c r="A6035" s="6">
        <v>2025</v>
      </c>
      <c r="B6035" s="6">
        <v>6</v>
      </c>
      <c r="C6035" s="6" t="s">
        <v>65</v>
      </c>
      <c r="D6035" s="6" t="s">
        <v>777</v>
      </c>
      <c r="E6035" s="6" t="s">
        <v>778</v>
      </c>
      <c r="F6035" s="6" t="str">
        <f>IF($M6035="PADD I","PADD 1",IF($M6035="PADD II","PADD 2",IF($M6035="PADD III","PADD 3",IF($M6035="PADD IV","PADD 4",IF($M6035="PADD V","PADD 5","")))))</f>
        <v>PADD 1</v>
      </c>
      <c r="G6035" s="6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6" t="s">
        <v>618</v>
      </c>
      <c r="I6035" s="6" t="s">
        <v>763</v>
      </c>
      <c r="J6035" s="6" t="s">
        <v>398</v>
      </c>
      <c r="K6035" s="10">
        <v>3.85</v>
      </c>
      <c r="L6035" s="10">
        <v>5</v>
      </c>
      <c r="M6035" s="6" t="s">
        <v>463</v>
      </c>
      <c r="N6035" s="6">
        <f>IF(OR($G6035="FCC",$G6035="Hydrocracker",$G6035="Reformer"),IF(COUNTIFS($D:$D,$D6035,$A:$A,$A6035,$B:$B,$B6035,$G:$G,"CDU",$J:$J,"PLANNED")&gt;0,"tied","standalone"),"")</f>
        <v/>
      </c>
    </row>
    <row r="6036" spans="1:14">
      <c r="A6036" s="6">
        <v>2025</v>
      </c>
      <c r="B6036" s="6">
        <v>6</v>
      </c>
      <c r="C6036" s="6" t="s">
        <v>65</v>
      </c>
      <c r="D6036" s="6" t="s">
        <v>838</v>
      </c>
      <c r="E6036" s="6" t="s">
        <v>455</v>
      </c>
      <c r="F6036" s="6" t="str">
        <f>IF($M6036="PADD I","PADD 1",IF($M6036="PADD II","PADD 2",IF($M6036="PADD III","PADD 3",IF($M6036="PADD IV","PADD 4",IF($M6036="PADD V","PADD 5","")))))</f>
        <v>PADD 3</v>
      </c>
      <c r="G6036" s="6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6" t="s">
        <v>39</v>
      </c>
      <c r="I6036" s="6" t="s">
        <v>136</v>
      </c>
      <c r="J6036" s="6" t="s">
        <v>394</v>
      </c>
      <c r="K6036" s="10">
        <v>3.84</v>
      </c>
      <c r="L6036" s="10">
        <v>128</v>
      </c>
      <c r="M6036" s="6" t="s">
        <v>421</v>
      </c>
      <c r="N6036" s="6">
        <f>IF(OR($G6036="FCC",$G6036="Hydrocracker",$G6036="Reformer"),IF(COUNTIFS($D:$D,$D6036,$A:$A,$A6036,$B:$B,$B6036,$G:$G,"CDU",$J:$J,"PLANNED")&gt;0,"tied","standalone"),"")</f>
        <v/>
      </c>
    </row>
    <row r="6037" spans="1:14">
      <c r="A6037" s="6">
        <v>2025</v>
      </c>
      <c r="B6037" s="6">
        <v>6</v>
      </c>
      <c r="C6037" s="6" t="s">
        <v>65</v>
      </c>
      <c r="D6037" s="6" t="s">
        <v>1365</v>
      </c>
      <c r="E6037" s="6" t="s">
        <v>1366</v>
      </c>
      <c r="F6037" s="6" t="str">
        <f>IF($M6037="PADD I","PADD 1",IF($M6037="PADD II","PADD 2",IF($M6037="PADD III","PADD 3",IF($M6037="PADD IV","PADD 4",IF($M6037="PADD V","PADD 5","")))))</f>
        <v>PADD 1</v>
      </c>
      <c r="G6037" s="6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6" t="s">
        <v>44</v>
      </c>
      <c r="I6037" s="6" t="s">
        <v>809</v>
      </c>
      <c r="J6037" s="6" t="s">
        <v>398</v>
      </c>
      <c r="K6037" s="10">
        <v>3.783</v>
      </c>
      <c r="L6037" s="10">
        <v>3.9</v>
      </c>
      <c r="M6037" s="6" t="s">
        <v>463</v>
      </c>
      <c r="N6037" s="6">
        <f>IF(OR($G6037="FCC",$G6037="Hydrocracker",$G6037="Reformer"),IF(COUNTIFS($D:$D,$D6037,$A:$A,$A6037,$B:$B,$B6037,$G:$G,"CDU",$J:$J,"PLANNED")&gt;0,"tied","standalone"),"")</f>
        <v/>
      </c>
    </row>
    <row r="6038" spans="1:14">
      <c r="A6038" s="6">
        <v>2025</v>
      </c>
      <c r="B6038" s="6">
        <v>6</v>
      </c>
      <c r="C6038" s="6" t="s">
        <v>65</v>
      </c>
      <c r="D6038" s="6" t="s">
        <v>461</v>
      </c>
      <c r="E6038" s="6" t="s">
        <v>419</v>
      </c>
      <c r="F6038" s="6" t="str">
        <f>IF($M6038="PADD I","PADD 1",IF($M6038="PADD II","PADD 2",IF($M6038="PADD III","PADD 3",IF($M6038="PADD IV","PADD 4",IF($M6038="PADD V","PADD 5","")))))</f>
        <v>PADD 1</v>
      </c>
      <c r="G6038" s="6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6" t="s">
        <v>44</v>
      </c>
      <c r="I6038" s="6" t="s">
        <v>508</v>
      </c>
      <c r="J6038" s="6" t="s">
        <v>394</v>
      </c>
      <c r="K6038" s="10">
        <v>3.6125</v>
      </c>
      <c r="L6038" s="10">
        <v>21.25</v>
      </c>
      <c r="M6038" s="6" t="s">
        <v>463</v>
      </c>
      <c r="N6038" s="6">
        <f>IF(OR($G6038="FCC",$G6038="Hydrocracker",$G6038="Reformer"),IF(COUNTIFS($D:$D,$D6038,$A:$A,$A6038,$B:$B,$B6038,$G:$G,"CDU",$J:$J,"PLANNED")&gt;0,"tied","standalone"),"")</f>
        <v/>
      </c>
    </row>
    <row r="6039" spans="1:14">
      <c r="A6039" s="6">
        <v>2025</v>
      </c>
      <c r="B6039" s="6">
        <v>6</v>
      </c>
      <c r="C6039" s="6" t="s">
        <v>65</v>
      </c>
      <c r="D6039" s="6" t="s">
        <v>777</v>
      </c>
      <c r="E6039" s="6" t="s">
        <v>778</v>
      </c>
      <c r="F6039" s="6" t="str">
        <f>IF($M6039="PADD I","PADD 1",IF($M6039="PADD II","PADD 2",IF($M6039="PADD III","PADD 3",IF($M6039="PADD IV","PADD 4",IF($M6039="PADD V","PADD 5","")))))</f>
        <v>PADD 1</v>
      </c>
      <c r="G6039" s="6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6" t="s">
        <v>44</v>
      </c>
      <c r="I6039" s="6" t="s">
        <v>802</v>
      </c>
      <c r="J6039" s="6" t="s">
        <v>398</v>
      </c>
      <c r="K6039" s="10">
        <v>3.542</v>
      </c>
      <c r="L6039" s="10">
        <v>4.6</v>
      </c>
      <c r="M6039" s="6" t="s">
        <v>463</v>
      </c>
      <c r="N6039" s="6">
        <f>IF(OR($G6039="FCC",$G6039="Hydrocracker",$G6039="Reformer"),IF(COUNTIFS($D:$D,$D6039,$A:$A,$A6039,$B:$B,$B6039,$G:$G,"CDU",$J:$J,"PLANNED")&gt;0,"tied","standalone"),"")</f>
        <v/>
      </c>
    </row>
    <row r="6040" spans="1:14">
      <c r="A6040" s="6">
        <v>2025</v>
      </c>
      <c r="B6040" s="6">
        <v>6</v>
      </c>
      <c r="C6040" s="6" t="s">
        <v>65</v>
      </c>
      <c r="D6040" s="6" t="s">
        <v>777</v>
      </c>
      <c r="E6040" s="6" t="s">
        <v>778</v>
      </c>
      <c r="F6040" s="6" t="str">
        <f>IF($M6040="PADD I","PADD 1",IF($M6040="PADD II","PADD 2",IF($M6040="PADD III","PADD 3",IF($M6040="PADD IV","PADD 4",IF($M6040="PADD V","PADD 5","")))))</f>
        <v>PADD 1</v>
      </c>
      <c r="G6040" s="6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6" t="s">
        <v>687</v>
      </c>
      <c r="I6040" s="6" t="s">
        <v>1350</v>
      </c>
      <c r="J6040" s="6" t="s">
        <v>398</v>
      </c>
      <c r="K6040" s="10">
        <v>3.465</v>
      </c>
      <c r="L6040" s="10">
        <v>4.5</v>
      </c>
      <c r="M6040" s="6" t="s">
        <v>463</v>
      </c>
      <c r="N6040" s="6">
        <f>IF(OR($G6040="FCC",$G6040="Hydrocracker",$G6040="Reformer"),IF(COUNTIFS($D:$D,$D6040,$A:$A,$A6040,$B:$B,$B6040,$G:$G,"CDU",$J:$J,"PLANNED")&gt;0,"tied","standalone"),"")</f>
        <v/>
      </c>
    </row>
    <row r="6041" spans="1:14">
      <c r="A6041" s="6">
        <v>2025</v>
      </c>
      <c r="B6041" s="6">
        <v>6</v>
      </c>
      <c r="C6041" s="6" t="s">
        <v>65</v>
      </c>
      <c r="D6041" s="6" t="s">
        <v>777</v>
      </c>
      <c r="E6041" s="6" t="s">
        <v>778</v>
      </c>
      <c r="F6041" s="6" t="str">
        <f>IF($M6041="PADD I","PADD 1",IF($M6041="PADD II","PADD 2",IF($M6041="PADD III","PADD 3",IF($M6041="PADD IV","PADD 4",IF($M6041="PADD V","PADD 5","")))))</f>
        <v>PADD 1</v>
      </c>
      <c r="G6041" s="6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6" t="s">
        <v>687</v>
      </c>
      <c r="I6041" s="6" t="s">
        <v>1351</v>
      </c>
      <c r="J6041" s="6" t="s">
        <v>398</v>
      </c>
      <c r="K6041" s="10">
        <v>3.465</v>
      </c>
      <c r="L6041" s="10">
        <v>4.5</v>
      </c>
      <c r="M6041" s="6" t="s">
        <v>463</v>
      </c>
      <c r="N6041" s="6">
        <f>IF(OR($G6041="FCC",$G6041="Hydrocracker",$G6041="Reformer"),IF(COUNTIFS($D:$D,$D6041,$A:$A,$A6041,$B:$B,$B6041,$G:$G,"CDU",$J:$J,"PLANNED")&gt;0,"tied","standalone"),"")</f>
        <v/>
      </c>
    </row>
    <row r="6042" spans="1:14">
      <c r="A6042" s="6">
        <v>2025</v>
      </c>
      <c r="B6042" s="6">
        <v>6</v>
      </c>
      <c r="C6042" s="6" t="s">
        <v>65</v>
      </c>
      <c r="D6042" s="6" t="s">
        <v>777</v>
      </c>
      <c r="E6042" s="6" t="s">
        <v>778</v>
      </c>
      <c r="F6042" s="6" t="str">
        <f>IF($M6042="PADD I","PADD 1",IF($M6042="PADD II","PADD 2",IF($M6042="PADD III","PADD 3",IF($M6042="PADD IV","PADD 4",IF($M6042="PADD V","PADD 5","")))))</f>
        <v>PADD 1</v>
      </c>
      <c r="G6042" s="6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6" t="s">
        <v>494</v>
      </c>
      <c r="I6042" s="6" t="s">
        <v>803</v>
      </c>
      <c r="J6042" s="6" t="s">
        <v>398</v>
      </c>
      <c r="K6042" s="10">
        <v>3.311</v>
      </c>
      <c r="L6042" s="10">
        <v>4.3</v>
      </c>
      <c r="M6042" s="6" t="s">
        <v>463</v>
      </c>
      <c r="N6042" s="6" t="str">
        <f>IF(OR($G6042="FCC",$G6042="Hydrocracker",$G6042="Reformer"),IF(COUNTIFS($D:$D,$D6042,$A:$A,$A6042,$B:$B,$B6042,$G:$G,"CDU",$J:$J,"PLANNED")&gt;0,"tied","standalone"),"")</f>
        <v>tied</v>
      </c>
    </row>
    <row r="6043" spans="1:14">
      <c r="A6043" s="6">
        <v>2025</v>
      </c>
      <c r="B6043" s="6">
        <v>6</v>
      </c>
      <c r="C6043" s="6" t="s">
        <v>65</v>
      </c>
      <c r="D6043" s="6" t="s">
        <v>52</v>
      </c>
      <c r="E6043" s="6" t="s">
        <v>441</v>
      </c>
      <c r="F6043" s="6" t="str">
        <f>IF($M6043="PADD I","PADD 1",IF($M6043="PADD II","PADD 2",IF($M6043="PADD III","PADD 3",IF($M6043="PADD IV","PADD 4",IF($M6043="PADD V","PADD 5","")))))</f>
        <v>PADD 5</v>
      </c>
      <c r="G6043" s="6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6" t="s">
        <v>510</v>
      </c>
      <c r="I6043" s="6" t="s">
        <v>511</v>
      </c>
      <c r="J6043" s="6" t="s">
        <v>394</v>
      </c>
      <c r="K6043" s="10">
        <v>3.3</v>
      </c>
      <c r="L6043" s="10">
        <v>33</v>
      </c>
      <c r="M6043" s="6" t="s">
        <v>436</v>
      </c>
      <c r="N6043" s="6">
        <f>IF(OR($G6043="FCC",$G6043="Hydrocracker",$G6043="Reformer"),IF(COUNTIFS($D:$D,$D6043,$A:$A,$A6043,$B:$B,$B6043,$G:$G,"CDU",$J:$J,"PLANNED")&gt;0,"tied","standalone"),"")</f>
        <v/>
      </c>
    </row>
    <row r="6044" spans="1:14">
      <c r="A6044" s="6">
        <v>2025</v>
      </c>
      <c r="B6044" s="6">
        <v>6</v>
      </c>
      <c r="C6044" s="6" t="s">
        <v>65</v>
      </c>
      <c r="D6044" s="6" t="s">
        <v>461</v>
      </c>
      <c r="E6044" s="6" t="s">
        <v>419</v>
      </c>
      <c r="F6044" s="6" t="str">
        <f>IF($M6044="PADD I","PADD 1",IF($M6044="PADD II","PADD 2",IF($M6044="PADD III","PADD 3",IF($M6044="PADD IV","PADD 4",IF($M6044="PADD V","PADD 5","")))))</f>
        <v>PADD 1</v>
      </c>
      <c r="G6044" s="6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6" t="s">
        <v>428</v>
      </c>
      <c r="I6044" s="6" t="s">
        <v>481</v>
      </c>
      <c r="J6044" s="6" t="s">
        <v>394</v>
      </c>
      <c r="K6044" s="10">
        <v>3.1875</v>
      </c>
      <c r="L6044" s="10">
        <v>18.75</v>
      </c>
      <c r="M6044" s="6" t="s">
        <v>463</v>
      </c>
      <c r="N6044" s="6">
        <f>IF(OR($G6044="FCC",$G6044="Hydrocracker",$G6044="Reformer"),IF(COUNTIFS($D:$D,$D6044,$A:$A,$A6044,$B:$B,$B6044,$G:$G,"CDU",$J:$J,"PLANNED")&gt;0,"tied","standalone"),"")</f>
        <v/>
      </c>
    </row>
    <row r="6045" spans="1:14">
      <c r="A6045" s="6">
        <v>2025</v>
      </c>
      <c r="B6045" s="6">
        <v>6</v>
      </c>
      <c r="C6045" s="6" t="s">
        <v>65</v>
      </c>
      <c r="D6045" s="6" t="s">
        <v>395</v>
      </c>
      <c r="E6045" s="6" t="s">
        <v>433</v>
      </c>
      <c r="F6045" s="6" t="str">
        <f>IF($M6045="PADD I","PADD 1",IF($M6045="PADD II","PADD 2",IF($M6045="PADD III","PADD 3",IF($M6045="PADD IV","PADD 4",IF($M6045="PADD V","PADD 5","")))))</f>
        <v>PADD 2</v>
      </c>
      <c r="G6045" s="6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6" t="s">
        <v>471</v>
      </c>
      <c r="I6045" s="6" t="s">
        <v>521</v>
      </c>
      <c r="J6045" s="6" t="s">
        <v>394</v>
      </c>
      <c r="K6045" s="10">
        <v>3</v>
      </c>
      <c r="L6045" s="10">
        <v>30</v>
      </c>
      <c r="M6045" s="6" t="s">
        <v>425</v>
      </c>
      <c r="N6045" s="6" t="str">
        <f>IF(OR($G6045="FCC",$G6045="Hydrocracker",$G6045="Reformer"),IF(COUNTIFS($D:$D,$D6045,$A:$A,$A6045,$B:$B,$B6045,$G:$G,"CDU",$J:$J,"PLANNED")&gt;0,"tied","standalone"),"")</f>
        <v>standalone</v>
      </c>
    </row>
    <row r="6046" spans="1:14">
      <c r="A6046" s="6">
        <v>2025</v>
      </c>
      <c r="B6046" s="6">
        <v>6</v>
      </c>
      <c r="C6046" s="6" t="s">
        <v>65</v>
      </c>
      <c r="D6046" s="6" t="s">
        <v>501</v>
      </c>
      <c r="E6046" s="6" t="s">
        <v>502</v>
      </c>
      <c r="F6046" s="6" t="str">
        <f>IF($M6046="PADD I","PADD 1",IF($M6046="PADD II","PADD 2",IF($M6046="PADD III","PADD 3",IF($M6046="PADD IV","PADD 4",IF($M6046="PADD V","PADD 5","")))))</f>
        <v>PADD 2</v>
      </c>
      <c r="G6046" s="6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6" t="s">
        <v>39</v>
      </c>
      <c r="I6046" s="6" t="s">
        <v>531</v>
      </c>
      <c r="J6046" s="6" t="s">
        <v>394</v>
      </c>
      <c r="K6046" s="10">
        <v>2.8</v>
      </c>
      <c r="L6046" s="10">
        <v>40</v>
      </c>
      <c r="M6046" s="6" t="s">
        <v>425</v>
      </c>
      <c r="N6046" s="6">
        <f>IF(OR($G6046="FCC",$G6046="Hydrocracker",$G6046="Reformer"),IF(COUNTIFS($D:$D,$D6046,$A:$A,$A6046,$B:$B,$B6046,$G:$G,"CDU",$J:$J,"PLANNED")&gt;0,"tied","standalone"),"")</f>
        <v/>
      </c>
    </row>
    <row r="6047" spans="1:14">
      <c r="A6047" s="6">
        <v>2025</v>
      </c>
      <c r="B6047" s="6">
        <v>6</v>
      </c>
      <c r="C6047" s="6" t="s">
        <v>65</v>
      </c>
      <c r="D6047" s="6" t="s">
        <v>458</v>
      </c>
      <c r="E6047" s="6" t="s">
        <v>459</v>
      </c>
      <c r="F6047" s="6" t="str">
        <f>IF($M6047="PADD I","PADD 1",IF($M6047="PADD II","PADD 2",IF($M6047="PADD III","PADD 3",IF($M6047="PADD IV","PADD 4",IF($M6047="PADD V","PADD 5","")))))</f>
        <v>PADD 3</v>
      </c>
      <c r="G6047" s="6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6" t="s">
        <v>471</v>
      </c>
      <c r="I6047" s="6" t="s">
        <v>583</v>
      </c>
      <c r="J6047" s="6" t="s">
        <v>394</v>
      </c>
      <c r="K6047" s="10">
        <v>2.772</v>
      </c>
      <c r="L6047" s="10">
        <v>39.6</v>
      </c>
      <c r="M6047" s="6" t="s">
        <v>421</v>
      </c>
      <c r="N6047" s="6" t="str">
        <f>IF(OR($G6047="FCC",$G6047="Hydrocracker",$G6047="Reformer"),IF(COUNTIFS($D:$D,$D6047,$A:$A,$A6047,$B:$B,$B6047,$G:$G,"CDU",$J:$J,"PLANNED")&gt;0,"tied","standalone"),"")</f>
        <v>standalone</v>
      </c>
    </row>
    <row r="6048" spans="1:14">
      <c r="A6048" s="6">
        <v>2025</v>
      </c>
      <c r="B6048" s="6">
        <v>6</v>
      </c>
      <c r="C6048" s="6" t="s">
        <v>65</v>
      </c>
      <c r="D6048" s="6" t="s">
        <v>458</v>
      </c>
      <c r="E6048" s="6" t="s">
        <v>459</v>
      </c>
      <c r="F6048" s="6" t="str">
        <f>IF($M6048="PADD I","PADD 1",IF($M6048="PADD II","PADD 2",IF($M6048="PADD III","PADD 3",IF($M6048="PADD IV","PADD 4",IF($M6048="PADD V","PADD 5","")))))</f>
        <v>PADD 3</v>
      </c>
      <c r="G6048" s="6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6" t="s">
        <v>471</v>
      </c>
      <c r="I6048" s="6" t="s">
        <v>583</v>
      </c>
      <c r="J6048" s="6" t="s">
        <v>394</v>
      </c>
      <c r="K6048" s="10">
        <v>2.772</v>
      </c>
      <c r="L6048" s="10">
        <v>39.6</v>
      </c>
      <c r="M6048" s="6" t="s">
        <v>421</v>
      </c>
      <c r="N6048" s="6" t="str">
        <f>IF(OR($G6048="FCC",$G6048="Hydrocracker",$G6048="Reformer"),IF(COUNTIFS($D:$D,$D6048,$A:$A,$A6048,$B:$B,$B6048,$G:$G,"CDU",$J:$J,"PLANNED")&gt;0,"tied","standalone"),"")</f>
        <v>standalone</v>
      </c>
    </row>
    <row r="6049" spans="1:14">
      <c r="A6049" s="6">
        <v>2025</v>
      </c>
      <c r="B6049" s="6">
        <v>6</v>
      </c>
      <c r="C6049" s="6" t="s">
        <v>65</v>
      </c>
      <c r="D6049" s="6" t="s">
        <v>777</v>
      </c>
      <c r="E6049" s="6" t="s">
        <v>778</v>
      </c>
      <c r="F6049" s="6" t="str">
        <f>IF($M6049="PADD I","PADD 1",IF($M6049="PADD II","PADD 2",IF($M6049="PADD III","PADD 3",IF($M6049="PADD IV","PADD 4",IF($M6049="PADD V","PADD 5","")))))</f>
        <v>PADD 1</v>
      </c>
      <c r="G6049" s="6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6" t="s">
        <v>471</v>
      </c>
      <c r="I6049" s="6" t="s">
        <v>621</v>
      </c>
      <c r="J6049" s="6" t="s">
        <v>398</v>
      </c>
      <c r="K6049" s="10">
        <v>2.772</v>
      </c>
      <c r="L6049" s="10">
        <v>3.6</v>
      </c>
      <c r="M6049" s="6" t="s">
        <v>463</v>
      </c>
      <c r="N6049" s="6" t="str">
        <f>IF(OR($G6049="FCC",$G6049="Hydrocracker",$G6049="Reformer"),IF(COUNTIFS($D:$D,$D6049,$A:$A,$A6049,$B:$B,$B6049,$G:$G,"CDU",$J:$J,"PLANNED")&gt;0,"tied","standalone"),"")</f>
        <v>tied</v>
      </c>
    </row>
    <row r="6050" spans="1:14">
      <c r="A6050" s="6">
        <v>2025</v>
      </c>
      <c r="B6050" s="6">
        <v>6</v>
      </c>
      <c r="C6050" s="6" t="s">
        <v>65</v>
      </c>
      <c r="D6050" s="6" t="s">
        <v>597</v>
      </c>
      <c r="E6050" s="6" t="s">
        <v>441</v>
      </c>
      <c r="F6050" s="6" t="str">
        <f>IF($M6050="PADD I","PADD 1",IF($M6050="PADD II","PADD 2",IF($M6050="PADD III","PADD 3",IF($M6050="PADD IV","PADD 4",IF($M6050="PADD V","PADD 5","")))))</f>
        <v>PADD 5</v>
      </c>
      <c r="G6050" s="6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6" t="s">
        <v>426</v>
      </c>
      <c r="I6050" s="6" t="s">
        <v>106</v>
      </c>
      <c r="J6050" s="6" t="s">
        <v>394</v>
      </c>
      <c r="K6050" s="10">
        <v>2.7</v>
      </c>
      <c r="L6050" s="10">
        <v>90</v>
      </c>
      <c r="M6050" s="6" t="s">
        <v>436</v>
      </c>
      <c r="N6050" s="6" t="str">
        <f>IF(OR($G6050="FCC",$G6050="Hydrocracker",$G6050="Reformer"),IF(COUNTIFS($D:$D,$D6050,$A:$A,$A6050,$B:$B,$B6050,$G:$G,"CDU",$J:$J,"PLANNED")&gt;0,"tied","standalone"),"")</f>
        <v>standalone</v>
      </c>
    </row>
    <row r="6051" spans="1:14">
      <c r="A6051" s="6">
        <v>2025</v>
      </c>
      <c r="B6051" s="6">
        <v>6</v>
      </c>
      <c r="C6051" s="6" t="s">
        <v>65</v>
      </c>
      <c r="D6051" s="6" t="s">
        <v>487</v>
      </c>
      <c r="E6051" s="6" t="s">
        <v>488</v>
      </c>
      <c r="F6051" s="6" t="str">
        <f>IF($M6051="PADD I","PADD 1",IF($M6051="PADD II","PADD 2",IF($M6051="PADD III","PADD 3",IF($M6051="PADD IV","PADD 4",IF($M6051="PADD V","PADD 5","")))))</f>
        <v>PADD 4</v>
      </c>
      <c r="G6051" s="6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6" t="s">
        <v>426</v>
      </c>
      <c r="I6051" s="6" t="s">
        <v>478</v>
      </c>
      <c r="J6051" s="6" t="s">
        <v>394</v>
      </c>
      <c r="K6051" s="10">
        <v>2.511</v>
      </c>
      <c r="L6051" s="10">
        <v>9.300000000000001</v>
      </c>
      <c r="M6051" s="6" t="s">
        <v>480</v>
      </c>
      <c r="N6051" s="6" t="str">
        <f>IF(OR($G6051="FCC",$G6051="Hydrocracker",$G6051="Reformer"),IF(COUNTIFS($D:$D,$D6051,$A:$A,$A6051,$B:$B,$B6051,$G:$G,"CDU",$J:$J,"PLANNED")&gt;0,"tied","standalone"),"")</f>
        <v>standalone</v>
      </c>
    </row>
    <row r="6052" spans="1:14">
      <c r="A6052" s="6">
        <v>2025</v>
      </c>
      <c r="B6052" s="6">
        <v>6</v>
      </c>
      <c r="C6052" s="6" t="s">
        <v>65</v>
      </c>
      <c r="D6052" s="6" t="s">
        <v>41</v>
      </c>
      <c r="E6052" s="6" t="s">
        <v>786</v>
      </c>
      <c r="F6052" s="6" t="str">
        <f>IF($M6052="PADD I","PADD 1",IF($M6052="PADD II","PADD 2",IF($M6052="PADD III","PADD 3",IF($M6052="PADD IV","PADD 4",IF($M6052="PADD V","PADD 5","")))))</f>
        <v>PADD 1</v>
      </c>
      <c r="G6052" s="6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6" t="s">
        <v>494</v>
      </c>
      <c r="I6052" s="6" t="s">
        <v>495</v>
      </c>
      <c r="J6052" s="6" t="s">
        <v>394</v>
      </c>
      <c r="K6052" s="10">
        <v>2.4</v>
      </c>
      <c r="L6052" s="10">
        <v>24</v>
      </c>
      <c r="M6052" s="6" t="s">
        <v>463</v>
      </c>
      <c r="N6052" s="6" t="str">
        <f>IF(OR($G6052="FCC",$G6052="Hydrocracker",$G6052="Reformer"),IF(COUNTIFS($D:$D,$D6052,$A:$A,$A6052,$B:$B,$B6052,$G:$G,"CDU",$J:$J,"PLANNED")&gt;0,"tied","standalone"),"")</f>
        <v>standalone</v>
      </c>
    </row>
    <row r="6053" spans="1:14">
      <c r="A6053" s="6">
        <v>2025</v>
      </c>
      <c r="B6053" s="6">
        <v>6</v>
      </c>
      <c r="C6053" s="6" t="s">
        <v>65</v>
      </c>
      <c r="D6053" s="6" t="s">
        <v>461</v>
      </c>
      <c r="E6053" s="6" t="s">
        <v>419</v>
      </c>
      <c r="F6053" s="6" t="str">
        <f>IF($M6053="PADD I","PADD 1",IF($M6053="PADD II","PADD 2",IF($M6053="PADD III","PADD 3",IF($M6053="PADD IV","PADD 4",IF($M6053="PADD V","PADD 5","")))))</f>
        <v>PADD 1</v>
      </c>
      <c r="G6053" s="6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6" t="s">
        <v>44</v>
      </c>
      <c r="I6053" s="6" t="s">
        <v>538</v>
      </c>
      <c r="J6053" s="6" t="s">
        <v>394</v>
      </c>
      <c r="K6053" s="10">
        <v>2.295</v>
      </c>
      <c r="L6053" s="10">
        <v>13.5</v>
      </c>
      <c r="M6053" s="6" t="s">
        <v>463</v>
      </c>
      <c r="N6053" s="6">
        <f>IF(OR($G6053="FCC",$G6053="Hydrocracker",$G6053="Reformer"),IF(COUNTIFS($D:$D,$D6053,$A:$A,$A6053,$B:$B,$B6053,$G:$G,"CDU",$J:$J,"PLANNED")&gt;0,"tied","standalone"),"")</f>
        <v/>
      </c>
    </row>
    <row r="6054" spans="1:14">
      <c r="A6054" s="6">
        <v>2025</v>
      </c>
      <c r="B6054" s="6">
        <v>6</v>
      </c>
      <c r="C6054" s="6" t="s">
        <v>65</v>
      </c>
      <c r="D6054" s="6" t="s">
        <v>901</v>
      </c>
      <c r="E6054" s="6" t="s">
        <v>902</v>
      </c>
      <c r="F6054" s="6" t="str">
        <f>IF($M6054="PADD I","PADD 1",IF($M6054="PADD II","PADD 2",IF($M6054="PADD III","PADD 3",IF($M6054="PADD IV","PADD 4",IF($M6054="PADD V","PADD 5","")))))</f>
        <v>PADD 3</v>
      </c>
      <c r="G6054" s="6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6" t="s">
        <v>39</v>
      </c>
      <c r="I6054" s="6" t="s">
        <v>904</v>
      </c>
      <c r="J6054" s="6" t="s">
        <v>394</v>
      </c>
      <c r="K6054" s="10">
        <v>2.19</v>
      </c>
      <c r="L6054" s="10">
        <v>73</v>
      </c>
      <c r="M6054" s="6" t="s">
        <v>421</v>
      </c>
      <c r="N6054" s="6">
        <f>IF(OR($G6054="FCC",$G6054="Hydrocracker",$G6054="Reformer"),IF(COUNTIFS($D:$D,$D6054,$A:$A,$A6054,$B:$B,$B6054,$G:$G,"CDU",$J:$J,"PLANNED")&gt;0,"tied","standalone"),"")</f>
        <v/>
      </c>
    </row>
    <row r="6055" spans="1:14">
      <c r="A6055" s="6">
        <v>2025</v>
      </c>
      <c r="B6055" s="6">
        <v>6</v>
      </c>
      <c r="C6055" s="6" t="s">
        <v>65</v>
      </c>
      <c r="D6055" s="6" t="s">
        <v>1365</v>
      </c>
      <c r="E6055" s="6" t="s">
        <v>1366</v>
      </c>
      <c r="F6055" s="6" t="str">
        <f>IF($M6055="PADD I","PADD 1",IF($M6055="PADD II","PADD 2",IF($M6055="PADD III","PADD 3",IF($M6055="PADD IV","PADD 4",IF($M6055="PADD V","PADD 5","")))))</f>
        <v>PADD 1</v>
      </c>
      <c r="G6055" s="6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6" t="s">
        <v>471</v>
      </c>
      <c r="I6055" s="6" t="s">
        <v>621</v>
      </c>
      <c r="J6055" s="6" t="s">
        <v>398</v>
      </c>
      <c r="K6055" s="10">
        <v>2.134</v>
      </c>
      <c r="L6055" s="10">
        <v>2.2</v>
      </c>
      <c r="M6055" s="6" t="s">
        <v>463</v>
      </c>
      <c r="N6055" s="6" t="str">
        <f>IF(OR($G6055="FCC",$G6055="Hydrocracker",$G6055="Reformer"),IF(COUNTIFS($D:$D,$D6055,$A:$A,$A6055,$B:$B,$B6055,$G:$G,"CDU",$J:$J,"PLANNED")&gt;0,"tied","standalone"),"")</f>
        <v>tied</v>
      </c>
    </row>
    <row r="6056" spans="1:14">
      <c r="A6056" s="6">
        <v>2025</v>
      </c>
      <c r="B6056" s="6">
        <v>6</v>
      </c>
      <c r="C6056" s="6" t="s">
        <v>65</v>
      </c>
      <c r="D6056" s="6" t="s">
        <v>772</v>
      </c>
      <c r="E6056" s="6" t="s">
        <v>502</v>
      </c>
      <c r="F6056" s="6" t="str">
        <f>IF($M6056="PADD I","PADD 1",IF($M6056="PADD II","PADD 2",IF($M6056="PADD III","PADD 3",IF($M6056="PADD IV","PADD 4",IF($M6056="PADD V","PADD 5","")))))</f>
        <v>PADD 4</v>
      </c>
      <c r="G6056" s="6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6" t="s">
        <v>426</v>
      </c>
      <c r="I6056" s="6" t="s">
        <v>1156</v>
      </c>
      <c r="J6056" s="6" t="s">
        <v>398</v>
      </c>
      <c r="K6056" s="10">
        <v>2.07</v>
      </c>
      <c r="L6056" s="10">
        <v>9</v>
      </c>
      <c r="M6056" s="6" t="s">
        <v>480</v>
      </c>
      <c r="N6056" s="6" t="str">
        <f>IF(OR($G6056="FCC",$G6056="Hydrocracker",$G6056="Reformer"),IF(COUNTIFS($D:$D,$D6056,$A:$A,$A6056,$B:$B,$B6056,$G:$G,"CDU",$J:$J,"PLANNED")&gt;0,"tied","standalone"),"")</f>
        <v>standalone</v>
      </c>
    </row>
    <row r="6057" spans="1:14">
      <c r="A6057" s="6">
        <v>2025</v>
      </c>
      <c r="B6057" s="6">
        <v>6</v>
      </c>
      <c r="C6057" s="6" t="s">
        <v>65</v>
      </c>
      <c r="D6057" s="6" t="s">
        <v>764</v>
      </c>
      <c r="E6057" s="6" t="s">
        <v>455</v>
      </c>
      <c r="F6057" s="6" t="str">
        <f>IF($M6057="PADD I","PADD 1",IF($M6057="PADD II","PADD 2",IF($M6057="PADD III","PADD 3",IF($M6057="PADD IV","PADD 4",IF($M6057="PADD V","PADD 5","")))))</f>
        <v>PADD 3</v>
      </c>
      <c r="G6057" s="6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6" t="s">
        <v>494</v>
      </c>
      <c r="I6057" s="6" t="s">
        <v>14</v>
      </c>
      <c r="J6057" s="6" t="s">
        <v>394</v>
      </c>
      <c r="K6057" s="10">
        <v>2.065</v>
      </c>
      <c r="L6057" s="10">
        <v>29.5</v>
      </c>
      <c r="M6057" s="6" t="s">
        <v>421</v>
      </c>
      <c r="N6057" s="6" t="str">
        <f>IF(OR($G6057="FCC",$G6057="Hydrocracker",$G6057="Reformer"),IF(COUNTIFS($D:$D,$D6057,$A:$A,$A6057,$B:$B,$B6057,$G:$G,"CDU",$J:$J,"PLANNED")&gt;0,"tied","standalone"),"")</f>
        <v>standalone</v>
      </c>
    </row>
    <row r="6058" spans="1:14">
      <c r="A6058" s="6">
        <v>2025</v>
      </c>
      <c r="B6058" s="6">
        <v>6</v>
      </c>
      <c r="C6058" s="6" t="s">
        <v>65</v>
      </c>
      <c r="D6058" s="6" t="s">
        <v>772</v>
      </c>
      <c r="E6058" s="6" t="s">
        <v>502</v>
      </c>
      <c r="F6058" s="6" t="str">
        <f>IF($M6058="PADD I","PADD 1",IF($M6058="PADD II","PADD 2",IF($M6058="PADD III","PADD 3",IF($M6058="PADD IV","PADD 4",IF($M6058="PADD V","PADD 5","")))))</f>
        <v>PADD 4</v>
      </c>
      <c r="G6058" s="6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6" t="s">
        <v>39</v>
      </c>
      <c r="I6058" s="6" t="s">
        <v>82</v>
      </c>
      <c r="J6058" s="6" t="s">
        <v>394</v>
      </c>
      <c r="K6058" s="10">
        <v>1.95</v>
      </c>
      <c r="L6058" s="10">
        <v>15</v>
      </c>
      <c r="M6058" s="6" t="s">
        <v>480</v>
      </c>
      <c r="N6058" s="6">
        <f>IF(OR($G6058="FCC",$G6058="Hydrocracker",$G6058="Reformer"),IF(COUNTIFS($D:$D,$D6058,$A:$A,$A6058,$B:$B,$B6058,$G:$G,"CDU",$J:$J,"PLANNED")&gt;0,"tied","standalone"),"")</f>
        <v/>
      </c>
    </row>
    <row r="6059" spans="1:14">
      <c r="A6059" s="6">
        <v>2025</v>
      </c>
      <c r="B6059" s="6">
        <v>6</v>
      </c>
      <c r="C6059" s="6" t="s">
        <v>65</v>
      </c>
      <c r="D6059" s="6" t="s">
        <v>41</v>
      </c>
      <c r="E6059" s="6" t="s">
        <v>786</v>
      </c>
      <c r="F6059" s="6" t="str">
        <f>IF($M6059="PADD I","PADD 1",IF($M6059="PADD II","PADD 2",IF($M6059="PADD III","PADD 3",IF($M6059="PADD IV","PADD 4",IF($M6059="PADD V","PADD 5","")))))</f>
        <v>PADD 1</v>
      </c>
      <c r="G6059" s="6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6" t="s">
        <v>44</v>
      </c>
      <c r="I6059" s="6" t="s">
        <v>1061</v>
      </c>
      <c r="J6059" s="6" t="s">
        <v>394</v>
      </c>
      <c r="K6059" s="10">
        <v>1.82</v>
      </c>
      <c r="L6059" s="10">
        <v>26</v>
      </c>
      <c r="M6059" s="6" t="s">
        <v>463</v>
      </c>
      <c r="N6059" s="6">
        <f>IF(OR($G6059="FCC",$G6059="Hydrocracker",$G6059="Reformer"),IF(COUNTIFS($D:$D,$D6059,$A:$A,$A6059,$B:$B,$B6059,$G:$G,"CDU",$J:$J,"PLANNED")&gt;0,"tied","standalone"),"")</f>
        <v/>
      </c>
    </row>
    <row r="6060" spans="1:14">
      <c r="A6060" s="6">
        <v>2025</v>
      </c>
      <c r="B6060" s="6">
        <v>6</v>
      </c>
      <c r="C6060" s="6" t="s">
        <v>65</v>
      </c>
      <c r="D6060" s="6" t="s">
        <v>928</v>
      </c>
      <c r="E6060" s="6" t="s">
        <v>502</v>
      </c>
      <c r="F6060" s="6" t="str">
        <f>IF($M6060="PADD I","PADD 1",IF($M6060="PADD II","PADD 2",IF($M6060="PADD III","PADD 3",IF($M6060="PADD IV","PADD 4",IF($M6060="PADD V","PADD 5","")))))</f>
        <v>PADD 2</v>
      </c>
      <c r="G6060" s="6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6" t="s">
        <v>485</v>
      </c>
      <c r="I6060" s="6" t="s">
        <v>491</v>
      </c>
      <c r="J6060" s="6" t="s">
        <v>394</v>
      </c>
      <c r="K6060" s="10">
        <v>1.7</v>
      </c>
      <c r="L6060" s="10">
        <v>8.5</v>
      </c>
      <c r="M6060" s="6" t="s">
        <v>425</v>
      </c>
      <c r="N6060" s="6">
        <f>IF(OR($G6060="FCC",$G6060="Hydrocracker",$G6060="Reformer"),IF(COUNTIFS($D:$D,$D6060,$A:$A,$A6060,$B:$B,$B6060,$G:$G,"CDU",$J:$J,"PLANNED")&gt;0,"tied","standalone"),"")</f>
        <v/>
      </c>
    </row>
    <row r="6061" spans="1:14">
      <c r="A6061" s="6">
        <v>2025</v>
      </c>
      <c r="B6061" s="6">
        <v>6</v>
      </c>
      <c r="C6061" s="6" t="s">
        <v>65</v>
      </c>
      <c r="D6061" s="6" t="s">
        <v>928</v>
      </c>
      <c r="E6061" s="6" t="s">
        <v>502</v>
      </c>
      <c r="F6061" s="6" t="str">
        <f>IF($M6061="PADD I","PADD 1",IF($M6061="PADD II","PADD 2",IF($M6061="PADD III","PADD 3",IF($M6061="PADD IV","PADD 4",IF($M6061="PADD V","PADD 5","")))))</f>
        <v>PADD 2</v>
      </c>
      <c r="G6061" s="6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6" t="s">
        <v>485</v>
      </c>
      <c r="I6061" s="6" t="s">
        <v>491</v>
      </c>
      <c r="J6061" s="6" t="s">
        <v>394</v>
      </c>
      <c r="K6061" s="10">
        <v>1.7</v>
      </c>
      <c r="L6061" s="10">
        <v>8.5</v>
      </c>
      <c r="M6061" s="6" t="s">
        <v>425</v>
      </c>
      <c r="N6061" s="6">
        <f>IF(OR($G6061="FCC",$G6061="Hydrocracker",$G6061="Reformer"),IF(COUNTIFS($D:$D,$D6061,$A:$A,$A6061,$B:$B,$B6061,$G:$G,"CDU",$J:$J,"PLANNED")&gt;0,"tied","standalone"),"")</f>
        <v/>
      </c>
    </row>
    <row r="6062" spans="1:14">
      <c r="A6062" s="6">
        <v>2025</v>
      </c>
      <c r="B6062" s="6">
        <v>6</v>
      </c>
      <c r="C6062" s="6" t="s">
        <v>65</v>
      </c>
      <c r="D6062" s="6" t="s">
        <v>838</v>
      </c>
      <c r="E6062" s="6" t="s">
        <v>455</v>
      </c>
      <c r="F6062" s="6" t="str">
        <f>IF($M6062="PADD I","PADD 1",IF($M6062="PADD II","PADD 2",IF($M6062="PADD III","PADD 3",IF($M6062="PADD IV","PADD 4",IF($M6062="PADD V","PADD 5","")))))</f>
        <v>PADD 3</v>
      </c>
      <c r="G6062" s="6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6" t="s">
        <v>494</v>
      </c>
      <c r="I6062" s="6" t="s">
        <v>881</v>
      </c>
      <c r="J6062" s="6" t="s">
        <v>394</v>
      </c>
      <c r="K6062" s="10">
        <v>1.65</v>
      </c>
      <c r="L6062" s="10">
        <v>55</v>
      </c>
      <c r="M6062" s="6" t="s">
        <v>421</v>
      </c>
      <c r="N6062" s="6" t="str">
        <f>IF(OR($G6062="FCC",$G6062="Hydrocracker",$G6062="Reformer"),IF(COUNTIFS($D:$D,$D6062,$A:$A,$A6062,$B:$B,$B6062,$G:$G,"CDU",$J:$J,"PLANNED")&gt;0,"tied","standalone"),"")</f>
        <v>standalone</v>
      </c>
    </row>
    <row r="6063" spans="1:14">
      <c r="A6063" s="6">
        <v>2025</v>
      </c>
      <c r="B6063" s="6">
        <v>6</v>
      </c>
      <c r="C6063" s="6" t="s">
        <v>65</v>
      </c>
      <c r="D6063" s="6" t="s">
        <v>838</v>
      </c>
      <c r="E6063" s="6" t="s">
        <v>455</v>
      </c>
      <c r="F6063" s="6" t="str">
        <f>IF($M6063="PADD I","PADD 1",IF($M6063="PADD II","PADD 2",IF($M6063="PADD III","PADD 3",IF($M6063="PADD IV","PADD 4",IF($M6063="PADD V","PADD 5","")))))</f>
        <v>PADD 3</v>
      </c>
      <c r="G6063" s="6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6" t="s">
        <v>428</v>
      </c>
      <c r="I6063" s="6" t="s">
        <v>862</v>
      </c>
      <c r="J6063" s="6" t="s">
        <v>394</v>
      </c>
      <c r="K6063" s="10">
        <v>1.5</v>
      </c>
      <c r="L6063" s="10">
        <v>50</v>
      </c>
      <c r="M6063" s="6" t="s">
        <v>421</v>
      </c>
      <c r="N6063" s="6">
        <f>IF(OR($G6063="FCC",$G6063="Hydrocracker",$G6063="Reformer"),IF(COUNTIFS($D:$D,$D6063,$A:$A,$A6063,$B:$B,$B6063,$G:$G,"CDU",$J:$J,"PLANNED")&gt;0,"tied","standalone"),"")</f>
        <v/>
      </c>
    </row>
    <row r="6064" spans="1:14">
      <c r="A6064" s="6">
        <v>2025</v>
      </c>
      <c r="B6064" s="6">
        <v>6</v>
      </c>
      <c r="C6064" s="6" t="s">
        <v>65</v>
      </c>
      <c r="D6064" s="6" t="s">
        <v>853</v>
      </c>
      <c r="E6064" s="6" t="s">
        <v>438</v>
      </c>
      <c r="F6064" s="6" t="str">
        <f>IF($M6064="PADD I","PADD 1",IF($M6064="PADD II","PADD 2",IF($M6064="PADD III","PADD 3",IF($M6064="PADD IV","PADD 4",IF($M6064="PADD V","PADD 5","")))))</f>
        <v>PADD 2</v>
      </c>
      <c r="G6064" s="6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6" t="s">
        <v>471</v>
      </c>
      <c r="I6064" s="6" t="s">
        <v>609</v>
      </c>
      <c r="J6064" s="6" t="s">
        <v>394</v>
      </c>
      <c r="K6064" s="10">
        <v>1.4625</v>
      </c>
      <c r="L6064" s="10">
        <v>11.25</v>
      </c>
      <c r="M6064" s="6" t="s">
        <v>425</v>
      </c>
      <c r="N6064" s="6" t="str">
        <f>IF(OR($G6064="FCC",$G6064="Hydrocracker",$G6064="Reformer"),IF(COUNTIFS($D:$D,$D6064,$A:$A,$A6064,$B:$B,$B6064,$G:$G,"CDU",$J:$J,"PLANNED")&gt;0,"tied","standalone"),"")</f>
        <v>standalone</v>
      </c>
    </row>
    <row r="6065" spans="1:14">
      <c r="A6065" s="6">
        <v>2025</v>
      </c>
      <c r="B6065" s="6">
        <v>6</v>
      </c>
      <c r="C6065" s="6" t="s">
        <v>65</v>
      </c>
      <c r="D6065" s="6" t="s">
        <v>849</v>
      </c>
      <c r="E6065" s="6" t="s">
        <v>441</v>
      </c>
      <c r="F6065" s="6" t="str">
        <f>IF($M6065="PADD I","PADD 1",IF($M6065="PADD II","PADD 2",IF($M6065="PADD III","PADD 3",IF($M6065="PADD IV","PADD 4",IF($M6065="PADD V","PADD 5","")))))</f>
        <v>PADD 4</v>
      </c>
      <c r="G6065" s="6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6" t="s">
        <v>485</v>
      </c>
      <c r="I6065" s="6" t="s">
        <v>1238</v>
      </c>
      <c r="J6065" s="6" t="s">
        <v>394</v>
      </c>
      <c r="K6065" s="10">
        <v>1.3</v>
      </c>
      <c r="L6065" s="10">
        <v>10</v>
      </c>
      <c r="M6065" s="6" t="s">
        <v>480</v>
      </c>
      <c r="N6065" s="6">
        <f>IF(OR($G6065="FCC",$G6065="Hydrocracker",$G6065="Reformer"),IF(COUNTIFS($D:$D,$D6065,$A:$A,$A6065,$B:$B,$B6065,$G:$G,"CDU",$J:$J,"PLANNED")&gt;0,"tied","standalone"),"")</f>
        <v/>
      </c>
    </row>
    <row r="6066" spans="1:14">
      <c r="A6066" s="6">
        <v>2025</v>
      </c>
      <c r="B6066" s="6">
        <v>6</v>
      </c>
      <c r="C6066" s="6" t="s">
        <v>65</v>
      </c>
      <c r="D6066" s="6" t="s">
        <v>461</v>
      </c>
      <c r="E6066" s="6" t="s">
        <v>419</v>
      </c>
      <c r="F6066" s="6" t="str">
        <f>IF($M6066="PADD I","PADD 1",IF($M6066="PADD II","PADD 2",IF($M6066="PADD III","PADD 3",IF($M6066="PADD IV","PADD 4",IF($M6066="PADD V","PADD 5","")))))</f>
        <v>PADD 1</v>
      </c>
      <c r="G6066" s="6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6" t="s">
        <v>44</v>
      </c>
      <c r="I6066" s="6" t="s">
        <v>934</v>
      </c>
      <c r="J6066" s="6" t="s">
        <v>394</v>
      </c>
      <c r="K6066" s="10">
        <v>1.2325</v>
      </c>
      <c r="L6066" s="10">
        <v>7.25</v>
      </c>
      <c r="M6066" s="6" t="s">
        <v>463</v>
      </c>
      <c r="N6066" s="6">
        <f>IF(OR($G6066="FCC",$G6066="Hydrocracker",$G6066="Reformer"),IF(COUNTIFS($D:$D,$D6066,$A:$A,$A6066,$B:$B,$B6066,$G:$G,"CDU",$J:$J,"PLANNED")&gt;0,"tied","standalone"),"")</f>
        <v/>
      </c>
    </row>
    <row r="6067" spans="1:14">
      <c r="A6067" s="6">
        <v>2025</v>
      </c>
      <c r="B6067" s="6">
        <v>6</v>
      </c>
      <c r="C6067" s="6" t="s">
        <v>65</v>
      </c>
      <c r="D6067" s="6" t="s">
        <v>461</v>
      </c>
      <c r="E6067" s="6" t="s">
        <v>419</v>
      </c>
      <c r="F6067" s="6" t="str">
        <f>IF($M6067="PADD I","PADD 1",IF($M6067="PADD II","PADD 2",IF($M6067="PADD III","PADD 3",IF($M6067="PADD IV","PADD 4",IF($M6067="PADD V","PADD 5","")))))</f>
        <v>PADD 1</v>
      </c>
      <c r="G6067" s="6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6" t="s">
        <v>44</v>
      </c>
      <c r="I6067" s="6" t="s">
        <v>935</v>
      </c>
      <c r="J6067" s="6" t="s">
        <v>394</v>
      </c>
      <c r="K6067" s="10">
        <v>1.19</v>
      </c>
      <c r="L6067" s="10">
        <v>7</v>
      </c>
      <c r="M6067" s="6" t="s">
        <v>463</v>
      </c>
      <c r="N6067" s="6">
        <f>IF(OR($G6067="FCC",$G6067="Hydrocracker",$G6067="Reformer"),IF(COUNTIFS($D:$D,$D6067,$A:$A,$A6067,$B:$B,$B6067,$G:$G,"CDU",$J:$J,"PLANNED")&gt;0,"tied","standalone"),"")</f>
        <v/>
      </c>
    </row>
    <row r="6068" spans="1:14">
      <c r="A6068" s="6">
        <v>2025</v>
      </c>
      <c r="B6068" s="6">
        <v>6</v>
      </c>
      <c r="C6068" s="6" t="s">
        <v>65</v>
      </c>
      <c r="D6068" s="6" t="s">
        <v>812</v>
      </c>
      <c r="E6068" s="6" t="s">
        <v>813</v>
      </c>
      <c r="F6068" s="6" t="str">
        <f>IF($M6068="PADD I","PADD 1",IF($M6068="PADD II","PADD 2",IF($M6068="PADD III","PADD 3",IF($M6068="PADD IV","PADD 4",IF($M6068="PADD V","PADD 5","")))))</f>
        <v>PADD 2</v>
      </c>
      <c r="G6068" s="6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6" t="s">
        <v>39</v>
      </c>
      <c r="I6068" s="6" t="s">
        <v>132</v>
      </c>
      <c r="J6068" s="6" t="s">
        <v>394</v>
      </c>
      <c r="K6068" s="10">
        <v>1.17</v>
      </c>
      <c r="L6068" s="10">
        <v>39</v>
      </c>
      <c r="M6068" s="6" t="s">
        <v>425</v>
      </c>
      <c r="N6068" s="6">
        <f>IF(OR($G6068="FCC",$G6068="Hydrocracker",$G6068="Reformer"),IF(COUNTIFS($D:$D,$D6068,$A:$A,$A6068,$B:$B,$B6068,$G:$G,"CDU",$J:$J,"PLANNED")&gt;0,"tied","standalone"),"")</f>
        <v/>
      </c>
    </row>
    <row r="6069" spans="1:14">
      <c r="A6069" s="6">
        <v>2025</v>
      </c>
      <c r="B6069" s="6">
        <v>6</v>
      </c>
      <c r="C6069" s="6" t="s">
        <v>65</v>
      </c>
      <c r="D6069" s="6" t="s">
        <v>461</v>
      </c>
      <c r="E6069" s="6" t="s">
        <v>419</v>
      </c>
      <c r="F6069" s="6" t="str">
        <f>IF($M6069="PADD I","PADD 1",IF($M6069="PADD II","PADD 2",IF($M6069="PADD III","PADD 3",IF($M6069="PADD IV","PADD 4",IF($M6069="PADD V","PADD 5","")))))</f>
        <v>PADD 1</v>
      </c>
      <c r="G6069" s="6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6" t="s">
        <v>1354</v>
      </c>
      <c r="I6069" s="6" t="s">
        <v>1355</v>
      </c>
      <c r="J6069" s="6" t="s">
        <v>394</v>
      </c>
      <c r="K6069" s="10">
        <v>1.105</v>
      </c>
      <c r="L6069" s="10">
        <v>6.5</v>
      </c>
      <c r="M6069" s="6" t="s">
        <v>463</v>
      </c>
      <c r="N6069" s="6">
        <f>IF(OR($G6069="FCC",$G6069="Hydrocracker",$G6069="Reformer"),IF(COUNTIFS($D:$D,$D6069,$A:$A,$A6069,$B:$B,$B6069,$G:$G,"CDU",$J:$J,"PLANNED")&gt;0,"tied","standalone"),"")</f>
        <v/>
      </c>
    </row>
    <row r="6070" spans="1:14">
      <c r="A6070" s="6">
        <v>2025</v>
      </c>
      <c r="B6070" s="6">
        <v>6</v>
      </c>
      <c r="C6070" s="6" t="s">
        <v>65</v>
      </c>
      <c r="D6070" s="6" t="s">
        <v>461</v>
      </c>
      <c r="E6070" s="6" t="s">
        <v>419</v>
      </c>
      <c r="F6070" s="6" t="str">
        <f>IF($M6070="PADD I","PADD 1",IF($M6070="PADD II","PADD 2",IF($M6070="PADD III","PADD 3",IF($M6070="PADD IV","PADD 4",IF($M6070="PADD V","PADD 5","")))))</f>
        <v>PADD 1</v>
      </c>
      <c r="G6070" s="6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6" t="s">
        <v>471</v>
      </c>
      <c r="I6070" s="6" t="s">
        <v>936</v>
      </c>
      <c r="J6070" s="6" t="s">
        <v>394</v>
      </c>
      <c r="K6070" s="10">
        <v>1.105</v>
      </c>
      <c r="L6070" s="10">
        <v>6.5</v>
      </c>
      <c r="M6070" s="6" t="s">
        <v>463</v>
      </c>
      <c r="N6070" s="6" t="str">
        <f>IF(OR($G6070="FCC",$G6070="Hydrocracker",$G6070="Reformer"),IF(COUNTIFS($D:$D,$D6070,$A:$A,$A6070,$B:$B,$B6070,$G:$G,"CDU",$J:$J,"PLANNED")&gt;0,"tied","standalone"),"")</f>
        <v>standalone</v>
      </c>
    </row>
    <row r="6071" spans="1:14">
      <c r="A6071" s="6">
        <v>2025</v>
      </c>
      <c r="B6071" s="6">
        <v>6</v>
      </c>
      <c r="C6071" s="6" t="s">
        <v>65</v>
      </c>
      <c r="D6071" s="6" t="s">
        <v>41</v>
      </c>
      <c r="E6071" s="6" t="s">
        <v>786</v>
      </c>
      <c r="F6071" s="6" t="str">
        <f>IF($M6071="PADD I","PADD 1",IF($M6071="PADD II","PADD 2",IF($M6071="PADD III","PADD 3",IF($M6071="PADD IV","PADD 4",IF($M6071="PADD V","PADD 5","")))))</f>
        <v>PADD 1</v>
      </c>
      <c r="G6071" s="6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6" t="s">
        <v>687</v>
      </c>
      <c r="I6071" s="6" t="s">
        <v>1069</v>
      </c>
      <c r="J6071" s="6" t="s">
        <v>394</v>
      </c>
      <c r="K6071" s="10">
        <v>0.98</v>
      </c>
      <c r="L6071" s="10">
        <v>14</v>
      </c>
      <c r="M6071" s="6" t="s">
        <v>463</v>
      </c>
      <c r="N6071" s="6">
        <f>IF(OR($G6071="FCC",$G6071="Hydrocracker",$G6071="Reformer"),IF(COUNTIFS($D:$D,$D6071,$A:$A,$A6071,$B:$B,$B6071,$G:$G,"CDU",$J:$J,"PLANNED")&gt;0,"tied","standalone"),"")</f>
        <v/>
      </c>
    </row>
    <row r="6072" spans="1:14">
      <c r="A6072" s="6">
        <v>2025</v>
      </c>
      <c r="B6072" s="6">
        <v>6</v>
      </c>
      <c r="C6072" s="6" t="s">
        <v>65</v>
      </c>
      <c r="D6072" s="6" t="s">
        <v>838</v>
      </c>
      <c r="E6072" s="6" t="s">
        <v>455</v>
      </c>
      <c r="F6072" s="6" t="str">
        <f>IF($M6072="PADD I","PADD 1",IF($M6072="PADD II","PADD 2",IF($M6072="PADD III","PADD 3",IF($M6072="PADD IV","PADD 4",IF($M6072="PADD V","PADD 5","")))))</f>
        <v>PADD 3</v>
      </c>
      <c r="G6072" s="6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6" t="s">
        <v>471</v>
      </c>
      <c r="I6072" s="6" t="s">
        <v>832</v>
      </c>
      <c r="J6072" s="6" t="s">
        <v>394</v>
      </c>
      <c r="K6072" s="10">
        <v>0.96</v>
      </c>
      <c r="L6072" s="10">
        <v>32</v>
      </c>
      <c r="M6072" s="6" t="s">
        <v>421</v>
      </c>
      <c r="N6072" s="6" t="str">
        <f>IF(OR($G6072="FCC",$G6072="Hydrocracker",$G6072="Reformer"),IF(COUNTIFS($D:$D,$D6072,$A:$A,$A6072,$B:$B,$B6072,$G:$G,"CDU",$J:$J,"PLANNED")&gt;0,"tied","standalone"),"")</f>
        <v>standalone</v>
      </c>
    </row>
    <row r="6073" spans="1:14">
      <c r="A6073" s="6">
        <v>2025</v>
      </c>
      <c r="B6073" s="6">
        <v>6</v>
      </c>
      <c r="C6073" s="6" t="s">
        <v>65</v>
      </c>
      <c r="D6073" s="6" t="s">
        <v>461</v>
      </c>
      <c r="E6073" s="6" t="s">
        <v>419</v>
      </c>
      <c r="F6073" s="6" t="str">
        <f>IF($M6073="PADD I","PADD 1",IF($M6073="PADD II","PADD 2",IF($M6073="PADD III","PADD 3",IF($M6073="PADD IV","PADD 4",IF($M6073="PADD V","PADD 5","")))))</f>
        <v>PADD 1</v>
      </c>
      <c r="G6073" s="6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6" t="s">
        <v>510</v>
      </c>
      <c r="I6073" s="6" t="s">
        <v>616</v>
      </c>
      <c r="J6073" s="6" t="s">
        <v>394</v>
      </c>
      <c r="K6073" s="10">
        <v>0.9350000000000001</v>
      </c>
      <c r="L6073" s="10">
        <v>5.5</v>
      </c>
      <c r="M6073" s="6" t="s">
        <v>463</v>
      </c>
      <c r="N6073" s="6">
        <f>IF(OR($G6073="FCC",$G6073="Hydrocracker",$G6073="Reformer"),IF(COUNTIFS($D:$D,$D6073,$A:$A,$A6073,$B:$B,$B6073,$G:$G,"CDU",$J:$J,"PLANNED")&gt;0,"tied","standalone"),"")</f>
        <v/>
      </c>
    </row>
    <row r="6074" spans="1:14">
      <c r="A6074" s="6">
        <v>2025</v>
      </c>
      <c r="B6074" s="6">
        <v>6</v>
      </c>
      <c r="C6074" s="6" t="s">
        <v>65</v>
      </c>
      <c r="D6074" s="6" t="s">
        <v>812</v>
      </c>
      <c r="E6074" s="6" t="s">
        <v>813</v>
      </c>
      <c r="F6074" s="6" t="str">
        <f>IF($M6074="PADD I","PADD 1",IF($M6074="PADD II","PADD 2",IF($M6074="PADD III","PADD 3",IF($M6074="PADD IV","PADD 4",IF($M6074="PADD V","PADD 5","")))))</f>
        <v>PADD 2</v>
      </c>
      <c r="G6074" s="6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6" t="s">
        <v>428</v>
      </c>
      <c r="I6074" s="6" t="s">
        <v>862</v>
      </c>
      <c r="J6074" s="6" t="s">
        <v>394</v>
      </c>
      <c r="K6074" s="10">
        <v>0.8100000000000001</v>
      </c>
      <c r="L6074" s="10">
        <v>27</v>
      </c>
      <c r="M6074" s="6" t="s">
        <v>425</v>
      </c>
      <c r="N6074" s="6">
        <f>IF(OR($G6074="FCC",$G6074="Hydrocracker",$G6074="Reformer"),IF(COUNTIFS($D:$D,$D6074,$A:$A,$A6074,$B:$B,$B6074,$G:$G,"CDU",$J:$J,"PLANNED")&gt;0,"tied","standalone"),"")</f>
        <v/>
      </c>
    </row>
    <row r="6075" spans="1:14">
      <c r="A6075" s="6">
        <v>2025</v>
      </c>
      <c r="B6075" s="6">
        <v>6</v>
      </c>
      <c r="C6075" s="6" t="s">
        <v>65</v>
      </c>
      <c r="D6075" s="6" t="s">
        <v>652</v>
      </c>
      <c r="E6075" s="6" t="s">
        <v>419</v>
      </c>
      <c r="F6075" s="6" t="str">
        <f>IF($M6075="PADD I","PADD 1",IF($M6075="PADD II","PADD 2",IF($M6075="PADD III","PADD 3",IF($M6075="PADD IV","PADD 4",IF($M6075="PADD V","PADD 5","")))))</f>
        <v>PADD 2</v>
      </c>
      <c r="G6075" s="6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6" t="s">
        <v>426</v>
      </c>
      <c r="I6075" s="6" t="s">
        <v>704</v>
      </c>
      <c r="J6075" s="6" t="s">
        <v>394</v>
      </c>
      <c r="K6075" s="10">
        <v>0.78</v>
      </c>
      <c r="L6075" s="10">
        <v>26</v>
      </c>
      <c r="M6075" s="6" t="s">
        <v>425</v>
      </c>
      <c r="N6075" s="6" t="str">
        <f>IF(OR($G6075="FCC",$G6075="Hydrocracker",$G6075="Reformer"),IF(COUNTIFS($D:$D,$D6075,$A:$A,$A6075,$B:$B,$B6075,$G:$G,"CDU",$J:$J,"PLANNED")&gt;0,"tied","standalone"),"")</f>
        <v>standalone</v>
      </c>
    </row>
    <row r="6076" spans="1:14">
      <c r="A6076" s="6">
        <v>2025</v>
      </c>
      <c r="B6076" s="6">
        <v>6</v>
      </c>
      <c r="C6076" s="6" t="s">
        <v>65</v>
      </c>
      <c r="D6076" s="6" t="s">
        <v>1365</v>
      </c>
      <c r="E6076" s="6" t="s">
        <v>1366</v>
      </c>
      <c r="F6076" s="6" t="str">
        <f>IF($M6076="PADD I","PADD 1",IF($M6076="PADD II","PADD 2",IF($M6076="PADD III","PADD 3",IF($M6076="PADD IV","PADD 4",IF($M6076="PADD V","PADD 5","")))))</f>
        <v>PADD 1</v>
      </c>
      <c r="G6076" s="6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6" t="s">
        <v>618</v>
      </c>
      <c r="I6076" s="6" t="s">
        <v>654</v>
      </c>
      <c r="J6076" s="6" t="s">
        <v>398</v>
      </c>
      <c r="K6076" s="10">
        <v>0.7566000000000001</v>
      </c>
      <c r="L6076" s="10">
        <v>0.78</v>
      </c>
      <c r="M6076" s="6" t="s">
        <v>463</v>
      </c>
      <c r="N6076" s="6">
        <f>IF(OR($G6076="FCC",$G6076="Hydrocracker",$G6076="Reformer"),IF(COUNTIFS($D:$D,$D6076,$A:$A,$A6076,$B:$B,$B6076,$G:$G,"CDU",$J:$J,"PLANNED")&gt;0,"tied","standalone"),"")</f>
        <v/>
      </c>
    </row>
    <row r="6077" spans="1:14">
      <c r="A6077" s="6">
        <v>2025</v>
      </c>
      <c r="B6077" s="6">
        <v>6</v>
      </c>
      <c r="C6077" s="6" t="s">
        <v>65</v>
      </c>
      <c r="D6077" s="6" t="s">
        <v>51</v>
      </c>
      <c r="E6077" s="6" t="s">
        <v>431</v>
      </c>
      <c r="F6077" s="6" t="str">
        <f>IF($M6077="PADD I","PADD 1",IF($M6077="PADD II","PADD 2",IF($M6077="PADD III","PADD 3",IF($M6077="PADD IV","PADD 4",IF($M6077="PADD V","PADD 5","")))))</f>
        <v>PADD 3</v>
      </c>
      <c r="G6077" s="6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6" t="s">
        <v>510</v>
      </c>
      <c r="I6077" s="6" t="s">
        <v>670</v>
      </c>
      <c r="J6077" s="6" t="s">
        <v>394</v>
      </c>
      <c r="K6077" s="10">
        <v>0.63</v>
      </c>
      <c r="L6077" s="10">
        <v>21</v>
      </c>
      <c r="M6077" s="6" t="s">
        <v>421</v>
      </c>
      <c r="N6077" s="6">
        <f>IF(OR($G6077="FCC",$G6077="Hydrocracker",$G6077="Reformer"),IF(COUNTIFS($D:$D,$D6077,$A:$A,$A6077,$B:$B,$B6077,$G:$G,"CDU",$J:$J,"PLANNED")&gt;0,"tied","standalone"),"")</f>
        <v/>
      </c>
    </row>
    <row r="6078" spans="1:14">
      <c r="A6078" s="6">
        <v>2025</v>
      </c>
      <c r="B6078" s="6">
        <v>6</v>
      </c>
      <c r="C6078" s="6" t="s">
        <v>65</v>
      </c>
      <c r="D6078" s="6" t="s">
        <v>375</v>
      </c>
      <c r="E6078" s="6" t="s">
        <v>435</v>
      </c>
      <c r="F6078" s="6" t="str">
        <f>IF($M6078="PADD I","PADD 1",IF($M6078="PADD II","PADD 2",IF($M6078="PADD III","PADD 3",IF($M6078="PADD IV","PADD 4",IF($M6078="PADD V","PADD 5","")))))</f>
        <v>PADD 5</v>
      </c>
      <c r="G6078" s="6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6" t="s">
        <v>618</v>
      </c>
      <c r="I6078" s="6" t="s">
        <v>654</v>
      </c>
      <c r="J6078" s="6" t="s">
        <v>394</v>
      </c>
      <c r="K6078" s="10">
        <v>0.53</v>
      </c>
      <c r="L6078" s="10">
        <v>0.53</v>
      </c>
      <c r="M6078" s="6" t="s">
        <v>436</v>
      </c>
      <c r="N6078" s="6">
        <f>IF(OR($G6078="FCC",$G6078="Hydrocracker",$G6078="Reformer"),IF(COUNTIFS($D:$D,$D6078,$A:$A,$A6078,$B:$B,$B6078,$G:$G,"CDU",$J:$J,"PLANNED")&gt;0,"tied","standalone"),"")</f>
        <v/>
      </c>
    </row>
    <row r="6079" spans="1:14">
      <c r="A6079" s="6">
        <v>2025</v>
      </c>
      <c r="B6079" s="6">
        <v>6</v>
      </c>
      <c r="C6079" s="6" t="s">
        <v>65</v>
      </c>
      <c r="D6079" s="6" t="s">
        <v>1128</v>
      </c>
      <c r="E6079" s="6" t="s">
        <v>1129</v>
      </c>
      <c r="F6079" s="6" t="str">
        <f>IF($M6079="PADD I","PADD 1",IF($M6079="PADD II","PADD 2",IF($M6079="PADD III","PADD 3",IF($M6079="PADD IV","PADD 4",IF($M6079="PADD V","PADD 5","")))))</f>
        <v>PADD 3</v>
      </c>
      <c r="G6079" s="6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6" t="s">
        <v>428</v>
      </c>
      <c r="I6079" s="6" t="s">
        <v>586</v>
      </c>
      <c r="J6079" s="6" t="s">
        <v>394</v>
      </c>
      <c r="K6079" s="10">
        <v>0.45</v>
      </c>
      <c r="L6079" s="10">
        <v>4.5</v>
      </c>
      <c r="M6079" s="6" t="s">
        <v>421</v>
      </c>
      <c r="N6079" s="6">
        <f>IF(OR($G6079="FCC",$G6079="Hydrocracker",$G6079="Reformer"),IF(COUNTIFS($D:$D,$D6079,$A:$A,$A6079,$B:$B,$B6079,$G:$G,"CDU",$J:$J,"PLANNED")&gt;0,"tied","standalone"),"")</f>
        <v/>
      </c>
    </row>
    <row r="6080" spans="1:14">
      <c r="A6080" s="6">
        <v>2025</v>
      </c>
      <c r="B6080" s="6">
        <v>6</v>
      </c>
      <c r="C6080" s="6" t="s">
        <v>65</v>
      </c>
      <c r="D6080" s="6" t="s">
        <v>806</v>
      </c>
      <c r="E6080" s="6" t="s">
        <v>807</v>
      </c>
      <c r="F6080" s="6" t="str">
        <f>IF($M6080="PADD I","PADD 1",IF($M6080="PADD II","PADD 2",IF($M6080="PADD III","PADD 3",IF($M6080="PADD IV","PADD 4",IF($M6080="PADD V","PADD 5","")))))</f>
        <v>PADD 3</v>
      </c>
      <c r="G6080" s="6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6" t="s">
        <v>39</v>
      </c>
      <c r="I6080" s="6" t="s">
        <v>82</v>
      </c>
      <c r="J6080" s="6" t="s">
        <v>394</v>
      </c>
      <c r="K6080" s="10">
        <v>0.45</v>
      </c>
      <c r="L6080" s="10">
        <v>15</v>
      </c>
      <c r="M6080" s="6" t="s">
        <v>421</v>
      </c>
      <c r="N6080" s="6">
        <f>IF(OR($G6080="FCC",$G6080="Hydrocracker",$G6080="Reformer"),IF(COUNTIFS($D:$D,$D6080,$A:$A,$A6080,$B:$B,$B6080,$G:$G,"CDU",$J:$J,"PLANNED")&gt;0,"tied","standalone"),"")</f>
        <v/>
      </c>
    </row>
    <row r="6081" spans="1:14">
      <c r="A6081" s="6">
        <v>2025</v>
      </c>
      <c r="B6081" s="6">
        <v>6</v>
      </c>
      <c r="C6081" s="6" t="s">
        <v>65</v>
      </c>
      <c r="D6081" s="6" t="s">
        <v>849</v>
      </c>
      <c r="E6081" s="6" t="s">
        <v>441</v>
      </c>
      <c r="F6081" s="6" t="str">
        <f>IF($M6081="PADD I","PADD 1",IF($M6081="PADD II","PADD 2",IF($M6081="PADD III","PADD 3",IF($M6081="PADD IV","PADD 4",IF($M6081="PADD V","PADD 5","")))))</f>
        <v>PADD 4</v>
      </c>
      <c r="G6081" s="6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6" t="s">
        <v>510</v>
      </c>
      <c r="I6081" s="6" t="s">
        <v>958</v>
      </c>
      <c r="J6081" s="6" t="s">
        <v>394</v>
      </c>
      <c r="K6081" s="10">
        <v>0.392</v>
      </c>
      <c r="L6081" s="10">
        <v>5.6</v>
      </c>
      <c r="M6081" s="6" t="s">
        <v>480</v>
      </c>
      <c r="N6081" s="6">
        <f>IF(OR($G6081="FCC",$G6081="Hydrocracker",$G6081="Reformer"),IF(COUNTIFS($D:$D,$D6081,$A:$A,$A6081,$B:$B,$B6081,$G:$G,"CDU",$J:$J,"PLANNED")&gt;0,"tied","standalone"),"")</f>
        <v/>
      </c>
    </row>
    <row r="6082" spans="1:14">
      <c r="A6082" s="6">
        <v>2025</v>
      </c>
      <c r="B6082" s="6">
        <v>6</v>
      </c>
      <c r="C6082" s="6" t="s">
        <v>65</v>
      </c>
      <c r="D6082" s="6" t="s">
        <v>501</v>
      </c>
      <c r="E6082" s="6" t="s">
        <v>502</v>
      </c>
      <c r="F6082" s="6" t="str">
        <f>IF($M6082="PADD I","PADD 1",IF($M6082="PADD II","PADD 2",IF($M6082="PADD III","PADD 3",IF($M6082="PADD IV","PADD 4",IF($M6082="PADD V","PADD 5","")))))</f>
        <v>PADD 2</v>
      </c>
      <c r="G6082" s="6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6" t="s">
        <v>510</v>
      </c>
      <c r="I6082" s="6" t="s">
        <v>511</v>
      </c>
      <c r="J6082" s="6" t="s">
        <v>394</v>
      </c>
      <c r="K6082" s="10">
        <v>0.351</v>
      </c>
      <c r="L6082" s="10">
        <v>2.7</v>
      </c>
      <c r="M6082" s="6" t="s">
        <v>425</v>
      </c>
      <c r="N6082" s="6">
        <f>IF(OR($G6082="FCC",$G6082="Hydrocracker",$G6082="Reformer"),IF(COUNTIFS($D:$D,$D6082,$A:$A,$A6082,$B:$B,$B6082,$G:$G,"CDU",$J:$J,"PLANNED")&gt;0,"tied","standalone"),"")</f>
        <v/>
      </c>
    </row>
    <row r="6083" spans="1:14">
      <c r="A6083" s="6">
        <v>2025</v>
      </c>
      <c r="B6083" s="6">
        <v>6</v>
      </c>
      <c r="C6083" s="6" t="s">
        <v>65</v>
      </c>
      <c r="D6083" s="6" t="s">
        <v>1082</v>
      </c>
      <c r="E6083" s="6" t="s">
        <v>1083</v>
      </c>
      <c r="F6083" s="6" t="str">
        <f>IF($M6083="PADD I","PADD 1",IF($M6083="PADD II","PADD 2",IF($M6083="PADD III","PADD 3",IF($M6083="PADD IV","PADD 4",IF($M6083="PADD V","PADD 5","")))))</f>
        <v>PADD 5</v>
      </c>
      <c r="G6083" s="6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6" t="s">
        <v>39</v>
      </c>
      <c r="I6083" s="6" t="s">
        <v>713</v>
      </c>
      <c r="J6083" s="6" t="s">
        <v>394</v>
      </c>
      <c r="K6083" s="10">
        <v>0.35</v>
      </c>
      <c r="L6083" s="10">
        <v>5</v>
      </c>
      <c r="M6083" s="6" t="s">
        <v>436</v>
      </c>
      <c r="N6083" s="6">
        <f>IF(OR($G6083="FCC",$G6083="Hydrocracker",$G6083="Reformer"),IF(COUNTIFS($D:$D,$D6083,$A:$A,$A6083,$B:$B,$B6083,$G:$G,"CDU",$J:$J,"PLANNED")&gt;0,"tied","standalone"),"")</f>
        <v/>
      </c>
    </row>
    <row r="6084" spans="1:14">
      <c r="A6084" s="6">
        <v>2025</v>
      </c>
      <c r="B6084" s="6">
        <v>6</v>
      </c>
      <c r="C6084" s="6" t="s">
        <v>65</v>
      </c>
      <c r="D6084" s="6" t="s">
        <v>1082</v>
      </c>
      <c r="E6084" s="6" t="s">
        <v>1083</v>
      </c>
      <c r="F6084" s="6" t="str">
        <f>IF($M6084="PADD I","PADD 1",IF($M6084="PADD II","PADD 2",IF($M6084="PADD III","PADD 3",IF($M6084="PADD IV","PADD 4",IF($M6084="PADD V","PADD 5","")))))</f>
        <v>PADD 5</v>
      </c>
      <c r="G6084" s="6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6" t="s">
        <v>428</v>
      </c>
      <c r="I6084" s="6" t="s">
        <v>1084</v>
      </c>
      <c r="J6084" s="6" t="s">
        <v>394</v>
      </c>
      <c r="K6084" s="10">
        <v>0.14</v>
      </c>
      <c r="L6084" s="10">
        <v>2</v>
      </c>
      <c r="M6084" s="6" t="s">
        <v>436</v>
      </c>
      <c r="N6084" s="6">
        <f>IF(OR($G6084="FCC",$G6084="Hydrocracker",$G6084="Reformer"),IF(COUNTIFS($D:$D,$D6084,$A:$A,$A6084,$B:$B,$B6084,$G:$G,"CDU",$J:$J,"PLANNED")&gt;0,"tied","standalone"),"")</f>
        <v/>
      </c>
    </row>
    <row r="6085" spans="1:14">
      <c r="A6085" s="6">
        <v>2025</v>
      </c>
      <c r="B6085" s="6">
        <v>7</v>
      </c>
      <c r="C6085" s="6" t="s">
        <v>66</v>
      </c>
      <c r="D6085" s="6" t="s">
        <v>375</v>
      </c>
      <c r="E6085" s="6" t="s">
        <v>435</v>
      </c>
      <c r="F6085" s="6" t="str">
        <f>IF($M6085="PADD I","PADD 1",IF($M6085="PADD II","PADD 2",IF($M6085="PADD III","PADD 3",IF($M6085="PADD IV","PADD 4",IF($M6085="PADD V","PADD 5","")))))</f>
        <v>PADD 5</v>
      </c>
      <c r="G6085" s="6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6" t="s">
        <v>44</v>
      </c>
      <c r="I6085" s="6" t="s">
        <v>1335</v>
      </c>
      <c r="J6085" s="6" t="s">
        <v>394</v>
      </c>
      <c r="K6085" s="10">
        <v>77.5</v>
      </c>
      <c r="L6085" s="10">
        <v>77.5</v>
      </c>
      <c r="M6085" s="6" t="s">
        <v>436</v>
      </c>
      <c r="N6085" s="6">
        <f>IF(OR($G6085="FCC",$G6085="Hydrocracker",$G6085="Reformer"),IF(COUNTIFS($D:$D,$D6085,$A:$A,$A6085,$B:$B,$B6085,$G:$G,"CDU",$J:$J,"PLANNED")&gt;0,"tied","standalone"),"")</f>
        <v/>
      </c>
    </row>
    <row r="6086" spans="1:14">
      <c r="A6086" s="6">
        <v>2025</v>
      </c>
      <c r="B6086" s="6">
        <v>7</v>
      </c>
      <c r="C6086" s="6" t="s">
        <v>66</v>
      </c>
      <c r="D6086" s="6" t="s">
        <v>437</v>
      </c>
      <c r="E6086" s="6" t="s">
        <v>438</v>
      </c>
      <c r="F6086" s="6" t="str">
        <f>IF($M6086="PADD I","PADD 1",IF($M6086="PADD II","PADD 2",IF($M6086="PADD III","PADD 3",IF($M6086="PADD IV","PADD 4",IF($M6086="PADD V","PADD 5","")))))</f>
        <v>PADD 3</v>
      </c>
      <c r="G6086" s="6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6" t="s">
        <v>494</v>
      </c>
      <c r="I6086" s="6" t="s">
        <v>526</v>
      </c>
      <c r="J6086" s="6" t="s">
        <v>394</v>
      </c>
      <c r="K6086" s="10">
        <v>70</v>
      </c>
      <c r="L6086" s="10">
        <v>70</v>
      </c>
      <c r="M6086" s="6" t="s">
        <v>421</v>
      </c>
      <c r="N6086" s="6" t="str">
        <f>IF(OR($G6086="FCC",$G6086="Hydrocracker",$G6086="Reformer"),IF(COUNTIFS($D:$D,$D6086,$A:$A,$A6086,$B:$B,$B6086,$G:$G,"CDU",$J:$J,"PLANNED")&gt;0,"tied","standalone"),"")</f>
        <v>standalone</v>
      </c>
    </row>
    <row r="6087" spans="1:14">
      <c r="A6087" s="6">
        <v>2025</v>
      </c>
      <c r="B6087" s="6">
        <v>7</v>
      </c>
      <c r="C6087" s="6" t="s">
        <v>66</v>
      </c>
      <c r="D6087" s="6" t="s">
        <v>375</v>
      </c>
      <c r="E6087" s="6" t="s">
        <v>435</v>
      </c>
      <c r="F6087" s="6" t="str">
        <f>IF($M6087="PADD I","PADD 1",IF($M6087="PADD II","PADD 2",IF($M6087="PADD III","PADD 3",IF($M6087="PADD IV","PADD 4",IF($M6087="PADD V","PADD 5","")))))</f>
        <v>PADD 5</v>
      </c>
      <c r="G6087" s="6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6" t="s">
        <v>426</v>
      </c>
      <c r="I6087" s="6" t="s">
        <v>554</v>
      </c>
      <c r="J6087" s="6" t="s">
        <v>394</v>
      </c>
      <c r="K6087" s="10">
        <v>70</v>
      </c>
      <c r="L6087" s="10">
        <v>70</v>
      </c>
      <c r="M6087" s="6" t="s">
        <v>436</v>
      </c>
      <c r="N6087" s="6" t="str">
        <f>IF(OR($G6087="FCC",$G6087="Hydrocracker",$G6087="Reformer"),IF(COUNTIFS($D:$D,$D6087,$A:$A,$A6087,$B:$B,$B6087,$G:$G,"CDU",$J:$J,"PLANNED")&gt;0,"tied","standalone"),"")</f>
        <v>standalone</v>
      </c>
    </row>
    <row r="6088" spans="1:14">
      <c r="A6088" s="6">
        <v>2025</v>
      </c>
      <c r="B6088" s="6">
        <v>7</v>
      </c>
      <c r="C6088" s="6" t="s">
        <v>66</v>
      </c>
      <c r="D6088" s="6" t="s">
        <v>865</v>
      </c>
      <c r="E6088" s="6" t="s">
        <v>502</v>
      </c>
      <c r="F6088" s="6" t="str">
        <f>IF($M6088="PADD I","PADD 1",IF($M6088="PADD II","PADD 2",IF($M6088="PADD III","PADD 3",IF($M6088="PADD IV","PADD 4",IF($M6088="PADD V","PADD 5","")))))</f>
        <v>PADD 4</v>
      </c>
      <c r="G6088" s="6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6" t="s">
        <v>39</v>
      </c>
      <c r="I6088" s="6" t="s">
        <v>1281</v>
      </c>
      <c r="J6088" s="6" t="s">
        <v>394</v>
      </c>
      <c r="K6088" s="10">
        <v>61.155</v>
      </c>
      <c r="L6088" s="10">
        <v>75.5</v>
      </c>
      <c r="M6088" s="6" t="s">
        <v>480</v>
      </c>
      <c r="N6088" s="6">
        <f>IF(OR($G6088="FCC",$G6088="Hydrocracker",$G6088="Reformer"),IF(COUNTIFS($D:$D,$D6088,$A:$A,$A6088,$B:$B,$B6088,$G:$G,"CDU",$J:$J,"PLANNED")&gt;0,"tied","standalone"),"")</f>
        <v/>
      </c>
    </row>
    <row r="6089" spans="1:14">
      <c r="A6089" s="6">
        <v>2025</v>
      </c>
      <c r="B6089" s="6">
        <v>7</v>
      </c>
      <c r="C6089" s="6" t="s">
        <v>66</v>
      </c>
      <c r="D6089" s="6" t="s">
        <v>375</v>
      </c>
      <c r="E6089" s="6" t="s">
        <v>435</v>
      </c>
      <c r="F6089" s="6" t="str">
        <f>IF($M6089="PADD I","PADD 1",IF($M6089="PADD II","PADD 2",IF($M6089="PADD III","PADD 3",IF($M6089="PADD IV","PADD 4",IF($M6089="PADD V","PADD 5","")))))</f>
        <v>PADD 5</v>
      </c>
      <c r="G6089" s="6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6" t="s">
        <v>39</v>
      </c>
      <c r="I6089" s="6" t="s">
        <v>94</v>
      </c>
      <c r="J6089" s="6" t="s">
        <v>394</v>
      </c>
      <c r="K6089" s="10">
        <v>54.25</v>
      </c>
      <c r="L6089" s="10">
        <v>54.25</v>
      </c>
      <c r="M6089" s="6" t="s">
        <v>436</v>
      </c>
      <c r="N6089" s="6">
        <f>IF(OR($G6089="FCC",$G6089="Hydrocracker",$G6089="Reformer"),IF(COUNTIFS($D:$D,$D6089,$A:$A,$A6089,$B:$B,$B6089,$G:$G,"CDU",$J:$J,"PLANNED")&gt;0,"tied","standalone"),"")</f>
        <v/>
      </c>
    </row>
    <row r="6090" spans="1:14">
      <c r="A6090" s="6">
        <v>2025</v>
      </c>
      <c r="B6090" s="6">
        <v>7</v>
      </c>
      <c r="C6090" s="6" t="s">
        <v>66</v>
      </c>
      <c r="D6090" s="6" t="s">
        <v>622</v>
      </c>
      <c r="E6090" s="6" t="s">
        <v>623</v>
      </c>
      <c r="F6090" s="6" t="str">
        <f>IF($M6090="PADD I","PADD 1",IF($M6090="PADD II","PADD 2",IF($M6090="PADD III","PADD 3",IF($M6090="PADD IV","PADD 4",IF($M6090="PADD V","PADD 5","")))))</f>
        <v>PADD 3</v>
      </c>
      <c r="G6090" s="6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6" t="s">
        <v>39</v>
      </c>
      <c r="I6090" s="6" t="s">
        <v>624</v>
      </c>
      <c r="J6090" s="6" t="s">
        <v>398</v>
      </c>
      <c r="K6090" s="10">
        <v>50</v>
      </c>
      <c r="L6090" s="10">
        <v>50</v>
      </c>
      <c r="M6090" s="6" t="s">
        <v>421</v>
      </c>
      <c r="N6090" s="6">
        <f>IF(OR($G6090="FCC",$G6090="Hydrocracker",$G6090="Reformer"),IF(COUNTIFS($D:$D,$D6090,$A:$A,$A6090,$B:$B,$B6090,$G:$G,"CDU",$J:$J,"PLANNED")&gt;0,"tied","standalone"),"")</f>
        <v/>
      </c>
    </row>
    <row r="6091" spans="1:14">
      <c r="A6091" s="6">
        <v>2025</v>
      </c>
      <c r="B6091" s="6">
        <v>7</v>
      </c>
      <c r="C6091" s="6" t="s">
        <v>66</v>
      </c>
      <c r="D6091" s="6" t="s">
        <v>550</v>
      </c>
      <c r="E6091" s="6" t="s">
        <v>438</v>
      </c>
      <c r="F6091" s="6" t="str">
        <f>IF($M6091="PADD I","PADD 1",IF($M6091="PADD II","PADD 2",IF($M6091="PADD III","PADD 3",IF($M6091="PADD IV","PADD 4",IF($M6091="PADD V","PADD 5","")))))</f>
        <v>PADD 2</v>
      </c>
      <c r="G6091" s="6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6" t="s">
        <v>39</v>
      </c>
      <c r="I6091" s="6" t="s">
        <v>580</v>
      </c>
      <c r="J6091" s="6" t="s">
        <v>398</v>
      </c>
      <c r="K6091" s="10">
        <v>44.16</v>
      </c>
      <c r="L6091" s="10">
        <v>92</v>
      </c>
      <c r="M6091" s="6" t="s">
        <v>425</v>
      </c>
      <c r="N6091" s="6">
        <f>IF(OR($G6091="FCC",$G6091="Hydrocracker",$G6091="Reformer"),IF(COUNTIFS($D:$D,$D6091,$A:$A,$A6091,$B:$B,$B6091,$G:$G,"CDU",$J:$J,"PLANNED")&gt;0,"tied","standalone"),"")</f>
        <v/>
      </c>
    </row>
    <row r="6092" spans="1:14">
      <c r="A6092" s="6">
        <v>2025</v>
      </c>
      <c r="B6092" s="6">
        <v>7</v>
      </c>
      <c r="C6092" s="6" t="s">
        <v>66</v>
      </c>
      <c r="D6092" s="6" t="s">
        <v>375</v>
      </c>
      <c r="E6092" s="6" t="s">
        <v>435</v>
      </c>
      <c r="F6092" s="6" t="str">
        <f>IF($M6092="PADD I","PADD 1",IF($M6092="PADD II","PADD 2",IF($M6092="PADD III","PADD 3",IF($M6092="PADD IV","PADD 4",IF($M6092="PADD V","PADD 5","")))))</f>
        <v>PADD 5</v>
      </c>
      <c r="G6092" s="6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6" t="s">
        <v>494</v>
      </c>
      <c r="I6092" s="6" t="s">
        <v>548</v>
      </c>
      <c r="J6092" s="6" t="s">
        <v>394</v>
      </c>
      <c r="K6092" s="10">
        <v>42</v>
      </c>
      <c r="L6092" s="10">
        <v>42</v>
      </c>
      <c r="M6092" s="6" t="s">
        <v>436</v>
      </c>
      <c r="N6092" s="6" t="str">
        <f>IF(OR($G6092="FCC",$G6092="Hydrocracker",$G6092="Reformer"),IF(COUNTIFS($D:$D,$D6092,$A:$A,$A6092,$B:$B,$B6092,$G:$G,"CDU",$J:$J,"PLANNED")&gt;0,"tied","standalone"),"")</f>
        <v>standalone</v>
      </c>
    </row>
    <row r="6093" spans="1:14">
      <c r="A6093" s="6">
        <v>2025</v>
      </c>
      <c r="B6093" s="6">
        <v>7</v>
      </c>
      <c r="C6093" s="6" t="s">
        <v>66</v>
      </c>
      <c r="D6093" s="6" t="s">
        <v>375</v>
      </c>
      <c r="E6093" s="6" t="s">
        <v>435</v>
      </c>
      <c r="F6093" s="6" t="str">
        <f>IF($M6093="PADD I","PADD 1",IF($M6093="PADD II","PADD 2",IF($M6093="PADD III","PADD 3",IF($M6093="PADD IV","PADD 4",IF($M6093="PADD V","PADD 5","")))))</f>
        <v>PADD 5</v>
      </c>
      <c r="G6093" s="6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6" t="s">
        <v>428</v>
      </c>
      <c r="I6093" s="6" t="s">
        <v>481</v>
      </c>
      <c r="J6093" s="6" t="s">
        <v>394</v>
      </c>
      <c r="K6093" s="10">
        <v>31.5</v>
      </c>
      <c r="L6093" s="10">
        <v>31.5</v>
      </c>
      <c r="M6093" s="6" t="s">
        <v>436</v>
      </c>
      <c r="N6093" s="6">
        <f>IF(OR($G6093="FCC",$G6093="Hydrocracker",$G6093="Reformer"),IF(COUNTIFS($D:$D,$D6093,$A:$A,$A6093,$B:$B,$B6093,$G:$G,"CDU",$J:$J,"PLANNED")&gt;0,"tied","standalone"),"")</f>
        <v/>
      </c>
    </row>
    <row r="6094" spans="1:14">
      <c r="A6094" s="6">
        <v>2025</v>
      </c>
      <c r="B6094" s="6">
        <v>7</v>
      </c>
      <c r="C6094" s="6" t="s">
        <v>66</v>
      </c>
      <c r="D6094" s="6" t="s">
        <v>820</v>
      </c>
      <c r="E6094" s="6" t="s">
        <v>710</v>
      </c>
      <c r="F6094" s="6" t="str">
        <f>IF($M6094="PADD I","PADD 1",IF($M6094="PADD II","PADD 2",IF($M6094="PADD III","PADD 3",IF($M6094="PADD IV","PADD 4",IF($M6094="PADD V","PADD 5","")))))</f>
        <v>PADD 3</v>
      </c>
      <c r="G6094" s="6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6" t="s">
        <v>485</v>
      </c>
      <c r="I6094" s="6" t="s">
        <v>491</v>
      </c>
      <c r="J6094" s="6" t="s">
        <v>394</v>
      </c>
      <c r="K6094" s="10">
        <v>30.08</v>
      </c>
      <c r="L6094" s="10">
        <v>32</v>
      </c>
      <c r="M6094" s="6" t="s">
        <v>421</v>
      </c>
      <c r="N6094" s="6">
        <f>IF(OR($G6094="FCC",$G6094="Hydrocracker",$G6094="Reformer"),IF(COUNTIFS($D:$D,$D6094,$A:$A,$A6094,$B:$B,$B6094,$G:$G,"CDU",$J:$J,"PLANNED")&gt;0,"tied","standalone"),"")</f>
        <v/>
      </c>
    </row>
    <row r="6095" spans="1:14">
      <c r="A6095" s="6">
        <v>2025</v>
      </c>
      <c r="B6095" s="6">
        <v>7</v>
      </c>
      <c r="C6095" s="6" t="s">
        <v>66</v>
      </c>
      <c r="D6095" s="6" t="s">
        <v>461</v>
      </c>
      <c r="E6095" s="6" t="s">
        <v>419</v>
      </c>
      <c r="F6095" s="6" t="str">
        <f>IF($M6095="PADD I","PADD 1",IF($M6095="PADD II","PADD 2",IF($M6095="PADD III","PADD 3",IF($M6095="PADD IV","PADD 4",IF($M6095="PADD V","PADD 5","")))))</f>
        <v>PADD 1</v>
      </c>
      <c r="G6095" s="6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6" t="s">
        <v>426</v>
      </c>
      <c r="I6095" s="6" t="s">
        <v>106</v>
      </c>
      <c r="J6095" s="6" t="s">
        <v>394</v>
      </c>
      <c r="K6095" s="10">
        <v>28.5</v>
      </c>
      <c r="L6095" s="10">
        <v>150</v>
      </c>
      <c r="M6095" s="6" t="s">
        <v>463</v>
      </c>
      <c r="N6095" s="6" t="str">
        <f>IF(OR($G6095="FCC",$G6095="Hydrocracker",$G6095="Reformer"),IF(COUNTIFS($D:$D,$D6095,$A:$A,$A6095,$B:$B,$B6095,$G:$G,"CDU",$J:$J,"PLANNED")&gt;0,"tied","standalone"),"")</f>
        <v>standalone</v>
      </c>
    </row>
    <row r="6096" spans="1:14">
      <c r="A6096" s="6">
        <v>2025</v>
      </c>
      <c r="B6096" s="6">
        <v>7</v>
      </c>
      <c r="C6096" s="6" t="s">
        <v>66</v>
      </c>
      <c r="D6096" s="6" t="s">
        <v>437</v>
      </c>
      <c r="E6096" s="6" t="s">
        <v>438</v>
      </c>
      <c r="F6096" s="6" t="str">
        <f>IF($M6096="PADD I","PADD 1",IF($M6096="PADD II","PADD 2",IF($M6096="PADD III","PADD 3",IF($M6096="PADD IV","PADD 4",IF($M6096="PADD V","PADD 5","")))))</f>
        <v>PADD 3</v>
      </c>
      <c r="G6096" s="6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6" t="s">
        <v>426</v>
      </c>
      <c r="I6096" s="6" t="s">
        <v>522</v>
      </c>
      <c r="J6096" s="6" t="s">
        <v>394</v>
      </c>
      <c r="K6096" s="10">
        <v>27.55</v>
      </c>
      <c r="L6096" s="10">
        <v>145</v>
      </c>
      <c r="M6096" s="6" t="s">
        <v>421</v>
      </c>
      <c r="N6096" s="6" t="str">
        <f>IF(OR($G6096="FCC",$G6096="Hydrocracker",$G6096="Reformer"),IF(COUNTIFS($D:$D,$D6096,$A:$A,$A6096,$B:$B,$B6096,$G:$G,"CDU",$J:$J,"PLANNED")&gt;0,"tied","standalone"),"")</f>
        <v>standalone</v>
      </c>
    </row>
    <row r="6097" spans="1:14">
      <c r="A6097" s="6">
        <v>2025</v>
      </c>
      <c r="B6097" s="6">
        <v>7</v>
      </c>
      <c r="C6097" s="6" t="s">
        <v>66</v>
      </c>
      <c r="D6097" s="6" t="s">
        <v>550</v>
      </c>
      <c r="E6097" s="6" t="s">
        <v>438</v>
      </c>
      <c r="F6097" s="6" t="str">
        <f>IF($M6097="PADD I","PADD 1",IF($M6097="PADD II","PADD 2",IF($M6097="PADD III","PADD 3",IF($M6097="PADD IV","PADD 4",IF($M6097="PADD V","PADD 5","")))))</f>
        <v>PADD 2</v>
      </c>
      <c r="G6097" s="6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6" t="s">
        <v>428</v>
      </c>
      <c r="I6097" s="6" t="s">
        <v>481</v>
      </c>
      <c r="J6097" s="6" t="s">
        <v>398</v>
      </c>
      <c r="K6097" s="10">
        <v>25.92</v>
      </c>
      <c r="L6097" s="10">
        <v>32</v>
      </c>
      <c r="M6097" s="6" t="s">
        <v>425</v>
      </c>
      <c r="N6097" s="6">
        <f>IF(OR($G6097="FCC",$G6097="Hydrocracker",$G6097="Reformer"),IF(COUNTIFS($D:$D,$D6097,$A:$A,$A6097,$B:$B,$B6097,$G:$G,"CDU",$J:$J,"PLANNED")&gt;0,"tied","standalone"),"")</f>
        <v/>
      </c>
    </row>
    <row r="6098" spans="1:14">
      <c r="A6098" s="6">
        <v>2025</v>
      </c>
      <c r="B6098" s="6">
        <v>7</v>
      </c>
      <c r="C6098" s="6" t="s">
        <v>66</v>
      </c>
      <c r="D6098" s="6" t="s">
        <v>461</v>
      </c>
      <c r="E6098" s="6" t="s">
        <v>419</v>
      </c>
      <c r="F6098" s="6" t="str">
        <f>IF($M6098="PADD I","PADD 1",IF($M6098="PADD II","PADD 2",IF($M6098="PADD III","PADD 3",IF($M6098="PADD IV","PADD 4",IF($M6098="PADD V","PADD 5","")))))</f>
        <v>PADD 1</v>
      </c>
      <c r="G6098" s="6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6" t="s">
        <v>39</v>
      </c>
      <c r="I6098" s="6" t="s">
        <v>579</v>
      </c>
      <c r="J6098" s="6" t="s">
        <v>394</v>
      </c>
      <c r="K6098" s="10">
        <v>24.605</v>
      </c>
      <c r="L6098" s="10">
        <v>129.5</v>
      </c>
      <c r="M6098" s="6" t="s">
        <v>463</v>
      </c>
      <c r="N6098" s="6">
        <f>IF(OR($G6098="FCC",$G6098="Hydrocracker",$G6098="Reformer"),IF(COUNTIFS($D:$D,$D6098,$A:$A,$A6098,$B:$B,$B6098,$G:$G,"CDU",$J:$J,"PLANNED")&gt;0,"tied","standalone"),"")</f>
        <v/>
      </c>
    </row>
    <row r="6099" spans="1:14">
      <c r="A6099" s="6">
        <v>2025</v>
      </c>
      <c r="B6099" s="6">
        <v>7</v>
      </c>
      <c r="C6099" s="6" t="s">
        <v>66</v>
      </c>
      <c r="D6099" s="6" t="s">
        <v>461</v>
      </c>
      <c r="E6099" s="6" t="s">
        <v>419</v>
      </c>
      <c r="F6099" s="6" t="str">
        <f>IF($M6099="PADD I","PADD 1",IF($M6099="PADD II","PADD 2",IF($M6099="PADD III","PADD 3",IF($M6099="PADD IV","PADD 4",IF($M6099="PADD V","PADD 5","")))))</f>
        <v>PADD 1</v>
      </c>
      <c r="G6099" s="6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6" t="s">
        <v>39</v>
      </c>
      <c r="I6099" s="6" t="s">
        <v>462</v>
      </c>
      <c r="J6099" s="6" t="s">
        <v>394</v>
      </c>
      <c r="K6099" s="10">
        <v>24.51</v>
      </c>
      <c r="L6099" s="10">
        <v>129</v>
      </c>
      <c r="M6099" s="6" t="s">
        <v>463</v>
      </c>
      <c r="N6099" s="6">
        <f>IF(OR($G6099="FCC",$G6099="Hydrocracker",$G6099="Reformer"),IF(COUNTIFS($D:$D,$D6099,$A:$A,$A6099,$B:$B,$B6099,$G:$G,"CDU",$J:$J,"PLANNED")&gt;0,"tied","standalone"),"")</f>
        <v/>
      </c>
    </row>
    <row r="6100" spans="1:14">
      <c r="A6100" s="6">
        <v>2025</v>
      </c>
      <c r="B6100" s="6">
        <v>7</v>
      </c>
      <c r="C6100" s="6" t="s">
        <v>66</v>
      </c>
      <c r="D6100" s="6" t="s">
        <v>550</v>
      </c>
      <c r="E6100" s="6" t="s">
        <v>438</v>
      </c>
      <c r="F6100" s="6" t="str">
        <f>IF($M6100="PADD I","PADD 1",IF($M6100="PADD II","PADD 2",IF($M6100="PADD III","PADD 3",IF($M6100="PADD IV","PADD 4",IF($M6100="PADD V","PADD 5","")))))</f>
        <v>PADD 2</v>
      </c>
      <c r="G6100" s="6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6" t="s">
        <v>44</v>
      </c>
      <c r="I6100" s="6" t="s">
        <v>968</v>
      </c>
      <c r="J6100" s="6" t="s">
        <v>398</v>
      </c>
      <c r="K6100" s="10">
        <v>20.25</v>
      </c>
      <c r="L6100" s="10">
        <v>25</v>
      </c>
      <c r="M6100" s="6" t="s">
        <v>425</v>
      </c>
      <c r="N6100" s="6">
        <f>IF(OR($G6100="FCC",$G6100="Hydrocracker",$G6100="Reformer"),IF(COUNTIFS($D:$D,$D6100,$A:$A,$A6100,$B:$B,$B6100,$G:$G,"CDU",$J:$J,"PLANNED")&gt;0,"tied","standalone"),"")</f>
        <v/>
      </c>
    </row>
    <row r="6101" spans="1:14">
      <c r="A6101" s="6">
        <v>2025</v>
      </c>
      <c r="B6101" s="6">
        <v>7</v>
      </c>
      <c r="C6101" s="6" t="s">
        <v>66</v>
      </c>
      <c r="D6101" s="6" t="s">
        <v>550</v>
      </c>
      <c r="E6101" s="6" t="s">
        <v>438</v>
      </c>
      <c r="F6101" s="6" t="str">
        <f>IF($M6101="PADD I","PADD 1",IF($M6101="PADD II","PADD 2",IF($M6101="PADD III","PADD 3",IF($M6101="PADD IV","PADD 4",IF($M6101="PADD V","PADD 5","")))))</f>
        <v>PADD 2</v>
      </c>
      <c r="G6101" s="6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6" t="s">
        <v>39</v>
      </c>
      <c r="I6101" s="6" t="s">
        <v>967</v>
      </c>
      <c r="J6101" s="6" t="s">
        <v>398</v>
      </c>
      <c r="K6101" s="10">
        <v>20.25</v>
      </c>
      <c r="L6101" s="10">
        <v>25</v>
      </c>
      <c r="M6101" s="6" t="s">
        <v>425</v>
      </c>
      <c r="N6101" s="6">
        <f>IF(OR($G6101="FCC",$G6101="Hydrocracker",$G6101="Reformer"),IF(COUNTIFS($D:$D,$D6101,$A:$A,$A6101,$B:$B,$B6101,$G:$G,"CDU",$J:$J,"PLANNED")&gt;0,"tied","standalone"),"")</f>
        <v/>
      </c>
    </row>
    <row r="6102" spans="1:14">
      <c r="A6102" s="6">
        <v>2025</v>
      </c>
      <c r="B6102" s="6">
        <v>7</v>
      </c>
      <c r="C6102" s="6" t="s">
        <v>66</v>
      </c>
      <c r="D6102" s="6" t="s">
        <v>382</v>
      </c>
      <c r="E6102" s="6" t="s">
        <v>431</v>
      </c>
      <c r="F6102" s="6" t="str">
        <f>IF($M6102="PADD I","PADD 1",IF($M6102="PADD II","PADD 2",IF($M6102="PADD III","PADD 3",IF($M6102="PADD IV","PADD 4",IF($M6102="PADD V","PADD 5","")))))</f>
        <v>PADD 3</v>
      </c>
      <c r="G6102" s="6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6" t="s">
        <v>44</v>
      </c>
      <c r="I6102" s="6" t="s">
        <v>993</v>
      </c>
      <c r="J6102" s="6" t="s">
        <v>394</v>
      </c>
      <c r="K6102" s="10">
        <v>19.2</v>
      </c>
      <c r="L6102" s="10">
        <v>40</v>
      </c>
      <c r="M6102" s="6" t="s">
        <v>421</v>
      </c>
      <c r="N6102" s="6">
        <f>IF(OR($G6102="FCC",$G6102="Hydrocracker",$G6102="Reformer"),IF(COUNTIFS($D:$D,$D6102,$A:$A,$A6102,$B:$B,$B6102,$G:$G,"CDU",$J:$J,"PLANNED")&gt;0,"tied","standalone"),"")</f>
        <v/>
      </c>
    </row>
    <row r="6103" spans="1:14">
      <c r="A6103" s="6">
        <v>2025</v>
      </c>
      <c r="B6103" s="6">
        <v>7</v>
      </c>
      <c r="C6103" s="6" t="s">
        <v>66</v>
      </c>
      <c r="D6103" s="6" t="s">
        <v>375</v>
      </c>
      <c r="E6103" s="6" t="s">
        <v>435</v>
      </c>
      <c r="F6103" s="6" t="str">
        <f>IF($M6103="PADD I","PADD 1",IF($M6103="PADD II","PADD 2",IF($M6103="PADD III","PADD 3",IF($M6103="PADD IV","PADD 4",IF($M6103="PADD V","PADD 5","")))))</f>
        <v>PADD 5</v>
      </c>
      <c r="G6103" s="6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6" t="s">
        <v>44</v>
      </c>
      <c r="I6103" s="6" t="s">
        <v>1224</v>
      </c>
      <c r="J6103" s="6" t="s">
        <v>394</v>
      </c>
      <c r="K6103" s="10">
        <v>17.57</v>
      </c>
      <c r="L6103" s="10">
        <v>17.57</v>
      </c>
      <c r="M6103" s="6" t="s">
        <v>436</v>
      </c>
      <c r="N6103" s="6">
        <f>IF(OR($G6103="FCC",$G6103="Hydrocracker",$G6103="Reformer"),IF(COUNTIFS($D:$D,$D6103,$A:$A,$A6103,$B:$B,$B6103,$G:$G,"CDU",$J:$J,"PLANNED")&gt;0,"tied","standalone"),"")</f>
        <v/>
      </c>
    </row>
    <row r="6104" spans="1:14">
      <c r="A6104" s="6">
        <v>2025</v>
      </c>
      <c r="B6104" s="6">
        <v>7</v>
      </c>
      <c r="C6104" s="6" t="s">
        <v>66</v>
      </c>
      <c r="D6104" s="6" t="s">
        <v>550</v>
      </c>
      <c r="E6104" s="6" t="s">
        <v>438</v>
      </c>
      <c r="F6104" s="6" t="str">
        <f>IF($M6104="PADD I","PADD 1",IF($M6104="PADD II","PADD 2",IF($M6104="PADD III","PADD 3",IF($M6104="PADD IV","PADD 4",IF($M6104="PADD V","PADD 5","")))))</f>
        <v>PADD 2</v>
      </c>
      <c r="G6104" s="6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6" t="s">
        <v>44</v>
      </c>
      <c r="I6104" s="6" t="s">
        <v>971</v>
      </c>
      <c r="J6104" s="6" t="s">
        <v>398</v>
      </c>
      <c r="K6104" s="10">
        <v>16.2</v>
      </c>
      <c r="L6104" s="10">
        <v>20</v>
      </c>
      <c r="M6104" s="6" t="s">
        <v>425</v>
      </c>
      <c r="N6104" s="6">
        <f>IF(OR($G6104="FCC",$G6104="Hydrocracker",$G6104="Reformer"),IF(COUNTIFS($D:$D,$D6104,$A:$A,$A6104,$B:$B,$B6104,$G:$G,"CDU",$J:$J,"PLANNED")&gt;0,"tied","standalone"),"")</f>
        <v/>
      </c>
    </row>
    <row r="6105" spans="1:14">
      <c r="A6105" s="6">
        <v>2025</v>
      </c>
      <c r="B6105" s="6">
        <v>7</v>
      </c>
      <c r="C6105" s="6" t="s">
        <v>66</v>
      </c>
      <c r="D6105" s="6" t="s">
        <v>461</v>
      </c>
      <c r="E6105" s="6" t="s">
        <v>419</v>
      </c>
      <c r="F6105" s="6" t="str">
        <f>IF($M6105="PADD I","PADD 1",IF($M6105="PADD II","PADD 2",IF($M6105="PADD III","PADD 3",IF($M6105="PADD IV","PADD 4",IF($M6105="PADD V","PADD 5","")))))</f>
        <v>PADD 1</v>
      </c>
      <c r="G6105" s="6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6" t="s">
        <v>44</v>
      </c>
      <c r="I6105" s="6" t="s">
        <v>508</v>
      </c>
      <c r="J6105" s="6" t="s">
        <v>394</v>
      </c>
      <c r="K6105" s="10">
        <v>16.15</v>
      </c>
      <c r="L6105" s="10">
        <v>85</v>
      </c>
      <c r="M6105" s="6" t="s">
        <v>463</v>
      </c>
      <c r="N6105" s="6">
        <f>IF(OR($G6105="FCC",$G6105="Hydrocracker",$G6105="Reformer"),IF(COUNTIFS($D:$D,$D6105,$A:$A,$A6105,$B:$B,$B6105,$G:$G,"CDU",$J:$J,"PLANNED")&gt;0,"tied","standalone"),"")</f>
        <v/>
      </c>
    </row>
    <row r="6106" spans="1:14">
      <c r="A6106" s="6">
        <v>2025</v>
      </c>
      <c r="B6106" s="6">
        <v>7</v>
      </c>
      <c r="C6106" s="6" t="s">
        <v>66</v>
      </c>
      <c r="D6106" s="6" t="s">
        <v>437</v>
      </c>
      <c r="E6106" s="6" t="s">
        <v>438</v>
      </c>
      <c r="F6106" s="6" t="str">
        <f>IF($M6106="PADD I","PADD 1",IF($M6106="PADD II","PADD 2",IF($M6106="PADD III","PADD 3",IF($M6106="PADD IV","PADD 4",IF($M6106="PADD V","PADD 5","")))))</f>
        <v>PADD 3</v>
      </c>
      <c r="G6106" s="6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6" t="s">
        <v>631</v>
      </c>
      <c r="I6106" s="6" t="s">
        <v>918</v>
      </c>
      <c r="J6106" s="6" t="s">
        <v>394</v>
      </c>
      <c r="K6106" s="10">
        <v>16</v>
      </c>
      <c r="L6106" s="10">
        <v>16</v>
      </c>
      <c r="M6106" s="6" t="s">
        <v>421</v>
      </c>
      <c r="N6106" s="6" t="str">
        <f>IF(OR($G6106="FCC",$G6106="Hydrocracker",$G6106="Reformer"),IF(COUNTIFS($D:$D,$D6106,$A:$A,$A6106,$B:$B,$B6106,$G:$G,"CDU",$J:$J,"PLANNED")&gt;0,"tied","standalone"),"")</f>
        <v>standalone</v>
      </c>
    </row>
    <row r="6107" spans="1:14">
      <c r="A6107" s="6">
        <v>2025</v>
      </c>
      <c r="B6107" s="6">
        <v>7</v>
      </c>
      <c r="C6107" s="6" t="s">
        <v>66</v>
      </c>
      <c r="D6107" s="6" t="s">
        <v>865</v>
      </c>
      <c r="E6107" s="6" t="s">
        <v>502</v>
      </c>
      <c r="F6107" s="6" t="str">
        <f>IF($M6107="PADD I","PADD 1",IF($M6107="PADD II","PADD 2",IF($M6107="PADD III","PADD 3",IF($M6107="PADD IV","PADD 4",IF($M6107="PADD V","PADD 5","")))))</f>
        <v>PADD 4</v>
      </c>
      <c r="G6107" s="6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6" t="s">
        <v>426</v>
      </c>
      <c r="I6107" s="6" t="s">
        <v>886</v>
      </c>
      <c r="J6107" s="6" t="s">
        <v>394</v>
      </c>
      <c r="K6107" s="10">
        <v>15.228</v>
      </c>
      <c r="L6107" s="10">
        <v>16.2</v>
      </c>
      <c r="M6107" s="6" t="s">
        <v>480</v>
      </c>
      <c r="N6107" s="6" t="str">
        <f>IF(OR($G6107="FCC",$G6107="Hydrocracker",$G6107="Reformer"),IF(COUNTIFS($D:$D,$D6107,$A:$A,$A6107,$B:$B,$B6107,$G:$G,"CDU",$J:$J,"PLANNED")&gt;0,"tied","standalone"),"")</f>
        <v>standalone</v>
      </c>
    </row>
    <row r="6108" spans="1:14">
      <c r="A6108" s="6">
        <v>2025</v>
      </c>
      <c r="B6108" s="6">
        <v>7</v>
      </c>
      <c r="C6108" s="6" t="s">
        <v>66</v>
      </c>
      <c r="D6108" s="6" t="s">
        <v>1180</v>
      </c>
      <c r="E6108" s="6" t="s">
        <v>502</v>
      </c>
      <c r="F6108" s="6" t="str">
        <f>IF($M6108="PADD I","PADD 1",IF($M6108="PADD II","PADD 2",IF($M6108="PADD III","PADD 3",IF($M6108="PADD IV","PADD 4",IF($M6108="PADD V","PADD 5","")))))</f>
        <v>PADD 2</v>
      </c>
      <c r="G6108" s="6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6" t="s">
        <v>44</v>
      </c>
      <c r="I6108" s="6" t="s">
        <v>543</v>
      </c>
      <c r="J6108" s="6" t="s">
        <v>394</v>
      </c>
      <c r="K6108" s="10">
        <v>15.035</v>
      </c>
      <c r="L6108" s="10">
        <v>15.5</v>
      </c>
      <c r="M6108" s="6" t="s">
        <v>425</v>
      </c>
      <c r="N6108" s="6">
        <f>IF(OR($G6108="FCC",$G6108="Hydrocracker",$G6108="Reformer"),IF(COUNTIFS($D:$D,$D6108,$A:$A,$A6108,$B:$B,$B6108,$G:$G,"CDU",$J:$J,"PLANNED")&gt;0,"tied","standalone"),"")</f>
        <v/>
      </c>
    </row>
    <row r="6109" spans="1:14">
      <c r="A6109" s="6">
        <v>2025</v>
      </c>
      <c r="B6109" s="6">
        <v>7</v>
      </c>
      <c r="C6109" s="6" t="s">
        <v>66</v>
      </c>
      <c r="D6109" s="6" t="s">
        <v>484</v>
      </c>
      <c r="E6109" s="6" t="s">
        <v>438</v>
      </c>
      <c r="F6109" s="6" t="str">
        <f>IF($M6109="PADD I","PADD 1",IF($M6109="PADD II","PADD 2",IF($M6109="PADD III","PADD 3",IF($M6109="PADD IV","PADD 4",IF($M6109="PADD V","PADD 5","")))))</f>
        <v>PADD 5</v>
      </c>
      <c r="G6109" s="6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6" t="s">
        <v>485</v>
      </c>
      <c r="I6109" s="6" t="s">
        <v>486</v>
      </c>
      <c r="J6109" s="6" t="s">
        <v>394</v>
      </c>
      <c r="K6109" s="10">
        <v>14.7</v>
      </c>
      <c r="L6109" s="10">
        <v>42</v>
      </c>
      <c r="M6109" s="6" t="s">
        <v>436</v>
      </c>
      <c r="N6109" s="6">
        <f>IF(OR($G6109="FCC",$G6109="Hydrocracker",$G6109="Reformer"),IF(COUNTIFS($D:$D,$D6109,$A:$A,$A6109,$B:$B,$B6109,$G:$G,"CDU",$J:$J,"PLANNED")&gt;0,"tied","standalone"),"")</f>
        <v/>
      </c>
    </row>
    <row r="6110" spans="1:14">
      <c r="A6110" s="6">
        <v>2025</v>
      </c>
      <c r="B6110" s="6">
        <v>7</v>
      </c>
      <c r="C6110" s="6" t="s">
        <v>66</v>
      </c>
      <c r="D6110" s="6" t="s">
        <v>395</v>
      </c>
      <c r="E6110" s="6" t="s">
        <v>433</v>
      </c>
      <c r="F6110" s="6" t="str">
        <f>IF($M6110="PADD I","PADD 1",IF($M6110="PADD II","PADD 2",IF($M6110="PADD III","PADD 3",IF($M6110="PADD IV","PADD 4",IF($M6110="PADD V","PADD 5","")))))</f>
        <v>PADD 2</v>
      </c>
      <c r="G6110" s="6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6" t="s">
        <v>494</v>
      </c>
      <c r="I6110" s="6" t="s">
        <v>513</v>
      </c>
      <c r="J6110" s="6" t="s">
        <v>394</v>
      </c>
      <c r="K6110" s="10">
        <v>14.4</v>
      </c>
      <c r="L6110" s="10">
        <v>32</v>
      </c>
      <c r="M6110" s="6" t="s">
        <v>425</v>
      </c>
      <c r="N6110" s="6" t="str">
        <f>IF(OR($G6110="FCC",$G6110="Hydrocracker",$G6110="Reformer"),IF(COUNTIFS($D:$D,$D6110,$A:$A,$A6110,$B:$B,$B6110,$G:$G,"CDU",$J:$J,"PLANNED")&gt;0,"tied","standalone"),"")</f>
        <v>standalone</v>
      </c>
    </row>
    <row r="6111" spans="1:14">
      <c r="A6111" s="6">
        <v>2025</v>
      </c>
      <c r="B6111" s="6">
        <v>7</v>
      </c>
      <c r="C6111" s="6" t="s">
        <v>66</v>
      </c>
      <c r="D6111" s="6" t="s">
        <v>41</v>
      </c>
      <c r="E6111" s="6" t="s">
        <v>786</v>
      </c>
      <c r="F6111" s="6" t="str">
        <f>IF($M6111="PADD I","PADD 1",IF($M6111="PADD II","PADD 2",IF($M6111="PADD III","PADD 3",IF($M6111="PADD IV","PADD 4",IF($M6111="PADD V","PADD 5","")))))</f>
        <v>PADD 1</v>
      </c>
      <c r="G6111" s="6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6" t="s">
        <v>39</v>
      </c>
      <c r="I6111" s="6" t="s">
        <v>1030</v>
      </c>
      <c r="J6111" s="6" t="s">
        <v>394</v>
      </c>
      <c r="K6111" s="10">
        <v>13.52</v>
      </c>
      <c r="L6111" s="10">
        <v>104</v>
      </c>
      <c r="M6111" s="6" t="s">
        <v>463</v>
      </c>
      <c r="N6111" s="6">
        <f>IF(OR($G6111="FCC",$G6111="Hydrocracker",$G6111="Reformer"),IF(COUNTIFS($D:$D,$D6111,$A:$A,$A6111,$B:$B,$B6111,$G:$G,"CDU",$J:$J,"PLANNED")&gt;0,"tied","standalone"),"")</f>
        <v/>
      </c>
    </row>
    <row r="6112" spans="1:14">
      <c r="A6112" s="6">
        <v>2025</v>
      </c>
      <c r="B6112" s="6">
        <v>7</v>
      </c>
      <c r="C6112" s="6" t="s">
        <v>66</v>
      </c>
      <c r="D6112" s="6" t="s">
        <v>41</v>
      </c>
      <c r="E6112" s="6" t="s">
        <v>786</v>
      </c>
      <c r="F6112" s="6" t="str">
        <f>IF($M6112="PADD I","PADD 1",IF($M6112="PADD II","PADD 2",IF($M6112="PADD III","PADD 3",IF($M6112="PADD IV","PADD 4",IF($M6112="PADD V","PADD 5","")))))</f>
        <v>PADD 1</v>
      </c>
      <c r="G6112" s="6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6" t="s">
        <v>39</v>
      </c>
      <c r="I6112" s="6" t="s">
        <v>1039</v>
      </c>
      <c r="J6112" s="6" t="s">
        <v>394</v>
      </c>
      <c r="K6112" s="10">
        <v>13.52</v>
      </c>
      <c r="L6112" s="10">
        <v>104</v>
      </c>
      <c r="M6112" s="6" t="s">
        <v>463</v>
      </c>
      <c r="N6112" s="6">
        <f>IF(OR($G6112="FCC",$G6112="Hydrocracker",$G6112="Reformer"),IF(COUNTIFS($D:$D,$D6112,$A:$A,$A6112,$B:$B,$B6112,$G:$G,"CDU",$J:$J,"PLANNED")&gt;0,"tied","standalone"),"")</f>
        <v/>
      </c>
    </row>
    <row r="6113" spans="1:14">
      <c r="A6113" s="6">
        <v>2025</v>
      </c>
      <c r="B6113" s="6">
        <v>7</v>
      </c>
      <c r="C6113" s="6" t="s">
        <v>66</v>
      </c>
      <c r="D6113" s="6" t="s">
        <v>550</v>
      </c>
      <c r="E6113" s="6" t="s">
        <v>438</v>
      </c>
      <c r="F6113" s="6" t="str">
        <f>IF($M6113="PADD I","PADD 1",IF($M6113="PADD II","PADD 2",IF($M6113="PADD III","PADD 3",IF($M6113="PADD IV","PADD 4",IF($M6113="PADD V","PADD 5","")))))</f>
        <v>PADD 2</v>
      </c>
      <c r="G6113" s="6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6" t="s">
        <v>426</v>
      </c>
      <c r="I6113" s="6" t="s">
        <v>106</v>
      </c>
      <c r="J6113" s="6" t="s">
        <v>398</v>
      </c>
      <c r="K6113" s="10">
        <v>12.48</v>
      </c>
      <c r="L6113" s="10">
        <v>26</v>
      </c>
      <c r="M6113" s="6" t="s">
        <v>425</v>
      </c>
      <c r="N6113" s="6" t="str">
        <f>IF(OR($G6113="FCC",$G6113="Hydrocracker",$G6113="Reformer"),IF(COUNTIFS($D:$D,$D6113,$A:$A,$A6113,$B:$B,$B6113,$G:$G,"CDU",$J:$J,"PLANNED")&gt;0,"tied","standalone"),"")</f>
        <v>tied</v>
      </c>
    </row>
    <row r="6114" spans="1:14">
      <c r="A6114" s="6">
        <v>2025</v>
      </c>
      <c r="B6114" s="6">
        <v>7</v>
      </c>
      <c r="C6114" s="6" t="s">
        <v>66</v>
      </c>
      <c r="D6114" s="6" t="s">
        <v>550</v>
      </c>
      <c r="E6114" s="6" t="s">
        <v>438</v>
      </c>
      <c r="F6114" s="6" t="str">
        <f>IF($M6114="PADD I","PADD 1",IF($M6114="PADD II","PADD 2",IF($M6114="PADD III","PADD 3",IF($M6114="PADD IV","PADD 4",IF($M6114="PADD V","PADD 5","")))))</f>
        <v>PADD 2</v>
      </c>
      <c r="G6114" s="6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6" t="s">
        <v>44</v>
      </c>
      <c r="I6114" s="6" t="s">
        <v>974</v>
      </c>
      <c r="J6114" s="6" t="s">
        <v>398</v>
      </c>
      <c r="K6114" s="10">
        <v>12.15</v>
      </c>
      <c r="L6114" s="10">
        <v>15</v>
      </c>
      <c r="M6114" s="6" t="s">
        <v>425</v>
      </c>
      <c r="N6114" s="6">
        <f>IF(OR($G6114="FCC",$G6114="Hydrocracker",$G6114="Reformer"),IF(COUNTIFS($D:$D,$D6114,$A:$A,$A6114,$B:$B,$B6114,$G:$G,"CDU",$J:$J,"PLANNED")&gt;0,"tied","standalone"),"")</f>
        <v/>
      </c>
    </row>
    <row r="6115" spans="1:14">
      <c r="A6115" s="6">
        <v>2025</v>
      </c>
      <c r="B6115" s="6">
        <v>7</v>
      </c>
      <c r="C6115" s="6" t="s">
        <v>66</v>
      </c>
      <c r="D6115" s="6" t="s">
        <v>375</v>
      </c>
      <c r="E6115" s="6" t="s">
        <v>435</v>
      </c>
      <c r="F6115" s="6" t="str">
        <f>IF($M6115="PADD I","PADD 1",IF($M6115="PADD II","PADD 2",IF($M6115="PADD III","PADD 3",IF($M6115="PADD IV","PADD 4",IF($M6115="PADD V","PADD 5","")))))</f>
        <v>PADD 5</v>
      </c>
      <c r="G6115" s="6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6" t="s">
        <v>471</v>
      </c>
      <c r="I6115" s="6" t="s">
        <v>15</v>
      </c>
      <c r="J6115" s="6" t="s">
        <v>394</v>
      </c>
      <c r="K6115" s="10">
        <v>10.33</v>
      </c>
      <c r="L6115" s="10">
        <v>10.33</v>
      </c>
      <c r="M6115" s="6" t="s">
        <v>436</v>
      </c>
      <c r="N6115" s="6" t="str">
        <f>IF(OR($G6115="FCC",$G6115="Hydrocracker",$G6115="Reformer"),IF(COUNTIFS($D:$D,$D6115,$A:$A,$A6115,$B:$B,$B6115,$G:$G,"CDU",$J:$J,"PLANNED")&gt;0,"tied","standalone"),"")</f>
        <v>standalone</v>
      </c>
    </row>
    <row r="6116" spans="1:14">
      <c r="A6116" s="6">
        <v>2025</v>
      </c>
      <c r="B6116" s="6">
        <v>7</v>
      </c>
      <c r="C6116" s="6" t="s">
        <v>66</v>
      </c>
      <c r="D6116" s="6" t="s">
        <v>375</v>
      </c>
      <c r="E6116" s="6" t="s">
        <v>435</v>
      </c>
      <c r="F6116" s="6" t="str">
        <f>IF($M6116="PADD I","PADD 1",IF($M6116="PADD II","PADD 2",IF($M6116="PADD III","PADD 3",IF($M6116="PADD IV","PADD 4",IF($M6116="PADD V","PADD 5","")))))</f>
        <v>PADD 5</v>
      </c>
      <c r="G6116" s="6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6" t="s">
        <v>44</v>
      </c>
      <c r="I6116" s="6" t="s">
        <v>551</v>
      </c>
      <c r="J6116" s="6" t="s">
        <v>394</v>
      </c>
      <c r="K6116" s="10">
        <v>9.800000000000001</v>
      </c>
      <c r="L6116" s="10">
        <v>9.800000000000001</v>
      </c>
      <c r="M6116" s="6" t="s">
        <v>436</v>
      </c>
      <c r="N6116" s="6">
        <f>IF(OR($G6116="FCC",$G6116="Hydrocracker",$G6116="Reformer"),IF(COUNTIFS($D:$D,$D6116,$A:$A,$A6116,$B:$B,$B6116,$G:$G,"CDU",$J:$J,"PLANNED")&gt;0,"tied","standalone"),"")</f>
        <v/>
      </c>
    </row>
    <row r="6117" spans="1:14">
      <c r="A6117" s="6">
        <v>2025</v>
      </c>
      <c r="B6117" s="6">
        <v>7</v>
      </c>
      <c r="C6117" s="6" t="s">
        <v>66</v>
      </c>
      <c r="D6117" s="6" t="s">
        <v>550</v>
      </c>
      <c r="E6117" s="6" t="s">
        <v>438</v>
      </c>
      <c r="F6117" s="6" t="str">
        <f>IF($M6117="PADD I","PADD 1",IF($M6117="PADD II","PADD 2",IF($M6117="PADD III","PADD 3",IF($M6117="PADD IV","PADD 4",IF($M6117="PADD V","PADD 5","")))))</f>
        <v>PADD 2</v>
      </c>
      <c r="G6117" s="6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6" t="s">
        <v>44</v>
      </c>
      <c r="I6117" s="6" t="s">
        <v>551</v>
      </c>
      <c r="J6117" s="6" t="s">
        <v>398</v>
      </c>
      <c r="K6117" s="10">
        <v>9.6</v>
      </c>
      <c r="L6117" s="10">
        <v>20</v>
      </c>
      <c r="M6117" s="6" t="s">
        <v>425</v>
      </c>
      <c r="N6117" s="6">
        <f>IF(OR($G6117="FCC",$G6117="Hydrocracker",$G6117="Reformer"),IF(COUNTIFS($D:$D,$D6117,$A:$A,$A6117,$B:$B,$B6117,$G:$G,"CDU",$J:$J,"PLANNED")&gt;0,"tied","standalone"),"")</f>
        <v/>
      </c>
    </row>
    <row r="6118" spans="1:14">
      <c r="A6118" s="6">
        <v>2025</v>
      </c>
      <c r="B6118" s="6">
        <v>7</v>
      </c>
      <c r="C6118" s="6" t="s">
        <v>66</v>
      </c>
      <c r="D6118" s="6" t="s">
        <v>550</v>
      </c>
      <c r="E6118" s="6" t="s">
        <v>438</v>
      </c>
      <c r="F6118" s="6" t="str">
        <f>IF($M6118="PADD I","PADD 1",IF($M6118="PADD II","PADD 2",IF($M6118="PADD III","PADD 3",IF($M6118="PADD IV","PADD 4",IF($M6118="PADD V","PADD 5","")))))</f>
        <v>PADD 2</v>
      </c>
      <c r="G6118" s="6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6" t="s">
        <v>44</v>
      </c>
      <c r="I6118" s="6" t="s">
        <v>570</v>
      </c>
      <c r="J6118" s="6" t="s">
        <v>398</v>
      </c>
      <c r="K6118" s="10">
        <v>9.6</v>
      </c>
      <c r="L6118" s="10">
        <v>20</v>
      </c>
      <c r="M6118" s="6" t="s">
        <v>425</v>
      </c>
      <c r="N6118" s="6">
        <f>IF(OR($G6118="FCC",$G6118="Hydrocracker",$G6118="Reformer"),IF(COUNTIFS($D:$D,$D6118,$A:$A,$A6118,$B:$B,$B6118,$G:$G,"CDU",$J:$J,"PLANNED")&gt;0,"tied","standalone"),"")</f>
        <v/>
      </c>
    </row>
    <row r="6119" spans="1:14">
      <c r="A6119" s="6">
        <v>2025</v>
      </c>
      <c r="B6119" s="6">
        <v>7</v>
      </c>
      <c r="C6119" s="6" t="s">
        <v>66</v>
      </c>
      <c r="D6119" s="6" t="s">
        <v>375</v>
      </c>
      <c r="E6119" s="6" t="s">
        <v>435</v>
      </c>
      <c r="F6119" s="6" t="str">
        <f>IF($M6119="PADD I","PADD 1",IF($M6119="PADD II","PADD 2",IF($M6119="PADD III","PADD 3",IF($M6119="PADD IV","PADD 4",IF($M6119="PADD V","PADD 5","")))))</f>
        <v>PADD 5</v>
      </c>
      <c r="G6119" s="6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6" t="s">
        <v>44</v>
      </c>
      <c r="I6119" s="6" t="s">
        <v>1233</v>
      </c>
      <c r="J6119" s="6" t="s">
        <v>394</v>
      </c>
      <c r="K6119" s="10">
        <v>9.1</v>
      </c>
      <c r="L6119" s="10">
        <v>9.1</v>
      </c>
      <c r="M6119" s="6" t="s">
        <v>436</v>
      </c>
      <c r="N6119" s="6">
        <f>IF(OR($G6119="FCC",$G6119="Hydrocracker",$G6119="Reformer"),IF(COUNTIFS($D:$D,$D6119,$A:$A,$A6119,$B:$B,$B6119,$G:$G,"CDU",$J:$J,"PLANNED")&gt;0,"tied","standalone"),"")</f>
        <v/>
      </c>
    </row>
    <row r="6120" spans="1:14">
      <c r="A6120" s="6">
        <v>2025</v>
      </c>
      <c r="B6120" s="6">
        <v>7</v>
      </c>
      <c r="C6120" s="6" t="s">
        <v>66</v>
      </c>
      <c r="D6120" s="6" t="s">
        <v>652</v>
      </c>
      <c r="E6120" s="6" t="s">
        <v>419</v>
      </c>
      <c r="F6120" s="6" t="str">
        <f>IF($M6120="PADD I","PADD 1",IF($M6120="PADD II","PADD 2",IF($M6120="PADD III","PADD 3",IF($M6120="PADD IV","PADD 4",IF($M6120="PADD V","PADD 5","")))))</f>
        <v>PADD 2</v>
      </c>
      <c r="G6120" s="6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6" t="s">
        <v>426</v>
      </c>
      <c r="I6120" s="6" t="s">
        <v>704</v>
      </c>
      <c r="J6120" s="6" t="s">
        <v>394</v>
      </c>
      <c r="K6120" s="10">
        <v>9.1</v>
      </c>
      <c r="L6120" s="10">
        <v>26</v>
      </c>
      <c r="M6120" s="6" t="s">
        <v>425</v>
      </c>
      <c r="N6120" s="6" t="str">
        <f>IF(OR($G6120="FCC",$G6120="Hydrocracker",$G6120="Reformer"),IF(COUNTIFS($D:$D,$D6120,$A:$A,$A6120,$B:$B,$B6120,$G:$G,"CDU",$J:$J,"PLANNED")&gt;0,"tied","standalone"),"")</f>
        <v>standalone</v>
      </c>
    </row>
    <row r="6121" spans="1:14">
      <c r="A6121" s="6">
        <v>2025</v>
      </c>
      <c r="B6121" s="6">
        <v>7</v>
      </c>
      <c r="C6121" s="6" t="s">
        <v>66</v>
      </c>
      <c r="D6121" s="6" t="s">
        <v>373</v>
      </c>
      <c r="E6121" s="6" t="s">
        <v>438</v>
      </c>
      <c r="F6121" s="6" t="str">
        <f>IF($M6121="PADD I","PADD 1",IF($M6121="PADD II","PADD 2",IF($M6121="PADD III","PADD 3",IF($M6121="PADD IV","PADD 4",IF($M6121="PADD V","PADD 5","")))))</f>
        <v>PADD 3</v>
      </c>
      <c r="G6121" s="6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6" t="s">
        <v>428</v>
      </c>
      <c r="I6121" s="6" t="s">
        <v>992</v>
      </c>
      <c r="J6121" s="6" t="s">
        <v>394</v>
      </c>
      <c r="K6121" s="10">
        <v>8.91</v>
      </c>
      <c r="L6121" s="10">
        <v>148.5</v>
      </c>
      <c r="M6121" s="6" t="s">
        <v>421</v>
      </c>
      <c r="N6121" s="6">
        <f>IF(OR($G6121="FCC",$G6121="Hydrocracker",$G6121="Reformer"),IF(COUNTIFS($D:$D,$D6121,$A:$A,$A6121,$B:$B,$B6121,$G:$G,"CDU",$J:$J,"PLANNED")&gt;0,"tied","standalone"),"")</f>
        <v/>
      </c>
    </row>
    <row r="6122" spans="1:14">
      <c r="A6122" s="6">
        <v>2025</v>
      </c>
      <c r="B6122" s="6">
        <v>7</v>
      </c>
      <c r="C6122" s="6" t="s">
        <v>66</v>
      </c>
      <c r="D6122" s="6" t="s">
        <v>652</v>
      </c>
      <c r="E6122" s="6" t="s">
        <v>419</v>
      </c>
      <c r="F6122" s="6" t="str">
        <f>IF($M6122="PADD I","PADD 1",IF($M6122="PADD II","PADD 2",IF($M6122="PADD III","PADD 3",IF($M6122="PADD IV","PADD 4",IF($M6122="PADD V","PADD 5","")))))</f>
        <v>PADD 2</v>
      </c>
      <c r="G6122" s="6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6" t="s">
        <v>39</v>
      </c>
      <c r="I6122" s="6" t="s">
        <v>130</v>
      </c>
      <c r="J6122" s="6" t="s">
        <v>394</v>
      </c>
      <c r="K6122" s="10">
        <v>8.867000000000001</v>
      </c>
      <c r="L6122" s="10">
        <v>88.67</v>
      </c>
      <c r="M6122" s="6" t="s">
        <v>425</v>
      </c>
      <c r="N6122" s="6">
        <f>IF(OR($G6122="FCC",$G6122="Hydrocracker",$G6122="Reformer"),IF(COUNTIFS($D:$D,$D6122,$A:$A,$A6122,$B:$B,$B6122,$G:$G,"CDU",$J:$J,"PLANNED")&gt;0,"tied","standalone"),"")</f>
        <v/>
      </c>
    </row>
    <row r="6123" spans="1:14">
      <c r="A6123" s="6">
        <v>2025</v>
      </c>
      <c r="B6123" s="6">
        <v>7</v>
      </c>
      <c r="C6123" s="6" t="s">
        <v>66</v>
      </c>
      <c r="D6123" s="6" t="s">
        <v>384</v>
      </c>
      <c r="E6123" s="6" t="s">
        <v>419</v>
      </c>
      <c r="F6123" s="6" t="str">
        <f>IF($M6123="PADD I","PADD 1",IF($M6123="PADD II","PADD 2",IF($M6123="PADD III","PADD 3",IF($M6123="PADD IV","PADD 4",IF($M6123="PADD V","PADD 5","")))))</f>
        <v>PADD 3</v>
      </c>
      <c r="G6123" s="6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6" t="s">
        <v>426</v>
      </c>
      <c r="I6123" s="6" t="s">
        <v>522</v>
      </c>
      <c r="J6123" s="6" t="s">
        <v>394</v>
      </c>
      <c r="K6123" s="10">
        <v>8.699999999999999</v>
      </c>
      <c r="L6123" s="10">
        <v>30</v>
      </c>
      <c r="M6123" s="6" t="s">
        <v>421</v>
      </c>
      <c r="N6123" s="6" t="str">
        <f>IF(OR($G6123="FCC",$G6123="Hydrocracker",$G6123="Reformer"),IF(COUNTIFS($D:$D,$D6123,$A:$A,$A6123,$B:$B,$B6123,$G:$G,"CDU",$J:$J,"PLANNED")&gt;0,"tied","standalone"),"")</f>
        <v>standalone</v>
      </c>
    </row>
    <row r="6124" spans="1:14">
      <c r="A6124" s="6">
        <v>2025</v>
      </c>
      <c r="B6124" s="6">
        <v>7</v>
      </c>
      <c r="C6124" s="6" t="s">
        <v>66</v>
      </c>
      <c r="D6124" s="6" t="s">
        <v>550</v>
      </c>
      <c r="E6124" s="6" t="s">
        <v>438</v>
      </c>
      <c r="F6124" s="6" t="str">
        <f>IF($M6124="PADD I","PADD 1",IF($M6124="PADD II","PADD 2",IF($M6124="PADD III","PADD 3",IF($M6124="PADD IV","PADD 4",IF($M6124="PADD V","PADD 5","")))))</f>
        <v>PADD 2</v>
      </c>
      <c r="G6124" s="6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6" t="s">
        <v>471</v>
      </c>
      <c r="I6124" s="6" t="s">
        <v>589</v>
      </c>
      <c r="J6124" s="6" t="s">
        <v>398</v>
      </c>
      <c r="K6124" s="10">
        <v>8.550000000000001</v>
      </c>
      <c r="L6124" s="10">
        <v>19</v>
      </c>
      <c r="M6124" s="6" t="s">
        <v>425</v>
      </c>
      <c r="N6124" s="6" t="str">
        <f>IF(OR($G6124="FCC",$G6124="Hydrocracker",$G6124="Reformer"),IF(COUNTIFS($D:$D,$D6124,$A:$A,$A6124,$B:$B,$B6124,$G:$G,"CDU",$J:$J,"PLANNED")&gt;0,"tied","standalone"),"")</f>
        <v>tied</v>
      </c>
    </row>
    <row r="6125" spans="1:14">
      <c r="A6125" s="6">
        <v>2025</v>
      </c>
      <c r="B6125" s="6">
        <v>7</v>
      </c>
      <c r="C6125" s="6" t="s">
        <v>66</v>
      </c>
      <c r="D6125" s="6" t="s">
        <v>576</v>
      </c>
      <c r="E6125" s="6" t="s">
        <v>455</v>
      </c>
      <c r="F6125" s="6" t="str">
        <f>IF($M6125="PADD I","PADD 1",IF($M6125="PADD II","PADD 2",IF($M6125="PADD III","PADD 3",IF($M6125="PADD IV","PADD 4",IF($M6125="PADD V","PADD 5","")))))</f>
        <v>PADD 3</v>
      </c>
      <c r="G6125" s="6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6" t="s">
        <v>39</v>
      </c>
      <c r="I6125" s="6" t="s">
        <v>399</v>
      </c>
      <c r="J6125" s="6" t="s">
        <v>394</v>
      </c>
      <c r="K6125" s="10">
        <v>7.95</v>
      </c>
      <c r="L6125" s="10">
        <v>265</v>
      </c>
      <c r="M6125" s="6" t="s">
        <v>421</v>
      </c>
      <c r="N6125" s="6">
        <f>IF(OR($G6125="FCC",$G6125="Hydrocracker",$G6125="Reformer"),IF(COUNTIFS($D:$D,$D6125,$A:$A,$A6125,$B:$B,$B6125,$G:$G,"CDU",$J:$J,"PLANNED")&gt;0,"tied","standalone"),"")</f>
        <v/>
      </c>
    </row>
    <row r="6126" spans="1:14">
      <c r="A6126" s="6">
        <v>2025</v>
      </c>
      <c r="B6126" s="6">
        <v>7</v>
      </c>
      <c r="C6126" s="6" t="s">
        <v>66</v>
      </c>
      <c r="D6126" s="6" t="s">
        <v>41</v>
      </c>
      <c r="E6126" s="6" t="s">
        <v>786</v>
      </c>
      <c r="F6126" s="6" t="str">
        <f>IF($M6126="PADD I","PADD 1",IF($M6126="PADD II","PADD 2",IF($M6126="PADD III","PADD 3",IF($M6126="PADD IV","PADD 4",IF($M6126="PADD V","PADD 5","")))))</f>
        <v>PADD 1</v>
      </c>
      <c r="G6126" s="6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6" t="s">
        <v>471</v>
      </c>
      <c r="I6126" s="6" t="s">
        <v>832</v>
      </c>
      <c r="J6126" s="6" t="s">
        <v>394</v>
      </c>
      <c r="K6126" s="10">
        <v>7.8</v>
      </c>
      <c r="L6126" s="10">
        <v>60</v>
      </c>
      <c r="M6126" s="6" t="s">
        <v>463</v>
      </c>
      <c r="N6126" s="6" t="str">
        <f>IF(OR($G6126="FCC",$G6126="Hydrocracker",$G6126="Reformer"),IF(COUNTIFS($D:$D,$D6126,$A:$A,$A6126,$B:$B,$B6126,$G:$G,"CDU",$J:$J,"PLANNED")&gt;0,"tied","standalone"),"")</f>
        <v>standalone</v>
      </c>
    </row>
    <row r="6127" spans="1:14">
      <c r="A6127" s="6">
        <v>2025</v>
      </c>
      <c r="B6127" s="6">
        <v>7</v>
      </c>
      <c r="C6127" s="6" t="s">
        <v>66</v>
      </c>
      <c r="D6127" s="6" t="s">
        <v>375</v>
      </c>
      <c r="E6127" s="6" t="s">
        <v>435</v>
      </c>
      <c r="F6127" s="6" t="str">
        <f>IF($M6127="PADD I","PADD 1",IF($M6127="PADD II","PADD 2",IF($M6127="PADD III","PADD 3",IF($M6127="PADD IV","PADD 4",IF($M6127="PADD V","PADD 5","")))))</f>
        <v>PADD 5</v>
      </c>
      <c r="G6127" s="6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6" t="s">
        <v>485</v>
      </c>
      <c r="I6127" s="6" t="s">
        <v>491</v>
      </c>
      <c r="J6127" s="6" t="s">
        <v>394</v>
      </c>
      <c r="K6127" s="10">
        <v>7.7</v>
      </c>
      <c r="L6127" s="10">
        <v>7.7</v>
      </c>
      <c r="M6127" s="6" t="s">
        <v>436</v>
      </c>
      <c r="N6127" s="6">
        <f>IF(OR($G6127="FCC",$G6127="Hydrocracker",$G6127="Reformer"),IF(COUNTIFS($D:$D,$D6127,$A:$A,$A6127,$B:$B,$B6127,$G:$G,"CDU",$J:$J,"PLANNED")&gt;0,"tied","standalone"),"")</f>
        <v/>
      </c>
    </row>
    <row r="6128" spans="1:14">
      <c r="A6128" s="6">
        <v>2025</v>
      </c>
      <c r="B6128" s="6">
        <v>7</v>
      </c>
      <c r="C6128" s="6" t="s">
        <v>66</v>
      </c>
      <c r="D6128" s="6" t="s">
        <v>375</v>
      </c>
      <c r="E6128" s="6" t="s">
        <v>435</v>
      </c>
      <c r="F6128" s="6" t="str">
        <f>IF($M6128="PADD I","PADD 1",IF($M6128="PADD II","PADD 2",IF($M6128="PADD III","PADD 3",IF($M6128="PADD IV","PADD 4",IF($M6128="PADD V","PADD 5","")))))</f>
        <v>PADD 5</v>
      </c>
      <c r="G6128" s="6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6" t="s">
        <v>485</v>
      </c>
      <c r="I6128" s="6" t="s">
        <v>863</v>
      </c>
      <c r="J6128" s="6" t="s">
        <v>394</v>
      </c>
      <c r="K6128" s="10">
        <v>7.32</v>
      </c>
      <c r="L6128" s="10">
        <v>7.32</v>
      </c>
      <c r="M6128" s="6" t="s">
        <v>436</v>
      </c>
      <c r="N6128" s="6">
        <f>IF(OR($G6128="FCC",$G6128="Hydrocracker",$G6128="Reformer"),IF(COUNTIFS($D:$D,$D6128,$A:$A,$A6128,$B:$B,$B6128,$G:$G,"CDU",$J:$J,"PLANNED")&gt;0,"tied","standalone"),"")</f>
        <v/>
      </c>
    </row>
    <row r="6129" spans="1:14">
      <c r="A6129" s="6">
        <v>2025</v>
      </c>
      <c r="B6129" s="6">
        <v>7</v>
      </c>
      <c r="C6129" s="6" t="s">
        <v>66</v>
      </c>
      <c r="D6129" s="6" t="s">
        <v>437</v>
      </c>
      <c r="E6129" s="6" t="s">
        <v>438</v>
      </c>
      <c r="F6129" s="6" t="str">
        <f>IF($M6129="PADD I","PADD 1",IF($M6129="PADD II","PADD 2",IF($M6129="PADD III","PADD 3",IF($M6129="PADD IV","PADD 4",IF($M6129="PADD V","PADD 5","")))))</f>
        <v>PADD 3</v>
      </c>
      <c r="G6129" s="6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6" t="s">
        <v>494</v>
      </c>
      <c r="I6129" s="6" t="s">
        <v>526</v>
      </c>
      <c r="J6129" s="6" t="s">
        <v>394</v>
      </c>
      <c r="K6129" s="10">
        <v>6</v>
      </c>
      <c r="L6129" s="10">
        <v>60</v>
      </c>
      <c r="M6129" s="6" t="s">
        <v>421</v>
      </c>
      <c r="N6129" s="6" t="str">
        <f>IF(OR($G6129="FCC",$G6129="Hydrocracker",$G6129="Reformer"),IF(COUNTIFS($D:$D,$D6129,$A:$A,$A6129,$B:$B,$B6129,$G:$G,"CDU",$J:$J,"PLANNED")&gt;0,"tied","standalone"),"")</f>
        <v>standalone</v>
      </c>
    </row>
    <row r="6130" spans="1:14">
      <c r="A6130" s="6">
        <v>2025</v>
      </c>
      <c r="B6130" s="6">
        <v>7</v>
      </c>
      <c r="C6130" s="6" t="s">
        <v>66</v>
      </c>
      <c r="D6130" s="6" t="s">
        <v>368</v>
      </c>
      <c r="E6130" s="6" t="s">
        <v>715</v>
      </c>
      <c r="F6130" s="6" t="str">
        <f>IF($M6130="PADD I","PADD 1",IF($M6130="PADD II","PADD 2",IF($M6130="PADD III","PADD 3",IF($M6130="PADD IV","PADD 4",IF($M6130="PADD V","PADD 5","")))))</f>
        <v>PADD 3</v>
      </c>
      <c r="G6130" s="6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6" t="s">
        <v>485</v>
      </c>
      <c r="I6130" s="6" t="s">
        <v>491</v>
      </c>
      <c r="J6130" s="6" t="s">
        <v>394</v>
      </c>
      <c r="K6130" s="10">
        <v>5.5588</v>
      </c>
      <c r="L6130" s="10">
        <v>21.38</v>
      </c>
      <c r="M6130" s="6" t="s">
        <v>421</v>
      </c>
      <c r="N6130" s="6">
        <f>IF(OR($G6130="FCC",$G6130="Hydrocracker",$G6130="Reformer"),IF(COUNTIFS($D:$D,$D6130,$A:$A,$A6130,$B:$B,$B6130,$G:$G,"CDU",$J:$J,"PLANNED")&gt;0,"tied","standalone"),"")</f>
        <v/>
      </c>
    </row>
    <row r="6131" spans="1:14">
      <c r="A6131" s="6">
        <v>2025</v>
      </c>
      <c r="B6131" s="6">
        <v>7</v>
      </c>
      <c r="C6131" s="6" t="s">
        <v>66</v>
      </c>
      <c r="D6131" s="6" t="s">
        <v>1082</v>
      </c>
      <c r="E6131" s="6" t="s">
        <v>1083</v>
      </c>
      <c r="F6131" s="6" t="str">
        <f>IF($M6131="PADD I","PADD 1",IF($M6131="PADD II","PADD 2",IF($M6131="PADD III","PADD 3",IF($M6131="PADD IV","PADD 4",IF($M6131="PADD V","PADD 5","")))))</f>
        <v>PADD 5</v>
      </c>
      <c r="G6131" s="6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6" t="s">
        <v>39</v>
      </c>
      <c r="I6131" s="6" t="s">
        <v>713</v>
      </c>
      <c r="J6131" s="6" t="s">
        <v>394</v>
      </c>
      <c r="K6131" s="10">
        <v>5</v>
      </c>
      <c r="L6131" s="10">
        <v>5</v>
      </c>
      <c r="M6131" s="6" t="s">
        <v>436</v>
      </c>
      <c r="N6131" s="6">
        <f>IF(OR($G6131="FCC",$G6131="Hydrocracker",$G6131="Reformer"),IF(COUNTIFS($D:$D,$D6131,$A:$A,$A6131,$B:$B,$B6131,$G:$G,"CDU",$J:$J,"PLANNED")&gt;0,"tied","standalone"),"")</f>
        <v/>
      </c>
    </row>
    <row r="6132" spans="1:14">
      <c r="A6132" s="6">
        <v>2025</v>
      </c>
      <c r="B6132" s="6">
        <v>7</v>
      </c>
      <c r="C6132" s="6" t="s">
        <v>66</v>
      </c>
      <c r="D6132" s="6" t="s">
        <v>550</v>
      </c>
      <c r="E6132" s="6" t="s">
        <v>438</v>
      </c>
      <c r="F6132" s="6" t="str">
        <f>IF($M6132="PADD I","PADD 1",IF($M6132="PADD II","PADD 2",IF($M6132="PADD III","PADD 3",IF($M6132="PADD IV","PADD 4",IF($M6132="PADD V","PADD 5","")))))</f>
        <v>PADD 2</v>
      </c>
      <c r="G6132" s="6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6" t="s">
        <v>510</v>
      </c>
      <c r="I6132" s="6" t="s">
        <v>666</v>
      </c>
      <c r="J6132" s="6" t="s">
        <v>398</v>
      </c>
      <c r="K6132" s="10">
        <v>4.86</v>
      </c>
      <c r="L6132" s="10">
        <v>6</v>
      </c>
      <c r="M6132" s="6" t="s">
        <v>425</v>
      </c>
      <c r="N6132" s="6">
        <f>IF(OR($G6132="FCC",$G6132="Hydrocracker",$G6132="Reformer"),IF(COUNTIFS($D:$D,$D6132,$A:$A,$A6132,$B:$B,$B6132,$G:$G,"CDU",$J:$J,"PLANNED")&gt;0,"tied","standalone"),"")</f>
        <v/>
      </c>
    </row>
    <row r="6133" spans="1:14">
      <c r="A6133" s="6">
        <v>2025</v>
      </c>
      <c r="B6133" s="6">
        <v>7</v>
      </c>
      <c r="C6133" s="6" t="s">
        <v>66</v>
      </c>
      <c r="D6133" s="6" t="s">
        <v>689</v>
      </c>
      <c r="E6133" s="6" t="s">
        <v>502</v>
      </c>
      <c r="F6133" s="6" t="str">
        <f>IF($M6133="PADD I","PADD 1",IF($M6133="PADD II","PADD 2",IF($M6133="PADD III","PADD 3",IF($M6133="PADD IV","PADD 4",IF($M6133="PADD V","PADD 5","")))))</f>
        <v>PADD 5</v>
      </c>
      <c r="G6133" s="6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6" t="s">
        <v>485</v>
      </c>
      <c r="I6133" s="6" t="s">
        <v>1146</v>
      </c>
      <c r="J6133" s="6" t="s">
        <v>398</v>
      </c>
      <c r="K6133" s="10">
        <v>4.807</v>
      </c>
      <c r="L6133" s="10">
        <v>25.3</v>
      </c>
      <c r="M6133" s="6" t="s">
        <v>436</v>
      </c>
      <c r="N6133" s="6">
        <f>IF(OR($G6133="FCC",$G6133="Hydrocracker",$G6133="Reformer"),IF(COUNTIFS($D:$D,$D6133,$A:$A,$A6133,$B:$B,$B6133,$G:$G,"CDU",$J:$J,"PLANNED")&gt;0,"tied","standalone"),"")</f>
        <v/>
      </c>
    </row>
    <row r="6134" spans="1:14">
      <c r="A6134" s="6">
        <v>2025</v>
      </c>
      <c r="B6134" s="6">
        <v>7</v>
      </c>
      <c r="C6134" s="6" t="s">
        <v>66</v>
      </c>
      <c r="D6134" s="6" t="s">
        <v>812</v>
      </c>
      <c r="E6134" s="6" t="s">
        <v>813</v>
      </c>
      <c r="F6134" s="6" t="str">
        <f>IF($M6134="PADD I","PADD 1",IF($M6134="PADD II","PADD 2",IF($M6134="PADD III","PADD 3",IF($M6134="PADD IV","PADD 4",IF($M6134="PADD V","PADD 5","")))))</f>
        <v>PADD 2</v>
      </c>
      <c r="G6134" s="6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6" t="s">
        <v>426</v>
      </c>
      <c r="I6134" s="6" t="s">
        <v>106</v>
      </c>
      <c r="J6134" s="6" t="s">
        <v>394</v>
      </c>
      <c r="K6134" s="10">
        <v>4.715</v>
      </c>
      <c r="L6134" s="10">
        <v>20.5</v>
      </c>
      <c r="M6134" s="6" t="s">
        <v>425</v>
      </c>
      <c r="N6134" s="6" t="str">
        <f>IF(OR($G6134="FCC",$G6134="Hydrocracker",$G6134="Reformer"),IF(COUNTIFS($D:$D,$D6134,$A:$A,$A6134,$B:$B,$B6134,$G:$G,"CDU",$J:$J,"PLANNED")&gt;0,"tied","standalone"),"")</f>
        <v>standalone</v>
      </c>
    </row>
    <row r="6135" spans="1:14">
      <c r="A6135" s="6">
        <v>2025</v>
      </c>
      <c r="B6135" s="6">
        <v>7</v>
      </c>
      <c r="C6135" s="6" t="s">
        <v>66</v>
      </c>
      <c r="D6135" s="6" t="s">
        <v>461</v>
      </c>
      <c r="E6135" s="6" t="s">
        <v>419</v>
      </c>
      <c r="F6135" s="6" t="str">
        <f>IF($M6135="PADD I","PADD 1",IF($M6135="PADD II","PADD 2",IF($M6135="PADD III","PADD 3",IF($M6135="PADD IV","PADD 4",IF($M6135="PADD V","PADD 5","")))))</f>
        <v>PADD 1</v>
      </c>
      <c r="G6135" s="6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6" t="s">
        <v>428</v>
      </c>
      <c r="I6135" s="6" t="s">
        <v>481</v>
      </c>
      <c r="J6135" s="6" t="s">
        <v>394</v>
      </c>
      <c r="K6135" s="10">
        <v>4.5</v>
      </c>
      <c r="L6135" s="10">
        <v>75</v>
      </c>
      <c r="M6135" s="6" t="s">
        <v>463</v>
      </c>
      <c r="N6135" s="6">
        <f>IF(OR($G6135="FCC",$G6135="Hydrocracker",$G6135="Reformer"),IF(COUNTIFS($D:$D,$D6135,$A:$A,$A6135,$B:$B,$B6135,$G:$G,"CDU",$J:$J,"PLANNED")&gt;0,"tied","standalone"),"")</f>
        <v/>
      </c>
    </row>
    <row r="6136" spans="1:14">
      <c r="A6136" s="6">
        <v>2025</v>
      </c>
      <c r="B6136" s="6">
        <v>7</v>
      </c>
      <c r="C6136" s="6" t="s">
        <v>66</v>
      </c>
      <c r="D6136" s="6" t="s">
        <v>901</v>
      </c>
      <c r="E6136" s="6" t="s">
        <v>902</v>
      </c>
      <c r="F6136" s="6" t="str">
        <f>IF($M6136="PADD I","PADD 1",IF($M6136="PADD II","PADD 2",IF($M6136="PADD III","PADD 3",IF($M6136="PADD IV","PADD 4",IF($M6136="PADD V","PADD 5","")))))</f>
        <v>PADD 3</v>
      </c>
      <c r="G6136" s="6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6" t="s">
        <v>39</v>
      </c>
      <c r="I6136" s="6" t="s">
        <v>904</v>
      </c>
      <c r="J6136" s="6" t="s">
        <v>394</v>
      </c>
      <c r="K6136" s="10">
        <v>4.38</v>
      </c>
      <c r="L6136" s="10">
        <v>73</v>
      </c>
      <c r="M6136" s="6" t="s">
        <v>421</v>
      </c>
      <c r="N6136" s="6">
        <f>IF(OR($G6136="FCC",$G6136="Hydrocracker",$G6136="Reformer"),IF(COUNTIFS($D:$D,$D6136,$A:$A,$A6136,$B:$B,$B6136,$G:$G,"CDU",$J:$J,"PLANNED")&gt;0,"tied","standalone"),"")</f>
        <v/>
      </c>
    </row>
    <row r="6137" spans="1:14">
      <c r="A6137" s="6">
        <v>2025</v>
      </c>
      <c r="B6137" s="6">
        <v>7</v>
      </c>
      <c r="C6137" s="6" t="s">
        <v>66</v>
      </c>
      <c r="D6137" s="6" t="s">
        <v>712</v>
      </c>
      <c r="E6137" s="6" t="s">
        <v>602</v>
      </c>
      <c r="F6137" s="6" t="str">
        <f>IF($M6137="PADD I","PADD 1",IF($M6137="PADD II","PADD 2",IF($M6137="PADD III","PADD 3",IF($M6137="PADD IV","PADD 4",IF($M6137="PADD V","PADD 5","")))))</f>
        <v>PADD 3</v>
      </c>
      <c r="G6137" s="6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6" t="s">
        <v>44</v>
      </c>
      <c r="I6137" s="6" t="s">
        <v>785</v>
      </c>
      <c r="J6137" s="6" t="s">
        <v>398</v>
      </c>
      <c r="K6137" s="10">
        <v>4.37</v>
      </c>
      <c r="L6137" s="10">
        <v>23</v>
      </c>
      <c r="M6137" s="6" t="s">
        <v>421</v>
      </c>
      <c r="N6137" s="6">
        <f>IF(OR($G6137="FCC",$G6137="Hydrocracker",$G6137="Reformer"),IF(COUNTIFS($D:$D,$D6137,$A:$A,$A6137,$B:$B,$B6137,$G:$G,"CDU",$J:$J,"PLANNED")&gt;0,"tied","standalone"),"")</f>
        <v/>
      </c>
    </row>
    <row r="6138" spans="1:14">
      <c r="A6138" s="6">
        <v>2025</v>
      </c>
      <c r="B6138" s="6">
        <v>7</v>
      </c>
      <c r="C6138" s="6" t="s">
        <v>66</v>
      </c>
      <c r="D6138" s="6" t="s">
        <v>375</v>
      </c>
      <c r="E6138" s="6" t="s">
        <v>435</v>
      </c>
      <c r="F6138" s="6" t="str">
        <f>IF($M6138="PADD I","PADD 1",IF($M6138="PADD II","PADD 2",IF($M6138="PADD III","PADD 3",IF($M6138="PADD IV","PADD 4",IF($M6138="PADD V","PADD 5","")))))</f>
        <v>PADD 5</v>
      </c>
      <c r="G6138" s="6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6" t="s">
        <v>510</v>
      </c>
      <c r="I6138" s="6" t="s">
        <v>1338</v>
      </c>
      <c r="J6138" s="6" t="s">
        <v>394</v>
      </c>
      <c r="K6138" s="10">
        <v>4.2</v>
      </c>
      <c r="L6138" s="10">
        <v>4.2</v>
      </c>
      <c r="M6138" s="6" t="s">
        <v>436</v>
      </c>
      <c r="N6138" s="6">
        <f>IF(OR($G6138="FCC",$G6138="Hydrocracker",$G6138="Reformer"),IF(COUNTIFS($D:$D,$D6138,$A:$A,$A6138,$B:$B,$B6138,$G:$G,"CDU",$J:$J,"PLANNED")&gt;0,"tied","standalone"),"")</f>
        <v/>
      </c>
    </row>
    <row r="6139" spans="1:14">
      <c r="A6139" s="6">
        <v>2025</v>
      </c>
      <c r="B6139" s="6">
        <v>7</v>
      </c>
      <c r="C6139" s="6" t="s">
        <v>66</v>
      </c>
      <c r="D6139" s="6" t="s">
        <v>382</v>
      </c>
      <c r="E6139" s="6" t="s">
        <v>431</v>
      </c>
      <c r="F6139" s="6" t="str">
        <f>IF($M6139="PADD I","PADD 1",IF($M6139="PADD II","PADD 2",IF($M6139="PADD III","PADD 3",IF($M6139="PADD IV","PADD 4",IF($M6139="PADD V","PADD 5","")))))</f>
        <v>PADD 3</v>
      </c>
      <c r="G6139" s="6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6" t="s">
        <v>44</v>
      </c>
      <c r="I6139" s="6" t="s">
        <v>834</v>
      </c>
      <c r="J6139" s="6" t="s">
        <v>394</v>
      </c>
      <c r="K6139" s="10">
        <v>4.2</v>
      </c>
      <c r="L6139" s="10">
        <v>70</v>
      </c>
      <c r="M6139" s="6" t="s">
        <v>421</v>
      </c>
      <c r="N6139" s="6">
        <f>IF(OR($G6139="FCC",$G6139="Hydrocracker",$G6139="Reformer"),IF(COUNTIFS($D:$D,$D6139,$A:$A,$A6139,$B:$B,$B6139,$G:$G,"CDU",$J:$J,"PLANNED")&gt;0,"tied","standalone"),"")</f>
        <v/>
      </c>
    </row>
    <row r="6140" spans="1:14">
      <c r="A6140" s="6">
        <v>2025</v>
      </c>
      <c r="B6140" s="6">
        <v>7</v>
      </c>
      <c r="C6140" s="6" t="s">
        <v>66</v>
      </c>
      <c r="D6140" s="6" t="s">
        <v>662</v>
      </c>
      <c r="E6140" s="6" t="s">
        <v>466</v>
      </c>
      <c r="F6140" s="6" t="str">
        <f>IF($M6140="PADD I","PADD 1",IF($M6140="PADD II","PADD 2",IF($M6140="PADD III","PADD 3",IF($M6140="PADD IV","PADD 4",IF($M6140="PADD V","PADD 5","")))))</f>
        <v>PADD 3</v>
      </c>
      <c r="G6140" s="6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6" t="s">
        <v>471</v>
      </c>
      <c r="I6140" s="6" t="s">
        <v>805</v>
      </c>
      <c r="J6140" s="6" t="s">
        <v>394</v>
      </c>
      <c r="K6140" s="10">
        <v>3.9</v>
      </c>
      <c r="L6140" s="10">
        <v>30</v>
      </c>
      <c r="M6140" s="6" t="s">
        <v>421</v>
      </c>
      <c r="N6140" s="6" t="str">
        <f>IF(OR($G6140="FCC",$G6140="Hydrocracker",$G6140="Reformer"),IF(COUNTIFS($D:$D,$D6140,$A:$A,$A6140,$B:$B,$B6140,$G:$G,"CDU",$J:$J,"PLANNED")&gt;0,"tied","standalone"),"")</f>
        <v>standalone</v>
      </c>
    </row>
    <row r="6141" spans="1:14">
      <c r="A6141" s="6">
        <v>2025</v>
      </c>
      <c r="B6141" s="6">
        <v>7</v>
      </c>
      <c r="C6141" s="6" t="s">
        <v>66</v>
      </c>
      <c r="D6141" s="6" t="s">
        <v>382</v>
      </c>
      <c r="E6141" s="6" t="s">
        <v>431</v>
      </c>
      <c r="F6141" s="6" t="str">
        <f>IF($M6141="PADD I","PADD 1",IF($M6141="PADD II","PADD 2",IF($M6141="PADD III","PADD 3",IF($M6141="PADD IV","PADD 4",IF($M6141="PADD V","PADD 5","")))))</f>
        <v>PADD 3</v>
      </c>
      <c r="G6141" s="6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6" t="s">
        <v>39</v>
      </c>
      <c r="I6141" s="6" t="s">
        <v>729</v>
      </c>
      <c r="J6141" s="6" t="s">
        <v>394</v>
      </c>
      <c r="K6141" s="10">
        <v>3.75</v>
      </c>
      <c r="L6141" s="10">
        <v>62.5</v>
      </c>
      <c r="M6141" s="6" t="s">
        <v>421</v>
      </c>
      <c r="N6141" s="6">
        <f>IF(OR($G6141="FCC",$G6141="Hydrocracker",$G6141="Reformer"),IF(COUNTIFS($D:$D,$D6141,$A:$A,$A6141,$B:$B,$B6141,$G:$G,"CDU",$J:$J,"PLANNED")&gt;0,"tied","standalone"),"")</f>
        <v/>
      </c>
    </row>
    <row r="6142" spans="1:14">
      <c r="A6142" s="6">
        <v>2025</v>
      </c>
      <c r="B6142" s="6">
        <v>7</v>
      </c>
      <c r="C6142" s="6" t="s">
        <v>66</v>
      </c>
      <c r="D6142" s="6" t="s">
        <v>682</v>
      </c>
      <c r="E6142" s="6" t="s">
        <v>683</v>
      </c>
      <c r="F6142" s="6" t="str">
        <f>IF($M6142="PADD I","PADD 1",IF($M6142="PADD II","PADD 2",IF($M6142="PADD III","PADD 3",IF($M6142="PADD IV","PADD 4",IF($M6142="PADD V","PADD 5","")))))</f>
        <v>PADD 4</v>
      </c>
      <c r="G6142" s="6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6" t="s">
        <v>44</v>
      </c>
      <c r="I6142" s="6" t="s">
        <v>724</v>
      </c>
      <c r="J6142" s="6" t="s">
        <v>394</v>
      </c>
      <c r="K6142" s="10">
        <v>3.68</v>
      </c>
      <c r="L6142" s="10">
        <v>11.5</v>
      </c>
      <c r="M6142" s="6" t="s">
        <v>480</v>
      </c>
      <c r="N6142" s="6">
        <f>IF(OR($G6142="FCC",$G6142="Hydrocracker",$G6142="Reformer"),IF(COUNTIFS($D:$D,$D6142,$A:$A,$A6142,$B:$B,$B6142,$G:$G,"CDU",$J:$J,"PLANNED")&gt;0,"tied","standalone"),"")</f>
        <v/>
      </c>
    </row>
    <row r="6143" spans="1:14">
      <c r="A6143" s="6">
        <v>2025</v>
      </c>
      <c r="B6143" s="6">
        <v>7</v>
      </c>
      <c r="C6143" s="6" t="s">
        <v>66</v>
      </c>
      <c r="D6143" s="6" t="s">
        <v>928</v>
      </c>
      <c r="E6143" s="6" t="s">
        <v>502</v>
      </c>
      <c r="F6143" s="6" t="str">
        <f>IF($M6143="PADD I","PADD 1",IF($M6143="PADD II","PADD 2",IF($M6143="PADD III","PADD 3",IF($M6143="PADD IV","PADD 4",IF($M6143="PADD V","PADD 5","")))))</f>
        <v>PADD 2</v>
      </c>
      <c r="G6143" s="6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6" t="s">
        <v>485</v>
      </c>
      <c r="I6143" s="6" t="s">
        <v>491</v>
      </c>
      <c r="J6143" s="6" t="s">
        <v>394</v>
      </c>
      <c r="K6143" s="10">
        <v>3.57</v>
      </c>
      <c r="L6143" s="10">
        <v>8.5</v>
      </c>
      <c r="M6143" s="6" t="s">
        <v>425</v>
      </c>
      <c r="N6143" s="6">
        <f>IF(OR($G6143="FCC",$G6143="Hydrocracker",$G6143="Reformer"),IF(COUNTIFS($D:$D,$D6143,$A:$A,$A6143,$B:$B,$B6143,$G:$G,"CDU",$J:$J,"PLANNED")&gt;0,"tied","standalone"),"")</f>
        <v/>
      </c>
    </row>
    <row r="6144" spans="1:14">
      <c r="A6144" s="6">
        <v>2025</v>
      </c>
      <c r="B6144" s="6">
        <v>7</v>
      </c>
      <c r="C6144" s="6" t="s">
        <v>66</v>
      </c>
      <c r="D6144" s="6" t="s">
        <v>849</v>
      </c>
      <c r="E6144" s="6" t="s">
        <v>441</v>
      </c>
      <c r="F6144" s="6" t="str">
        <f>IF($M6144="PADD I","PADD 1",IF($M6144="PADD II","PADD 2",IF($M6144="PADD III","PADD 3",IF($M6144="PADD IV","PADD 4",IF($M6144="PADD V","PADD 5","")))))</f>
        <v>PADD 4</v>
      </c>
      <c r="G6144" s="6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6" t="s">
        <v>39</v>
      </c>
      <c r="I6144" s="6" t="s">
        <v>1154</v>
      </c>
      <c r="J6144" s="6" t="s">
        <v>394</v>
      </c>
      <c r="K6144" s="10">
        <v>3.456</v>
      </c>
      <c r="L6144" s="10">
        <v>57.6</v>
      </c>
      <c r="M6144" s="6" t="s">
        <v>480</v>
      </c>
      <c r="N6144" s="6">
        <f>IF(OR($G6144="FCC",$G6144="Hydrocracker",$G6144="Reformer"),IF(COUNTIFS($D:$D,$D6144,$A:$A,$A6144,$B:$B,$B6144,$G:$G,"CDU",$J:$J,"PLANNED")&gt;0,"tied","standalone"),"")</f>
        <v/>
      </c>
    </row>
    <row r="6145" spans="1:14">
      <c r="A6145" s="6">
        <v>2025</v>
      </c>
      <c r="B6145" s="6">
        <v>7</v>
      </c>
      <c r="C6145" s="6" t="s">
        <v>66</v>
      </c>
      <c r="D6145" s="6" t="s">
        <v>518</v>
      </c>
      <c r="E6145" s="6" t="s">
        <v>419</v>
      </c>
      <c r="F6145" s="6" t="str">
        <f>IF($M6145="PADD I","PADD 1",IF($M6145="PADD II","PADD 2",IF($M6145="PADD III","PADD 3",IF($M6145="PADD IV","PADD 4",IF($M6145="PADD V","PADD 5","")))))</f>
        <v>PADD 3</v>
      </c>
      <c r="G6145" s="6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6" t="s">
        <v>44</v>
      </c>
      <c r="I6145" s="6" t="s">
        <v>1078</v>
      </c>
      <c r="J6145" s="6" t="s">
        <v>394</v>
      </c>
      <c r="K6145" s="10">
        <v>3.4</v>
      </c>
      <c r="L6145" s="10">
        <v>34</v>
      </c>
      <c r="M6145" s="6" t="s">
        <v>421</v>
      </c>
      <c r="N6145" s="6">
        <f>IF(OR($G6145="FCC",$G6145="Hydrocracker",$G6145="Reformer"),IF(COUNTIFS($D:$D,$D6145,$A:$A,$A6145,$B:$B,$B6145,$G:$G,"CDU",$J:$J,"PLANNED")&gt;0,"tied","standalone"),"")</f>
        <v/>
      </c>
    </row>
    <row r="6146" spans="1:14">
      <c r="A6146" s="6">
        <v>2025</v>
      </c>
      <c r="B6146" s="6">
        <v>7</v>
      </c>
      <c r="C6146" s="6" t="s">
        <v>66</v>
      </c>
      <c r="D6146" s="6" t="s">
        <v>41</v>
      </c>
      <c r="E6146" s="6" t="s">
        <v>786</v>
      </c>
      <c r="F6146" s="6" t="str">
        <f>IF($M6146="PADD I","PADD 1",IF($M6146="PADD II","PADD 2",IF($M6146="PADD III","PADD 3",IF($M6146="PADD IV","PADD 4",IF($M6146="PADD V","PADD 5","")))))</f>
        <v>PADD 1</v>
      </c>
      <c r="G6146" s="6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6" t="s">
        <v>44</v>
      </c>
      <c r="I6146" s="6" t="s">
        <v>1061</v>
      </c>
      <c r="J6146" s="6" t="s">
        <v>394</v>
      </c>
      <c r="K6146" s="10">
        <v>3.38</v>
      </c>
      <c r="L6146" s="10">
        <v>26</v>
      </c>
      <c r="M6146" s="6" t="s">
        <v>463</v>
      </c>
      <c r="N6146" s="6">
        <f>IF(OR($G6146="FCC",$G6146="Hydrocracker",$G6146="Reformer"),IF(COUNTIFS($D:$D,$D6146,$A:$A,$A6146,$B:$B,$B6146,$G:$G,"CDU",$J:$J,"PLANNED")&gt;0,"tied","standalone"),"")</f>
        <v/>
      </c>
    </row>
    <row r="6147" spans="1:14">
      <c r="A6147" s="6">
        <v>2025</v>
      </c>
      <c r="B6147" s="6">
        <v>7</v>
      </c>
      <c r="C6147" s="6" t="s">
        <v>66</v>
      </c>
      <c r="D6147" s="6" t="s">
        <v>812</v>
      </c>
      <c r="E6147" s="6" t="s">
        <v>813</v>
      </c>
      <c r="F6147" s="6" t="str">
        <f>IF($M6147="PADD I","PADD 1",IF($M6147="PADD II","PADD 2",IF($M6147="PADD III","PADD 3",IF($M6147="PADD IV","PADD 4",IF($M6147="PADD V","PADD 5","")))))</f>
        <v>PADD 2</v>
      </c>
      <c r="G6147" s="6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6" t="s">
        <v>44</v>
      </c>
      <c r="I6147" s="6" t="s">
        <v>508</v>
      </c>
      <c r="J6147" s="6" t="s">
        <v>394</v>
      </c>
      <c r="K6147" s="10">
        <v>3.38</v>
      </c>
      <c r="L6147" s="10">
        <v>13</v>
      </c>
      <c r="M6147" s="6" t="s">
        <v>425</v>
      </c>
      <c r="N6147" s="6">
        <f>IF(OR($G6147="FCC",$G6147="Hydrocracker",$G6147="Reformer"),IF(COUNTIFS($D:$D,$D6147,$A:$A,$A6147,$B:$B,$B6147,$G:$G,"CDU",$J:$J,"PLANNED")&gt;0,"tied","standalone"),"")</f>
        <v/>
      </c>
    </row>
    <row r="6148" spans="1:14">
      <c r="A6148" s="6">
        <v>2025</v>
      </c>
      <c r="B6148" s="6">
        <v>7</v>
      </c>
      <c r="C6148" s="6" t="s">
        <v>66</v>
      </c>
      <c r="D6148" s="6" t="s">
        <v>41</v>
      </c>
      <c r="E6148" s="6" t="s">
        <v>786</v>
      </c>
      <c r="F6148" s="6" t="str">
        <f>IF($M6148="PADD I","PADD 1",IF($M6148="PADD II","PADD 2",IF($M6148="PADD III","PADD 3",IF($M6148="PADD IV","PADD 4",IF($M6148="PADD V","PADD 5","")))))</f>
        <v>PADD 1</v>
      </c>
      <c r="G6148" s="6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6" t="s">
        <v>428</v>
      </c>
      <c r="I6148" s="6" t="s">
        <v>1013</v>
      </c>
      <c r="J6148" s="6" t="s">
        <v>394</v>
      </c>
      <c r="K6148" s="10">
        <v>3.38</v>
      </c>
      <c r="L6148" s="10">
        <v>26</v>
      </c>
      <c r="M6148" s="6" t="s">
        <v>463</v>
      </c>
      <c r="N6148" s="6">
        <f>IF(OR($G6148="FCC",$G6148="Hydrocracker",$G6148="Reformer"),IF(COUNTIFS($D:$D,$D6148,$A:$A,$A6148,$B:$B,$B6148,$G:$G,"CDU",$J:$J,"PLANNED")&gt;0,"tied","standalone"),"")</f>
        <v/>
      </c>
    </row>
    <row r="6149" spans="1:14">
      <c r="A6149" s="6">
        <v>2025</v>
      </c>
      <c r="B6149" s="6">
        <v>7</v>
      </c>
      <c r="C6149" s="6" t="s">
        <v>66</v>
      </c>
      <c r="D6149" s="6" t="s">
        <v>41</v>
      </c>
      <c r="E6149" s="6" t="s">
        <v>786</v>
      </c>
      <c r="F6149" s="6" t="str">
        <f>IF($M6149="PADD I","PADD 1",IF($M6149="PADD II","PADD 2",IF($M6149="PADD III","PADD 3",IF($M6149="PADD IV","PADD 4",IF($M6149="PADD V","PADD 5","")))))</f>
        <v>PADD 1</v>
      </c>
      <c r="G6149" s="6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6" t="s">
        <v>428</v>
      </c>
      <c r="I6149" s="6" t="s">
        <v>1060</v>
      </c>
      <c r="J6149" s="6" t="s">
        <v>394</v>
      </c>
      <c r="K6149" s="10">
        <v>3.38</v>
      </c>
      <c r="L6149" s="10">
        <v>26</v>
      </c>
      <c r="M6149" s="6" t="s">
        <v>463</v>
      </c>
      <c r="N6149" s="6">
        <f>IF(OR($G6149="FCC",$G6149="Hydrocracker",$G6149="Reformer"),IF(COUNTIFS($D:$D,$D6149,$A:$A,$A6149,$B:$B,$B6149,$G:$G,"CDU",$J:$J,"PLANNED")&gt;0,"tied","standalone"),"")</f>
        <v/>
      </c>
    </row>
    <row r="6150" spans="1:14">
      <c r="A6150" s="6">
        <v>2025</v>
      </c>
      <c r="B6150" s="6">
        <v>7</v>
      </c>
      <c r="C6150" s="6" t="s">
        <v>66</v>
      </c>
      <c r="D6150" s="6" t="s">
        <v>41</v>
      </c>
      <c r="E6150" s="6" t="s">
        <v>786</v>
      </c>
      <c r="F6150" s="6" t="str">
        <f>IF($M6150="PADD I","PADD 1",IF($M6150="PADD II","PADD 2",IF($M6150="PADD III","PADD 3",IF($M6150="PADD IV","PADD 4",IF($M6150="PADD V","PADD 5","")))))</f>
        <v>PADD 1</v>
      </c>
      <c r="G6150" s="6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6" t="s">
        <v>428</v>
      </c>
      <c r="I6150" s="6" t="s">
        <v>1059</v>
      </c>
      <c r="J6150" s="6" t="s">
        <v>394</v>
      </c>
      <c r="K6150" s="10">
        <v>3.38</v>
      </c>
      <c r="L6150" s="10">
        <v>26</v>
      </c>
      <c r="M6150" s="6" t="s">
        <v>463</v>
      </c>
      <c r="N6150" s="6">
        <f>IF(OR($G6150="FCC",$G6150="Hydrocracker",$G6150="Reformer"),IF(COUNTIFS($D:$D,$D6150,$A:$A,$A6150,$B:$B,$B6150,$G:$G,"CDU",$J:$J,"PLANNED")&gt;0,"tied","standalone"),"")</f>
        <v/>
      </c>
    </row>
    <row r="6151" spans="1:14">
      <c r="A6151" s="6">
        <v>2025</v>
      </c>
      <c r="B6151" s="6">
        <v>7</v>
      </c>
      <c r="C6151" s="6" t="s">
        <v>66</v>
      </c>
      <c r="D6151" s="6" t="s">
        <v>461</v>
      </c>
      <c r="E6151" s="6" t="s">
        <v>419</v>
      </c>
      <c r="F6151" s="6" t="str">
        <f>IF($M6151="PADD I","PADD 1",IF($M6151="PADD II","PADD 2",IF($M6151="PADD III","PADD 3",IF($M6151="PADD IV","PADD 4",IF($M6151="PADD V","PADD 5","")))))</f>
        <v>PADD 1</v>
      </c>
      <c r="G6151" s="6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6" t="s">
        <v>44</v>
      </c>
      <c r="I6151" s="6" t="s">
        <v>538</v>
      </c>
      <c r="J6151" s="6" t="s">
        <v>394</v>
      </c>
      <c r="K6151" s="10">
        <v>3.24</v>
      </c>
      <c r="L6151" s="10">
        <v>54</v>
      </c>
      <c r="M6151" s="6" t="s">
        <v>463</v>
      </c>
      <c r="N6151" s="6">
        <f>IF(OR($G6151="FCC",$G6151="Hydrocracker",$G6151="Reformer"),IF(COUNTIFS($D:$D,$D6151,$A:$A,$A6151,$B:$B,$B6151,$G:$G,"CDU",$J:$J,"PLANNED")&gt;0,"tied","standalone"),"")</f>
        <v/>
      </c>
    </row>
    <row r="6152" spans="1:14">
      <c r="A6152" s="6">
        <v>2025</v>
      </c>
      <c r="B6152" s="6">
        <v>7</v>
      </c>
      <c r="C6152" s="6" t="s">
        <v>66</v>
      </c>
      <c r="D6152" s="6" t="s">
        <v>720</v>
      </c>
      <c r="E6152" s="6" t="s">
        <v>455</v>
      </c>
      <c r="F6152" s="6" t="str">
        <f>IF($M6152="PADD I","PADD 1",IF($M6152="PADD II","PADD 2",IF($M6152="PADD III","PADD 3",IF($M6152="PADD IV","PADD 4",IF($M6152="PADD V","PADD 5","")))))</f>
        <v>PADD 2</v>
      </c>
      <c r="G6152" s="6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6" t="s">
        <v>494</v>
      </c>
      <c r="I6152" s="6" t="s">
        <v>1368</v>
      </c>
      <c r="J6152" s="6" t="s">
        <v>394</v>
      </c>
      <c r="K6152" s="10">
        <v>3.185</v>
      </c>
      <c r="L6152" s="10">
        <v>24.5</v>
      </c>
      <c r="M6152" s="6" t="s">
        <v>425</v>
      </c>
      <c r="N6152" s="6" t="str">
        <f>IF(OR($G6152="FCC",$G6152="Hydrocracker",$G6152="Reformer"),IF(COUNTIFS($D:$D,$D6152,$A:$A,$A6152,$B:$B,$B6152,$G:$G,"CDU",$J:$J,"PLANNED")&gt;0,"tied","standalone"),"")</f>
        <v>standalone</v>
      </c>
    </row>
    <row r="6153" spans="1:14">
      <c r="A6153" s="6">
        <v>2025</v>
      </c>
      <c r="B6153" s="6">
        <v>7</v>
      </c>
      <c r="C6153" s="6" t="s">
        <v>66</v>
      </c>
      <c r="D6153" s="6" t="s">
        <v>41</v>
      </c>
      <c r="E6153" s="6" t="s">
        <v>786</v>
      </c>
      <c r="F6153" s="6" t="str">
        <f>IF($M6153="PADD I","PADD 1",IF($M6153="PADD II","PADD 2",IF($M6153="PADD III","PADD 3",IF($M6153="PADD IV","PADD 4",IF($M6153="PADD V","PADD 5","")))))</f>
        <v>PADD 1</v>
      </c>
      <c r="G6153" s="6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6" t="s">
        <v>494</v>
      </c>
      <c r="I6153" s="6" t="s">
        <v>495</v>
      </c>
      <c r="J6153" s="6" t="s">
        <v>394</v>
      </c>
      <c r="K6153" s="10">
        <v>3.12</v>
      </c>
      <c r="L6153" s="10">
        <v>24</v>
      </c>
      <c r="M6153" s="6" t="s">
        <v>463</v>
      </c>
      <c r="N6153" s="6" t="str">
        <f>IF(OR($G6153="FCC",$G6153="Hydrocracker",$G6153="Reformer"),IF(COUNTIFS($D:$D,$D6153,$A:$A,$A6153,$B:$B,$B6153,$G:$G,"CDU",$J:$J,"PLANNED")&gt;0,"tied","standalone"),"")</f>
        <v>standalone</v>
      </c>
    </row>
    <row r="6154" spans="1:14">
      <c r="A6154" s="6">
        <v>2025</v>
      </c>
      <c r="B6154" s="6">
        <v>7</v>
      </c>
      <c r="C6154" s="6" t="s">
        <v>66</v>
      </c>
      <c r="D6154" s="6" t="s">
        <v>652</v>
      </c>
      <c r="E6154" s="6" t="s">
        <v>419</v>
      </c>
      <c r="F6154" s="6" t="str">
        <f>IF($M6154="PADD I","PADD 1",IF($M6154="PADD II","PADD 2",IF($M6154="PADD III","PADD 3",IF($M6154="PADD IV","PADD 4",IF($M6154="PADD V","PADD 5","")))))</f>
        <v>PADD 2</v>
      </c>
      <c r="G6154" s="6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6" t="s">
        <v>471</v>
      </c>
      <c r="I6154" s="6" t="s">
        <v>747</v>
      </c>
      <c r="J6154" s="6" t="s">
        <v>394</v>
      </c>
      <c r="K6154" s="10">
        <v>2.7</v>
      </c>
      <c r="L6154" s="10">
        <v>27</v>
      </c>
      <c r="M6154" s="6" t="s">
        <v>425</v>
      </c>
      <c r="N6154" s="6" t="str">
        <f>IF(OR($G6154="FCC",$G6154="Hydrocracker",$G6154="Reformer"),IF(COUNTIFS($D:$D,$D6154,$A:$A,$A6154,$B:$B,$B6154,$G:$G,"CDU",$J:$J,"PLANNED")&gt;0,"tied","standalone"),"")</f>
        <v>standalone</v>
      </c>
    </row>
    <row r="6155" spans="1:14">
      <c r="A6155" s="6">
        <v>2025</v>
      </c>
      <c r="B6155" s="6">
        <v>7</v>
      </c>
      <c r="C6155" s="6" t="s">
        <v>66</v>
      </c>
      <c r="D6155" s="6" t="s">
        <v>501</v>
      </c>
      <c r="E6155" s="6" t="s">
        <v>502</v>
      </c>
      <c r="F6155" s="6" t="str">
        <f>IF($M6155="PADD I","PADD 1",IF($M6155="PADD II","PADD 2",IF($M6155="PADD III","PADD 3",IF($M6155="PADD IV","PADD 4",IF($M6155="PADD V","PADD 5","")))))</f>
        <v>PADD 2</v>
      </c>
      <c r="G6155" s="6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6" t="s">
        <v>510</v>
      </c>
      <c r="I6155" s="6" t="s">
        <v>511</v>
      </c>
      <c r="J6155" s="6" t="s">
        <v>394</v>
      </c>
      <c r="K6155" s="10">
        <v>2.619</v>
      </c>
      <c r="L6155" s="10">
        <v>2.7</v>
      </c>
      <c r="M6155" s="6" t="s">
        <v>425</v>
      </c>
      <c r="N6155" s="6">
        <f>IF(OR($G6155="FCC",$G6155="Hydrocracker",$G6155="Reformer"),IF(COUNTIFS($D:$D,$D6155,$A:$A,$A6155,$B:$B,$B6155,$G:$G,"CDU",$J:$J,"PLANNED")&gt;0,"tied","standalone"),"")</f>
        <v/>
      </c>
    </row>
    <row r="6156" spans="1:14">
      <c r="A6156" s="6">
        <v>2025</v>
      </c>
      <c r="B6156" s="6">
        <v>7</v>
      </c>
      <c r="C6156" s="6" t="s">
        <v>66</v>
      </c>
      <c r="D6156" s="6" t="s">
        <v>928</v>
      </c>
      <c r="E6156" s="6" t="s">
        <v>502</v>
      </c>
      <c r="F6156" s="6" t="str">
        <f>IF($M6156="PADD I","PADD 1",IF($M6156="PADD II","PADD 2",IF($M6156="PADD III","PADD 3",IF($M6156="PADD IV","PADD 4",IF($M6156="PADD V","PADD 5","")))))</f>
        <v>PADD 2</v>
      </c>
      <c r="G6156" s="6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6" t="s">
        <v>39</v>
      </c>
      <c r="I6156" s="6" t="s">
        <v>929</v>
      </c>
      <c r="J6156" s="6" t="s">
        <v>394</v>
      </c>
      <c r="K6156" s="10">
        <v>2.55</v>
      </c>
      <c r="L6156" s="10">
        <v>85</v>
      </c>
      <c r="M6156" s="6" t="s">
        <v>425</v>
      </c>
      <c r="N6156" s="6">
        <f>IF(OR($G6156="FCC",$G6156="Hydrocracker",$G6156="Reformer"),IF(COUNTIFS($D:$D,$D6156,$A:$A,$A6156,$B:$B,$B6156,$G:$G,"CDU",$J:$J,"PLANNED")&gt;0,"tied","standalone"),"")</f>
        <v/>
      </c>
    </row>
    <row r="6157" spans="1:14">
      <c r="A6157" s="6">
        <v>2025</v>
      </c>
      <c r="B6157" s="6">
        <v>7</v>
      </c>
      <c r="C6157" s="6" t="s">
        <v>66</v>
      </c>
      <c r="D6157" s="6" t="s">
        <v>458</v>
      </c>
      <c r="E6157" s="6" t="s">
        <v>459</v>
      </c>
      <c r="F6157" s="6" t="str">
        <f>IF($M6157="PADD I","PADD 1",IF($M6157="PADD II","PADD 2",IF($M6157="PADD III","PADD 3",IF($M6157="PADD IV","PADD 4",IF($M6157="PADD V","PADD 5","")))))</f>
        <v>PADD 3</v>
      </c>
      <c r="G6157" s="6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6" t="s">
        <v>39</v>
      </c>
      <c r="I6157" s="6" t="s">
        <v>460</v>
      </c>
      <c r="J6157" s="6" t="s">
        <v>394</v>
      </c>
      <c r="K6157" s="10">
        <v>2.4</v>
      </c>
      <c r="L6157" s="10">
        <v>80</v>
      </c>
      <c r="M6157" s="6" t="s">
        <v>421</v>
      </c>
      <c r="N6157" s="6">
        <f>IF(OR($G6157="FCC",$G6157="Hydrocracker",$G6157="Reformer"),IF(COUNTIFS($D:$D,$D6157,$A:$A,$A6157,$B:$B,$B6157,$G:$G,"CDU",$J:$J,"PLANNED")&gt;0,"tied","standalone"),"")</f>
        <v/>
      </c>
    </row>
    <row r="6158" spans="1:14">
      <c r="A6158" s="6">
        <v>2025</v>
      </c>
      <c r="B6158" s="6">
        <v>7</v>
      </c>
      <c r="C6158" s="6" t="s">
        <v>66</v>
      </c>
      <c r="D6158" s="6" t="s">
        <v>652</v>
      </c>
      <c r="E6158" s="6" t="s">
        <v>419</v>
      </c>
      <c r="F6158" s="6" t="str">
        <f>IF($M6158="PADD I","PADD 1",IF($M6158="PADD II","PADD 2",IF($M6158="PADD III","PADD 3",IF($M6158="PADD IV","PADD 4",IF($M6158="PADD V","PADD 5","")))))</f>
        <v>PADD 2</v>
      </c>
      <c r="G6158" s="6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6" t="s">
        <v>485</v>
      </c>
      <c r="I6158" s="6" t="s">
        <v>491</v>
      </c>
      <c r="J6158" s="6" t="s">
        <v>394</v>
      </c>
      <c r="K6158" s="10">
        <v>2.31</v>
      </c>
      <c r="L6158" s="10">
        <v>23.1</v>
      </c>
      <c r="M6158" s="6" t="s">
        <v>425</v>
      </c>
      <c r="N6158" s="6">
        <f>IF(OR($G6158="FCC",$G6158="Hydrocracker",$G6158="Reformer"),IF(COUNTIFS($D:$D,$D6158,$A:$A,$A6158,$B:$B,$B6158,$G:$G,"CDU",$J:$J,"PLANNED")&gt;0,"tied","standalone"),"")</f>
        <v/>
      </c>
    </row>
    <row r="6159" spans="1:14">
      <c r="A6159" s="6">
        <v>2025</v>
      </c>
      <c r="B6159" s="6">
        <v>7</v>
      </c>
      <c r="C6159" s="6" t="s">
        <v>66</v>
      </c>
      <c r="D6159" s="6" t="s">
        <v>1365</v>
      </c>
      <c r="E6159" s="6" t="s">
        <v>1366</v>
      </c>
      <c r="F6159" s="6" t="str">
        <f>IF($M6159="PADD I","PADD 1",IF($M6159="PADD II","PADD 2",IF($M6159="PADD III","PADD 3",IF($M6159="PADD IV","PADD 4",IF($M6159="PADD V","PADD 5","")))))</f>
        <v>PADD 1</v>
      </c>
      <c r="G6159" s="6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6" t="s">
        <v>39</v>
      </c>
      <c r="I6159" s="6" t="s">
        <v>82</v>
      </c>
      <c r="J6159" s="6" t="s">
        <v>398</v>
      </c>
      <c r="K6159" s="10">
        <v>2.28</v>
      </c>
      <c r="L6159" s="10">
        <v>12</v>
      </c>
      <c r="M6159" s="6" t="s">
        <v>463</v>
      </c>
      <c r="N6159" s="6">
        <f>IF(OR($G6159="FCC",$G6159="Hydrocracker",$G6159="Reformer"),IF(COUNTIFS($D:$D,$D6159,$A:$A,$A6159,$B:$B,$B6159,$G:$G,"CDU",$J:$J,"PLANNED")&gt;0,"tied","standalone"),"")</f>
        <v/>
      </c>
    </row>
    <row r="6160" spans="1:14">
      <c r="A6160" s="6">
        <v>2025</v>
      </c>
      <c r="B6160" s="6">
        <v>7</v>
      </c>
      <c r="C6160" s="6" t="s">
        <v>66</v>
      </c>
      <c r="D6160" s="6" t="s">
        <v>984</v>
      </c>
      <c r="E6160" s="6" t="s">
        <v>438</v>
      </c>
      <c r="F6160" s="6" t="str">
        <f>IF($M6160="PADD I","PADD 1",IF($M6160="PADD II","PADD 2",IF($M6160="PADD III","PADD 3",IF($M6160="PADD IV","PADD 4",IF($M6160="PADD V","PADD 5","")))))</f>
        <v>PADD 3</v>
      </c>
      <c r="G6160" s="6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6" t="s">
        <v>39</v>
      </c>
      <c r="I6160" s="6" t="s">
        <v>136</v>
      </c>
      <c r="J6160" s="6" t="s">
        <v>394</v>
      </c>
      <c r="K6160" s="10">
        <v>2.25</v>
      </c>
      <c r="L6160" s="10">
        <v>75</v>
      </c>
      <c r="M6160" s="6" t="s">
        <v>421</v>
      </c>
      <c r="N6160" s="6">
        <f>IF(OR($G6160="FCC",$G6160="Hydrocracker",$G6160="Reformer"),IF(COUNTIFS($D:$D,$D6160,$A:$A,$A6160,$B:$B,$B6160,$G:$G,"CDU",$J:$J,"PLANNED")&gt;0,"tied","standalone"),"")</f>
        <v/>
      </c>
    </row>
    <row r="6161" spans="1:14">
      <c r="A6161" s="6">
        <v>2025</v>
      </c>
      <c r="B6161" s="6">
        <v>7</v>
      </c>
      <c r="C6161" s="6" t="s">
        <v>66</v>
      </c>
      <c r="D6161" s="6" t="s">
        <v>515</v>
      </c>
      <c r="E6161" s="6" t="s">
        <v>419</v>
      </c>
      <c r="F6161" s="6" t="str">
        <f>IF($M6161="PADD I","PADD 1",IF($M6161="PADD II","PADD 2",IF($M6161="PADD III","PADD 3",IF($M6161="PADD IV","PADD 4",IF($M6161="PADD V","PADD 5","")))))</f>
        <v>PADD 5</v>
      </c>
      <c r="G6161" s="6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6" t="s">
        <v>44</v>
      </c>
      <c r="I6161" s="6" t="s">
        <v>714</v>
      </c>
      <c r="J6161" s="6" t="s">
        <v>398</v>
      </c>
      <c r="K6161" s="10">
        <v>2.1</v>
      </c>
      <c r="L6161" s="10">
        <v>35</v>
      </c>
      <c r="M6161" s="6" t="s">
        <v>436</v>
      </c>
      <c r="N6161" s="6">
        <f>IF(OR($G6161="FCC",$G6161="Hydrocracker",$G6161="Reformer"),IF(COUNTIFS($D:$D,$D6161,$A:$A,$A6161,$B:$B,$B6161,$G:$G,"CDU",$J:$J,"PLANNED")&gt;0,"tied","standalone"),"")</f>
        <v/>
      </c>
    </row>
    <row r="6162" spans="1:14">
      <c r="A6162" s="6">
        <v>2025</v>
      </c>
      <c r="B6162" s="6">
        <v>7</v>
      </c>
      <c r="C6162" s="6" t="s">
        <v>66</v>
      </c>
      <c r="D6162" s="6" t="s">
        <v>518</v>
      </c>
      <c r="E6162" s="6" t="s">
        <v>419</v>
      </c>
      <c r="F6162" s="6" t="str">
        <f>IF($M6162="PADD I","PADD 1",IF($M6162="PADD II","PADD 2",IF($M6162="PADD III","PADD 3",IF($M6162="PADD IV","PADD 4",IF($M6162="PADD V","PADD 5","")))))</f>
        <v>PADD 3</v>
      </c>
      <c r="G6162" s="6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6" t="s">
        <v>44</v>
      </c>
      <c r="I6162" s="6" t="s">
        <v>1080</v>
      </c>
      <c r="J6162" s="6" t="s">
        <v>394</v>
      </c>
      <c r="K6162" s="10">
        <v>2</v>
      </c>
      <c r="L6162" s="10">
        <v>20</v>
      </c>
      <c r="M6162" s="6" t="s">
        <v>421</v>
      </c>
      <c r="N6162" s="6">
        <f>IF(OR($G6162="FCC",$G6162="Hydrocracker",$G6162="Reformer"),IF(COUNTIFS($D:$D,$D6162,$A:$A,$A6162,$B:$B,$B6162,$G:$G,"CDU",$J:$J,"PLANNED")&gt;0,"tied","standalone"),"")</f>
        <v/>
      </c>
    </row>
    <row r="6163" spans="1:14">
      <c r="A6163" s="6">
        <v>2025</v>
      </c>
      <c r="B6163" s="6">
        <v>7</v>
      </c>
      <c r="C6163" s="6" t="s">
        <v>66</v>
      </c>
      <c r="D6163" s="6" t="s">
        <v>518</v>
      </c>
      <c r="E6163" s="6" t="s">
        <v>419</v>
      </c>
      <c r="F6163" s="6" t="str">
        <f>IF($M6163="PADD I","PADD 1",IF($M6163="PADD II","PADD 2",IF($M6163="PADD III","PADD 3",IF($M6163="PADD IV","PADD 4",IF($M6163="PADD V","PADD 5","")))))</f>
        <v>PADD 3</v>
      </c>
      <c r="G6163" s="6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6" t="s">
        <v>471</v>
      </c>
      <c r="I6163" s="6" t="s">
        <v>908</v>
      </c>
      <c r="J6163" s="6" t="s">
        <v>394</v>
      </c>
      <c r="K6163" s="10">
        <v>2</v>
      </c>
      <c r="L6163" s="10">
        <v>20</v>
      </c>
      <c r="M6163" s="6" t="s">
        <v>421</v>
      </c>
      <c r="N6163" s="6" t="str">
        <f>IF(OR($G6163="FCC",$G6163="Hydrocracker",$G6163="Reformer"),IF(COUNTIFS($D:$D,$D6163,$A:$A,$A6163,$B:$B,$B6163,$G:$G,"CDU",$J:$J,"PLANNED")&gt;0,"tied","standalone"),"")</f>
        <v>standalone</v>
      </c>
    </row>
    <row r="6164" spans="1:14">
      <c r="A6164" s="6">
        <v>2025</v>
      </c>
      <c r="B6164" s="6">
        <v>7</v>
      </c>
      <c r="C6164" s="6" t="s">
        <v>66</v>
      </c>
      <c r="D6164" s="6" t="s">
        <v>1082</v>
      </c>
      <c r="E6164" s="6" t="s">
        <v>1083</v>
      </c>
      <c r="F6164" s="6" t="str">
        <f>IF($M6164="PADD I","PADD 1",IF($M6164="PADD II","PADD 2",IF($M6164="PADD III","PADD 3",IF($M6164="PADD IV","PADD 4",IF($M6164="PADD V","PADD 5","")))))</f>
        <v>PADD 5</v>
      </c>
      <c r="G6164" s="6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6" t="s">
        <v>428</v>
      </c>
      <c r="I6164" s="6" t="s">
        <v>1084</v>
      </c>
      <c r="J6164" s="6" t="s">
        <v>394</v>
      </c>
      <c r="K6164" s="10">
        <v>2</v>
      </c>
      <c r="L6164" s="10">
        <v>2</v>
      </c>
      <c r="M6164" s="6" t="s">
        <v>436</v>
      </c>
      <c r="N6164" s="6">
        <f>IF(OR($G6164="FCC",$G6164="Hydrocracker",$G6164="Reformer"),IF(COUNTIFS($D:$D,$D6164,$A:$A,$A6164,$B:$B,$B6164,$G:$G,"CDU",$J:$J,"PLANNED")&gt;0,"tied","standalone"),"")</f>
        <v/>
      </c>
    </row>
    <row r="6165" spans="1:14">
      <c r="A6165" s="6">
        <v>2025</v>
      </c>
      <c r="B6165" s="6">
        <v>7</v>
      </c>
      <c r="C6165" s="6" t="s">
        <v>66</v>
      </c>
      <c r="D6165" s="6" t="s">
        <v>928</v>
      </c>
      <c r="E6165" s="6" t="s">
        <v>502</v>
      </c>
      <c r="F6165" s="6" t="str">
        <f>IF($M6165="PADD I","PADD 1",IF($M6165="PADD II","PADD 2",IF($M6165="PADD III","PADD 3",IF($M6165="PADD IV","PADD 4",IF($M6165="PADD V","PADD 5","")))))</f>
        <v>PADD 2</v>
      </c>
      <c r="G6165" s="6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6" t="s">
        <v>485</v>
      </c>
      <c r="I6165" s="6" t="s">
        <v>491</v>
      </c>
      <c r="J6165" s="6" t="s">
        <v>394</v>
      </c>
      <c r="K6165" s="10">
        <v>1.955</v>
      </c>
      <c r="L6165" s="10">
        <v>8.5</v>
      </c>
      <c r="M6165" s="6" t="s">
        <v>425</v>
      </c>
      <c r="N6165" s="6">
        <f>IF(OR($G6165="FCC",$G6165="Hydrocracker",$G6165="Reformer"),IF(COUNTIFS($D:$D,$D6165,$A:$A,$A6165,$B:$B,$B6165,$G:$G,"CDU",$J:$J,"PLANNED")&gt;0,"tied","standalone"),"")</f>
        <v/>
      </c>
    </row>
    <row r="6166" spans="1:14">
      <c r="A6166" s="6">
        <v>2025</v>
      </c>
      <c r="B6166" s="6">
        <v>7</v>
      </c>
      <c r="C6166" s="6" t="s">
        <v>66</v>
      </c>
      <c r="D6166" s="6" t="s">
        <v>41</v>
      </c>
      <c r="E6166" s="6" t="s">
        <v>786</v>
      </c>
      <c r="F6166" s="6" t="str">
        <f>IF($M6166="PADD I","PADD 1",IF($M6166="PADD II","PADD 2",IF($M6166="PADD III","PADD 3",IF($M6166="PADD IV","PADD 4",IF($M6166="PADD V","PADD 5","")))))</f>
        <v>PADD 1</v>
      </c>
      <c r="G6166" s="6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6" t="s">
        <v>44</v>
      </c>
      <c r="I6166" s="6" t="s">
        <v>1044</v>
      </c>
      <c r="J6166" s="6" t="s">
        <v>394</v>
      </c>
      <c r="K6166" s="10">
        <v>1.95</v>
      </c>
      <c r="L6166" s="10">
        <v>65</v>
      </c>
      <c r="M6166" s="6" t="s">
        <v>463</v>
      </c>
      <c r="N6166" s="6">
        <f>IF(OR($G6166="FCC",$G6166="Hydrocracker",$G6166="Reformer"),IF(COUNTIFS($D:$D,$D6166,$A:$A,$A6166,$B:$B,$B6166,$G:$G,"CDU",$J:$J,"PLANNED")&gt;0,"tied","standalone"),"")</f>
        <v/>
      </c>
    </row>
    <row r="6167" spans="1:14">
      <c r="A6167" s="6">
        <v>2025</v>
      </c>
      <c r="B6167" s="6">
        <v>7</v>
      </c>
      <c r="C6167" s="6" t="s">
        <v>66</v>
      </c>
      <c r="D6167" s="6" t="s">
        <v>820</v>
      </c>
      <c r="E6167" s="6" t="s">
        <v>710</v>
      </c>
      <c r="F6167" s="6" t="str">
        <f>IF($M6167="PADD I","PADD 1",IF($M6167="PADD II","PADD 2",IF($M6167="PADD III","PADD 3",IF($M6167="PADD IV","PADD 4",IF($M6167="PADD V","PADD 5","")))))</f>
        <v>PADD 3</v>
      </c>
      <c r="G6167" s="6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6" t="s">
        <v>485</v>
      </c>
      <c r="I6167" s="6" t="s">
        <v>491</v>
      </c>
      <c r="J6167" s="6" t="s">
        <v>398</v>
      </c>
      <c r="K6167" s="10">
        <v>1.92</v>
      </c>
      <c r="L6167" s="10">
        <v>32</v>
      </c>
      <c r="M6167" s="6" t="s">
        <v>421</v>
      </c>
      <c r="N6167" s="6">
        <f>IF(OR($G6167="FCC",$G6167="Hydrocracker",$G6167="Reformer"),IF(COUNTIFS($D:$D,$D6167,$A:$A,$A6167,$B:$B,$B6167,$G:$G,"CDU",$J:$J,"PLANNED")&gt;0,"tied","standalone"),"")</f>
        <v/>
      </c>
    </row>
    <row r="6168" spans="1:14">
      <c r="A6168" s="6">
        <v>2025</v>
      </c>
      <c r="B6168" s="6">
        <v>7</v>
      </c>
      <c r="C6168" s="6" t="s">
        <v>66</v>
      </c>
      <c r="D6168" s="6" t="s">
        <v>849</v>
      </c>
      <c r="E6168" s="6" t="s">
        <v>441</v>
      </c>
      <c r="F6168" s="6" t="str">
        <f>IF($M6168="PADD I","PADD 1",IF($M6168="PADD II","PADD 2",IF($M6168="PADD III","PADD 3",IF($M6168="PADD IV","PADD 4",IF($M6168="PADD V","PADD 5","")))))</f>
        <v>PADD 4</v>
      </c>
      <c r="G6168" s="6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6" t="s">
        <v>485</v>
      </c>
      <c r="I6168" s="6" t="s">
        <v>1238</v>
      </c>
      <c r="J6168" s="6" t="s">
        <v>394</v>
      </c>
      <c r="K6168" s="10">
        <v>1.9</v>
      </c>
      <c r="L6168" s="10">
        <v>10</v>
      </c>
      <c r="M6168" s="6" t="s">
        <v>480</v>
      </c>
      <c r="N6168" s="6">
        <f>IF(OR($G6168="FCC",$G6168="Hydrocracker",$G6168="Reformer"),IF(COUNTIFS($D:$D,$D6168,$A:$A,$A6168,$B:$B,$B6168,$G:$G,"CDU",$J:$J,"PLANNED")&gt;0,"tied","standalone"),"")</f>
        <v/>
      </c>
    </row>
    <row r="6169" spans="1:14">
      <c r="A6169" s="6">
        <v>2025</v>
      </c>
      <c r="B6169" s="6">
        <v>7</v>
      </c>
      <c r="C6169" s="6" t="s">
        <v>66</v>
      </c>
      <c r="D6169" s="6" t="s">
        <v>41</v>
      </c>
      <c r="E6169" s="6" t="s">
        <v>786</v>
      </c>
      <c r="F6169" s="6" t="str">
        <f>IF($M6169="PADD I","PADD 1",IF($M6169="PADD II","PADD 2",IF($M6169="PADD III","PADD 3",IF($M6169="PADD IV","PADD 4",IF($M6169="PADD V","PADD 5","")))))</f>
        <v>PADD 1</v>
      </c>
      <c r="G6169" s="6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6" t="s">
        <v>44</v>
      </c>
      <c r="I6169" s="6" t="s">
        <v>543</v>
      </c>
      <c r="J6169" s="6" t="s">
        <v>394</v>
      </c>
      <c r="K6169" s="10">
        <v>1.8</v>
      </c>
      <c r="L6169" s="10">
        <v>60</v>
      </c>
      <c r="M6169" s="6" t="s">
        <v>463</v>
      </c>
      <c r="N6169" s="6">
        <f>IF(OR($G6169="FCC",$G6169="Hydrocracker",$G6169="Reformer"),IF(COUNTIFS($D:$D,$D6169,$A:$A,$A6169,$B:$B,$B6169,$G:$G,"CDU",$J:$J,"PLANNED")&gt;0,"tied","standalone"),"")</f>
        <v/>
      </c>
    </row>
    <row r="6170" spans="1:14">
      <c r="A6170" s="6">
        <v>2025</v>
      </c>
      <c r="B6170" s="6">
        <v>7</v>
      </c>
      <c r="C6170" s="6" t="s">
        <v>66</v>
      </c>
      <c r="D6170" s="6" t="s">
        <v>461</v>
      </c>
      <c r="E6170" s="6" t="s">
        <v>419</v>
      </c>
      <c r="F6170" s="6" t="str">
        <f>IF($M6170="PADD I","PADD 1",IF($M6170="PADD II","PADD 2",IF($M6170="PADD III","PADD 3",IF($M6170="PADD IV","PADD 4",IF($M6170="PADD V","PADD 5","")))))</f>
        <v>PADD 1</v>
      </c>
      <c r="G6170" s="6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6" t="s">
        <v>44</v>
      </c>
      <c r="I6170" s="6" t="s">
        <v>934</v>
      </c>
      <c r="J6170" s="6" t="s">
        <v>394</v>
      </c>
      <c r="K6170" s="10">
        <v>1.74</v>
      </c>
      <c r="L6170" s="10">
        <v>29</v>
      </c>
      <c r="M6170" s="6" t="s">
        <v>463</v>
      </c>
      <c r="N6170" s="6">
        <f>IF(OR($G6170="FCC",$G6170="Hydrocracker",$G6170="Reformer"),IF(COUNTIFS($D:$D,$D6170,$A:$A,$A6170,$B:$B,$B6170,$G:$G,"CDU",$J:$J,"PLANNED")&gt;0,"tied","standalone"),"")</f>
        <v/>
      </c>
    </row>
    <row r="6171" spans="1:14">
      <c r="A6171" s="6">
        <v>2025</v>
      </c>
      <c r="B6171" s="6">
        <v>7</v>
      </c>
      <c r="C6171" s="6" t="s">
        <v>66</v>
      </c>
      <c r="D6171" s="6" t="s">
        <v>461</v>
      </c>
      <c r="E6171" s="6" t="s">
        <v>419</v>
      </c>
      <c r="F6171" s="6" t="str">
        <f>IF($M6171="PADD I","PADD 1",IF($M6171="PADD II","PADD 2",IF($M6171="PADD III","PADD 3",IF($M6171="PADD IV","PADD 4",IF($M6171="PADD V","PADD 5","")))))</f>
        <v>PADD 1</v>
      </c>
      <c r="G6171" s="6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6" t="s">
        <v>44</v>
      </c>
      <c r="I6171" s="6" t="s">
        <v>935</v>
      </c>
      <c r="J6171" s="6" t="s">
        <v>394</v>
      </c>
      <c r="K6171" s="10">
        <v>1.68</v>
      </c>
      <c r="L6171" s="10">
        <v>28</v>
      </c>
      <c r="M6171" s="6" t="s">
        <v>463</v>
      </c>
      <c r="N6171" s="6">
        <f>IF(OR($G6171="FCC",$G6171="Hydrocracker",$G6171="Reformer"),IF(COUNTIFS($D:$D,$D6171,$A:$A,$A6171,$B:$B,$B6171,$G:$G,"CDU",$J:$J,"PLANNED")&gt;0,"tied","standalone"),"")</f>
        <v/>
      </c>
    </row>
    <row r="6172" spans="1:14">
      <c r="A6172" s="6">
        <v>2025</v>
      </c>
      <c r="B6172" s="6">
        <v>7</v>
      </c>
      <c r="C6172" s="6" t="s">
        <v>66</v>
      </c>
      <c r="D6172" s="6" t="s">
        <v>849</v>
      </c>
      <c r="E6172" s="6" t="s">
        <v>441</v>
      </c>
      <c r="F6172" s="6" t="str">
        <f>IF($M6172="PADD I","PADD 1",IF($M6172="PADD II","PADD 2",IF($M6172="PADD III","PADD 3",IF($M6172="PADD IV","PADD 4",IF($M6172="PADD V","PADD 5","")))))</f>
        <v>PADD 4</v>
      </c>
      <c r="G6172" s="6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6" t="s">
        <v>428</v>
      </c>
      <c r="I6172" s="6" t="s">
        <v>429</v>
      </c>
      <c r="J6172" s="6" t="s">
        <v>394</v>
      </c>
      <c r="K6172" s="10">
        <v>1.65</v>
      </c>
      <c r="L6172" s="10">
        <v>27.5</v>
      </c>
      <c r="M6172" s="6" t="s">
        <v>480</v>
      </c>
      <c r="N6172" s="6">
        <f>IF(OR($G6172="FCC",$G6172="Hydrocracker",$G6172="Reformer"),IF(COUNTIFS($D:$D,$D6172,$A:$A,$A6172,$B:$B,$B6172,$G:$G,"CDU",$J:$J,"PLANNED")&gt;0,"tied","standalone"),"")</f>
        <v/>
      </c>
    </row>
    <row r="6173" spans="1:14">
      <c r="A6173" s="6">
        <v>2025</v>
      </c>
      <c r="B6173" s="6">
        <v>7</v>
      </c>
      <c r="C6173" s="6" t="s">
        <v>66</v>
      </c>
      <c r="D6173" s="6" t="s">
        <v>41</v>
      </c>
      <c r="E6173" s="6" t="s">
        <v>786</v>
      </c>
      <c r="F6173" s="6" t="str">
        <f>IF($M6173="PADD I","PADD 1",IF($M6173="PADD II","PADD 2",IF($M6173="PADD III","PADD 3",IF($M6173="PADD IV","PADD 4",IF($M6173="PADD V","PADD 5","")))))</f>
        <v>PADD 1</v>
      </c>
      <c r="G6173" s="6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6" t="s">
        <v>426</v>
      </c>
      <c r="I6173" s="6" t="s">
        <v>787</v>
      </c>
      <c r="J6173" s="6" t="s">
        <v>394</v>
      </c>
      <c r="K6173" s="10">
        <v>1.59</v>
      </c>
      <c r="L6173" s="10">
        <v>53</v>
      </c>
      <c r="M6173" s="6" t="s">
        <v>463</v>
      </c>
      <c r="N6173" s="6" t="str">
        <f>IF(OR($G6173="FCC",$G6173="Hydrocracker",$G6173="Reformer"),IF(COUNTIFS($D:$D,$D6173,$A:$A,$A6173,$B:$B,$B6173,$G:$G,"CDU",$J:$J,"PLANNED")&gt;0,"tied","standalone"),"")</f>
        <v>standalone</v>
      </c>
    </row>
    <row r="6174" spans="1:14">
      <c r="A6174" s="6">
        <v>2025</v>
      </c>
      <c r="B6174" s="6">
        <v>7</v>
      </c>
      <c r="C6174" s="6" t="s">
        <v>66</v>
      </c>
      <c r="D6174" s="6" t="s">
        <v>461</v>
      </c>
      <c r="E6174" s="6" t="s">
        <v>419</v>
      </c>
      <c r="F6174" s="6" t="str">
        <f>IF($M6174="PADD I","PADD 1",IF($M6174="PADD II","PADD 2",IF($M6174="PADD III","PADD 3",IF($M6174="PADD IV","PADD 4",IF($M6174="PADD V","PADD 5","")))))</f>
        <v>PADD 1</v>
      </c>
      <c r="G6174" s="6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6" t="s">
        <v>1354</v>
      </c>
      <c r="I6174" s="6" t="s">
        <v>1355</v>
      </c>
      <c r="J6174" s="6" t="s">
        <v>394</v>
      </c>
      <c r="K6174" s="10">
        <v>1.56</v>
      </c>
      <c r="L6174" s="10">
        <v>26</v>
      </c>
      <c r="M6174" s="6" t="s">
        <v>463</v>
      </c>
      <c r="N6174" s="6">
        <f>IF(OR($G6174="FCC",$G6174="Hydrocracker",$G6174="Reformer"),IF(COUNTIFS($D:$D,$D6174,$A:$A,$A6174,$B:$B,$B6174,$G:$G,"CDU",$J:$J,"PLANNED")&gt;0,"tied","standalone"),"")</f>
        <v/>
      </c>
    </row>
    <row r="6175" spans="1:14">
      <c r="A6175" s="6">
        <v>2025</v>
      </c>
      <c r="B6175" s="6">
        <v>7</v>
      </c>
      <c r="C6175" s="6" t="s">
        <v>66</v>
      </c>
      <c r="D6175" s="6" t="s">
        <v>461</v>
      </c>
      <c r="E6175" s="6" t="s">
        <v>419</v>
      </c>
      <c r="F6175" s="6" t="str">
        <f>IF($M6175="PADD I","PADD 1",IF($M6175="PADD II","PADD 2",IF($M6175="PADD III","PADD 3",IF($M6175="PADD IV","PADD 4",IF($M6175="PADD V","PADD 5","")))))</f>
        <v>PADD 1</v>
      </c>
      <c r="G6175" s="6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6" t="s">
        <v>471</v>
      </c>
      <c r="I6175" s="6" t="s">
        <v>936</v>
      </c>
      <c r="J6175" s="6" t="s">
        <v>394</v>
      </c>
      <c r="K6175" s="10">
        <v>1.56</v>
      </c>
      <c r="L6175" s="10">
        <v>26</v>
      </c>
      <c r="M6175" s="6" t="s">
        <v>463</v>
      </c>
      <c r="N6175" s="6" t="str">
        <f>IF(OR($G6175="FCC",$G6175="Hydrocracker",$G6175="Reformer"),IF(COUNTIFS($D:$D,$D6175,$A:$A,$A6175,$B:$B,$B6175,$G:$G,"CDU",$J:$J,"PLANNED")&gt;0,"tied","standalone"),"")</f>
        <v>standalone</v>
      </c>
    </row>
    <row r="6176" spans="1:14">
      <c r="A6176" s="6">
        <v>2025</v>
      </c>
      <c r="B6176" s="6">
        <v>7</v>
      </c>
      <c r="C6176" s="6" t="s">
        <v>66</v>
      </c>
      <c r="D6176" s="6" t="s">
        <v>458</v>
      </c>
      <c r="E6176" s="6" t="s">
        <v>459</v>
      </c>
      <c r="F6176" s="6" t="str">
        <f>IF($M6176="PADD I","PADD 1",IF($M6176="PADD II","PADD 2",IF($M6176="PADD III","PADD 3",IF($M6176="PADD IV","PADD 4",IF($M6176="PADD V","PADD 5","")))))</f>
        <v>PADD 3</v>
      </c>
      <c r="G6176" s="6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6" t="s">
        <v>428</v>
      </c>
      <c r="I6176" s="6" t="s">
        <v>556</v>
      </c>
      <c r="J6176" s="6" t="s">
        <v>394</v>
      </c>
      <c r="K6176" s="10">
        <v>1.56</v>
      </c>
      <c r="L6176" s="10">
        <v>52</v>
      </c>
      <c r="M6176" s="6" t="s">
        <v>421</v>
      </c>
      <c r="N6176" s="6">
        <f>IF(OR($G6176="FCC",$G6176="Hydrocracker",$G6176="Reformer"),IF(COUNTIFS($D:$D,$D6176,$A:$A,$A6176,$B:$B,$B6176,$G:$G,"CDU",$J:$J,"PLANNED")&gt;0,"tied","standalone"),"")</f>
        <v/>
      </c>
    </row>
    <row r="6177" spans="1:14">
      <c r="A6177" s="6">
        <v>2025</v>
      </c>
      <c r="B6177" s="6">
        <v>7</v>
      </c>
      <c r="C6177" s="6" t="s">
        <v>66</v>
      </c>
      <c r="D6177" s="6" t="s">
        <v>712</v>
      </c>
      <c r="E6177" s="6" t="s">
        <v>602</v>
      </c>
      <c r="F6177" s="6" t="str">
        <f>IF($M6177="PADD I","PADD 1",IF($M6177="PADD II","PADD 2",IF($M6177="PADD III","PADD 3",IF($M6177="PADD IV","PADD 4",IF($M6177="PADD V","PADD 5","")))))</f>
        <v>PADD 3</v>
      </c>
      <c r="G6177" s="6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6" t="s">
        <v>426</v>
      </c>
      <c r="I6177" s="6" t="s">
        <v>106</v>
      </c>
      <c r="J6177" s="6" t="s">
        <v>398</v>
      </c>
      <c r="K6177" s="10">
        <v>1.5</v>
      </c>
      <c r="L6177" s="10">
        <v>25</v>
      </c>
      <c r="M6177" s="6" t="s">
        <v>421</v>
      </c>
      <c r="N6177" s="6" t="str">
        <f>IF(OR($G6177="FCC",$G6177="Hydrocracker",$G6177="Reformer"),IF(COUNTIFS($D:$D,$D6177,$A:$A,$A6177,$B:$B,$B6177,$G:$G,"CDU",$J:$J,"PLANNED")&gt;0,"tied","standalone"),"")</f>
        <v>standalone</v>
      </c>
    </row>
    <row r="6178" spans="1:14">
      <c r="A6178" s="6">
        <v>2025</v>
      </c>
      <c r="B6178" s="6">
        <v>7</v>
      </c>
      <c r="C6178" s="6" t="s">
        <v>66</v>
      </c>
      <c r="D6178" s="6" t="s">
        <v>1365</v>
      </c>
      <c r="E6178" s="6" t="s">
        <v>1366</v>
      </c>
      <c r="F6178" s="6" t="str">
        <f>IF($M6178="PADD I","PADD 1",IF($M6178="PADD II","PADD 2",IF($M6178="PADD III","PADD 3",IF($M6178="PADD IV","PADD 4",IF($M6178="PADD V","PADD 5","")))))</f>
        <v>PADD 1</v>
      </c>
      <c r="G6178" s="6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6" t="s">
        <v>44</v>
      </c>
      <c r="I6178" s="6" t="s">
        <v>954</v>
      </c>
      <c r="J6178" s="6" t="s">
        <v>398</v>
      </c>
      <c r="K6178" s="10">
        <v>1.33</v>
      </c>
      <c r="L6178" s="10">
        <v>7</v>
      </c>
      <c r="M6178" s="6" t="s">
        <v>463</v>
      </c>
      <c r="N6178" s="6">
        <f>IF(OR($G6178="FCC",$G6178="Hydrocracker",$G6178="Reformer"),IF(COUNTIFS($D:$D,$D6178,$A:$A,$A6178,$B:$B,$B6178,$G:$G,"CDU",$J:$J,"PLANNED")&gt;0,"tied","standalone"),"")</f>
        <v/>
      </c>
    </row>
    <row r="6179" spans="1:14">
      <c r="A6179" s="6">
        <v>2025</v>
      </c>
      <c r="B6179" s="6">
        <v>7</v>
      </c>
      <c r="C6179" s="6" t="s">
        <v>66</v>
      </c>
      <c r="D6179" s="6" t="s">
        <v>798</v>
      </c>
      <c r="E6179" s="6" t="s">
        <v>438</v>
      </c>
      <c r="F6179" s="6" t="str">
        <f>IF($M6179="PADD I","PADD 1",IF($M6179="PADD II","PADD 2",IF($M6179="PADD III","PADD 3",IF($M6179="PADD IV","PADD 4",IF($M6179="PADD V","PADD 5","")))))</f>
        <v>PADD 3</v>
      </c>
      <c r="G6179" s="6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6" t="s">
        <v>44</v>
      </c>
      <c r="I6179" s="6" t="s">
        <v>800</v>
      </c>
      <c r="J6179" s="6" t="s">
        <v>394</v>
      </c>
      <c r="K6179" s="10">
        <v>1.32</v>
      </c>
      <c r="L6179" s="10">
        <v>44</v>
      </c>
      <c r="M6179" s="6" t="s">
        <v>421</v>
      </c>
      <c r="N6179" s="6">
        <f>IF(OR($G6179="FCC",$G6179="Hydrocracker",$G6179="Reformer"),IF(COUNTIFS($D:$D,$D6179,$A:$A,$A6179,$B:$B,$B6179,$G:$G,"CDU",$J:$J,"PLANNED")&gt;0,"tied","standalone"),"")</f>
        <v/>
      </c>
    </row>
    <row r="6180" spans="1:14">
      <c r="A6180" s="6">
        <v>2025</v>
      </c>
      <c r="B6180" s="6">
        <v>7</v>
      </c>
      <c r="C6180" s="6" t="s">
        <v>66</v>
      </c>
      <c r="D6180" s="6" t="s">
        <v>461</v>
      </c>
      <c r="E6180" s="6" t="s">
        <v>419</v>
      </c>
      <c r="F6180" s="6" t="str">
        <f>IF($M6180="PADD I","PADD 1",IF($M6180="PADD II","PADD 2",IF($M6180="PADD III","PADD 3",IF($M6180="PADD IV","PADD 4",IF($M6180="PADD V","PADD 5","")))))</f>
        <v>PADD 1</v>
      </c>
      <c r="G6180" s="6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6" t="s">
        <v>510</v>
      </c>
      <c r="I6180" s="6" t="s">
        <v>616</v>
      </c>
      <c r="J6180" s="6" t="s">
        <v>394</v>
      </c>
      <c r="K6180" s="10">
        <v>1.32</v>
      </c>
      <c r="L6180" s="10">
        <v>22</v>
      </c>
      <c r="M6180" s="6" t="s">
        <v>463</v>
      </c>
      <c r="N6180" s="6">
        <f>IF(OR($G6180="FCC",$G6180="Hydrocracker",$G6180="Reformer"),IF(COUNTIFS($D:$D,$D6180,$A:$A,$A6180,$B:$B,$B6180,$G:$G,"CDU",$J:$J,"PLANNED")&gt;0,"tied","standalone"),"")</f>
        <v/>
      </c>
    </row>
    <row r="6181" spans="1:14">
      <c r="A6181" s="6">
        <v>2025</v>
      </c>
      <c r="B6181" s="6">
        <v>7</v>
      </c>
      <c r="C6181" s="6" t="s">
        <v>66</v>
      </c>
      <c r="D6181" s="6" t="s">
        <v>51</v>
      </c>
      <c r="E6181" s="6" t="s">
        <v>431</v>
      </c>
      <c r="F6181" s="6" t="str">
        <f>IF($M6181="PADD I","PADD 1",IF($M6181="PADD II","PADD 2",IF($M6181="PADD III","PADD 3",IF($M6181="PADD IV","PADD 4",IF($M6181="PADD V","PADD 5","")))))</f>
        <v>PADD 3</v>
      </c>
      <c r="G6181" s="6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6" t="s">
        <v>510</v>
      </c>
      <c r="I6181" s="6" t="s">
        <v>670</v>
      </c>
      <c r="J6181" s="6" t="s">
        <v>394</v>
      </c>
      <c r="K6181" s="10">
        <v>1.26</v>
      </c>
      <c r="L6181" s="10">
        <v>21</v>
      </c>
      <c r="M6181" s="6" t="s">
        <v>421</v>
      </c>
      <c r="N6181" s="6">
        <f>IF(OR($G6181="FCC",$G6181="Hydrocracker",$G6181="Reformer"),IF(COUNTIFS($D:$D,$D6181,$A:$A,$A6181,$B:$B,$B6181,$G:$G,"CDU",$J:$J,"PLANNED")&gt;0,"tied","standalone"),"")</f>
        <v/>
      </c>
    </row>
    <row r="6182" spans="1:14">
      <c r="A6182" s="6">
        <v>2025</v>
      </c>
      <c r="B6182" s="6">
        <v>7</v>
      </c>
      <c r="C6182" s="6" t="s">
        <v>66</v>
      </c>
      <c r="D6182" s="6" t="s">
        <v>487</v>
      </c>
      <c r="E6182" s="6" t="s">
        <v>488</v>
      </c>
      <c r="F6182" s="6" t="str">
        <f>IF($M6182="PADD I","PADD 1",IF($M6182="PADD II","PADD 2",IF($M6182="PADD III","PADD 3",IF($M6182="PADD IV","PADD 4",IF($M6182="PADD V","PADD 5","")))))</f>
        <v>PADD 4</v>
      </c>
      <c r="G6182" s="6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6" t="s">
        <v>426</v>
      </c>
      <c r="I6182" s="6" t="s">
        <v>478</v>
      </c>
      <c r="J6182" s="6" t="s">
        <v>394</v>
      </c>
      <c r="K6182" s="10">
        <v>1.209</v>
      </c>
      <c r="L6182" s="10">
        <v>9.300000000000001</v>
      </c>
      <c r="M6182" s="6" t="s">
        <v>480</v>
      </c>
      <c r="N6182" s="6" t="str">
        <f>IF(OR($G6182="FCC",$G6182="Hydrocracker",$G6182="Reformer"),IF(COUNTIFS($D:$D,$D6182,$A:$A,$A6182,$B:$B,$B6182,$G:$G,"CDU",$J:$J,"PLANNED")&gt;0,"tied","standalone"),"")</f>
        <v>standalone</v>
      </c>
    </row>
    <row r="6183" spans="1:14">
      <c r="A6183" s="6">
        <v>2025</v>
      </c>
      <c r="B6183" s="6">
        <v>7</v>
      </c>
      <c r="C6183" s="6" t="s">
        <v>66</v>
      </c>
      <c r="D6183" s="6" t="s">
        <v>41</v>
      </c>
      <c r="E6183" s="6" t="s">
        <v>786</v>
      </c>
      <c r="F6183" s="6" t="str">
        <f>IF($M6183="PADD I","PADD 1",IF($M6183="PADD II","PADD 2",IF($M6183="PADD III","PADD 3",IF($M6183="PADD IV","PADD 4",IF($M6183="PADD V","PADD 5","")))))</f>
        <v>PADD 1</v>
      </c>
      <c r="G6183" s="6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6" t="s">
        <v>44</v>
      </c>
      <c r="I6183" s="6" t="s">
        <v>1053</v>
      </c>
      <c r="J6183" s="6" t="s">
        <v>394</v>
      </c>
      <c r="K6183" s="10">
        <v>1.2</v>
      </c>
      <c r="L6183" s="10">
        <v>40</v>
      </c>
      <c r="M6183" s="6" t="s">
        <v>463</v>
      </c>
      <c r="N6183" s="6">
        <f>IF(OR($G6183="FCC",$G6183="Hydrocracker",$G6183="Reformer"),IF(COUNTIFS($D:$D,$D6183,$A:$A,$A6183,$B:$B,$B6183,$G:$G,"CDU",$J:$J,"PLANNED")&gt;0,"tied","standalone"),"")</f>
        <v/>
      </c>
    </row>
    <row r="6184" spans="1:14">
      <c r="A6184" s="6">
        <v>2025</v>
      </c>
      <c r="B6184" s="6">
        <v>7</v>
      </c>
      <c r="C6184" s="6" t="s">
        <v>66</v>
      </c>
      <c r="D6184" s="6" t="s">
        <v>49</v>
      </c>
      <c r="E6184" s="6" t="s">
        <v>438</v>
      </c>
      <c r="F6184" s="6" t="str">
        <f>IF($M6184="PADD I","PADD 1",IF($M6184="PADD II","PADD 2",IF($M6184="PADD III","PADD 3",IF($M6184="PADD IV","PADD 4",IF($M6184="PADD V","PADD 5","")))))</f>
        <v>PADD 2</v>
      </c>
      <c r="G6184" s="6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6" t="s">
        <v>485</v>
      </c>
      <c r="I6184" s="6" t="s">
        <v>681</v>
      </c>
      <c r="J6184" s="6" t="s">
        <v>394</v>
      </c>
      <c r="K6184" s="10">
        <v>1.2</v>
      </c>
      <c r="L6184" s="10">
        <v>12</v>
      </c>
      <c r="M6184" s="6" t="s">
        <v>425</v>
      </c>
      <c r="N6184" s="6">
        <f>IF(OR($G6184="FCC",$G6184="Hydrocracker",$G6184="Reformer"),IF(COUNTIFS($D:$D,$D6184,$A:$A,$A6184,$B:$B,$B6184,$G:$G,"CDU",$J:$J,"PLANNED")&gt;0,"tied","standalone"),"")</f>
        <v/>
      </c>
    </row>
    <row r="6185" spans="1:14">
      <c r="A6185" s="6">
        <v>2025</v>
      </c>
      <c r="B6185" s="6">
        <v>7</v>
      </c>
      <c r="C6185" s="6" t="s">
        <v>66</v>
      </c>
      <c r="D6185" s="6" t="s">
        <v>772</v>
      </c>
      <c r="E6185" s="6" t="s">
        <v>502</v>
      </c>
      <c r="F6185" s="6" t="str">
        <f>IF($M6185="PADD I","PADD 1",IF($M6185="PADD II","PADD 2",IF($M6185="PADD III","PADD 3",IF($M6185="PADD IV","PADD 4",IF($M6185="PADD V","PADD 5","")))))</f>
        <v>PADD 4</v>
      </c>
      <c r="G6185" s="6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6" t="s">
        <v>426</v>
      </c>
      <c r="I6185" s="6" t="s">
        <v>1156</v>
      </c>
      <c r="J6185" s="6" t="s">
        <v>398</v>
      </c>
      <c r="K6185" s="10">
        <v>1.17</v>
      </c>
      <c r="L6185" s="10">
        <v>9</v>
      </c>
      <c r="M6185" s="6" t="s">
        <v>480</v>
      </c>
      <c r="N6185" s="6" t="str">
        <f>IF(OR($G6185="FCC",$G6185="Hydrocracker",$G6185="Reformer"),IF(COUNTIFS($D:$D,$D6185,$A:$A,$A6185,$B:$B,$B6185,$G:$G,"CDU",$J:$J,"PLANNED")&gt;0,"tied","standalone"),"")</f>
        <v>standalone</v>
      </c>
    </row>
    <row r="6186" spans="1:14">
      <c r="A6186" s="6">
        <v>2025</v>
      </c>
      <c r="B6186" s="6">
        <v>7</v>
      </c>
      <c r="C6186" s="6" t="s">
        <v>66</v>
      </c>
      <c r="D6186" s="6" t="s">
        <v>928</v>
      </c>
      <c r="E6186" s="6" t="s">
        <v>502</v>
      </c>
      <c r="F6186" s="6" t="str">
        <f>IF($M6186="PADD I","PADD 1",IF($M6186="PADD II","PADD 2",IF($M6186="PADD III","PADD 3",IF($M6186="PADD IV","PADD 4",IF($M6186="PADD V","PADD 5","")))))</f>
        <v>PADD 2</v>
      </c>
      <c r="G6186" s="6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6" t="s">
        <v>428</v>
      </c>
      <c r="I6186" s="6" t="s">
        <v>586</v>
      </c>
      <c r="J6186" s="6" t="s">
        <v>394</v>
      </c>
      <c r="K6186" s="10">
        <v>0.96</v>
      </c>
      <c r="L6186" s="10">
        <v>32</v>
      </c>
      <c r="M6186" s="6" t="s">
        <v>425</v>
      </c>
      <c r="N6186" s="6">
        <f>IF(OR($G6186="FCC",$G6186="Hydrocracker",$G6186="Reformer"),IF(COUNTIFS($D:$D,$D6186,$A:$A,$A6186,$B:$B,$B6186,$G:$G,"CDU",$J:$J,"PLANNED")&gt;0,"tied","standalone"),"")</f>
        <v/>
      </c>
    </row>
    <row r="6187" spans="1:14">
      <c r="A6187" s="6">
        <v>2025</v>
      </c>
      <c r="B6187" s="6">
        <v>7</v>
      </c>
      <c r="C6187" s="6" t="s">
        <v>66</v>
      </c>
      <c r="D6187" s="6" t="s">
        <v>849</v>
      </c>
      <c r="E6187" s="6" t="s">
        <v>441</v>
      </c>
      <c r="F6187" s="6" t="str">
        <f>IF($M6187="PADD I","PADD 1",IF($M6187="PADD II","PADD 2",IF($M6187="PADD III","PADD 3",IF($M6187="PADD IV","PADD 4",IF($M6187="PADD V","PADD 5","")))))</f>
        <v>PADD 4</v>
      </c>
      <c r="G6187" s="6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6" t="s">
        <v>426</v>
      </c>
      <c r="I6187" s="6" t="s">
        <v>850</v>
      </c>
      <c r="J6187" s="6" t="s">
        <v>394</v>
      </c>
      <c r="K6187" s="10">
        <v>0.93</v>
      </c>
      <c r="L6187" s="10">
        <v>15.5</v>
      </c>
      <c r="M6187" s="6" t="s">
        <v>480</v>
      </c>
      <c r="N6187" s="6" t="str">
        <f>IF(OR($G6187="FCC",$G6187="Hydrocracker",$G6187="Reformer"),IF(COUNTIFS($D:$D,$D6187,$A:$A,$A6187,$B:$B,$B6187,$G:$G,"CDU",$J:$J,"PLANNED")&gt;0,"tied","standalone"),"")</f>
        <v>standalone</v>
      </c>
    </row>
    <row r="6188" spans="1:14">
      <c r="A6188" s="6">
        <v>2025</v>
      </c>
      <c r="B6188" s="6">
        <v>7</v>
      </c>
      <c r="C6188" s="6" t="s">
        <v>66</v>
      </c>
      <c r="D6188" s="6" t="s">
        <v>1365</v>
      </c>
      <c r="E6188" s="6" t="s">
        <v>1366</v>
      </c>
      <c r="F6188" s="6" t="str">
        <f>IF($M6188="PADD I","PADD 1",IF($M6188="PADD II","PADD 2",IF($M6188="PADD III","PADD 3",IF($M6188="PADD IV","PADD 4",IF($M6188="PADD V","PADD 5","")))))</f>
        <v>PADD 1</v>
      </c>
      <c r="G6188" s="6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6" t="s">
        <v>44</v>
      </c>
      <c r="I6188" s="6" t="s">
        <v>1367</v>
      </c>
      <c r="J6188" s="6" t="s">
        <v>398</v>
      </c>
      <c r="K6188" s="10">
        <v>0.912</v>
      </c>
      <c r="L6188" s="10">
        <v>4.8</v>
      </c>
      <c r="M6188" s="6" t="s">
        <v>463</v>
      </c>
      <c r="N6188" s="6">
        <f>IF(OR($G6188="FCC",$G6188="Hydrocracker",$G6188="Reformer"),IF(COUNTIFS($D:$D,$D6188,$A:$A,$A6188,$B:$B,$B6188,$G:$G,"CDU",$J:$J,"PLANNED")&gt;0,"tied","standalone"),"")</f>
        <v/>
      </c>
    </row>
    <row r="6189" spans="1:14">
      <c r="A6189" s="6">
        <v>2025</v>
      </c>
      <c r="B6189" s="6">
        <v>7</v>
      </c>
      <c r="C6189" s="6" t="s">
        <v>66</v>
      </c>
      <c r="D6189" s="6" t="s">
        <v>984</v>
      </c>
      <c r="E6189" s="6" t="s">
        <v>438</v>
      </c>
      <c r="F6189" s="6" t="str">
        <f>IF($M6189="PADD I","PADD 1",IF($M6189="PADD II","PADD 2",IF($M6189="PADD III","PADD 3",IF($M6189="PADD IV","PADD 4",IF($M6189="PADD V","PADD 5","")))))</f>
        <v>PADD 3</v>
      </c>
      <c r="G6189" s="6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6" t="s">
        <v>426</v>
      </c>
      <c r="I6189" s="6" t="s">
        <v>106</v>
      </c>
      <c r="J6189" s="6" t="s">
        <v>394</v>
      </c>
      <c r="K6189" s="10">
        <v>0.885</v>
      </c>
      <c r="L6189" s="10">
        <v>29.5</v>
      </c>
      <c r="M6189" s="6" t="s">
        <v>421</v>
      </c>
      <c r="N6189" s="6" t="str">
        <f>IF(OR($G6189="FCC",$G6189="Hydrocracker",$G6189="Reformer"),IF(COUNTIFS($D:$D,$D6189,$A:$A,$A6189,$B:$B,$B6189,$G:$G,"CDU",$J:$J,"PLANNED")&gt;0,"tied","standalone"),"")</f>
        <v>standalone</v>
      </c>
    </row>
    <row r="6190" spans="1:14">
      <c r="A6190" s="6">
        <v>2025</v>
      </c>
      <c r="B6190" s="6">
        <v>7</v>
      </c>
      <c r="C6190" s="6" t="s">
        <v>66</v>
      </c>
      <c r="D6190" s="6" t="s">
        <v>41</v>
      </c>
      <c r="E6190" s="6" t="s">
        <v>786</v>
      </c>
      <c r="F6190" s="6" t="str">
        <f>IF($M6190="PADD I","PADD 1",IF($M6190="PADD II","PADD 2",IF($M6190="PADD III","PADD 3",IF($M6190="PADD IV","PADD 4",IF($M6190="PADD V","PADD 5","")))))</f>
        <v>PADD 1</v>
      </c>
      <c r="G6190" s="6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6" t="s">
        <v>44</v>
      </c>
      <c r="I6190" s="6" t="s">
        <v>1064</v>
      </c>
      <c r="J6190" s="6" t="s">
        <v>394</v>
      </c>
      <c r="K6190" s="10">
        <v>0.84</v>
      </c>
      <c r="L6190" s="10">
        <v>28</v>
      </c>
      <c r="M6190" s="6" t="s">
        <v>463</v>
      </c>
      <c r="N6190" s="6">
        <f>IF(OR($G6190="FCC",$G6190="Hydrocracker",$G6190="Reformer"),IF(COUNTIFS($D:$D,$D6190,$A:$A,$A6190,$B:$B,$B6190,$G:$G,"CDU",$J:$J,"PLANNED")&gt;0,"tied","standalone"),"")</f>
        <v/>
      </c>
    </row>
    <row r="6191" spans="1:14">
      <c r="A6191" s="6">
        <v>2025</v>
      </c>
      <c r="B6191" s="6">
        <v>7</v>
      </c>
      <c r="C6191" s="6" t="s">
        <v>66</v>
      </c>
      <c r="D6191" s="6" t="s">
        <v>849</v>
      </c>
      <c r="E6191" s="6" t="s">
        <v>441</v>
      </c>
      <c r="F6191" s="6" t="str">
        <f>IF($M6191="PADD I","PADD 1",IF($M6191="PADD II","PADD 2",IF($M6191="PADD III","PADD 3",IF($M6191="PADD IV","PADD 4",IF($M6191="PADD V","PADD 5","")))))</f>
        <v>PADD 4</v>
      </c>
      <c r="G6191" s="6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6" t="s">
        <v>44</v>
      </c>
      <c r="I6191" s="6" t="s">
        <v>1114</v>
      </c>
      <c r="J6191" s="6" t="s">
        <v>394</v>
      </c>
      <c r="K6191" s="10">
        <v>0.798</v>
      </c>
      <c r="L6191" s="10">
        <v>13.3</v>
      </c>
      <c r="M6191" s="6" t="s">
        <v>480</v>
      </c>
      <c r="N6191" s="6">
        <f>IF(OR($G6191="FCC",$G6191="Hydrocracker",$G6191="Reformer"),IF(COUNTIFS($D:$D,$D6191,$A:$A,$A6191,$B:$B,$B6191,$G:$G,"CDU",$J:$J,"PLANNED")&gt;0,"tied","standalone"),"")</f>
        <v/>
      </c>
    </row>
    <row r="6192" spans="1:14">
      <c r="A6192" s="6">
        <v>2025</v>
      </c>
      <c r="B6192" s="6">
        <v>7</v>
      </c>
      <c r="C6192" s="6" t="s">
        <v>66</v>
      </c>
      <c r="D6192" s="6" t="s">
        <v>798</v>
      </c>
      <c r="E6192" s="6" t="s">
        <v>438</v>
      </c>
      <c r="F6192" s="6" t="str">
        <f>IF($M6192="PADD I","PADD 1",IF($M6192="PADD II","PADD 2",IF($M6192="PADD III","PADD 3",IF($M6192="PADD IV","PADD 4",IF($M6192="PADD V","PADD 5","")))))</f>
        <v>PADD 3</v>
      </c>
      <c r="G6192" s="6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6" t="s">
        <v>44</v>
      </c>
      <c r="I6192" s="6" t="s">
        <v>809</v>
      </c>
      <c r="J6192" s="6" t="s">
        <v>394</v>
      </c>
      <c r="K6192" s="10">
        <v>0.765</v>
      </c>
      <c r="L6192" s="10">
        <v>25.5</v>
      </c>
      <c r="M6192" s="6" t="s">
        <v>421</v>
      </c>
      <c r="N6192" s="6">
        <f>IF(OR($G6192="FCC",$G6192="Hydrocracker",$G6192="Reformer"),IF(COUNTIFS($D:$D,$D6192,$A:$A,$A6192,$B:$B,$B6192,$G:$G,"CDU",$J:$J,"PLANNED")&gt;0,"tied","standalone"),"")</f>
        <v/>
      </c>
    </row>
    <row r="6193" spans="1:14">
      <c r="A6193" s="6">
        <v>2025</v>
      </c>
      <c r="B6193" s="6">
        <v>7</v>
      </c>
      <c r="C6193" s="6" t="s">
        <v>66</v>
      </c>
      <c r="D6193" s="6" t="s">
        <v>984</v>
      </c>
      <c r="E6193" s="6" t="s">
        <v>438</v>
      </c>
      <c r="F6193" s="6" t="str">
        <f>IF($M6193="PADD I","PADD 1",IF($M6193="PADD II","PADD 2",IF($M6193="PADD III","PADD 3",IF($M6193="PADD IV","PADD 4",IF($M6193="PADD V","PADD 5","")))))</f>
        <v>PADD 3</v>
      </c>
      <c r="G6193" s="6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6" t="s">
        <v>44</v>
      </c>
      <c r="I6193" s="6" t="s">
        <v>508</v>
      </c>
      <c r="J6193" s="6" t="s">
        <v>394</v>
      </c>
      <c r="K6193" s="10">
        <v>0.75</v>
      </c>
      <c r="L6193" s="10">
        <v>25</v>
      </c>
      <c r="M6193" s="6" t="s">
        <v>421</v>
      </c>
      <c r="N6193" s="6">
        <f>IF(OR($G6193="FCC",$G6193="Hydrocracker",$G6193="Reformer"),IF(COUNTIFS($D:$D,$D6193,$A:$A,$A6193,$B:$B,$B6193,$G:$G,"CDU",$J:$J,"PLANNED")&gt;0,"tied","standalone"),"")</f>
        <v/>
      </c>
    </row>
    <row r="6194" spans="1:14">
      <c r="A6194" s="6">
        <v>2025</v>
      </c>
      <c r="B6194" s="6">
        <v>7</v>
      </c>
      <c r="C6194" s="6" t="s">
        <v>66</v>
      </c>
      <c r="D6194" s="6" t="s">
        <v>1365</v>
      </c>
      <c r="E6194" s="6" t="s">
        <v>1366</v>
      </c>
      <c r="F6194" s="6" t="str">
        <f>IF($M6194="PADD I","PADD 1",IF($M6194="PADD II","PADD 2",IF($M6194="PADD III","PADD 3",IF($M6194="PADD IV","PADD 4",IF($M6194="PADD V","PADD 5","")))))</f>
        <v>PADD 1</v>
      </c>
      <c r="G6194" s="6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6" t="s">
        <v>44</v>
      </c>
      <c r="I6194" s="6" t="s">
        <v>809</v>
      </c>
      <c r="J6194" s="6" t="s">
        <v>398</v>
      </c>
      <c r="K6194" s="10">
        <v>0.741</v>
      </c>
      <c r="L6194" s="10">
        <v>3.9</v>
      </c>
      <c r="M6194" s="6" t="s">
        <v>463</v>
      </c>
      <c r="N6194" s="6">
        <f>IF(OR($G6194="FCC",$G6194="Hydrocracker",$G6194="Reformer"),IF(COUNTIFS($D:$D,$D6194,$A:$A,$A6194,$B:$B,$B6194,$G:$G,"CDU",$J:$J,"PLANNED")&gt;0,"tied","standalone"),"")</f>
        <v/>
      </c>
    </row>
    <row r="6195" spans="1:14">
      <c r="A6195" s="6">
        <v>2025</v>
      </c>
      <c r="B6195" s="6">
        <v>7</v>
      </c>
      <c r="C6195" s="6" t="s">
        <v>66</v>
      </c>
      <c r="D6195" s="6" t="s">
        <v>41</v>
      </c>
      <c r="E6195" s="6" t="s">
        <v>786</v>
      </c>
      <c r="F6195" s="6" t="str">
        <f>IF($M6195="PADD I","PADD 1",IF($M6195="PADD II","PADD 2",IF($M6195="PADD III","PADD 3",IF($M6195="PADD IV","PADD 4",IF($M6195="PADD V","PADD 5","")))))</f>
        <v>PADD 1</v>
      </c>
      <c r="G6195" s="6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6" t="s">
        <v>494</v>
      </c>
      <c r="I6195" s="6" t="s">
        <v>495</v>
      </c>
      <c r="J6195" s="6" t="s">
        <v>394</v>
      </c>
      <c r="K6195" s="10">
        <v>0.6899999999999999</v>
      </c>
      <c r="L6195" s="10">
        <v>23</v>
      </c>
      <c r="M6195" s="6" t="s">
        <v>463</v>
      </c>
      <c r="N6195" s="6" t="str">
        <f>IF(OR($G6195="FCC",$G6195="Hydrocracker",$G6195="Reformer"),IF(COUNTIFS($D:$D,$D6195,$A:$A,$A6195,$B:$B,$B6195,$G:$G,"CDU",$J:$J,"PLANNED")&gt;0,"tied","standalone"),"")</f>
        <v>standalone</v>
      </c>
    </row>
    <row r="6196" spans="1:14">
      <c r="A6196" s="6">
        <v>2025</v>
      </c>
      <c r="B6196" s="6">
        <v>7</v>
      </c>
      <c r="C6196" s="6" t="s">
        <v>66</v>
      </c>
      <c r="D6196" s="6" t="s">
        <v>1325</v>
      </c>
      <c r="E6196" s="6" t="s">
        <v>1326</v>
      </c>
      <c r="F6196" s="6" t="str">
        <f>IF($M6196="PADD I","PADD 1",IF($M6196="PADD II","PADD 2",IF($M6196="PADD III","PADD 3",IF($M6196="PADD IV","PADD 4",IF($M6196="PADD V","PADD 5","")))))</f>
        <v>PADD 3</v>
      </c>
      <c r="G6196" s="6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6" t="s">
        <v>39</v>
      </c>
      <c r="I6196" s="6" t="s">
        <v>82</v>
      </c>
      <c r="J6196" s="6" t="s">
        <v>394</v>
      </c>
      <c r="K6196" s="10">
        <v>0.6</v>
      </c>
      <c r="L6196" s="10">
        <v>20</v>
      </c>
      <c r="M6196" s="6" t="s">
        <v>421</v>
      </c>
      <c r="N6196" s="6">
        <f>IF(OR($G6196="FCC",$G6196="Hydrocracker",$G6196="Reformer"),IF(COUNTIFS($D:$D,$D6196,$A:$A,$A6196,$B:$B,$B6196,$G:$G,"CDU",$J:$J,"PLANNED")&gt;0,"tied","standalone"),"")</f>
        <v/>
      </c>
    </row>
    <row r="6197" spans="1:14">
      <c r="A6197" s="6">
        <v>2025</v>
      </c>
      <c r="B6197" s="6">
        <v>7</v>
      </c>
      <c r="C6197" s="6" t="s">
        <v>66</v>
      </c>
      <c r="D6197" s="6" t="s">
        <v>849</v>
      </c>
      <c r="E6197" s="6" t="s">
        <v>441</v>
      </c>
      <c r="F6197" s="6" t="str">
        <f>IF($M6197="PADD I","PADD 1",IF($M6197="PADD II","PADD 2",IF($M6197="PADD III","PADD 3",IF($M6197="PADD IV","PADD 4",IF($M6197="PADD V","PADD 5","")))))</f>
        <v>PADD 4</v>
      </c>
      <c r="G6197" s="6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6" t="s">
        <v>485</v>
      </c>
      <c r="I6197" s="6" t="s">
        <v>1238</v>
      </c>
      <c r="J6197" s="6" t="s">
        <v>394</v>
      </c>
      <c r="K6197" s="10">
        <v>0.6</v>
      </c>
      <c r="L6197" s="10">
        <v>10</v>
      </c>
      <c r="M6197" s="6" t="s">
        <v>480</v>
      </c>
      <c r="N6197" s="6">
        <f>IF(OR($G6197="FCC",$G6197="Hydrocracker",$G6197="Reformer"),IF(COUNTIFS($D:$D,$D6197,$A:$A,$A6197,$B:$B,$B6197,$G:$G,"CDU",$J:$J,"PLANNED")&gt;0,"tied","standalone"),"")</f>
        <v/>
      </c>
    </row>
    <row r="6198" spans="1:14">
      <c r="A6198" s="6">
        <v>2025</v>
      </c>
      <c r="B6198" s="6">
        <v>7</v>
      </c>
      <c r="C6198" s="6" t="s">
        <v>66</v>
      </c>
      <c r="D6198" s="6" t="s">
        <v>375</v>
      </c>
      <c r="E6198" s="6" t="s">
        <v>435</v>
      </c>
      <c r="F6198" s="6" t="str">
        <f>IF($M6198="PADD I","PADD 1",IF($M6198="PADD II","PADD 2",IF($M6198="PADD III","PADD 3",IF($M6198="PADD IV","PADD 4",IF($M6198="PADD V","PADD 5","")))))</f>
        <v>PADD 5</v>
      </c>
      <c r="G6198" s="6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6" t="s">
        <v>618</v>
      </c>
      <c r="I6198" s="6" t="s">
        <v>654</v>
      </c>
      <c r="J6198" s="6" t="s">
        <v>394</v>
      </c>
      <c r="K6198" s="10">
        <v>0.53</v>
      </c>
      <c r="L6198" s="10">
        <v>0.53</v>
      </c>
      <c r="M6198" s="6" t="s">
        <v>436</v>
      </c>
      <c r="N6198" s="6">
        <f>IF(OR($G6198="FCC",$G6198="Hydrocracker",$G6198="Reformer"),IF(COUNTIFS($D:$D,$D6198,$A:$A,$A6198,$B:$B,$B6198,$G:$G,"CDU",$J:$J,"PLANNED")&gt;0,"tied","standalone"),"")</f>
        <v/>
      </c>
    </row>
    <row r="6199" spans="1:14">
      <c r="A6199" s="6">
        <v>2025</v>
      </c>
      <c r="B6199" s="6">
        <v>7</v>
      </c>
      <c r="C6199" s="6" t="s">
        <v>66</v>
      </c>
      <c r="D6199" s="6" t="s">
        <v>984</v>
      </c>
      <c r="E6199" s="6" t="s">
        <v>438</v>
      </c>
      <c r="F6199" s="6" t="str">
        <f>IF($M6199="PADD I","PADD 1",IF($M6199="PADD II","PADD 2",IF($M6199="PADD III","PADD 3",IF($M6199="PADD IV","PADD 4",IF($M6199="PADD V","PADD 5","")))))</f>
        <v>PADD 3</v>
      </c>
      <c r="G6199" s="6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6" t="s">
        <v>428</v>
      </c>
      <c r="I6199" s="6" t="s">
        <v>1014</v>
      </c>
      <c r="J6199" s="6" t="s">
        <v>394</v>
      </c>
      <c r="K6199" s="10">
        <v>0.51</v>
      </c>
      <c r="L6199" s="10">
        <v>17</v>
      </c>
      <c r="M6199" s="6" t="s">
        <v>421</v>
      </c>
      <c r="N6199" s="6">
        <f>IF(OR($G6199="FCC",$G6199="Hydrocracker",$G6199="Reformer"),IF(COUNTIFS($D:$D,$D6199,$A:$A,$A6199,$B:$B,$B6199,$G:$G,"CDU",$J:$J,"PLANNED")&gt;0,"tied","standalone"),"")</f>
        <v/>
      </c>
    </row>
    <row r="6200" spans="1:14">
      <c r="A6200" s="6">
        <v>2025</v>
      </c>
      <c r="B6200" s="6">
        <v>7</v>
      </c>
      <c r="C6200" s="6" t="s">
        <v>66</v>
      </c>
      <c r="D6200" s="6" t="s">
        <v>798</v>
      </c>
      <c r="E6200" s="6" t="s">
        <v>438</v>
      </c>
      <c r="F6200" s="6" t="str">
        <f>IF($M6200="PADD I","PADD 1",IF($M6200="PADD II","PADD 2",IF($M6200="PADD III","PADD 3",IF($M6200="PADD IV","PADD 4",IF($M6200="PADD V","PADD 5","")))))</f>
        <v>PADD 3</v>
      </c>
      <c r="G6200" s="6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6" t="s">
        <v>471</v>
      </c>
      <c r="I6200" s="6" t="s">
        <v>814</v>
      </c>
      <c r="J6200" s="6" t="s">
        <v>394</v>
      </c>
      <c r="K6200" s="10">
        <v>0.45</v>
      </c>
      <c r="L6200" s="10">
        <v>15</v>
      </c>
      <c r="M6200" s="6" t="s">
        <v>421</v>
      </c>
      <c r="N6200" s="6" t="str">
        <f>IF(OR($G6200="FCC",$G6200="Hydrocracker",$G6200="Reformer"),IF(COUNTIFS($D:$D,$D6200,$A:$A,$A6200,$B:$B,$B6200,$G:$G,"CDU",$J:$J,"PLANNED")&gt;0,"tied","standalone"),"")</f>
        <v>standalone</v>
      </c>
    </row>
    <row r="6201" spans="1:14">
      <c r="A6201" s="6">
        <v>2025</v>
      </c>
      <c r="B6201" s="6">
        <v>7</v>
      </c>
      <c r="C6201" s="6" t="s">
        <v>66</v>
      </c>
      <c r="D6201" s="6" t="s">
        <v>806</v>
      </c>
      <c r="E6201" s="6" t="s">
        <v>807</v>
      </c>
      <c r="F6201" s="6" t="str">
        <f>IF($M6201="PADD I","PADD 1",IF($M6201="PADD II","PADD 2",IF($M6201="PADD III","PADD 3",IF($M6201="PADD IV","PADD 4",IF($M6201="PADD V","PADD 5","")))))</f>
        <v>PADD 3</v>
      </c>
      <c r="G6201" s="6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6" t="s">
        <v>39</v>
      </c>
      <c r="I6201" s="6" t="s">
        <v>82</v>
      </c>
      <c r="J6201" s="6" t="s">
        <v>394</v>
      </c>
      <c r="K6201" s="10">
        <v>0.45</v>
      </c>
      <c r="L6201" s="10">
        <v>15</v>
      </c>
      <c r="M6201" s="6" t="s">
        <v>421</v>
      </c>
      <c r="N6201" s="6">
        <f>IF(OR($G6201="FCC",$G6201="Hydrocracker",$G6201="Reformer"),IF(COUNTIFS($D:$D,$D6201,$A:$A,$A6201,$B:$B,$B6201,$G:$G,"CDU",$J:$J,"PLANNED")&gt;0,"tied","standalone"),"")</f>
        <v/>
      </c>
    </row>
    <row r="6202" spans="1:14">
      <c r="A6202" s="6">
        <v>2025</v>
      </c>
      <c r="B6202" s="6">
        <v>7</v>
      </c>
      <c r="C6202" s="6" t="s">
        <v>66</v>
      </c>
      <c r="D6202" s="6" t="s">
        <v>41</v>
      </c>
      <c r="E6202" s="6" t="s">
        <v>786</v>
      </c>
      <c r="F6202" s="6" t="str">
        <f>IF($M6202="PADD I","PADD 1",IF($M6202="PADD II","PADD 2",IF($M6202="PADD III","PADD 3",IF($M6202="PADD IV","PADD 4",IF($M6202="PADD V","PADD 5","")))))</f>
        <v>PADD 1</v>
      </c>
      <c r="G6202" s="6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6" t="s">
        <v>687</v>
      </c>
      <c r="I6202" s="6" t="s">
        <v>1069</v>
      </c>
      <c r="J6202" s="6" t="s">
        <v>394</v>
      </c>
      <c r="K6202" s="10">
        <v>0.42</v>
      </c>
      <c r="L6202" s="10">
        <v>14</v>
      </c>
      <c r="M6202" s="6" t="s">
        <v>463</v>
      </c>
      <c r="N6202" s="6">
        <f>IF(OR($G6202="FCC",$G6202="Hydrocracker",$G6202="Reformer"),IF(COUNTIFS($D:$D,$D6202,$A:$A,$A6202,$B:$B,$B6202,$G:$G,"CDU",$J:$J,"PLANNED")&gt;0,"tied","standalone"),"")</f>
        <v/>
      </c>
    </row>
    <row r="6203" spans="1:14">
      <c r="A6203" s="6">
        <v>2025</v>
      </c>
      <c r="B6203" s="6">
        <v>7</v>
      </c>
      <c r="C6203" s="6" t="s">
        <v>66</v>
      </c>
      <c r="D6203" s="6" t="s">
        <v>1365</v>
      </c>
      <c r="E6203" s="6" t="s">
        <v>1366</v>
      </c>
      <c r="F6203" s="6" t="str">
        <f>IF($M6203="PADD I","PADD 1",IF($M6203="PADD II","PADD 2",IF($M6203="PADD III","PADD 3",IF($M6203="PADD IV","PADD 4",IF($M6203="PADD V","PADD 5","")))))</f>
        <v>PADD 1</v>
      </c>
      <c r="G6203" s="6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6" t="s">
        <v>471</v>
      </c>
      <c r="I6203" s="6" t="s">
        <v>621</v>
      </c>
      <c r="J6203" s="6" t="s">
        <v>398</v>
      </c>
      <c r="K6203" s="10">
        <v>0.418</v>
      </c>
      <c r="L6203" s="10">
        <v>2.2</v>
      </c>
      <c r="M6203" s="6" t="s">
        <v>463</v>
      </c>
      <c r="N6203" s="6" t="str">
        <f>IF(OR($G6203="FCC",$G6203="Hydrocracker",$G6203="Reformer"),IF(COUNTIFS($D:$D,$D6203,$A:$A,$A6203,$B:$B,$B6203,$G:$G,"CDU",$J:$J,"PLANNED")&gt;0,"tied","standalone"),"")</f>
        <v>tied</v>
      </c>
    </row>
    <row r="6204" spans="1:14">
      <c r="A6204" s="6">
        <v>2025</v>
      </c>
      <c r="B6204" s="6">
        <v>7</v>
      </c>
      <c r="C6204" s="6" t="s">
        <v>66</v>
      </c>
      <c r="D6204" s="6" t="s">
        <v>798</v>
      </c>
      <c r="E6204" s="6" t="s">
        <v>438</v>
      </c>
      <c r="F6204" s="6" t="str">
        <f>IF($M6204="PADD I","PADD 1",IF($M6204="PADD II","PADD 2",IF($M6204="PADD III","PADD 3",IF($M6204="PADD IV","PADD 4",IF($M6204="PADD V","PADD 5","")))))</f>
        <v>PADD 3</v>
      </c>
      <c r="G6204" s="6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6" t="s">
        <v>44</v>
      </c>
      <c r="I6204" s="6" t="s">
        <v>816</v>
      </c>
      <c r="J6204" s="6" t="s">
        <v>394</v>
      </c>
      <c r="K6204" s="10">
        <v>0.36</v>
      </c>
      <c r="L6204" s="10">
        <v>12</v>
      </c>
      <c r="M6204" s="6" t="s">
        <v>421</v>
      </c>
      <c r="N6204" s="6">
        <f>IF(OR($G6204="FCC",$G6204="Hydrocracker",$G6204="Reformer"),IF(COUNTIFS($D:$D,$D6204,$A:$A,$A6204,$B:$B,$B6204,$G:$G,"CDU",$J:$J,"PLANNED")&gt;0,"tied","standalone"),"")</f>
        <v/>
      </c>
    </row>
    <row r="6205" spans="1:14">
      <c r="A6205" s="6">
        <v>2025</v>
      </c>
      <c r="B6205" s="6">
        <v>7</v>
      </c>
      <c r="C6205" s="6" t="s">
        <v>66</v>
      </c>
      <c r="D6205" s="6" t="s">
        <v>41</v>
      </c>
      <c r="E6205" s="6" t="s">
        <v>786</v>
      </c>
      <c r="F6205" s="6" t="str">
        <f>IF($M6205="PADD I","PADD 1",IF($M6205="PADD II","PADD 2",IF($M6205="PADD III","PADD 3",IF($M6205="PADD IV","PADD 4",IF($M6205="PADD V","PADD 5","")))))</f>
        <v>PADD 1</v>
      </c>
      <c r="G6205" s="6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6" t="s">
        <v>510</v>
      </c>
      <c r="I6205" s="6" t="s">
        <v>810</v>
      </c>
      <c r="J6205" s="6" t="s">
        <v>394</v>
      </c>
      <c r="K6205" s="10">
        <v>0.36</v>
      </c>
      <c r="L6205" s="10">
        <v>12</v>
      </c>
      <c r="M6205" s="6" t="s">
        <v>463</v>
      </c>
      <c r="N6205" s="6">
        <f>IF(OR($G6205="FCC",$G6205="Hydrocracker",$G6205="Reformer"),IF(COUNTIFS($D:$D,$D6205,$A:$A,$A6205,$B:$B,$B6205,$G:$G,"CDU",$J:$J,"PLANNED")&gt;0,"tied","standalone"),"")</f>
        <v/>
      </c>
    </row>
    <row r="6206" spans="1:14">
      <c r="A6206" s="6">
        <v>2025</v>
      </c>
      <c r="B6206" s="6">
        <v>7</v>
      </c>
      <c r="C6206" s="6" t="s">
        <v>66</v>
      </c>
      <c r="D6206" s="6" t="s">
        <v>41</v>
      </c>
      <c r="E6206" s="6" t="s">
        <v>786</v>
      </c>
      <c r="F6206" s="6" t="str">
        <f>IF($M6206="PADD I","PADD 1",IF($M6206="PADD II","PADD 2",IF($M6206="PADD III","PADD 3",IF($M6206="PADD IV","PADD 4",IF($M6206="PADD V","PADD 5","")))))</f>
        <v>PADD 1</v>
      </c>
      <c r="G6206" s="6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6" t="s">
        <v>44</v>
      </c>
      <c r="I6206" s="6" t="s">
        <v>1071</v>
      </c>
      <c r="J6206" s="6" t="s">
        <v>394</v>
      </c>
      <c r="K6206" s="10">
        <v>0.345</v>
      </c>
      <c r="L6206" s="10">
        <v>11.5</v>
      </c>
      <c r="M6206" s="6" t="s">
        <v>463</v>
      </c>
      <c r="N6206" s="6">
        <f>IF(OR($G6206="FCC",$G6206="Hydrocracker",$G6206="Reformer"),IF(COUNTIFS($D:$D,$D6206,$A:$A,$A6206,$B:$B,$B6206,$G:$G,"CDU",$J:$J,"PLANNED")&gt;0,"tied","standalone"),"")</f>
        <v/>
      </c>
    </row>
    <row r="6207" spans="1:14">
      <c r="A6207" s="6">
        <v>2025</v>
      </c>
      <c r="B6207" s="6">
        <v>7</v>
      </c>
      <c r="C6207" s="6" t="s">
        <v>66</v>
      </c>
      <c r="D6207" s="6" t="s">
        <v>849</v>
      </c>
      <c r="E6207" s="6" t="s">
        <v>441</v>
      </c>
      <c r="F6207" s="6" t="str">
        <f>IF($M6207="PADD I","PADD 1",IF($M6207="PADD II","PADD 2",IF($M6207="PADD III","PADD 3",IF($M6207="PADD IV","PADD 4",IF($M6207="PADD V","PADD 5","")))))</f>
        <v>PADD 4</v>
      </c>
      <c r="G6207" s="6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6" t="s">
        <v>510</v>
      </c>
      <c r="I6207" s="6" t="s">
        <v>958</v>
      </c>
      <c r="J6207" s="6" t="s">
        <v>394</v>
      </c>
      <c r="K6207" s="10">
        <v>0.336</v>
      </c>
      <c r="L6207" s="10">
        <v>5.6</v>
      </c>
      <c r="M6207" s="6" t="s">
        <v>480</v>
      </c>
      <c r="N6207" s="6">
        <f>IF(OR($G6207="FCC",$G6207="Hydrocracker",$G6207="Reformer"),IF(COUNTIFS($D:$D,$D6207,$A:$A,$A6207,$B:$B,$B6207,$G:$G,"CDU",$J:$J,"PLANNED")&gt;0,"tied","standalone"),"")</f>
        <v/>
      </c>
    </row>
    <row r="6208" spans="1:14">
      <c r="A6208" s="6">
        <v>2025</v>
      </c>
      <c r="B6208" s="6">
        <v>7</v>
      </c>
      <c r="C6208" s="6" t="s">
        <v>66</v>
      </c>
      <c r="D6208" s="6" t="s">
        <v>798</v>
      </c>
      <c r="E6208" s="6" t="s">
        <v>438</v>
      </c>
      <c r="F6208" s="6" t="str">
        <f>IF($M6208="PADD I","PADD 1",IF($M6208="PADD II","PADD 2",IF($M6208="PADD III","PADD 3",IF($M6208="PADD IV","PADD 4",IF($M6208="PADD V","PADD 5","")))))</f>
        <v>PADD 3</v>
      </c>
      <c r="G6208" s="6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6" t="s">
        <v>44</v>
      </c>
      <c r="I6208" s="6" t="s">
        <v>817</v>
      </c>
      <c r="J6208" s="6" t="s">
        <v>394</v>
      </c>
      <c r="K6208" s="10">
        <v>0.315</v>
      </c>
      <c r="L6208" s="10">
        <v>10.5</v>
      </c>
      <c r="M6208" s="6" t="s">
        <v>421</v>
      </c>
      <c r="N6208" s="6">
        <f>IF(OR($G6208="FCC",$G6208="Hydrocracker",$G6208="Reformer"),IF(COUNTIFS($D:$D,$D6208,$A:$A,$A6208,$B:$B,$B6208,$G:$G,"CDU",$J:$J,"PLANNED")&gt;0,"tied","standalone"),"")</f>
        <v/>
      </c>
    </row>
    <row r="6209" spans="1:14">
      <c r="A6209" s="6">
        <v>2025</v>
      </c>
      <c r="B6209" s="6">
        <v>7</v>
      </c>
      <c r="C6209" s="6" t="s">
        <v>66</v>
      </c>
      <c r="D6209" s="6" t="s">
        <v>984</v>
      </c>
      <c r="E6209" s="6" t="s">
        <v>438</v>
      </c>
      <c r="F6209" s="6" t="str">
        <f>IF($M6209="PADD I","PADD 1",IF($M6209="PADD II","PADD 2",IF($M6209="PADD III","PADD 3",IF($M6209="PADD IV","PADD 4",IF($M6209="PADD V","PADD 5","")))))</f>
        <v>PADD 3</v>
      </c>
      <c r="G6209" s="6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6" t="s">
        <v>510</v>
      </c>
      <c r="I6209" s="6" t="s">
        <v>511</v>
      </c>
      <c r="J6209" s="6" t="s">
        <v>394</v>
      </c>
      <c r="K6209" s="10">
        <v>0.3</v>
      </c>
      <c r="L6209" s="10">
        <v>10</v>
      </c>
      <c r="M6209" s="6" t="s">
        <v>421</v>
      </c>
      <c r="N6209" s="6">
        <f>IF(OR($G6209="FCC",$G6209="Hydrocracker",$G6209="Reformer"),IF(COUNTIFS($D:$D,$D6209,$A:$A,$A6209,$B:$B,$B6209,$G:$G,"CDU",$J:$J,"PLANNED")&gt;0,"tied","standalone"),"")</f>
        <v/>
      </c>
    </row>
    <row r="6210" spans="1:14">
      <c r="A6210" s="6">
        <v>2025</v>
      </c>
      <c r="B6210" s="6">
        <v>7</v>
      </c>
      <c r="C6210" s="6" t="s">
        <v>66</v>
      </c>
      <c r="D6210" s="6" t="s">
        <v>1325</v>
      </c>
      <c r="E6210" s="6" t="s">
        <v>1326</v>
      </c>
      <c r="F6210" s="6" t="str">
        <f>IF($M6210="PADD I","PADD 1",IF($M6210="PADD II","PADD 2",IF($M6210="PADD III","PADD 3",IF($M6210="PADD IV","PADD 4",IF($M6210="PADD V","PADD 5","")))))</f>
        <v>PADD 3</v>
      </c>
      <c r="G6210" s="6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6" t="s">
        <v>44</v>
      </c>
      <c r="I6210" s="6" t="s">
        <v>834</v>
      </c>
      <c r="J6210" s="6" t="s">
        <v>394</v>
      </c>
      <c r="K6210" s="10">
        <v>0.15</v>
      </c>
      <c r="L6210" s="10">
        <v>5</v>
      </c>
      <c r="M6210" s="6" t="s">
        <v>421</v>
      </c>
      <c r="N6210" s="6">
        <f>IF(OR($G6210="FCC",$G6210="Hydrocracker",$G6210="Reformer"),IF(COUNTIFS($D:$D,$D6210,$A:$A,$A6210,$B:$B,$B6210,$G:$G,"CDU",$J:$J,"PLANNED")&gt;0,"tied","standalone"),"")</f>
        <v/>
      </c>
    </row>
    <row r="6211" spans="1:14">
      <c r="A6211" s="6">
        <v>2025</v>
      </c>
      <c r="B6211" s="6">
        <v>7</v>
      </c>
      <c r="C6211" s="6" t="s">
        <v>66</v>
      </c>
      <c r="D6211" s="6" t="s">
        <v>1325</v>
      </c>
      <c r="E6211" s="6" t="s">
        <v>1326</v>
      </c>
      <c r="F6211" s="6" t="str">
        <f>IF($M6211="PADD I","PADD 1",IF($M6211="PADD II","PADD 2",IF($M6211="PADD III","PADD 3",IF($M6211="PADD IV","PADD 4",IF($M6211="PADD V","PADD 5","")))))</f>
        <v>PADD 3</v>
      </c>
      <c r="G6211" s="6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6" t="s">
        <v>618</v>
      </c>
      <c r="I6211" s="6" t="s">
        <v>763</v>
      </c>
      <c r="J6211" s="6" t="s">
        <v>394</v>
      </c>
      <c r="K6211" s="10">
        <v>0.15</v>
      </c>
      <c r="L6211" s="10">
        <v>5</v>
      </c>
      <c r="M6211" s="6" t="s">
        <v>421</v>
      </c>
      <c r="N6211" s="6">
        <f>IF(OR($G6211="FCC",$G6211="Hydrocracker",$G6211="Reformer"),IF(COUNTIFS($D:$D,$D6211,$A:$A,$A6211,$B:$B,$B6211,$G:$G,"CDU",$J:$J,"PLANNED")&gt;0,"tied","standalone"),"")</f>
        <v/>
      </c>
    </row>
    <row r="6212" spans="1:14">
      <c r="A6212" s="6">
        <v>2025</v>
      </c>
      <c r="B6212" s="6">
        <v>7</v>
      </c>
      <c r="C6212" s="6" t="s">
        <v>66</v>
      </c>
      <c r="D6212" s="6" t="s">
        <v>1365</v>
      </c>
      <c r="E6212" s="6" t="s">
        <v>1366</v>
      </c>
      <c r="F6212" s="6" t="str">
        <f>IF($M6212="PADD I","PADD 1",IF($M6212="PADD II","PADD 2",IF($M6212="PADD III","PADD 3",IF($M6212="PADD IV","PADD 4",IF($M6212="PADD V","PADD 5","")))))</f>
        <v>PADD 1</v>
      </c>
      <c r="G6212" s="6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6" t="s">
        <v>618</v>
      </c>
      <c r="I6212" s="6" t="s">
        <v>654</v>
      </c>
      <c r="J6212" s="6" t="s">
        <v>398</v>
      </c>
      <c r="K6212" s="10">
        <v>0.1482</v>
      </c>
      <c r="L6212" s="10">
        <v>0.78</v>
      </c>
      <c r="M6212" s="6" t="s">
        <v>463</v>
      </c>
      <c r="N6212" s="6">
        <f>IF(OR($G6212="FCC",$G6212="Hydrocracker",$G6212="Reformer"),IF(COUNTIFS($D:$D,$D6212,$A:$A,$A6212,$B:$B,$B6212,$G:$G,"CDU",$J:$J,"PLANNED")&gt;0,"tied","standalone"),"")</f>
        <v/>
      </c>
    </row>
    <row r="6213" spans="1:14">
      <c r="A6213" s="6">
        <v>2025</v>
      </c>
      <c r="B6213" s="6">
        <v>7</v>
      </c>
      <c r="C6213" s="6" t="s">
        <v>66</v>
      </c>
      <c r="D6213" s="6" t="s">
        <v>1325</v>
      </c>
      <c r="E6213" s="6" t="s">
        <v>1326</v>
      </c>
      <c r="F6213" s="6" t="str">
        <f>IF($M6213="PADD I","PADD 1",IF($M6213="PADD II","PADD 2",IF($M6213="PADD III","PADD 3",IF($M6213="PADD IV","PADD 4",IF($M6213="PADD V","PADD 5","")))))</f>
        <v>PADD 3</v>
      </c>
      <c r="G6213" s="6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6" t="s">
        <v>44</v>
      </c>
      <c r="I6213" s="6" t="s">
        <v>543</v>
      </c>
      <c r="J6213" s="6" t="s">
        <v>394</v>
      </c>
      <c r="K6213" s="10">
        <v>0.135</v>
      </c>
      <c r="L6213" s="10">
        <v>4.5</v>
      </c>
      <c r="M6213" s="6" t="s">
        <v>421</v>
      </c>
      <c r="N6213" s="6">
        <f>IF(OR($G6213="FCC",$G6213="Hydrocracker",$G6213="Reformer"),IF(COUNTIFS($D:$D,$D6213,$A:$A,$A6213,$B:$B,$B6213,$G:$G,"CDU",$J:$J,"PLANNED")&gt;0,"tied","standalone"),"")</f>
        <v/>
      </c>
    </row>
    <row r="6214" spans="1:14">
      <c r="A6214" s="6">
        <v>2025</v>
      </c>
      <c r="B6214" s="6">
        <v>7</v>
      </c>
      <c r="C6214" s="6" t="s">
        <v>66</v>
      </c>
      <c r="D6214" s="6" t="s">
        <v>41</v>
      </c>
      <c r="E6214" s="6" t="s">
        <v>786</v>
      </c>
      <c r="F6214" s="6" t="str">
        <f>IF($M6214="PADD I","PADD 1",IF($M6214="PADD II","PADD 2",IF($M6214="PADD III","PADD 3",IF($M6214="PADD IV","PADD 4",IF($M6214="PADD V","PADD 5","")))))</f>
        <v>PADD 1</v>
      </c>
      <c r="G6214" s="6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6" t="s">
        <v>44</v>
      </c>
      <c r="I6214" s="6" t="s">
        <v>1079</v>
      </c>
      <c r="J6214" s="6" t="s">
        <v>394</v>
      </c>
      <c r="K6214" s="10">
        <v>0.126</v>
      </c>
      <c r="L6214" s="10">
        <v>4.2</v>
      </c>
      <c r="M6214" s="6" t="s">
        <v>463</v>
      </c>
      <c r="N6214" s="6">
        <f>IF(OR($G6214="FCC",$G6214="Hydrocracker",$G6214="Reformer"),IF(COUNTIFS($D:$D,$D6214,$A:$A,$A6214,$B:$B,$B6214,$G:$G,"CDU",$J:$J,"PLANNED")&gt;0,"tied","standalone"),"")</f>
        <v/>
      </c>
    </row>
    <row r="6215" spans="1:14">
      <c r="A6215" s="6">
        <v>2025</v>
      </c>
      <c r="B6215" s="6">
        <v>7</v>
      </c>
      <c r="C6215" s="6" t="s">
        <v>66</v>
      </c>
      <c r="D6215" s="6" t="s">
        <v>1325</v>
      </c>
      <c r="E6215" s="6" t="s">
        <v>1326</v>
      </c>
      <c r="F6215" s="6" t="str">
        <f>IF($M6215="PADD I","PADD 1",IF($M6215="PADD II","PADD 2",IF($M6215="PADD III","PADD 3",IF($M6215="PADD IV","PADD 4",IF($M6215="PADD V","PADD 5","")))))</f>
        <v>PADD 3</v>
      </c>
      <c r="G6215" s="6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6" t="s">
        <v>471</v>
      </c>
      <c r="I6215" s="6" t="s">
        <v>1332</v>
      </c>
      <c r="J6215" s="6" t="s">
        <v>394</v>
      </c>
      <c r="K6215" s="10">
        <v>0.075</v>
      </c>
      <c r="L6215" s="10">
        <v>2.5</v>
      </c>
      <c r="M6215" s="6" t="s">
        <v>421</v>
      </c>
      <c r="N6215" s="6" t="str">
        <f>IF(OR($G6215="FCC",$G6215="Hydrocracker",$G6215="Reformer"),IF(COUNTIFS($D:$D,$D6215,$A:$A,$A6215,$B:$B,$B6215,$G:$G,"CDU",$J:$J,"PLANNED")&gt;0,"tied","standalone"),"")</f>
        <v>standalone</v>
      </c>
    </row>
    <row r="6216" spans="1:14">
      <c r="A6216" s="6">
        <v>2025</v>
      </c>
      <c r="B6216" s="6">
        <v>7</v>
      </c>
      <c r="C6216" s="6" t="s">
        <v>66</v>
      </c>
      <c r="D6216" s="6" t="s">
        <v>1325</v>
      </c>
      <c r="E6216" s="6" t="s">
        <v>1326</v>
      </c>
      <c r="F6216" s="6" t="str">
        <f>IF($M6216="PADD I","PADD 1",IF($M6216="PADD II","PADD 2",IF($M6216="PADD III","PADD 3",IF($M6216="PADD IV","PADD 4",IF($M6216="PADD V","PADD 5","")))))</f>
        <v>PADD 3</v>
      </c>
      <c r="G6216" s="6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6" t="s">
        <v>471</v>
      </c>
      <c r="I6216" s="6" t="s">
        <v>1333</v>
      </c>
      <c r="J6216" s="6" t="s">
        <v>394</v>
      </c>
      <c r="K6216" s="10">
        <v>0.036</v>
      </c>
      <c r="L6216" s="10">
        <v>1.2</v>
      </c>
      <c r="M6216" s="6" t="s">
        <v>421</v>
      </c>
      <c r="N6216" s="6" t="str">
        <f>IF(OR($G6216="FCC",$G6216="Hydrocracker",$G6216="Reformer"),IF(COUNTIFS($D:$D,$D6216,$A:$A,$A6216,$B:$B,$B6216,$G:$G,"CDU",$J:$J,"PLANNED")&gt;0,"tied","standalone"),"")</f>
        <v>standalone</v>
      </c>
    </row>
    <row r="6217" spans="1:14">
      <c r="A6217" s="6">
        <v>2025</v>
      </c>
      <c r="B6217" s="6">
        <v>8</v>
      </c>
      <c r="C6217" s="6" t="s">
        <v>67</v>
      </c>
      <c r="D6217" s="6" t="s">
        <v>550</v>
      </c>
      <c r="E6217" s="6" t="s">
        <v>438</v>
      </c>
      <c r="F6217" s="6" t="str">
        <f>IF($M6217="PADD I","PADD 1",IF($M6217="PADD II","PADD 2",IF($M6217="PADD III","PADD 3",IF($M6217="PADD IV","PADD 4",IF($M6217="PADD V","PADD 5","")))))</f>
        <v>PADD 2</v>
      </c>
      <c r="G6217" s="6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6" t="s">
        <v>39</v>
      </c>
      <c r="I6217" s="6" t="s">
        <v>580</v>
      </c>
      <c r="J6217" s="6" t="s">
        <v>398</v>
      </c>
      <c r="K6217" s="10">
        <v>92</v>
      </c>
      <c r="L6217" s="10">
        <v>92</v>
      </c>
      <c r="M6217" s="6" t="s">
        <v>425</v>
      </c>
      <c r="N6217" s="6">
        <f>IF(OR($G6217="FCC",$G6217="Hydrocracker",$G6217="Reformer"),IF(COUNTIFS($D:$D,$D6217,$A:$A,$A6217,$B:$B,$B6217,$G:$G,"CDU",$J:$J,"PLANNED")&gt;0,"tied","standalone"),"")</f>
        <v/>
      </c>
    </row>
    <row r="6218" spans="1:14">
      <c r="A6218" s="6">
        <v>2025</v>
      </c>
      <c r="B6218" s="6">
        <v>8</v>
      </c>
      <c r="C6218" s="6" t="s">
        <v>67</v>
      </c>
      <c r="D6218" s="6" t="s">
        <v>375</v>
      </c>
      <c r="E6218" s="6" t="s">
        <v>435</v>
      </c>
      <c r="F6218" s="6" t="str">
        <f>IF($M6218="PADD I","PADD 1",IF($M6218="PADD II","PADD 2",IF($M6218="PADD III","PADD 3",IF($M6218="PADD IV","PADD 4",IF($M6218="PADD V","PADD 5","")))))</f>
        <v>PADD 5</v>
      </c>
      <c r="G6218" s="6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6" t="s">
        <v>44</v>
      </c>
      <c r="I6218" s="6" t="s">
        <v>1335</v>
      </c>
      <c r="J6218" s="6" t="s">
        <v>394</v>
      </c>
      <c r="K6218" s="10">
        <v>77.5</v>
      </c>
      <c r="L6218" s="10">
        <v>77.5</v>
      </c>
      <c r="M6218" s="6" t="s">
        <v>436</v>
      </c>
      <c r="N6218" s="6">
        <f>IF(OR($G6218="FCC",$G6218="Hydrocracker",$G6218="Reformer"),IF(COUNTIFS($D:$D,$D6218,$A:$A,$A6218,$B:$B,$B6218,$G:$G,"CDU",$J:$J,"PLANNED")&gt;0,"tied","standalone"),"")</f>
        <v/>
      </c>
    </row>
    <row r="6219" spans="1:14">
      <c r="A6219" s="6">
        <v>2025</v>
      </c>
      <c r="B6219" s="6">
        <v>8</v>
      </c>
      <c r="C6219" s="6" t="s">
        <v>67</v>
      </c>
      <c r="D6219" s="6" t="s">
        <v>437</v>
      </c>
      <c r="E6219" s="6" t="s">
        <v>438</v>
      </c>
      <c r="F6219" s="6" t="str">
        <f>IF($M6219="PADD I","PADD 1",IF($M6219="PADD II","PADD 2",IF($M6219="PADD III","PADD 3",IF($M6219="PADD IV","PADD 4",IF($M6219="PADD V","PADD 5","")))))</f>
        <v>PADD 3</v>
      </c>
      <c r="G6219" s="6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6" t="s">
        <v>494</v>
      </c>
      <c r="I6219" s="6" t="s">
        <v>526</v>
      </c>
      <c r="J6219" s="6" t="s">
        <v>394</v>
      </c>
      <c r="K6219" s="10">
        <v>70</v>
      </c>
      <c r="L6219" s="10">
        <v>70</v>
      </c>
      <c r="M6219" s="6" t="s">
        <v>421</v>
      </c>
      <c r="N6219" s="6" t="str">
        <f>IF(OR($G6219="FCC",$G6219="Hydrocracker",$G6219="Reformer"),IF(COUNTIFS($D:$D,$D6219,$A:$A,$A6219,$B:$B,$B6219,$G:$G,"CDU",$J:$J,"PLANNED")&gt;0,"tied","standalone"),"")</f>
        <v>standalone</v>
      </c>
    </row>
    <row r="6220" spans="1:14">
      <c r="A6220" s="6">
        <v>2025</v>
      </c>
      <c r="B6220" s="6">
        <v>8</v>
      </c>
      <c r="C6220" s="6" t="s">
        <v>67</v>
      </c>
      <c r="D6220" s="6" t="s">
        <v>375</v>
      </c>
      <c r="E6220" s="6" t="s">
        <v>435</v>
      </c>
      <c r="F6220" s="6" t="str">
        <f>IF($M6220="PADD I","PADD 1",IF($M6220="PADD II","PADD 2",IF($M6220="PADD III","PADD 3",IF($M6220="PADD IV","PADD 4",IF($M6220="PADD V","PADD 5","")))))</f>
        <v>PADD 5</v>
      </c>
      <c r="G6220" s="6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6" t="s">
        <v>426</v>
      </c>
      <c r="I6220" s="6" t="s">
        <v>554</v>
      </c>
      <c r="J6220" s="6" t="s">
        <v>394</v>
      </c>
      <c r="K6220" s="10">
        <v>70</v>
      </c>
      <c r="L6220" s="10">
        <v>70</v>
      </c>
      <c r="M6220" s="6" t="s">
        <v>436</v>
      </c>
      <c r="N6220" s="6" t="str">
        <f>IF(OR($G6220="FCC",$G6220="Hydrocracker",$G6220="Reformer"),IF(COUNTIFS($D:$D,$D6220,$A:$A,$A6220,$B:$B,$B6220,$G:$G,"CDU",$J:$J,"PLANNED")&gt;0,"tied","standalone"),"")</f>
        <v>standalone</v>
      </c>
    </row>
    <row r="6221" spans="1:14">
      <c r="A6221" s="6">
        <v>2025</v>
      </c>
      <c r="B6221" s="6">
        <v>8</v>
      </c>
      <c r="C6221" s="6" t="s">
        <v>67</v>
      </c>
      <c r="D6221" s="6" t="s">
        <v>368</v>
      </c>
      <c r="E6221" s="6" t="s">
        <v>715</v>
      </c>
      <c r="F6221" s="6" t="str">
        <f>IF($M6221="PADD I","PADD 1",IF($M6221="PADD II","PADD 2",IF($M6221="PADD III","PADD 3",IF($M6221="PADD IV","PADD 4",IF($M6221="PADD V","PADD 5","")))))</f>
        <v>PADD 3</v>
      </c>
      <c r="G6221" s="6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6" t="s">
        <v>426</v>
      </c>
      <c r="I6221" s="6" t="s">
        <v>925</v>
      </c>
      <c r="J6221" s="6" t="s">
        <v>398</v>
      </c>
      <c r="K6221" s="10">
        <v>58.24</v>
      </c>
      <c r="L6221" s="10">
        <v>112</v>
      </c>
      <c r="M6221" s="6" t="s">
        <v>421</v>
      </c>
      <c r="N6221" s="6" t="str">
        <f>IF(OR($G6221="FCC",$G6221="Hydrocracker",$G6221="Reformer"),IF(COUNTIFS($D:$D,$D6221,$A:$A,$A6221,$B:$B,$B6221,$G:$G,"CDU",$J:$J,"PLANNED")&gt;0,"tied","standalone"),"")</f>
        <v>standalone</v>
      </c>
    </row>
    <row r="6222" spans="1:14">
      <c r="A6222" s="6">
        <v>2025</v>
      </c>
      <c r="B6222" s="6">
        <v>8</v>
      </c>
      <c r="C6222" s="6" t="s">
        <v>67</v>
      </c>
      <c r="D6222" s="6" t="s">
        <v>375</v>
      </c>
      <c r="E6222" s="6" t="s">
        <v>435</v>
      </c>
      <c r="F6222" s="6" t="str">
        <f>IF($M6222="PADD I","PADD 1",IF($M6222="PADD II","PADD 2",IF($M6222="PADD III","PADD 3",IF($M6222="PADD IV","PADD 4",IF($M6222="PADD V","PADD 5","")))))</f>
        <v>PADD 5</v>
      </c>
      <c r="G6222" s="6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6" t="s">
        <v>39</v>
      </c>
      <c r="I6222" s="6" t="s">
        <v>94</v>
      </c>
      <c r="J6222" s="6" t="s">
        <v>394</v>
      </c>
      <c r="K6222" s="10">
        <v>54.25</v>
      </c>
      <c r="L6222" s="10">
        <v>54.25</v>
      </c>
      <c r="M6222" s="6" t="s">
        <v>436</v>
      </c>
      <c r="N6222" s="6">
        <f>IF(OR($G6222="FCC",$G6222="Hydrocracker",$G6222="Reformer"),IF(COUNTIFS($D:$D,$D6222,$A:$A,$A6222,$B:$B,$B6222,$G:$G,"CDU",$J:$J,"PLANNED")&gt;0,"tied","standalone"),"")</f>
        <v/>
      </c>
    </row>
    <row r="6223" spans="1:14">
      <c r="A6223" s="6">
        <v>2025</v>
      </c>
      <c r="B6223" s="6">
        <v>8</v>
      </c>
      <c r="C6223" s="6" t="s">
        <v>67</v>
      </c>
      <c r="D6223" s="6" t="s">
        <v>622</v>
      </c>
      <c r="E6223" s="6" t="s">
        <v>623</v>
      </c>
      <c r="F6223" s="6" t="str">
        <f>IF($M6223="PADD I","PADD 1",IF($M6223="PADD II","PADD 2",IF($M6223="PADD III","PADD 3",IF($M6223="PADD IV","PADD 4",IF($M6223="PADD V","PADD 5","")))))</f>
        <v>PADD 3</v>
      </c>
      <c r="G6223" s="6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6" t="s">
        <v>39</v>
      </c>
      <c r="I6223" s="6" t="s">
        <v>624</v>
      </c>
      <c r="J6223" s="6" t="s">
        <v>398</v>
      </c>
      <c r="K6223" s="10">
        <v>50</v>
      </c>
      <c r="L6223" s="10">
        <v>50</v>
      </c>
      <c r="M6223" s="6" t="s">
        <v>421</v>
      </c>
      <c r="N6223" s="6">
        <f>IF(OR($G6223="FCC",$G6223="Hydrocracker",$G6223="Reformer"),IF(COUNTIFS($D:$D,$D6223,$A:$A,$A6223,$B:$B,$B6223,$G:$G,"CDU",$J:$J,"PLANNED")&gt;0,"tied","standalone"),"")</f>
        <v/>
      </c>
    </row>
    <row r="6224" spans="1:14">
      <c r="A6224" s="6">
        <v>2025</v>
      </c>
      <c r="B6224" s="6">
        <v>8</v>
      </c>
      <c r="C6224" s="6" t="s">
        <v>67</v>
      </c>
      <c r="D6224" s="6" t="s">
        <v>375</v>
      </c>
      <c r="E6224" s="6" t="s">
        <v>435</v>
      </c>
      <c r="F6224" s="6" t="str">
        <f>IF($M6224="PADD I","PADD 1",IF($M6224="PADD II","PADD 2",IF($M6224="PADD III","PADD 3",IF($M6224="PADD IV","PADD 4",IF($M6224="PADD V","PADD 5","")))))</f>
        <v>PADD 5</v>
      </c>
      <c r="G6224" s="6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6" t="s">
        <v>494</v>
      </c>
      <c r="I6224" s="6" t="s">
        <v>548</v>
      </c>
      <c r="J6224" s="6" t="s">
        <v>394</v>
      </c>
      <c r="K6224" s="10">
        <v>42</v>
      </c>
      <c r="L6224" s="10">
        <v>42</v>
      </c>
      <c r="M6224" s="6" t="s">
        <v>436</v>
      </c>
      <c r="N6224" s="6" t="str">
        <f>IF(OR($G6224="FCC",$G6224="Hydrocracker",$G6224="Reformer"),IF(COUNTIFS($D:$D,$D6224,$A:$A,$A6224,$B:$B,$B6224,$G:$G,"CDU",$J:$J,"PLANNED")&gt;0,"tied","standalone"),"")</f>
        <v>standalone</v>
      </c>
    </row>
    <row r="6225" spans="1:14">
      <c r="A6225" s="6">
        <v>2025</v>
      </c>
      <c r="B6225" s="6">
        <v>8</v>
      </c>
      <c r="C6225" s="6" t="s">
        <v>67</v>
      </c>
      <c r="D6225" s="6" t="s">
        <v>592</v>
      </c>
      <c r="E6225" s="6" t="s">
        <v>593</v>
      </c>
      <c r="F6225" s="6" t="str">
        <f>IF($M6225="PADD I","PADD 1",IF($M6225="PADD II","PADD 2",IF($M6225="PADD III","PADD 3",IF($M6225="PADD IV","PADD 4",IF($M6225="PADD V","PADD 5","")))))</f>
        <v>PADD 2</v>
      </c>
      <c r="G6225" s="6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6" t="s">
        <v>39</v>
      </c>
      <c r="I6225" s="6" t="s">
        <v>924</v>
      </c>
      <c r="J6225" s="6" t="s">
        <v>394</v>
      </c>
      <c r="K6225" s="10">
        <v>40</v>
      </c>
      <c r="L6225" s="10">
        <v>125</v>
      </c>
      <c r="M6225" s="6" t="s">
        <v>425</v>
      </c>
      <c r="N6225" s="6">
        <f>IF(OR($G6225="FCC",$G6225="Hydrocracker",$G6225="Reformer"),IF(COUNTIFS($D:$D,$D6225,$A:$A,$A6225,$B:$B,$B6225,$G:$G,"CDU",$J:$J,"PLANNED")&gt;0,"tied","standalone"),"")</f>
        <v/>
      </c>
    </row>
    <row r="6226" spans="1:14">
      <c r="A6226" s="6">
        <v>2025</v>
      </c>
      <c r="B6226" s="6">
        <v>8</v>
      </c>
      <c r="C6226" s="6" t="s">
        <v>67</v>
      </c>
      <c r="D6226" s="6" t="s">
        <v>592</v>
      </c>
      <c r="E6226" s="6" t="s">
        <v>593</v>
      </c>
      <c r="F6226" s="6" t="str">
        <f>IF($M6226="PADD I","PADD 1",IF($M6226="PADD II","PADD 2",IF($M6226="PADD III","PADD 3",IF($M6226="PADD IV","PADD 4",IF($M6226="PADD V","PADD 5","")))))</f>
        <v>PADD 2</v>
      </c>
      <c r="G6226" s="6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6" t="s">
        <v>44</v>
      </c>
      <c r="I6226" s="6" t="s">
        <v>963</v>
      </c>
      <c r="J6226" s="6" t="s">
        <v>394</v>
      </c>
      <c r="K6226" s="10">
        <v>33.6</v>
      </c>
      <c r="L6226" s="10">
        <v>105</v>
      </c>
      <c r="M6226" s="6" t="s">
        <v>425</v>
      </c>
      <c r="N6226" s="6">
        <f>IF(OR($G6226="FCC",$G6226="Hydrocracker",$G6226="Reformer"),IF(COUNTIFS($D:$D,$D6226,$A:$A,$A6226,$B:$B,$B6226,$G:$G,"CDU",$J:$J,"PLANNED")&gt;0,"tied","standalone"),"")</f>
        <v/>
      </c>
    </row>
    <row r="6227" spans="1:14">
      <c r="A6227" s="6">
        <v>2025</v>
      </c>
      <c r="B6227" s="6">
        <v>8</v>
      </c>
      <c r="C6227" s="6" t="s">
        <v>67</v>
      </c>
      <c r="D6227" s="6" t="s">
        <v>820</v>
      </c>
      <c r="E6227" s="6" t="s">
        <v>710</v>
      </c>
      <c r="F6227" s="6" t="str">
        <f>IF($M6227="PADD I","PADD 1",IF($M6227="PADD II","PADD 2",IF($M6227="PADD III","PADD 3",IF($M6227="PADD IV","PADD 4",IF($M6227="PADD V","PADD 5","")))))</f>
        <v>PADD 3</v>
      </c>
      <c r="G6227" s="6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6" t="s">
        <v>485</v>
      </c>
      <c r="I6227" s="6" t="s">
        <v>491</v>
      </c>
      <c r="J6227" s="6" t="s">
        <v>394</v>
      </c>
      <c r="K6227" s="10">
        <v>32</v>
      </c>
      <c r="L6227" s="10">
        <v>32</v>
      </c>
      <c r="M6227" s="6" t="s">
        <v>421</v>
      </c>
      <c r="N6227" s="6">
        <f>IF(OR($G6227="FCC",$G6227="Hydrocracker",$G6227="Reformer"),IF(COUNTIFS($D:$D,$D6227,$A:$A,$A6227,$B:$B,$B6227,$G:$G,"CDU",$J:$J,"PLANNED")&gt;0,"tied","standalone"),"")</f>
        <v/>
      </c>
    </row>
    <row r="6228" spans="1:14">
      <c r="A6228" s="6">
        <v>2025</v>
      </c>
      <c r="B6228" s="6">
        <v>8</v>
      </c>
      <c r="C6228" s="6" t="s">
        <v>67</v>
      </c>
      <c r="D6228" s="6" t="s">
        <v>550</v>
      </c>
      <c r="E6228" s="6" t="s">
        <v>438</v>
      </c>
      <c r="F6228" s="6" t="str">
        <f>IF($M6228="PADD I","PADD 1",IF($M6228="PADD II","PADD 2",IF($M6228="PADD III","PADD 3",IF($M6228="PADD IV","PADD 4",IF($M6228="PADD V","PADD 5","")))))</f>
        <v>PADD 2</v>
      </c>
      <c r="G6228" s="6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6" t="s">
        <v>428</v>
      </c>
      <c r="I6228" s="6" t="s">
        <v>481</v>
      </c>
      <c r="J6228" s="6" t="s">
        <v>398</v>
      </c>
      <c r="K6228" s="10">
        <v>32</v>
      </c>
      <c r="L6228" s="10">
        <v>32</v>
      </c>
      <c r="M6228" s="6" t="s">
        <v>425</v>
      </c>
      <c r="N6228" s="6">
        <f>IF(OR($G6228="FCC",$G6228="Hydrocracker",$G6228="Reformer"),IF(COUNTIFS($D:$D,$D6228,$A:$A,$A6228,$B:$B,$B6228,$G:$G,"CDU",$J:$J,"PLANNED")&gt;0,"tied","standalone"),"")</f>
        <v/>
      </c>
    </row>
    <row r="6229" spans="1:14">
      <c r="A6229" s="6">
        <v>2025</v>
      </c>
      <c r="B6229" s="6">
        <v>8</v>
      </c>
      <c r="C6229" s="6" t="s">
        <v>67</v>
      </c>
      <c r="D6229" s="6" t="s">
        <v>375</v>
      </c>
      <c r="E6229" s="6" t="s">
        <v>435</v>
      </c>
      <c r="F6229" s="6" t="str">
        <f>IF($M6229="PADD I","PADD 1",IF($M6229="PADD II","PADD 2",IF($M6229="PADD III","PADD 3",IF($M6229="PADD IV","PADD 4",IF($M6229="PADD V","PADD 5","")))))</f>
        <v>PADD 5</v>
      </c>
      <c r="G6229" s="6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6" t="s">
        <v>428</v>
      </c>
      <c r="I6229" s="6" t="s">
        <v>481</v>
      </c>
      <c r="J6229" s="6" t="s">
        <v>394</v>
      </c>
      <c r="K6229" s="10">
        <v>31.5</v>
      </c>
      <c r="L6229" s="10">
        <v>31.5</v>
      </c>
      <c r="M6229" s="6" t="s">
        <v>436</v>
      </c>
      <c r="N6229" s="6">
        <f>IF(OR($G6229="FCC",$G6229="Hydrocracker",$G6229="Reformer"),IF(COUNTIFS($D:$D,$D6229,$A:$A,$A6229,$B:$B,$B6229,$G:$G,"CDU",$J:$J,"PLANNED")&gt;0,"tied","standalone"),"")</f>
        <v/>
      </c>
    </row>
    <row r="6230" spans="1:14">
      <c r="A6230" s="6">
        <v>2025</v>
      </c>
      <c r="B6230" s="6">
        <v>8</v>
      </c>
      <c r="C6230" s="6" t="s">
        <v>67</v>
      </c>
      <c r="D6230" s="6" t="s">
        <v>592</v>
      </c>
      <c r="E6230" s="6" t="s">
        <v>593</v>
      </c>
      <c r="F6230" s="6" t="str">
        <f>IF($M6230="PADD I","PADD 1",IF($M6230="PADD II","PADD 2",IF($M6230="PADD III","PADD 3",IF($M6230="PADD IV","PADD 4",IF($M6230="PADD V","PADD 5","")))))</f>
        <v>PADD 2</v>
      </c>
      <c r="G6230" s="6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6" t="s">
        <v>39</v>
      </c>
      <c r="I6230" s="6" t="s">
        <v>740</v>
      </c>
      <c r="J6230" s="6" t="s">
        <v>394</v>
      </c>
      <c r="K6230" s="10">
        <v>28.8</v>
      </c>
      <c r="L6230" s="10">
        <v>90</v>
      </c>
      <c r="M6230" s="6" t="s">
        <v>425</v>
      </c>
      <c r="N6230" s="6">
        <f>IF(OR($G6230="FCC",$G6230="Hydrocracker",$G6230="Reformer"),IF(COUNTIFS($D:$D,$D6230,$A:$A,$A6230,$B:$B,$B6230,$G:$G,"CDU",$J:$J,"PLANNED")&gt;0,"tied","standalone"),"")</f>
        <v/>
      </c>
    </row>
    <row r="6231" spans="1:14">
      <c r="A6231" s="6">
        <v>2025</v>
      </c>
      <c r="B6231" s="6">
        <v>8</v>
      </c>
      <c r="C6231" s="6" t="s">
        <v>67</v>
      </c>
      <c r="D6231" s="6" t="s">
        <v>592</v>
      </c>
      <c r="E6231" s="6" t="s">
        <v>593</v>
      </c>
      <c r="F6231" s="6" t="str">
        <f>IF($M6231="PADD I","PADD 1",IF($M6231="PADD II","PADD 2",IF($M6231="PADD III","PADD 3",IF($M6231="PADD IV","PADD 4",IF($M6231="PADD V","PADD 5","")))))</f>
        <v>PADD 2</v>
      </c>
      <c r="G6231" s="6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6" t="s">
        <v>39</v>
      </c>
      <c r="I6231" s="6" t="s">
        <v>1165</v>
      </c>
      <c r="J6231" s="6" t="s">
        <v>394</v>
      </c>
      <c r="K6231" s="10">
        <v>28.8</v>
      </c>
      <c r="L6231" s="10">
        <v>90</v>
      </c>
      <c r="M6231" s="6" t="s">
        <v>425</v>
      </c>
      <c r="N6231" s="6">
        <f>IF(OR($G6231="FCC",$G6231="Hydrocracker",$G6231="Reformer"),IF(COUNTIFS($D:$D,$D6231,$A:$A,$A6231,$B:$B,$B6231,$G:$G,"CDU",$J:$J,"PLANNED")&gt;0,"tied","standalone"),"")</f>
        <v/>
      </c>
    </row>
    <row r="6232" spans="1:14">
      <c r="A6232" s="6">
        <v>2025</v>
      </c>
      <c r="B6232" s="6">
        <v>8</v>
      </c>
      <c r="C6232" s="6" t="s">
        <v>67</v>
      </c>
      <c r="D6232" s="6" t="s">
        <v>540</v>
      </c>
      <c r="E6232" s="6" t="s">
        <v>541</v>
      </c>
      <c r="F6232" s="6" t="str">
        <f>IF($M6232="PADD I","PADD 1",IF($M6232="PADD II","PADD 2",IF($M6232="PADD III","PADD 3",IF($M6232="PADD IV","PADD 4",IF($M6232="PADD V","PADD 5","")))))</f>
        <v>PADD 3</v>
      </c>
      <c r="G6232" s="6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6" t="s">
        <v>426</v>
      </c>
      <c r="I6232" s="6" t="s">
        <v>522</v>
      </c>
      <c r="J6232" s="6" t="s">
        <v>394</v>
      </c>
      <c r="K6232" s="10">
        <v>28.16</v>
      </c>
      <c r="L6232" s="10">
        <v>88</v>
      </c>
      <c r="M6232" s="6" t="s">
        <v>421</v>
      </c>
      <c r="N6232" s="6" t="str">
        <f>IF(OR($G6232="FCC",$G6232="Hydrocracker",$G6232="Reformer"),IF(COUNTIFS($D:$D,$D6232,$A:$A,$A6232,$B:$B,$B6232,$G:$G,"CDU",$J:$J,"PLANNED")&gt;0,"tied","standalone"),"")</f>
        <v>standalone</v>
      </c>
    </row>
    <row r="6233" spans="1:14">
      <c r="A6233" s="6">
        <v>2025</v>
      </c>
      <c r="B6233" s="6">
        <v>8</v>
      </c>
      <c r="C6233" s="6" t="s">
        <v>67</v>
      </c>
      <c r="D6233" s="6" t="s">
        <v>561</v>
      </c>
      <c r="E6233" s="6" t="s">
        <v>455</v>
      </c>
      <c r="F6233" s="6" t="str">
        <f>IF($M6233="PADD I","PADD 1",IF($M6233="PADD II","PADD 2",IF($M6233="PADD III","PADD 3",IF($M6233="PADD IV","PADD 4",IF($M6233="PADD V","PADD 5","")))))</f>
        <v>PADD 3</v>
      </c>
      <c r="G6233" s="6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6" t="s">
        <v>44</v>
      </c>
      <c r="I6233" s="6" t="s">
        <v>705</v>
      </c>
      <c r="J6233" s="6" t="s">
        <v>398</v>
      </c>
      <c r="K6233" s="10">
        <v>27.5</v>
      </c>
      <c r="L6233" s="10">
        <v>50</v>
      </c>
      <c r="M6233" s="6" t="s">
        <v>421</v>
      </c>
      <c r="N6233" s="6">
        <f>IF(OR($G6233="FCC",$G6233="Hydrocracker",$G6233="Reformer"),IF(COUNTIFS($D:$D,$D6233,$A:$A,$A6233,$B:$B,$B6233,$G:$G,"CDU",$J:$J,"PLANNED")&gt;0,"tied","standalone"),"")</f>
        <v/>
      </c>
    </row>
    <row r="6234" spans="1:14">
      <c r="A6234" s="6">
        <v>2025</v>
      </c>
      <c r="B6234" s="6">
        <v>8</v>
      </c>
      <c r="C6234" s="6" t="s">
        <v>67</v>
      </c>
      <c r="D6234" s="6" t="s">
        <v>561</v>
      </c>
      <c r="E6234" s="6" t="s">
        <v>455</v>
      </c>
      <c r="F6234" s="6" t="str">
        <f>IF($M6234="PADD I","PADD 1",IF($M6234="PADD II","PADD 2",IF($M6234="PADD III","PADD 3",IF($M6234="PADD IV","PADD 4",IF($M6234="PADD V","PADD 5","")))))</f>
        <v>PADD 3</v>
      </c>
      <c r="G6234" s="6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6" t="s">
        <v>494</v>
      </c>
      <c r="I6234" s="6" t="s">
        <v>14</v>
      </c>
      <c r="J6234" s="6" t="s">
        <v>398</v>
      </c>
      <c r="K6234" s="10">
        <v>27.5</v>
      </c>
      <c r="L6234" s="10">
        <v>50</v>
      </c>
      <c r="M6234" s="6" t="s">
        <v>421</v>
      </c>
      <c r="N6234" s="6" t="str">
        <f>IF(OR($G6234="FCC",$G6234="Hydrocracker",$G6234="Reformer"),IF(COUNTIFS($D:$D,$D6234,$A:$A,$A6234,$B:$B,$B6234,$G:$G,"CDU",$J:$J,"PLANNED")&gt;0,"tied","standalone"),"")</f>
        <v>standalone</v>
      </c>
    </row>
    <row r="6235" spans="1:14">
      <c r="A6235" s="6">
        <v>2025</v>
      </c>
      <c r="B6235" s="6">
        <v>8</v>
      </c>
      <c r="C6235" s="6" t="s">
        <v>67</v>
      </c>
      <c r="D6235" s="6" t="s">
        <v>368</v>
      </c>
      <c r="E6235" s="6" t="s">
        <v>715</v>
      </c>
      <c r="F6235" s="6" t="str">
        <f>IF($M6235="PADD I","PADD 1",IF($M6235="PADD II","PADD 2",IF($M6235="PADD III","PADD 3",IF($M6235="PADD IV","PADD 4",IF($M6235="PADD V","PADD 5","")))))</f>
        <v>PADD 3</v>
      </c>
      <c r="G6235" s="6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6" t="s">
        <v>44</v>
      </c>
      <c r="I6235" s="6" t="s">
        <v>933</v>
      </c>
      <c r="J6235" s="6" t="s">
        <v>398</v>
      </c>
      <c r="K6235" s="10">
        <v>27.5</v>
      </c>
      <c r="L6235" s="10">
        <v>50</v>
      </c>
      <c r="M6235" s="6" t="s">
        <v>421</v>
      </c>
      <c r="N6235" s="6">
        <f>IF(OR($G6235="FCC",$G6235="Hydrocracker",$G6235="Reformer"),IF(COUNTIFS($D:$D,$D6235,$A:$A,$A6235,$B:$B,$B6235,$G:$G,"CDU",$J:$J,"PLANNED")&gt;0,"tied","standalone"),"")</f>
        <v/>
      </c>
    </row>
    <row r="6236" spans="1:14">
      <c r="A6236" s="6">
        <v>2025</v>
      </c>
      <c r="B6236" s="6">
        <v>8</v>
      </c>
      <c r="C6236" s="6" t="s">
        <v>67</v>
      </c>
      <c r="D6236" s="6" t="s">
        <v>550</v>
      </c>
      <c r="E6236" s="6" t="s">
        <v>438</v>
      </c>
      <c r="F6236" s="6" t="str">
        <f>IF($M6236="PADD I","PADD 1",IF($M6236="PADD II","PADD 2",IF($M6236="PADD III","PADD 3",IF($M6236="PADD IV","PADD 4",IF($M6236="PADD V","PADD 5","")))))</f>
        <v>PADD 2</v>
      </c>
      <c r="G6236" s="6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6" t="s">
        <v>426</v>
      </c>
      <c r="I6236" s="6" t="s">
        <v>106</v>
      </c>
      <c r="J6236" s="6" t="s">
        <v>398</v>
      </c>
      <c r="K6236" s="10">
        <v>26</v>
      </c>
      <c r="L6236" s="10">
        <v>26</v>
      </c>
      <c r="M6236" s="6" t="s">
        <v>425</v>
      </c>
      <c r="N6236" s="6" t="str">
        <f>IF(OR($G6236="FCC",$G6236="Hydrocracker",$G6236="Reformer"),IF(COUNTIFS($D:$D,$D6236,$A:$A,$A6236,$B:$B,$B6236,$G:$G,"CDU",$J:$J,"PLANNED")&gt;0,"tied","standalone"),"")</f>
        <v>tied</v>
      </c>
    </row>
    <row r="6237" spans="1:14">
      <c r="A6237" s="6">
        <v>2025</v>
      </c>
      <c r="B6237" s="6">
        <v>8</v>
      </c>
      <c r="C6237" s="6" t="s">
        <v>67</v>
      </c>
      <c r="D6237" s="6" t="s">
        <v>550</v>
      </c>
      <c r="E6237" s="6" t="s">
        <v>438</v>
      </c>
      <c r="F6237" s="6" t="str">
        <f>IF($M6237="PADD I","PADD 1",IF($M6237="PADD II","PADD 2",IF($M6237="PADD III","PADD 3",IF($M6237="PADD IV","PADD 4",IF($M6237="PADD V","PADD 5","")))))</f>
        <v>PADD 2</v>
      </c>
      <c r="G6237" s="6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6" t="s">
        <v>44</v>
      </c>
      <c r="I6237" s="6" t="s">
        <v>968</v>
      </c>
      <c r="J6237" s="6" t="s">
        <v>398</v>
      </c>
      <c r="K6237" s="10">
        <v>25</v>
      </c>
      <c r="L6237" s="10">
        <v>25</v>
      </c>
      <c r="M6237" s="6" t="s">
        <v>425</v>
      </c>
      <c r="N6237" s="6">
        <f>IF(OR($G6237="FCC",$G6237="Hydrocracker",$G6237="Reformer"),IF(COUNTIFS($D:$D,$D6237,$A:$A,$A6237,$B:$B,$B6237,$G:$G,"CDU",$J:$J,"PLANNED")&gt;0,"tied","standalone"),"")</f>
        <v/>
      </c>
    </row>
    <row r="6238" spans="1:14">
      <c r="A6238" s="6">
        <v>2025</v>
      </c>
      <c r="B6238" s="6">
        <v>8</v>
      </c>
      <c r="C6238" s="6" t="s">
        <v>67</v>
      </c>
      <c r="D6238" s="6" t="s">
        <v>550</v>
      </c>
      <c r="E6238" s="6" t="s">
        <v>438</v>
      </c>
      <c r="F6238" s="6" t="str">
        <f>IF($M6238="PADD I","PADD 1",IF($M6238="PADD II","PADD 2",IF($M6238="PADD III","PADD 3",IF($M6238="PADD IV","PADD 4",IF($M6238="PADD V","PADD 5","")))))</f>
        <v>PADD 2</v>
      </c>
      <c r="G6238" s="6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6" t="s">
        <v>39</v>
      </c>
      <c r="I6238" s="6" t="s">
        <v>967</v>
      </c>
      <c r="J6238" s="6" t="s">
        <v>398</v>
      </c>
      <c r="K6238" s="10">
        <v>25</v>
      </c>
      <c r="L6238" s="10">
        <v>25</v>
      </c>
      <c r="M6238" s="6" t="s">
        <v>425</v>
      </c>
      <c r="N6238" s="6">
        <f>IF(OR($G6238="FCC",$G6238="Hydrocracker",$G6238="Reformer"),IF(COUNTIFS($D:$D,$D6238,$A:$A,$A6238,$B:$B,$B6238,$G:$G,"CDU",$J:$J,"PLANNED")&gt;0,"tied","standalone"),"")</f>
        <v/>
      </c>
    </row>
    <row r="6239" spans="1:14">
      <c r="A6239" s="6">
        <v>2025</v>
      </c>
      <c r="B6239" s="6">
        <v>8</v>
      </c>
      <c r="C6239" s="6" t="s">
        <v>67</v>
      </c>
      <c r="D6239" s="6" t="s">
        <v>534</v>
      </c>
      <c r="E6239" s="6" t="s">
        <v>459</v>
      </c>
      <c r="F6239" s="6" t="str">
        <f>IF($M6239="PADD I","PADD 1",IF($M6239="PADD II","PADD 2",IF($M6239="PADD III","PADD 3",IF($M6239="PADD IV","PADD 4",IF($M6239="PADD V","PADD 5","")))))</f>
        <v>PADD 3</v>
      </c>
      <c r="G6239" s="6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6" t="s">
        <v>44</v>
      </c>
      <c r="I6239" s="6" t="s">
        <v>551</v>
      </c>
      <c r="J6239" s="6" t="s">
        <v>394</v>
      </c>
      <c r="K6239" s="10">
        <v>23.66</v>
      </c>
      <c r="L6239" s="10">
        <v>45.5</v>
      </c>
      <c r="M6239" s="6" t="s">
        <v>421</v>
      </c>
      <c r="N6239" s="6">
        <f>IF(OR($G6239="FCC",$G6239="Hydrocracker",$G6239="Reformer"),IF(COUNTIFS($D:$D,$D6239,$A:$A,$A6239,$B:$B,$B6239,$G:$G,"CDU",$J:$J,"PLANNED")&gt;0,"tied","standalone"),"")</f>
        <v/>
      </c>
    </row>
    <row r="6240" spans="1:14">
      <c r="A6240" s="6">
        <v>2025</v>
      </c>
      <c r="B6240" s="6">
        <v>8</v>
      </c>
      <c r="C6240" s="6" t="s">
        <v>67</v>
      </c>
      <c r="D6240" s="6" t="s">
        <v>458</v>
      </c>
      <c r="E6240" s="6" t="s">
        <v>459</v>
      </c>
      <c r="F6240" s="6" t="str">
        <f>IF($M6240="PADD I","PADD 1",IF($M6240="PADD II","PADD 2",IF($M6240="PADD III","PADD 3",IF($M6240="PADD IV","PADD 4",IF($M6240="PADD V","PADD 5","")))))</f>
        <v>PADD 3</v>
      </c>
      <c r="G6240" s="6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6" t="s">
        <v>44</v>
      </c>
      <c r="I6240" s="6" t="s">
        <v>528</v>
      </c>
      <c r="J6240" s="6" t="s">
        <v>398</v>
      </c>
      <c r="K6240" s="10">
        <v>23.1</v>
      </c>
      <c r="L6240" s="10">
        <v>42</v>
      </c>
      <c r="M6240" s="6" t="s">
        <v>421</v>
      </c>
      <c r="N6240" s="6">
        <f>IF(OR($G6240="FCC",$G6240="Hydrocracker",$G6240="Reformer"),IF(COUNTIFS($D:$D,$D6240,$A:$A,$A6240,$B:$B,$B6240,$G:$G,"CDU",$J:$J,"PLANNED")&gt;0,"tied","standalone"),"")</f>
        <v/>
      </c>
    </row>
    <row r="6241" spans="1:14">
      <c r="A6241" s="6">
        <v>2025</v>
      </c>
      <c r="B6241" s="6">
        <v>8</v>
      </c>
      <c r="C6241" s="6" t="s">
        <v>67</v>
      </c>
      <c r="D6241" s="6" t="s">
        <v>764</v>
      </c>
      <c r="E6241" s="6" t="s">
        <v>455</v>
      </c>
      <c r="F6241" s="6" t="str">
        <f>IF($M6241="PADD I","PADD 1",IF($M6241="PADD II","PADD 2",IF($M6241="PADD III","PADD 3",IF($M6241="PADD IV","PADD 4",IF($M6241="PADD V","PADD 5","")))))</f>
        <v>PADD 3</v>
      </c>
      <c r="G6241" s="6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6" t="s">
        <v>494</v>
      </c>
      <c r="I6241" s="6" t="s">
        <v>14</v>
      </c>
      <c r="J6241" s="6" t="s">
        <v>394</v>
      </c>
      <c r="K6241" s="10">
        <v>20.06</v>
      </c>
      <c r="L6241" s="10">
        <v>29.5</v>
      </c>
      <c r="M6241" s="6" t="s">
        <v>421</v>
      </c>
      <c r="N6241" s="6" t="str">
        <f>IF(OR($G6241="FCC",$G6241="Hydrocracker",$G6241="Reformer"),IF(COUNTIFS($D:$D,$D6241,$A:$A,$A6241,$B:$B,$B6241,$G:$G,"CDU",$J:$J,"PLANNED")&gt;0,"tied","standalone"),"")</f>
        <v>standalone</v>
      </c>
    </row>
    <row r="6242" spans="1:14">
      <c r="A6242" s="6">
        <v>2025</v>
      </c>
      <c r="B6242" s="6">
        <v>8</v>
      </c>
      <c r="C6242" s="6" t="s">
        <v>67</v>
      </c>
      <c r="D6242" s="6" t="s">
        <v>550</v>
      </c>
      <c r="E6242" s="6" t="s">
        <v>438</v>
      </c>
      <c r="F6242" s="6" t="str">
        <f>IF($M6242="PADD I","PADD 1",IF($M6242="PADD II","PADD 2",IF($M6242="PADD III","PADD 3",IF($M6242="PADD IV","PADD 4",IF($M6242="PADD V","PADD 5","")))))</f>
        <v>PADD 2</v>
      </c>
      <c r="G6242" s="6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6" t="s">
        <v>44</v>
      </c>
      <c r="I6242" s="6" t="s">
        <v>971</v>
      </c>
      <c r="J6242" s="6" t="s">
        <v>398</v>
      </c>
      <c r="K6242" s="10">
        <v>20</v>
      </c>
      <c r="L6242" s="10">
        <v>20</v>
      </c>
      <c r="M6242" s="6" t="s">
        <v>425</v>
      </c>
      <c r="N6242" s="6">
        <f>IF(OR($G6242="FCC",$G6242="Hydrocracker",$G6242="Reformer"),IF(COUNTIFS($D:$D,$D6242,$A:$A,$A6242,$B:$B,$B6242,$G:$G,"CDU",$J:$J,"PLANNED")&gt;0,"tied","standalone"),"")</f>
        <v/>
      </c>
    </row>
    <row r="6243" spans="1:14">
      <c r="A6243" s="6">
        <v>2025</v>
      </c>
      <c r="B6243" s="6">
        <v>8</v>
      </c>
      <c r="C6243" s="6" t="s">
        <v>67</v>
      </c>
      <c r="D6243" s="6" t="s">
        <v>550</v>
      </c>
      <c r="E6243" s="6" t="s">
        <v>438</v>
      </c>
      <c r="F6243" s="6" t="str">
        <f>IF($M6243="PADD I","PADD 1",IF($M6243="PADD II","PADD 2",IF($M6243="PADD III","PADD 3",IF($M6243="PADD IV","PADD 4",IF($M6243="PADD V","PADD 5","")))))</f>
        <v>PADD 2</v>
      </c>
      <c r="G6243" s="6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6" t="s">
        <v>44</v>
      </c>
      <c r="I6243" s="6" t="s">
        <v>551</v>
      </c>
      <c r="J6243" s="6" t="s">
        <v>398</v>
      </c>
      <c r="K6243" s="10">
        <v>20</v>
      </c>
      <c r="L6243" s="10">
        <v>20</v>
      </c>
      <c r="M6243" s="6" t="s">
        <v>425</v>
      </c>
      <c r="N6243" s="6">
        <f>IF(OR($G6243="FCC",$G6243="Hydrocracker",$G6243="Reformer"),IF(COUNTIFS($D:$D,$D6243,$A:$A,$A6243,$B:$B,$B6243,$G:$G,"CDU",$J:$J,"PLANNED")&gt;0,"tied","standalone"),"")</f>
        <v/>
      </c>
    </row>
    <row r="6244" spans="1:14">
      <c r="A6244" s="6">
        <v>2025</v>
      </c>
      <c r="B6244" s="6">
        <v>8</v>
      </c>
      <c r="C6244" s="6" t="s">
        <v>67</v>
      </c>
      <c r="D6244" s="6" t="s">
        <v>550</v>
      </c>
      <c r="E6244" s="6" t="s">
        <v>438</v>
      </c>
      <c r="F6244" s="6" t="str">
        <f>IF($M6244="PADD I","PADD 1",IF($M6244="PADD II","PADD 2",IF($M6244="PADD III","PADD 3",IF($M6244="PADD IV","PADD 4",IF($M6244="PADD V","PADD 5","")))))</f>
        <v>PADD 2</v>
      </c>
      <c r="G6244" s="6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6" t="s">
        <v>44</v>
      </c>
      <c r="I6244" s="6" t="s">
        <v>570</v>
      </c>
      <c r="J6244" s="6" t="s">
        <v>398</v>
      </c>
      <c r="K6244" s="10">
        <v>20</v>
      </c>
      <c r="L6244" s="10">
        <v>20</v>
      </c>
      <c r="M6244" s="6" t="s">
        <v>425</v>
      </c>
      <c r="N6244" s="6">
        <f>IF(OR($G6244="FCC",$G6244="Hydrocracker",$G6244="Reformer"),IF(COUNTIFS($D:$D,$D6244,$A:$A,$A6244,$B:$B,$B6244,$G:$G,"CDU",$J:$J,"PLANNED")&gt;0,"tied","standalone"),"")</f>
        <v/>
      </c>
    </row>
    <row r="6245" spans="1:14">
      <c r="A6245" s="6">
        <v>2025</v>
      </c>
      <c r="B6245" s="6">
        <v>8</v>
      </c>
      <c r="C6245" s="6" t="s">
        <v>67</v>
      </c>
      <c r="D6245" s="6" t="s">
        <v>550</v>
      </c>
      <c r="E6245" s="6" t="s">
        <v>438</v>
      </c>
      <c r="F6245" s="6" t="str">
        <f>IF($M6245="PADD I","PADD 1",IF($M6245="PADD II","PADD 2",IF($M6245="PADD III","PADD 3",IF($M6245="PADD IV","PADD 4",IF($M6245="PADD V","PADD 5","")))))</f>
        <v>PADD 2</v>
      </c>
      <c r="G6245" s="6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6" t="s">
        <v>471</v>
      </c>
      <c r="I6245" s="6" t="s">
        <v>589</v>
      </c>
      <c r="J6245" s="6" t="s">
        <v>398</v>
      </c>
      <c r="K6245" s="10">
        <v>19</v>
      </c>
      <c r="L6245" s="10">
        <v>19</v>
      </c>
      <c r="M6245" s="6" t="s">
        <v>425</v>
      </c>
      <c r="N6245" s="6" t="str">
        <f>IF(OR($G6245="FCC",$G6245="Hydrocracker",$G6245="Reformer"),IF(COUNTIFS($D:$D,$D6245,$A:$A,$A6245,$B:$B,$B6245,$G:$G,"CDU",$J:$J,"PLANNED")&gt;0,"tied","standalone"),"")</f>
        <v>tied</v>
      </c>
    </row>
    <row r="6246" spans="1:14">
      <c r="A6246" s="6">
        <v>2025</v>
      </c>
      <c r="B6246" s="6">
        <v>8</v>
      </c>
      <c r="C6246" s="6" t="s">
        <v>67</v>
      </c>
      <c r="D6246" s="6" t="s">
        <v>597</v>
      </c>
      <c r="E6246" s="6" t="s">
        <v>441</v>
      </c>
      <c r="F6246" s="6" t="str">
        <f>IF($M6246="PADD I","PADD 1",IF($M6246="PADD II","PADD 2",IF($M6246="PADD III","PADD 3",IF($M6246="PADD IV","PADD 4",IF($M6246="PADD V","PADD 5","")))))</f>
        <v>PADD 5</v>
      </c>
      <c r="G6246" s="6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6" t="s">
        <v>44</v>
      </c>
      <c r="I6246" s="6" t="s">
        <v>976</v>
      </c>
      <c r="J6246" s="6" t="s">
        <v>398</v>
      </c>
      <c r="K6246" s="10">
        <v>18.4</v>
      </c>
      <c r="L6246" s="10">
        <v>80</v>
      </c>
      <c r="M6246" s="6" t="s">
        <v>436</v>
      </c>
      <c r="N6246" s="6">
        <f>IF(OR($G6246="FCC",$G6246="Hydrocracker",$G6246="Reformer"),IF(COUNTIFS($D:$D,$D6246,$A:$A,$A6246,$B:$B,$B6246,$G:$G,"CDU",$J:$J,"PLANNED")&gt;0,"tied","standalone"),"")</f>
        <v/>
      </c>
    </row>
    <row r="6247" spans="1:14">
      <c r="A6247" s="6">
        <v>2025</v>
      </c>
      <c r="B6247" s="6">
        <v>8</v>
      </c>
      <c r="C6247" s="6" t="s">
        <v>67</v>
      </c>
      <c r="D6247" s="6" t="s">
        <v>458</v>
      </c>
      <c r="E6247" s="6" t="s">
        <v>459</v>
      </c>
      <c r="F6247" s="6" t="str">
        <f>IF($M6247="PADD I","PADD 1",IF($M6247="PADD II","PADD 2",IF($M6247="PADD III","PADD 3",IF($M6247="PADD IV","PADD 4",IF($M6247="PADD V","PADD 5","")))))</f>
        <v>PADD 3</v>
      </c>
      <c r="G6247" s="6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6" t="s">
        <v>471</v>
      </c>
      <c r="I6247" s="6" t="s">
        <v>583</v>
      </c>
      <c r="J6247" s="6" t="s">
        <v>398</v>
      </c>
      <c r="K6247" s="10">
        <v>18.2</v>
      </c>
      <c r="L6247" s="10">
        <v>35</v>
      </c>
      <c r="M6247" s="6" t="s">
        <v>421</v>
      </c>
      <c r="N6247" s="6" t="str">
        <f>IF(OR($G6247="FCC",$G6247="Hydrocracker",$G6247="Reformer"),IF(COUNTIFS($D:$D,$D6247,$A:$A,$A6247,$B:$B,$B6247,$G:$G,"CDU",$J:$J,"PLANNED")&gt;0,"tied","standalone"),"")</f>
        <v>standalone</v>
      </c>
    </row>
    <row r="6248" spans="1:14">
      <c r="A6248" s="6">
        <v>2025</v>
      </c>
      <c r="B6248" s="6">
        <v>8</v>
      </c>
      <c r="C6248" s="6" t="s">
        <v>67</v>
      </c>
      <c r="D6248" s="6" t="s">
        <v>465</v>
      </c>
      <c r="E6248" s="6" t="s">
        <v>466</v>
      </c>
      <c r="F6248" s="6" t="str">
        <f>IF($M6248="PADD I","PADD 1",IF($M6248="PADD II","PADD 2",IF($M6248="PADD III","PADD 3",IF($M6248="PADD IV","PADD 4",IF($M6248="PADD V","PADD 5","")))))</f>
        <v>PADD 3</v>
      </c>
      <c r="G6248" s="6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6" t="s">
        <v>428</v>
      </c>
      <c r="I6248" s="6" t="s">
        <v>1112</v>
      </c>
      <c r="J6248" s="6" t="s">
        <v>394</v>
      </c>
      <c r="K6248" s="10">
        <v>18.2</v>
      </c>
      <c r="L6248" s="10">
        <v>140</v>
      </c>
      <c r="M6248" s="6" t="s">
        <v>421</v>
      </c>
      <c r="N6248" s="6">
        <f>IF(OR($G6248="FCC",$G6248="Hydrocracker",$G6248="Reformer"),IF(COUNTIFS($D:$D,$D6248,$A:$A,$A6248,$B:$B,$B6248,$G:$G,"CDU",$J:$J,"PLANNED")&gt;0,"tied","standalone"),"")</f>
        <v/>
      </c>
    </row>
    <row r="6249" spans="1:14">
      <c r="A6249" s="6">
        <v>2025</v>
      </c>
      <c r="B6249" s="6">
        <v>8</v>
      </c>
      <c r="C6249" s="6" t="s">
        <v>67</v>
      </c>
      <c r="D6249" s="6" t="s">
        <v>375</v>
      </c>
      <c r="E6249" s="6" t="s">
        <v>435</v>
      </c>
      <c r="F6249" s="6" t="str">
        <f>IF($M6249="PADD I","PADD 1",IF($M6249="PADD II","PADD 2",IF($M6249="PADD III","PADD 3",IF($M6249="PADD IV","PADD 4",IF($M6249="PADD V","PADD 5","")))))</f>
        <v>PADD 5</v>
      </c>
      <c r="G6249" s="6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6" t="s">
        <v>44</v>
      </c>
      <c r="I6249" s="6" t="s">
        <v>1224</v>
      </c>
      <c r="J6249" s="6" t="s">
        <v>394</v>
      </c>
      <c r="K6249" s="10">
        <v>17.57</v>
      </c>
      <c r="L6249" s="10">
        <v>17.57</v>
      </c>
      <c r="M6249" s="6" t="s">
        <v>436</v>
      </c>
      <c r="N6249" s="6">
        <f>IF(OR($G6249="FCC",$G6249="Hydrocracker",$G6249="Reformer"),IF(COUNTIFS($D:$D,$D6249,$A:$A,$A6249,$B:$B,$B6249,$G:$G,"CDU",$J:$J,"PLANNED")&gt;0,"tied","standalone"),"")</f>
        <v/>
      </c>
    </row>
    <row r="6250" spans="1:14">
      <c r="A6250" s="6">
        <v>2025</v>
      </c>
      <c r="B6250" s="6">
        <v>8</v>
      </c>
      <c r="C6250" s="6" t="s">
        <v>67</v>
      </c>
      <c r="D6250" s="6" t="s">
        <v>437</v>
      </c>
      <c r="E6250" s="6" t="s">
        <v>438</v>
      </c>
      <c r="F6250" s="6" t="str">
        <f>IF($M6250="PADD I","PADD 1",IF($M6250="PADD II","PADD 2",IF($M6250="PADD III","PADD 3",IF($M6250="PADD IV","PADD 4",IF($M6250="PADD V","PADD 5","")))))</f>
        <v>PADD 3</v>
      </c>
      <c r="G6250" s="6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6" t="s">
        <v>631</v>
      </c>
      <c r="I6250" s="6" t="s">
        <v>918</v>
      </c>
      <c r="J6250" s="6" t="s">
        <v>394</v>
      </c>
      <c r="K6250" s="10">
        <v>16</v>
      </c>
      <c r="L6250" s="10">
        <v>16</v>
      </c>
      <c r="M6250" s="6" t="s">
        <v>421</v>
      </c>
      <c r="N6250" s="6" t="str">
        <f>IF(OR($G6250="FCC",$G6250="Hydrocracker",$G6250="Reformer"),IF(COUNTIFS($D:$D,$D6250,$A:$A,$A6250,$B:$B,$B6250,$G:$G,"CDU",$J:$J,"PLANNED")&gt;0,"tied","standalone"),"")</f>
        <v>standalone</v>
      </c>
    </row>
    <row r="6251" spans="1:14">
      <c r="A6251" s="6">
        <v>2025</v>
      </c>
      <c r="B6251" s="6">
        <v>8</v>
      </c>
      <c r="C6251" s="6" t="s">
        <v>67</v>
      </c>
      <c r="D6251" s="6" t="s">
        <v>550</v>
      </c>
      <c r="E6251" s="6" t="s">
        <v>438</v>
      </c>
      <c r="F6251" s="6" t="str">
        <f>IF($M6251="PADD I","PADD 1",IF($M6251="PADD II","PADD 2",IF($M6251="PADD III","PADD 3",IF($M6251="PADD IV","PADD 4",IF($M6251="PADD V","PADD 5","")))))</f>
        <v>PADD 2</v>
      </c>
      <c r="G6251" s="6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6" t="s">
        <v>44</v>
      </c>
      <c r="I6251" s="6" t="s">
        <v>974</v>
      </c>
      <c r="J6251" s="6" t="s">
        <v>398</v>
      </c>
      <c r="K6251" s="10">
        <v>15</v>
      </c>
      <c r="L6251" s="10">
        <v>15</v>
      </c>
      <c r="M6251" s="6" t="s">
        <v>425</v>
      </c>
      <c r="N6251" s="6">
        <f>IF(OR($G6251="FCC",$G6251="Hydrocracker",$G6251="Reformer"),IF(COUNTIFS($D:$D,$D6251,$A:$A,$A6251,$B:$B,$B6251,$G:$G,"CDU",$J:$J,"PLANNED")&gt;0,"tied","standalone"),"")</f>
        <v/>
      </c>
    </row>
    <row r="6252" spans="1:14">
      <c r="A6252" s="6">
        <v>2025</v>
      </c>
      <c r="B6252" s="6">
        <v>8</v>
      </c>
      <c r="C6252" s="6" t="s">
        <v>67</v>
      </c>
      <c r="D6252" s="6" t="s">
        <v>561</v>
      </c>
      <c r="E6252" s="6" t="s">
        <v>455</v>
      </c>
      <c r="F6252" s="6" t="str">
        <f>IF($M6252="PADD I","PADD 1",IF($M6252="PADD II","PADD 2",IF($M6252="PADD III","PADD 3",IF($M6252="PADD IV","PADD 4",IF($M6252="PADD V","PADD 5","")))))</f>
        <v>PADD 3</v>
      </c>
      <c r="G6252" s="6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6" t="s">
        <v>39</v>
      </c>
      <c r="I6252" s="6" t="s">
        <v>113</v>
      </c>
      <c r="J6252" s="6" t="s">
        <v>394</v>
      </c>
      <c r="K6252" s="10">
        <v>14.95</v>
      </c>
      <c r="L6252" s="10">
        <v>115</v>
      </c>
      <c r="M6252" s="6" t="s">
        <v>421</v>
      </c>
      <c r="N6252" s="6">
        <f>IF(OR($G6252="FCC",$G6252="Hydrocracker",$G6252="Reformer"),IF(COUNTIFS($D:$D,$D6252,$A:$A,$A6252,$B:$B,$B6252,$G:$G,"CDU",$J:$J,"PLANNED")&gt;0,"tied","standalone"),"")</f>
        <v/>
      </c>
    </row>
    <row r="6253" spans="1:14">
      <c r="A6253" s="6">
        <v>2025</v>
      </c>
      <c r="B6253" s="6">
        <v>8</v>
      </c>
      <c r="C6253" s="6" t="s">
        <v>67</v>
      </c>
      <c r="D6253" s="6" t="s">
        <v>765</v>
      </c>
      <c r="E6253" s="6" t="s">
        <v>766</v>
      </c>
      <c r="F6253" s="6" t="str">
        <f>IF($M6253="PADD I","PADD 1",IF($M6253="PADD II","PADD 2",IF($M6253="PADD III","PADD 3",IF($M6253="PADD IV","PADD 4",IF($M6253="PADD V","PADD 5","")))))</f>
        <v>PADD 2</v>
      </c>
      <c r="G6253" s="6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6" t="s">
        <v>39</v>
      </c>
      <c r="I6253" s="6" t="s">
        <v>1218</v>
      </c>
      <c r="J6253" s="6" t="s">
        <v>398</v>
      </c>
      <c r="K6253" s="10">
        <v>13.65</v>
      </c>
      <c r="L6253" s="10">
        <v>35</v>
      </c>
      <c r="M6253" s="6" t="s">
        <v>425</v>
      </c>
      <c r="N6253" s="6">
        <f>IF(OR($G6253="FCC",$G6253="Hydrocracker",$G6253="Reformer"),IF(COUNTIFS($D:$D,$D6253,$A:$A,$A6253,$B:$B,$B6253,$G:$G,"CDU",$J:$J,"PLANNED")&gt;0,"tied","standalone"),"")</f>
        <v/>
      </c>
    </row>
    <row r="6254" spans="1:14">
      <c r="A6254" s="6">
        <v>2025</v>
      </c>
      <c r="B6254" s="6">
        <v>8</v>
      </c>
      <c r="C6254" s="6" t="s">
        <v>67</v>
      </c>
      <c r="D6254" s="6" t="s">
        <v>465</v>
      </c>
      <c r="E6254" s="6" t="s">
        <v>466</v>
      </c>
      <c r="F6254" s="6" t="str">
        <f>IF($M6254="PADD I","PADD 1",IF($M6254="PADD II","PADD 2",IF($M6254="PADD III","PADD 3",IF($M6254="PADD IV","PADD 4",IF($M6254="PADD V","PADD 5","")))))</f>
        <v>PADD 3</v>
      </c>
      <c r="G6254" s="6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6" t="s">
        <v>39</v>
      </c>
      <c r="I6254" s="6" t="s">
        <v>134</v>
      </c>
      <c r="J6254" s="6" t="s">
        <v>394</v>
      </c>
      <c r="K6254" s="10">
        <v>13</v>
      </c>
      <c r="L6254" s="10">
        <v>100</v>
      </c>
      <c r="M6254" s="6" t="s">
        <v>421</v>
      </c>
      <c r="N6254" s="6">
        <f>IF(OR($G6254="FCC",$G6254="Hydrocracker",$G6254="Reformer"),IF(COUNTIFS($D:$D,$D6254,$A:$A,$A6254,$B:$B,$B6254,$G:$G,"CDU",$J:$J,"PLANNED")&gt;0,"tied","standalone"),"")</f>
        <v/>
      </c>
    </row>
    <row r="6255" spans="1:14">
      <c r="A6255" s="6">
        <v>2025</v>
      </c>
      <c r="B6255" s="6">
        <v>8</v>
      </c>
      <c r="C6255" s="6" t="s">
        <v>67</v>
      </c>
      <c r="D6255" s="6" t="s">
        <v>576</v>
      </c>
      <c r="E6255" s="6" t="s">
        <v>455</v>
      </c>
      <c r="F6255" s="6" t="str">
        <f>IF($M6255="PADD I","PADD 1",IF($M6255="PADD II","PADD 2",IF($M6255="PADD III","PADD 3",IF($M6255="PADD IV","PADD 4",IF($M6255="PADD V","PADD 5","")))))</f>
        <v>PADD 3</v>
      </c>
      <c r="G6255" s="6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6" t="s">
        <v>426</v>
      </c>
      <c r="I6255" s="6" t="s">
        <v>393</v>
      </c>
      <c r="J6255" s="6" t="s">
        <v>394</v>
      </c>
      <c r="K6255" s="10">
        <v>12.8</v>
      </c>
      <c r="L6255" s="10">
        <v>80</v>
      </c>
      <c r="M6255" s="6" t="s">
        <v>421</v>
      </c>
      <c r="N6255" s="6" t="str">
        <f>IF(OR($G6255="FCC",$G6255="Hydrocracker",$G6255="Reformer"),IF(COUNTIFS($D:$D,$D6255,$A:$A,$A6255,$B:$B,$B6255,$G:$G,"CDU",$J:$J,"PLANNED")&gt;0,"tied","standalone"),"")</f>
        <v>standalone</v>
      </c>
    </row>
    <row r="6256" spans="1:14">
      <c r="A6256" s="6">
        <v>2025</v>
      </c>
      <c r="B6256" s="6">
        <v>8</v>
      </c>
      <c r="C6256" s="6" t="s">
        <v>67</v>
      </c>
      <c r="D6256" s="6" t="s">
        <v>534</v>
      </c>
      <c r="E6256" s="6" t="s">
        <v>459</v>
      </c>
      <c r="F6256" s="6" t="str">
        <f>IF($M6256="PADD I","PADD 1",IF($M6256="PADD II","PADD 2",IF($M6256="PADD III","PADD 3",IF($M6256="PADD IV","PADD 4",IF($M6256="PADD V","PADD 5","")))))</f>
        <v>PADD 3</v>
      </c>
      <c r="G6256" s="6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6" t="s">
        <v>44</v>
      </c>
      <c r="I6256" s="6" t="s">
        <v>535</v>
      </c>
      <c r="J6256" s="6" t="s">
        <v>394</v>
      </c>
      <c r="K6256" s="10">
        <v>12.54</v>
      </c>
      <c r="L6256" s="10">
        <v>66</v>
      </c>
      <c r="M6256" s="6" t="s">
        <v>421</v>
      </c>
      <c r="N6256" s="6">
        <f>IF(OR($G6256="FCC",$G6256="Hydrocracker",$G6256="Reformer"),IF(COUNTIFS($D:$D,$D6256,$A:$A,$A6256,$B:$B,$B6256,$G:$G,"CDU",$J:$J,"PLANNED")&gt;0,"tied","standalone"),"")</f>
        <v/>
      </c>
    </row>
    <row r="6257" spans="1:14">
      <c r="A6257" s="6">
        <v>2025</v>
      </c>
      <c r="B6257" s="6">
        <v>8</v>
      </c>
      <c r="C6257" s="6" t="s">
        <v>67</v>
      </c>
      <c r="D6257" s="6" t="s">
        <v>395</v>
      </c>
      <c r="E6257" s="6" t="s">
        <v>433</v>
      </c>
      <c r="F6257" s="6" t="str">
        <f>IF($M6257="PADD I","PADD 1",IF($M6257="PADD II","PADD 2",IF($M6257="PADD III","PADD 3",IF($M6257="PADD IV","PADD 4",IF($M6257="PADD V","PADD 5","")))))</f>
        <v>PADD 2</v>
      </c>
      <c r="G6257" s="6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6" t="s">
        <v>494</v>
      </c>
      <c r="I6257" s="6" t="s">
        <v>513</v>
      </c>
      <c r="J6257" s="6" t="s">
        <v>394</v>
      </c>
      <c r="K6257" s="10">
        <v>12.48</v>
      </c>
      <c r="L6257" s="10">
        <v>32</v>
      </c>
      <c r="M6257" s="6" t="s">
        <v>425</v>
      </c>
      <c r="N6257" s="6" t="str">
        <f>IF(OR($G6257="FCC",$G6257="Hydrocracker",$G6257="Reformer"),IF(COUNTIFS($D:$D,$D6257,$A:$A,$A6257,$B:$B,$B6257,$G:$G,"CDU",$J:$J,"PLANNED")&gt;0,"tied","standalone"),"")</f>
        <v>standalone</v>
      </c>
    </row>
    <row r="6258" spans="1:14">
      <c r="A6258" s="6">
        <v>2025</v>
      </c>
      <c r="B6258" s="6">
        <v>8</v>
      </c>
      <c r="C6258" s="6" t="s">
        <v>67</v>
      </c>
      <c r="D6258" s="6" t="s">
        <v>1035</v>
      </c>
      <c r="E6258" s="6" t="s">
        <v>593</v>
      </c>
      <c r="F6258" s="6" t="str">
        <f>IF($M6258="PADD I","PADD 1",IF($M6258="PADD II","PADD 2",IF($M6258="PADD III","PADD 3",IF($M6258="PADD IV","PADD 4",IF($M6258="PADD V","PADD 5","")))))</f>
        <v>PADD 2</v>
      </c>
      <c r="G6258" s="6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6" t="s">
        <v>428</v>
      </c>
      <c r="I6258" s="6" t="s">
        <v>836</v>
      </c>
      <c r="J6258" s="6" t="s">
        <v>394</v>
      </c>
      <c r="K6258" s="10">
        <v>11.4627</v>
      </c>
      <c r="L6258" s="10">
        <v>60.33</v>
      </c>
      <c r="M6258" s="6" t="s">
        <v>425</v>
      </c>
      <c r="N6258" s="6">
        <f>IF(OR($G6258="FCC",$G6258="Hydrocracker",$G6258="Reformer"),IF(COUNTIFS($D:$D,$D6258,$A:$A,$A6258,$B:$B,$B6258,$G:$G,"CDU",$J:$J,"PLANNED")&gt;0,"tied","standalone"),"")</f>
        <v/>
      </c>
    </row>
    <row r="6259" spans="1:14">
      <c r="A6259" s="6">
        <v>2025</v>
      </c>
      <c r="B6259" s="6">
        <v>8</v>
      </c>
      <c r="C6259" s="6" t="s">
        <v>67</v>
      </c>
      <c r="D6259" s="6" t="s">
        <v>458</v>
      </c>
      <c r="E6259" s="6" t="s">
        <v>459</v>
      </c>
      <c r="F6259" s="6" t="str">
        <f>IF($M6259="PADD I","PADD 1",IF($M6259="PADD II","PADD 2",IF($M6259="PADD III","PADD 3",IF($M6259="PADD IV","PADD 4",IF($M6259="PADD V","PADD 5","")))))</f>
        <v>PADD 3</v>
      </c>
      <c r="G6259" s="6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6" t="s">
        <v>44</v>
      </c>
      <c r="I6259" s="6" t="s">
        <v>552</v>
      </c>
      <c r="J6259" s="6" t="s">
        <v>398</v>
      </c>
      <c r="K6259" s="10">
        <v>10.5</v>
      </c>
      <c r="L6259" s="10">
        <v>30</v>
      </c>
      <c r="M6259" s="6" t="s">
        <v>421</v>
      </c>
      <c r="N6259" s="6">
        <f>IF(OR($G6259="FCC",$G6259="Hydrocracker",$G6259="Reformer"),IF(COUNTIFS($D:$D,$D6259,$A:$A,$A6259,$B:$B,$B6259,$G:$G,"CDU",$J:$J,"PLANNED")&gt;0,"tied","standalone"),"")</f>
        <v/>
      </c>
    </row>
    <row r="6260" spans="1:14">
      <c r="A6260" s="6">
        <v>2025</v>
      </c>
      <c r="B6260" s="6">
        <v>8</v>
      </c>
      <c r="C6260" s="6" t="s">
        <v>67</v>
      </c>
      <c r="D6260" s="6" t="s">
        <v>375</v>
      </c>
      <c r="E6260" s="6" t="s">
        <v>435</v>
      </c>
      <c r="F6260" s="6" t="str">
        <f>IF($M6260="PADD I","PADD 1",IF($M6260="PADD II","PADD 2",IF($M6260="PADD III","PADD 3",IF($M6260="PADD IV","PADD 4",IF($M6260="PADD V","PADD 5","")))))</f>
        <v>PADD 5</v>
      </c>
      <c r="G6260" s="6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6" t="s">
        <v>471</v>
      </c>
      <c r="I6260" s="6" t="s">
        <v>15</v>
      </c>
      <c r="J6260" s="6" t="s">
        <v>394</v>
      </c>
      <c r="K6260" s="10">
        <v>10.33</v>
      </c>
      <c r="L6260" s="10">
        <v>10.33</v>
      </c>
      <c r="M6260" s="6" t="s">
        <v>436</v>
      </c>
      <c r="N6260" s="6" t="str">
        <f>IF(OR($G6260="FCC",$G6260="Hydrocracker",$G6260="Reformer"),IF(COUNTIFS($D:$D,$D6260,$A:$A,$A6260,$B:$B,$B6260,$G:$G,"CDU",$J:$J,"PLANNED")&gt;0,"tied","standalone"),"")</f>
        <v>standalone</v>
      </c>
    </row>
    <row r="6261" spans="1:14">
      <c r="A6261" s="6">
        <v>2025</v>
      </c>
      <c r="B6261" s="6">
        <v>8</v>
      </c>
      <c r="C6261" s="6" t="s">
        <v>67</v>
      </c>
      <c r="D6261" s="6" t="s">
        <v>592</v>
      </c>
      <c r="E6261" s="6" t="s">
        <v>593</v>
      </c>
      <c r="F6261" s="6" t="str">
        <f>IF($M6261="PADD I","PADD 1",IF($M6261="PADD II","PADD 2",IF($M6261="PADD III","PADD 3",IF($M6261="PADD IV","PADD 4",IF($M6261="PADD V","PADD 5","")))))</f>
        <v>PADD 2</v>
      </c>
      <c r="G6261" s="6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6" t="s">
        <v>485</v>
      </c>
      <c r="I6261" s="6" t="s">
        <v>491</v>
      </c>
      <c r="J6261" s="6" t="s">
        <v>394</v>
      </c>
      <c r="K6261" s="10">
        <v>10.2</v>
      </c>
      <c r="L6261" s="10">
        <v>102</v>
      </c>
      <c r="M6261" s="6" t="s">
        <v>425</v>
      </c>
      <c r="N6261" s="6">
        <f>IF(OR($G6261="FCC",$G6261="Hydrocracker",$G6261="Reformer"),IF(COUNTIFS($D:$D,$D6261,$A:$A,$A6261,$B:$B,$B6261,$G:$G,"CDU",$J:$J,"PLANNED")&gt;0,"tied","standalone"),"")</f>
        <v/>
      </c>
    </row>
    <row r="6262" spans="1:14">
      <c r="A6262" s="6">
        <v>2025</v>
      </c>
      <c r="B6262" s="6">
        <v>8</v>
      </c>
      <c r="C6262" s="6" t="s">
        <v>67</v>
      </c>
      <c r="D6262" s="6" t="s">
        <v>592</v>
      </c>
      <c r="E6262" s="6" t="s">
        <v>593</v>
      </c>
      <c r="F6262" s="6" t="str">
        <f>IF($M6262="PADD I","PADD 1",IF($M6262="PADD II","PADD 2",IF($M6262="PADD III","PADD 3",IF($M6262="PADD IV","PADD 4",IF($M6262="PADD V","PADD 5","")))))</f>
        <v>PADD 2</v>
      </c>
      <c r="G6262" s="6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6" t="s">
        <v>44</v>
      </c>
      <c r="I6262" s="6" t="s">
        <v>601</v>
      </c>
      <c r="J6262" s="6" t="s">
        <v>394</v>
      </c>
      <c r="K6262" s="10">
        <v>10</v>
      </c>
      <c r="L6262" s="10">
        <v>100</v>
      </c>
      <c r="M6262" s="6" t="s">
        <v>425</v>
      </c>
      <c r="N6262" s="6">
        <f>IF(OR($G6262="FCC",$G6262="Hydrocracker",$G6262="Reformer"),IF(COUNTIFS($D:$D,$D6262,$A:$A,$A6262,$B:$B,$B6262,$G:$G,"CDU",$J:$J,"PLANNED")&gt;0,"tied","standalone"),"")</f>
        <v/>
      </c>
    </row>
    <row r="6263" spans="1:14">
      <c r="A6263" s="6">
        <v>2025</v>
      </c>
      <c r="B6263" s="6">
        <v>8</v>
      </c>
      <c r="C6263" s="6" t="s">
        <v>67</v>
      </c>
      <c r="D6263" s="6" t="s">
        <v>375</v>
      </c>
      <c r="E6263" s="6" t="s">
        <v>435</v>
      </c>
      <c r="F6263" s="6" t="str">
        <f>IF($M6263="PADD I","PADD 1",IF($M6263="PADD II","PADD 2",IF($M6263="PADD III","PADD 3",IF($M6263="PADD IV","PADD 4",IF($M6263="PADD V","PADD 5","")))))</f>
        <v>PADD 5</v>
      </c>
      <c r="G6263" s="6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6" t="s">
        <v>44</v>
      </c>
      <c r="I6263" s="6" t="s">
        <v>551</v>
      </c>
      <c r="J6263" s="6" t="s">
        <v>394</v>
      </c>
      <c r="K6263" s="10">
        <v>9.800000000000001</v>
      </c>
      <c r="L6263" s="10">
        <v>9.800000000000001</v>
      </c>
      <c r="M6263" s="6" t="s">
        <v>436</v>
      </c>
      <c r="N6263" s="6">
        <f>IF(OR($G6263="FCC",$G6263="Hydrocracker",$G6263="Reformer"),IF(COUNTIFS($D:$D,$D6263,$A:$A,$A6263,$B:$B,$B6263,$G:$G,"CDU",$J:$J,"PLANNED")&gt;0,"tied","standalone"),"")</f>
        <v/>
      </c>
    </row>
    <row r="6264" spans="1:14">
      <c r="A6264" s="6">
        <v>2025</v>
      </c>
      <c r="B6264" s="6">
        <v>8</v>
      </c>
      <c r="C6264" s="6" t="s">
        <v>67</v>
      </c>
      <c r="D6264" s="6" t="s">
        <v>730</v>
      </c>
      <c r="E6264" s="6" t="s">
        <v>731</v>
      </c>
      <c r="F6264" s="6" t="str">
        <f>IF($M6264="PADD I","PADD 1",IF($M6264="PADD II","PADD 2",IF($M6264="PADD III","PADD 3",IF($M6264="PADD IV","PADD 4",IF($M6264="PADD V","PADD 5","")))))</f>
        <v>PADD 3</v>
      </c>
      <c r="G6264" s="6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6" t="s">
        <v>426</v>
      </c>
      <c r="I6264" s="6" t="s">
        <v>106</v>
      </c>
      <c r="J6264" s="6" t="s">
        <v>394</v>
      </c>
      <c r="K6264" s="10">
        <v>9.449999999999999</v>
      </c>
      <c r="L6264" s="10">
        <v>27</v>
      </c>
      <c r="M6264" s="6" t="s">
        <v>421</v>
      </c>
      <c r="N6264" s="6" t="str">
        <f>IF(OR($G6264="FCC",$G6264="Hydrocracker",$G6264="Reformer"),IF(COUNTIFS($D:$D,$D6264,$A:$A,$A6264,$B:$B,$B6264,$G:$G,"CDU",$J:$J,"PLANNED")&gt;0,"tied","standalone"),"")</f>
        <v>standalone</v>
      </c>
    </row>
    <row r="6265" spans="1:14">
      <c r="A6265" s="6">
        <v>2025</v>
      </c>
      <c r="B6265" s="6">
        <v>8</v>
      </c>
      <c r="C6265" s="6" t="s">
        <v>67</v>
      </c>
      <c r="D6265" s="6" t="s">
        <v>378</v>
      </c>
      <c r="E6265" s="6" t="s">
        <v>477</v>
      </c>
      <c r="F6265" s="6" t="str">
        <f>IF($M6265="PADD I","PADD 1",IF($M6265="PADD II","PADD 2",IF($M6265="PADD III","PADD 3",IF($M6265="PADD IV","PADD 4",IF($M6265="PADD V","PADD 5","")))))</f>
        <v>PADD 3</v>
      </c>
      <c r="G6265" s="6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6" t="s">
        <v>471</v>
      </c>
      <c r="I6265" s="6" t="s">
        <v>1212</v>
      </c>
      <c r="J6265" s="6" t="s">
        <v>394</v>
      </c>
      <c r="K6265" s="10">
        <v>9.119999999999999</v>
      </c>
      <c r="L6265" s="10">
        <v>19</v>
      </c>
      <c r="M6265" s="6" t="s">
        <v>421</v>
      </c>
      <c r="N6265" s="6" t="str">
        <f>IF(OR($G6265="FCC",$G6265="Hydrocracker",$G6265="Reformer"),IF(COUNTIFS($D:$D,$D6265,$A:$A,$A6265,$B:$B,$B6265,$G:$G,"CDU",$J:$J,"PLANNED")&gt;0,"tied","standalone"),"")</f>
        <v>standalone</v>
      </c>
    </row>
    <row r="6266" spans="1:14">
      <c r="A6266" s="6">
        <v>2025</v>
      </c>
      <c r="B6266" s="6">
        <v>8</v>
      </c>
      <c r="C6266" s="6" t="s">
        <v>67</v>
      </c>
      <c r="D6266" s="6" t="s">
        <v>375</v>
      </c>
      <c r="E6266" s="6" t="s">
        <v>435</v>
      </c>
      <c r="F6266" s="6" t="str">
        <f>IF($M6266="PADD I","PADD 1",IF($M6266="PADD II","PADD 2",IF($M6266="PADD III","PADD 3",IF($M6266="PADD IV","PADD 4",IF($M6266="PADD V","PADD 5","")))))</f>
        <v>PADD 5</v>
      </c>
      <c r="G6266" s="6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6" t="s">
        <v>44</v>
      </c>
      <c r="I6266" s="6" t="s">
        <v>1233</v>
      </c>
      <c r="J6266" s="6" t="s">
        <v>394</v>
      </c>
      <c r="K6266" s="10">
        <v>9.1</v>
      </c>
      <c r="L6266" s="10">
        <v>9.1</v>
      </c>
      <c r="M6266" s="6" t="s">
        <v>436</v>
      </c>
      <c r="N6266" s="6">
        <f>IF(OR($G6266="FCC",$G6266="Hydrocracker",$G6266="Reformer"),IF(COUNTIFS($D:$D,$D6266,$A:$A,$A6266,$B:$B,$B6266,$G:$G,"CDU",$J:$J,"PLANNED")&gt;0,"tied","standalone"),"")</f>
        <v/>
      </c>
    </row>
    <row r="6267" spans="1:14">
      <c r="A6267" s="6">
        <v>2025</v>
      </c>
      <c r="B6267" s="6">
        <v>8</v>
      </c>
      <c r="C6267" s="6" t="s">
        <v>67</v>
      </c>
      <c r="D6267" s="6" t="s">
        <v>689</v>
      </c>
      <c r="E6267" s="6" t="s">
        <v>502</v>
      </c>
      <c r="F6267" s="6" t="str">
        <f>IF($M6267="PADD I","PADD 1",IF($M6267="PADD II","PADD 2",IF($M6267="PADD III","PADD 3",IF($M6267="PADD IV","PADD 4",IF($M6267="PADD V","PADD 5","")))))</f>
        <v>PADD 5</v>
      </c>
      <c r="G6267" s="6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6" t="s">
        <v>485</v>
      </c>
      <c r="I6267" s="6" t="s">
        <v>1146</v>
      </c>
      <c r="J6267" s="6" t="s">
        <v>398</v>
      </c>
      <c r="K6267" s="10">
        <v>8.855</v>
      </c>
      <c r="L6267" s="10">
        <v>25.3</v>
      </c>
      <c r="M6267" s="6" t="s">
        <v>436</v>
      </c>
      <c r="N6267" s="6">
        <f>IF(OR($G6267="FCC",$G6267="Hydrocracker",$G6267="Reformer"),IF(COUNTIFS($D:$D,$D6267,$A:$A,$A6267,$B:$B,$B6267,$G:$G,"CDU",$J:$J,"PLANNED")&gt;0,"tied","standalone"),"")</f>
        <v/>
      </c>
    </row>
    <row r="6268" spans="1:14">
      <c r="A6268" s="6">
        <v>2025</v>
      </c>
      <c r="B6268" s="6">
        <v>8</v>
      </c>
      <c r="C6268" s="6" t="s">
        <v>67</v>
      </c>
      <c r="D6268" s="6" t="s">
        <v>561</v>
      </c>
      <c r="E6268" s="6" t="s">
        <v>455</v>
      </c>
      <c r="F6268" s="6" t="str">
        <f>IF($M6268="PADD I","PADD 1",IF($M6268="PADD II","PADD 2",IF($M6268="PADD III","PADD 3",IF($M6268="PADD IV","PADD 4",IF($M6268="PADD V","PADD 5","")))))</f>
        <v>PADD 3</v>
      </c>
      <c r="G6268" s="6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6" t="s">
        <v>428</v>
      </c>
      <c r="I6268" s="6" t="s">
        <v>643</v>
      </c>
      <c r="J6268" s="6" t="s">
        <v>394</v>
      </c>
      <c r="K6268" s="10">
        <v>8.74</v>
      </c>
      <c r="L6268" s="10">
        <v>38</v>
      </c>
      <c r="M6268" s="6" t="s">
        <v>421</v>
      </c>
      <c r="N6268" s="6">
        <f>IF(OR($G6268="FCC",$G6268="Hydrocracker",$G6268="Reformer"),IF(COUNTIFS($D:$D,$D6268,$A:$A,$A6268,$B:$B,$B6268,$G:$G,"CDU",$J:$J,"PLANNED")&gt;0,"tied","standalone"),"")</f>
        <v/>
      </c>
    </row>
    <row r="6269" spans="1:14">
      <c r="A6269" s="6">
        <v>2025</v>
      </c>
      <c r="B6269" s="6">
        <v>8</v>
      </c>
      <c r="C6269" s="6" t="s">
        <v>67</v>
      </c>
      <c r="D6269" s="6" t="s">
        <v>592</v>
      </c>
      <c r="E6269" s="6" t="s">
        <v>593</v>
      </c>
      <c r="F6269" s="6" t="str">
        <f>IF($M6269="PADD I","PADD 1",IF($M6269="PADD II","PADD 2",IF($M6269="PADD III","PADD 3",IF($M6269="PADD IV","PADD 4",IF($M6269="PADD V","PADD 5","")))))</f>
        <v>PADD 2</v>
      </c>
      <c r="G6269" s="6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6" t="s">
        <v>44</v>
      </c>
      <c r="I6269" s="6" t="s">
        <v>1161</v>
      </c>
      <c r="J6269" s="6" t="s">
        <v>394</v>
      </c>
      <c r="K6269" s="10">
        <v>8.5</v>
      </c>
      <c r="L6269" s="10">
        <v>85</v>
      </c>
      <c r="M6269" s="6" t="s">
        <v>425</v>
      </c>
      <c r="N6269" s="6">
        <f>IF(OR($G6269="FCC",$G6269="Hydrocracker",$G6269="Reformer"),IF(COUNTIFS($D:$D,$D6269,$A:$A,$A6269,$B:$B,$B6269,$G:$G,"CDU",$J:$J,"PLANNED")&gt;0,"tied","standalone"),"")</f>
        <v/>
      </c>
    </row>
    <row r="6270" spans="1:14">
      <c r="A6270" s="6">
        <v>2025</v>
      </c>
      <c r="B6270" s="6">
        <v>8</v>
      </c>
      <c r="C6270" s="6" t="s">
        <v>67</v>
      </c>
      <c r="D6270" s="6" t="s">
        <v>592</v>
      </c>
      <c r="E6270" s="6" t="s">
        <v>593</v>
      </c>
      <c r="F6270" s="6" t="str">
        <f>IF($M6270="PADD I","PADD 1",IF($M6270="PADD II","PADD 2",IF($M6270="PADD III","PADD 3",IF($M6270="PADD IV","PADD 4",IF($M6270="PADD V","PADD 5","")))))</f>
        <v>PADD 2</v>
      </c>
      <c r="G6270" s="6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6" t="s">
        <v>485</v>
      </c>
      <c r="I6270" s="6" t="s">
        <v>491</v>
      </c>
      <c r="J6270" s="6" t="s">
        <v>394</v>
      </c>
      <c r="K6270" s="10">
        <v>8.16</v>
      </c>
      <c r="L6270" s="10">
        <v>51</v>
      </c>
      <c r="M6270" s="6" t="s">
        <v>425</v>
      </c>
      <c r="N6270" s="6">
        <f>IF(OR($G6270="FCC",$G6270="Hydrocracker",$G6270="Reformer"),IF(COUNTIFS($D:$D,$D6270,$A:$A,$A6270,$B:$B,$B6270,$G:$G,"CDU",$J:$J,"PLANNED")&gt;0,"tied","standalone"),"")</f>
        <v/>
      </c>
    </row>
    <row r="6271" spans="1:14">
      <c r="A6271" s="6">
        <v>2025</v>
      </c>
      <c r="B6271" s="6">
        <v>8</v>
      </c>
      <c r="C6271" s="6" t="s">
        <v>67</v>
      </c>
      <c r="D6271" s="6" t="s">
        <v>368</v>
      </c>
      <c r="E6271" s="6" t="s">
        <v>715</v>
      </c>
      <c r="F6271" s="6" t="str">
        <f>IF($M6271="PADD I","PADD 1",IF($M6271="PADD II","PADD 2",IF($M6271="PADD III","PADD 3",IF($M6271="PADD IV","PADD 4",IF($M6271="PADD V","PADD 5","")))))</f>
        <v>PADD 3</v>
      </c>
      <c r="G6271" s="6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6" t="s">
        <v>510</v>
      </c>
      <c r="I6271" s="6" t="s">
        <v>511</v>
      </c>
      <c r="J6271" s="6" t="s">
        <v>398</v>
      </c>
      <c r="K6271" s="10">
        <v>8.140000000000001</v>
      </c>
      <c r="L6271" s="10">
        <v>14.8</v>
      </c>
      <c r="M6271" s="6" t="s">
        <v>421</v>
      </c>
      <c r="N6271" s="6">
        <f>IF(OR($G6271="FCC",$G6271="Hydrocracker",$G6271="Reformer"),IF(COUNTIFS($D:$D,$D6271,$A:$A,$A6271,$B:$B,$B6271,$G:$G,"CDU",$J:$J,"PLANNED")&gt;0,"tied","standalone"),"")</f>
        <v/>
      </c>
    </row>
    <row r="6272" spans="1:14">
      <c r="A6272" s="6">
        <v>2025</v>
      </c>
      <c r="B6272" s="6">
        <v>8</v>
      </c>
      <c r="C6272" s="6" t="s">
        <v>67</v>
      </c>
      <c r="D6272" s="6" t="s">
        <v>652</v>
      </c>
      <c r="E6272" s="6" t="s">
        <v>419</v>
      </c>
      <c r="F6272" s="6" t="str">
        <f>IF($M6272="PADD I","PADD 1",IF($M6272="PADD II","PADD 2",IF($M6272="PADD III","PADD 3",IF($M6272="PADD IV","PADD 4",IF($M6272="PADD V","PADD 5","")))))</f>
        <v>PADD 2</v>
      </c>
      <c r="G6272" s="6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6" t="s">
        <v>39</v>
      </c>
      <c r="I6272" s="6" t="s">
        <v>711</v>
      </c>
      <c r="J6272" s="6" t="s">
        <v>398</v>
      </c>
      <c r="K6272" s="10">
        <v>8.050000000000001</v>
      </c>
      <c r="L6272" s="10">
        <v>35</v>
      </c>
      <c r="M6272" s="6" t="s">
        <v>425</v>
      </c>
      <c r="N6272" s="6">
        <f>IF(OR($G6272="FCC",$G6272="Hydrocracker",$G6272="Reformer"),IF(COUNTIFS($D:$D,$D6272,$A:$A,$A6272,$B:$B,$B6272,$G:$G,"CDU",$J:$J,"PLANNED")&gt;0,"tied","standalone"),"")</f>
        <v/>
      </c>
    </row>
    <row r="6273" spans="1:14">
      <c r="A6273" s="6">
        <v>2025</v>
      </c>
      <c r="B6273" s="6">
        <v>8</v>
      </c>
      <c r="C6273" s="6" t="s">
        <v>67</v>
      </c>
      <c r="D6273" s="6" t="s">
        <v>518</v>
      </c>
      <c r="E6273" s="6" t="s">
        <v>419</v>
      </c>
      <c r="F6273" s="6" t="str">
        <f>IF($M6273="PADD I","PADD 1",IF($M6273="PADD II","PADD 2",IF($M6273="PADD III","PADD 3",IF($M6273="PADD IV","PADD 4",IF($M6273="PADD V","PADD 5","")))))</f>
        <v>PADD 3</v>
      </c>
      <c r="G6273" s="6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6" t="s">
        <v>44</v>
      </c>
      <c r="I6273" s="6" t="s">
        <v>1078</v>
      </c>
      <c r="J6273" s="6" t="s">
        <v>398</v>
      </c>
      <c r="K6273" s="10">
        <v>7.82</v>
      </c>
      <c r="L6273" s="10">
        <v>34</v>
      </c>
      <c r="M6273" s="6" t="s">
        <v>421</v>
      </c>
      <c r="N6273" s="6">
        <f>IF(OR($G6273="FCC",$G6273="Hydrocracker",$G6273="Reformer"),IF(COUNTIFS($D:$D,$D6273,$A:$A,$A6273,$B:$B,$B6273,$G:$G,"CDU",$J:$J,"PLANNED")&gt;0,"tied","standalone"),"")</f>
        <v/>
      </c>
    </row>
    <row r="6274" spans="1:14">
      <c r="A6274" s="6">
        <v>2025</v>
      </c>
      <c r="B6274" s="6">
        <v>8</v>
      </c>
      <c r="C6274" s="6" t="s">
        <v>67</v>
      </c>
      <c r="D6274" s="6" t="s">
        <v>375</v>
      </c>
      <c r="E6274" s="6" t="s">
        <v>435</v>
      </c>
      <c r="F6274" s="6" t="str">
        <f>IF($M6274="PADD I","PADD 1",IF($M6274="PADD II","PADD 2",IF($M6274="PADD III","PADD 3",IF($M6274="PADD IV","PADD 4",IF($M6274="PADD V","PADD 5","")))))</f>
        <v>PADD 5</v>
      </c>
      <c r="G6274" s="6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6" t="s">
        <v>485</v>
      </c>
      <c r="I6274" s="6" t="s">
        <v>491</v>
      </c>
      <c r="J6274" s="6" t="s">
        <v>394</v>
      </c>
      <c r="K6274" s="10">
        <v>7.7</v>
      </c>
      <c r="L6274" s="10">
        <v>7.7</v>
      </c>
      <c r="M6274" s="6" t="s">
        <v>436</v>
      </c>
      <c r="N6274" s="6">
        <f>IF(OR($G6274="FCC",$G6274="Hydrocracker",$G6274="Reformer"),IF(COUNTIFS($D:$D,$D6274,$A:$A,$A6274,$B:$B,$B6274,$G:$G,"CDU",$J:$J,"PLANNED")&gt;0,"tied","standalone"),"")</f>
        <v/>
      </c>
    </row>
    <row r="6275" spans="1:14">
      <c r="A6275" s="6">
        <v>2025</v>
      </c>
      <c r="B6275" s="6">
        <v>8</v>
      </c>
      <c r="C6275" s="6" t="s">
        <v>67</v>
      </c>
      <c r="D6275" s="6" t="s">
        <v>375</v>
      </c>
      <c r="E6275" s="6" t="s">
        <v>435</v>
      </c>
      <c r="F6275" s="6" t="str">
        <f>IF($M6275="PADD I","PADD 1",IF($M6275="PADD II","PADD 2",IF($M6275="PADD III","PADD 3",IF($M6275="PADD IV","PADD 4",IF($M6275="PADD V","PADD 5","")))))</f>
        <v>PADD 5</v>
      </c>
      <c r="G6275" s="6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6" t="s">
        <v>485</v>
      </c>
      <c r="I6275" s="6" t="s">
        <v>863</v>
      </c>
      <c r="J6275" s="6" t="s">
        <v>394</v>
      </c>
      <c r="K6275" s="10">
        <v>7.32</v>
      </c>
      <c r="L6275" s="10">
        <v>7.32</v>
      </c>
      <c r="M6275" s="6" t="s">
        <v>436</v>
      </c>
      <c r="N6275" s="6">
        <f>IF(OR($G6275="FCC",$G6275="Hydrocracker",$G6275="Reformer"),IF(COUNTIFS($D:$D,$D6275,$A:$A,$A6275,$B:$B,$B6275,$G:$G,"CDU",$J:$J,"PLANNED")&gt;0,"tied","standalone"),"")</f>
        <v/>
      </c>
    </row>
    <row r="6276" spans="1:14">
      <c r="A6276" s="6">
        <v>2025</v>
      </c>
      <c r="B6276" s="6">
        <v>8</v>
      </c>
      <c r="C6276" s="6" t="s">
        <v>67</v>
      </c>
      <c r="D6276" s="6" t="s">
        <v>928</v>
      </c>
      <c r="E6276" s="6" t="s">
        <v>502</v>
      </c>
      <c r="F6276" s="6" t="str">
        <f>IF($M6276="PADD I","PADD 1",IF($M6276="PADD II","PADD 2",IF($M6276="PADD III","PADD 3",IF($M6276="PADD IV","PADD 4",IF($M6276="PADD V","PADD 5","")))))</f>
        <v>PADD 2</v>
      </c>
      <c r="G6276" s="6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6" t="s">
        <v>485</v>
      </c>
      <c r="I6276" s="6" t="s">
        <v>491</v>
      </c>
      <c r="J6276" s="6" t="s">
        <v>394</v>
      </c>
      <c r="K6276" s="10">
        <v>7.14</v>
      </c>
      <c r="L6276" s="10">
        <v>8.5</v>
      </c>
      <c r="M6276" s="6" t="s">
        <v>425</v>
      </c>
      <c r="N6276" s="6">
        <f>IF(OR($G6276="FCC",$G6276="Hydrocracker",$G6276="Reformer"),IF(COUNTIFS($D:$D,$D6276,$A:$A,$A6276,$B:$B,$B6276,$G:$G,"CDU",$J:$J,"PLANNED")&gt;0,"tied","standalone"),"")</f>
        <v/>
      </c>
    </row>
    <row r="6277" spans="1:14">
      <c r="A6277" s="6">
        <v>2025</v>
      </c>
      <c r="B6277" s="6">
        <v>8</v>
      </c>
      <c r="C6277" s="6" t="s">
        <v>67</v>
      </c>
      <c r="D6277" s="6" t="s">
        <v>592</v>
      </c>
      <c r="E6277" s="6" t="s">
        <v>593</v>
      </c>
      <c r="F6277" s="6" t="str">
        <f>IF($M6277="PADD I","PADD 1",IF($M6277="PADD II","PADD 2",IF($M6277="PADD III","PADD 3",IF($M6277="PADD IV","PADD 4",IF($M6277="PADD V","PADD 5","")))))</f>
        <v>PADD 2</v>
      </c>
      <c r="G6277" s="6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6" t="s">
        <v>44</v>
      </c>
      <c r="I6277" s="6" t="s">
        <v>809</v>
      </c>
      <c r="J6277" s="6" t="s">
        <v>394</v>
      </c>
      <c r="K6277" s="10">
        <v>7</v>
      </c>
      <c r="L6277" s="10">
        <v>70</v>
      </c>
      <c r="M6277" s="6" t="s">
        <v>425</v>
      </c>
      <c r="N6277" s="6">
        <f>IF(OR($G6277="FCC",$G6277="Hydrocracker",$G6277="Reformer"),IF(COUNTIFS($D:$D,$D6277,$A:$A,$A6277,$B:$B,$B6277,$G:$G,"CDU",$J:$J,"PLANNED")&gt;0,"tied","standalone"),"")</f>
        <v/>
      </c>
    </row>
    <row r="6278" spans="1:14">
      <c r="A6278" s="6">
        <v>2025</v>
      </c>
      <c r="B6278" s="6">
        <v>8</v>
      </c>
      <c r="C6278" s="6" t="s">
        <v>67</v>
      </c>
      <c r="D6278" s="6" t="s">
        <v>371</v>
      </c>
      <c r="E6278" s="6" t="s">
        <v>419</v>
      </c>
      <c r="F6278" s="6" t="str">
        <f>IF($M6278="PADD I","PADD 1",IF($M6278="PADD II","PADD 2",IF($M6278="PADD III","PADD 3",IF($M6278="PADD IV","PADD 4",IF($M6278="PADD V","PADD 5","")))))</f>
        <v>PADD 2</v>
      </c>
      <c r="G6278" s="6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6" t="s">
        <v>39</v>
      </c>
      <c r="I6278" s="6" t="s">
        <v>571</v>
      </c>
      <c r="J6278" s="6" t="s">
        <v>398</v>
      </c>
      <c r="K6278" s="10">
        <v>6.6</v>
      </c>
      <c r="L6278" s="10">
        <v>110</v>
      </c>
      <c r="M6278" s="6" t="s">
        <v>425</v>
      </c>
      <c r="N6278" s="6">
        <f>IF(OR($G6278="FCC",$G6278="Hydrocracker",$G6278="Reformer"),IF(COUNTIFS($D:$D,$D6278,$A:$A,$A6278,$B:$B,$B6278,$G:$G,"CDU",$J:$J,"PLANNED")&gt;0,"tied","standalone"),"")</f>
        <v/>
      </c>
    </row>
    <row r="6279" spans="1:14">
      <c r="A6279" s="6">
        <v>2025</v>
      </c>
      <c r="B6279" s="6">
        <v>8</v>
      </c>
      <c r="C6279" s="6" t="s">
        <v>67</v>
      </c>
      <c r="D6279" s="6" t="s">
        <v>592</v>
      </c>
      <c r="E6279" s="6" t="s">
        <v>593</v>
      </c>
      <c r="F6279" s="6" t="str">
        <f>IF($M6279="PADD I","PADD 1",IF($M6279="PADD II","PADD 2",IF($M6279="PADD III","PADD 3",IF($M6279="PADD IV","PADD 4",IF($M6279="PADD V","PADD 5","")))))</f>
        <v>PADD 2</v>
      </c>
      <c r="G6279" s="6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6" t="s">
        <v>426</v>
      </c>
      <c r="I6279" s="6" t="s">
        <v>1163</v>
      </c>
      <c r="J6279" s="6" t="s">
        <v>394</v>
      </c>
      <c r="K6279" s="10">
        <v>6.5</v>
      </c>
      <c r="L6279" s="10">
        <v>65</v>
      </c>
      <c r="M6279" s="6" t="s">
        <v>425</v>
      </c>
      <c r="N6279" s="6" t="str">
        <f>IF(OR($G6279="FCC",$G6279="Hydrocracker",$G6279="Reformer"),IF(COUNTIFS($D:$D,$D6279,$A:$A,$A6279,$B:$B,$B6279,$G:$G,"CDU",$J:$J,"PLANNED")&gt;0,"tied","standalone"),"")</f>
        <v>standalone</v>
      </c>
    </row>
    <row r="6280" spans="1:14">
      <c r="A6280" s="6">
        <v>2025</v>
      </c>
      <c r="B6280" s="6">
        <v>8</v>
      </c>
      <c r="C6280" s="6" t="s">
        <v>67</v>
      </c>
      <c r="D6280" s="6" t="s">
        <v>1035</v>
      </c>
      <c r="E6280" s="6" t="s">
        <v>593</v>
      </c>
      <c r="F6280" s="6" t="str">
        <f>IF($M6280="PADD I","PADD 1",IF($M6280="PADD II","PADD 2",IF($M6280="PADD III","PADD 3",IF($M6280="PADD IV","PADD 4",IF($M6280="PADD V","PADD 5","")))))</f>
        <v>PADD 2</v>
      </c>
      <c r="G6280" s="6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6" t="s">
        <v>428</v>
      </c>
      <c r="I6280" s="6" t="s">
        <v>836</v>
      </c>
      <c r="J6280" s="6" t="s">
        <v>394</v>
      </c>
      <c r="K6280" s="10">
        <v>6.033</v>
      </c>
      <c r="L6280" s="10">
        <v>60.33</v>
      </c>
      <c r="M6280" s="6" t="s">
        <v>425</v>
      </c>
      <c r="N6280" s="6">
        <f>IF(OR($G6280="FCC",$G6280="Hydrocracker",$G6280="Reformer"),IF(COUNTIFS($D:$D,$D6280,$A:$A,$A6280,$B:$B,$B6280,$G:$G,"CDU",$J:$J,"PLANNED")&gt;0,"tied","standalone"),"")</f>
        <v/>
      </c>
    </row>
    <row r="6281" spans="1:14">
      <c r="A6281" s="6">
        <v>2025</v>
      </c>
      <c r="B6281" s="6">
        <v>8</v>
      </c>
      <c r="C6281" s="6" t="s">
        <v>67</v>
      </c>
      <c r="D6281" s="6" t="s">
        <v>592</v>
      </c>
      <c r="E6281" s="6" t="s">
        <v>593</v>
      </c>
      <c r="F6281" s="6" t="str">
        <f>IF($M6281="PADD I","PADD 1",IF($M6281="PADD II","PADD 2",IF($M6281="PADD III","PADD 3",IF($M6281="PADD IV","PADD 4",IF($M6281="PADD V","PADD 5","")))))</f>
        <v>PADD 2</v>
      </c>
      <c r="G6281" s="6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6" t="s">
        <v>471</v>
      </c>
      <c r="I6281" s="6" t="s">
        <v>1164</v>
      </c>
      <c r="J6281" s="6" t="s">
        <v>394</v>
      </c>
      <c r="K6281" s="10">
        <v>6</v>
      </c>
      <c r="L6281" s="10">
        <v>60</v>
      </c>
      <c r="M6281" s="6" t="s">
        <v>425</v>
      </c>
      <c r="N6281" s="6" t="str">
        <f>IF(OR($G6281="FCC",$G6281="Hydrocracker",$G6281="Reformer"),IF(COUNTIFS($D:$D,$D6281,$A:$A,$A6281,$B:$B,$B6281,$G:$G,"CDU",$J:$J,"PLANNED")&gt;0,"tied","standalone"),"")</f>
        <v>standalone</v>
      </c>
    </row>
    <row r="6282" spans="1:14">
      <c r="A6282" s="6">
        <v>2025</v>
      </c>
      <c r="B6282" s="6">
        <v>8</v>
      </c>
      <c r="C6282" s="6" t="s">
        <v>67</v>
      </c>
      <c r="D6282" s="6" t="s">
        <v>550</v>
      </c>
      <c r="E6282" s="6" t="s">
        <v>438</v>
      </c>
      <c r="F6282" s="6" t="str">
        <f>IF($M6282="PADD I","PADD 1",IF($M6282="PADD II","PADD 2",IF($M6282="PADD III","PADD 3",IF($M6282="PADD IV","PADD 4",IF($M6282="PADD V","PADD 5","")))))</f>
        <v>PADD 2</v>
      </c>
      <c r="G6282" s="6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6" t="s">
        <v>510</v>
      </c>
      <c r="I6282" s="6" t="s">
        <v>666</v>
      </c>
      <c r="J6282" s="6" t="s">
        <v>398</v>
      </c>
      <c r="K6282" s="10">
        <v>6</v>
      </c>
      <c r="L6282" s="10">
        <v>6</v>
      </c>
      <c r="M6282" s="6" t="s">
        <v>425</v>
      </c>
      <c r="N6282" s="6">
        <f>IF(OR($G6282="FCC",$G6282="Hydrocracker",$G6282="Reformer"),IF(COUNTIFS($D:$D,$D6282,$A:$A,$A6282,$B:$B,$B6282,$G:$G,"CDU",$J:$J,"PLANNED")&gt;0,"tied","standalone"),"")</f>
        <v/>
      </c>
    </row>
    <row r="6283" spans="1:14">
      <c r="A6283" s="6">
        <v>2025</v>
      </c>
      <c r="B6283" s="6">
        <v>8</v>
      </c>
      <c r="C6283" s="6" t="s">
        <v>67</v>
      </c>
      <c r="D6283" s="6" t="s">
        <v>445</v>
      </c>
      <c r="E6283" s="6" t="s">
        <v>446</v>
      </c>
      <c r="F6283" s="6" t="str">
        <f>IF($M6283="PADD I","PADD 1",IF($M6283="PADD II","PADD 2",IF($M6283="PADD III","PADD 3",IF($M6283="PADD IV","PADD 4",IF($M6283="PADD V","PADD 5","")))))</f>
        <v>PADD 3</v>
      </c>
      <c r="G6283" s="6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6" t="s">
        <v>471</v>
      </c>
      <c r="I6283" s="6" t="s">
        <v>590</v>
      </c>
      <c r="J6283" s="6" t="s">
        <v>394</v>
      </c>
      <c r="K6283" s="10">
        <v>5.85</v>
      </c>
      <c r="L6283" s="10">
        <v>45</v>
      </c>
      <c r="M6283" s="6" t="s">
        <v>421</v>
      </c>
      <c r="N6283" s="6" t="str">
        <f>IF(OR($G6283="FCC",$G6283="Hydrocracker",$G6283="Reformer"),IF(COUNTIFS($D:$D,$D6283,$A:$A,$A6283,$B:$B,$B6283,$G:$G,"CDU",$J:$J,"PLANNED")&gt;0,"tied","standalone"),"")</f>
        <v>standalone</v>
      </c>
    </row>
    <row r="6284" spans="1:14">
      <c r="A6284" s="6">
        <v>2025</v>
      </c>
      <c r="B6284" s="6">
        <v>8</v>
      </c>
      <c r="C6284" s="6" t="s">
        <v>67</v>
      </c>
      <c r="D6284" s="6" t="s">
        <v>576</v>
      </c>
      <c r="E6284" s="6" t="s">
        <v>455</v>
      </c>
      <c r="F6284" s="6" t="str">
        <f>IF($M6284="PADD I","PADD 1",IF($M6284="PADD II","PADD 2",IF($M6284="PADD III","PADD 3",IF($M6284="PADD IV","PADD 4",IF($M6284="PADD V","PADD 5","")))))</f>
        <v>PADD 3</v>
      </c>
      <c r="G6284" s="6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6" t="s">
        <v>494</v>
      </c>
      <c r="I6284" s="6" t="s">
        <v>400</v>
      </c>
      <c r="J6284" s="6" t="s">
        <v>394</v>
      </c>
      <c r="K6284" s="10">
        <v>5.7</v>
      </c>
      <c r="L6284" s="10">
        <v>57</v>
      </c>
      <c r="M6284" s="6" t="s">
        <v>421</v>
      </c>
      <c r="N6284" s="6" t="str">
        <f>IF(OR($G6284="FCC",$G6284="Hydrocracker",$G6284="Reformer"),IF(COUNTIFS($D:$D,$D6284,$A:$A,$A6284,$B:$B,$B6284,$G:$G,"CDU",$J:$J,"PLANNED")&gt;0,"tied","standalone"),"")</f>
        <v>standalone</v>
      </c>
    </row>
    <row r="6285" spans="1:14">
      <c r="A6285" s="6">
        <v>2025</v>
      </c>
      <c r="B6285" s="6">
        <v>8</v>
      </c>
      <c r="C6285" s="6" t="s">
        <v>67</v>
      </c>
      <c r="D6285" s="6" t="s">
        <v>592</v>
      </c>
      <c r="E6285" s="6" t="s">
        <v>593</v>
      </c>
      <c r="F6285" s="6" t="str">
        <f>IF($M6285="PADD I","PADD 1",IF($M6285="PADD II","PADD 2",IF($M6285="PADD III","PADD 3",IF($M6285="PADD IV","PADD 4",IF($M6285="PADD V","PADD 5","")))))</f>
        <v>PADD 2</v>
      </c>
      <c r="G6285" s="6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6" t="s">
        <v>44</v>
      </c>
      <c r="I6285" s="6" t="s">
        <v>809</v>
      </c>
      <c r="J6285" s="6" t="s">
        <v>394</v>
      </c>
      <c r="K6285" s="10">
        <v>5.6</v>
      </c>
      <c r="L6285" s="10">
        <v>35</v>
      </c>
      <c r="M6285" s="6" t="s">
        <v>425</v>
      </c>
      <c r="N6285" s="6">
        <f>IF(OR($G6285="FCC",$G6285="Hydrocracker",$G6285="Reformer"),IF(COUNTIFS($D:$D,$D6285,$A:$A,$A6285,$B:$B,$B6285,$G:$G,"CDU",$J:$J,"PLANNED")&gt;0,"tied","standalone"),"")</f>
        <v/>
      </c>
    </row>
    <row r="6286" spans="1:14">
      <c r="A6286" s="6">
        <v>2025</v>
      </c>
      <c r="B6286" s="6">
        <v>8</v>
      </c>
      <c r="C6286" s="6" t="s">
        <v>67</v>
      </c>
      <c r="D6286" s="6" t="s">
        <v>592</v>
      </c>
      <c r="E6286" s="6" t="s">
        <v>593</v>
      </c>
      <c r="F6286" s="6" t="str">
        <f>IF($M6286="PADD I","PADD 1",IF($M6286="PADD II","PADD 2",IF($M6286="PADD III","PADD 3",IF($M6286="PADD IV","PADD 4",IF($M6286="PADD V","PADD 5","")))))</f>
        <v>PADD 2</v>
      </c>
      <c r="G6286" s="6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6" t="s">
        <v>426</v>
      </c>
      <c r="I6286" s="6" t="s">
        <v>1160</v>
      </c>
      <c r="J6286" s="6" t="s">
        <v>394</v>
      </c>
      <c r="K6286" s="10">
        <v>5.5</v>
      </c>
      <c r="L6286" s="10">
        <v>55</v>
      </c>
      <c r="M6286" s="6" t="s">
        <v>425</v>
      </c>
      <c r="N6286" s="6" t="str">
        <f>IF(OR($G6286="FCC",$G6286="Hydrocracker",$G6286="Reformer"),IF(COUNTIFS($D:$D,$D6286,$A:$A,$A6286,$B:$B,$B6286,$G:$G,"CDU",$J:$J,"PLANNED")&gt;0,"tied","standalone"),"")</f>
        <v>standalone</v>
      </c>
    </row>
    <row r="6287" spans="1:14">
      <c r="A6287" s="6">
        <v>2025</v>
      </c>
      <c r="B6287" s="6">
        <v>8</v>
      </c>
      <c r="C6287" s="6" t="s">
        <v>67</v>
      </c>
      <c r="D6287" s="6" t="s">
        <v>375</v>
      </c>
      <c r="E6287" s="6" t="s">
        <v>435</v>
      </c>
      <c r="F6287" s="6" t="str">
        <f>IF($M6287="PADD I","PADD 1",IF($M6287="PADD II","PADD 2",IF($M6287="PADD III","PADD 3",IF($M6287="PADD IV","PADD 4",IF($M6287="PADD V","PADD 5","")))))</f>
        <v>PADD 5</v>
      </c>
      <c r="G6287" s="6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6" t="s">
        <v>494</v>
      </c>
      <c r="I6287" s="6" t="s">
        <v>548</v>
      </c>
      <c r="J6287" s="6" t="s">
        <v>394</v>
      </c>
      <c r="K6287" s="10">
        <v>5.46</v>
      </c>
      <c r="L6287" s="10">
        <v>42</v>
      </c>
      <c r="M6287" s="6" t="s">
        <v>436</v>
      </c>
      <c r="N6287" s="6" t="str">
        <f>IF(OR($G6287="FCC",$G6287="Hydrocracker",$G6287="Reformer"),IF(COUNTIFS($D:$D,$D6287,$A:$A,$A6287,$B:$B,$B6287,$G:$G,"CDU",$J:$J,"PLANNED")&gt;0,"tied","standalone"),"")</f>
        <v>standalone</v>
      </c>
    </row>
    <row r="6288" spans="1:14">
      <c r="A6288" s="6">
        <v>2025</v>
      </c>
      <c r="B6288" s="6">
        <v>8</v>
      </c>
      <c r="C6288" s="6" t="s">
        <v>67</v>
      </c>
      <c r="D6288" s="6" t="s">
        <v>1082</v>
      </c>
      <c r="E6288" s="6" t="s">
        <v>1083</v>
      </c>
      <c r="F6288" s="6" t="str">
        <f>IF($M6288="PADD I","PADD 1",IF($M6288="PADD II","PADD 2",IF($M6288="PADD III","PADD 3",IF($M6288="PADD IV","PADD 4",IF($M6288="PADD V","PADD 5","")))))</f>
        <v>PADD 5</v>
      </c>
      <c r="G6288" s="6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6" t="s">
        <v>39</v>
      </c>
      <c r="I6288" s="6" t="s">
        <v>713</v>
      </c>
      <c r="J6288" s="6" t="s">
        <v>394</v>
      </c>
      <c r="K6288" s="10">
        <v>5</v>
      </c>
      <c r="L6288" s="10">
        <v>5</v>
      </c>
      <c r="M6288" s="6" t="s">
        <v>436</v>
      </c>
      <c r="N6288" s="6">
        <f>IF(OR($G6288="FCC",$G6288="Hydrocracker",$G6288="Reformer"),IF(COUNTIFS($D:$D,$D6288,$A:$A,$A6288,$B:$B,$B6288,$G:$G,"CDU",$J:$J,"PLANNED")&gt;0,"tied","standalone"),"")</f>
        <v/>
      </c>
    </row>
    <row r="6289" spans="1:14">
      <c r="A6289" s="6">
        <v>2025</v>
      </c>
      <c r="B6289" s="6">
        <v>8</v>
      </c>
      <c r="C6289" s="6" t="s">
        <v>67</v>
      </c>
      <c r="D6289" s="6" t="s">
        <v>592</v>
      </c>
      <c r="E6289" s="6" t="s">
        <v>593</v>
      </c>
      <c r="F6289" s="6" t="str">
        <f>IF($M6289="PADD I","PADD 1",IF($M6289="PADD II","PADD 2",IF($M6289="PADD III","PADD 3",IF($M6289="PADD IV","PADD 4",IF($M6289="PADD V","PADD 5","")))))</f>
        <v>PADD 2</v>
      </c>
      <c r="G6289" s="6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6" t="s">
        <v>471</v>
      </c>
      <c r="I6289" s="6" t="s">
        <v>1164</v>
      </c>
      <c r="J6289" s="6" t="s">
        <v>394</v>
      </c>
      <c r="K6289" s="10">
        <v>4.8</v>
      </c>
      <c r="L6289" s="10">
        <v>30</v>
      </c>
      <c r="M6289" s="6" t="s">
        <v>425</v>
      </c>
      <c r="N6289" s="6" t="str">
        <f>IF(OR($G6289="FCC",$G6289="Hydrocracker",$G6289="Reformer"),IF(COUNTIFS($D:$D,$D6289,$A:$A,$A6289,$B:$B,$B6289,$G:$G,"CDU",$J:$J,"PLANNED")&gt;0,"tied","standalone"),"")</f>
        <v>standalone</v>
      </c>
    </row>
    <row r="6290" spans="1:14">
      <c r="A6290" s="6">
        <v>2025</v>
      </c>
      <c r="B6290" s="6">
        <v>8</v>
      </c>
      <c r="C6290" s="6" t="s">
        <v>67</v>
      </c>
      <c r="D6290" s="6" t="s">
        <v>518</v>
      </c>
      <c r="E6290" s="6" t="s">
        <v>419</v>
      </c>
      <c r="F6290" s="6" t="str">
        <f>IF($M6290="PADD I","PADD 1",IF($M6290="PADD II","PADD 2",IF($M6290="PADD III","PADD 3",IF($M6290="PADD IV","PADD 4",IF($M6290="PADD V","PADD 5","")))))</f>
        <v>PADD 3</v>
      </c>
      <c r="G6290" s="6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6" t="s">
        <v>471</v>
      </c>
      <c r="I6290" s="6" t="s">
        <v>908</v>
      </c>
      <c r="J6290" s="6" t="s">
        <v>398</v>
      </c>
      <c r="K6290" s="10">
        <v>4.6</v>
      </c>
      <c r="L6290" s="10">
        <v>20</v>
      </c>
      <c r="M6290" s="6" t="s">
        <v>421</v>
      </c>
      <c r="N6290" s="6" t="str">
        <f>IF(OR($G6290="FCC",$G6290="Hydrocracker",$G6290="Reformer"),IF(COUNTIFS($D:$D,$D6290,$A:$A,$A6290,$B:$B,$B6290,$G:$G,"CDU",$J:$J,"PLANNED")&gt;0,"tied","standalone"),"")</f>
        <v>standalone</v>
      </c>
    </row>
    <row r="6291" spans="1:14">
      <c r="A6291" s="6">
        <v>2025</v>
      </c>
      <c r="B6291" s="6">
        <v>8</v>
      </c>
      <c r="C6291" s="6" t="s">
        <v>67</v>
      </c>
      <c r="D6291" s="6" t="s">
        <v>507</v>
      </c>
      <c r="E6291" s="6" t="s">
        <v>438</v>
      </c>
      <c r="F6291" s="6" t="str">
        <f>IF($M6291="PADD I","PADD 1",IF($M6291="PADD II","PADD 2",IF($M6291="PADD III","PADD 3",IF($M6291="PADD IV","PADD 4",IF($M6291="PADD V","PADD 5","")))))</f>
        <v>PADD 5</v>
      </c>
      <c r="G6291" s="6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6" t="s">
        <v>471</v>
      </c>
      <c r="I6291" s="6" t="s">
        <v>607</v>
      </c>
      <c r="J6291" s="6" t="s">
        <v>394</v>
      </c>
      <c r="K6291" s="10">
        <v>4.6</v>
      </c>
      <c r="L6291" s="10">
        <v>20</v>
      </c>
      <c r="M6291" s="6" t="s">
        <v>436</v>
      </c>
      <c r="N6291" s="6" t="str">
        <f>IF(OR($G6291="FCC",$G6291="Hydrocracker",$G6291="Reformer"),IF(COUNTIFS($D:$D,$D6291,$A:$A,$A6291,$B:$B,$B6291,$G:$G,"CDU",$J:$J,"PLANNED")&gt;0,"tied","standalone"),"")</f>
        <v>standalone</v>
      </c>
    </row>
    <row r="6292" spans="1:14">
      <c r="A6292" s="6">
        <v>2025</v>
      </c>
      <c r="B6292" s="6">
        <v>8</v>
      </c>
      <c r="C6292" s="6" t="s">
        <v>67</v>
      </c>
      <c r="D6292" s="6" t="s">
        <v>662</v>
      </c>
      <c r="E6292" s="6" t="s">
        <v>466</v>
      </c>
      <c r="F6292" s="6" t="str">
        <f>IF($M6292="PADD I","PADD 1",IF($M6292="PADD II","PADD 2",IF($M6292="PADD III","PADD 3",IF($M6292="PADD IV","PADD 4",IF($M6292="PADD V","PADD 5","")))))</f>
        <v>PADD 3</v>
      </c>
      <c r="G6292" s="6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6" t="s">
        <v>426</v>
      </c>
      <c r="I6292" s="6" t="s">
        <v>478</v>
      </c>
      <c r="J6292" s="6" t="s">
        <v>394</v>
      </c>
      <c r="K6292" s="10">
        <v>4.485</v>
      </c>
      <c r="L6292" s="10">
        <v>34.5</v>
      </c>
      <c r="M6292" s="6" t="s">
        <v>421</v>
      </c>
      <c r="N6292" s="6" t="str">
        <f>IF(OR($G6292="FCC",$G6292="Hydrocracker",$G6292="Reformer"),IF(COUNTIFS($D:$D,$D6292,$A:$A,$A6292,$B:$B,$B6292,$G:$G,"CDU",$J:$J,"PLANNED")&gt;0,"tied","standalone"),"")</f>
        <v>standalone</v>
      </c>
    </row>
    <row r="6293" spans="1:14">
      <c r="A6293" s="6">
        <v>2025</v>
      </c>
      <c r="B6293" s="6">
        <v>8</v>
      </c>
      <c r="C6293" s="6" t="s">
        <v>67</v>
      </c>
      <c r="D6293" s="6" t="s">
        <v>901</v>
      </c>
      <c r="E6293" s="6" t="s">
        <v>902</v>
      </c>
      <c r="F6293" s="6" t="str">
        <f>IF($M6293="PADD I","PADD 1",IF($M6293="PADD II","PADD 2",IF($M6293="PADD III","PADD 3",IF($M6293="PADD IV","PADD 4",IF($M6293="PADD V","PADD 5","")))))</f>
        <v>PADD 3</v>
      </c>
      <c r="G6293" s="6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6" t="s">
        <v>39</v>
      </c>
      <c r="I6293" s="6" t="s">
        <v>904</v>
      </c>
      <c r="J6293" s="6" t="s">
        <v>394</v>
      </c>
      <c r="K6293" s="10">
        <v>4.38</v>
      </c>
      <c r="L6293" s="10">
        <v>73</v>
      </c>
      <c r="M6293" s="6" t="s">
        <v>421</v>
      </c>
      <c r="N6293" s="6">
        <f>IF(OR($G6293="FCC",$G6293="Hydrocracker",$G6293="Reformer"),IF(COUNTIFS($D:$D,$D6293,$A:$A,$A6293,$B:$B,$B6293,$G:$G,"CDU",$J:$J,"PLANNED")&gt;0,"tied","standalone"),"")</f>
        <v/>
      </c>
    </row>
    <row r="6294" spans="1:14">
      <c r="A6294" s="6">
        <v>2025</v>
      </c>
      <c r="B6294" s="6">
        <v>8</v>
      </c>
      <c r="C6294" s="6" t="s">
        <v>67</v>
      </c>
      <c r="D6294" s="6" t="s">
        <v>375</v>
      </c>
      <c r="E6294" s="6" t="s">
        <v>435</v>
      </c>
      <c r="F6294" s="6" t="str">
        <f>IF($M6294="PADD I","PADD 1",IF($M6294="PADD II","PADD 2",IF($M6294="PADD III","PADD 3",IF($M6294="PADD IV","PADD 4",IF($M6294="PADD V","PADD 5","")))))</f>
        <v>PADD 5</v>
      </c>
      <c r="G6294" s="6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6" t="s">
        <v>510</v>
      </c>
      <c r="I6294" s="6" t="s">
        <v>1338</v>
      </c>
      <c r="J6294" s="6" t="s">
        <v>394</v>
      </c>
      <c r="K6294" s="10">
        <v>4.2</v>
      </c>
      <c r="L6294" s="10">
        <v>4.2</v>
      </c>
      <c r="M6294" s="6" t="s">
        <v>436</v>
      </c>
      <c r="N6294" s="6">
        <f>IF(OR($G6294="FCC",$G6294="Hydrocracker",$G6294="Reformer"),IF(COUNTIFS($D:$D,$D6294,$A:$A,$A6294,$B:$B,$B6294,$G:$G,"CDU",$J:$J,"PLANNED")&gt;0,"tied","standalone"),"")</f>
        <v/>
      </c>
    </row>
    <row r="6295" spans="1:14">
      <c r="A6295" s="6">
        <v>2025</v>
      </c>
      <c r="B6295" s="6">
        <v>8</v>
      </c>
      <c r="C6295" s="6" t="s">
        <v>67</v>
      </c>
      <c r="D6295" s="6" t="s">
        <v>592</v>
      </c>
      <c r="E6295" s="6" t="s">
        <v>593</v>
      </c>
      <c r="F6295" s="6" t="str">
        <f>IF($M6295="PADD I","PADD 1",IF($M6295="PADD II","PADD 2",IF($M6295="PADD III","PADD 3",IF($M6295="PADD IV","PADD 4",IF($M6295="PADD V","PADD 5","")))))</f>
        <v>PADD 2</v>
      </c>
      <c r="G6295" s="6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6" t="s">
        <v>44</v>
      </c>
      <c r="I6295" s="6" t="s">
        <v>965</v>
      </c>
      <c r="J6295" s="6" t="s">
        <v>394</v>
      </c>
      <c r="K6295" s="10">
        <v>4</v>
      </c>
      <c r="L6295" s="10">
        <v>40</v>
      </c>
      <c r="M6295" s="6" t="s">
        <v>425</v>
      </c>
      <c r="N6295" s="6">
        <f>IF(OR($G6295="FCC",$G6295="Hydrocracker",$G6295="Reformer"),IF(COUNTIFS($D:$D,$D6295,$A:$A,$A6295,$B:$B,$B6295,$G:$G,"CDU",$J:$J,"PLANNED")&gt;0,"tied","standalone"),"")</f>
        <v/>
      </c>
    </row>
    <row r="6296" spans="1:14">
      <c r="A6296" s="6">
        <v>2025</v>
      </c>
      <c r="B6296" s="6">
        <v>8</v>
      </c>
      <c r="C6296" s="6" t="s">
        <v>67</v>
      </c>
      <c r="D6296" s="6" t="s">
        <v>712</v>
      </c>
      <c r="E6296" s="6" t="s">
        <v>602</v>
      </c>
      <c r="F6296" s="6" t="str">
        <f>IF($M6296="PADD I","PADD 1",IF($M6296="PADD II","PADD 2",IF($M6296="PADD III","PADD 3",IF($M6296="PADD IV","PADD 4",IF($M6296="PADD V","PADD 5","")))))</f>
        <v>PADD 3</v>
      </c>
      <c r="G6296" s="6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6" t="s">
        <v>426</v>
      </c>
      <c r="I6296" s="6" t="s">
        <v>106</v>
      </c>
      <c r="J6296" s="6" t="s">
        <v>398</v>
      </c>
      <c r="K6296" s="10">
        <v>4</v>
      </c>
      <c r="L6296" s="10">
        <v>25</v>
      </c>
      <c r="M6296" s="6" t="s">
        <v>421</v>
      </c>
      <c r="N6296" s="6" t="str">
        <f>IF(OR($G6296="FCC",$G6296="Hydrocracker",$G6296="Reformer"),IF(COUNTIFS($D:$D,$D6296,$A:$A,$A6296,$B:$B,$B6296,$G:$G,"CDU",$J:$J,"PLANNED")&gt;0,"tied","standalone"),"")</f>
        <v>standalone</v>
      </c>
    </row>
    <row r="6297" spans="1:14">
      <c r="A6297" s="6">
        <v>2025</v>
      </c>
      <c r="B6297" s="6">
        <v>8</v>
      </c>
      <c r="C6297" s="6" t="s">
        <v>67</v>
      </c>
      <c r="D6297" s="6" t="s">
        <v>384</v>
      </c>
      <c r="E6297" s="6" t="s">
        <v>419</v>
      </c>
      <c r="F6297" s="6" t="str">
        <f>IF($M6297="PADD I","PADD 1",IF($M6297="PADD II","PADD 2",IF($M6297="PADD III","PADD 3",IF($M6297="PADD IV","PADD 4",IF($M6297="PADD V","PADD 5","")))))</f>
        <v>PADD 3</v>
      </c>
      <c r="G6297" s="6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6" t="s">
        <v>426</v>
      </c>
      <c r="I6297" s="6" t="s">
        <v>522</v>
      </c>
      <c r="J6297" s="6" t="s">
        <v>394</v>
      </c>
      <c r="K6297" s="10">
        <v>3.9</v>
      </c>
      <c r="L6297" s="10">
        <v>30</v>
      </c>
      <c r="M6297" s="6" t="s">
        <v>421</v>
      </c>
      <c r="N6297" s="6" t="str">
        <f>IF(OR($G6297="FCC",$G6297="Hydrocracker",$G6297="Reformer"),IF(COUNTIFS($D:$D,$D6297,$A:$A,$A6297,$B:$B,$B6297,$G:$G,"CDU",$J:$J,"PLANNED")&gt;0,"tied","standalone"),"")</f>
        <v>standalone</v>
      </c>
    </row>
    <row r="6298" spans="1:14">
      <c r="A6298" s="6">
        <v>2025</v>
      </c>
      <c r="B6298" s="6">
        <v>8</v>
      </c>
      <c r="C6298" s="6" t="s">
        <v>67</v>
      </c>
      <c r="D6298" s="6" t="s">
        <v>680</v>
      </c>
      <c r="E6298" s="6" t="s">
        <v>541</v>
      </c>
      <c r="F6298" s="6" t="str">
        <f>IF($M6298="PADD I","PADD 1",IF($M6298="PADD II","PADD 2",IF($M6298="PADD III","PADD 3",IF($M6298="PADD IV","PADD 4",IF($M6298="PADD V","PADD 5","")))))</f>
        <v>PADD 3</v>
      </c>
      <c r="G6298" s="6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6" t="s">
        <v>44</v>
      </c>
      <c r="I6298" s="6" t="s">
        <v>514</v>
      </c>
      <c r="J6298" s="6" t="s">
        <v>394</v>
      </c>
      <c r="K6298" s="10">
        <v>3.84</v>
      </c>
      <c r="L6298" s="10">
        <v>12</v>
      </c>
      <c r="M6298" s="6" t="s">
        <v>421</v>
      </c>
      <c r="N6298" s="6">
        <f>IF(OR($G6298="FCC",$G6298="Hydrocracker",$G6298="Reformer"),IF(COUNTIFS($D:$D,$D6298,$A:$A,$A6298,$B:$B,$B6298,$G:$G,"CDU",$J:$J,"PLANNED")&gt;0,"tied","standalone"),"")</f>
        <v/>
      </c>
    </row>
    <row r="6299" spans="1:14">
      <c r="A6299" s="6">
        <v>2025</v>
      </c>
      <c r="B6299" s="6">
        <v>8</v>
      </c>
      <c r="C6299" s="6" t="s">
        <v>67</v>
      </c>
      <c r="D6299" s="6" t="s">
        <v>772</v>
      </c>
      <c r="E6299" s="6" t="s">
        <v>502</v>
      </c>
      <c r="F6299" s="6" t="str">
        <f>IF($M6299="PADD I","PADD 1",IF($M6299="PADD II","PADD 2",IF($M6299="PADD III","PADD 3",IF($M6299="PADD IV","PADD 4",IF($M6299="PADD V","PADD 5","")))))</f>
        <v>PADD 4</v>
      </c>
      <c r="G6299" s="6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6" t="s">
        <v>426</v>
      </c>
      <c r="I6299" s="6" t="s">
        <v>1156</v>
      </c>
      <c r="J6299" s="6" t="s">
        <v>398</v>
      </c>
      <c r="K6299" s="10">
        <v>3.78</v>
      </c>
      <c r="L6299" s="10">
        <v>9</v>
      </c>
      <c r="M6299" s="6" t="s">
        <v>480</v>
      </c>
      <c r="N6299" s="6" t="str">
        <f>IF(OR($G6299="FCC",$G6299="Hydrocracker",$G6299="Reformer"),IF(COUNTIFS($D:$D,$D6299,$A:$A,$A6299,$B:$B,$B6299,$G:$G,"CDU",$J:$J,"PLANNED")&gt;0,"tied","standalone"),"")</f>
        <v>standalone</v>
      </c>
    </row>
    <row r="6300" spans="1:14">
      <c r="A6300" s="6">
        <v>2025</v>
      </c>
      <c r="B6300" s="6">
        <v>8</v>
      </c>
      <c r="C6300" s="6" t="s">
        <v>67</v>
      </c>
      <c r="D6300" s="6" t="s">
        <v>592</v>
      </c>
      <c r="E6300" s="6" t="s">
        <v>593</v>
      </c>
      <c r="F6300" s="6" t="str">
        <f>IF($M6300="PADD I","PADD 1",IF($M6300="PADD II","PADD 2",IF($M6300="PADD III","PADD 3",IF($M6300="PADD IV","PADD 4",IF($M6300="PADD V","PADD 5","")))))</f>
        <v>PADD 2</v>
      </c>
      <c r="G6300" s="6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6" t="s">
        <v>44</v>
      </c>
      <c r="I6300" s="6" t="s">
        <v>1056</v>
      </c>
      <c r="J6300" s="6" t="s">
        <v>394</v>
      </c>
      <c r="K6300" s="10">
        <v>3.6</v>
      </c>
      <c r="L6300" s="10">
        <v>36</v>
      </c>
      <c r="M6300" s="6" t="s">
        <v>425</v>
      </c>
      <c r="N6300" s="6">
        <f>IF(OR($G6300="FCC",$G6300="Hydrocracker",$G6300="Reformer"),IF(COUNTIFS($D:$D,$D6300,$A:$A,$A6300,$B:$B,$B6300,$G:$G,"CDU",$J:$J,"PLANNED")&gt;0,"tied","standalone"),"")</f>
        <v/>
      </c>
    </row>
    <row r="6301" spans="1:14">
      <c r="A6301" s="6">
        <v>2025</v>
      </c>
      <c r="B6301" s="6">
        <v>8</v>
      </c>
      <c r="C6301" s="6" t="s">
        <v>67</v>
      </c>
      <c r="D6301" s="6" t="s">
        <v>437</v>
      </c>
      <c r="E6301" s="6" t="s">
        <v>438</v>
      </c>
      <c r="F6301" s="6" t="str">
        <f>IF($M6301="PADD I","PADD 1",IF($M6301="PADD II","PADD 2",IF($M6301="PADD III","PADD 3",IF($M6301="PADD IV","PADD 4",IF($M6301="PADD V","PADD 5","")))))</f>
        <v>PADD 3</v>
      </c>
      <c r="G6301" s="6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6" t="s">
        <v>44</v>
      </c>
      <c r="I6301" s="6" t="s">
        <v>1269</v>
      </c>
      <c r="J6301" s="6" t="s">
        <v>394</v>
      </c>
      <c r="K6301" s="10">
        <v>3.3</v>
      </c>
      <c r="L6301" s="10">
        <v>55</v>
      </c>
      <c r="M6301" s="6" t="s">
        <v>421</v>
      </c>
      <c r="N6301" s="6">
        <f>IF(OR($G6301="FCC",$G6301="Hydrocracker",$G6301="Reformer"),IF(COUNTIFS($D:$D,$D6301,$A:$A,$A6301,$B:$B,$B6301,$G:$G,"CDU",$J:$J,"PLANNED")&gt;0,"tied","standalone"),"")</f>
        <v/>
      </c>
    </row>
    <row r="6302" spans="1:14">
      <c r="A6302" s="6">
        <v>2025</v>
      </c>
      <c r="B6302" s="6">
        <v>8</v>
      </c>
      <c r="C6302" s="6" t="s">
        <v>67</v>
      </c>
      <c r="D6302" s="6" t="s">
        <v>592</v>
      </c>
      <c r="E6302" s="6" t="s">
        <v>593</v>
      </c>
      <c r="F6302" s="6" t="str">
        <f>IF($M6302="PADD I","PADD 1",IF($M6302="PADD II","PADD 2",IF($M6302="PADD III","PADD 3",IF($M6302="PADD IV","PADD 4",IF($M6302="PADD V","PADD 5","")))))</f>
        <v>PADD 2</v>
      </c>
      <c r="G6302" s="6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6" t="s">
        <v>44</v>
      </c>
      <c r="I6302" s="6" t="s">
        <v>965</v>
      </c>
      <c r="J6302" s="6" t="s">
        <v>394</v>
      </c>
      <c r="K6302" s="10">
        <v>3.2</v>
      </c>
      <c r="L6302" s="10">
        <v>20</v>
      </c>
      <c r="M6302" s="6" t="s">
        <v>425</v>
      </c>
      <c r="N6302" s="6">
        <f>IF(OR($G6302="FCC",$G6302="Hydrocracker",$G6302="Reformer"),IF(COUNTIFS($D:$D,$D6302,$A:$A,$A6302,$B:$B,$B6302,$G:$G,"CDU",$J:$J,"PLANNED")&gt;0,"tied","standalone"),"")</f>
        <v/>
      </c>
    </row>
    <row r="6303" spans="1:14">
      <c r="A6303" s="6">
        <v>2025</v>
      </c>
      <c r="B6303" s="6">
        <v>8</v>
      </c>
      <c r="C6303" s="6" t="s">
        <v>67</v>
      </c>
      <c r="D6303" s="6" t="s">
        <v>730</v>
      </c>
      <c r="E6303" s="6" t="s">
        <v>731</v>
      </c>
      <c r="F6303" s="6" t="str">
        <f>IF($M6303="PADD I","PADD 1",IF($M6303="PADD II","PADD 2",IF($M6303="PADD III","PADD 3",IF($M6303="PADD IV","PADD 4",IF($M6303="PADD V","PADD 5","")))))</f>
        <v>PADD 3</v>
      </c>
      <c r="G6303" s="6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6" t="s">
        <v>510</v>
      </c>
      <c r="I6303" s="6" t="s">
        <v>666</v>
      </c>
      <c r="J6303" s="6" t="s">
        <v>394</v>
      </c>
      <c r="K6303" s="10">
        <v>3.135</v>
      </c>
      <c r="L6303" s="10">
        <v>5.7</v>
      </c>
      <c r="M6303" s="6" t="s">
        <v>421</v>
      </c>
      <c r="N6303" s="6">
        <f>IF(OR($G6303="FCC",$G6303="Hydrocracker",$G6303="Reformer"),IF(COUNTIFS($D:$D,$D6303,$A:$A,$A6303,$B:$B,$B6303,$G:$G,"CDU",$J:$J,"PLANNED")&gt;0,"tied","standalone"),"")</f>
        <v/>
      </c>
    </row>
    <row r="6304" spans="1:14">
      <c r="A6304" s="6">
        <v>2025</v>
      </c>
      <c r="B6304" s="6">
        <v>8</v>
      </c>
      <c r="C6304" s="6" t="s">
        <v>67</v>
      </c>
      <c r="D6304" s="6" t="s">
        <v>1003</v>
      </c>
      <c r="E6304" s="6" t="s">
        <v>783</v>
      </c>
      <c r="F6304" s="6" t="str">
        <f>IF($M6304="PADD I","PADD 1",IF($M6304="PADD II","PADD 2",IF($M6304="PADD III","PADD 3",IF($M6304="PADD IV","PADD 4",IF($M6304="PADD V","PADD 5","")))))</f>
        <v>PADD 2</v>
      </c>
      <c r="G6304" s="6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6" t="s">
        <v>39</v>
      </c>
      <c r="I6304" s="6" t="s">
        <v>379</v>
      </c>
      <c r="J6304" s="6" t="s">
        <v>394</v>
      </c>
      <c r="K6304" s="10">
        <v>2.9958</v>
      </c>
      <c r="L6304" s="10">
        <v>49.93</v>
      </c>
      <c r="M6304" s="6" t="s">
        <v>425</v>
      </c>
      <c r="N6304" s="6">
        <f>IF(OR($G6304="FCC",$G6304="Hydrocracker",$G6304="Reformer"),IF(COUNTIFS($D:$D,$D6304,$A:$A,$A6304,$B:$B,$B6304,$G:$G,"CDU",$J:$J,"PLANNED")&gt;0,"tied","standalone"),"")</f>
        <v/>
      </c>
    </row>
    <row r="6305" spans="1:14">
      <c r="A6305" s="6">
        <v>2025</v>
      </c>
      <c r="B6305" s="6">
        <v>8</v>
      </c>
      <c r="C6305" s="6" t="s">
        <v>67</v>
      </c>
      <c r="D6305" s="6" t="s">
        <v>534</v>
      </c>
      <c r="E6305" s="6" t="s">
        <v>459</v>
      </c>
      <c r="F6305" s="6" t="str">
        <f>IF($M6305="PADD I","PADD 1",IF($M6305="PADD II","PADD 2",IF($M6305="PADD III","PADD 3",IF($M6305="PADD IV","PADD 4",IF($M6305="PADD V","PADD 5","")))))</f>
        <v>PADD 3</v>
      </c>
      <c r="G6305" s="6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6" t="s">
        <v>44</v>
      </c>
      <c r="I6305" s="6" t="s">
        <v>543</v>
      </c>
      <c r="J6305" s="6" t="s">
        <v>394</v>
      </c>
      <c r="K6305" s="10">
        <v>2.9</v>
      </c>
      <c r="L6305" s="10">
        <v>10</v>
      </c>
      <c r="M6305" s="6" t="s">
        <v>421</v>
      </c>
      <c r="N6305" s="6">
        <f>IF(OR($G6305="FCC",$G6305="Hydrocracker",$G6305="Reformer"),IF(COUNTIFS($D:$D,$D6305,$A:$A,$A6305,$B:$B,$B6305,$G:$G,"CDU",$J:$J,"PLANNED")&gt;0,"tied","standalone"),"")</f>
        <v/>
      </c>
    </row>
    <row r="6306" spans="1:14">
      <c r="A6306" s="6">
        <v>2025</v>
      </c>
      <c r="B6306" s="6">
        <v>8</v>
      </c>
      <c r="C6306" s="6" t="s">
        <v>67</v>
      </c>
      <c r="D6306" s="6" t="s">
        <v>592</v>
      </c>
      <c r="E6306" s="6" t="s">
        <v>593</v>
      </c>
      <c r="F6306" s="6" t="str">
        <f>IF($M6306="PADD I","PADD 1",IF($M6306="PADD II","PADD 2",IF($M6306="PADD III","PADD 3",IF($M6306="PADD IV","PADD 4",IF($M6306="PADD V","PADD 5","")))))</f>
        <v>PADD 2</v>
      </c>
      <c r="G6306" s="6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6" t="s">
        <v>44</v>
      </c>
      <c r="I6306" s="6" t="s">
        <v>1056</v>
      </c>
      <c r="J6306" s="6" t="s">
        <v>394</v>
      </c>
      <c r="K6306" s="10">
        <v>2.88</v>
      </c>
      <c r="L6306" s="10">
        <v>18</v>
      </c>
      <c r="M6306" s="6" t="s">
        <v>425</v>
      </c>
      <c r="N6306" s="6">
        <f>IF(OR($G6306="FCC",$G6306="Hydrocracker",$G6306="Reformer"),IF(COUNTIFS($D:$D,$D6306,$A:$A,$A6306,$B:$B,$B6306,$G:$G,"CDU",$J:$J,"PLANNED")&gt;0,"tied","standalone"),"")</f>
        <v/>
      </c>
    </row>
    <row r="6307" spans="1:14">
      <c r="A6307" s="6">
        <v>2025</v>
      </c>
      <c r="B6307" s="6">
        <v>8</v>
      </c>
      <c r="C6307" s="6" t="s">
        <v>67</v>
      </c>
      <c r="D6307" s="6" t="s">
        <v>592</v>
      </c>
      <c r="E6307" s="6" t="s">
        <v>593</v>
      </c>
      <c r="F6307" s="6" t="str">
        <f>IF($M6307="PADD I","PADD 1",IF($M6307="PADD II","PADD 2",IF($M6307="PADD III","PADD 3",IF($M6307="PADD IV","PADD 4",IF($M6307="PADD V","PADD 5","")))))</f>
        <v>PADD 2</v>
      </c>
      <c r="G6307" s="6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6" t="s">
        <v>618</v>
      </c>
      <c r="I6307" s="6" t="s">
        <v>654</v>
      </c>
      <c r="J6307" s="6" t="s">
        <v>394</v>
      </c>
      <c r="K6307" s="10">
        <v>2.79</v>
      </c>
      <c r="L6307" s="10">
        <v>27.9</v>
      </c>
      <c r="M6307" s="6" t="s">
        <v>425</v>
      </c>
      <c r="N6307" s="6">
        <f>IF(OR($G6307="FCC",$G6307="Hydrocracker",$G6307="Reformer"),IF(COUNTIFS($D:$D,$D6307,$A:$A,$A6307,$B:$B,$B6307,$G:$G,"CDU",$J:$J,"PLANNED")&gt;0,"tied","standalone"),"")</f>
        <v/>
      </c>
    </row>
    <row r="6308" spans="1:14">
      <c r="A6308" s="6">
        <v>2025</v>
      </c>
      <c r="B6308" s="6">
        <v>8</v>
      </c>
      <c r="C6308" s="6" t="s">
        <v>67</v>
      </c>
      <c r="D6308" s="6" t="s">
        <v>613</v>
      </c>
      <c r="E6308" s="6" t="s">
        <v>446</v>
      </c>
      <c r="F6308" s="6" t="str">
        <f>IF($M6308="PADD I","PADD 1",IF($M6308="PADD II","PADD 2",IF($M6308="PADD III","PADD 3",IF($M6308="PADD IV","PADD 4",IF($M6308="PADD V","PADD 5","")))))</f>
        <v>PADD 3</v>
      </c>
      <c r="G6308" s="6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6" t="s">
        <v>44</v>
      </c>
      <c r="I6308" s="6" t="s">
        <v>614</v>
      </c>
      <c r="J6308" s="6" t="s">
        <v>394</v>
      </c>
      <c r="K6308" s="10">
        <v>2.454</v>
      </c>
      <c r="L6308" s="10">
        <v>40.9</v>
      </c>
      <c r="M6308" s="6" t="s">
        <v>421</v>
      </c>
      <c r="N6308" s="6">
        <f>IF(OR($G6308="FCC",$G6308="Hydrocracker",$G6308="Reformer"),IF(COUNTIFS($D:$D,$D6308,$A:$A,$A6308,$B:$B,$B6308,$G:$G,"CDU",$J:$J,"PLANNED")&gt;0,"tied","standalone"),"")</f>
        <v/>
      </c>
    </row>
    <row r="6309" spans="1:14">
      <c r="A6309" s="6">
        <v>2025</v>
      </c>
      <c r="B6309" s="6">
        <v>8</v>
      </c>
      <c r="C6309" s="6" t="s">
        <v>67</v>
      </c>
      <c r="D6309" s="6" t="s">
        <v>592</v>
      </c>
      <c r="E6309" s="6" t="s">
        <v>593</v>
      </c>
      <c r="F6309" s="6" t="str">
        <f>IF($M6309="PADD I","PADD 1",IF($M6309="PADD II","PADD 2",IF($M6309="PADD III","PADD 3",IF($M6309="PADD IV","PADD 4",IF($M6309="PADD V","PADD 5","")))))</f>
        <v>PADD 2</v>
      </c>
      <c r="G6309" s="6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6" t="s">
        <v>44</v>
      </c>
      <c r="I6309" s="6" t="s">
        <v>1162</v>
      </c>
      <c r="J6309" s="6" t="s">
        <v>394</v>
      </c>
      <c r="K6309" s="10">
        <v>2.43</v>
      </c>
      <c r="L6309" s="10">
        <v>24.3</v>
      </c>
      <c r="M6309" s="6" t="s">
        <v>425</v>
      </c>
      <c r="N6309" s="6">
        <f>IF(OR($G6309="FCC",$G6309="Hydrocracker",$G6309="Reformer"),IF(COUNTIFS($D:$D,$D6309,$A:$A,$A6309,$B:$B,$B6309,$G:$G,"CDU",$J:$J,"PLANNED")&gt;0,"tied","standalone"),"")</f>
        <v/>
      </c>
    </row>
    <row r="6310" spans="1:14">
      <c r="A6310" s="6">
        <v>2025</v>
      </c>
      <c r="B6310" s="6">
        <v>8</v>
      </c>
      <c r="C6310" s="6" t="s">
        <v>67</v>
      </c>
      <c r="D6310" s="6" t="s">
        <v>458</v>
      </c>
      <c r="E6310" s="6" t="s">
        <v>459</v>
      </c>
      <c r="F6310" s="6" t="str">
        <f>IF($M6310="PADD I","PADD 1",IF($M6310="PADD II","PADD 2",IF($M6310="PADD III","PADD 3",IF($M6310="PADD IV","PADD 4",IF($M6310="PADD V","PADD 5","")))))</f>
        <v>PADD 3</v>
      </c>
      <c r="G6310" s="6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6" t="s">
        <v>426</v>
      </c>
      <c r="I6310" s="6" t="s">
        <v>476</v>
      </c>
      <c r="J6310" s="6" t="s">
        <v>394</v>
      </c>
      <c r="K6310" s="10">
        <v>2.4</v>
      </c>
      <c r="L6310" s="10">
        <v>80</v>
      </c>
      <c r="M6310" s="6" t="s">
        <v>421</v>
      </c>
      <c r="N6310" s="6" t="str">
        <f>IF(OR($G6310="FCC",$G6310="Hydrocracker",$G6310="Reformer"),IF(COUNTIFS($D:$D,$D6310,$A:$A,$A6310,$B:$B,$B6310,$G:$G,"CDU",$J:$J,"PLANNED")&gt;0,"tied","standalone"),"")</f>
        <v>standalone</v>
      </c>
    </row>
    <row r="6311" spans="1:14">
      <c r="A6311" s="6">
        <v>2025</v>
      </c>
      <c r="B6311" s="6">
        <v>8</v>
      </c>
      <c r="C6311" s="6" t="s">
        <v>67</v>
      </c>
      <c r="D6311" s="6" t="s">
        <v>380</v>
      </c>
      <c r="E6311" s="6" t="s">
        <v>423</v>
      </c>
      <c r="F6311" s="6" t="str">
        <f>IF($M6311="PADD I","PADD 1",IF($M6311="PADD II","PADD 2",IF($M6311="PADD III","PADD 3",IF($M6311="PADD IV","PADD 4",IF($M6311="PADD V","PADD 5","")))))</f>
        <v>PADD 2</v>
      </c>
      <c r="G6311" s="6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6" t="s">
        <v>471</v>
      </c>
      <c r="I6311" s="6" t="s">
        <v>966</v>
      </c>
      <c r="J6311" s="6" t="s">
        <v>394</v>
      </c>
      <c r="K6311" s="10">
        <v>2.4</v>
      </c>
      <c r="L6311" s="10">
        <v>40</v>
      </c>
      <c r="M6311" s="6" t="s">
        <v>425</v>
      </c>
      <c r="N6311" s="6" t="str">
        <f>IF(OR($G6311="FCC",$G6311="Hydrocracker",$G6311="Reformer"),IF(COUNTIFS($D:$D,$D6311,$A:$A,$A6311,$B:$B,$B6311,$G:$G,"CDU",$J:$J,"PLANNED")&gt;0,"tied","standalone"),"")</f>
        <v>standalone</v>
      </c>
    </row>
    <row r="6312" spans="1:14">
      <c r="A6312" s="6">
        <v>2025</v>
      </c>
      <c r="B6312" s="6">
        <v>8</v>
      </c>
      <c r="C6312" s="6" t="s">
        <v>67</v>
      </c>
      <c r="D6312" s="6" t="s">
        <v>41</v>
      </c>
      <c r="E6312" s="6" t="s">
        <v>786</v>
      </c>
      <c r="F6312" s="6" t="str">
        <f>IF($M6312="PADD I","PADD 1",IF($M6312="PADD II","PADD 2",IF($M6312="PADD III","PADD 3",IF($M6312="PADD IV","PADD 4",IF($M6312="PADD V","PADD 5","")))))</f>
        <v>PADD 1</v>
      </c>
      <c r="G6312" s="6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6" t="s">
        <v>494</v>
      </c>
      <c r="I6312" s="6" t="s">
        <v>495</v>
      </c>
      <c r="J6312" s="6" t="s">
        <v>394</v>
      </c>
      <c r="K6312" s="10">
        <v>2.3</v>
      </c>
      <c r="L6312" s="10">
        <v>23</v>
      </c>
      <c r="M6312" s="6" t="s">
        <v>463</v>
      </c>
      <c r="N6312" s="6" t="str">
        <f>IF(OR($G6312="FCC",$G6312="Hydrocracker",$G6312="Reformer"),IF(COUNTIFS($D:$D,$D6312,$A:$A,$A6312,$B:$B,$B6312,$G:$G,"CDU",$J:$J,"PLANNED")&gt;0,"tied","standalone"),"")</f>
        <v>standalone</v>
      </c>
    </row>
    <row r="6313" spans="1:14">
      <c r="A6313" s="6">
        <v>2025</v>
      </c>
      <c r="B6313" s="6">
        <v>8</v>
      </c>
      <c r="C6313" s="6" t="s">
        <v>67</v>
      </c>
      <c r="D6313" s="6" t="s">
        <v>652</v>
      </c>
      <c r="E6313" s="6" t="s">
        <v>419</v>
      </c>
      <c r="F6313" s="6" t="str">
        <f>IF($M6313="PADD I","PADD 1",IF($M6313="PADD II","PADD 2",IF($M6313="PADD III","PADD 3",IF($M6313="PADD IV","PADD 4",IF($M6313="PADD V","PADD 5","")))))</f>
        <v>PADD 2</v>
      </c>
      <c r="G6313" s="6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6" t="s">
        <v>39</v>
      </c>
      <c r="I6313" s="6" t="s">
        <v>711</v>
      </c>
      <c r="J6313" s="6" t="s">
        <v>394</v>
      </c>
      <c r="K6313" s="10">
        <v>2.28</v>
      </c>
      <c r="L6313" s="10">
        <v>38</v>
      </c>
      <c r="M6313" s="6" t="s">
        <v>425</v>
      </c>
      <c r="N6313" s="6">
        <f>IF(OR($G6313="FCC",$G6313="Hydrocracker",$G6313="Reformer"),IF(COUNTIFS($D:$D,$D6313,$A:$A,$A6313,$B:$B,$B6313,$G:$G,"CDU",$J:$J,"PLANNED")&gt;0,"tied","standalone"),"")</f>
        <v/>
      </c>
    </row>
    <row r="6314" spans="1:14">
      <c r="A6314" s="6">
        <v>2025</v>
      </c>
      <c r="B6314" s="6">
        <v>8</v>
      </c>
      <c r="C6314" s="6" t="s">
        <v>67</v>
      </c>
      <c r="D6314" s="6" t="s">
        <v>592</v>
      </c>
      <c r="E6314" s="6" t="s">
        <v>593</v>
      </c>
      <c r="F6314" s="6" t="str">
        <f>IF($M6314="PADD I","PADD 1",IF($M6314="PADD II","PADD 2",IF($M6314="PADD III","PADD 3",IF($M6314="PADD IV","PADD 4",IF($M6314="PADD V","PADD 5","")))))</f>
        <v>PADD 2</v>
      </c>
      <c r="G6314" s="6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6" t="s">
        <v>618</v>
      </c>
      <c r="I6314" s="6" t="s">
        <v>654</v>
      </c>
      <c r="J6314" s="6" t="s">
        <v>394</v>
      </c>
      <c r="K6314" s="10">
        <v>2.232</v>
      </c>
      <c r="L6314" s="10">
        <v>13.95</v>
      </c>
      <c r="M6314" s="6" t="s">
        <v>425</v>
      </c>
      <c r="N6314" s="6">
        <f>IF(OR($G6314="FCC",$G6314="Hydrocracker",$G6314="Reformer"),IF(COUNTIFS($D:$D,$D6314,$A:$A,$A6314,$B:$B,$B6314,$G:$G,"CDU",$J:$J,"PLANNED")&gt;0,"tied","standalone"),"")</f>
        <v/>
      </c>
    </row>
    <row r="6315" spans="1:14">
      <c r="A6315" s="6">
        <v>2025</v>
      </c>
      <c r="B6315" s="6">
        <v>8</v>
      </c>
      <c r="C6315" s="6" t="s">
        <v>67</v>
      </c>
      <c r="D6315" s="6" t="s">
        <v>901</v>
      </c>
      <c r="E6315" s="6" t="s">
        <v>902</v>
      </c>
      <c r="F6315" s="6" t="str">
        <f>IF($M6315="PADD I","PADD 1",IF($M6315="PADD II","PADD 2",IF($M6315="PADD III","PADD 3",IF($M6315="PADD IV","PADD 4",IF($M6315="PADD V","PADD 5","")))))</f>
        <v>PADD 3</v>
      </c>
      <c r="G6315" s="6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6" t="s">
        <v>39</v>
      </c>
      <c r="I6315" s="6" t="s">
        <v>904</v>
      </c>
      <c r="J6315" s="6" t="s">
        <v>394</v>
      </c>
      <c r="K6315" s="10">
        <v>2.19</v>
      </c>
      <c r="L6315" s="10">
        <v>73</v>
      </c>
      <c r="M6315" s="6" t="s">
        <v>421</v>
      </c>
      <c r="N6315" s="6">
        <f>IF(OR($G6315="FCC",$G6315="Hydrocracker",$G6315="Reformer"),IF(COUNTIFS($D:$D,$D6315,$A:$A,$A6315,$B:$B,$B6315,$G:$G,"CDU",$J:$J,"PLANNED")&gt;0,"tied","standalone"),"")</f>
        <v/>
      </c>
    </row>
    <row r="6316" spans="1:14">
      <c r="A6316" s="6">
        <v>2025</v>
      </c>
      <c r="B6316" s="6">
        <v>8</v>
      </c>
      <c r="C6316" s="6" t="s">
        <v>67</v>
      </c>
      <c r="D6316" s="6" t="s">
        <v>1082</v>
      </c>
      <c r="E6316" s="6" t="s">
        <v>1083</v>
      </c>
      <c r="F6316" s="6" t="str">
        <f>IF($M6316="PADD I","PADD 1",IF($M6316="PADD II","PADD 2",IF($M6316="PADD III","PADD 3",IF($M6316="PADD IV","PADD 4",IF($M6316="PADD V","PADD 5","")))))</f>
        <v>PADD 5</v>
      </c>
      <c r="G6316" s="6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6" t="s">
        <v>428</v>
      </c>
      <c r="I6316" s="6" t="s">
        <v>1084</v>
      </c>
      <c r="J6316" s="6" t="s">
        <v>394</v>
      </c>
      <c r="K6316" s="10">
        <v>2</v>
      </c>
      <c r="L6316" s="10">
        <v>2</v>
      </c>
      <c r="M6316" s="6" t="s">
        <v>436</v>
      </c>
      <c r="N6316" s="6">
        <f>IF(OR($G6316="FCC",$G6316="Hydrocracker",$G6316="Reformer"),IF(COUNTIFS($D:$D,$D6316,$A:$A,$A6316,$B:$B,$B6316,$G:$G,"CDU",$J:$J,"PLANNED")&gt;0,"tied","standalone"),"")</f>
        <v/>
      </c>
    </row>
    <row r="6317" spans="1:14">
      <c r="A6317" s="6">
        <v>2025</v>
      </c>
      <c r="B6317" s="6">
        <v>8</v>
      </c>
      <c r="C6317" s="6" t="s">
        <v>67</v>
      </c>
      <c r="D6317" s="6" t="s">
        <v>652</v>
      </c>
      <c r="E6317" s="6" t="s">
        <v>419</v>
      </c>
      <c r="F6317" s="6" t="str">
        <f>IF($M6317="PADD I","PADD 1",IF($M6317="PADD II","PADD 2",IF($M6317="PADD III","PADD 3",IF($M6317="PADD IV","PADD 4",IF($M6317="PADD V","PADD 5","")))))</f>
        <v>PADD 2</v>
      </c>
      <c r="G6317" s="6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6" t="s">
        <v>428</v>
      </c>
      <c r="I6317" s="6" t="s">
        <v>586</v>
      </c>
      <c r="J6317" s="6" t="s">
        <v>394</v>
      </c>
      <c r="K6317" s="10">
        <v>1.95</v>
      </c>
      <c r="L6317" s="10">
        <v>15</v>
      </c>
      <c r="M6317" s="6" t="s">
        <v>425</v>
      </c>
      <c r="N6317" s="6">
        <f>IF(OR($G6317="FCC",$G6317="Hydrocracker",$G6317="Reformer"),IF(COUNTIFS($D:$D,$D6317,$A:$A,$A6317,$B:$B,$B6317,$G:$G,"CDU",$J:$J,"PLANNED")&gt;0,"tied","standalone"),"")</f>
        <v/>
      </c>
    </row>
    <row r="6318" spans="1:14">
      <c r="A6318" s="6">
        <v>2025</v>
      </c>
      <c r="B6318" s="6">
        <v>8</v>
      </c>
      <c r="C6318" s="6" t="s">
        <v>67</v>
      </c>
      <c r="D6318" s="6" t="s">
        <v>592</v>
      </c>
      <c r="E6318" s="6" t="s">
        <v>593</v>
      </c>
      <c r="F6318" s="6" t="str">
        <f>IF($M6318="PADD I","PADD 1",IF($M6318="PADD II","PADD 2",IF($M6318="PADD III","PADD 3",IF($M6318="PADD IV","PADD 4",IF($M6318="PADD V","PADD 5","")))))</f>
        <v>PADD 2</v>
      </c>
      <c r="G6318" s="6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6" t="s">
        <v>44</v>
      </c>
      <c r="I6318" s="6" t="s">
        <v>1162</v>
      </c>
      <c r="J6318" s="6" t="s">
        <v>394</v>
      </c>
      <c r="K6318" s="10">
        <v>1.944</v>
      </c>
      <c r="L6318" s="10">
        <v>12.15</v>
      </c>
      <c r="M6318" s="6" t="s">
        <v>425</v>
      </c>
      <c r="N6318" s="6">
        <f>IF(OR($G6318="FCC",$G6318="Hydrocracker",$G6318="Reformer"),IF(COUNTIFS($D:$D,$D6318,$A:$A,$A6318,$B:$B,$B6318,$G:$G,"CDU",$J:$J,"PLANNED")&gt;0,"tied","standalone"),"")</f>
        <v/>
      </c>
    </row>
    <row r="6319" spans="1:14">
      <c r="A6319" s="6">
        <v>2025</v>
      </c>
      <c r="B6319" s="6">
        <v>8</v>
      </c>
      <c r="C6319" s="6" t="s">
        <v>67</v>
      </c>
      <c r="D6319" s="6" t="s">
        <v>712</v>
      </c>
      <c r="E6319" s="6" t="s">
        <v>602</v>
      </c>
      <c r="F6319" s="6" t="str">
        <f>IF($M6319="PADD I","PADD 1",IF($M6319="PADD II","PADD 2",IF($M6319="PADD III","PADD 3",IF($M6319="PADD IV","PADD 4",IF($M6319="PADD V","PADD 5","")))))</f>
        <v>PADD 3</v>
      </c>
      <c r="G6319" s="6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6" t="s">
        <v>44</v>
      </c>
      <c r="I6319" s="6" t="s">
        <v>878</v>
      </c>
      <c r="J6319" s="6" t="s">
        <v>398</v>
      </c>
      <c r="K6319" s="10">
        <v>1.92</v>
      </c>
      <c r="L6319" s="10">
        <v>12</v>
      </c>
      <c r="M6319" s="6" t="s">
        <v>421</v>
      </c>
      <c r="N6319" s="6">
        <f>IF(OR($G6319="FCC",$G6319="Hydrocracker",$G6319="Reformer"),IF(COUNTIFS($D:$D,$D6319,$A:$A,$A6319,$B:$B,$B6319,$G:$G,"CDU",$J:$J,"PLANNED")&gt;0,"tied","standalone"),"")</f>
        <v/>
      </c>
    </row>
    <row r="6320" spans="1:14">
      <c r="A6320" s="6">
        <v>2025</v>
      </c>
      <c r="B6320" s="6">
        <v>8</v>
      </c>
      <c r="C6320" s="6" t="s">
        <v>67</v>
      </c>
      <c r="D6320" s="6" t="s">
        <v>901</v>
      </c>
      <c r="E6320" s="6" t="s">
        <v>902</v>
      </c>
      <c r="F6320" s="6" t="str">
        <f>IF($M6320="PADD I","PADD 1",IF($M6320="PADD II","PADD 2",IF($M6320="PADD III","PADD 3",IF($M6320="PADD IV","PADD 4",IF($M6320="PADD V","PADD 5","")))))</f>
        <v>PADD 3</v>
      </c>
      <c r="G6320" s="6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6" t="s">
        <v>39</v>
      </c>
      <c r="I6320" s="6" t="s">
        <v>903</v>
      </c>
      <c r="J6320" s="6" t="s">
        <v>394</v>
      </c>
      <c r="K6320" s="10">
        <v>1.92</v>
      </c>
      <c r="L6320" s="10">
        <v>64</v>
      </c>
      <c r="M6320" s="6" t="s">
        <v>421</v>
      </c>
      <c r="N6320" s="6">
        <f>IF(OR($G6320="FCC",$G6320="Hydrocracker",$G6320="Reformer"),IF(COUNTIFS($D:$D,$D6320,$A:$A,$A6320,$B:$B,$B6320,$G:$G,"CDU",$J:$J,"PLANNED")&gt;0,"tied","standalone"),"")</f>
        <v/>
      </c>
    </row>
    <row r="6321" spans="1:14">
      <c r="A6321" s="6">
        <v>2025</v>
      </c>
      <c r="B6321" s="6">
        <v>8</v>
      </c>
      <c r="C6321" s="6" t="s">
        <v>67</v>
      </c>
      <c r="D6321" s="6" t="s">
        <v>458</v>
      </c>
      <c r="E6321" s="6" t="s">
        <v>459</v>
      </c>
      <c r="F6321" s="6" t="str">
        <f>IF($M6321="PADD I","PADD 1",IF($M6321="PADD II","PADD 2",IF($M6321="PADD III","PADD 3",IF($M6321="PADD IV","PADD 4",IF($M6321="PADD V","PADD 5","")))))</f>
        <v>PADD 3</v>
      </c>
      <c r="G6321" s="6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6" t="s">
        <v>485</v>
      </c>
      <c r="I6321" s="6" t="s">
        <v>509</v>
      </c>
      <c r="J6321" s="6" t="s">
        <v>394</v>
      </c>
      <c r="K6321" s="10">
        <v>1.8</v>
      </c>
      <c r="L6321" s="10">
        <v>60</v>
      </c>
      <c r="M6321" s="6" t="s">
        <v>421</v>
      </c>
      <c r="N6321" s="6">
        <f>IF(OR($G6321="FCC",$G6321="Hydrocracker",$G6321="Reformer"),IF(COUNTIFS($D:$D,$D6321,$A:$A,$A6321,$B:$B,$B6321,$G:$G,"CDU",$J:$J,"PLANNED")&gt;0,"tied","standalone"),"")</f>
        <v/>
      </c>
    </row>
    <row r="6322" spans="1:14">
      <c r="A6322" s="6">
        <v>2025</v>
      </c>
      <c r="B6322" s="6">
        <v>8</v>
      </c>
      <c r="C6322" s="6" t="s">
        <v>67</v>
      </c>
      <c r="D6322" s="6" t="s">
        <v>41</v>
      </c>
      <c r="E6322" s="6" t="s">
        <v>786</v>
      </c>
      <c r="F6322" s="6" t="str">
        <f>IF($M6322="PADD I","PADD 1",IF($M6322="PADD II","PADD 2",IF($M6322="PADD III","PADD 3",IF($M6322="PADD IV","PADD 4",IF($M6322="PADD V","PADD 5","")))))</f>
        <v>PADD 1</v>
      </c>
      <c r="G6322" s="6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6" t="s">
        <v>471</v>
      </c>
      <c r="I6322" s="6" t="s">
        <v>832</v>
      </c>
      <c r="J6322" s="6" t="s">
        <v>394</v>
      </c>
      <c r="K6322" s="10">
        <v>1.5</v>
      </c>
      <c r="L6322" s="10">
        <v>50</v>
      </c>
      <c r="M6322" s="6" t="s">
        <v>463</v>
      </c>
      <c r="N6322" s="6" t="str">
        <f>IF(OR($G6322="FCC",$G6322="Hydrocracker",$G6322="Reformer"),IF(COUNTIFS($D:$D,$D6322,$A:$A,$A6322,$B:$B,$B6322,$G:$G,"CDU",$J:$J,"PLANNED")&gt;0,"tied","standalone"),"")</f>
        <v>standalone</v>
      </c>
    </row>
    <row r="6323" spans="1:14">
      <c r="A6323" s="6">
        <v>2025</v>
      </c>
      <c r="B6323" s="6">
        <v>8</v>
      </c>
      <c r="C6323" s="6" t="s">
        <v>67</v>
      </c>
      <c r="D6323" s="6" t="s">
        <v>901</v>
      </c>
      <c r="E6323" s="6" t="s">
        <v>902</v>
      </c>
      <c r="F6323" s="6" t="str">
        <f>IF($M6323="PADD I","PADD 1",IF($M6323="PADD II","PADD 2",IF($M6323="PADD III","PADD 3",IF($M6323="PADD IV","PADD 4",IF($M6323="PADD V","PADD 5","")))))</f>
        <v>PADD 3</v>
      </c>
      <c r="G6323" s="6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6" t="s">
        <v>428</v>
      </c>
      <c r="I6323" s="6" t="s">
        <v>910</v>
      </c>
      <c r="J6323" s="6" t="s">
        <v>394</v>
      </c>
      <c r="K6323" s="10">
        <v>1.08</v>
      </c>
      <c r="L6323" s="10">
        <v>36</v>
      </c>
      <c r="M6323" s="6" t="s">
        <v>421</v>
      </c>
      <c r="N6323" s="6">
        <f>IF(OR($G6323="FCC",$G6323="Hydrocracker",$G6323="Reformer"),IF(COUNTIFS($D:$D,$D6323,$A:$A,$A6323,$B:$B,$B6323,$G:$G,"CDU",$J:$J,"PLANNED")&gt;0,"tied","standalone"),"")</f>
        <v/>
      </c>
    </row>
    <row r="6324" spans="1:14">
      <c r="A6324" s="6">
        <v>2025</v>
      </c>
      <c r="B6324" s="6">
        <v>8</v>
      </c>
      <c r="C6324" s="6" t="s">
        <v>67</v>
      </c>
      <c r="D6324" s="6" t="s">
        <v>1010</v>
      </c>
      <c r="E6324" s="6" t="s">
        <v>931</v>
      </c>
      <c r="F6324" s="6" t="str">
        <f>IF($M6324="PADD I","PADD 1",IF($M6324="PADD II","PADD 2",IF($M6324="PADD III","PADD 3",IF($M6324="PADD IV","PADD 4",IF($M6324="PADD V","PADD 5","")))))</f>
        <v>PADD 3</v>
      </c>
      <c r="G6324" s="6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6" t="s">
        <v>44</v>
      </c>
      <c r="I6324" s="6" t="s">
        <v>1011</v>
      </c>
      <c r="J6324" s="6" t="s">
        <v>394</v>
      </c>
      <c r="K6324" s="10">
        <v>1.04</v>
      </c>
      <c r="L6324" s="10">
        <v>8</v>
      </c>
      <c r="M6324" s="6" t="s">
        <v>421</v>
      </c>
      <c r="N6324" s="6">
        <f>IF(OR($G6324="FCC",$G6324="Hydrocracker",$G6324="Reformer"),IF(COUNTIFS($D:$D,$D6324,$A:$A,$A6324,$B:$B,$B6324,$G:$G,"CDU",$J:$J,"PLANNED")&gt;0,"tied","standalone"),"")</f>
        <v/>
      </c>
    </row>
    <row r="6325" spans="1:14">
      <c r="A6325" s="6">
        <v>2025</v>
      </c>
      <c r="B6325" s="6">
        <v>8</v>
      </c>
      <c r="C6325" s="6" t="s">
        <v>67</v>
      </c>
      <c r="D6325" s="6" t="s">
        <v>849</v>
      </c>
      <c r="E6325" s="6" t="s">
        <v>441</v>
      </c>
      <c r="F6325" s="6" t="str">
        <f>IF($M6325="PADD I","PADD 1",IF($M6325="PADD II","PADD 2",IF($M6325="PADD III","PADD 3",IF($M6325="PADD IV","PADD 4",IF($M6325="PADD V","PADD 5","")))))</f>
        <v>PADD 4</v>
      </c>
      <c r="G6325" s="6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6" t="s">
        <v>485</v>
      </c>
      <c r="I6325" s="6" t="s">
        <v>1238</v>
      </c>
      <c r="J6325" s="6" t="s">
        <v>394</v>
      </c>
      <c r="K6325" s="10">
        <v>1</v>
      </c>
      <c r="L6325" s="10">
        <v>10</v>
      </c>
      <c r="M6325" s="6" t="s">
        <v>480</v>
      </c>
      <c r="N6325" s="6">
        <f>IF(OR($G6325="FCC",$G6325="Hydrocracker",$G6325="Reformer"),IF(COUNTIFS($D:$D,$D6325,$A:$A,$A6325,$B:$B,$B6325,$G:$G,"CDU",$J:$J,"PLANNED")&gt;0,"tied","standalone"),"")</f>
        <v/>
      </c>
    </row>
    <row r="6326" spans="1:14">
      <c r="A6326" s="6">
        <v>2025</v>
      </c>
      <c r="B6326" s="6">
        <v>8</v>
      </c>
      <c r="C6326" s="6" t="s">
        <v>67</v>
      </c>
      <c r="D6326" s="6" t="s">
        <v>652</v>
      </c>
      <c r="E6326" s="6" t="s">
        <v>419</v>
      </c>
      <c r="F6326" s="6" t="str">
        <f>IF($M6326="PADD I","PADD 1",IF($M6326="PADD II","PADD 2",IF($M6326="PADD III","PADD 3",IF($M6326="PADD IV","PADD 4",IF($M6326="PADD V","PADD 5","")))))</f>
        <v>PADD 2</v>
      </c>
      <c r="G6326" s="6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6" t="s">
        <v>428</v>
      </c>
      <c r="I6326" s="6" t="s">
        <v>586</v>
      </c>
      <c r="J6326" s="6" t="s">
        <v>394</v>
      </c>
      <c r="K6326" s="10">
        <v>0.9</v>
      </c>
      <c r="L6326" s="10">
        <v>15</v>
      </c>
      <c r="M6326" s="6" t="s">
        <v>425</v>
      </c>
      <c r="N6326" s="6">
        <f>IF(OR($G6326="FCC",$G6326="Hydrocracker",$G6326="Reformer"),IF(COUNTIFS($D:$D,$D6326,$A:$A,$A6326,$B:$B,$B6326,$G:$G,"CDU",$J:$J,"PLANNED")&gt;0,"tied","standalone"),"")</f>
        <v/>
      </c>
    </row>
    <row r="6327" spans="1:14">
      <c r="A6327" s="6">
        <v>2025</v>
      </c>
      <c r="B6327" s="6">
        <v>8</v>
      </c>
      <c r="C6327" s="6" t="s">
        <v>67</v>
      </c>
      <c r="D6327" s="6" t="s">
        <v>484</v>
      </c>
      <c r="E6327" s="6" t="s">
        <v>438</v>
      </c>
      <c r="F6327" s="6" t="str">
        <f>IF($M6327="PADD I","PADD 1",IF($M6327="PADD II","PADD 2",IF($M6327="PADD III","PADD 3",IF($M6327="PADD IV","PADD 4",IF($M6327="PADD V","PADD 5","")))))</f>
        <v>PADD 5</v>
      </c>
      <c r="G6327" s="6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6" t="s">
        <v>471</v>
      </c>
      <c r="I6327" s="6" t="s">
        <v>721</v>
      </c>
      <c r="J6327" s="6" t="s">
        <v>394</v>
      </c>
      <c r="K6327" s="10">
        <v>0.9</v>
      </c>
      <c r="L6327" s="10">
        <v>15</v>
      </c>
      <c r="M6327" s="6" t="s">
        <v>436</v>
      </c>
      <c r="N6327" s="6" t="str">
        <f>IF(OR($G6327="FCC",$G6327="Hydrocracker",$G6327="Reformer"),IF(COUNTIFS($D:$D,$D6327,$A:$A,$A6327,$B:$B,$B6327,$G:$G,"CDU",$J:$J,"PLANNED")&gt;0,"tied","standalone"),"")</f>
        <v>standalone</v>
      </c>
    </row>
    <row r="6328" spans="1:14">
      <c r="A6328" s="6">
        <v>2025</v>
      </c>
      <c r="B6328" s="6">
        <v>8</v>
      </c>
      <c r="C6328" s="6" t="s">
        <v>67</v>
      </c>
      <c r="D6328" s="6" t="s">
        <v>41</v>
      </c>
      <c r="E6328" s="6" t="s">
        <v>786</v>
      </c>
      <c r="F6328" s="6" t="str">
        <f>IF($M6328="PADD I","PADD 1",IF($M6328="PADD II","PADD 2",IF($M6328="PADD III","PADD 3",IF($M6328="PADD IV","PADD 4",IF($M6328="PADD V","PADD 5","")))))</f>
        <v>PADD 1</v>
      </c>
      <c r="G6328" s="6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6" t="s">
        <v>44</v>
      </c>
      <c r="I6328" s="6" t="s">
        <v>1061</v>
      </c>
      <c r="J6328" s="6" t="s">
        <v>394</v>
      </c>
      <c r="K6328" s="10">
        <v>0.78</v>
      </c>
      <c r="L6328" s="10">
        <v>26</v>
      </c>
      <c r="M6328" s="6" t="s">
        <v>463</v>
      </c>
      <c r="N6328" s="6">
        <f>IF(OR($G6328="FCC",$G6328="Hydrocracker",$G6328="Reformer"),IF(COUNTIFS($D:$D,$D6328,$A:$A,$A6328,$B:$B,$B6328,$G:$G,"CDU",$J:$J,"PLANNED")&gt;0,"tied","standalone"),"")</f>
        <v/>
      </c>
    </row>
    <row r="6329" spans="1:14">
      <c r="A6329" s="6">
        <v>2025</v>
      </c>
      <c r="B6329" s="6">
        <v>8</v>
      </c>
      <c r="C6329" s="6" t="s">
        <v>67</v>
      </c>
      <c r="D6329" s="6" t="s">
        <v>851</v>
      </c>
      <c r="E6329" s="6" t="s">
        <v>829</v>
      </c>
      <c r="F6329" s="6" t="str">
        <f>IF($M6329="PADD I","PADD 1",IF($M6329="PADD II","PADD 2",IF($M6329="PADD III","PADD 3",IF($M6329="PADD IV","PADD 4",IF($M6329="PADD V","PADD 5","")))))</f>
        <v>PADD 2</v>
      </c>
      <c r="G6329" s="6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6" t="s">
        <v>510</v>
      </c>
      <c r="I6329" s="6" t="s">
        <v>511</v>
      </c>
      <c r="J6329" s="6" t="s">
        <v>398</v>
      </c>
      <c r="K6329" s="10">
        <v>0.6</v>
      </c>
      <c r="L6329" s="10">
        <v>6</v>
      </c>
      <c r="M6329" s="6" t="s">
        <v>425</v>
      </c>
      <c r="N6329" s="6">
        <f>IF(OR($G6329="FCC",$G6329="Hydrocracker",$G6329="Reformer"),IF(COUNTIFS($D:$D,$D6329,$A:$A,$A6329,$B:$B,$B6329,$G:$G,"CDU",$J:$J,"PLANNED")&gt;0,"tied","standalone"),"")</f>
        <v/>
      </c>
    </row>
    <row r="6330" spans="1:14">
      <c r="A6330" s="6">
        <v>2025</v>
      </c>
      <c r="B6330" s="6">
        <v>8</v>
      </c>
      <c r="C6330" s="6" t="s">
        <v>67</v>
      </c>
      <c r="D6330" s="6" t="s">
        <v>507</v>
      </c>
      <c r="E6330" s="6" t="s">
        <v>438</v>
      </c>
      <c r="F6330" s="6" t="str">
        <f>IF($M6330="PADD I","PADD 1",IF($M6330="PADD II","PADD 2",IF($M6330="PADD III","PADD 3",IF($M6330="PADD IV","PADD 4",IF($M6330="PADD V","PADD 5","")))))</f>
        <v>PADD 5</v>
      </c>
      <c r="G6330" s="6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6" t="s">
        <v>471</v>
      </c>
      <c r="I6330" s="6" t="s">
        <v>609</v>
      </c>
      <c r="J6330" s="6" t="s">
        <v>394</v>
      </c>
      <c r="K6330" s="10">
        <v>0.6</v>
      </c>
      <c r="L6330" s="10">
        <v>20</v>
      </c>
      <c r="M6330" s="6" t="s">
        <v>436</v>
      </c>
      <c r="N6330" s="6" t="str">
        <f>IF(OR($G6330="FCC",$G6330="Hydrocracker",$G6330="Reformer"),IF(COUNTIFS($D:$D,$D6330,$A:$A,$A6330,$B:$B,$B6330,$G:$G,"CDU",$J:$J,"PLANNED")&gt;0,"tied","standalone"),"")</f>
        <v>standalone</v>
      </c>
    </row>
    <row r="6331" spans="1:14">
      <c r="A6331" s="6">
        <v>2025</v>
      </c>
      <c r="B6331" s="6">
        <v>8</v>
      </c>
      <c r="C6331" s="6" t="s">
        <v>67</v>
      </c>
      <c r="D6331" s="6" t="s">
        <v>375</v>
      </c>
      <c r="E6331" s="6" t="s">
        <v>435</v>
      </c>
      <c r="F6331" s="6" t="str">
        <f>IF($M6331="PADD I","PADD 1",IF($M6331="PADD II","PADD 2",IF($M6331="PADD III","PADD 3",IF($M6331="PADD IV","PADD 4",IF($M6331="PADD V","PADD 5","")))))</f>
        <v>PADD 5</v>
      </c>
      <c r="G6331" s="6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6" t="s">
        <v>618</v>
      </c>
      <c r="I6331" s="6" t="s">
        <v>654</v>
      </c>
      <c r="J6331" s="6" t="s">
        <v>394</v>
      </c>
      <c r="K6331" s="10">
        <v>0.53</v>
      </c>
      <c r="L6331" s="10">
        <v>0.53</v>
      </c>
      <c r="M6331" s="6" t="s">
        <v>436</v>
      </c>
      <c r="N6331" s="6">
        <f>IF(OR($G6331="FCC",$G6331="Hydrocracker",$G6331="Reformer"),IF(COUNTIFS($D:$D,$D6331,$A:$A,$A6331,$B:$B,$B6331,$G:$G,"CDU",$J:$J,"PLANNED")&gt;0,"tied","standalone"),"")</f>
        <v/>
      </c>
    </row>
    <row r="6332" spans="1:14">
      <c r="A6332" s="6">
        <v>2025</v>
      </c>
      <c r="B6332" s="6">
        <v>8</v>
      </c>
      <c r="C6332" s="6" t="s">
        <v>67</v>
      </c>
      <c r="D6332" s="6" t="s">
        <v>1180</v>
      </c>
      <c r="E6332" s="6" t="s">
        <v>502</v>
      </c>
      <c r="F6332" s="6" t="str">
        <f>IF($M6332="PADD I","PADD 1",IF($M6332="PADD II","PADD 2",IF($M6332="PADD III","PADD 3",IF($M6332="PADD IV","PADD 4",IF($M6332="PADD V","PADD 5","")))))</f>
        <v>PADD 2</v>
      </c>
      <c r="G6332" s="6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6" t="s">
        <v>44</v>
      </c>
      <c r="I6332" s="6" t="s">
        <v>543</v>
      </c>
      <c r="J6332" s="6" t="s">
        <v>394</v>
      </c>
      <c r="K6332" s="10">
        <v>0.465</v>
      </c>
      <c r="L6332" s="10">
        <v>15.5</v>
      </c>
      <c r="M6332" s="6" t="s">
        <v>425</v>
      </c>
      <c r="N6332" s="6">
        <f>IF(OR($G6332="FCC",$G6332="Hydrocracker",$G6332="Reformer"),IF(COUNTIFS($D:$D,$D6332,$A:$A,$A6332,$B:$B,$B6332,$G:$G,"CDU",$J:$J,"PLANNED")&gt;0,"tied","standalone"),"")</f>
        <v/>
      </c>
    </row>
    <row r="6333" spans="1:14">
      <c r="A6333" s="6">
        <v>2025</v>
      </c>
      <c r="B6333" s="6">
        <v>8</v>
      </c>
      <c r="C6333" s="6" t="s">
        <v>67</v>
      </c>
      <c r="D6333" s="6" t="s">
        <v>712</v>
      </c>
      <c r="E6333" s="6" t="s">
        <v>602</v>
      </c>
      <c r="F6333" s="6" t="str">
        <f>IF($M6333="PADD I","PADD 1",IF($M6333="PADD II","PADD 2",IF($M6333="PADD III","PADD 3",IF($M6333="PADD IV","PADD 4",IF($M6333="PADD V","PADD 5","")))))</f>
        <v>PADD 3</v>
      </c>
      <c r="G6333" s="6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6" t="s">
        <v>44</v>
      </c>
      <c r="I6333" s="6" t="s">
        <v>894</v>
      </c>
      <c r="J6333" s="6" t="s">
        <v>398</v>
      </c>
      <c r="K6333" s="10">
        <v>0.3</v>
      </c>
      <c r="L6333" s="10">
        <v>5</v>
      </c>
      <c r="M6333" s="6" t="s">
        <v>421</v>
      </c>
      <c r="N6333" s="6">
        <f>IF(OR($G6333="FCC",$G6333="Hydrocracker",$G6333="Reformer"),IF(COUNTIFS($D:$D,$D6333,$A:$A,$A6333,$B:$B,$B6333,$G:$G,"CDU",$J:$J,"PLANNED")&gt;0,"tied","standalone"),"")</f>
        <v/>
      </c>
    </row>
    <row r="6334" spans="1:14">
      <c r="A6334" s="6">
        <v>2025</v>
      </c>
      <c r="B6334" s="6">
        <v>8</v>
      </c>
      <c r="C6334" s="6" t="s">
        <v>67</v>
      </c>
      <c r="D6334" s="6" t="s">
        <v>712</v>
      </c>
      <c r="E6334" s="6" t="s">
        <v>602</v>
      </c>
      <c r="F6334" s="6" t="str">
        <f>IF($M6334="PADD I","PADD 1",IF($M6334="PADD II","PADD 2",IF($M6334="PADD III","PADD 3",IF($M6334="PADD IV","PADD 4",IF($M6334="PADD V","PADD 5","")))))</f>
        <v>PADD 3</v>
      </c>
      <c r="G6334" s="6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6" t="s">
        <v>44</v>
      </c>
      <c r="I6334" s="6" t="s">
        <v>894</v>
      </c>
      <c r="J6334" s="6" t="s">
        <v>398</v>
      </c>
      <c r="K6334" s="10">
        <v>0.15</v>
      </c>
      <c r="L6334" s="10">
        <v>5</v>
      </c>
      <c r="M6334" s="6" t="s">
        <v>421</v>
      </c>
      <c r="N6334" s="6">
        <f>IF(OR($G6334="FCC",$G6334="Hydrocracker",$G6334="Reformer"),IF(COUNTIFS($D:$D,$D6334,$A:$A,$A6334,$B:$B,$B6334,$G:$G,"CDU",$J:$J,"PLANNED")&gt;0,"tied","standalone"),"")</f>
        <v/>
      </c>
    </row>
    <row r="6335" spans="1:14">
      <c r="A6335" s="6">
        <v>2025</v>
      </c>
      <c r="B6335" s="6">
        <v>8</v>
      </c>
      <c r="C6335" s="6" t="s">
        <v>67</v>
      </c>
      <c r="D6335" s="6" t="s">
        <v>501</v>
      </c>
      <c r="E6335" s="6" t="s">
        <v>502</v>
      </c>
      <c r="F6335" s="6" t="str">
        <f>IF($M6335="PADD I","PADD 1",IF($M6335="PADD II","PADD 2",IF($M6335="PADD III","PADD 3",IF($M6335="PADD IV","PADD 4",IF($M6335="PADD V","PADD 5","")))))</f>
        <v>PADD 2</v>
      </c>
      <c r="G6335" s="6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6" t="s">
        <v>510</v>
      </c>
      <c r="I6335" s="6" t="s">
        <v>511</v>
      </c>
      <c r="J6335" s="6" t="s">
        <v>394</v>
      </c>
      <c r="K6335" s="10">
        <v>0.081</v>
      </c>
      <c r="L6335" s="10">
        <v>2.7</v>
      </c>
      <c r="M6335" s="6" t="s">
        <v>425</v>
      </c>
      <c r="N6335" s="6">
        <f>IF(OR($G6335="FCC",$G6335="Hydrocracker",$G6335="Reformer"),IF(COUNTIFS($D:$D,$D6335,$A:$A,$A6335,$B:$B,$B6335,$G:$G,"CDU",$J:$J,"PLANNED")&gt;0,"tied","standalone"),"")</f>
        <v/>
      </c>
    </row>
    <row r="6336" spans="1:14">
      <c r="A6336" s="6">
        <v>2025</v>
      </c>
      <c r="B6336" s="6">
        <v>9</v>
      </c>
      <c r="C6336" s="6" t="s">
        <v>68</v>
      </c>
      <c r="D6336" s="6" t="s">
        <v>465</v>
      </c>
      <c r="E6336" s="6" t="s">
        <v>466</v>
      </c>
      <c r="F6336" s="6" t="str">
        <f>IF($M6336="PADD I","PADD 1",IF($M6336="PADD II","PADD 2",IF($M6336="PADD III","PADD 3",IF($M6336="PADD IV","PADD 4",IF($M6336="PADD V","PADD 5","")))))</f>
        <v>PADD 3</v>
      </c>
      <c r="G6336" s="6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6" t="s">
        <v>428</v>
      </c>
      <c r="I6336" s="6" t="s">
        <v>1112</v>
      </c>
      <c r="J6336" s="6" t="s">
        <v>394</v>
      </c>
      <c r="K6336" s="10">
        <v>140</v>
      </c>
      <c r="L6336" s="10">
        <v>140</v>
      </c>
      <c r="M6336" s="6" t="s">
        <v>421</v>
      </c>
      <c r="N6336" s="6">
        <f>IF(OR($G6336="FCC",$G6336="Hydrocracker",$G6336="Reformer"),IF(COUNTIFS($D:$D,$D6336,$A:$A,$A6336,$B:$B,$B6336,$G:$G,"CDU",$J:$J,"PLANNED")&gt;0,"tied","standalone"),"")</f>
        <v/>
      </c>
    </row>
    <row r="6337" spans="1:14">
      <c r="A6337" s="6">
        <v>2025</v>
      </c>
      <c r="B6337" s="6">
        <v>9</v>
      </c>
      <c r="C6337" s="6" t="s">
        <v>68</v>
      </c>
      <c r="D6337" s="6" t="s">
        <v>458</v>
      </c>
      <c r="E6337" s="6" t="s">
        <v>459</v>
      </c>
      <c r="F6337" s="6" t="str">
        <f>IF($M6337="PADD I","PADD 1",IF($M6337="PADD II","PADD 2",IF($M6337="PADD III","PADD 3",IF($M6337="PADD IV","PADD 4",IF($M6337="PADD V","PADD 5","")))))</f>
        <v>PADD 3</v>
      </c>
      <c r="G6337" s="6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6" t="s">
        <v>39</v>
      </c>
      <c r="I6337" s="6" t="s">
        <v>460</v>
      </c>
      <c r="J6337" s="6" t="s">
        <v>398</v>
      </c>
      <c r="K6337" s="10">
        <v>130.5</v>
      </c>
      <c r="L6337" s="10">
        <v>150</v>
      </c>
      <c r="M6337" s="6" t="s">
        <v>421</v>
      </c>
      <c r="N6337" s="6">
        <f>IF(OR($G6337="FCC",$G6337="Hydrocracker",$G6337="Reformer"),IF(COUNTIFS($D:$D,$D6337,$A:$A,$A6337,$B:$B,$B6337,$G:$G,"CDU",$J:$J,"PLANNED")&gt;0,"tied","standalone"),"")</f>
        <v/>
      </c>
    </row>
    <row r="6338" spans="1:14">
      <c r="A6338" s="6">
        <v>2025</v>
      </c>
      <c r="B6338" s="6">
        <v>9</v>
      </c>
      <c r="C6338" s="6" t="s">
        <v>68</v>
      </c>
      <c r="D6338" s="6" t="s">
        <v>851</v>
      </c>
      <c r="E6338" s="6" t="s">
        <v>829</v>
      </c>
      <c r="F6338" s="6" t="str">
        <f>IF($M6338="PADD I","PADD 1",IF($M6338="PADD II","PADD 2",IF($M6338="PADD III","PADD 3",IF($M6338="PADD IV","PADD 4",IF($M6338="PADD V","PADD 5","")))))</f>
        <v>PADD 2</v>
      </c>
      <c r="G6338" s="6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6" t="s">
        <v>39</v>
      </c>
      <c r="I6338" s="6" t="s">
        <v>1029</v>
      </c>
      <c r="J6338" s="6" t="s">
        <v>398</v>
      </c>
      <c r="K6338" s="10">
        <v>115.5</v>
      </c>
      <c r="L6338" s="10">
        <v>165</v>
      </c>
      <c r="M6338" s="6" t="s">
        <v>425</v>
      </c>
      <c r="N6338" s="6">
        <f>IF(OR($G6338="FCC",$G6338="Hydrocracker",$G6338="Reformer"),IF(COUNTIFS($D:$D,$D6338,$A:$A,$A6338,$B:$B,$B6338,$G:$G,"CDU",$J:$J,"PLANNED")&gt;0,"tied","standalone"),"")</f>
        <v/>
      </c>
    </row>
    <row r="6339" spans="1:14">
      <c r="A6339" s="6">
        <v>2025</v>
      </c>
      <c r="B6339" s="6">
        <v>9</v>
      </c>
      <c r="C6339" s="6" t="s">
        <v>68</v>
      </c>
      <c r="D6339" s="6" t="s">
        <v>368</v>
      </c>
      <c r="E6339" s="6" t="s">
        <v>715</v>
      </c>
      <c r="F6339" s="6" t="str">
        <f>IF($M6339="PADD I","PADD 1",IF($M6339="PADD II","PADD 2",IF($M6339="PADD III","PADD 3",IF($M6339="PADD IV","PADD 4",IF($M6339="PADD V","PADD 5","")))))</f>
        <v>PADD 3</v>
      </c>
      <c r="G6339" s="6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6" t="s">
        <v>426</v>
      </c>
      <c r="I6339" s="6" t="s">
        <v>925</v>
      </c>
      <c r="J6339" s="6" t="s">
        <v>398</v>
      </c>
      <c r="K6339" s="10">
        <v>112</v>
      </c>
      <c r="L6339" s="10">
        <v>112</v>
      </c>
      <c r="M6339" s="6" t="s">
        <v>421</v>
      </c>
      <c r="N6339" s="6" t="str">
        <f>IF(OR($G6339="FCC",$G6339="Hydrocracker",$G6339="Reformer"),IF(COUNTIFS($D:$D,$D6339,$A:$A,$A6339,$B:$B,$B6339,$G:$G,"CDU",$J:$J,"PLANNED")&gt;0,"tied","standalone"),"")</f>
        <v>standalone</v>
      </c>
    </row>
    <row r="6340" spans="1:14">
      <c r="A6340" s="6">
        <v>2025</v>
      </c>
      <c r="B6340" s="6">
        <v>9</v>
      </c>
      <c r="C6340" s="6" t="s">
        <v>68</v>
      </c>
      <c r="D6340" s="6" t="s">
        <v>465</v>
      </c>
      <c r="E6340" s="6" t="s">
        <v>466</v>
      </c>
      <c r="F6340" s="6" t="str">
        <f>IF($M6340="PADD I","PADD 1",IF($M6340="PADD II","PADD 2",IF($M6340="PADD III","PADD 3",IF($M6340="PADD IV","PADD 4",IF($M6340="PADD V","PADD 5","")))))</f>
        <v>PADD 3</v>
      </c>
      <c r="G6340" s="6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6" t="s">
        <v>39</v>
      </c>
      <c r="I6340" s="6" t="s">
        <v>134</v>
      </c>
      <c r="J6340" s="6" t="s">
        <v>394</v>
      </c>
      <c r="K6340" s="10">
        <v>100</v>
      </c>
      <c r="L6340" s="10">
        <v>100</v>
      </c>
      <c r="M6340" s="6" t="s">
        <v>421</v>
      </c>
      <c r="N6340" s="6">
        <f>IF(OR($G6340="FCC",$G6340="Hydrocracker",$G6340="Reformer"),IF(COUNTIFS($D:$D,$D6340,$A:$A,$A6340,$B:$B,$B6340,$G:$G,"CDU",$J:$J,"PLANNED")&gt;0,"tied","standalone"),"")</f>
        <v/>
      </c>
    </row>
    <row r="6341" spans="1:14">
      <c r="A6341" s="6">
        <v>2025</v>
      </c>
      <c r="B6341" s="6">
        <v>9</v>
      </c>
      <c r="C6341" s="6" t="s">
        <v>68</v>
      </c>
      <c r="D6341" s="6" t="s">
        <v>720</v>
      </c>
      <c r="E6341" s="6" t="s">
        <v>455</v>
      </c>
      <c r="F6341" s="6" t="str">
        <f>IF($M6341="PADD I","PADD 1",IF($M6341="PADD II","PADD 2",IF($M6341="PADD III","PADD 3",IF($M6341="PADD IV","PADD 4",IF($M6341="PADD V","PADD 5","")))))</f>
        <v>PADD 2</v>
      </c>
      <c r="G6341" s="6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6" t="s">
        <v>39</v>
      </c>
      <c r="I6341" s="6" t="s">
        <v>108</v>
      </c>
      <c r="J6341" s="6" t="s">
        <v>394</v>
      </c>
      <c r="K6341" s="10">
        <v>80.84999999999999</v>
      </c>
      <c r="L6341" s="10">
        <v>105</v>
      </c>
      <c r="M6341" s="6" t="s">
        <v>425</v>
      </c>
      <c r="N6341" s="6">
        <f>IF(OR($G6341="FCC",$G6341="Hydrocracker",$G6341="Reformer"),IF(COUNTIFS($D:$D,$D6341,$A:$A,$A6341,$B:$B,$B6341,$G:$G,"CDU",$J:$J,"PLANNED")&gt;0,"tied","standalone"),"")</f>
        <v/>
      </c>
    </row>
    <row r="6342" spans="1:14">
      <c r="A6342" s="6">
        <v>2025</v>
      </c>
      <c r="B6342" s="6">
        <v>9</v>
      </c>
      <c r="C6342" s="6" t="s">
        <v>68</v>
      </c>
      <c r="D6342" s="6" t="s">
        <v>626</v>
      </c>
      <c r="E6342" s="6" t="s">
        <v>419</v>
      </c>
      <c r="F6342" s="6" t="str">
        <f>IF($M6342="PADD I","PADD 1",IF($M6342="PADD II","PADD 2",IF($M6342="PADD III","PADD 3",IF($M6342="PADD IV","PADD 4",IF($M6342="PADD V","PADD 5","")))))</f>
        <v>PADD 3</v>
      </c>
      <c r="G6342" s="6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6" t="s">
        <v>39</v>
      </c>
      <c r="I6342" s="6" t="s">
        <v>1369</v>
      </c>
      <c r="J6342" s="6" t="s">
        <v>398</v>
      </c>
      <c r="K6342" s="10">
        <v>80</v>
      </c>
      <c r="L6342" s="10">
        <v>80</v>
      </c>
      <c r="M6342" s="6" t="s">
        <v>421</v>
      </c>
      <c r="N6342" s="6">
        <f>IF(OR($G6342="FCC",$G6342="Hydrocracker",$G6342="Reformer"),IF(COUNTIFS($D:$D,$D6342,$A:$A,$A6342,$B:$B,$B6342,$G:$G,"CDU",$J:$J,"PLANNED")&gt;0,"tied","standalone"),"")</f>
        <v/>
      </c>
    </row>
    <row r="6343" spans="1:14">
      <c r="A6343" s="6">
        <v>2025</v>
      </c>
      <c r="B6343" s="6">
        <v>9</v>
      </c>
      <c r="C6343" s="6" t="s">
        <v>68</v>
      </c>
      <c r="D6343" s="6" t="s">
        <v>597</v>
      </c>
      <c r="E6343" s="6" t="s">
        <v>441</v>
      </c>
      <c r="F6343" s="6" t="str">
        <f>IF($M6343="PADD I","PADD 1",IF($M6343="PADD II","PADD 2",IF($M6343="PADD III","PADD 3",IF($M6343="PADD IV","PADD 4",IF($M6343="PADD V","PADD 5","")))))</f>
        <v>PADD 5</v>
      </c>
      <c r="G6343" s="6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6" t="s">
        <v>44</v>
      </c>
      <c r="I6343" s="6" t="s">
        <v>976</v>
      </c>
      <c r="J6343" s="6" t="s">
        <v>398</v>
      </c>
      <c r="K6343" s="10">
        <v>77.59999999999999</v>
      </c>
      <c r="L6343" s="10">
        <v>80</v>
      </c>
      <c r="M6343" s="6" t="s">
        <v>436</v>
      </c>
      <c r="N6343" s="6">
        <f>IF(OR($G6343="FCC",$G6343="Hydrocracker",$G6343="Reformer"),IF(COUNTIFS($D:$D,$D6343,$A:$A,$A6343,$B:$B,$B6343,$G:$G,"CDU",$J:$J,"PLANNED")&gt;0,"tied","standalone"),"")</f>
        <v/>
      </c>
    </row>
    <row r="6344" spans="1:14">
      <c r="A6344" s="6">
        <v>2025</v>
      </c>
      <c r="B6344" s="6">
        <v>9</v>
      </c>
      <c r="C6344" s="6" t="s">
        <v>68</v>
      </c>
      <c r="D6344" s="6" t="s">
        <v>375</v>
      </c>
      <c r="E6344" s="6" t="s">
        <v>435</v>
      </c>
      <c r="F6344" s="6" t="str">
        <f>IF($M6344="PADD I","PADD 1",IF($M6344="PADD II","PADD 2",IF($M6344="PADD III","PADD 3",IF($M6344="PADD IV","PADD 4",IF($M6344="PADD V","PADD 5","")))))</f>
        <v>PADD 5</v>
      </c>
      <c r="G6344" s="6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6" t="s">
        <v>44</v>
      </c>
      <c r="I6344" s="6" t="s">
        <v>1335</v>
      </c>
      <c r="J6344" s="6" t="s">
        <v>394</v>
      </c>
      <c r="K6344" s="10">
        <v>77.5</v>
      </c>
      <c r="L6344" s="10">
        <v>77.5</v>
      </c>
      <c r="M6344" s="6" t="s">
        <v>436</v>
      </c>
      <c r="N6344" s="6">
        <f>IF(OR($G6344="FCC",$G6344="Hydrocracker",$G6344="Reformer"),IF(COUNTIFS($D:$D,$D6344,$A:$A,$A6344,$B:$B,$B6344,$G:$G,"CDU",$J:$J,"PLANNED")&gt;0,"tied","standalone"),"")</f>
        <v/>
      </c>
    </row>
    <row r="6345" spans="1:14">
      <c r="A6345" s="6">
        <v>2025</v>
      </c>
      <c r="B6345" s="6">
        <v>9</v>
      </c>
      <c r="C6345" s="6" t="s">
        <v>68</v>
      </c>
      <c r="D6345" s="6" t="s">
        <v>458</v>
      </c>
      <c r="E6345" s="6" t="s">
        <v>459</v>
      </c>
      <c r="F6345" s="6" t="str">
        <f>IF($M6345="PADD I","PADD 1",IF($M6345="PADD II","PADD 2",IF($M6345="PADD III","PADD 3",IF($M6345="PADD IV","PADD 4",IF($M6345="PADD V","PADD 5","")))))</f>
        <v>PADD 3</v>
      </c>
      <c r="G6345" s="6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6" t="s">
        <v>39</v>
      </c>
      <c r="I6345" s="6" t="s">
        <v>460</v>
      </c>
      <c r="J6345" s="6" t="s">
        <v>394</v>
      </c>
      <c r="K6345" s="10">
        <v>74.40000000000001</v>
      </c>
      <c r="L6345" s="10">
        <v>80</v>
      </c>
      <c r="M6345" s="6" t="s">
        <v>421</v>
      </c>
      <c r="N6345" s="6">
        <f>IF(OR($G6345="FCC",$G6345="Hydrocracker",$G6345="Reformer"),IF(COUNTIFS($D:$D,$D6345,$A:$A,$A6345,$B:$B,$B6345,$G:$G,"CDU",$J:$J,"PLANNED")&gt;0,"tied","standalone"),"")</f>
        <v/>
      </c>
    </row>
    <row r="6346" spans="1:14">
      <c r="A6346" s="6">
        <v>2025</v>
      </c>
      <c r="B6346" s="6">
        <v>9</v>
      </c>
      <c r="C6346" s="6" t="s">
        <v>68</v>
      </c>
      <c r="D6346" s="6" t="s">
        <v>373</v>
      </c>
      <c r="E6346" s="6" t="s">
        <v>438</v>
      </c>
      <c r="F6346" s="6" t="str">
        <f>IF($M6346="PADD I","PADD 1",IF($M6346="PADD II","PADD 2",IF($M6346="PADD III","PADD 3",IF($M6346="PADD IV","PADD 4",IF($M6346="PADD V","PADD 5","")))))</f>
        <v>PADD 3</v>
      </c>
      <c r="G6346" s="6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6" t="s">
        <v>428</v>
      </c>
      <c r="I6346" s="6" t="s">
        <v>992</v>
      </c>
      <c r="J6346" s="6" t="s">
        <v>394</v>
      </c>
      <c r="K6346" s="10">
        <v>74.25</v>
      </c>
      <c r="L6346" s="10">
        <v>148.5</v>
      </c>
      <c r="M6346" s="6" t="s">
        <v>421</v>
      </c>
      <c r="N6346" s="6">
        <f>IF(OR($G6346="FCC",$G6346="Hydrocracker",$G6346="Reformer"),IF(COUNTIFS($D:$D,$D6346,$A:$A,$A6346,$B:$B,$B6346,$G:$G,"CDU",$J:$J,"PLANNED")&gt;0,"tied","standalone"),"")</f>
        <v/>
      </c>
    </row>
    <row r="6347" spans="1:14">
      <c r="A6347" s="6">
        <v>2025</v>
      </c>
      <c r="B6347" s="6">
        <v>9</v>
      </c>
      <c r="C6347" s="6" t="s">
        <v>68</v>
      </c>
      <c r="D6347" s="6" t="s">
        <v>373</v>
      </c>
      <c r="E6347" s="6" t="s">
        <v>438</v>
      </c>
      <c r="F6347" s="6" t="str">
        <f>IF($M6347="PADD I","PADD 1",IF($M6347="PADD II","PADD 2",IF($M6347="PADD III","PADD 3",IF($M6347="PADD IV","PADD 4",IF($M6347="PADD V","PADD 5","")))))</f>
        <v>PADD 3</v>
      </c>
      <c r="G6347" s="6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6" t="s">
        <v>39</v>
      </c>
      <c r="I6347" s="6" t="s">
        <v>99</v>
      </c>
      <c r="J6347" s="6" t="s">
        <v>398</v>
      </c>
      <c r="K6347" s="10">
        <v>72.5</v>
      </c>
      <c r="L6347" s="10">
        <v>145</v>
      </c>
      <c r="M6347" s="6" t="s">
        <v>421</v>
      </c>
      <c r="N6347" s="6">
        <f>IF(OR($G6347="FCC",$G6347="Hydrocracker",$G6347="Reformer"),IF(COUNTIFS($D:$D,$D6347,$A:$A,$A6347,$B:$B,$B6347,$G:$G,"CDU",$J:$J,"PLANNED")&gt;0,"tied","standalone"),"")</f>
        <v/>
      </c>
    </row>
    <row r="6348" spans="1:14">
      <c r="A6348" s="6">
        <v>2025</v>
      </c>
      <c r="B6348" s="6">
        <v>9</v>
      </c>
      <c r="C6348" s="6" t="s">
        <v>68</v>
      </c>
      <c r="D6348" s="6" t="s">
        <v>373</v>
      </c>
      <c r="E6348" s="6" t="s">
        <v>438</v>
      </c>
      <c r="F6348" s="6" t="str">
        <f>IF($M6348="PADD I","PADD 1",IF($M6348="PADD II","PADD 2",IF($M6348="PADD III","PADD 3",IF($M6348="PADD IV","PADD 4",IF($M6348="PADD V","PADD 5","")))))</f>
        <v>PADD 3</v>
      </c>
      <c r="G6348" s="6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6" t="s">
        <v>39</v>
      </c>
      <c r="I6348" s="6" t="s">
        <v>97</v>
      </c>
      <c r="J6348" s="6" t="s">
        <v>398</v>
      </c>
      <c r="K6348" s="10">
        <v>72.5</v>
      </c>
      <c r="L6348" s="10">
        <v>145</v>
      </c>
      <c r="M6348" s="6" t="s">
        <v>421</v>
      </c>
      <c r="N6348" s="6">
        <f>IF(OR($G6348="FCC",$G6348="Hydrocracker",$G6348="Reformer"),IF(COUNTIFS($D:$D,$D6348,$A:$A,$A6348,$B:$B,$B6348,$G:$G,"CDU",$J:$J,"PLANNED")&gt;0,"tied","standalone"),"")</f>
        <v/>
      </c>
    </row>
    <row r="6349" spans="1:14">
      <c r="A6349" s="6">
        <v>2025</v>
      </c>
      <c r="B6349" s="6">
        <v>9</v>
      </c>
      <c r="C6349" s="6" t="s">
        <v>68</v>
      </c>
      <c r="D6349" s="6" t="s">
        <v>437</v>
      </c>
      <c r="E6349" s="6" t="s">
        <v>438</v>
      </c>
      <c r="F6349" s="6" t="str">
        <f>IF($M6349="PADD I","PADD 1",IF($M6349="PADD II","PADD 2",IF($M6349="PADD III","PADD 3",IF($M6349="PADD IV","PADD 4",IF($M6349="PADD V","PADD 5","")))))</f>
        <v>PADD 3</v>
      </c>
      <c r="G6349" s="6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6" t="s">
        <v>494</v>
      </c>
      <c r="I6349" s="6" t="s">
        <v>526</v>
      </c>
      <c r="J6349" s="6" t="s">
        <v>394</v>
      </c>
      <c r="K6349" s="10">
        <v>70</v>
      </c>
      <c r="L6349" s="10">
        <v>70</v>
      </c>
      <c r="M6349" s="6" t="s">
        <v>421</v>
      </c>
      <c r="N6349" s="6" t="str">
        <f>IF(OR($G6349="FCC",$G6349="Hydrocracker",$G6349="Reformer"),IF(COUNTIFS($D:$D,$D6349,$A:$A,$A6349,$B:$B,$B6349,$G:$G,"CDU",$J:$J,"PLANNED")&gt;0,"tied","standalone"),"")</f>
        <v>standalone</v>
      </c>
    </row>
    <row r="6350" spans="1:14">
      <c r="A6350" s="6">
        <v>2025</v>
      </c>
      <c r="B6350" s="6">
        <v>9</v>
      </c>
      <c r="C6350" s="6" t="s">
        <v>68</v>
      </c>
      <c r="D6350" s="6" t="s">
        <v>375</v>
      </c>
      <c r="E6350" s="6" t="s">
        <v>435</v>
      </c>
      <c r="F6350" s="6" t="str">
        <f>IF($M6350="PADD I","PADD 1",IF($M6350="PADD II","PADD 2",IF($M6350="PADD III","PADD 3",IF($M6350="PADD IV","PADD 4",IF($M6350="PADD V","PADD 5","")))))</f>
        <v>PADD 5</v>
      </c>
      <c r="G6350" s="6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6" t="s">
        <v>426</v>
      </c>
      <c r="I6350" s="6" t="s">
        <v>554</v>
      </c>
      <c r="J6350" s="6" t="s">
        <v>394</v>
      </c>
      <c r="K6350" s="10">
        <v>70</v>
      </c>
      <c r="L6350" s="10">
        <v>70</v>
      </c>
      <c r="M6350" s="6" t="s">
        <v>436</v>
      </c>
      <c r="N6350" s="6" t="str">
        <f>IF(OR($G6350="FCC",$G6350="Hydrocracker",$G6350="Reformer"),IF(COUNTIFS($D:$D,$D6350,$A:$A,$A6350,$B:$B,$B6350,$G:$G,"CDU",$J:$J,"PLANNED")&gt;0,"tied","standalone"),"")</f>
        <v>standalone</v>
      </c>
    </row>
    <row r="6351" spans="1:14">
      <c r="A6351" s="6">
        <v>2025</v>
      </c>
      <c r="B6351" s="6">
        <v>9</v>
      </c>
      <c r="C6351" s="6" t="s">
        <v>68</v>
      </c>
      <c r="D6351" s="6" t="s">
        <v>626</v>
      </c>
      <c r="E6351" s="6" t="s">
        <v>419</v>
      </c>
      <c r="F6351" s="6" t="str">
        <f>IF($M6351="PADD I","PADD 1",IF($M6351="PADD II","PADD 2",IF($M6351="PADD III","PADD 3",IF($M6351="PADD IV","PADD 4",IF($M6351="PADD V","PADD 5","")))))</f>
        <v>PADD 3</v>
      </c>
      <c r="G6351" s="6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6" t="s">
        <v>428</v>
      </c>
      <c r="I6351" s="6" t="s">
        <v>1014</v>
      </c>
      <c r="J6351" s="6" t="s">
        <v>398</v>
      </c>
      <c r="K6351" s="10">
        <v>65</v>
      </c>
      <c r="L6351" s="10">
        <v>65</v>
      </c>
      <c r="M6351" s="6" t="s">
        <v>421</v>
      </c>
      <c r="N6351" s="6">
        <f>IF(OR($G6351="FCC",$G6351="Hydrocracker",$G6351="Reformer"),IF(COUNTIFS($D:$D,$D6351,$A:$A,$A6351,$B:$B,$B6351,$G:$G,"CDU",$J:$J,"PLANNED")&gt;0,"tied","standalone"),"")</f>
        <v/>
      </c>
    </row>
    <row r="6352" spans="1:14">
      <c r="A6352" s="6">
        <v>2025</v>
      </c>
      <c r="B6352" s="6">
        <v>9</v>
      </c>
      <c r="C6352" s="6" t="s">
        <v>68</v>
      </c>
      <c r="D6352" s="6" t="s">
        <v>458</v>
      </c>
      <c r="E6352" s="6" t="s">
        <v>459</v>
      </c>
      <c r="F6352" s="6" t="str">
        <f>IF($M6352="PADD I","PADD 1",IF($M6352="PADD II","PADD 2",IF($M6352="PADD III","PADD 3",IF($M6352="PADD IV","PADD 4",IF($M6352="PADD V","PADD 5","")))))</f>
        <v>PADD 3</v>
      </c>
      <c r="G6352" s="6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6" t="s">
        <v>428</v>
      </c>
      <c r="I6352" s="6" t="s">
        <v>539</v>
      </c>
      <c r="J6352" s="6" t="s">
        <v>398</v>
      </c>
      <c r="K6352" s="10">
        <v>60</v>
      </c>
      <c r="L6352" s="10">
        <v>60</v>
      </c>
      <c r="M6352" s="6" t="s">
        <v>421</v>
      </c>
      <c r="N6352" s="6">
        <f>IF(OR($G6352="FCC",$G6352="Hydrocracker",$G6352="Reformer"),IF(COUNTIFS($D:$D,$D6352,$A:$A,$A6352,$B:$B,$B6352,$G:$G,"CDU",$J:$J,"PLANNED")&gt;0,"tied","standalone"),"")</f>
        <v/>
      </c>
    </row>
    <row r="6353" spans="1:14">
      <c r="A6353" s="6">
        <v>2025</v>
      </c>
      <c r="B6353" s="6">
        <v>9</v>
      </c>
      <c r="C6353" s="6" t="s">
        <v>68</v>
      </c>
      <c r="D6353" s="6" t="s">
        <v>835</v>
      </c>
      <c r="E6353" s="6" t="s">
        <v>829</v>
      </c>
      <c r="F6353" s="6" t="str">
        <f>IF($M6353="PADD I","PADD 1",IF($M6353="PADD II","PADD 2",IF($M6353="PADD III","PADD 3",IF($M6353="PADD IV","PADD 4",IF($M6353="PADD V","PADD 5","")))))</f>
        <v>PADD 2</v>
      </c>
      <c r="G6353" s="6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6" t="s">
        <v>428</v>
      </c>
      <c r="I6353" s="6" t="s">
        <v>836</v>
      </c>
      <c r="J6353" s="6" t="s">
        <v>394</v>
      </c>
      <c r="K6353" s="10">
        <v>59.654</v>
      </c>
      <c r="L6353" s="10">
        <v>85.22</v>
      </c>
      <c r="M6353" s="6" t="s">
        <v>425</v>
      </c>
      <c r="N6353" s="6">
        <f>IF(OR($G6353="FCC",$G6353="Hydrocracker",$G6353="Reformer"),IF(COUNTIFS($D:$D,$D6353,$A:$A,$A6353,$B:$B,$B6353,$G:$G,"CDU",$J:$J,"PLANNED")&gt;0,"tied","standalone"),"")</f>
        <v/>
      </c>
    </row>
    <row r="6354" spans="1:14">
      <c r="A6354" s="6">
        <v>2025</v>
      </c>
      <c r="B6354" s="6">
        <v>9</v>
      </c>
      <c r="C6354" s="6" t="s">
        <v>68</v>
      </c>
      <c r="D6354" s="6" t="s">
        <v>592</v>
      </c>
      <c r="E6354" s="6" t="s">
        <v>593</v>
      </c>
      <c r="F6354" s="6" t="str">
        <f>IF($M6354="PADD I","PADD 1",IF($M6354="PADD II","PADD 2",IF($M6354="PADD III","PADD 3",IF($M6354="PADD IV","PADD 4",IF($M6354="PADD V","PADD 5","")))))</f>
        <v>PADD 2</v>
      </c>
      <c r="G6354" s="6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6" t="s">
        <v>39</v>
      </c>
      <c r="I6354" s="6" t="s">
        <v>1165</v>
      </c>
      <c r="J6354" s="6" t="s">
        <v>398</v>
      </c>
      <c r="K6354" s="10">
        <v>56.7</v>
      </c>
      <c r="L6354" s="10">
        <v>90</v>
      </c>
      <c r="M6354" s="6" t="s">
        <v>425</v>
      </c>
      <c r="N6354" s="6">
        <f>IF(OR($G6354="FCC",$G6354="Hydrocracker",$G6354="Reformer"),IF(COUNTIFS($D:$D,$D6354,$A:$A,$A6354,$B:$B,$B6354,$G:$G,"CDU",$J:$J,"PLANNED")&gt;0,"tied","standalone"),"")</f>
        <v/>
      </c>
    </row>
    <row r="6355" spans="1:14">
      <c r="A6355" s="6">
        <v>2025</v>
      </c>
      <c r="B6355" s="6">
        <v>9</v>
      </c>
      <c r="C6355" s="6" t="s">
        <v>68</v>
      </c>
      <c r="D6355" s="6" t="s">
        <v>534</v>
      </c>
      <c r="E6355" s="6" t="s">
        <v>459</v>
      </c>
      <c r="F6355" s="6" t="str">
        <f>IF($M6355="PADD I","PADD 1",IF($M6355="PADD II","PADD 2",IF($M6355="PADD III","PADD 3",IF($M6355="PADD IV","PADD 4",IF($M6355="PADD V","PADD 5","")))))</f>
        <v>PADD 3</v>
      </c>
      <c r="G6355" s="6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6" t="s">
        <v>44</v>
      </c>
      <c r="I6355" s="6" t="s">
        <v>535</v>
      </c>
      <c r="J6355" s="6" t="s">
        <v>394</v>
      </c>
      <c r="K6355" s="10">
        <v>54.78</v>
      </c>
      <c r="L6355" s="10">
        <v>66</v>
      </c>
      <c r="M6355" s="6" t="s">
        <v>421</v>
      </c>
      <c r="N6355" s="6">
        <f>IF(OR($G6355="FCC",$G6355="Hydrocracker",$G6355="Reformer"),IF(COUNTIFS($D:$D,$D6355,$A:$A,$A6355,$B:$B,$B6355,$G:$G,"CDU",$J:$J,"PLANNED")&gt;0,"tied","standalone"),"")</f>
        <v/>
      </c>
    </row>
    <row r="6356" spans="1:14">
      <c r="A6356" s="6">
        <v>2025</v>
      </c>
      <c r="B6356" s="6">
        <v>9</v>
      </c>
      <c r="C6356" s="6" t="s">
        <v>68</v>
      </c>
      <c r="D6356" s="6" t="s">
        <v>375</v>
      </c>
      <c r="E6356" s="6" t="s">
        <v>435</v>
      </c>
      <c r="F6356" s="6" t="str">
        <f>IF($M6356="PADD I","PADD 1",IF($M6356="PADD II","PADD 2",IF($M6356="PADD III","PADD 3",IF($M6356="PADD IV","PADD 4",IF($M6356="PADD V","PADD 5","")))))</f>
        <v>PADD 5</v>
      </c>
      <c r="G6356" s="6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6" t="s">
        <v>39</v>
      </c>
      <c r="I6356" s="6" t="s">
        <v>94</v>
      </c>
      <c r="J6356" s="6" t="s">
        <v>394</v>
      </c>
      <c r="K6356" s="10">
        <v>54.25</v>
      </c>
      <c r="L6356" s="10">
        <v>54.25</v>
      </c>
      <c r="M6356" s="6" t="s">
        <v>436</v>
      </c>
      <c r="N6356" s="6">
        <f>IF(OR($G6356="FCC",$G6356="Hydrocracker",$G6356="Reformer"),IF(COUNTIFS($D:$D,$D6356,$A:$A,$A6356,$B:$B,$B6356,$G:$G,"CDU",$J:$J,"PLANNED")&gt;0,"tied","standalone"),"")</f>
        <v/>
      </c>
    </row>
    <row r="6357" spans="1:14">
      <c r="A6357" s="6">
        <v>2025</v>
      </c>
      <c r="B6357" s="6">
        <v>9</v>
      </c>
      <c r="C6357" s="6" t="s">
        <v>68</v>
      </c>
      <c r="D6357" s="6" t="s">
        <v>597</v>
      </c>
      <c r="E6357" s="6" t="s">
        <v>441</v>
      </c>
      <c r="F6357" s="6" t="str">
        <f>IF($M6357="PADD I","PADD 1",IF($M6357="PADD II","PADD 2",IF($M6357="PADD III","PADD 3",IF($M6357="PADD IV","PADD 4",IF($M6357="PADD V","PADD 5","")))))</f>
        <v>PADD 5</v>
      </c>
      <c r="G6357" s="6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6" t="s">
        <v>44</v>
      </c>
      <c r="I6357" s="6" t="s">
        <v>106</v>
      </c>
      <c r="J6357" s="6" t="s">
        <v>394</v>
      </c>
      <c r="K6357" s="10">
        <v>53.95</v>
      </c>
      <c r="L6357" s="10">
        <v>65</v>
      </c>
      <c r="M6357" s="6" t="s">
        <v>436</v>
      </c>
      <c r="N6357" s="6">
        <f>IF(OR($G6357="FCC",$G6357="Hydrocracker",$G6357="Reformer"),IF(COUNTIFS($D:$D,$D6357,$A:$A,$A6357,$B:$B,$B6357,$G:$G,"CDU",$J:$J,"PLANNED")&gt;0,"tied","standalone"),"")</f>
        <v/>
      </c>
    </row>
    <row r="6358" spans="1:14">
      <c r="A6358" s="6">
        <v>2025</v>
      </c>
      <c r="B6358" s="6">
        <v>9</v>
      </c>
      <c r="C6358" s="6" t="s">
        <v>68</v>
      </c>
      <c r="D6358" s="6" t="s">
        <v>851</v>
      </c>
      <c r="E6358" s="6" t="s">
        <v>829</v>
      </c>
      <c r="F6358" s="6" t="str">
        <f>IF($M6358="PADD I","PADD 1",IF($M6358="PADD II","PADD 2",IF($M6358="PADD III","PADD 3",IF($M6358="PADD IV","PADD 4",IF($M6358="PADD V","PADD 5","")))))</f>
        <v>PADD 2</v>
      </c>
      <c r="G6358" s="6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6" t="s">
        <v>44</v>
      </c>
      <c r="I6358" s="6" t="s">
        <v>1031</v>
      </c>
      <c r="J6358" s="6" t="s">
        <v>398</v>
      </c>
      <c r="K6358" s="10">
        <v>52.38</v>
      </c>
      <c r="L6358" s="10">
        <v>54</v>
      </c>
      <c r="M6358" s="6" t="s">
        <v>425</v>
      </c>
      <c r="N6358" s="6">
        <f>IF(OR($G6358="FCC",$G6358="Hydrocracker",$G6358="Reformer"),IF(COUNTIFS($D:$D,$D6358,$A:$A,$A6358,$B:$B,$B6358,$G:$G,"CDU",$J:$J,"PLANNED")&gt;0,"tied","standalone"),"")</f>
        <v/>
      </c>
    </row>
    <row r="6359" spans="1:14">
      <c r="A6359" s="6">
        <v>2025</v>
      </c>
      <c r="B6359" s="6">
        <v>9</v>
      </c>
      <c r="C6359" s="6" t="s">
        <v>68</v>
      </c>
      <c r="D6359" s="6" t="s">
        <v>458</v>
      </c>
      <c r="E6359" s="6" t="s">
        <v>459</v>
      </c>
      <c r="F6359" s="6" t="str">
        <f>IF($M6359="PADD I","PADD 1",IF($M6359="PADD II","PADD 2",IF($M6359="PADD III","PADD 3",IF($M6359="PADD IV","PADD 4",IF($M6359="PADD V","PADD 5","")))))</f>
        <v>PADD 3</v>
      </c>
      <c r="G6359" s="6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6" t="s">
        <v>485</v>
      </c>
      <c r="I6359" s="6" t="s">
        <v>509</v>
      </c>
      <c r="J6359" s="6" t="s">
        <v>398</v>
      </c>
      <c r="K6359" s="10">
        <v>52.2</v>
      </c>
      <c r="L6359" s="10">
        <v>60</v>
      </c>
      <c r="M6359" s="6" t="s">
        <v>421</v>
      </c>
      <c r="N6359" s="6">
        <f>IF(OR($G6359="FCC",$G6359="Hydrocracker",$G6359="Reformer"),IF(COUNTIFS($D:$D,$D6359,$A:$A,$A6359,$B:$B,$B6359,$G:$G,"CDU",$J:$J,"PLANNED")&gt;0,"tied","standalone"),"")</f>
        <v/>
      </c>
    </row>
    <row r="6360" spans="1:14">
      <c r="A6360" s="6">
        <v>2025</v>
      </c>
      <c r="B6360" s="6">
        <v>9</v>
      </c>
      <c r="C6360" s="6" t="s">
        <v>68</v>
      </c>
      <c r="D6360" s="6" t="s">
        <v>720</v>
      </c>
      <c r="E6360" s="6" t="s">
        <v>455</v>
      </c>
      <c r="F6360" s="6" t="str">
        <f>IF($M6360="PADD I","PADD 1",IF($M6360="PADD II","PADD 2",IF($M6360="PADD III","PADD 3",IF($M6360="PADD IV","PADD 4",IF($M6360="PADD V","PADD 5","")))))</f>
        <v>PADD 2</v>
      </c>
      <c r="G6360" s="6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6" t="s">
        <v>426</v>
      </c>
      <c r="I6360" s="6" t="s">
        <v>106</v>
      </c>
      <c r="J6360" s="6" t="s">
        <v>398</v>
      </c>
      <c r="K6360" s="10">
        <v>50.05</v>
      </c>
      <c r="L6360" s="10">
        <v>65</v>
      </c>
      <c r="M6360" s="6" t="s">
        <v>425</v>
      </c>
      <c r="N6360" s="6" t="str">
        <f>IF(OR($G6360="FCC",$G6360="Hydrocracker",$G6360="Reformer"),IF(COUNTIFS($D:$D,$D6360,$A:$A,$A6360,$B:$B,$B6360,$G:$G,"CDU",$J:$J,"PLANNED")&gt;0,"tied","standalone"),"")</f>
        <v>standalone</v>
      </c>
    </row>
    <row r="6361" spans="1:14">
      <c r="A6361" s="6">
        <v>2025</v>
      </c>
      <c r="B6361" s="6">
        <v>9</v>
      </c>
      <c r="C6361" s="6" t="s">
        <v>68</v>
      </c>
      <c r="D6361" s="6" t="s">
        <v>368</v>
      </c>
      <c r="E6361" s="6" t="s">
        <v>715</v>
      </c>
      <c r="F6361" s="6" t="str">
        <f>IF($M6361="PADD I","PADD 1",IF($M6361="PADD II","PADD 2",IF($M6361="PADD III","PADD 3",IF($M6361="PADD IV","PADD 4",IF($M6361="PADD V","PADD 5","")))))</f>
        <v>PADD 3</v>
      </c>
      <c r="G6361" s="6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6" t="s">
        <v>44</v>
      </c>
      <c r="I6361" s="6" t="s">
        <v>933</v>
      </c>
      <c r="J6361" s="6" t="s">
        <v>398</v>
      </c>
      <c r="K6361" s="10">
        <v>50</v>
      </c>
      <c r="L6361" s="10">
        <v>50</v>
      </c>
      <c r="M6361" s="6" t="s">
        <v>421</v>
      </c>
      <c r="N6361" s="6">
        <f>IF(OR($G6361="FCC",$G6361="Hydrocracker",$G6361="Reformer"),IF(COUNTIFS($D:$D,$D6361,$A:$A,$A6361,$B:$B,$B6361,$G:$G,"CDU",$J:$J,"PLANNED")&gt;0,"tied","standalone"),"")</f>
        <v/>
      </c>
    </row>
    <row r="6362" spans="1:14">
      <c r="A6362" s="6">
        <v>2025</v>
      </c>
      <c r="B6362" s="6">
        <v>9</v>
      </c>
      <c r="C6362" s="6" t="s">
        <v>68</v>
      </c>
      <c r="D6362" s="6" t="s">
        <v>662</v>
      </c>
      <c r="E6362" s="6" t="s">
        <v>466</v>
      </c>
      <c r="F6362" s="6" t="str">
        <f>IF($M6362="PADD I","PADD 1",IF($M6362="PADD II","PADD 2",IF($M6362="PADD III","PADD 3",IF($M6362="PADD IV","PADD 4",IF($M6362="PADD V","PADD 5","")))))</f>
        <v>PADD 3</v>
      </c>
      <c r="G6362" s="6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6" t="s">
        <v>39</v>
      </c>
      <c r="I6362" s="6" t="s">
        <v>82</v>
      </c>
      <c r="J6362" s="6" t="s">
        <v>398</v>
      </c>
      <c r="K6362" s="10">
        <v>49.5</v>
      </c>
      <c r="L6362" s="10">
        <v>165</v>
      </c>
      <c r="M6362" s="6" t="s">
        <v>421</v>
      </c>
      <c r="N6362" s="6">
        <f>IF(OR($G6362="FCC",$G6362="Hydrocracker",$G6362="Reformer"),IF(COUNTIFS($D:$D,$D6362,$A:$A,$A6362,$B:$B,$B6362,$G:$G,"CDU",$J:$J,"PLANNED")&gt;0,"tied","standalone"),"")</f>
        <v/>
      </c>
    </row>
    <row r="6363" spans="1:14">
      <c r="A6363" s="6">
        <v>2025</v>
      </c>
      <c r="B6363" s="6">
        <v>9</v>
      </c>
      <c r="C6363" s="6" t="s">
        <v>68</v>
      </c>
      <c r="D6363" s="6" t="s">
        <v>458</v>
      </c>
      <c r="E6363" s="6" t="s">
        <v>459</v>
      </c>
      <c r="F6363" s="6" t="str">
        <f>IF($M6363="PADD I","PADD 1",IF($M6363="PADD II","PADD 2",IF($M6363="PADD III","PADD 3",IF($M6363="PADD IV","PADD 4",IF($M6363="PADD V","PADD 5","")))))</f>
        <v>PADD 3</v>
      </c>
      <c r="G6363" s="6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6" t="s">
        <v>428</v>
      </c>
      <c r="I6363" s="6" t="s">
        <v>556</v>
      </c>
      <c r="J6363" s="6" t="s">
        <v>394</v>
      </c>
      <c r="K6363" s="10">
        <v>48.36</v>
      </c>
      <c r="L6363" s="10">
        <v>52</v>
      </c>
      <c r="M6363" s="6" t="s">
        <v>421</v>
      </c>
      <c r="N6363" s="6">
        <f>IF(OR($G6363="FCC",$G6363="Hydrocracker",$G6363="Reformer"),IF(COUNTIFS($D:$D,$D6363,$A:$A,$A6363,$B:$B,$B6363,$G:$G,"CDU",$J:$J,"PLANNED")&gt;0,"tied","standalone"),"")</f>
        <v/>
      </c>
    </row>
    <row r="6364" spans="1:14">
      <c r="A6364" s="6">
        <v>2025</v>
      </c>
      <c r="B6364" s="6">
        <v>9</v>
      </c>
      <c r="C6364" s="6" t="s">
        <v>68</v>
      </c>
      <c r="D6364" s="6" t="s">
        <v>822</v>
      </c>
      <c r="E6364" s="6" t="s">
        <v>455</v>
      </c>
      <c r="F6364" s="6" t="str">
        <f>IF($M6364="PADD I","PADD 1",IF($M6364="PADD II","PADD 2",IF($M6364="PADD III","PADD 3",IF($M6364="PADD IV","PADD 4",IF($M6364="PADD V","PADD 5","")))))</f>
        <v>PADD 3</v>
      </c>
      <c r="G6364" s="6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6" t="s">
        <v>44</v>
      </c>
      <c r="I6364" s="6" t="s">
        <v>905</v>
      </c>
      <c r="J6364" s="6" t="s">
        <v>398</v>
      </c>
      <c r="K6364" s="10">
        <v>47.88</v>
      </c>
      <c r="L6364" s="10">
        <v>76</v>
      </c>
      <c r="M6364" s="6" t="s">
        <v>421</v>
      </c>
      <c r="N6364" s="6">
        <f>IF(OR($G6364="FCC",$G6364="Hydrocracker",$G6364="Reformer"),IF(COUNTIFS($D:$D,$D6364,$A:$A,$A6364,$B:$B,$B6364,$G:$G,"CDU",$J:$J,"PLANNED")&gt;0,"tied","standalone"),"")</f>
        <v/>
      </c>
    </row>
    <row r="6365" spans="1:14">
      <c r="A6365" s="6">
        <v>2025</v>
      </c>
      <c r="B6365" s="6">
        <v>9</v>
      </c>
      <c r="C6365" s="6" t="s">
        <v>68</v>
      </c>
      <c r="D6365" s="6" t="s">
        <v>534</v>
      </c>
      <c r="E6365" s="6" t="s">
        <v>459</v>
      </c>
      <c r="F6365" s="6" t="str">
        <f>IF($M6365="PADD I","PADD 1",IF($M6365="PADD II","PADD 2",IF($M6365="PADD III","PADD 3",IF($M6365="PADD IV","PADD 4",IF($M6365="PADD V","PADD 5","")))))</f>
        <v>PADD 3</v>
      </c>
      <c r="G6365" s="6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6" t="s">
        <v>44</v>
      </c>
      <c r="I6365" s="6" t="s">
        <v>551</v>
      </c>
      <c r="J6365" s="6" t="s">
        <v>394</v>
      </c>
      <c r="K6365" s="10">
        <v>45.5</v>
      </c>
      <c r="L6365" s="10">
        <v>45.5</v>
      </c>
      <c r="M6365" s="6" t="s">
        <v>421</v>
      </c>
      <c r="N6365" s="6">
        <f>IF(OR($G6365="FCC",$G6365="Hydrocracker",$G6365="Reformer"),IF(COUNTIFS($D:$D,$D6365,$A:$A,$A6365,$B:$B,$B6365,$G:$G,"CDU",$J:$J,"PLANNED")&gt;0,"tied","standalone"),"")</f>
        <v/>
      </c>
    </row>
    <row r="6366" spans="1:14">
      <c r="A6366" s="6">
        <v>2025</v>
      </c>
      <c r="B6366" s="6">
        <v>9</v>
      </c>
      <c r="C6366" s="6" t="s">
        <v>68</v>
      </c>
      <c r="D6366" s="6" t="s">
        <v>458</v>
      </c>
      <c r="E6366" s="6" t="s">
        <v>459</v>
      </c>
      <c r="F6366" s="6" t="str">
        <f>IF($M6366="PADD I","PADD 1",IF($M6366="PADD II","PADD 2",IF($M6366="PADD III","PADD 3",IF($M6366="PADD IV","PADD 4",IF($M6366="PADD V","PADD 5","")))))</f>
        <v>PADD 3</v>
      </c>
      <c r="G6366" s="6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6" t="s">
        <v>428</v>
      </c>
      <c r="I6366" s="6" t="s">
        <v>556</v>
      </c>
      <c r="J6366" s="6" t="s">
        <v>398</v>
      </c>
      <c r="K6366" s="10">
        <v>44.37</v>
      </c>
      <c r="L6366" s="10">
        <v>51</v>
      </c>
      <c r="M6366" s="6" t="s">
        <v>421</v>
      </c>
      <c r="N6366" s="6">
        <f>IF(OR($G6366="FCC",$G6366="Hydrocracker",$G6366="Reformer"),IF(COUNTIFS($D:$D,$D6366,$A:$A,$A6366,$B:$B,$B6366,$G:$G,"CDU",$J:$J,"PLANNED")&gt;0,"tied","standalone"),"")</f>
        <v/>
      </c>
    </row>
    <row r="6367" spans="1:14">
      <c r="A6367" s="6">
        <v>2025</v>
      </c>
      <c r="B6367" s="6">
        <v>9</v>
      </c>
      <c r="C6367" s="6" t="s">
        <v>68</v>
      </c>
      <c r="D6367" s="6" t="s">
        <v>851</v>
      </c>
      <c r="E6367" s="6" t="s">
        <v>829</v>
      </c>
      <c r="F6367" s="6" t="str">
        <f>IF($M6367="PADD I","PADD 1",IF($M6367="PADD II","PADD 2",IF($M6367="PADD III","PADD 3",IF($M6367="PADD IV","PADD 4",IF($M6367="PADD V","PADD 5","")))))</f>
        <v>PADD 2</v>
      </c>
      <c r="G6367" s="6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6" t="s">
        <v>44</v>
      </c>
      <c r="I6367" s="6" t="s">
        <v>1040</v>
      </c>
      <c r="J6367" s="6" t="s">
        <v>398</v>
      </c>
      <c r="K6367" s="10">
        <v>43.65</v>
      </c>
      <c r="L6367" s="10">
        <v>45</v>
      </c>
      <c r="M6367" s="6" t="s">
        <v>425</v>
      </c>
      <c r="N6367" s="6">
        <f>IF(OR($G6367="FCC",$G6367="Hydrocracker",$G6367="Reformer"),IF(COUNTIFS($D:$D,$D6367,$A:$A,$A6367,$B:$B,$B6367,$G:$G,"CDU",$J:$J,"PLANNED")&gt;0,"tied","standalone"),"")</f>
        <v/>
      </c>
    </row>
    <row r="6368" spans="1:14">
      <c r="A6368" s="6">
        <v>2025</v>
      </c>
      <c r="B6368" s="6">
        <v>9</v>
      </c>
      <c r="C6368" s="6" t="s">
        <v>68</v>
      </c>
      <c r="D6368" s="6" t="s">
        <v>437</v>
      </c>
      <c r="E6368" s="6" t="s">
        <v>438</v>
      </c>
      <c r="F6368" s="6" t="str">
        <f>IF($M6368="PADD I","PADD 1",IF($M6368="PADD II","PADD 2",IF($M6368="PADD III","PADD 3",IF($M6368="PADD IV","PADD 4",IF($M6368="PADD V","PADD 5","")))))</f>
        <v>PADD 3</v>
      </c>
      <c r="G6368" s="6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6" t="s">
        <v>426</v>
      </c>
      <c r="I6368" s="6" t="s">
        <v>522</v>
      </c>
      <c r="J6368" s="6" t="s">
        <v>394</v>
      </c>
      <c r="K6368" s="10">
        <v>43.5</v>
      </c>
      <c r="L6368" s="10">
        <v>145</v>
      </c>
      <c r="M6368" s="6" t="s">
        <v>421</v>
      </c>
      <c r="N6368" s="6" t="str">
        <f>IF(OR($G6368="FCC",$G6368="Hydrocracker",$G6368="Reformer"),IF(COUNTIFS($D:$D,$D6368,$A:$A,$A6368,$B:$B,$B6368,$G:$G,"CDU",$J:$J,"PLANNED")&gt;0,"tied","standalone"),"")</f>
        <v>standalone</v>
      </c>
    </row>
    <row r="6369" spans="1:14">
      <c r="A6369" s="6">
        <v>2025</v>
      </c>
      <c r="B6369" s="6">
        <v>9</v>
      </c>
      <c r="C6369" s="6" t="s">
        <v>68</v>
      </c>
      <c r="D6369" s="6" t="s">
        <v>458</v>
      </c>
      <c r="E6369" s="6" t="s">
        <v>459</v>
      </c>
      <c r="F6369" s="6" t="str">
        <f>IF($M6369="PADD I","PADD 1",IF($M6369="PADD II","PADD 2",IF($M6369="PADD III","PADD 3",IF($M6369="PADD IV","PADD 4",IF($M6369="PADD V","PADD 5","")))))</f>
        <v>PADD 3</v>
      </c>
      <c r="G6369" s="6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6" t="s">
        <v>44</v>
      </c>
      <c r="I6369" s="6" t="s">
        <v>528</v>
      </c>
      <c r="J6369" s="6" t="s">
        <v>398</v>
      </c>
      <c r="K6369" s="10">
        <v>42</v>
      </c>
      <c r="L6369" s="10">
        <v>42</v>
      </c>
      <c r="M6369" s="6" t="s">
        <v>421</v>
      </c>
      <c r="N6369" s="6">
        <f>IF(OR($G6369="FCC",$G6369="Hydrocracker",$G6369="Reformer"),IF(COUNTIFS($D:$D,$D6369,$A:$A,$A6369,$B:$B,$B6369,$G:$G,"CDU",$J:$J,"PLANNED")&gt;0,"tied","standalone"),"")</f>
        <v/>
      </c>
    </row>
    <row r="6370" spans="1:14">
      <c r="A6370" s="6">
        <v>2025</v>
      </c>
      <c r="B6370" s="6">
        <v>9</v>
      </c>
      <c r="C6370" s="6" t="s">
        <v>68</v>
      </c>
      <c r="D6370" s="6" t="s">
        <v>375</v>
      </c>
      <c r="E6370" s="6" t="s">
        <v>435</v>
      </c>
      <c r="F6370" s="6" t="str">
        <f>IF($M6370="PADD I","PADD 1",IF($M6370="PADD II","PADD 2",IF($M6370="PADD III","PADD 3",IF($M6370="PADD IV","PADD 4",IF($M6370="PADD V","PADD 5","")))))</f>
        <v>PADD 5</v>
      </c>
      <c r="G6370" s="6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6" t="s">
        <v>494</v>
      </c>
      <c r="I6370" s="6" t="s">
        <v>548</v>
      </c>
      <c r="J6370" s="6" t="s">
        <v>394</v>
      </c>
      <c r="K6370" s="10">
        <v>42</v>
      </c>
      <c r="L6370" s="10">
        <v>42</v>
      </c>
      <c r="M6370" s="6" t="s">
        <v>436</v>
      </c>
      <c r="N6370" s="6" t="str">
        <f>IF(OR($G6370="FCC",$G6370="Hydrocracker",$G6370="Reformer"),IF(COUNTIFS($D:$D,$D6370,$A:$A,$A6370,$B:$B,$B6370,$G:$G,"CDU",$J:$J,"PLANNED")&gt;0,"tied","standalone"),"")</f>
        <v>standalone</v>
      </c>
    </row>
    <row r="6371" spans="1:14">
      <c r="A6371" s="6">
        <v>2025</v>
      </c>
      <c r="B6371" s="6">
        <v>9</v>
      </c>
      <c r="C6371" s="6" t="s">
        <v>68</v>
      </c>
      <c r="D6371" s="6" t="s">
        <v>458</v>
      </c>
      <c r="E6371" s="6" t="s">
        <v>459</v>
      </c>
      <c r="F6371" s="6" t="str">
        <f>IF($M6371="PADD I","PADD 1",IF($M6371="PADD II","PADD 2",IF($M6371="PADD III","PADD 3",IF($M6371="PADD IV","PADD 4",IF($M6371="PADD V","PADD 5","")))))</f>
        <v>PADD 3</v>
      </c>
      <c r="G6371" s="6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6" t="s">
        <v>39</v>
      </c>
      <c r="I6371" s="6" t="s">
        <v>572</v>
      </c>
      <c r="J6371" s="6" t="s">
        <v>398</v>
      </c>
      <c r="K6371" s="10">
        <v>40</v>
      </c>
      <c r="L6371" s="10">
        <v>40</v>
      </c>
      <c r="M6371" s="6" t="s">
        <v>421</v>
      </c>
      <c r="N6371" s="6">
        <f>IF(OR($G6371="FCC",$G6371="Hydrocracker",$G6371="Reformer"),IF(COUNTIFS($D:$D,$D6371,$A:$A,$A6371,$B:$B,$B6371,$G:$G,"CDU",$J:$J,"PLANNED")&gt;0,"tied","standalone"),"")</f>
        <v/>
      </c>
    </row>
    <row r="6372" spans="1:14">
      <c r="A6372" s="6">
        <v>2025</v>
      </c>
      <c r="B6372" s="6">
        <v>9</v>
      </c>
      <c r="C6372" s="6" t="s">
        <v>68</v>
      </c>
      <c r="D6372" s="6" t="s">
        <v>1088</v>
      </c>
      <c r="E6372" s="6" t="s">
        <v>1089</v>
      </c>
      <c r="F6372" s="6" t="str">
        <f>IF($M6372="PADD I","PADD 1",IF($M6372="PADD II","PADD 2",IF($M6372="PADD III","PADD 3",IF($M6372="PADD IV","PADD 4",IF($M6372="PADD V","PADD 5","")))))</f>
        <v>PADD 2</v>
      </c>
      <c r="G6372" s="6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6" t="s">
        <v>39</v>
      </c>
      <c r="I6372" s="6" t="s">
        <v>1090</v>
      </c>
      <c r="J6372" s="6" t="s">
        <v>398</v>
      </c>
      <c r="K6372" s="10">
        <v>38</v>
      </c>
      <c r="L6372" s="10">
        <v>95</v>
      </c>
      <c r="M6372" s="6" t="s">
        <v>425</v>
      </c>
      <c r="N6372" s="6">
        <f>IF(OR($G6372="FCC",$G6372="Hydrocracker",$G6372="Reformer"),IF(COUNTIFS($D:$D,$D6372,$A:$A,$A6372,$B:$B,$B6372,$G:$G,"CDU",$J:$J,"PLANNED")&gt;0,"tied","standalone"),"")</f>
        <v/>
      </c>
    </row>
    <row r="6373" spans="1:14">
      <c r="A6373" s="6">
        <v>2025</v>
      </c>
      <c r="B6373" s="6">
        <v>9</v>
      </c>
      <c r="C6373" s="6" t="s">
        <v>68</v>
      </c>
      <c r="D6373" s="6" t="s">
        <v>458</v>
      </c>
      <c r="E6373" s="6" t="s">
        <v>459</v>
      </c>
      <c r="F6373" s="6" t="str">
        <f>IF($M6373="PADD I","PADD 1",IF($M6373="PADD II","PADD 2",IF($M6373="PADD III","PADD 3",IF($M6373="PADD IV","PADD 4",IF($M6373="PADD V","PADD 5","")))))</f>
        <v>PADD 3</v>
      </c>
      <c r="G6373" s="6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6" t="s">
        <v>471</v>
      </c>
      <c r="I6373" s="6" t="s">
        <v>583</v>
      </c>
      <c r="J6373" s="6" t="s">
        <v>398</v>
      </c>
      <c r="K6373" s="10">
        <v>35</v>
      </c>
      <c r="L6373" s="10">
        <v>35</v>
      </c>
      <c r="M6373" s="6" t="s">
        <v>421</v>
      </c>
      <c r="N6373" s="6" t="str">
        <f>IF(OR($G6373="FCC",$G6373="Hydrocracker",$G6373="Reformer"),IF(COUNTIFS($D:$D,$D6373,$A:$A,$A6373,$B:$B,$B6373,$G:$G,"CDU",$J:$J,"PLANNED")&gt;0,"tied","standalone"),"")</f>
        <v>tied</v>
      </c>
    </row>
    <row r="6374" spans="1:14">
      <c r="A6374" s="6">
        <v>2025</v>
      </c>
      <c r="B6374" s="6">
        <v>9</v>
      </c>
      <c r="C6374" s="6" t="s">
        <v>68</v>
      </c>
      <c r="D6374" s="6" t="s">
        <v>371</v>
      </c>
      <c r="E6374" s="6" t="s">
        <v>419</v>
      </c>
      <c r="F6374" s="6" t="str">
        <f>IF($M6374="PADD I","PADD 1",IF($M6374="PADD II","PADD 2",IF($M6374="PADD III","PADD 3",IF($M6374="PADD IV","PADD 4",IF($M6374="PADD V","PADD 5","")))))</f>
        <v>PADD 2</v>
      </c>
      <c r="G6374" s="6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6" t="s">
        <v>39</v>
      </c>
      <c r="I6374" s="6" t="s">
        <v>961</v>
      </c>
      <c r="J6374" s="6" t="s">
        <v>398</v>
      </c>
      <c r="K6374" s="10">
        <v>35</v>
      </c>
      <c r="L6374" s="10">
        <v>35</v>
      </c>
      <c r="M6374" s="6" t="s">
        <v>425</v>
      </c>
      <c r="N6374" s="6">
        <f>IF(OR($G6374="FCC",$G6374="Hydrocracker",$G6374="Reformer"),IF(COUNTIFS($D:$D,$D6374,$A:$A,$A6374,$B:$B,$B6374,$G:$G,"CDU",$J:$J,"PLANNED")&gt;0,"tied","standalone"),"")</f>
        <v/>
      </c>
    </row>
    <row r="6375" spans="1:14">
      <c r="A6375" s="6">
        <v>2025</v>
      </c>
      <c r="B6375" s="6">
        <v>9</v>
      </c>
      <c r="C6375" s="6" t="s">
        <v>68</v>
      </c>
      <c r="D6375" s="6" t="s">
        <v>820</v>
      </c>
      <c r="E6375" s="6" t="s">
        <v>710</v>
      </c>
      <c r="F6375" s="6" t="str">
        <f>IF($M6375="PADD I","PADD 1",IF($M6375="PADD II","PADD 2",IF($M6375="PADD III","PADD 3",IF($M6375="PADD IV","PADD 4",IF($M6375="PADD V","PADD 5","")))))</f>
        <v>PADD 3</v>
      </c>
      <c r="G6375" s="6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6" t="s">
        <v>485</v>
      </c>
      <c r="I6375" s="6" t="s">
        <v>491</v>
      </c>
      <c r="J6375" s="6" t="s">
        <v>394</v>
      </c>
      <c r="K6375" s="10">
        <v>32</v>
      </c>
      <c r="L6375" s="10">
        <v>32</v>
      </c>
      <c r="M6375" s="6" t="s">
        <v>421</v>
      </c>
      <c r="N6375" s="6">
        <f>IF(OR($G6375="FCC",$G6375="Hydrocracker",$G6375="Reformer"),IF(COUNTIFS($D:$D,$D6375,$A:$A,$A6375,$B:$B,$B6375,$G:$G,"CDU",$J:$J,"PLANNED")&gt;0,"tied","standalone"),"")</f>
        <v/>
      </c>
    </row>
    <row r="6376" spans="1:14">
      <c r="A6376" s="6">
        <v>2025</v>
      </c>
      <c r="B6376" s="6">
        <v>9</v>
      </c>
      <c r="C6376" s="6" t="s">
        <v>68</v>
      </c>
      <c r="D6376" s="6" t="s">
        <v>375</v>
      </c>
      <c r="E6376" s="6" t="s">
        <v>435</v>
      </c>
      <c r="F6376" s="6" t="str">
        <f>IF($M6376="PADD I","PADD 1",IF($M6376="PADD II","PADD 2",IF($M6376="PADD III","PADD 3",IF($M6376="PADD IV","PADD 4",IF($M6376="PADD V","PADD 5","")))))</f>
        <v>PADD 5</v>
      </c>
      <c r="G6376" s="6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6" t="s">
        <v>428</v>
      </c>
      <c r="I6376" s="6" t="s">
        <v>481</v>
      </c>
      <c r="J6376" s="6" t="s">
        <v>394</v>
      </c>
      <c r="K6376" s="10">
        <v>31.5</v>
      </c>
      <c r="L6376" s="10">
        <v>31.5</v>
      </c>
      <c r="M6376" s="6" t="s">
        <v>436</v>
      </c>
      <c r="N6376" s="6">
        <f>IF(OR($G6376="FCC",$G6376="Hydrocracker",$G6376="Reformer"),IF(COUNTIFS($D:$D,$D6376,$A:$A,$A6376,$B:$B,$B6376,$G:$G,"CDU",$J:$J,"PLANNED")&gt;0,"tied","standalone"),"")</f>
        <v/>
      </c>
    </row>
    <row r="6377" spans="1:14">
      <c r="A6377" s="6">
        <v>2025</v>
      </c>
      <c r="B6377" s="6">
        <v>9</v>
      </c>
      <c r="C6377" s="6" t="s">
        <v>68</v>
      </c>
      <c r="D6377" s="6" t="s">
        <v>458</v>
      </c>
      <c r="E6377" s="6" t="s">
        <v>459</v>
      </c>
      <c r="F6377" s="6" t="str">
        <f>IF($M6377="PADD I","PADD 1",IF($M6377="PADD II","PADD 2",IF($M6377="PADD III","PADD 3",IF($M6377="PADD IV","PADD 4",IF($M6377="PADD V","PADD 5","")))))</f>
        <v>PADD 3</v>
      </c>
      <c r="G6377" s="6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6" t="s">
        <v>44</v>
      </c>
      <c r="I6377" s="6" t="s">
        <v>552</v>
      </c>
      <c r="J6377" s="6" t="s">
        <v>398</v>
      </c>
      <c r="K6377" s="10">
        <v>30</v>
      </c>
      <c r="L6377" s="10">
        <v>30</v>
      </c>
      <c r="M6377" s="6" t="s">
        <v>421</v>
      </c>
      <c r="N6377" s="6">
        <f>IF(OR($G6377="FCC",$G6377="Hydrocracker",$G6377="Reformer"),IF(COUNTIFS($D:$D,$D6377,$A:$A,$A6377,$B:$B,$B6377,$G:$G,"CDU",$J:$J,"PLANNED")&gt;0,"tied","standalone"),"")</f>
        <v/>
      </c>
    </row>
    <row r="6378" spans="1:14">
      <c r="A6378" s="6">
        <v>2025</v>
      </c>
      <c r="B6378" s="6">
        <v>9</v>
      </c>
      <c r="C6378" s="6" t="s">
        <v>68</v>
      </c>
      <c r="D6378" s="6" t="s">
        <v>384</v>
      </c>
      <c r="E6378" s="6" t="s">
        <v>419</v>
      </c>
      <c r="F6378" s="6" t="str">
        <f>IF($M6378="PADD I","PADD 1",IF($M6378="PADD II","PADD 2",IF($M6378="PADD III","PADD 3",IF($M6378="PADD IV","PADD 4",IF($M6378="PADD V","PADD 5","")))))</f>
        <v>PADD 3</v>
      </c>
      <c r="G6378" s="6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6" t="s">
        <v>426</v>
      </c>
      <c r="I6378" s="6" t="s">
        <v>522</v>
      </c>
      <c r="J6378" s="6" t="s">
        <v>394</v>
      </c>
      <c r="K6378" s="10">
        <v>29.1</v>
      </c>
      <c r="L6378" s="10">
        <v>30</v>
      </c>
      <c r="M6378" s="6" t="s">
        <v>421</v>
      </c>
      <c r="N6378" s="6" t="str">
        <f>IF(OR($G6378="FCC",$G6378="Hydrocracker",$G6378="Reformer"),IF(COUNTIFS($D:$D,$D6378,$A:$A,$A6378,$B:$B,$B6378,$G:$G,"CDU",$J:$J,"PLANNED")&gt;0,"tied","standalone"),"")</f>
        <v>standalone</v>
      </c>
    </row>
    <row r="6379" spans="1:14">
      <c r="A6379" s="6">
        <v>2025</v>
      </c>
      <c r="B6379" s="6">
        <v>9</v>
      </c>
      <c r="C6379" s="6" t="s">
        <v>68</v>
      </c>
      <c r="D6379" s="6" t="s">
        <v>1110</v>
      </c>
      <c r="E6379" s="6" t="s">
        <v>1089</v>
      </c>
      <c r="F6379" s="6" t="str">
        <f>IF($M6379="PADD I","PADD 1",IF($M6379="PADD II","PADD 2",IF($M6379="PADD III","PADD 3",IF($M6379="PADD IV","PADD 4",IF($M6379="PADD V","PADD 5","")))))</f>
        <v>PADD 2</v>
      </c>
      <c r="G6379" s="6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6" t="s">
        <v>44</v>
      </c>
      <c r="I6379" s="6" t="s">
        <v>1230</v>
      </c>
      <c r="J6379" s="6" t="s">
        <v>398</v>
      </c>
      <c r="K6379" s="10">
        <v>28.4</v>
      </c>
      <c r="L6379" s="10">
        <v>71</v>
      </c>
      <c r="M6379" s="6" t="s">
        <v>425</v>
      </c>
      <c r="N6379" s="6">
        <f>IF(OR($G6379="FCC",$G6379="Hydrocracker",$G6379="Reformer"),IF(COUNTIFS($D:$D,$D6379,$A:$A,$A6379,$B:$B,$B6379,$G:$G,"CDU",$J:$J,"PLANNED")&gt;0,"tied","standalone"),"")</f>
        <v/>
      </c>
    </row>
    <row r="6380" spans="1:14">
      <c r="A6380" s="6">
        <v>2025</v>
      </c>
      <c r="B6380" s="6">
        <v>9</v>
      </c>
      <c r="C6380" s="6" t="s">
        <v>68</v>
      </c>
      <c r="D6380" s="6" t="s">
        <v>458</v>
      </c>
      <c r="E6380" s="6" t="s">
        <v>459</v>
      </c>
      <c r="F6380" s="6" t="str">
        <f>IF($M6380="PADD I","PADD 1",IF($M6380="PADD II","PADD 2",IF($M6380="PADD III","PADD 3",IF($M6380="PADD IV","PADD 4",IF($M6380="PADD V","PADD 5","")))))</f>
        <v>PADD 3</v>
      </c>
      <c r="G6380" s="6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6" t="s">
        <v>44</v>
      </c>
      <c r="I6380" s="6" t="s">
        <v>553</v>
      </c>
      <c r="J6380" s="6" t="s">
        <v>398</v>
      </c>
      <c r="K6380" s="10">
        <v>26.1</v>
      </c>
      <c r="L6380" s="10">
        <v>30</v>
      </c>
      <c r="M6380" s="6" t="s">
        <v>421</v>
      </c>
      <c r="N6380" s="6">
        <f>IF(OR($G6380="FCC",$G6380="Hydrocracker",$G6380="Reformer"),IF(COUNTIFS($D:$D,$D6380,$A:$A,$A6380,$B:$B,$B6380,$G:$G,"CDU",$J:$J,"PLANNED")&gt;0,"tied","standalone"),"")</f>
        <v/>
      </c>
    </row>
    <row r="6381" spans="1:14">
      <c r="A6381" s="6">
        <v>2025</v>
      </c>
      <c r="B6381" s="6">
        <v>9</v>
      </c>
      <c r="C6381" s="6" t="s">
        <v>68</v>
      </c>
      <c r="D6381" s="6" t="s">
        <v>822</v>
      </c>
      <c r="E6381" s="6" t="s">
        <v>455</v>
      </c>
      <c r="F6381" s="6" t="str">
        <f>IF($M6381="PADD I","PADD 1",IF($M6381="PADD II","PADD 2",IF($M6381="PADD III","PADD 3",IF($M6381="PADD IV","PADD 4",IF($M6381="PADD V","PADD 5","")))))</f>
        <v>PADD 3</v>
      </c>
      <c r="G6381" s="6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6" t="s">
        <v>39</v>
      </c>
      <c r="I6381" s="6" t="s">
        <v>1147</v>
      </c>
      <c r="J6381" s="6" t="s">
        <v>398</v>
      </c>
      <c r="K6381" s="10">
        <v>26.04</v>
      </c>
      <c r="L6381" s="10">
        <v>37.2</v>
      </c>
      <c r="M6381" s="6" t="s">
        <v>421</v>
      </c>
      <c r="N6381" s="6">
        <f>IF(OR($G6381="FCC",$G6381="Hydrocracker",$G6381="Reformer"),IF(COUNTIFS($D:$D,$D6381,$A:$A,$A6381,$B:$B,$B6381,$G:$G,"CDU",$J:$J,"PLANNED")&gt;0,"tied","standalone"),"")</f>
        <v/>
      </c>
    </row>
    <row r="6382" spans="1:14">
      <c r="A6382" s="6">
        <v>2025</v>
      </c>
      <c r="B6382" s="6">
        <v>9</v>
      </c>
      <c r="C6382" s="6" t="s">
        <v>68</v>
      </c>
      <c r="D6382" s="6" t="s">
        <v>622</v>
      </c>
      <c r="E6382" s="6" t="s">
        <v>623</v>
      </c>
      <c r="F6382" s="6" t="str">
        <f>IF($M6382="PADD I","PADD 1",IF($M6382="PADD II","PADD 2",IF($M6382="PADD III","PADD 3",IF($M6382="PADD IV","PADD 4",IF($M6382="PADD V","PADD 5","")))))</f>
        <v>PADD 3</v>
      </c>
      <c r="G6382" s="6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6" t="s">
        <v>39</v>
      </c>
      <c r="I6382" s="6" t="s">
        <v>624</v>
      </c>
      <c r="J6382" s="6" t="s">
        <v>398</v>
      </c>
      <c r="K6382" s="10">
        <v>25</v>
      </c>
      <c r="L6382" s="10">
        <v>50</v>
      </c>
      <c r="M6382" s="6" t="s">
        <v>421</v>
      </c>
      <c r="N6382" s="6">
        <f>IF(OR($G6382="FCC",$G6382="Hydrocracker",$G6382="Reformer"),IF(COUNTIFS($D:$D,$D6382,$A:$A,$A6382,$B:$B,$B6382,$G:$G,"CDU",$J:$J,"PLANNED")&gt;0,"tied","standalone"),"")</f>
        <v/>
      </c>
    </row>
    <row r="6383" spans="1:14">
      <c r="A6383" s="6">
        <v>2025</v>
      </c>
      <c r="B6383" s="6">
        <v>9</v>
      </c>
      <c r="C6383" s="6" t="s">
        <v>68</v>
      </c>
      <c r="D6383" s="6" t="s">
        <v>507</v>
      </c>
      <c r="E6383" s="6" t="s">
        <v>438</v>
      </c>
      <c r="F6383" s="6" t="str">
        <f>IF($M6383="PADD I","PADD 1",IF($M6383="PADD II","PADD 2",IF($M6383="PADD III","PADD 3",IF($M6383="PADD IV","PADD 4",IF($M6383="PADD V","PADD 5","")))))</f>
        <v>PADD 5</v>
      </c>
      <c r="G6383" s="6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6" t="s">
        <v>44</v>
      </c>
      <c r="I6383" s="6" t="s">
        <v>1123</v>
      </c>
      <c r="J6383" s="6" t="s">
        <v>398</v>
      </c>
      <c r="K6383" s="10">
        <v>24.15</v>
      </c>
      <c r="L6383" s="10">
        <v>105</v>
      </c>
      <c r="M6383" s="6" t="s">
        <v>436</v>
      </c>
      <c r="N6383" s="6">
        <f>IF(OR($G6383="FCC",$G6383="Hydrocracker",$G6383="Reformer"),IF(COUNTIFS($D:$D,$D6383,$A:$A,$A6383,$B:$B,$B6383,$G:$G,"CDU",$J:$J,"PLANNED")&gt;0,"tied","standalone"),"")</f>
        <v/>
      </c>
    </row>
    <row r="6384" spans="1:14">
      <c r="A6384" s="6">
        <v>2025</v>
      </c>
      <c r="B6384" s="6">
        <v>9</v>
      </c>
      <c r="C6384" s="6" t="s">
        <v>68</v>
      </c>
      <c r="D6384" s="6" t="s">
        <v>662</v>
      </c>
      <c r="E6384" s="6" t="s">
        <v>466</v>
      </c>
      <c r="F6384" s="6" t="str">
        <f>IF($M6384="PADD I","PADD 1",IF($M6384="PADD II","PADD 2",IF($M6384="PADD III","PADD 3",IF($M6384="PADD IV","PADD 4",IF($M6384="PADD V","PADD 5","")))))</f>
        <v>PADD 3</v>
      </c>
      <c r="G6384" s="6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6" t="s">
        <v>428</v>
      </c>
      <c r="I6384" s="6" t="s">
        <v>481</v>
      </c>
      <c r="J6384" s="6" t="s">
        <v>398</v>
      </c>
      <c r="K6384" s="10">
        <v>24</v>
      </c>
      <c r="L6384" s="10">
        <v>80</v>
      </c>
      <c r="M6384" s="6" t="s">
        <v>421</v>
      </c>
      <c r="N6384" s="6">
        <f>IF(OR($G6384="FCC",$G6384="Hydrocracker",$G6384="Reformer"),IF(COUNTIFS($D:$D,$D6384,$A:$A,$A6384,$B:$B,$B6384,$G:$G,"CDU",$J:$J,"PLANNED")&gt;0,"tied","standalone"),"")</f>
        <v/>
      </c>
    </row>
    <row r="6385" spans="1:14">
      <c r="A6385" s="6">
        <v>2025</v>
      </c>
      <c r="B6385" s="6">
        <v>9</v>
      </c>
      <c r="C6385" s="6" t="s">
        <v>68</v>
      </c>
      <c r="D6385" s="6" t="s">
        <v>445</v>
      </c>
      <c r="E6385" s="6" t="s">
        <v>446</v>
      </c>
      <c r="F6385" s="6" t="str">
        <f>IF($M6385="PADD I","PADD 1",IF($M6385="PADD II","PADD 2",IF($M6385="PADD III","PADD 3",IF($M6385="PADD IV","PADD 4",IF($M6385="PADD V","PADD 5","")))))</f>
        <v>PADD 3</v>
      </c>
      <c r="G6385" s="6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6" t="s">
        <v>471</v>
      </c>
      <c r="I6385" s="6" t="s">
        <v>590</v>
      </c>
      <c r="J6385" s="6" t="s">
        <v>394</v>
      </c>
      <c r="K6385" s="10">
        <v>23.85</v>
      </c>
      <c r="L6385" s="10">
        <v>45</v>
      </c>
      <c r="M6385" s="6" t="s">
        <v>421</v>
      </c>
      <c r="N6385" s="6" t="str">
        <f>IF(OR($G6385="FCC",$G6385="Hydrocracker",$G6385="Reformer"),IF(COUNTIFS($D:$D,$D6385,$A:$A,$A6385,$B:$B,$B6385,$G:$G,"CDU",$J:$J,"PLANNED")&gt;0,"tied","standalone"),"")</f>
        <v>standalone</v>
      </c>
    </row>
    <row r="6386" spans="1:14">
      <c r="A6386" s="6">
        <v>2025</v>
      </c>
      <c r="B6386" s="6">
        <v>9</v>
      </c>
      <c r="C6386" s="6" t="s">
        <v>68</v>
      </c>
      <c r="D6386" s="6" t="s">
        <v>1370</v>
      </c>
      <c r="E6386" s="6" t="s">
        <v>1371</v>
      </c>
      <c r="F6386" s="6" t="str">
        <f>IF($M6386="PADD I","PADD 1",IF($M6386="PADD II","PADD 2",IF($M6386="PADD III","PADD 3",IF($M6386="PADD IV","PADD 4",IF($M6386="PADD V","PADD 5","")))))</f>
        <v>PADD 3</v>
      </c>
      <c r="G6386" s="6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6" t="s">
        <v>39</v>
      </c>
      <c r="I6386" s="6" t="s">
        <v>82</v>
      </c>
      <c r="J6386" s="6" t="s">
        <v>398</v>
      </c>
      <c r="K6386" s="10">
        <v>23.055</v>
      </c>
      <c r="L6386" s="10">
        <v>26.5</v>
      </c>
      <c r="M6386" s="6" t="s">
        <v>421</v>
      </c>
      <c r="N6386" s="6">
        <f>IF(OR($G6386="FCC",$G6386="Hydrocracker",$G6386="Reformer"),IF(COUNTIFS($D:$D,$D6386,$A:$A,$A6386,$B:$B,$B6386,$G:$G,"CDU",$J:$J,"PLANNED")&gt;0,"tied","standalone"),"")</f>
        <v/>
      </c>
    </row>
    <row r="6387" spans="1:14">
      <c r="A6387" s="6">
        <v>2025</v>
      </c>
      <c r="B6387" s="6">
        <v>9</v>
      </c>
      <c r="C6387" s="6" t="s">
        <v>68</v>
      </c>
      <c r="D6387" s="6" t="s">
        <v>851</v>
      </c>
      <c r="E6387" s="6" t="s">
        <v>829</v>
      </c>
      <c r="F6387" s="6" t="str">
        <f>IF($M6387="PADD I","PADD 1",IF($M6387="PADD II","PADD 2",IF($M6387="PADD III","PADD 3",IF($M6387="PADD IV","PADD 4",IF($M6387="PADD V","PADD 5","")))))</f>
        <v>PADD 2</v>
      </c>
      <c r="G6387" s="6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6" t="s">
        <v>485</v>
      </c>
      <c r="I6387" s="6" t="s">
        <v>1229</v>
      </c>
      <c r="J6387" s="6" t="s">
        <v>394</v>
      </c>
      <c r="K6387" s="10">
        <v>21.6</v>
      </c>
      <c r="L6387" s="10">
        <v>24</v>
      </c>
      <c r="M6387" s="6" t="s">
        <v>425</v>
      </c>
      <c r="N6387" s="6">
        <f>IF(OR($G6387="FCC",$G6387="Hydrocracker",$G6387="Reformer"),IF(COUNTIFS($D:$D,$D6387,$A:$A,$A6387,$B:$B,$B6387,$G:$G,"CDU",$J:$J,"PLANNED")&gt;0,"tied","standalone"),"")</f>
        <v/>
      </c>
    </row>
    <row r="6388" spans="1:14">
      <c r="A6388" s="6">
        <v>2025</v>
      </c>
      <c r="B6388" s="6">
        <v>9</v>
      </c>
      <c r="C6388" s="6" t="s">
        <v>68</v>
      </c>
      <c r="D6388" s="6" t="s">
        <v>822</v>
      </c>
      <c r="E6388" s="6" t="s">
        <v>455</v>
      </c>
      <c r="F6388" s="6" t="str">
        <f>IF($M6388="PADD I","PADD 1",IF($M6388="PADD II","PADD 2",IF($M6388="PADD III","PADD 3",IF($M6388="PADD IV","PADD 4",IF($M6388="PADD V","PADD 5","")))))</f>
        <v>PADD 3</v>
      </c>
      <c r="G6388" s="6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6" t="s">
        <v>428</v>
      </c>
      <c r="I6388" s="6" t="s">
        <v>481</v>
      </c>
      <c r="J6388" s="6" t="s">
        <v>398</v>
      </c>
      <c r="K6388" s="10">
        <v>21</v>
      </c>
      <c r="L6388" s="10">
        <v>30</v>
      </c>
      <c r="M6388" s="6" t="s">
        <v>421</v>
      </c>
      <c r="N6388" s="6">
        <f>IF(OR($G6388="FCC",$G6388="Hydrocracker",$G6388="Reformer"),IF(COUNTIFS($D:$D,$D6388,$A:$A,$A6388,$B:$B,$B6388,$G:$G,"CDU",$J:$J,"PLANNED")&gt;0,"tied","standalone"),"")</f>
        <v/>
      </c>
    </row>
    <row r="6389" spans="1:14">
      <c r="A6389" s="6">
        <v>2025</v>
      </c>
      <c r="B6389" s="6">
        <v>9</v>
      </c>
      <c r="C6389" s="6" t="s">
        <v>68</v>
      </c>
      <c r="D6389" s="6" t="s">
        <v>458</v>
      </c>
      <c r="E6389" s="6" t="s">
        <v>459</v>
      </c>
      <c r="F6389" s="6" t="str">
        <f>IF($M6389="PADD I","PADD 1",IF($M6389="PADD II","PADD 2",IF($M6389="PADD III","PADD 3",IF($M6389="PADD IV","PADD 4",IF($M6389="PADD V","PADD 5","")))))</f>
        <v>PADD 3</v>
      </c>
      <c r="G6389" s="6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6" t="s">
        <v>44</v>
      </c>
      <c r="I6389" s="6" t="s">
        <v>567</v>
      </c>
      <c r="J6389" s="6" t="s">
        <v>398</v>
      </c>
      <c r="K6389" s="10">
        <v>20.88</v>
      </c>
      <c r="L6389" s="10">
        <v>24</v>
      </c>
      <c r="M6389" s="6" t="s">
        <v>421</v>
      </c>
      <c r="N6389" s="6">
        <f>IF(OR($G6389="FCC",$G6389="Hydrocracker",$G6389="Reformer"),IF(COUNTIFS($D:$D,$D6389,$A:$A,$A6389,$B:$B,$B6389,$G:$G,"CDU",$J:$J,"PLANNED")&gt;0,"tied","standalone"),"")</f>
        <v/>
      </c>
    </row>
    <row r="6390" spans="1:14">
      <c r="A6390" s="6">
        <v>2025</v>
      </c>
      <c r="B6390" s="6">
        <v>9</v>
      </c>
      <c r="C6390" s="6" t="s">
        <v>68</v>
      </c>
      <c r="D6390" s="6" t="s">
        <v>507</v>
      </c>
      <c r="E6390" s="6" t="s">
        <v>438</v>
      </c>
      <c r="F6390" s="6" t="str">
        <f>IF($M6390="PADD I","PADD 1",IF($M6390="PADD II","PADD 2",IF($M6390="PADD III","PADD 3",IF($M6390="PADD IV","PADD 4",IF($M6390="PADD V","PADD 5","")))))</f>
        <v>PADD 5</v>
      </c>
      <c r="G6390" s="6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6" t="s">
        <v>426</v>
      </c>
      <c r="I6390" s="6" t="s">
        <v>106</v>
      </c>
      <c r="J6390" s="6" t="s">
        <v>398</v>
      </c>
      <c r="K6390" s="10">
        <v>20.8</v>
      </c>
      <c r="L6390" s="10">
        <v>104</v>
      </c>
      <c r="M6390" s="6" t="s">
        <v>436</v>
      </c>
      <c r="N6390" s="6" t="str">
        <f>IF(OR($G6390="FCC",$G6390="Hydrocracker",$G6390="Reformer"),IF(COUNTIFS($D:$D,$D6390,$A:$A,$A6390,$B:$B,$B6390,$G:$G,"CDU",$J:$J,"PLANNED")&gt;0,"tied","standalone"),"")</f>
        <v>standalone</v>
      </c>
    </row>
    <row r="6391" spans="1:14">
      <c r="A6391" s="6">
        <v>2025</v>
      </c>
      <c r="B6391" s="6">
        <v>9</v>
      </c>
      <c r="C6391" s="6" t="s">
        <v>68</v>
      </c>
      <c r="D6391" s="6" t="s">
        <v>373</v>
      </c>
      <c r="E6391" s="6" t="s">
        <v>438</v>
      </c>
      <c r="F6391" s="6" t="str">
        <f>IF($M6391="PADD I","PADD 1",IF($M6391="PADD II","PADD 2",IF($M6391="PADD III","PADD 3",IF($M6391="PADD IV","PADD 4",IF($M6391="PADD V","PADD 5","")))))</f>
        <v>PADD 3</v>
      </c>
      <c r="G6391" s="6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6" t="s">
        <v>44</v>
      </c>
      <c r="I6391" s="6" t="s">
        <v>743</v>
      </c>
      <c r="J6391" s="6" t="s">
        <v>398</v>
      </c>
      <c r="K6391" s="10">
        <v>20.21</v>
      </c>
      <c r="L6391" s="10">
        <v>43</v>
      </c>
      <c r="M6391" s="6" t="s">
        <v>421</v>
      </c>
      <c r="N6391" s="6">
        <f>IF(OR($G6391="FCC",$G6391="Hydrocracker",$G6391="Reformer"),IF(COUNTIFS($D:$D,$D6391,$A:$A,$A6391,$B:$B,$B6391,$G:$G,"CDU",$J:$J,"PLANNED")&gt;0,"tied","standalone"),"")</f>
        <v/>
      </c>
    </row>
    <row r="6392" spans="1:14">
      <c r="A6392" s="6">
        <v>2025</v>
      </c>
      <c r="B6392" s="6">
        <v>9</v>
      </c>
      <c r="C6392" s="6" t="s">
        <v>68</v>
      </c>
      <c r="D6392" s="6" t="s">
        <v>373</v>
      </c>
      <c r="E6392" s="6" t="s">
        <v>438</v>
      </c>
      <c r="F6392" s="6" t="str">
        <f>IF($M6392="PADD I","PADD 1",IF($M6392="PADD II","PADD 2",IF($M6392="PADD III","PADD 3",IF($M6392="PADD IV","PADD 4",IF($M6392="PADD V","PADD 5","")))))</f>
        <v>PADD 3</v>
      </c>
      <c r="G6392" s="6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6" t="s">
        <v>471</v>
      </c>
      <c r="I6392" s="6" t="s">
        <v>1372</v>
      </c>
      <c r="J6392" s="6" t="s">
        <v>398</v>
      </c>
      <c r="K6392" s="10">
        <v>18.404</v>
      </c>
      <c r="L6392" s="10">
        <v>42.8</v>
      </c>
      <c r="M6392" s="6" t="s">
        <v>421</v>
      </c>
      <c r="N6392" s="6" t="str">
        <f>IF(OR($G6392="FCC",$G6392="Hydrocracker",$G6392="Reformer"),IF(COUNTIFS($D:$D,$D6392,$A:$A,$A6392,$B:$B,$B6392,$G:$G,"CDU",$J:$J,"PLANNED")&gt;0,"tied","standalone"),"")</f>
        <v>tied</v>
      </c>
    </row>
    <row r="6393" spans="1:14">
      <c r="A6393" s="6">
        <v>2025</v>
      </c>
      <c r="B6393" s="6">
        <v>9</v>
      </c>
      <c r="C6393" s="6" t="s">
        <v>68</v>
      </c>
      <c r="D6393" s="6" t="s">
        <v>373</v>
      </c>
      <c r="E6393" s="6" t="s">
        <v>438</v>
      </c>
      <c r="F6393" s="6" t="str">
        <f>IF($M6393="PADD I","PADD 1",IF($M6393="PADD II","PADD 2",IF($M6393="PADD III","PADD 3",IF($M6393="PADD IV","PADD 4",IF($M6393="PADD V","PADD 5","")))))</f>
        <v>PADD 3</v>
      </c>
      <c r="G6393" s="6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6" t="s">
        <v>485</v>
      </c>
      <c r="I6393" s="6" t="s">
        <v>1012</v>
      </c>
      <c r="J6393" s="6" t="s">
        <v>398</v>
      </c>
      <c r="K6393" s="10">
        <v>18.285</v>
      </c>
      <c r="L6393" s="10">
        <v>34.5</v>
      </c>
      <c r="M6393" s="6" t="s">
        <v>421</v>
      </c>
      <c r="N6393" s="6">
        <f>IF(OR($G6393="FCC",$G6393="Hydrocracker",$G6393="Reformer"),IF(COUNTIFS($D:$D,$D6393,$A:$A,$A6393,$B:$B,$B6393,$G:$G,"CDU",$J:$J,"PLANNED")&gt;0,"tied","standalone"),"")</f>
        <v/>
      </c>
    </row>
    <row r="6394" spans="1:14">
      <c r="A6394" s="6">
        <v>2025</v>
      </c>
      <c r="B6394" s="6">
        <v>9</v>
      </c>
      <c r="C6394" s="6" t="s">
        <v>68</v>
      </c>
      <c r="D6394" s="6" t="s">
        <v>445</v>
      </c>
      <c r="E6394" s="6" t="s">
        <v>446</v>
      </c>
      <c r="F6394" s="6" t="str">
        <f>IF($M6394="PADD I","PADD 1",IF($M6394="PADD II","PADD 2",IF($M6394="PADD III","PADD 3",IF($M6394="PADD IV","PADD 4",IF($M6394="PADD V","PADD 5","")))))</f>
        <v>PADD 3</v>
      </c>
      <c r="G6394" s="6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6" t="s">
        <v>471</v>
      </c>
      <c r="I6394" s="6" t="s">
        <v>590</v>
      </c>
      <c r="J6394" s="6" t="s">
        <v>394</v>
      </c>
      <c r="K6394" s="10">
        <v>18</v>
      </c>
      <c r="L6394" s="10">
        <v>45</v>
      </c>
      <c r="M6394" s="6" t="s">
        <v>421</v>
      </c>
      <c r="N6394" s="6" t="str">
        <f>IF(OR($G6394="FCC",$G6394="Hydrocracker",$G6394="Reformer"),IF(COUNTIFS($D:$D,$D6394,$A:$A,$A6394,$B:$B,$B6394,$G:$G,"CDU",$J:$J,"PLANNED")&gt;0,"tied","standalone"),"")</f>
        <v>standalone</v>
      </c>
    </row>
    <row r="6395" spans="1:14">
      <c r="A6395" s="6">
        <v>2025</v>
      </c>
      <c r="B6395" s="6">
        <v>9</v>
      </c>
      <c r="C6395" s="6" t="s">
        <v>68</v>
      </c>
      <c r="D6395" s="6" t="s">
        <v>375</v>
      </c>
      <c r="E6395" s="6" t="s">
        <v>435</v>
      </c>
      <c r="F6395" s="6" t="str">
        <f>IF($M6395="PADD I","PADD 1",IF($M6395="PADD II","PADD 2",IF($M6395="PADD III","PADD 3",IF($M6395="PADD IV","PADD 4",IF($M6395="PADD V","PADD 5","")))))</f>
        <v>PADD 5</v>
      </c>
      <c r="G6395" s="6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6" t="s">
        <v>44</v>
      </c>
      <c r="I6395" s="6" t="s">
        <v>1224</v>
      </c>
      <c r="J6395" s="6" t="s">
        <v>394</v>
      </c>
      <c r="K6395" s="10">
        <v>17.57</v>
      </c>
      <c r="L6395" s="10">
        <v>17.57</v>
      </c>
      <c r="M6395" s="6" t="s">
        <v>436</v>
      </c>
      <c r="N6395" s="6">
        <f>IF(OR($G6395="FCC",$G6395="Hydrocracker",$G6395="Reformer"),IF(COUNTIFS($D:$D,$D6395,$A:$A,$A6395,$B:$B,$B6395,$G:$G,"CDU",$J:$J,"PLANNED")&gt;0,"tied","standalone"),"")</f>
        <v/>
      </c>
    </row>
    <row r="6396" spans="1:14">
      <c r="A6396" s="6">
        <v>2025</v>
      </c>
      <c r="B6396" s="6">
        <v>9</v>
      </c>
      <c r="C6396" s="6" t="s">
        <v>68</v>
      </c>
      <c r="D6396" s="6" t="s">
        <v>518</v>
      </c>
      <c r="E6396" s="6" t="s">
        <v>419</v>
      </c>
      <c r="F6396" s="6" t="str">
        <f>IF($M6396="PADD I","PADD 1",IF($M6396="PADD II","PADD 2",IF($M6396="PADD III","PADD 3",IF($M6396="PADD IV","PADD 4",IF($M6396="PADD V","PADD 5","")))))</f>
        <v>PADD 3</v>
      </c>
      <c r="G6396" s="6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6" t="s">
        <v>44</v>
      </c>
      <c r="I6396" s="6" t="s">
        <v>1080</v>
      </c>
      <c r="J6396" s="6" t="s">
        <v>398</v>
      </c>
      <c r="K6396" s="10">
        <v>17.4</v>
      </c>
      <c r="L6396" s="10">
        <v>20</v>
      </c>
      <c r="M6396" s="6" t="s">
        <v>421</v>
      </c>
      <c r="N6396" s="6">
        <f>IF(OR($G6396="FCC",$G6396="Hydrocracker",$G6396="Reformer"),IF(COUNTIFS($D:$D,$D6396,$A:$A,$A6396,$B:$B,$B6396,$G:$G,"CDU",$J:$J,"PLANNED")&gt;0,"tied","standalone"),"")</f>
        <v/>
      </c>
    </row>
    <row r="6397" spans="1:14">
      <c r="A6397" s="6">
        <v>2025</v>
      </c>
      <c r="B6397" s="6">
        <v>9</v>
      </c>
      <c r="C6397" s="6" t="s">
        <v>68</v>
      </c>
      <c r="D6397" s="6" t="s">
        <v>1370</v>
      </c>
      <c r="E6397" s="6" t="s">
        <v>1371</v>
      </c>
      <c r="F6397" s="6" t="str">
        <f>IF($M6397="PADD I","PADD 1",IF($M6397="PADD II","PADD 2",IF($M6397="PADD III","PADD 3",IF($M6397="PADD IV","PADD 4",IF($M6397="PADD V","PADD 5","")))))</f>
        <v>PADD 3</v>
      </c>
      <c r="G6397" s="6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6" t="s">
        <v>428</v>
      </c>
      <c r="I6397" s="6" t="s">
        <v>481</v>
      </c>
      <c r="J6397" s="6" t="s">
        <v>398</v>
      </c>
      <c r="K6397" s="10">
        <v>17.4</v>
      </c>
      <c r="L6397" s="10">
        <v>20</v>
      </c>
      <c r="M6397" s="6" t="s">
        <v>421</v>
      </c>
      <c r="N6397" s="6">
        <f>IF(OR($G6397="FCC",$G6397="Hydrocracker",$G6397="Reformer"),IF(COUNTIFS($D:$D,$D6397,$A:$A,$A6397,$B:$B,$B6397,$G:$G,"CDU",$J:$J,"PLANNED")&gt;0,"tied","standalone"),"")</f>
        <v/>
      </c>
    </row>
    <row r="6398" spans="1:14">
      <c r="A6398" s="6">
        <v>2025</v>
      </c>
      <c r="B6398" s="6">
        <v>9</v>
      </c>
      <c r="C6398" s="6" t="s">
        <v>68</v>
      </c>
      <c r="D6398" s="6" t="s">
        <v>1373</v>
      </c>
      <c r="E6398" s="6" t="s">
        <v>419</v>
      </c>
      <c r="F6398" s="6" t="str">
        <f>IF($M6398="PADD I","PADD 1",IF($M6398="PADD II","PADD 2",IF($M6398="PADD III","PADD 3",IF($M6398="PADD IV","PADD 4",IF($M6398="PADD V","PADD 5","")))))</f>
        <v>PADD 5</v>
      </c>
      <c r="G6398" s="6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6" t="s">
        <v>44</v>
      </c>
      <c r="I6398" s="6" t="s">
        <v>861</v>
      </c>
      <c r="J6398" s="6" t="s">
        <v>398</v>
      </c>
      <c r="K6398" s="10">
        <v>16.96</v>
      </c>
      <c r="L6398" s="10">
        <v>32</v>
      </c>
      <c r="M6398" s="6" t="s">
        <v>436</v>
      </c>
      <c r="N6398" s="6">
        <f>IF(OR($G6398="FCC",$G6398="Hydrocracker",$G6398="Reformer"),IF(COUNTIFS($D:$D,$D6398,$A:$A,$A6398,$B:$B,$B6398,$G:$G,"CDU",$J:$J,"PLANNED")&gt;0,"tied","standalone"),"")</f>
        <v/>
      </c>
    </row>
    <row r="6399" spans="1:14">
      <c r="A6399" s="6">
        <v>2025</v>
      </c>
      <c r="B6399" s="6">
        <v>9</v>
      </c>
      <c r="C6399" s="6" t="s">
        <v>68</v>
      </c>
      <c r="D6399" s="6" t="s">
        <v>437</v>
      </c>
      <c r="E6399" s="6" t="s">
        <v>438</v>
      </c>
      <c r="F6399" s="6" t="str">
        <f>IF($M6399="PADD I","PADD 1",IF($M6399="PADD II","PADD 2",IF($M6399="PADD III","PADD 3",IF($M6399="PADD IV","PADD 4",IF($M6399="PADD V","PADD 5","")))))</f>
        <v>PADD 3</v>
      </c>
      <c r="G6399" s="6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6" t="s">
        <v>631</v>
      </c>
      <c r="I6399" s="6" t="s">
        <v>918</v>
      </c>
      <c r="J6399" s="6" t="s">
        <v>394</v>
      </c>
      <c r="K6399" s="10">
        <v>16</v>
      </c>
      <c r="L6399" s="10">
        <v>16</v>
      </c>
      <c r="M6399" s="6" t="s">
        <v>421</v>
      </c>
      <c r="N6399" s="6" t="str">
        <f>IF(OR($G6399="FCC",$G6399="Hydrocracker",$G6399="Reformer"),IF(COUNTIFS($D:$D,$D6399,$A:$A,$A6399,$B:$B,$B6399,$G:$G,"CDU",$J:$J,"PLANNED")&gt;0,"tied","standalone"),"")</f>
        <v>standalone</v>
      </c>
    </row>
    <row r="6400" spans="1:14">
      <c r="A6400" s="6">
        <v>2025</v>
      </c>
      <c r="B6400" s="6">
        <v>9</v>
      </c>
      <c r="C6400" s="6" t="s">
        <v>68</v>
      </c>
      <c r="D6400" s="6" t="s">
        <v>550</v>
      </c>
      <c r="E6400" s="6" t="s">
        <v>438</v>
      </c>
      <c r="F6400" s="6" t="str">
        <f>IF($M6400="PADD I","PADD 1",IF($M6400="PADD II","PADD 2",IF($M6400="PADD III","PADD 3",IF($M6400="PADD IV","PADD 4",IF($M6400="PADD V","PADD 5","")))))</f>
        <v>PADD 2</v>
      </c>
      <c r="G6400" s="6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6" t="s">
        <v>39</v>
      </c>
      <c r="I6400" s="6" t="s">
        <v>580</v>
      </c>
      <c r="J6400" s="6" t="s">
        <v>398</v>
      </c>
      <c r="K6400" s="10">
        <v>15.64</v>
      </c>
      <c r="L6400" s="10">
        <v>92</v>
      </c>
      <c r="M6400" s="6" t="s">
        <v>425</v>
      </c>
      <c r="N6400" s="6">
        <f>IF(OR($G6400="FCC",$G6400="Hydrocracker",$G6400="Reformer"),IF(COUNTIFS($D:$D,$D6400,$A:$A,$A6400,$B:$B,$B6400,$G:$G,"CDU",$J:$J,"PLANNED")&gt;0,"tied","standalone"),"")</f>
        <v/>
      </c>
    </row>
    <row r="6401" spans="1:14">
      <c r="A6401" s="6">
        <v>2025</v>
      </c>
      <c r="B6401" s="6">
        <v>9</v>
      </c>
      <c r="C6401" s="6" t="s">
        <v>68</v>
      </c>
      <c r="D6401" s="6" t="s">
        <v>1370</v>
      </c>
      <c r="E6401" s="6" t="s">
        <v>1371</v>
      </c>
      <c r="F6401" s="6" t="str">
        <f>IF($M6401="PADD I","PADD 1",IF($M6401="PADD II","PADD 2",IF($M6401="PADD III","PADD 3",IF($M6401="PADD IV","PADD 4",IF($M6401="PADD V","PADD 5","")))))</f>
        <v>PADD 3</v>
      </c>
      <c r="G6401" s="6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6" t="s">
        <v>573</v>
      </c>
      <c r="I6401" s="6" t="s">
        <v>574</v>
      </c>
      <c r="J6401" s="6" t="s">
        <v>398</v>
      </c>
      <c r="K6401" s="10">
        <v>15.486</v>
      </c>
      <c r="L6401" s="10">
        <v>17.8</v>
      </c>
      <c r="M6401" s="6" t="s">
        <v>421</v>
      </c>
      <c r="N6401" s="6">
        <f>IF(OR($G6401="FCC",$G6401="Hydrocracker",$G6401="Reformer"),IF(COUNTIFS($D:$D,$D6401,$A:$A,$A6401,$B:$B,$B6401,$G:$G,"CDU",$J:$J,"PLANNED")&gt;0,"tied","standalone"),"")</f>
        <v/>
      </c>
    </row>
    <row r="6402" spans="1:14">
      <c r="A6402" s="6">
        <v>2025</v>
      </c>
      <c r="B6402" s="6">
        <v>9</v>
      </c>
      <c r="C6402" s="6" t="s">
        <v>68</v>
      </c>
      <c r="D6402" s="6" t="s">
        <v>592</v>
      </c>
      <c r="E6402" s="6" t="s">
        <v>593</v>
      </c>
      <c r="F6402" s="6" t="str">
        <f>IF($M6402="PADD I","PADD 1",IF($M6402="PADD II","PADD 2",IF($M6402="PADD III","PADD 3",IF($M6402="PADD IV","PADD 4",IF($M6402="PADD V","PADD 5","")))))</f>
        <v>PADD 2</v>
      </c>
      <c r="G6402" s="6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6" t="s">
        <v>426</v>
      </c>
      <c r="I6402" s="6" t="s">
        <v>1163</v>
      </c>
      <c r="J6402" s="6" t="s">
        <v>398</v>
      </c>
      <c r="K6402" s="10">
        <v>14.95</v>
      </c>
      <c r="L6402" s="10">
        <v>65</v>
      </c>
      <c r="M6402" s="6" t="s">
        <v>425</v>
      </c>
      <c r="N6402" s="6" t="str">
        <f>IF(OR($G6402="FCC",$G6402="Hydrocracker",$G6402="Reformer"),IF(COUNTIFS($D:$D,$D6402,$A:$A,$A6402,$B:$B,$B6402,$G:$G,"CDU",$J:$J,"PLANNED")&gt;0,"tied","standalone"),"")</f>
        <v>tied</v>
      </c>
    </row>
    <row r="6403" spans="1:14">
      <c r="A6403" s="6">
        <v>2025</v>
      </c>
      <c r="B6403" s="6">
        <v>9</v>
      </c>
      <c r="C6403" s="6" t="s">
        <v>68</v>
      </c>
      <c r="D6403" s="6" t="s">
        <v>368</v>
      </c>
      <c r="E6403" s="6" t="s">
        <v>715</v>
      </c>
      <c r="F6403" s="6" t="str">
        <f>IF($M6403="PADD I","PADD 1",IF($M6403="PADD II","PADD 2",IF($M6403="PADD III","PADD 3",IF($M6403="PADD IV","PADD 4",IF($M6403="PADD V","PADD 5","")))))</f>
        <v>PADD 3</v>
      </c>
      <c r="G6403" s="6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6" t="s">
        <v>510</v>
      </c>
      <c r="I6403" s="6" t="s">
        <v>511</v>
      </c>
      <c r="J6403" s="6" t="s">
        <v>398</v>
      </c>
      <c r="K6403" s="10">
        <v>14.8</v>
      </c>
      <c r="L6403" s="10">
        <v>14.8</v>
      </c>
      <c r="M6403" s="6" t="s">
        <v>421</v>
      </c>
      <c r="N6403" s="6">
        <f>IF(OR($G6403="FCC",$G6403="Hydrocracker",$G6403="Reformer"),IF(COUNTIFS($D:$D,$D6403,$A:$A,$A6403,$B:$B,$B6403,$G:$G,"CDU",$J:$J,"PLANNED")&gt;0,"tied","standalone"),"")</f>
        <v/>
      </c>
    </row>
    <row r="6404" spans="1:14">
      <c r="A6404" s="6">
        <v>2025</v>
      </c>
      <c r="B6404" s="6">
        <v>9</v>
      </c>
      <c r="C6404" s="6" t="s">
        <v>68</v>
      </c>
      <c r="D6404" s="6" t="s">
        <v>1088</v>
      </c>
      <c r="E6404" s="6" t="s">
        <v>1089</v>
      </c>
      <c r="F6404" s="6" t="str">
        <f>IF($M6404="PADD I","PADD 1",IF($M6404="PADD II","PADD 2",IF($M6404="PADD III","PADD 3",IF($M6404="PADD IV","PADD 4",IF($M6404="PADD V","PADD 5","")))))</f>
        <v>PADD 2</v>
      </c>
      <c r="G6404" s="6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6" t="s">
        <v>39</v>
      </c>
      <c r="I6404" s="6" t="s">
        <v>967</v>
      </c>
      <c r="J6404" s="6" t="s">
        <v>398</v>
      </c>
      <c r="K6404" s="10">
        <v>14</v>
      </c>
      <c r="L6404" s="10">
        <v>35</v>
      </c>
      <c r="M6404" s="6" t="s">
        <v>425</v>
      </c>
      <c r="N6404" s="6">
        <f>IF(OR($G6404="FCC",$G6404="Hydrocracker",$G6404="Reformer"),IF(COUNTIFS($D:$D,$D6404,$A:$A,$A6404,$B:$B,$B6404,$G:$G,"CDU",$J:$J,"PLANNED")&gt;0,"tied","standalone"),"")</f>
        <v/>
      </c>
    </row>
    <row r="6405" spans="1:14">
      <c r="A6405" s="6">
        <v>2025</v>
      </c>
      <c r="B6405" s="6">
        <v>9</v>
      </c>
      <c r="C6405" s="6" t="s">
        <v>68</v>
      </c>
      <c r="D6405" s="6" t="s">
        <v>576</v>
      </c>
      <c r="E6405" s="6" t="s">
        <v>455</v>
      </c>
      <c r="F6405" s="6" t="str">
        <f>IF($M6405="PADD I","PADD 1",IF($M6405="PADD II","PADD 2",IF($M6405="PADD III","PADD 3",IF($M6405="PADD IV","PADD 4",IF($M6405="PADD V","PADD 5","")))))</f>
        <v>PADD 3</v>
      </c>
      <c r="G6405" s="6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6" t="s">
        <v>494</v>
      </c>
      <c r="I6405" s="6" t="s">
        <v>577</v>
      </c>
      <c r="J6405" s="6" t="s">
        <v>398</v>
      </c>
      <c r="K6405" s="10">
        <v>13.11</v>
      </c>
      <c r="L6405" s="10">
        <v>57</v>
      </c>
      <c r="M6405" s="6" t="s">
        <v>421</v>
      </c>
      <c r="N6405" s="6" t="str">
        <f>IF(OR($G6405="FCC",$G6405="Hydrocracker",$G6405="Reformer"),IF(COUNTIFS($D:$D,$D6405,$A:$A,$A6405,$B:$B,$B6405,$G:$G,"CDU",$J:$J,"PLANNED")&gt;0,"tied","standalone"),"")</f>
        <v>standalone</v>
      </c>
    </row>
    <row r="6406" spans="1:14">
      <c r="A6406" s="6">
        <v>2025</v>
      </c>
      <c r="B6406" s="6">
        <v>9</v>
      </c>
      <c r="C6406" s="6" t="s">
        <v>68</v>
      </c>
      <c r="D6406" s="6" t="s">
        <v>518</v>
      </c>
      <c r="E6406" s="6" t="s">
        <v>419</v>
      </c>
      <c r="F6406" s="6" t="str">
        <f>IF($M6406="PADD I","PADD 1",IF($M6406="PADD II","PADD 2",IF($M6406="PADD III","PADD 3",IF($M6406="PADD IV","PADD 4",IF($M6406="PADD V","PADD 5","")))))</f>
        <v>PADD 3</v>
      </c>
      <c r="G6406" s="6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6" t="s">
        <v>510</v>
      </c>
      <c r="I6406" s="6" t="s">
        <v>940</v>
      </c>
      <c r="J6406" s="6" t="s">
        <v>398</v>
      </c>
      <c r="K6406" s="10">
        <v>12.18</v>
      </c>
      <c r="L6406" s="10">
        <v>14</v>
      </c>
      <c r="M6406" s="6" t="s">
        <v>421</v>
      </c>
      <c r="N6406" s="6">
        <f>IF(OR($G6406="FCC",$G6406="Hydrocracker",$G6406="Reformer"),IF(COUNTIFS($D:$D,$D6406,$A:$A,$A6406,$B:$B,$B6406,$G:$G,"CDU",$J:$J,"PLANNED")&gt;0,"tied","standalone"),"")</f>
        <v/>
      </c>
    </row>
    <row r="6407" spans="1:14">
      <c r="A6407" s="6">
        <v>2025</v>
      </c>
      <c r="B6407" s="6">
        <v>9</v>
      </c>
      <c r="C6407" s="6" t="s">
        <v>68</v>
      </c>
      <c r="D6407" s="6" t="s">
        <v>662</v>
      </c>
      <c r="E6407" s="6" t="s">
        <v>466</v>
      </c>
      <c r="F6407" s="6" t="str">
        <f>IF($M6407="PADD I","PADD 1",IF($M6407="PADD II","PADD 2",IF($M6407="PADD III","PADD 3",IF($M6407="PADD IV","PADD 4",IF($M6407="PADD V","PADD 5","")))))</f>
        <v>PADD 3</v>
      </c>
      <c r="G6407" s="6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6" t="s">
        <v>44</v>
      </c>
      <c r="I6407" s="6" t="s">
        <v>508</v>
      </c>
      <c r="J6407" s="6" t="s">
        <v>398</v>
      </c>
      <c r="K6407" s="10">
        <v>12</v>
      </c>
      <c r="L6407" s="10">
        <v>40</v>
      </c>
      <c r="M6407" s="6" t="s">
        <v>421</v>
      </c>
      <c r="N6407" s="6">
        <f>IF(OR($G6407="FCC",$G6407="Hydrocracker",$G6407="Reformer"),IF(COUNTIFS($D:$D,$D6407,$A:$A,$A6407,$B:$B,$B6407,$G:$G,"CDU",$J:$J,"PLANNED")&gt;0,"tied","standalone"),"")</f>
        <v/>
      </c>
    </row>
    <row r="6408" spans="1:14">
      <c r="A6408" s="6">
        <v>2025</v>
      </c>
      <c r="B6408" s="6">
        <v>9</v>
      </c>
      <c r="C6408" s="6" t="s">
        <v>68</v>
      </c>
      <c r="D6408" s="6" t="s">
        <v>652</v>
      </c>
      <c r="E6408" s="6" t="s">
        <v>419</v>
      </c>
      <c r="F6408" s="6" t="str">
        <f>IF($M6408="PADD I","PADD 1",IF($M6408="PADD II","PADD 2",IF($M6408="PADD III","PADD 3",IF($M6408="PADD IV","PADD 4",IF($M6408="PADD V","PADD 5","")))))</f>
        <v>PADD 2</v>
      </c>
      <c r="G6408" s="6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6" t="s">
        <v>39</v>
      </c>
      <c r="I6408" s="6" t="s">
        <v>711</v>
      </c>
      <c r="J6408" s="6" t="s">
        <v>398</v>
      </c>
      <c r="K6408" s="10">
        <v>11.55</v>
      </c>
      <c r="L6408" s="10">
        <v>35</v>
      </c>
      <c r="M6408" s="6" t="s">
        <v>425</v>
      </c>
      <c r="N6408" s="6">
        <f>IF(OR($G6408="FCC",$G6408="Hydrocracker",$G6408="Reformer"),IF(COUNTIFS($D:$D,$D6408,$A:$A,$A6408,$B:$B,$B6408,$G:$G,"CDU",$J:$J,"PLANNED")&gt;0,"tied","standalone"),"")</f>
        <v/>
      </c>
    </row>
    <row r="6409" spans="1:14">
      <c r="A6409" s="6">
        <v>2025</v>
      </c>
      <c r="B6409" s="6">
        <v>9</v>
      </c>
      <c r="C6409" s="6" t="s">
        <v>68</v>
      </c>
      <c r="D6409" s="6" t="s">
        <v>51</v>
      </c>
      <c r="E6409" s="6" t="s">
        <v>431</v>
      </c>
      <c r="F6409" s="6" t="str">
        <f>IF($M6409="PADD I","PADD 1",IF($M6409="PADD II","PADD 2",IF($M6409="PADD III","PADD 3",IF($M6409="PADD IV","PADD 4",IF($M6409="PADD V","PADD 5","")))))</f>
        <v>PADD 3</v>
      </c>
      <c r="G6409" s="6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6" t="s">
        <v>44</v>
      </c>
      <c r="I6409" s="6" t="s">
        <v>1141</v>
      </c>
      <c r="J6409" s="6" t="s">
        <v>394</v>
      </c>
      <c r="K6409" s="10">
        <v>11.05</v>
      </c>
      <c r="L6409" s="10">
        <v>65</v>
      </c>
      <c r="M6409" s="6" t="s">
        <v>421</v>
      </c>
      <c r="N6409" s="6">
        <f>IF(OR($G6409="FCC",$G6409="Hydrocracker",$G6409="Reformer"),IF(COUNTIFS($D:$D,$D6409,$A:$A,$A6409,$B:$B,$B6409,$G:$G,"CDU",$J:$J,"PLANNED")&gt;0,"tied","standalone"),"")</f>
        <v/>
      </c>
    </row>
    <row r="6410" spans="1:14">
      <c r="A6410" s="6">
        <v>2025</v>
      </c>
      <c r="B6410" s="6">
        <v>9</v>
      </c>
      <c r="C6410" s="6" t="s">
        <v>68</v>
      </c>
      <c r="D6410" s="6" t="s">
        <v>720</v>
      </c>
      <c r="E6410" s="6" t="s">
        <v>455</v>
      </c>
      <c r="F6410" s="6" t="str">
        <f>IF($M6410="PADD I","PADD 1",IF($M6410="PADD II","PADD 2",IF($M6410="PADD III","PADD 3",IF($M6410="PADD IV","PADD 4",IF($M6410="PADD V","PADD 5","")))))</f>
        <v>PADD 2</v>
      </c>
      <c r="G6410" s="6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6" t="s">
        <v>510</v>
      </c>
      <c r="I6410" s="6" t="s">
        <v>666</v>
      </c>
      <c r="J6410" s="6" t="s">
        <v>398</v>
      </c>
      <c r="K6410" s="10">
        <v>10.44</v>
      </c>
      <c r="L6410" s="10">
        <v>12</v>
      </c>
      <c r="M6410" s="6" t="s">
        <v>425</v>
      </c>
      <c r="N6410" s="6">
        <f>IF(OR($G6410="FCC",$G6410="Hydrocracker",$G6410="Reformer"),IF(COUNTIFS($D:$D,$D6410,$A:$A,$A6410,$B:$B,$B6410,$G:$G,"CDU",$J:$J,"PLANNED")&gt;0,"tied","standalone"),"")</f>
        <v/>
      </c>
    </row>
    <row r="6411" spans="1:14">
      <c r="A6411" s="6">
        <v>2025</v>
      </c>
      <c r="B6411" s="6">
        <v>9</v>
      </c>
      <c r="C6411" s="6" t="s">
        <v>68</v>
      </c>
      <c r="D6411" s="6" t="s">
        <v>1370</v>
      </c>
      <c r="E6411" s="6" t="s">
        <v>1371</v>
      </c>
      <c r="F6411" s="6" t="str">
        <f>IF($M6411="PADD I","PADD 1",IF($M6411="PADD II","PADD 2",IF($M6411="PADD III","PADD 3",IF($M6411="PADD IV","PADD 4",IF($M6411="PADD V","PADD 5","")))))</f>
        <v>PADD 3</v>
      </c>
      <c r="G6411" s="6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6" t="s">
        <v>44</v>
      </c>
      <c r="I6411" s="6" t="s">
        <v>954</v>
      </c>
      <c r="J6411" s="6" t="s">
        <v>398</v>
      </c>
      <c r="K6411" s="10">
        <v>10.44</v>
      </c>
      <c r="L6411" s="10">
        <v>12</v>
      </c>
      <c r="M6411" s="6" t="s">
        <v>421</v>
      </c>
      <c r="N6411" s="6">
        <f>IF(OR($G6411="FCC",$G6411="Hydrocracker",$G6411="Reformer"),IF(COUNTIFS($D:$D,$D6411,$A:$A,$A6411,$B:$B,$B6411,$G:$G,"CDU",$J:$J,"PLANNED")&gt;0,"tied","standalone"),"")</f>
        <v/>
      </c>
    </row>
    <row r="6412" spans="1:14">
      <c r="A6412" s="6">
        <v>2025</v>
      </c>
      <c r="B6412" s="6">
        <v>9</v>
      </c>
      <c r="C6412" s="6" t="s">
        <v>68</v>
      </c>
      <c r="D6412" s="6" t="s">
        <v>375</v>
      </c>
      <c r="E6412" s="6" t="s">
        <v>435</v>
      </c>
      <c r="F6412" s="6" t="str">
        <f>IF($M6412="PADD I","PADD 1",IF($M6412="PADD II","PADD 2",IF($M6412="PADD III","PADD 3",IF($M6412="PADD IV","PADD 4",IF($M6412="PADD V","PADD 5","")))))</f>
        <v>PADD 5</v>
      </c>
      <c r="G6412" s="6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6" t="s">
        <v>471</v>
      </c>
      <c r="I6412" s="6" t="s">
        <v>15</v>
      </c>
      <c r="J6412" s="6" t="s">
        <v>394</v>
      </c>
      <c r="K6412" s="10">
        <v>10.33</v>
      </c>
      <c r="L6412" s="10">
        <v>10.33</v>
      </c>
      <c r="M6412" s="6" t="s">
        <v>436</v>
      </c>
      <c r="N6412" s="6" t="str">
        <f>IF(OR($G6412="FCC",$G6412="Hydrocracker",$G6412="Reformer"),IF(COUNTIFS($D:$D,$D6412,$A:$A,$A6412,$B:$B,$B6412,$G:$G,"CDU",$J:$J,"PLANNED")&gt;0,"tied","standalone"),"")</f>
        <v>standalone</v>
      </c>
    </row>
    <row r="6413" spans="1:14">
      <c r="A6413" s="6">
        <v>2025</v>
      </c>
      <c r="B6413" s="6">
        <v>9</v>
      </c>
      <c r="C6413" s="6" t="s">
        <v>68</v>
      </c>
      <c r="D6413" s="6" t="s">
        <v>375</v>
      </c>
      <c r="E6413" s="6" t="s">
        <v>435</v>
      </c>
      <c r="F6413" s="6" t="str">
        <f>IF($M6413="PADD I","PADD 1",IF($M6413="PADD II","PADD 2",IF($M6413="PADD III","PADD 3",IF($M6413="PADD IV","PADD 4",IF($M6413="PADD V","PADD 5","")))))</f>
        <v>PADD 5</v>
      </c>
      <c r="G6413" s="6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6" t="s">
        <v>44</v>
      </c>
      <c r="I6413" s="6" t="s">
        <v>551</v>
      </c>
      <c r="J6413" s="6" t="s">
        <v>394</v>
      </c>
      <c r="K6413" s="10">
        <v>9.800000000000001</v>
      </c>
      <c r="L6413" s="10">
        <v>9.800000000000001</v>
      </c>
      <c r="M6413" s="6" t="s">
        <v>436</v>
      </c>
      <c r="N6413" s="6">
        <f>IF(OR($G6413="FCC",$G6413="Hydrocracker",$G6413="Reformer"),IF(COUNTIFS($D:$D,$D6413,$A:$A,$A6413,$B:$B,$B6413,$G:$G,"CDU",$J:$J,"PLANNED")&gt;0,"tied","standalone"),"")</f>
        <v/>
      </c>
    </row>
    <row r="6414" spans="1:14">
      <c r="A6414" s="6">
        <v>2025</v>
      </c>
      <c r="B6414" s="6">
        <v>9</v>
      </c>
      <c r="C6414" s="6" t="s">
        <v>68</v>
      </c>
      <c r="D6414" s="6" t="s">
        <v>534</v>
      </c>
      <c r="E6414" s="6" t="s">
        <v>459</v>
      </c>
      <c r="F6414" s="6" t="str">
        <f>IF($M6414="PADD I","PADD 1",IF($M6414="PADD II","PADD 2",IF($M6414="PADD III","PADD 3",IF($M6414="PADD IV","PADD 4",IF($M6414="PADD V","PADD 5","")))))</f>
        <v>PADD 3</v>
      </c>
      <c r="G6414" s="6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6" t="s">
        <v>44</v>
      </c>
      <c r="I6414" s="6" t="s">
        <v>543</v>
      </c>
      <c r="J6414" s="6" t="s">
        <v>394</v>
      </c>
      <c r="K6414" s="10">
        <v>9.699999999999999</v>
      </c>
      <c r="L6414" s="10">
        <v>10</v>
      </c>
      <c r="M6414" s="6" t="s">
        <v>421</v>
      </c>
      <c r="N6414" s="6">
        <f>IF(OR($G6414="FCC",$G6414="Hydrocracker",$G6414="Reformer"),IF(COUNTIFS($D:$D,$D6414,$A:$A,$A6414,$B:$B,$B6414,$G:$G,"CDU",$J:$J,"PLANNED")&gt;0,"tied","standalone"),"")</f>
        <v/>
      </c>
    </row>
    <row r="6415" spans="1:14">
      <c r="A6415" s="6">
        <v>2025</v>
      </c>
      <c r="B6415" s="6">
        <v>9</v>
      </c>
      <c r="C6415" s="6" t="s">
        <v>68</v>
      </c>
      <c r="D6415" s="6" t="s">
        <v>853</v>
      </c>
      <c r="E6415" s="6" t="s">
        <v>438</v>
      </c>
      <c r="F6415" s="6" t="str">
        <f>IF($M6415="PADD I","PADD 1",IF($M6415="PADD II","PADD 2",IF($M6415="PADD III","PADD 3",IF($M6415="PADD IV","PADD 4",IF($M6415="PADD V","PADD 5","")))))</f>
        <v>PADD 2</v>
      </c>
      <c r="G6415" s="6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6" t="s">
        <v>44</v>
      </c>
      <c r="I6415" s="6" t="s">
        <v>570</v>
      </c>
      <c r="J6415" s="6" t="s">
        <v>394</v>
      </c>
      <c r="K6415" s="10">
        <v>9.24</v>
      </c>
      <c r="L6415" s="10">
        <v>28</v>
      </c>
      <c r="M6415" s="6" t="s">
        <v>425</v>
      </c>
      <c r="N6415" s="6">
        <f>IF(OR($G6415="FCC",$G6415="Hydrocracker",$G6415="Reformer"),IF(COUNTIFS($D:$D,$D6415,$A:$A,$A6415,$B:$B,$B6415,$G:$G,"CDU",$J:$J,"PLANNED")&gt;0,"tied","standalone"),"")</f>
        <v/>
      </c>
    </row>
    <row r="6416" spans="1:14">
      <c r="A6416" s="6">
        <v>2025</v>
      </c>
      <c r="B6416" s="6">
        <v>9</v>
      </c>
      <c r="C6416" s="6" t="s">
        <v>68</v>
      </c>
      <c r="D6416" s="6" t="s">
        <v>375</v>
      </c>
      <c r="E6416" s="6" t="s">
        <v>435</v>
      </c>
      <c r="F6416" s="6" t="str">
        <f>IF($M6416="PADD I","PADD 1",IF($M6416="PADD II","PADD 2",IF($M6416="PADD III","PADD 3",IF($M6416="PADD IV","PADD 4",IF($M6416="PADD V","PADD 5","")))))</f>
        <v>PADD 5</v>
      </c>
      <c r="G6416" s="6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6" t="s">
        <v>44</v>
      </c>
      <c r="I6416" s="6" t="s">
        <v>1233</v>
      </c>
      <c r="J6416" s="6" t="s">
        <v>394</v>
      </c>
      <c r="K6416" s="10">
        <v>9.1</v>
      </c>
      <c r="L6416" s="10">
        <v>9.1</v>
      </c>
      <c r="M6416" s="6" t="s">
        <v>436</v>
      </c>
      <c r="N6416" s="6">
        <f>IF(OR($G6416="FCC",$G6416="Hydrocracker",$G6416="Reformer"),IF(COUNTIFS($D:$D,$D6416,$A:$A,$A6416,$B:$B,$B6416,$G:$G,"CDU",$J:$J,"PLANNED")&gt;0,"tied","standalone"),"")</f>
        <v/>
      </c>
    </row>
    <row r="6417" spans="1:14">
      <c r="A6417" s="6">
        <v>2025</v>
      </c>
      <c r="B6417" s="6">
        <v>9</v>
      </c>
      <c r="C6417" s="6" t="s">
        <v>68</v>
      </c>
      <c r="D6417" s="6" t="s">
        <v>518</v>
      </c>
      <c r="E6417" s="6" t="s">
        <v>419</v>
      </c>
      <c r="F6417" s="6" t="str">
        <f>IF($M6417="PADD I","PADD 1",IF($M6417="PADD II","PADD 2",IF($M6417="PADD III","PADD 3",IF($M6417="PADD IV","PADD 4",IF($M6417="PADD V","PADD 5","")))))</f>
        <v>PADD 3</v>
      </c>
      <c r="G6417" s="6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6" t="s">
        <v>426</v>
      </c>
      <c r="I6417" s="6" t="s">
        <v>523</v>
      </c>
      <c r="J6417" s="6" t="s">
        <v>398</v>
      </c>
      <c r="K6417" s="10">
        <v>8.1</v>
      </c>
      <c r="L6417" s="10">
        <v>30</v>
      </c>
      <c r="M6417" s="6" t="s">
        <v>421</v>
      </c>
      <c r="N6417" s="6" t="str">
        <f>IF(OR($G6417="FCC",$G6417="Hydrocracker",$G6417="Reformer"),IF(COUNTIFS($D:$D,$D6417,$A:$A,$A6417,$B:$B,$B6417,$G:$G,"CDU",$J:$J,"PLANNED")&gt;0,"tied","standalone"),"")</f>
        <v>standalone</v>
      </c>
    </row>
    <row r="6418" spans="1:14">
      <c r="A6418" s="6">
        <v>2025</v>
      </c>
      <c r="B6418" s="6">
        <v>9</v>
      </c>
      <c r="C6418" s="6" t="s">
        <v>68</v>
      </c>
      <c r="D6418" s="6" t="s">
        <v>1088</v>
      </c>
      <c r="E6418" s="6" t="s">
        <v>1089</v>
      </c>
      <c r="F6418" s="6" t="str">
        <f>IF($M6418="PADD I","PADD 1",IF($M6418="PADD II","PADD 2",IF($M6418="PADD III","PADD 3",IF($M6418="PADD IV","PADD 4",IF($M6418="PADD V","PADD 5","")))))</f>
        <v>PADD 2</v>
      </c>
      <c r="G6418" s="6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6" t="s">
        <v>471</v>
      </c>
      <c r="I6418" s="6" t="s">
        <v>1096</v>
      </c>
      <c r="J6418" s="6" t="s">
        <v>398</v>
      </c>
      <c r="K6418" s="10">
        <v>8</v>
      </c>
      <c r="L6418" s="10">
        <v>20</v>
      </c>
      <c r="M6418" s="6" t="s">
        <v>425</v>
      </c>
      <c r="N6418" s="6" t="str">
        <f>IF(OR($G6418="FCC",$G6418="Hydrocracker",$G6418="Reformer"),IF(COUNTIFS($D:$D,$D6418,$A:$A,$A6418,$B:$B,$B6418,$G:$G,"CDU",$J:$J,"PLANNED")&gt;0,"tied","standalone"),"")</f>
        <v>tied</v>
      </c>
    </row>
    <row r="6419" spans="1:14">
      <c r="A6419" s="6">
        <v>2025</v>
      </c>
      <c r="B6419" s="6">
        <v>9</v>
      </c>
      <c r="C6419" s="6" t="s">
        <v>68</v>
      </c>
      <c r="D6419" s="6" t="s">
        <v>41</v>
      </c>
      <c r="E6419" s="6" t="s">
        <v>786</v>
      </c>
      <c r="F6419" s="6" t="str">
        <f>IF($M6419="PADD I","PADD 1",IF($M6419="PADD II","PADD 2",IF($M6419="PADD III","PADD 3",IF($M6419="PADD IV","PADD 4",IF($M6419="PADD V","PADD 5","")))))</f>
        <v>PADD 1</v>
      </c>
      <c r="G6419" s="6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6" t="s">
        <v>428</v>
      </c>
      <c r="I6419" s="6" t="s">
        <v>1059</v>
      </c>
      <c r="J6419" s="6" t="s">
        <v>394</v>
      </c>
      <c r="K6419" s="10">
        <v>7.8</v>
      </c>
      <c r="L6419" s="10">
        <v>26</v>
      </c>
      <c r="M6419" s="6" t="s">
        <v>463</v>
      </c>
      <c r="N6419" s="6">
        <f>IF(OR($G6419="FCC",$G6419="Hydrocracker",$G6419="Reformer"),IF(COUNTIFS($D:$D,$D6419,$A:$A,$A6419,$B:$B,$B6419,$G:$G,"CDU",$J:$J,"PLANNED")&gt;0,"tied","standalone"),"")</f>
        <v/>
      </c>
    </row>
    <row r="6420" spans="1:14">
      <c r="A6420" s="6">
        <v>2025</v>
      </c>
      <c r="B6420" s="6">
        <v>9</v>
      </c>
      <c r="C6420" s="6" t="s">
        <v>68</v>
      </c>
      <c r="D6420" s="6" t="s">
        <v>375</v>
      </c>
      <c r="E6420" s="6" t="s">
        <v>435</v>
      </c>
      <c r="F6420" s="6" t="str">
        <f>IF($M6420="PADD I","PADD 1",IF($M6420="PADD II","PADD 2",IF($M6420="PADD III","PADD 3",IF($M6420="PADD IV","PADD 4",IF($M6420="PADD V","PADD 5","")))))</f>
        <v>PADD 5</v>
      </c>
      <c r="G6420" s="6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6" t="s">
        <v>485</v>
      </c>
      <c r="I6420" s="6" t="s">
        <v>491</v>
      </c>
      <c r="J6420" s="6" t="s">
        <v>394</v>
      </c>
      <c r="K6420" s="10">
        <v>7.7</v>
      </c>
      <c r="L6420" s="10">
        <v>7.7</v>
      </c>
      <c r="M6420" s="6" t="s">
        <v>436</v>
      </c>
      <c r="N6420" s="6">
        <f>IF(OR($G6420="FCC",$G6420="Hydrocracker",$G6420="Reformer"),IF(COUNTIFS($D:$D,$D6420,$A:$A,$A6420,$B:$B,$B6420,$G:$G,"CDU",$J:$J,"PLANNED")&gt;0,"tied","standalone"),"")</f>
        <v/>
      </c>
    </row>
    <row r="6421" spans="1:14">
      <c r="A6421" s="6">
        <v>2025</v>
      </c>
      <c r="B6421" s="6">
        <v>9</v>
      </c>
      <c r="C6421" s="6" t="s">
        <v>68</v>
      </c>
      <c r="D6421" s="6" t="s">
        <v>828</v>
      </c>
      <c r="E6421" s="6" t="s">
        <v>829</v>
      </c>
      <c r="F6421" s="6" t="str">
        <f>IF($M6421="PADD I","PADD 1",IF($M6421="PADD II","PADD 2",IF($M6421="PADD III","PADD 3",IF($M6421="PADD IV","PADD 4",IF($M6421="PADD V","PADD 5","")))))</f>
        <v>PADD 3</v>
      </c>
      <c r="G6421" s="6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6" t="s">
        <v>39</v>
      </c>
      <c r="I6421" s="6" t="s">
        <v>855</v>
      </c>
      <c r="J6421" s="6" t="s">
        <v>394</v>
      </c>
      <c r="K6421" s="10">
        <v>7.5</v>
      </c>
      <c r="L6421" s="10">
        <v>75</v>
      </c>
      <c r="M6421" s="6" t="s">
        <v>421</v>
      </c>
      <c r="N6421" s="6">
        <f>IF(OR($G6421="FCC",$G6421="Hydrocracker",$G6421="Reformer"),IF(COUNTIFS($D:$D,$D6421,$A:$A,$A6421,$B:$B,$B6421,$G:$G,"CDU",$J:$J,"PLANNED")&gt;0,"tied","standalone"),"")</f>
        <v/>
      </c>
    </row>
    <row r="6422" spans="1:14">
      <c r="A6422" s="6">
        <v>2025</v>
      </c>
      <c r="B6422" s="6">
        <v>9</v>
      </c>
      <c r="C6422" s="6" t="s">
        <v>68</v>
      </c>
      <c r="D6422" s="6" t="s">
        <v>375</v>
      </c>
      <c r="E6422" s="6" t="s">
        <v>435</v>
      </c>
      <c r="F6422" s="6" t="str">
        <f>IF($M6422="PADD I","PADD 1",IF($M6422="PADD II","PADD 2",IF($M6422="PADD III","PADD 3",IF($M6422="PADD IV","PADD 4",IF($M6422="PADD V","PADD 5","")))))</f>
        <v>PADD 5</v>
      </c>
      <c r="G6422" s="6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6" t="s">
        <v>485</v>
      </c>
      <c r="I6422" s="6" t="s">
        <v>863</v>
      </c>
      <c r="J6422" s="6" t="s">
        <v>394</v>
      </c>
      <c r="K6422" s="10">
        <v>7.32</v>
      </c>
      <c r="L6422" s="10">
        <v>7.32</v>
      </c>
      <c r="M6422" s="6" t="s">
        <v>436</v>
      </c>
      <c r="N6422" s="6">
        <f>IF(OR($G6422="FCC",$G6422="Hydrocracker",$G6422="Reformer"),IF(COUNTIFS($D:$D,$D6422,$A:$A,$A6422,$B:$B,$B6422,$G:$G,"CDU",$J:$J,"PLANNED")&gt;0,"tied","standalone"),"")</f>
        <v/>
      </c>
    </row>
    <row r="6423" spans="1:14">
      <c r="A6423" s="6">
        <v>2025</v>
      </c>
      <c r="B6423" s="6">
        <v>9</v>
      </c>
      <c r="C6423" s="6" t="s">
        <v>68</v>
      </c>
      <c r="D6423" s="6" t="s">
        <v>1088</v>
      </c>
      <c r="E6423" s="6" t="s">
        <v>1089</v>
      </c>
      <c r="F6423" s="6" t="str">
        <f>IF($M6423="PADD I","PADD 1",IF($M6423="PADD II","PADD 2",IF($M6423="PADD III","PADD 3",IF($M6423="PADD IV","PADD 4",IF($M6423="PADD V","PADD 5","")))))</f>
        <v>PADD 2</v>
      </c>
      <c r="G6423" s="6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6" t="s">
        <v>44</v>
      </c>
      <c r="I6423" s="6" t="s">
        <v>1247</v>
      </c>
      <c r="J6423" s="6" t="s">
        <v>398</v>
      </c>
      <c r="K6423" s="10">
        <v>7.2</v>
      </c>
      <c r="L6423" s="10">
        <v>18</v>
      </c>
      <c r="M6423" s="6" t="s">
        <v>425</v>
      </c>
      <c r="N6423" s="6">
        <f>IF(OR($G6423="FCC",$G6423="Hydrocracker",$G6423="Reformer"),IF(COUNTIFS($D:$D,$D6423,$A:$A,$A6423,$B:$B,$B6423,$G:$G,"CDU",$J:$J,"PLANNED")&gt;0,"tied","standalone"),"")</f>
        <v/>
      </c>
    </row>
    <row r="6424" spans="1:14">
      <c r="A6424" s="6">
        <v>2025</v>
      </c>
      <c r="B6424" s="6">
        <v>9</v>
      </c>
      <c r="C6424" s="6" t="s">
        <v>68</v>
      </c>
      <c r="D6424" s="6" t="s">
        <v>1370</v>
      </c>
      <c r="E6424" s="6" t="s">
        <v>1371</v>
      </c>
      <c r="F6424" s="6" t="str">
        <f>IF($M6424="PADD I","PADD 1",IF($M6424="PADD II","PADD 2",IF($M6424="PADD III","PADD 3",IF($M6424="PADD IV","PADD 4",IF($M6424="PADD V","PADD 5","")))))</f>
        <v>PADD 3</v>
      </c>
      <c r="G6424" s="6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6" t="s">
        <v>44</v>
      </c>
      <c r="I6424" s="6" t="s">
        <v>1374</v>
      </c>
      <c r="J6424" s="6" t="s">
        <v>398</v>
      </c>
      <c r="K6424" s="10">
        <v>6.96</v>
      </c>
      <c r="L6424" s="10">
        <v>8</v>
      </c>
      <c r="M6424" s="6" t="s">
        <v>421</v>
      </c>
      <c r="N6424" s="6">
        <f>IF(OR($G6424="FCC",$G6424="Hydrocracker",$G6424="Reformer"),IF(COUNTIFS($D:$D,$D6424,$A:$A,$A6424,$B:$B,$B6424,$G:$G,"CDU",$J:$J,"PLANNED")&gt;0,"tied","standalone"),"")</f>
        <v/>
      </c>
    </row>
    <row r="6425" spans="1:14">
      <c r="A6425" s="6">
        <v>2025</v>
      </c>
      <c r="B6425" s="6">
        <v>9</v>
      </c>
      <c r="C6425" s="6" t="s">
        <v>68</v>
      </c>
      <c r="D6425" s="6" t="s">
        <v>1370</v>
      </c>
      <c r="E6425" s="6" t="s">
        <v>1371</v>
      </c>
      <c r="F6425" s="6" t="str">
        <f>IF($M6425="PADD I","PADD 1",IF($M6425="PADD II","PADD 2",IF($M6425="PADD III","PADD 3",IF($M6425="PADD IV","PADD 4",IF($M6425="PADD V","PADD 5","")))))</f>
        <v>PADD 3</v>
      </c>
      <c r="G6425" s="6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6" t="s">
        <v>687</v>
      </c>
      <c r="I6425" s="6" t="s">
        <v>1375</v>
      </c>
      <c r="J6425" s="6" t="s">
        <v>398</v>
      </c>
      <c r="K6425" s="10">
        <v>6.96</v>
      </c>
      <c r="L6425" s="10">
        <v>8</v>
      </c>
      <c r="M6425" s="6" t="s">
        <v>421</v>
      </c>
      <c r="N6425" s="6">
        <f>IF(OR($G6425="FCC",$G6425="Hydrocracker",$G6425="Reformer"),IF(COUNTIFS($D:$D,$D6425,$A:$A,$A6425,$B:$B,$B6425,$G:$G,"CDU",$J:$J,"PLANNED")&gt;0,"tied","standalone"),"")</f>
        <v/>
      </c>
    </row>
    <row r="6426" spans="1:14">
      <c r="A6426" s="6">
        <v>2025</v>
      </c>
      <c r="B6426" s="6">
        <v>9</v>
      </c>
      <c r="C6426" s="6" t="s">
        <v>68</v>
      </c>
      <c r="D6426" s="6" t="s">
        <v>678</v>
      </c>
      <c r="E6426" s="6" t="s">
        <v>438</v>
      </c>
      <c r="F6426" s="6" t="str">
        <f>IF($M6426="PADD I","PADD 1",IF($M6426="PADD II","PADD 2",IF($M6426="PADD III","PADD 3",IF($M6426="PADD IV","PADD 4",IF($M6426="PADD V","PADD 5","")))))</f>
        <v>PADD 3</v>
      </c>
      <c r="G6426" s="6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6" t="s">
        <v>39</v>
      </c>
      <c r="I6426" s="6" t="s">
        <v>1098</v>
      </c>
      <c r="J6426" s="6" t="s">
        <v>394</v>
      </c>
      <c r="K6426" s="10">
        <v>6.7</v>
      </c>
      <c r="L6426" s="10">
        <v>67</v>
      </c>
      <c r="M6426" s="6" t="s">
        <v>421</v>
      </c>
      <c r="N6426" s="6">
        <f>IF(OR($G6426="FCC",$G6426="Hydrocracker",$G6426="Reformer"),IF(COUNTIFS($D:$D,$D6426,$A:$A,$A6426,$B:$B,$B6426,$G:$G,"CDU",$J:$J,"PLANNED")&gt;0,"tied","standalone"),"")</f>
        <v/>
      </c>
    </row>
    <row r="6427" spans="1:14">
      <c r="A6427" s="6">
        <v>2025</v>
      </c>
      <c r="B6427" s="6">
        <v>9</v>
      </c>
      <c r="C6427" s="6" t="s">
        <v>68</v>
      </c>
      <c r="D6427" s="6" t="s">
        <v>550</v>
      </c>
      <c r="E6427" s="6" t="s">
        <v>438</v>
      </c>
      <c r="F6427" s="6" t="str">
        <f>IF($M6427="PADD I","PADD 1",IF($M6427="PADD II","PADD 2",IF($M6427="PADD III","PADD 3",IF($M6427="PADD IV","PADD 4",IF($M6427="PADD V","PADD 5","")))))</f>
        <v>PADD 2</v>
      </c>
      <c r="G6427" s="6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6" t="s">
        <v>39</v>
      </c>
      <c r="I6427" s="6" t="s">
        <v>580</v>
      </c>
      <c r="J6427" s="6" t="s">
        <v>394</v>
      </c>
      <c r="K6427" s="10">
        <v>6.44</v>
      </c>
      <c r="L6427" s="10">
        <v>92</v>
      </c>
      <c r="M6427" s="6" t="s">
        <v>425</v>
      </c>
      <c r="N6427" s="6">
        <f>IF(OR($G6427="FCC",$G6427="Hydrocracker",$G6427="Reformer"),IF(COUNTIFS($D:$D,$D6427,$A:$A,$A6427,$B:$B,$B6427,$G:$G,"CDU",$J:$J,"PLANNED")&gt;0,"tied","standalone"),"")</f>
        <v/>
      </c>
    </row>
    <row r="6428" spans="1:14">
      <c r="A6428" s="6">
        <v>2025</v>
      </c>
      <c r="B6428" s="6">
        <v>9</v>
      </c>
      <c r="C6428" s="6" t="s">
        <v>68</v>
      </c>
      <c r="D6428" s="6" t="s">
        <v>851</v>
      </c>
      <c r="E6428" s="6" t="s">
        <v>829</v>
      </c>
      <c r="F6428" s="6" t="str">
        <f>IF($M6428="PADD I","PADD 1",IF($M6428="PADD II","PADD 2",IF($M6428="PADD III","PADD 3",IF($M6428="PADD IV","PADD 4",IF($M6428="PADD V","PADD 5","")))))</f>
        <v>PADD 2</v>
      </c>
      <c r="G6428" s="6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6" t="s">
        <v>510</v>
      </c>
      <c r="I6428" s="6" t="s">
        <v>511</v>
      </c>
      <c r="J6428" s="6" t="s">
        <v>398</v>
      </c>
      <c r="K6428" s="10">
        <v>6</v>
      </c>
      <c r="L6428" s="10">
        <v>6</v>
      </c>
      <c r="M6428" s="6" t="s">
        <v>425</v>
      </c>
      <c r="N6428" s="6">
        <f>IF(OR($G6428="FCC",$G6428="Hydrocracker",$G6428="Reformer"),IF(COUNTIFS($D:$D,$D6428,$A:$A,$A6428,$B:$B,$B6428,$G:$G,"CDU",$J:$J,"PLANNED")&gt;0,"tied","standalone"),"")</f>
        <v/>
      </c>
    </row>
    <row r="6429" spans="1:14">
      <c r="A6429" s="6">
        <v>2025</v>
      </c>
      <c r="B6429" s="6">
        <v>9</v>
      </c>
      <c r="C6429" s="6" t="s">
        <v>68</v>
      </c>
      <c r="D6429" s="6" t="s">
        <v>678</v>
      </c>
      <c r="E6429" s="6" t="s">
        <v>438</v>
      </c>
      <c r="F6429" s="6" t="str">
        <f>IF($M6429="PADD I","PADD 1",IF($M6429="PADD II","PADD 2",IF($M6429="PADD III","PADD 3",IF($M6429="PADD IV","PADD 4",IF($M6429="PADD V","PADD 5","")))))</f>
        <v>PADD 3</v>
      </c>
      <c r="G6429" s="6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6" t="s">
        <v>426</v>
      </c>
      <c r="I6429" s="6" t="s">
        <v>106</v>
      </c>
      <c r="J6429" s="6" t="s">
        <v>394</v>
      </c>
      <c r="K6429" s="10">
        <v>5.85</v>
      </c>
      <c r="L6429" s="10">
        <v>58.5</v>
      </c>
      <c r="M6429" s="6" t="s">
        <v>421</v>
      </c>
      <c r="N6429" s="6" t="str">
        <f>IF(OR($G6429="FCC",$G6429="Hydrocracker",$G6429="Reformer"),IF(COUNTIFS($D:$D,$D6429,$A:$A,$A6429,$B:$B,$B6429,$G:$G,"CDU",$J:$J,"PLANNED")&gt;0,"tied","standalone"),"")</f>
        <v>standalone</v>
      </c>
    </row>
    <row r="6430" spans="1:14">
      <c r="A6430" s="6">
        <v>2025</v>
      </c>
      <c r="B6430" s="6">
        <v>9</v>
      </c>
      <c r="C6430" s="6" t="s">
        <v>68</v>
      </c>
      <c r="D6430" s="6" t="s">
        <v>507</v>
      </c>
      <c r="E6430" s="6" t="s">
        <v>438</v>
      </c>
      <c r="F6430" s="6" t="str">
        <f>IF($M6430="PADD I","PADD 1",IF($M6430="PADD II","PADD 2",IF($M6430="PADD III","PADD 3",IF($M6430="PADD IV","PADD 4",IF($M6430="PADD V","PADD 5","")))))</f>
        <v>PADD 5</v>
      </c>
      <c r="G6430" s="6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6" t="s">
        <v>44</v>
      </c>
      <c r="I6430" s="6" t="s">
        <v>1143</v>
      </c>
      <c r="J6430" s="6" t="s">
        <v>398</v>
      </c>
      <c r="K6430" s="10">
        <v>5.75</v>
      </c>
      <c r="L6430" s="10">
        <v>25</v>
      </c>
      <c r="M6430" s="6" t="s">
        <v>436</v>
      </c>
      <c r="N6430" s="6">
        <f>IF(OR($G6430="FCC",$G6430="Hydrocracker",$G6430="Reformer"),IF(COUNTIFS($D:$D,$D6430,$A:$A,$A6430,$B:$B,$B6430,$G:$G,"CDU",$J:$J,"PLANNED")&gt;0,"tied","standalone"),"")</f>
        <v/>
      </c>
    </row>
    <row r="6431" spans="1:14">
      <c r="A6431" s="6">
        <v>2025</v>
      </c>
      <c r="B6431" s="6">
        <v>9</v>
      </c>
      <c r="C6431" s="6" t="s">
        <v>68</v>
      </c>
      <c r="D6431" s="6" t="s">
        <v>1370</v>
      </c>
      <c r="E6431" s="6" t="s">
        <v>1371</v>
      </c>
      <c r="F6431" s="6" t="str">
        <f>IF($M6431="PADD I","PADD 1",IF($M6431="PADD II","PADD 2",IF($M6431="PADD III","PADD 3",IF($M6431="PADD IV","PADD 4",IF($M6431="PADD V","PADD 5","")))))</f>
        <v>PADD 3</v>
      </c>
      <c r="G6431" s="6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6" t="s">
        <v>687</v>
      </c>
      <c r="I6431" s="6" t="s">
        <v>1376</v>
      </c>
      <c r="J6431" s="6" t="s">
        <v>398</v>
      </c>
      <c r="K6431" s="10">
        <v>5.655</v>
      </c>
      <c r="L6431" s="10">
        <v>6.5</v>
      </c>
      <c r="M6431" s="6" t="s">
        <v>421</v>
      </c>
      <c r="N6431" s="6">
        <f>IF(OR($G6431="FCC",$G6431="Hydrocracker",$G6431="Reformer"),IF(COUNTIFS($D:$D,$D6431,$A:$A,$A6431,$B:$B,$B6431,$G:$G,"CDU",$J:$J,"PLANNED")&gt;0,"tied","standalone"),"")</f>
        <v/>
      </c>
    </row>
    <row r="6432" spans="1:14">
      <c r="A6432" s="6">
        <v>2025</v>
      </c>
      <c r="B6432" s="6">
        <v>9</v>
      </c>
      <c r="C6432" s="6" t="s">
        <v>68</v>
      </c>
      <c r="D6432" s="6" t="s">
        <v>550</v>
      </c>
      <c r="E6432" s="6" t="s">
        <v>438</v>
      </c>
      <c r="F6432" s="6" t="str">
        <f>IF($M6432="PADD I","PADD 1",IF($M6432="PADD II","PADD 2",IF($M6432="PADD III","PADD 3",IF($M6432="PADD IV","PADD 4",IF($M6432="PADD V","PADD 5","")))))</f>
        <v>PADD 2</v>
      </c>
      <c r="G6432" s="6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6" t="s">
        <v>428</v>
      </c>
      <c r="I6432" s="6" t="s">
        <v>481</v>
      </c>
      <c r="J6432" s="6" t="s">
        <v>398</v>
      </c>
      <c r="K6432" s="10">
        <v>5.44</v>
      </c>
      <c r="L6432" s="10">
        <v>32</v>
      </c>
      <c r="M6432" s="6" t="s">
        <v>425</v>
      </c>
      <c r="N6432" s="6">
        <f>IF(OR($G6432="FCC",$G6432="Hydrocracker",$G6432="Reformer"),IF(COUNTIFS($D:$D,$D6432,$A:$A,$A6432,$B:$B,$B6432,$G:$G,"CDU",$J:$J,"PLANNED")&gt;0,"tied","standalone"),"")</f>
        <v/>
      </c>
    </row>
    <row r="6433" spans="1:14">
      <c r="A6433" s="6">
        <v>2025</v>
      </c>
      <c r="B6433" s="6">
        <v>9</v>
      </c>
      <c r="C6433" s="6" t="s">
        <v>68</v>
      </c>
      <c r="D6433" s="6" t="s">
        <v>652</v>
      </c>
      <c r="E6433" s="6" t="s">
        <v>419</v>
      </c>
      <c r="F6433" s="6" t="str">
        <f>IF($M6433="PADD I","PADD 1",IF($M6433="PADD II","PADD 2",IF($M6433="PADD III","PADD 3",IF($M6433="PADD IV","PADD 4",IF($M6433="PADD V","PADD 5","")))))</f>
        <v>PADD 2</v>
      </c>
      <c r="G6433" s="6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6" t="s">
        <v>428</v>
      </c>
      <c r="I6433" s="6" t="s">
        <v>586</v>
      </c>
      <c r="J6433" s="6" t="s">
        <v>394</v>
      </c>
      <c r="K6433" s="10">
        <v>4.95</v>
      </c>
      <c r="L6433" s="10">
        <v>15</v>
      </c>
      <c r="M6433" s="6" t="s">
        <v>425</v>
      </c>
      <c r="N6433" s="6">
        <f>IF(OR($G6433="FCC",$G6433="Hydrocracker",$G6433="Reformer"),IF(COUNTIFS($D:$D,$D6433,$A:$A,$A6433,$B:$B,$B6433,$G:$G,"CDU",$J:$J,"PLANNED")&gt;0,"tied","standalone"),"")</f>
        <v/>
      </c>
    </row>
    <row r="6434" spans="1:14">
      <c r="A6434" s="6">
        <v>2025</v>
      </c>
      <c r="B6434" s="6">
        <v>9</v>
      </c>
      <c r="C6434" s="6" t="s">
        <v>68</v>
      </c>
      <c r="D6434" s="6" t="s">
        <v>507</v>
      </c>
      <c r="E6434" s="6" t="s">
        <v>438</v>
      </c>
      <c r="F6434" s="6" t="str">
        <f>IF($M6434="PADD I","PADD 1",IF($M6434="PADD II","PADD 2",IF($M6434="PADD III","PADD 3",IF($M6434="PADD IV","PADD 4",IF($M6434="PADD V","PADD 5","")))))</f>
        <v>PADD 5</v>
      </c>
      <c r="G6434" s="6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6" t="s">
        <v>471</v>
      </c>
      <c r="I6434" s="6" t="s">
        <v>607</v>
      </c>
      <c r="J6434" s="6" t="s">
        <v>398</v>
      </c>
      <c r="K6434" s="10">
        <v>4.6</v>
      </c>
      <c r="L6434" s="10">
        <v>20</v>
      </c>
      <c r="M6434" s="6" t="s">
        <v>436</v>
      </c>
      <c r="N6434" s="6" t="str">
        <f>IF(OR($G6434="FCC",$G6434="Hydrocracker",$G6434="Reformer"),IF(COUNTIFS($D:$D,$D6434,$A:$A,$A6434,$B:$B,$B6434,$G:$G,"CDU",$J:$J,"PLANNED")&gt;0,"tied","standalone"),"")</f>
        <v>standalone</v>
      </c>
    </row>
    <row r="6435" spans="1:14">
      <c r="A6435" s="6">
        <v>2025</v>
      </c>
      <c r="B6435" s="6">
        <v>9</v>
      </c>
      <c r="C6435" s="6" t="s">
        <v>68</v>
      </c>
      <c r="D6435" s="6" t="s">
        <v>928</v>
      </c>
      <c r="E6435" s="6" t="s">
        <v>502</v>
      </c>
      <c r="F6435" s="6" t="str">
        <f>IF($M6435="PADD I","PADD 1",IF($M6435="PADD II","PADD 2",IF($M6435="PADD III","PADD 3",IF($M6435="PADD IV","PADD 4",IF($M6435="PADD V","PADD 5","")))))</f>
        <v>PADD 2</v>
      </c>
      <c r="G6435" s="6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6" t="s">
        <v>485</v>
      </c>
      <c r="I6435" s="6" t="s">
        <v>491</v>
      </c>
      <c r="J6435" s="6" t="s">
        <v>394</v>
      </c>
      <c r="K6435" s="10">
        <v>4.505</v>
      </c>
      <c r="L6435" s="10">
        <v>8.5</v>
      </c>
      <c r="M6435" s="6" t="s">
        <v>425</v>
      </c>
      <c r="N6435" s="6">
        <f>IF(OR($G6435="FCC",$G6435="Hydrocracker",$G6435="Reformer"),IF(COUNTIFS($D:$D,$D6435,$A:$A,$A6435,$B:$B,$B6435,$G:$G,"CDU",$J:$J,"PLANNED")&gt;0,"tied","standalone"),"")</f>
        <v/>
      </c>
    </row>
    <row r="6436" spans="1:14">
      <c r="A6436" s="6">
        <v>2025</v>
      </c>
      <c r="B6436" s="6">
        <v>9</v>
      </c>
      <c r="C6436" s="6" t="s">
        <v>68</v>
      </c>
      <c r="D6436" s="6" t="s">
        <v>550</v>
      </c>
      <c r="E6436" s="6" t="s">
        <v>438</v>
      </c>
      <c r="F6436" s="6" t="str">
        <f>IF($M6436="PADD I","PADD 1",IF($M6436="PADD II","PADD 2",IF($M6436="PADD III","PADD 3",IF($M6436="PADD IV","PADD 4",IF($M6436="PADD V","PADD 5","")))))</f>
        <v>PADD 2</v>
      </c>
      <c r="G6436" s="6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6" t="s">
        <v>426</v>
      </c>
      <c r="I6436" s="6" t="s">
        <v>106</v>
      </c>
      <c r="J6436" s="6" t="s">
        <v>398</v>
      </c>
      <c r="K6436" s="10">
        <v>4.42</v>
      </c>
      <c r="L6436" s="10">
        <v>26</v>
      </c>
      <c r="M6436" s="6" t="s">
        <v>425</v>
      </c>
      <c r="N6436" s="6" t="str">
        <f>IF(OR($G6436="FCC",$G6436="Hydrocracker",$G6436="Reformer"),IF(COUNTIFS($D:$D,$D6436,$A:$A,$A6436,$B:$B,$B6436,$G:$G,"CDU",$J:$J,"PLANNED")&gt;0,"tied","standalone"),"")</f>
        <v>tied</v>
      </c>
    </row>
    <row r="6437" spans="1:14">
      <c r="A6437" s="6">
        <v>2025</v>
      </c>
      <c r="B6437" s="6">
        <v>9</v>
      </c>
      <c r="C6437" s="6" t="s">
        <v>68</v>
      </c>
      <c r="D6437" s="6" t="s">
        <v>662</v>
      </c>
      <c r="E6437" s="6" t="s">
        <v>466</v>
      </c>
      <c r="F6437" s="6" t="str">
        <f>IF($M6437="PADD I","PADD 1",IF($M6437="PADD II","PADD 2",IF($M6437="PADD III","PADD 3",IF($M6437="PADD IV","PADD 4",IF($M6437="PADD V","PADD 5","")))))</f>
        <v>PADD 3</v>
      </c>
      <c r="G6437" s="6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6" t="s">
        <v>485</v>
      </c>
      <c r="I6437" s="6" t="s">
        <v>491</v>
      </c>
      <c r="J6437" s="6" t="s">
        <v>394</v>
      </c>
      <c r="K6437" s="10">
        <v>4.4</v>
      </c>
      <c r="L6437" s="10">
        <v>44</v>
      </c>
      <c r="M6437" s="6" t="s">
        <v>421</v>
      </c>
      <c r="N6437" s="6">
        <f>IF(OR($G6437="FCC",$G6437="Hydrocracker",$G6437="Reformer"),IF(COUNTIFS($D:$D,$D6437,$A:$A,$A6437,$B:$B,$B6437,$G:$G,"CDU",$J:$J,"PLANNED")&gt;0,"tied","standalone"),"")</f>
        <v/>
      </c>
    </row>
    <row r="6438" spans="1:14">
      <c r="A6438" s="6">
        <v>2025</v>
      </c>
      <c r="B6438" s="6">
        <v>9</v>
      </c>
      <c r="C6438" s="6" t="s">
        <v>68</v>
      </c>
      <c r="D6438" s="6" t="s">
        <v>458</v>
      </c>
      <c r="E6438" s="6" t="s">
        <v>459</v>
      </c>
      <c r="F6438" s="6" t="str">
        <f>IF($M6438="PADD I","PADD 1",IF($M6438="PADD II","PADD 2",IF($M6438="PADD III","PADD 3",IF($M6438="PADD IV","PADD 4",IF($M6438="PADD V","PADD 5","")))))</f>
        <v>PADD 3</v>
      </c>
      <c r="G6438" s="6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6" t="s">
        <v>510</v>
      </c>
      <c r="I6438" s="6" t="s">
        <v>656</v>
      </c>
      <c r="J6438" s="6" t="s">
        <v>398</v>
      </c>
      <c r="K6438" s="10">
        <v>4.35</v>
      </c>
      <c r="L6438" s="10">
        <v>5</v>
      </c>
      <c r="M6438" s="6" t="s">
        <v>421</v>
      </c>
      <c r="N6438" s="6">
        <f>IF(OR($G6438="FCC",$G6438="Hydrocracker",$G6438="Reformer"),IF(COUNTIFS($D:$D,$D6438,$A:$A,$A6438,$B:$B,$B6438,$G:$G,"CDU",$J:$J,"PLANNED")&gt;0,"tied","standalone"),"")</f>
        <v/>
      </c>
    </row>
    <row r="6439" spans="1:14">
      <c r="A6439" s="6">
        <v>2025</v>
      </c>
      <c r="B6439" s="6">
        <v>9</v>
      </c>
      <c r="C6439" s="6" t="s">
        <v>68</v>
      </c>
      <c r="D6439" s="6" t="s">
        <v>550</v>
      </c>
      <c r="E6439" s="6" t="s">
        <v>438</v>
      </c>
      <c r="F6439" s="6" t="str">
        <f>IF($M6439="PADD I","PADD 1",IF($M6439="PADD II","PADD 2",IF($M6439="PADD III","PADD 3",IF($M6439="PADD IV","PADD 4",IF($M6439="PADD V","PADD 5","")))))</f>
        <v>PADD 2</v>
      </c>
      <c r="G6439" s="6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6" t="s">
        <v>44</v>
      </c>
      <c r="I6439" s="6" t="s">
        <v>968</v>
      </c>
      <c r="J6439" s="6" t="s">
        <v>398</v>
      </c>
      <c r="K6439" s="10">
        <v>4.25</v>
      </c>
      <c r="L6439" s="10">
        <v>25</v>
      </c>
      <c r="M6439" s="6" t="s">
        <v>425</v>
      </c>
      <c r="N6439" s="6">
        <f>IF(OR($G6439="FCC",$G6439="Hydrocracker",$G6439="Reformer"),IF(COUNTIFS($D:$D,$D6439,$A:$A,$A6439,$B:$B,$B6439,$G:$G,"CDU",$J:$J,"PLANNED")&gt;0,"tied","standalone"),"")</f>
        <v/>
      </c>
    </row>
    <row r="6440" spans="1:14">
      <c r="A6440" s="6">
        <v>2025</v>
      </c>
      <c r="B6440" s="6">
        <v>9</v>
      </c>
      <c r="C6440" s="6" t="s">
        <v>68</v>
      </c>
      <c r="D6440" s="6" t="s">
        <v>550</v>
      </c>
      <c r="E6440" s="6" t="s">
        <v>438</v>
      </c>
      <c r="F6440" s="6" t="str">
        <f>IF($M6440="PADD I","PADD 1",IF($M6440="PADD II","PADD 2",IF($M6440="PADD III","PADD 3",IF($M6440="PADD IV","PADD 4",IF($M6440="PADD V","PADD 5","")))))</f>
        <v>PADD 2</v>
      </c>
      <c r="G6440" s="6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6" t="s">
        <v>39</v>
      </c>
      <c r="I6440" s="6" t="s">
        <v>967</v>
      </c>
      <c r="J6440" s="6" t="s">
        <v>398</v>
      </c>
      <c r="K6440" s="10">
        <v>4.25</v>
      </c>
      <c r="L6440" s="10">
        <v>25</v>
      </c>
      <c r="M6440" s="6" t="s">
        <v>425</v>
      </c>
      <c r="N6440" s="6">
        <f>IF(OR($G6440="FCC",$G6440="Hydrocracker",$G6440="Reformer"),IF(COUNTIFS($D:$D,$D6440,$A:$A,$A6440,$B:$B,$B6440,$G:$G,"CDU",$J:$J,"PLANNED")&gt;0,"tied","standalone"),"")</f>
        <v/>
      </c>
    </row>
    <row r="6441" spans="1:14">
      <c r="A6441" s="6">
        <v>2025</v>
      </c>
      <c r="B6441" s="6">
        <v>9</v>
      </c>
      <c r="C6441" s="6" t="s">
        <v>68</v>
      </c>
      <c r="D6441" s="6" t="s">
        <v>375</v>
      </c>
      <c r="E6441" s="6" t="s">
        <v>435</v>
      </c>
      <c r="F6441" s="6" t="str">
        <f>IF($M6441="PADD I","PADD 1",IF($M6441="PADD II","PADD 2",IF($M6441="PADD III","PADD 3",IF($M6441="PADD IV","PADD 4",IF($M6441="PADD V","PADD 5","")))))</f>
        <v>PADD 5</v>
      </c>
      <c r="G6441" s="6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6" t="s">
        <v>510</v>
      </c>
      <c r="I6441" s="6" t="s">
        <v>1338</v>
      </c>
      <c r="J6441" s="6" t="s">
        <v>394</v>
      </c>
      <c r="K6441" s="10">
        <v>4.2</v>
      </c>
      <c r="L6441" s="10">
        <v>4.2</v>
      </c>
      <c r="M6441" s="6" t="s">
        <v>436</v>
      </c>
      <c r="N6441" s="6">
        <f>IF(OR($G6441="FCC",$G6441="Hydrocracker",$G6441="Reformer"),IF(COUNTIFS($D:$D,$D6441,$A:$A,$A6441,$B:$B,$B6441,$G:$G,"CDU",$J:$J,"PLANNED")&gt;0,"tied","standalone"),"")</f>
        <v/>
      </c>
    </row>
    <row r="6442" spans="1:14">
      <c r="A6442" s="6">
        <v>2025</v>
      </c>
      <c r="B6442" s="6">
        <v>9</v>
      </c>
      <c r="C6442" s="6" t="s">
        <v>68</v>
      </c>
      <c r="D6442" s="6" t="s">
        <v>550</v>
      </c>
      <c r="E6442" s="6" t="s">
        <v>438</v>
      </c>
      <c r="F6442" s="6" t="str">
        <f>IF($M6442="PADD I","PADD 1",IF($M6442="PADD II","PADD 2",IF($M6442="PADD III","PADD 3",IF($M6442="PADD IV","PADD 4",IF($M6442="PADD V","PADD 5","")))))</f>
        <v>PADD 2</v>
      </c>
      <c r="G6442" s="6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6" t="s">
        <v>428</v>
      </c>
      <c r="I6442" s="6" t="s">
        <v>481</v>
      </c>
      <c r="J6442" s="6" t="s">
        <v>394</v>
      </c>
      <c r="K6442" s="10">
        <v>4.16</v>
      </c>
      <c r="L6442" s="10">
        <v>32</v>
      </c>
      <c r="M6442" s="6" t="s">
        <v>425</v>
      </c>
      <c r="N6442" s="6">
        <f>IF(OR($G6442="FCC",$G6442="Hydrocracker",$G6442="Reformer"),IF(COUNTIFS($D:$D,$D6442,$A:$A,$A6442,$B:$B,$B6442,$G:$G,"CDU",$J:$J,"PLANNED")&gt;0,"tied","standalone"),"")</f>
        <v/>
      </c>
    </row>
    <row r="6443" spans="1:14">
      <c r="A6443" s="6">
        <v>2025</v>
      </c>
      <c r="B6443" s="6">
        <v>9</v>
      </c>
      <c r="C6443" s="6" t="s">
        <v>68</v>
      </c>
      <c r="D6443" s="6" t="s">
        <v>51</v>
      </c>
      <c r="E6443" s="6" t="s">
        <v>431</v>
      </c>
      <c r="F6443" s="6" t="str">
        <f>IF($M6443="PADD I","PADD 1",IF($M6443="PADD II","PADD 2",IF($M6443="PADD III","PADD 3",IF($M6443="PADD IV","PADD 4",IF($M6443="PADD V","PADD 5","")))))</f>
        <v>PADD 3</v>
      </c>
      <c r="G6443" s="6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6" t="s">
        <v>44</v>
      </c>
      <c r="I6443" s="6" t="s">
        <v>1377</v>
      </c>
      <c r="J6443" s="6" t="s">
        <v>394</v>
      </c>
      <c r="K6443" s="10">
        <v>3.85</v>
      </c>
      <c r="L6443" s="10">
        <v>55</v>
      </c>
      <c r="M6443" s="6" t="s">
        <v>421</v>
      </c>
      <c r="N6443" s="6">
        <f>IF(OR($G6443="FCC",$G6443="Hydrocracker",$G6443="Reformer"),IF(COUNTIFS($D:$D,$D6443,$A:$A,$A6443,$B:$B,$B6443,$G:$G,"CDU",$J:$J,"PLANNED")&gt;0,"tied","standalone"),"")</f>
        <v/>
      </c>
    </row>
    <row r="6444" spans="1:14">
      <c r="A6444" s="6">
        <v>2025</v>
      </c>
      <c r="B6444" s="6">
        <v>9</v>
      </c>
      <c r="C6444" s="6" t="s">
        <v>68</v>
      </c>
      <c r="D6444" s="6" t="s">
        <v>550</v>
      </c>
      <c r="E6444" s="6" t="s">
        <v>438</v>
      </c>
      <c r="F6444" s="6" t="str">
        <f>IF($M6444="PADD I","PADD 1",IF($M6444="PADD II","PADD 2",IF($M6444="PADD III","PADD 3",IF($M6444="PADD IV","PADD 4",IF($M6444="PADD V","PADD 5","")))))</f>
        <v>PADD 2</v>
      </c>
      <c r="G6444" s="6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6" t="s">
        <v>44</v>
      </c>
      <c r="I6444" s="6" t="s">
        <v>971</v>
      </c>
      <c r="J6444" s="6" t="s">
        <v>398</v>
      </c>
      <c r="K6444" s="10">
        <v>3.4</v>
      </c>
      <c r="L6444" s="10">
        <v>20</v>
      </c>
      <c r="M6444" s="6" t="s">
        <v>425</v>
      </c>
      <c r="N6444" s="6">
        <f>IF(OR($G6444="FCC",$G6444="Hydrocracker",$G6444="Reformer"),IF(COUNTIFS($D:$D,$D6444,$A:$A,$A6444,$B:$B,$B6444,$G:$G,"CDU",$J:$J,"PLANNED")&gt;0,"tied","standalone"),"")</f>
        <v/>
      </c>
    </row>
    <row r="6445" spans="1:14">
      <c r="A6445" s="6">
        <v>2025</v>
      </c>
      <c r="B6445" s="6">
        <v>9</v>
      </c>
      <c r="C6445" s="6" t="s">
        <v>68</v>
      </c>
      <c r="D6445" s="6" t="s">
        <v>550</v>
      </c>
      <c r="E6445" s="6" t="s">
        <v>438</v>
      </c>
      <c r="F6445" s="6" t="str">
        <f>IF($M6445="PADD I","PADD 1",IF($M6445="PADD II","PADD 2",IF($M6445="PADD III","PADD 3",IF($M6445="PADD IV","PADD 4",IF($M6445="PADD V","PADD 5","")))))</f>
        <v>PADD 2</v>
      </c>
      <c r="G6445" s="6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6" t="s">
        <v>44</v>
      </c>
      <c r="I6445" s="6" t="s">
        <v>551</v>
      </c>
      <c r="J6445" s="6" t="s">
        <v>398</v>
      </c>
      <c r="K6445" s="10">
        <v>3.4</v>
      </c>
      <c r="L6445" s="10">
        <v>20</v>
      </c>
      <c r="M6445" s="6" t="s">
        <v>425</v>
      </c>
      <c r="N6445" s="6">
        <f>IF(OR($G6445="FCC",$G6445="Hydrocracker",$G6445="Reformer"),IF(COUNTIFS($D:$D,$D6445,$A:$A,$A6445,$B:$B,$B6445,$G:$G,"CDU",$J:$J,"PLANNED")&gt;0,"tied","standalone"),"")</f>
        <v/>
      </c>
    </row>
    <row r="6446" spans="1:14">
      <c r="A6446" s="6">
        <v>2025</v>
      </c>
      <c r="B6446" s="6">
        <v>9</v>
      </c>
      <c r="C6446" s="6" t="s">
        <v>68</v>
      </c>
      <c r="D6446" s="6" t="s">
        <v>550</v>
      </c>
      <c r="E6446" s="6" t="s">
        <v>438</v>
      </c>
      <c r="F6446" s="6" t="str">
        <f>IF($M6446="PADD I","PADD 1",IF($M6446="PADD II","PADD 2",IF($M6446="PADD III","PADD 3",IF($M6446="PADD IV","PADD 4",IF($M6446="PADD V","PADD 5","")))))</f>
        <v>PADD 2</v>
      </c>
      <c r="G6446" s="6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6" t="s">
        <v>44</v>
      </c>
      <c r="I6446" s="6" t="s">
        <v>570</v>
      </c>
      <c r="J6446" s="6" t="s">
        <v>398</v>
      </c>
      <c r="K6446" s="10">
        <v>3.4</v>
      </c>
      <c r="L6446" s="10">
        <v>20</v>
      </c>
      <c r="M6446" s="6" t="s">
        <v>425</v>
      </c>
      <c r="N6446" s="6">
        <f>IF(OR($G6446="FCC",$G6446="Hydrocracker",$G6446="Reformer"),IF(COUNTIFS($D:$D,$D6446,$A:$A,$A6446,$B:$B,$B6446,$G:$G,"CDU",$J:$J,"PLANNED")&gt;0,"tied","standalone"),"")</f>
        <v/>
      </c>
    </row>
    <row r="6447" spans="1:14">
      <c r="A6447" s="6">
        <v>2025</v>
      </c>
      <c r="B6447" s="6">
        <v>9</v>
      </c>
      <c r="C6447" s="6" t="s">
        <v>68</v>
      </c>
      <c r="D6447" s="6" t="s">
        <v>550</v>
      </c>
      <c r="E6447" s="6" t="s">
        <v>438</v>
      </c>
      <c r="F6447" s="6" t="str">
        <f>IF($M6447="PADD I","PADD 1",IF($M6447="PADD II","PADD 2",IF($M6447="PADD III","PADD 3",IF($M6447="PADD IV","PADD 4",IF($M6447="PADD V","PADD 5","")))))</f>
        <v>PADD 2</v>
      </c>
      <c r="G6447" s="6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6" t="s">
        <v>39</v>
      </c>
      <c r="I6447" s="6" t="s">
        <v>967</v>
      </c>
      <c r="J6447" s="6" t="s">
        <v>394</v>
      </c>
      <c r="K6447" s="10">
        <v>3.25</v>
      </c>
      <c r="L6447" s="10">
        <v>25</v>
      </c>
      <c r="M6447" s="6" t="s">
        <v>425</v>
      </c>
      <c r="N6447" s="6">
        <f>IF(OR($G6447="FCC",$G6447="Hydrocracker",$G6447="Reformer"),IF(COUNTIFS($D:$D,$D6447,$A:$A,$A6447,$B:$B,$B6447,$G:$G,"CDU",$J:$J,"PLANNED")&gt;0,"tied","standalone"),"")</f>
        <v/>
      </c>
    </row>
    <row r="6448" spans="1:14">
      <c r="A6448" s="6">
        <v>2025</v>
      </c>
      <c r="B6448" s="6">
        <v>9</v>
      </c>
      <c r="C6448" s="6" t="s">
        <v>68</v>
      </c>
      <c r="D6448" s="6" t="s">
        <v>550</v>
      </c>
      <c r="E6448" s="6" t="s">
        <v>438</v>
      </c>
      <c r="F6448" s="6" t="str">
        <f>IF($M6448="PADD I","PADD 1",IF($M6448="PADD II","PADD 2",IF($M6448="PADD III","PADD 3",IF($M6448="PADD IV","PADD 4",IF($M6448="PADD V","PADD 5","")))))</f>
        <v>PADD 2</v>
      </c>
      <c r="G6448" s="6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6" t="s">
        <v>44</v>
      </c>
      <c r="I6448" s="6" t="s">
        <v>968</v>
      </c>
      <c r="J6448" s="6" t="s">
        <v>394</v>
      </c>
      <c r="K6448" s="10">
        <v>3.25</v>
      </c>
      <c r="L6448" s="10">
        <v>25</v>
      </c>
      <c r="M6448" s="6" t="s">
        <v>425</v>
      </c>
      <c r="N6448" s="6">
        <f>IF(OR($G6448="FCC",$G6448="Hydrocracker",$G6448="Reformer"),IF(COUNTIFS($D:$D,$D6448,$A:$A,$A6448,$B:$B,$B6448,$G:$G,"CDU",$J:$J,"PLANNED")&gt;0,"tied","standalone"),"")</f>
        <v/>
      </c>
    </row>
    <row r="6449" spans="1:14">
      <c r="A6449" s="6">
        <v>2025</v>
      </c>
      <c r="B6449" s="6">
        <v>9</v>
      </c>
      <c r="C6449" s="6" t="s">
        <v>68</v>
      </c>
      <c r="D6449" s="6" t="s">
        <v>49</v>
      </c>
      <c r="E6449" s="6" t="s">
        <v>438</v>
      </c>
      <c r="F6449" s="6" t="str">
        <f>IF($M6449="PADD I","PADD 1",IF($M6449="PADD II","PADD 2",IF($M6449="PADD III","PADD 3",IF($M6449="PADD IV","PADD 4",IF($M6449="PADD V","PADD 5","")))))</f>
        <v>PADD 2</v>
      </c>
      <c r="G6449" s="6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6" t="s">
        <v>485</v>
      </c>
      <c r="I6449" s="6" t="s">
        <v>681</v>
      </c>
      <c r="J6449" s="6" t="s">
        <v>394</v>
      </c>
      <c r="K6449" s="10">
        <v>3.24</v>
      </c>
      <c r="L6449" s="10">
        <v>12</v>
      </c>
      <c r="M6449" s="6" t="s">
        <v>425</v>
      </c>
      <c r="N6449" s="6">
        <f>IF(OR($G6449="FCC",$G6449="Hydrocracker",$G6449="Reformer"),IF(COUNTIFS($D:$D,$D6449,$A:$A,$A6449,$B:$B,$B6449,$G:$G,"CDU",$J:$J,"PLANNED")&gt;0,"tied","standalone"),"")</f>
        <v/>
      </c>
    </row>
    <row r="6450" spans="1:14">
      <c r="A6450" s="6">
        <v>2025</v>
      </c>
      <c r="B6450" s="6">
        <v>9</v>
      </c>
      <c r="C6450" s="6" t="s">
        <v>68</v>
      </c>
      <c r="D6450" s="6" t="s">
        <v>550</v>
      </c>
      <c r="E6450" s="6" t="s">
        <v>438</v>
      </c>
      <c r="F6450" s="6" t="str">
        <f>IF($M6450="PADD I","PADD 1",IF($M6450="PADD II","PADD 2",IF($M6450="PADD III","PADD 3",IF($M6450="PADD IV","PADD 4",IF($M6450="PADD V","PADD 5","")))))</f>
        <v>PADD 2</v>
      </c>
      <c r="G6450" s="6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6" t="s">
        <v>471</v>
      </c>
      <c r="I6450" s="6" t="s">
        <v>589</v>
      </c>
      <c r="J6450" s="6" t="s">
        <v>398</v>
      </c>
      <c r="K6450" s="10">
        <v>3.23</v>
      </c>
      <c r="L6450" s="10">
        <v>19</v>
      </c>
      <c r="M6450" s="6" t="s">
        <v>425</v>
      </c>
      <c r="N6450" s="6" t="str">
        <f>IF(OR($G6450="FCC",$G6450="Hydrocracker",$G6450="Reformer"),IF(COUNTIFS($D:$D,$D6450,$A:$A,$A6450,$B:$B,$B6450,$G:$G,"CDU",$J:$J,"PLANNED")&gt;0,"tied","standalone"),"")</f>
        <v>tied</v>
      </c>
    </row>
    <row r="6451" spans="1:14">
      <c r="A6451" s="6">
        <v>2025</v>
      </c>
      <c r="B6451" s="6">
        <v>9</v>
      </c>
      <c r="C6451" s="6" t="s">
        <v>68</v>
      </c>
      <c r="D6451" s="6" t="s">
        <v>1010</v>
      </c>
      <c r="E6451" s="6" t="s">
        <v>931</v>
      </c>
      <c r="F6451" s="6" t="str">
        <f>IF($M6451="PADD I","PADD 1",IF($M6451="PADD II","PADD 2",IF($M6451="PADD III","PADD 3",IF($M6451="PADD IV","PADD 4",IF($M6451="PADD V","PADD 5","")))))</f>
        <v>PADD 3</v>
      </c>
      <c r="G6451" s="6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6" t="s">
        <v>44</v>
      </c>
      <c r="I6451" s="6" t="s">
        <v>1011</v>
      </c>
      <c r="J6451" s="6" t="s">
        <v>394</v>
      </c>
      <c r="K6451" s="10">
        <v>3.2</v>
      </c>
      <c r="L6451" s="10">
        <v>8</v>
      </c>
      <c r="M6451" s="6" t="s">
        <v>421</v>
      </c>
      <c r="N6451" s="6">
        <f>IF(OR($G6451="FCC",$G6451="Hydrocracker",$G6451="Reformer"),IF(COUNTIFS($D:$D,$D6451,$A:$A,$A6451,$B:$B,$B6451,$G:$G,"CDU",$J:$J,"PLANNED")&gt;0,"tied","standalone"),"")</f>
        <v/>
      </c>
    </row>
    <row r="6452" spans="1:14">
      <c r="A6452" s="6">
        <v>2025</v>
      </c>
      <c r="B6452" s="6">
        <v>9</v>
      </c>
      <c r="C6452" s="6" t="s">
        <v>68</v>
      </c>
      <c r="D6452" s="6" t="s">
        <v>853</v>
      </c>
      <c r="E6452" s="6" t="s">
        <v>438</v>
      </c>
      <c r="F6452" s="6" t="str">
        <f>IF($M6452="PADD I","PADD 1",IF($M6452="PADD II","PADD 2",IF($M6452="PADD III","PADD 3",IF($M6452="PADD IV","PADD 4",IF($M6452="PADD V","PADD 5","")))))</f>
        <v>PADD 2</v>
      </c>
      <c r="G6452" s="6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6" t="s">
        <v>471</v>
      </c>
      <c r="I6452" s="6" t="s">
        <v>607</v>
      </c>
      <c r="J6452" s="6" t="s">
        <v>394</v>
      </c>
      <c r="K6452" s="10">
        <v>3.0375</v>
      </c>
      <c r="L6452" s="10">
        <v>11.25</v>
      </c>
      <c r="M6452" s="6" t="s">
        <v>425</v>
      </c>
      <c r="N6452" s="6" t="str">
        <f>IF(OR($G6452="FCC",$G6452="Hydrocracker",$G6452="Reformer"),IF(COUNTIFS($D:$D,$D6452,$A:$A,$A6452,$B:$B,$B6452,$G:$G,"CDU",$J:$J,"PLANNED")&gt;0,"tied","standalone"),"")</f>
        <v>standalone</v>
      </c>
    </row>
    <row r="6453" spans="1:14">
      <c r="A6453" s="6">
        <v>2025</v>
      </c>
      <c r="B6453" s="6">
        <v>9</v>
      </c>
      <c r="C6453" s="6" t="s">
        <v>68</v>
      </c>
      <c r="D6453" s="6" t="s">
        <v>507</v>
      </c>
      <c r="E6453" s="6" t="s">
        <v>438</v>
      </c>
      <c r="F6453" s="6" t="str">
        <f>IF($M6453="PADD I","PADD 1",IF($M6453="PADD II","PADD 2",IF($M6453="PADD III","PADD 3",IF($M6453="PADD IV","PADD 4",IF($M6453="PADD V","PADD 5","")))))</f>
        <v>PADD 5</v>
      </c>
      <c r="G6453" s="6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6" t="s">
        <v>510</v>
      </c>
      <c r="I6453" s="6" t="s">
        <v>511</v>
      </c>
      <c r="J6453" s="6" t="s">
        <v>398</v>
      </c>
      <c r="K6453" s="10">
        <v>2.99</v>
      </c>
      <c r="L6453" s="10">
        <v>13</v>
      </c>
      <c r="M6453" s="6" t="s">
        <v>436</v>
      </c>
      <c r="N6453" s="6">
        <f>IF(OR($G6453="FCC",$G6453="Hydrocracker",$G6453="Reformer"),IF(COUNTIFS($D:$D,$D6453,$A:$A,$A6453,$B:$B,$B6453,$G:$G,"CDU",$J:$J,"PLANNED")&gt;0,"tied","standalone"),"")</f>
        <v/>
      </c>
    </row>
    <row r="6454" spans="1:14">
      <c r="A6454" s="6">
        <v>2025</v>
      </c>
      <c r="B6454" s="6">
        <v>9</v>
      </c>
      <c r="C6454" s="6" t="s">
        <v>68</v>
      </c>
      <c r="D6454" s="6" t="s">
        <v>375</v>
      </c>
      <c r="E6454" s="6" t="s">
        <v>435</v>
      </c>
      <c r="F6454" s="6" t="str">
        <f>IF($M6454="PADD I","PADD 1",IF($M6454="PADD II","PADD 2",IF($M6454="PADD III","PADD 3",IF($M6454="PADD IV","PADD 4",IF($M6454="PADD V","PADD 5","")))))</f>
        <v>PADD 5</v>
      </c>
      <c r="G6454" s="6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6" t="s">
        <v>494</v>
      </c>
      <c r="I6454" s="6" t="s">
        <v>548</v>
      </c>
      <c r="J6454" s="6" t="s">
        <v>394</v>
      </c>
      <c r="K6454" s="10">
        <v>2.94</v>
      </c>
      <c r="L6454" s="10">
        <v>42</v>
      </c>
      <c r="M6454" s="6" t="s">
        <v>436</v>
      </c>
      <c r="N6454" s="6" t="str">
        <f>IF(OR($G6454="FCC",$G6454="Hydrocracker",$G6454="Reformer"),IF(COUNTIFS($D:$D,$D6454,$A:$A,$A6454,$B:$B,$B6454,$G:$G,"CDU",$J:$J,"PLANNED")&gt;0,"tied","standalone"),"")</f>
        <v>standalone</v>
      </c>
    </row>
    <row r="6455" spans="1:14">
      <c r="A6455" s="6">
        <v>2025</v>
      </c>
      <c r="B6455" s="6">
        <v>9</v>
      </c>
      <c r="C6455" s="6" t="s">
        <v>68</v>
      </c>
      <c r="D6455" s="6" t="s">
        <v>52</v>
      </c>
      <c r="E6455" s="6" t="s">
        <v>441</v>
      </c>
      <c r="F6455" s="6" t="str">
        <f>IF($M6455="PADD I","PADD 1",IF($M6455="PADD II","PADD 2",IF($M6455="PADD III","PADD 3",IF($M6455="PADD IV","PADD 4",IF($M6455="PADD V","PADD 5","")))))</f>
        <v>PADD 5</v>
      </c>
      <c r="G6455" s="6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6" t="s">
        <v>44</v>
      </c>
      <c r="I6455" s="6" t="s">
        <v>909</v>
      </c>
      <c r="J6455" s="6" t="s">
        <v>394</v>
      </c>
      <c r="K6455" s="10">
        <v>2.8</v>
      </c>
      <c r="L6455" s="10">
        <v>40</v>
      </c>
      <c r="M6455" s="6" t="s">
        <v>436</v>
      </c>
      <c r="N6455" s="6">
        <f>IF(OR($G6455="FCC",$G6455="Hydrocracker",$G6455="Reformer"),IF(COUNTIFS($D:$D,$D6455,$A:$A,$A6455,$B:$B,$B6455,$G:$G,"CDU",$J:$J,"PLANNED")&gt;0,"tied","standalone"),"")</f>
        <v/>
      </c>
    </row>
    <row r="6456" spans="1:14">
      <c r="A6456" s="6">
        <v>2025</v>
      </c>
      <c r="B6456" s="6">
        <v>9</v>
      </c>
      <c r="C6456" s="6" t="s">
        <v>68</v>
      </c>
      <c r="D6456" s="6" t="s">
        <v>518</v>
      </c>
      <c r="E6456" s="6" t="s">
        <v>419</v>
      </c>
      <c r="F6456" s="6" t="str">
        <f>IF($M6456="PADD I","PADD 1",IF($M6456="PADD II","PADD 2",IF($M6456="PADD III","PADD 3",IF($M6456="PADD IV","PADD 4",IF($M6456="PADD V","PADD 5","")))))</f>
        <v>PADD 3</v>
      </c>
      <c r="G6456" s="6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6" t="s">
        <v>471</v>
      </c>
      <c r="I6456" s="6" t="s">
        <v>685</v>
      </c>
      <c r="J6456" s="6" t="s">
        <v>394</v>
      </c>
      <c r="K6456" s="10">
        <v>2.8</v>
      </c>
      <c r="L6456" s="10">
        <v>7</v>
      </c>
      <c r="M6456" s="6" t="s">
        <v>421</v>
      </c>
      <c r="N6456" s="6" t="str">
        <f>IF(OR($G6456="FCC",$G6456="Hydrocracker",$G6456="Reformer"),IF(COUNTIFS($D:$D,$D6456,$A:$A,$A6456,$B:$B,$B6456,$G:$G,"CDU",$J:$J,"PLANNED")&gt;0,"tied","standalone"),"")</f>
        <v>standalone</v>
      </c>
    </row>
    <row r="6457" spans="1:14">
      <c r="A6457" s="6">
        <v>2025</v>
      </c>
      <c r="B6457" s="6">
        <v>9</v>
      </c>
      <c r="C6457" s="6" t="s">
        <v>68</v>
      </c>
      <c r="D6457" s="6" t="s">
        <v>849</v>
      </c>
      <c r="E6457" s="6" t="s">
        <v>441</v>
      </c>
      <c r="F6457" s="6" t="str">
        <f>IF($M6457="PADD I","PADD 1",IF($M6457="PADD II","PADD 2",IF($M6457="PADD III","PADD 3",IF($M6457="PADD IV","PADD 4",IF($M6457="PADD V","PADD 5","")))))</f>
        <v>PADD 4</v>
      </c>
      <c r="G6457" s="6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6" t="s">
        <v>485</v>
      </c>
      <c r="I6457" s="6" t="s">
        <v>1238</v>
      </c>
      <c r="J6457" s="6" t="s">
        <v>394</v>
      </c>
      <c r="K6457" s="10">
        <v>2.7</v>
      </c>
      <c r="L6457" s="10">
        <v>10</v>
      </c>
      <c r="M6457" s="6" t="s">
        <v>480</v>
      </c>
      <c r="N6457" s="6">
        <f>IF(OR($G6457="FCC",$G6457="Hydrocracker",$G6457="Reformer"),IF(COUNTIFS($D:$D,$D6457,$A:$A,$A6457,$B:$B,$B6457,$G:$G,"CDU",$J:$J,"PLANNED")&gt;0,"tied","standalone"),"")</f>
        <v/>
      </c>
    </row>
    <row r="6458" spans="1:14">
      <c r="A6458" s="6">
        <v>2025</v>
      </c>
      <c r="B6458" s="6">
        <v>9</v>
      </c>
      <c r="C6458" s="6" t="s">
        <v>68</v>
      </c>
      <c r="D6458" s="6" t="s">
        <v>550</v>
      </c>
      <c r="E6458" s="6" t="s">
        <v>438</v>
      </c>
      <c r="F6458" s="6" t="str">
        <f>IF($M6458="PADD I","PADD 1",IF($M6458="PADD II","PADD 2",IF($M6458="PADD III","PADD 3",IF($M6458="PADD IV","PADD 4",IF($M6458="PADD V","PADD 5","")))))</f>
        <v>PADD 2</v>
      </c>
      <c r="G6458" s="6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6" t="s">
        <v>44</v>
      </c>
      <c r="I6458" s="6" t="s">
        <v>971</v>
      </c>
      <c r="J6458" s="6" t="s">
        <v>394</v>
      </c>
      <c r="K6458" s="10">
        <v>2.6</v>
      </c>
      <c r="L6458" s="10">
        <v>20</v>
      </c>
      <c r="M6458" s="6" t="s">
        <v>425</v>
      </c>
      <c r="N6458" s="6">
        <f>IF(OR($G6458="FCC",$G6458="Hydrocracker",$G6458="Reformer"),IF(COUNTIFS($D:$D,$D6458,$A:$A,$A6458,$B:$B,$B6458,$G:$G,"CDU",$J:$J,"PLANNED")&gt;0,"tied","standalone"),"")</f>
        <v/>
      </c>
    </row>
    <row r="6459" spans="1:14">
      <c r="A6459" s="6">
        <v>2025</v>
      </c>
      <c r="B6459" s="6">
        <v>9</v>
      </c>
      <c r="C6459" s="6" t="s">
        <v>68</v>
      </c>
      <c r="D6459" s="6" t="s">
        <v>550</v>
      </c>
      <c r="E6459" s="6" t="s">
        <v>438</v>
      </c>
      <c r="F6459" s="6" t="str">
        <f>IF($M6459="PADD I","PADD 1",IF($M6459="PADD II","PADD 2",IF($M6459="PADD III","PADD 3",IF($M6459="PADD IV","PADD 4",IF($M6459="PADD V","PADD 5","")))))</f>
        <v>PADD 2</v>
      </c>
      <c r="G6459" s="6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6" t="s">
        <v>44</v>
      </c>
      <c r="I6459" s="6" t="s">
        <v>974</v>
      </c>
      <c r="J6459" s="6" t="s">
        <v>398</v>
      </c>
      <c r="K6459" s="10">
        <v>2.55</v>
      </c>
      <c r="L6459" s="10">
        <v>15</v>
      </c>
      <c r="M6459" s="6" t="s">
        <v>425</v>
      </c>
      <c r="N6459" s="6">
        <f>IF(OR($G6459="FCC",$G6459="Hydrocracker",$G6459="Reformer"),IF(COUNTIFS($D:$D,$D6459,$A:$A,$A6459,$B:$B,$B6459,$G:$G,"CDU",$J:$J,"PLANNED")&gt;0,"tied","standalone"),"")</f>
        <v/>
      </c>
    </row>
    <row r="6460" spans="1:14">
      <c r="A6460" s="6">
        <v>2025</v>
      </c>
      <c r="B6460" s="6">
        <v>9</v>
      </c>
      <c r="C6460" s="6" t="s">
        <v>68</v>
      </c>
      <c r="D6460" s="6" t="s">
        <v>851</v>
      </c>
      <c r="E6460" s="6" t="s">
        <v>829</v>
      </c>
      <c r="F6460" s="6" t="str">
        <f>IF($M6460="PADD I","PADD 1",IF($M6460="PADD II","PADD 2",IF($M6460="PADD III","PADD 3",IF($M6460="PADD IV","PADD 4",IF($M6460="PADD V","PADD 5","")))))</f>
        <v>PADD 2</v>
      </c>
      <c r="G6460" s="6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6" t="s">
        <v>485</v>
      </c>
      <c r="I6460" s="6" t="s">
        <v>1229</v>
      </c>
      <c r="J6460" s="6" t="s">
        <v>394</v>
      </c>
      <c r="K6460" s="10">
        <v>2.52</v>
      </c>
      <c r="L6460" s="10">
        <v>36</v>
      </c>
      <c r="M6460" s="6" t="s">
        <v>425</v>
      </c>
      <c r="N6460" s="6">
        <f>IF(OR($G6460="FCC",$G6460="Hydrocracker",$G6460="Reformer"),IF(COUNTIFS($D:$D,$D6460,$A:$A,$A6460,$B:$B,$B6460,$G:$G,"CDU",$J:$J,"PLANNED")&gt;0,"tied","standalone"),"")</f>
        <v/>
      </c>
    </row>
    <row r="6461" spans="1:14">
      <c r="A6461" s="6">
        <v>2025</v>
      </c>
      <c r="B6461" s="6">
        <v>9</v>
      </c>
      <c r="C6461" s="6" t="s">
        <v>68</v>
      </c>
      <c r="D6461" s="6" t="s">
        <v>828</v>
      </c>
      <c r="E6461" s="6" t="s">
        <v>829</v>
      </c>
      <c r="F6461" s="6" t="str">
        <f>IF($M6461="PADD I","PADD 1",IF($M6461="PADD II","PADD 2",IF($M6461="PADD III","PADD 3",IF($M6461="PADD IV","PADD 4",IF($M6461="PADD V","PADD 5","")))))</f>
        <v>PADD 3</v>
      </c>
      <c r="G6461" s="6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6" t="s">
        <v>428</v>
      </c>
      <c r="I6461" s="6" t="s">
        <v>847</v>
      </c>
      <c r="J6461" s="6" t="s">
        <v>394</v>
      </c>
      <c r="K6461" s="10">
        <v>2.3</v>
      </c>
      <c r="L6461" s="10">
        <v>23</v>
      </c>
      <c r="M6461" s="6" t="s">
        <v>421</v>
      </c>
      <c r="N6461" s="6">
        <f>IF(OR($G6461="FCC",$G6461="Hydrocracker",$G6461="Reformer"),IF(COUNTIFS($D:$D,$D6461,$A:$A,$A6461,$B:$B,$B6461,$G:$G,"CDU",$J:$J,"PLANNED")&gt;0,"tied","standalone"),"")</f>
        <v/>
      </c>
    </row>
    <row r="6462" spans="1:14">
      <c r="A6462" s="6">
        <v>2025</v>
      </c>
      <c r="B6462" s="6">
        <v>9</v>
      </c>
      <c r="C6462" s="6" t="s">
        <v>68</v>
      </c>
      <c r="D6462" s="6" t="s">
        <v>380</v>
      </c>
      <c r="E6462" s="6" t="s">
        <v>423</v>
      </c>
      <c r="F6462" s="6" t="str">
        <f>IF($M6462="PADD I","PADD 1",IF($M6462="PADD II","PADD 2",IF($M6462="PADD III","PADD 3",IF($M6462="PADD IV","PADD 4",IF($M6462="PADD V","PADD 5","")))))</f>
        <v>PADD 2</v>
      </c>
      <c r="G6462" s="6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6" t="s">
        <v>485</v>
      </c>
      <c r="I6462" s="6" t="s">
        <v>491</v>
      </c>
      <c r="J6462" s="6" t="s">
        <v>394</v>
      </c>
      <c r="K6462" s="10">
        <v>2.3</v>
      </c>
      <c r="L6462" s="10">
        <v>23</v>
      </c>
      <c r="M6462" s="6" t="s">
        <v>425</v>
      </c>
      <c r="N6462" s="6">
        <f>IF(OR($G6462="FCC",$G6462="Hydrocracker",$G6462="Reformer"),IF(COUNTIFS($D:$D,$D6462,$A:$A,$A6462,$B:$B,$B6462,$G:$G,"CDU",$J:$J,"PLANNED")&gt;0,"tied","standalone"),"")</f>
        <v/>
      </c>
    </row>
    <row r="6463" spans="1:14">
      <c r="A6463" s="6">
        <v>2025</v>
      </c>
      <c r="B6463" s="6">
        <v>9</v>
      </c>
      <c r="C6463" s="6" t="s">
        <v>68</v>
      </c>
      <c r="D6463" s="6" t="s">
        <v>430</v>
      </c>
      <c r="E6463" s="6" t="s">
        <v>431</v>
      </c>
      <c r="F6463" s="6" t="str">
        <f>IF($M6463="PADD I","PADD 1",IF($M6463="PADD II","PADD 2",IF($M6463="PADD III","PADD 3",IF($M6463="PADD IV","PADD 4",IF($M6463="PADD V","PADD 5","")))))</f>
        <v>PADD 3</v>
      </c>
      <c r="G6463" s="6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6" t="s">
        <v>485</v>
      </c>
      <c r="I6463" s="6" t="s">
        <v>565</v>
      </c>
      <c r="J6463" s="6" t="s">
        <v>394</v>
      </c>
      <c r="K6463" s="10">
        <v>2.24</v>
      </c>
      <c r="L6463" s="10">
        <v>32</v>
      </c>
      <c r="M6463" s="6" t="s">
        <v>421</v>
      </c>
      <c r="N6463" s="6">
        <f>IF(OR($G6463="FCC",$G6463="Hydrocracker",$G6463="Reformer"),IF(COUNTIFS($D:$D,$D6463,$A:$A,$A6463,$B:$B,$B6463,$G:$G,"CDU",$J:$J,"PLANNED")&gt;0,"tied","standalone"),"")</f>
        <v/>
      </c>
    </row>
    <row r="6464" spans="1:14">
      <c r="A6464" s="6">
        <v>2025</v>
      </c>
      <c r="B6464" s="6">
        <v>9</v>
      </c>
      <c r="C6464" s="6" t="s">
        <v>68</v>
      </c>
      <c r="D6464" s="6" t="s">
        <v>901</v>
      </c>
      <c r="E6464" s="6" t="s">
        <v>902</v>
      </c>
      <c r="F6464" s="6" t="str">
        <f>IF($M6464="PADD I","PADD 1",IF($M6464="PADD II","PADD 2",IF($M6464="PADD III","PADD 3",IF($M6464="PADD IV","PADD 4",IF($M6464="PADD V","PADD 5","")))))</f>
        <v>PADD 3</v>
      </c>
      <c r="G6464" s="6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6" t="s">
        <v>39</v>
      </c>
      <c r="I6464" s="6" t="s">
        <v>904</v>
      </c>
      <c r="J6464" s="6" t="s">
        <v>394</v>
      </c>
      <c r="K6464" s="10">
        <v>2.19</v>
      </c>
      <c r="L6464" s="10">
        <v>73</v>
      </c>
      <c r="M6464" s="6" t="s">
        <v>421</v>
      </c>
      <c r="N6464" s="6">
        <f>IF(OR($G6464="FCC",$G6464="Hydrocracker",$G6464="Reformer"),IF(COUNTIFS($D:$D,$D6464,$A:$A,$A6464,$B:$B,$B6464,$G:$G,"CDU",$J:$J,"PLANNED")&gt;0,"tied","standalone"),"")</f>
        <v/>
      </c>
    </row>
    <row r="6465" spans="1:14">
      <c r="A6465" s="6">
        <v>2025</v>
      </c>
      <c r="B6465" s="6">
        <v>9</v>
      </c>
      <c r="C6465" s="6" t="s">
        <v>68</v>
      </c>
      <c r="D6465" s="6" t="s">
        <v>371</v>
      </c>
      <c r="E6465" s="6" t="s">
        <v>419</v>
      </c>
      <c r="F6465" s="6" t="str">
        <f>IF($M6465="PADD I","PADD 1",IF($M6465="PADD II","PADD 2",IF($M6465="PADD III","PADD 3",IF($M6465="PADD IV","PADD 4",IF($M6465="PADD V","PADD 5","")))))</f>
        <v>PADD 2</v>
      </c>
      <c r="G6465" s="6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6" t="s">
        <v>39</v>
      </c>
      <c r="I6465" s="6" t="s">
        <v>961</v>
      </c>
      <c r="J6465" s="6" t="s">
        <v>394</v>
      </c>
      <c r="K6465" s="10">
        <v>2.025</v>
      </c>
      <c r="L6465" s="10">
        <v>67.5</v>
      </c>
      <c r="M6465" s="6" t="s">
        <v>425</v>
      </c>
      <c r="N6465" s="6">
        <f>IF(OR($G6465="FCC",$G6465="Hydrocracker",$G6465="Reformer"),IF(COUNTIFS($D:$D,$D6465,$A:$A,$A6465,$B:$B,$B6465,$G:$G,"CDU",$J:$J,"PLANNED")&gt;0,"tied","standalone"),"")</f>
        <v/>
      </c>
    </row>
    <row r="6466" spans="1:14">
      <c r="A6466" s="6">
        <v>2025</v>
      </c>
      <c r="B6466" s="6">
        <v>9</v>
      </c>
      <c r="C6466" s="6" t="s">
        <v>68</v>
      </c>
      <c r="D6466" s="6" t="s">
        <v>550</v>
      </c>
      <c r="E6466" s="6" t="s">
        <v>438</v>
      </c>
      <c r="F6466" s="6" t="str">
        <f>IF($M6466="PADD I","PADD 1",IF($M6466="PADD II","PADD 2",IF($M6466="PADD III","PADD 3",IF($M6466="PADD IV","PADD 4",IF($M6466="PADD V","PADD 5","")))))</f>
        <v>PADD 2</v>
      </c>
      <c r="G6466" s="6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6" t="s">
        <v>44</v>
      </c>
      <c r="I6466" s="6" t="s">
        <v>974</v>
      </c>
      <c r="J6466" s="6" t="s">
        <v>394</v>
      </c>
      <c r="K6466" s="10">
        <v>1.95</v>
      </c>
      <c r="L6466" s="10">
        <v>15</v>
      </c>
      <c r="M6466" s="6" t="s">
        <v>425</v>
      </c>
      <c r="N6466" s="6">
        <f>IF(OR($G6466="FCC",$G6466="Hydrocracker",$G6466="Reformer"),IF(COUNTIFS($D:$D,$D6466,$A:$A,$A6466,$B:$B,$B6466,$G:$G,"CDU",$J:$J,"PLANNED")&gt;0,"tied","standalone"),"")</f>
        <v/>
      </c>
    </row>
    <row r="6467" spans="1:14">
      <c r="A6467" s="6">
        <v>2025</v>
      </c>
      <c r="B6467" s="6">
        <v>9</v>
      </c>
      <c r="C6467" s="6" t="s">
        <v>68</v>
      </c>
      <c r="D6467" s="6" t="s">
        <v>901</v>
      </c>
      <c r="E6467" s="6" t="s">
        <v>902</v>
      </c>
      <c r="F6467" s="6" t="str">
        <f>IF($M6467="PADD I","PADD 1",IF($M6467="PADD II","PADD 2",IF($M6467="PADD III","PADD 3",IF($M6467="PADD IV","PADD 4",IF($M6467="PADD V","PADD 5","")))))</f>
        <v>PADD 3</v>
      </c>
      <c r="G6467" s="6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6" t="s">
        <v>39</v>
      </c>
      <c r="I6467" s="6" t="s">
        <v>903</v>
      </c>
      <c r="J6467" s="6" t="s">
        <v>394</v>
      </c>
      <c r="K6467" s="10">
        <v>1.92</v>
      </c>
      <c r="L6467" s="10">
        <v>64</v>
      </c>
      <c r="M6467" s="6" t="s">
        <v>421</v>
      </c>
      <c r="N6467" s="6">
        <f>IF(OR($G6467="FCC",$G6467="Hydrocracker",$G6467="Reformer"),IF(COUNTIFS($D:$D,$D6467,$A:$A,$A6467,$B:$B,$B6467,$G:$G,"CDU",$J:$J,"PLANNED")&gt;0,"tied","standalone"),"")</f>
        <v/>
      </c>
    </row>
    <row r="6468" spans="1:14">
      <c r="A6468" s="6">
        <v>2025</v>
      </c>
      <c r="B6468" s="6">
        <v>9</v>
      </c>
      <c r="C6468" s="6" t="s">
        <v>68</v>
      </c>
      <c r="D6468" s="6" t="s">
        <v>550</v>
      </c>
      <c r="E6468" s="6" t="s">
        <v>438</v>
      </c>
      <c r="F6468" s="6" t="str">
        <f>IF($M6468="PADD I","PADD 1",IF($M6468="PADD II","PADD 2",IF($M6468="PADD III","PADD 3",IF($M6468="PADD IV","PADD 4",IF($M6468="PADD V","PADD 5","")))))</f>
        <v>PADD 2</v>
      </c>
      <c r="G6468" s="6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6" t="s">
        <v>573</v>
      </c>
      <c r="I6468" s="6" t="s">
        <v>574</v>
      </c>
      <c r="J6468" s="6" t="s">
        <v>394</v>
      </c>
      <c r="K6468" s="10">
        <v>1.833</v>
      </c>
      <c r="L6468" s="10">
        <v>14.1</v>
      </c>
      <c r="M6468" s="6" t="s">
        <v>425</v>
      </c>
      <c r="N6468" s="6">
        <f>IF(OR($G6468="FCC",$G6468="Hydrocracker",$G6468="Reformer"),IF(COUNTIFS($D:$D,$D6468,$A:$A,$A6468,$B:$B,$B6468,$G:$G,"CDU",$J:$J,"PLANNED")&gt;0,"tied","standalone"),"")</f>
        <v/>
      </c>
    </row>
    <row r="6469" spans="1:14">
      <c r="A6469" s="6">
        <v>2025</v>
      </c>
      <c r="B6469" s="6">
        <v>9</v>
      </c>
      <c r="C6469" s="6" t="s">
        <v>68</v>
      </c>
      <c r="D6469" s="6" t="s">
        <v>550</v>
      </c>
      <c r="E6469" s="6" t="s">
        <v>438</v>
      </c>
      <c r="F6469" s="6" t="str">
        <f>IF($M6469="PADD I","PADD 1",IF($M6469="PADD II","PADD 2",IF($M6469="PADD III","PADD 3",IF($M6469="PADD IV","PADD 4",IF($M6469="PADD V","PADD 5","")))))</f>
        <v>PADD 2</v>
      </c>
      <c r="G6469" s="6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6" t="s">
        <v>426</v>
      </c>
      <c r="I6469" s="6" t="s">
        <v>106</v>
      </c>
      <c r="J6469" s="6" t="s">
        <v>394</v>
      </c>
      <c r="K6469" s="10">
        <v>1.82</v>
      </c>
      <c r="L6469" s="10">
        <v>26</v>
      </c>
      <c r="M6469" s="6" t="s">
        <v>425</v>
      </c>
      <c r="N6469" s="6" t="str">
        <f>IF(OR($G6469="FCC",$G6469="Hydrocracker",$G6469="Reformer"),IF(COUNTIFS($D:$D,$D6469,$A:$A,$A6469,$B:$B,$B6469,$G:$G,"CDU",$J:$J,"PLANNED")&gt;0,"tied","standalone"),"")</f>
        <v>tied</v>
      </c>
    </row>
    <row r="6470" spans="1:14">
      <c r="A6470" s="6">
        <v>2025</v>
      </c>
      <c r="B6470" s="6">
        <v>9</v>
      </c>
      <c r="C6470" s="6" t="s">
        <v>68</v>
      </c>
      <c r="D6470" s="6" t="s">
        <v>660</v>
      </c>
      <c r="E6470" s="6" t="s">
        <v>661</v>
      </c>
      <c r="F6470" s="6" t="str">
        <f>IF($M6470="PADD I","PADD 1",IF($M6470="PADD II","PADD 2",IF($M6470="PADD III","PADD 3",IF($M6470="PADD IV","PADD 4",IF($M6470="PADD V","PADD 5","")))))</f>
        <v>PADD 2</v>
      </c>
      <c r="G6470" s="6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6" t="s">
        <v>485</v>
      </c>
      <c r="I6470" s="6" t="s">
        <v>491</v>
      </c>
      <c r="J6470" s="6" t="s">
        <v>394</v>
      </c>
      <c r="K6470" s="10">
        <v>1.82</v>
      </c>
      <c r="L6470" s="10">
        <v>26</v>
      </c>
      <c r="M6470" s="6" t="s">
        <v>425</v>
      </c>
      <c r="N6470" s="6">
        <f>IF(OR($G6470="FCC",$G6470="Hydrocracker",$G6470="Reformer"),IF(COUNTIFS($D:$D,$D6470,$A:$A,$A6470,$B:$B,$B6470,$G:$G,"CDU",$J:$J,"PLANNED")&gt;0,"tied","standalone"),"")</f>
        <v/>
      </c>
    </row>
    <row r="6471" spans="1:14">
      <c r="A6471" s="6">
        <v>2025</v>
      </c>
      <c r="B6471" s="6">
        <v>9</v>
      </c>
      <c r="C6471" s="6" t="s">
        <v>68</v>
      </c>
      <c r="D6471" s="6" t="s">
        <v>689</v>
      </c>
      <c r="E6471" s="6" t="s">
        <v>502</v>
      </c>
      <c r="F6471" s="6" t="str">
        <f>IF($M6471="PADD I","PADD 1",IF($M6471="PADD II","PADD 2",IF($M6471="PADD III","PADD 3",IF($M6471="PADD IV","PADD 4",IF($M6471="PADD V","PADD 5","")))))</f>
        <v>PADD 5</v>
      </c>
      <c r="G6471" s="6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6" t="s">
        <v>44</v>
      </c>
      <c r="I6471" s="6" t="s">
        <v>1378</v>
      </c>
      <c r="J6471" s="6" t="s">
        <v>398</v>
      </c>
      <c r="K6471" s="10">
        <v>1.8</v>
      </c>
      <c r="L6471" s="10">
        <v>60</v>
      </c>
      <c r="M6471" s="6" t="s">
        <v>436</v>
      </c>
      <c r="N6471" s="6">
        <f>IF(OR($G6471="FCC",$G6471="Hydrocracker",$G6471="Reformer"),IF(COUNTIFS($D:$D,$D6471,$A:$A,$A6471,$B:$B,$B6471,$G:$G,"CDU",$J:$J,"PLANNED")&gt;0,"tied","standalone"),"")</f>
        <v/>
      </c>
    </row>
    <row r="6472" spans="1:14">
      <c r="A6472" s="6">
        <v>2025</v>
      </c>
      <c r="B6472" s="6">
        <v>9</v>
      </c>
      <c r="C6472" s="6" t="s">
        <v>68</v>
      </c>
      <c r="D6472" s="6" t="s">
        <v>772</v>
      </c>
      <c r="E6472" s="6" t="s">
        <v>502</v>
      </c>
      <c r="F6472" s="6" t="str">
        <f>IF($M6472="PADD I","PADD 1",IF($M6472="PADD II","PADD 2",IF($M6472="PADD III","PADD 3",IF($M6472="PADD IV","PADD 4",IF($M6472="PADD V","PADD 5","")))))</f>
        <v>PADD 4</v>
      </c>
      <c r="G6472" s="6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6" t="s">
        <v>426</v>
      </c>
      <c r="I6472" s="6" t="s">
        <v>1156</v>
      </c>
      <c r="J6472" s="6" t="s">
        <v>398</v>
      </c>
      <c r="K6472" s="10">
        <v>1.8</v>
      </c>
      <c r="L6472" s="10">
        <v>9</v>
      </c>
      <c r="M6472" s="6" t="s">
        <v>480</v>
      </c>
      <c r="N6472" s="6" t="str">
        <f>IF(OR($G6472="FCC",$G6472="Hydrocracker",$G6472="Reformer"),IF(COUNTIFS($D:$D,$D6472,$A:$A,$A6472,$B:$B,$B6472,$G:$G,"CDU",$J:$J,"PLANNED")&gt;0,"tied","standalone"),"")</f>
        <v>standalone</v>
      </c>
    </row>
    <row r="6473" spans="1:14">
      <c r="A6473" s="6">
        <v>2025</v>
      </c>
      <c r="B6473" s="6">
        <v>9</v>
      </c>
      <c r="C6473" s="6" t="s">
        <v>68</v>
      </c>
      <c r="D6473" s="6" t="s">
        <v>689</v>
      </c>
      <c r="E6473" s="6" t="s">
        <v>502</v>
      </c>
      <c r="F6473" s="6" t="str">
        <f>IF($M6473="PADD I","PADD 1",IF($M6473="PADD II","PADD 2",IF($M6473="PADD III","PADD 3",IF($M6473="PADD IV","PADD 4",IF($M6473="PADD V","PADD 5","")))))</f>
        <v>PADD 5</v>
      </c>
      <c r="G6473" s="6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6" t="s">
        <v>485</v>
      </c>
      <c r="I6473" s="6" t="s">
        <v>1146</v>
      </c>
      <c r="J6473" s="6" t="s">
        <v>398</v>
      </c>
      <c r="K6473" s="10">
        <v>1.771</v>
      </c>
      <c r="L6473" s="10">
        <v>25.3</v>
      </c>
      <c r="M6473" s="6" t="s">
        <v>436</v>
      </c>
      <c r="N6473" s="6">
        <f>IF(OR($G6473="FCC",$G6473="Hydrocracker",$G6473="Reformer"),IF(COUNTIFS($D:$D,$D6473,$A:$A,$A6473,$B:$B,$B6473,$G:$G,"CDU",$J:$J,"PLANNED")&gt;0,"tied","standalone"),"")</f>
        <v/>
      </c>
    </row>
    <row r="6474" spans="1:14">
      <c r="A6474" s="6">
        <v>2025</v>
      </c>
      <c r="B6474" s="6">
        <v>9</v>
      </c>
      <c r="C6474" s="6" t="s">
        <v>68</v>
      </c>
      <c r="D6474" s="6" t="s">
        <v>689</v>
      </c>
      <c r="E6474" s="6" t="s">
        <v>502</v>
      </c>
      <c r="F6474" s="6" t="str">
        <f>IF($M6474="PADD I","PADD 1",IF($M6474="PADD II","PADD 2",IF($M6474="PADD III","PADD 3",IF($M6474="PADD IV","PADD 4",IF($M6474="PADD V","PADD 5","")))))</f>
        <v>PADD 5</v>
      </c>
      <c r="G6474" s="6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6" t="s">
        <v>485</v>
      </c>
      <c r="I6474" s="6" t="s">
        <v>1146</v>
      </c>
      <c r="J6474" s="6" t="s">
        <v>398</v>
      </c>
      <c r="K6474" s="10">
        <v>1.68</v>
      </c>
      <c r="L6474" s="10">
        <v>24</v>
      </c>
      <c r="M6474" s="6" t="s">
        <v>436</v>
      </c>
      <c r="N6474" s="6">
        <f>IF(OR($G6474="FCC",$G6474="Hydrocracker",$G6474="Reformer"),IF(COUNTIFS($D:$D,$D6474,$A:$A,$A6474,$B:$B,$B6474,$G:$G,"CDU",$J:$J,"PLANNED")&gt;0,"tied","standalone"),"")</f>
        <v/>
      </c>
    </row>
    <row r="6475" spans="1:14">
      <c r="A6475" s="6">
        <v>2025</v>
      </c>
      <c r="B6475" s="6">
        <v>9</v>
      </c>
      <c r="C6475" s="6" t="s">
        <v>68</v>
      </c>
      <c r="D6475" s="6" t="s">
        <v>51</v>
      </c>
      <c r="E6475" s="6" t="s">
        <v>431</v>
      </c>
      <c r="F6475" s="6" t="str">
        <f>IF($M6475="PADD I","PADD 1",IF($M6475="PADD II","PADD 2",IF($M6475="PADD III","PADD 3",IF($M6475="PADD IV","PADD 4",IF($M6475="PADD V","PADD 5","")))))</f>
        <v>PADD 3</v>
      </c>
      <c r="G6475" s="6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6" t="s">
        <v>44</v>
      </c>
      <c r="I6475" s="6" t="s">
        <v>1379</v>
      </c>
      <c r="J6475" s="6" t="s">
        <v>394</v>
      </c>
      <c r="K6475" s="10">
        <v>1.65</v>
      </c>
      <c r="L6475" s="10">
        <v>55</v>
      </c>
      <c r="M6475" s="6" t="s">
        <v>421</v>
      </c>
      <c r="N6475" s="6">
        <f>IF(OR($G6475="FCC",$G6475="Hydrocracker",$G6475="Reformer"),IF(COUNTIFS($D:$D,$D6475,$A:$A,$A6475,$B:$B,$B6475,$G:$G,"CDU",$J:$J,"PLANNED")&gt;0,"tied","standalone"),"")</f>
        <v/>
      </c>
    </row>
    <row r="6476" spans="1:14">
      <c r="A6476" s="6">
        <v>2025</v>
      </c>
      <c r="B6476" s="6">
        <v>9</v>
      </c>
      <c r="C6476" s="6" t="s">
        <v>68</v>
      </c>
      <c r="D6476" s="6" t="s">
        <v>1082</v>
      </c>
      <c r="E6476" s="6" t="s">
        <v>1083</v>
      </c>
      <c r="F6476" s="6" t="str">
        <f>IF($M6476="PADD I","PADD 1",IF($M6476="PADD II","PADD 2",IF($M6476="PADD III","PADD 3",IF($M6476="PADD IV","PADD 4",IF($M6476="PADD V","PADD 5","")))))</f>
        <v>PADD 5</v>
      </c>
      <c r="G6476" s="6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6" t="s">
        <v>39</v>
      </c>
      <c r="I6476" s="6" t="s">
        <v>713</v>
      </c>
      <c r="J6476" s="6" t="s">
        <v>394</v>
      </c>
      <c r="K6476" s="10">
        <v>1.5</v>
      </c>
      <c r="L6476" s="10">
        <v>5</v>
      </c>
      <c r="M6476" s="6" t="s">
        <v>436</v>
      </c>
      <c r="N6476" s="6">
        <f>IF(OR($G6476="FCC",$G6476="Hydrocracker",$G6476="Reformer"),IF(COUNTIFS($D:$D,$D6476,$A:$A,$A6476,$B:$B,$B6476,$G:$G,"CDU",$J:$J,"PLANNED")&gt;0,"tied","standalone"),"")</f>
        <v/>
      </c>
    </row>
    <row r="6477" spans="1:14">
      <c r="A6477" s="6">
        <v>2025</v>
      </c>
      <c r="B6477" s="6">
        <v>9</v>
      </c>
      <c r="C6477" s="6" t="s">
        <v>68</v>
      </c>
      <c r="D6477" s="6" t="s">
        <v>928</v>
      </c>
      <c r="E6477" s="6" t="s">
        <v>502</v>
      </c>
      <c r="F6477" s="6" t="str">
        <f>IF($M6477="PADD I","PADD 1",IF($M6477="PADD II","PADD 2",IF($M6477="PADD III","PADD 3",IF($M6477="PADD IV","PADD 4",IF($M6477="PADD V","PADD 5","")))))</f>
        <v>PADD 2</v>
      </c>
      <c r="G6477" s="6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6" t="s">
        <v>485</v>
      </c>
      <c r="I6477" s="6" t="s">
        <v>491</v>
      </c>
      <c r="J6477" s="6" t="s">
        <v>394</v>
      </c>
      <c r="K6477" s="10">
        <v>1.445</v>
      </c>
      <c r="L6477" s="10">
        <v>8.5</v>
      </c>
      <c r="M6477" s="6" t="s">
        <v>425</v>
      </c>
      <c r="N6477" s="6">
        <f>IF(OR($G6477="FCC",$G6477="Hydrocracker",$G6477="Reformer"),IF(COUNTIFS($D:$D,$D6477,$A:$A,$A6477,$B:$B,$B6477,$G:$G,"CDU",$J:$J,"PLANNED")&gt;0,"tied","standalone"),"")</f>
        <v/>
      </c>
    </row>
    <row r="6478" spans="1:14">
      <c r="A6478" s="6">
        <v>2025</v>
      </c>
      <c r="B6478" s="6">
        <v>9</v>
      </c>
      <c r="C6478" s="6" t="s">
        <v>68</v>
      </c>
      <c r="D6478" s="6" t="s">
        <v>550</v>
      </c>
      <c r="E6478" s="6" t="s">
        <v>438</v>
      </c>
      <c r="F6478" s="6" t="str">
        <f>IF($M6478="PADD I","PADD 1",IF($M6478="PADD II","PADD 2",IF($M6478="PADD III","PADD 3",IF($M6478="PADD IV","PADD 4",IF($M6478="PADD V","PADD 5","")))))</f>
        <v>PADD 2</v>
      </c>
      <c r="G6478" s="6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6" t="s">
        <v>44</v>
      </c>
      <c r="I6478" s="6" t="s">
        <v>570</v>
      </c>
      <c r="J6478" s="6" t="s">
        <v>394</v>
      </c>
      <c r="K6478" s="10">
        <v>1.4</v>
      </c>
      <c r="L6478" s="10">
        <v>20</v>
      </c>
      <c r="M6478" s="6" t="s">
        <v>425</v>
      </c>
      <c r="N6478" s="6">
        <f>IF(OR($G6478="FCC",$G6478="Hydrocracker",$G6478="Reformer"),IF(COUNTIFS($D:$D,$D6478,$A:$A,$A6478,$B:$B,$B6478,$G:$G,"CDU",$J:$J,"PLANNED")&gt;0,"tied","standalone"),"")</f>
        <v/>
      </c>
    </row>
    <row r="6479" spans="1:14">
      <c r="A6479" s="6">
        <v>2025</v>
      </c>
      <c r="B6479" s="6">
        <v>9</v>
      </c>
      <c r="C6479" s="6" t="s">
        <v>68</v>
      </c>
      <c r="D6479" s="6" t="s">
        <v>550</v>
      </c>
      <c r="E6479" s="6" t="s">
        <v>438</v>
      </c>
      <c r="F6479" s="6" t="str">
        <f>IF($M6479="PADD I","PADD 1",IF($M6479="PADD II","PADD 2",IF($M6479="PADD III","PADD 3",IF($M6479="PADD IV","PADD 4",IF($M6479="PADD V","PADD 5","")))))</f>
        <v>PADD 2</v>
      </c>
      <c r="G6479" s="6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6" t="s">
        <v>44</v>
      </c>
      <c r="I6479" s="6" t="s">
        <v>551</v>
      </c>
      <c r="J6479" s="6" t="s">
        <v>394</v>
      </c>
      <c r="K6479" s="10">
        <v>1.4</v>
      </c>
      <c r="L6479" s="10">
        <v>20</v>
      </c>
      <c r="M6479" s="6" t="s">
        <v>425</v>
      </c>
      <c r="N6479" s="6">
        <f>IF(OR($G6479="FCC",$G6479="Hydrocracker",$G6479="Reformer"),IF(COUNTIFS($D:$D,$D6479,$A:$A,$A6479,$B:$B,$B6479,$G:$G,"CDU",$J:$J,"PLANNED")&gt;0,"tied","standalone"),"")</f>
        <v/>
      </c>
    </row>
    <row r="6480" spans="1:14">
      <c r="A6480" s="6">
        <v>2025</v>
      </c>
      <c r="B6480" s="6">
        <v>9</v>
      </c>
      <c r="C6480" s="6" t="s">
        <v>68</v>
      </c>
      <c r="D6480" s="6" t="s">
        <v>550</v>
      </c>
      <c r="E6480" s="6" t="s">
        <v>438</v>
      </c>
      <c r="F6480" s="6" t="str">
        <f>IF($M6480="PADD I","PADD 1",IF($M6480="PADD II","PADD 2",IF($M6480="PADD III","PADD 3",IF($M6480="PADD IV","PADD 4",IF($M6480="PADD V","PADD 5","")))))</f>
        <v>PADD 2</v>
      </c>
      <c r="G6480" s="6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6" t="s">
        <v>471</v>
      </c>
      <c r="I6480" s="6" t="s">
        <v>589</v>
      </c>
      <c r="J6480" s="6" t="s">
        <v>394</v>
      </c>
      <c r="K6480" s="10">
        <v>1.33</v>
      </c>
      <c r="L6480" s="10">
        <v>19</v>
      </c>
      <c r="M6480" s="6" t="s">
        <v>425</v>
      </c>
      <c r="N6480" s="6" t="str">
        <f>IF(OR($G6480="FCC",$G6480="Hydrocracker",$G6480="Reformer"),IF(COUNTIFS($D:$D,$D6480,$A:$A,$A6480,$B:$B,$B6480,$G:$G,"CDU",$J:$J,"PLANNED")&gt;0,"tied","standalone"),"")</f>
        <v>tied</v>
      </c>
    </row>
    <row r="6481" spans="1:14">
      <c r="A6481" s="6">
        <v>2025</v>
      </c>
      <c r="B6481" s="6">
        <v>9</v>
      </c>
      <c r="C6481" s="6" t="s">
        <v>68</v>
      </c>
      <c r="D6481" s="6" t="s">
        <v>1380</v>
      </c>
      <c r="E6481" s="6" t="s">
        <v>1381</v>
      </c>
      <c r="F6481" s="6" t="str">
        <f>IF($M6481="PADD I","PADD 1",IF($M6481="PADD II","PADD 2",IF($M6481="PADD III","PADD 3",IF($M6481="PADD IV","PADD 4",IF($M6481="PADD V","PADD 5","")))))</f>
        <v>PADD 4</v>
      </c>
      <c r="G6481" s="6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6" t="s">
        <v>44</v>
      </c>
      <c r="I6481" s="6" t="s">
        <v>1382</v>
      </c>
      <c r="J6481" s="6" t="s">
        <v>398</v>
      </c>
      <c r="K6481" s="10">
        <v>1.305</v>
      </c>
      <c r="L6481" s="10">
        <v>1.5</v>
      </c>
      <c r="M6481" s="6" t="s">
        <v>480</v>
      </c>
      <c r="N6481" s="6">
        <f>IF(OR($G6481="FCC",$G6481="Hydrocracker",$G6481="Reformer"),IF(COUNTIFS($D:$D,$D6481,$A:$A,$A6481,$B:$B,$B6481,$G:$G,"CDU",$J:$J,"PLANNED")&gt;0,"tied","standalone"),"")</f>
        <v/>
      </c>
    </row>
    <row r="6482" spans="1:14">
      <c r="A6482" s="6">
        <v>2025</v>
      </c>
      <c r="B6482" s="6">
        <v>9</v>
      </c>
      <c r="C6482" s="6" t="s">
        <v>68</v>
      </c>
      <c r="D6482" s="6" t="s">
        <v>380</v>
      </c>
      <c r="E6482" s="6" t="s">
        <v>423</v>
      </c>
      <c r="F6482" s="6" t="str">
        <f>IF($M6482="PADD I","PADD 1",IF($M6482="PADD II","PADD 2",IF($M6482="PADD III","PADD 3",IF($M6482="PADD IV","PADD 4",IF($M6482="PADD V","PADD 5","")))))</f>
        <v>PADD 2</v>
      </c>
      <c r="G6482" s="6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6" t="s">
        <v>471</v>
      </c>
      <c r="I6482" s="6" t="s">
        <v>966</v>
      </c>
      <c r="J6482" s="6" t="s">
        <v>394</v>
      </c>
      <c r="K6482" s="10">
        <v>1.2</v>
      </c>
      <c r="L6482" s="10">
        <v>40</v>
      </c>
      <c r="M6482" s="6" t="s">
        <v>425</v>
      </c>
      <c r="N6482" s="6" t="str">
        <f>IF(OR($G6482="FCC",$G6482="Hydrocracker",$G6482="Reformer"),IF(COUNTIFS($D:$D,$D6482,$A:$A,$A6482,$B:$B,$B6482,$G:$G,"CDU",$J:$J,"PLANNED")&gt;0,"tied","standalone"),"")</f>
        <v>standalone</v>
      </c>
    </row>
    <row r="6483" spans="1:14">
      <c r="A6483" s="6">
        <v>2025</v>
      </c>
      <c r="B6483" s="6">
        <v>9</v>
      </c>
      <c r="C6483" s="6" t="s">
        <v>68</v>
      </c>
      <c r="D6483" s="6" t="s">
        <v>901</v>
      </c>
      <c r="E6483" s="6" t="s">
        <v>902</v>
      </c>
      <c r="F6483" s="6" t="str">
        <f>IF($M6483="PADD I","PADD 1",IF($M6483="PADD II","PADD 2",IF($M6483="PADD III","PADD 3",IF($M6483="PADD IV","PADD 4",IF($M6483="PADD V","PADD 5","")))))</f>
        <v>PADD 3</v>
      </c>
      <c r="G6483" s="6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6" t="s">
        <v>428</v>
      </c>
      <c r="I6483" s="6" t="s">
        <v>910</v>
      </c>
      <c r="J6483" s="6" t="s">
        <v>394</v>
      </c>
      <c r="K6483" s="10">
        <v>1.08</v>
      </c>
      <c r="L6483" s="10">
        <v>36</v>
      </c>
      <c r="M6483" s="6" t="s">
        <v>421</v>
      </c>
      <c r="N6483" s="6">
        <f>IF(OR($G6483="FCC",$G6483="Hydrocracker",$G6483="Reformer"),IF(COUNTIFS($D:$D,$D6483,$A:$A,$A6483,$B:$B,$B6483,$G:$G,"CDU",$J:$J,"PLANNED")&gt;0,"tied","standalone"),"")</f>
        <v/>
      </c>
    </row>
    <row r="6484" spans="1:14">
      <c r="A6484" s="6">
        <v>2025</v>
      </c>
      <c r="B6484" s="6">
        <v>9</v>
      </c>
      <c r="C6484" s="6" t="s">
        <v>68</v>
      </c>
      <c r="D6484" s="6" t="s">
        <v>806</v>
      </c>
      <c r="E6484" s="6" t="s">
        <v>807</v>
      </c>
      <c r="F6484" s="6" t="str">
        <f>IF($M6484="PADD I","PADD 1",IF($M6484="PADD II","PADD 2",IF($M6484="PADD III","PADD 3",IF($M6484="PADD IV","PADD 4",IF($M6484="PADD V","PADD 5","")))))</f>
        <v>PADD 3</v>
      </c>
      <c r="G6484" s="6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6" t="s">
        <v>39</v>
      </c>
      <c r="I6484" s="6" t="s">
        <v>82</v>
      </c>
      <c r="J6484" s="6" t="s">
        <v>394</v>
      </c>
      <c r="K6484" s="10">
        <v>1.05</v>
      </c>
      <c r="L6484" s="10">
        <v>15</v>
      </c>
      <c r="M6484" s="6" t="s">
        <v>421</v>
      </c>
      <c r="N6484" s="6">
        <f>IF(OR($G6484="FCC",$G6484="Hydrocracker",$G6484="Reformer"),IF(COUNTIFS($D:$D,$D6484,$A:$A,$A6484,$B:$B,$B6484,$G:$G,"CDU",$J:$J,"PLANNED")&gt;0,"tied","standalone"),"")</f>
        <v/>
      </c>
    </row>
    <row r="6485" spans="1:14">
      <c r="A6485" s="6">
        <v>2025</v>
      </c>
      <c r="B6485" s="6">
        <v>9</v>
      </c>
      <c r="C6485" s="6" t="s">
        <v>68</v>
      </c>
      <c r="D6485" s="6" t="s">
        <v>662</v>
      </c>
      <c r="E6485" s="6" t="s">
        <v>466</v>
      </c>
      <c r="F6485" s="6" t="str">
        <f>IF($M6485="PADD I","PADD 1",IF($M6485="PADD II","PADD 2",IF($M6485="PADD III","PADD 3",IF($M6485="PADD IV","PADD 4",IF($M6485="PADD V","PADD 5","")))))</f>
        <v>PADD 3</v>
      </c>
      <c r="G6485" s="6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6" t="s">
        <v>426</v>
      </c>
      <c r="I6485" s="6" t="s">
        <v>478</v>
      </c>
      <c r="J6485" s="6" t="s">
        <v>394</v>
      </c>
      <c r="K6485" s="10">
        <v>1.035</v>
      </c>
      <c r="L6485" s="10">
        <v>34.5</v>
      </c>
      <c r="M6485" s="6" t="s">
        <v>421</v>
      </c>
      <c r="N6485" s="6" t="str">
        <f>IF(OR($G6485="FCC",$G6485="Hydrocracker",$G6485="Reformer"),IF(COUNTIFS($D:$D,$D6485,$A:$A,$A6485,$B:$B,$B6485,$G:$G,"CDU",$J:$J,"PLANNED")&gt;0,"tied","standalone"),"")</f>
        <v>tied</v>
      </c>
    </row>
    <row r="6486" spans="1:14">
      <c r="A6486" s="6">
        <v>2025</v>
      </c>
      <c r="B6486" s="6">
        <v>9</v>
      </c>
      <c r="C6486" s="6" t="s">
        <v>68</v>
      </c>
      <c r="D6486" s="6" t="s">
        <v>550</v>
      </c>
      <c r="E6486" s="6" t="s">
        <v>438</v>
      </c>
      <c r="F6486" s="6" t="str">
        <f>IF($M6486="PADD I","PADD 1",IF($M6486="PADD II","PADD 2",IF($M6486="PADD III","PADD 3",IF($M6486="PADD IV","PADD 4",IF($M6486="PADD V","PADD 5","")))))</f>
        <v>PADD 2</v>
      </c>
      <c r="G6486" s="6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6" t="s">
        <v>510</v>
      </c>
      <c r="I6486" s="6" t="s">
        <v>666</v>
      </c>
      <c r="J6486" s="6" t="s">
        <v>398</v>
      </c>
      <c r="K6486" s="10">
        <v>1.02</v>
      </c>
      <c r="L6486" s="10">
        <v>6</v>
      </c>
      <c r="M6486" s="6" t="s">
        <v>425</v>
      </c>
      <c r="N6486" s="6">
        <f>IF(OR($G6486="FCC",$G6486="Hydrocracker",$G6486="Reformer"),IF(COUNTIFS($D:$D,$D6486,$A:$A,$A6486,$B:$B,$B6486,$G:$G,"CDU",$J:$J,"PLANNED")&gt;0,"tied","standalone"),"")</f>
        <v/>
      </c>
    </row>
    <row r="6487" spans="1:14">
      <c r="A6487" s="6">
        <v>2025</v>
      </c>
      <c r="B6487" s="6">
        <v>9</v>
      </c>
      <c r="C6487" s="6" t="s">
        <v>68</v>
      </c>
      <c r="D6487" s="6" t="s">
        <v>689</v>
      </c>
      <c r="E6487" s="6" t="s">
        <v>502</v>
      </c>
      <c r="F6487" s="6" t="str">
        <f>IF($M6487="PADD I","PADD 1",IF($M6487="PADD II","PADD 2",IF($M6487="PADD III","PADD 3",IF($M6487="PADD IV","PADD 4",IF($M6487="PADD V","PADD 5","")))))</f>
        <v>PADD 5</v>
      </c>
      <c r="G6487" s="6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6" t="s">
        <v>44</v>
      </c>
      <c r="I6487" s="6" t="s">
        <v>1383</v>
      </c>
      <c r="J6487" s="6" t="s">
        <v>398</v>
      </c>
      <c r="K6487" s="10">
        <v>0.99</v>
      </c>
      <c r="L6487" s="10">
        <v>33</v>
      </c>
      <c r="M6487" s="6" t="s">
        <v>436</v>
      </c>
      <c r="N6487" s="6">
        <f>IF(OR($G6487="FCC",$G6487="Hydrocracker",$G6487="Reformer"),IF(COUNTIFS($D:$D,$D6487,$A:$A,$A6487,$B:$B,$B6487,$G:$G,"CDU",$J:$J,"PLANNED")&gt;0,"tied","standalone"),"")</f>
        <v/>
      </c>
    </row>
    <row r="6488" spans="1:14">
      <c r="A6488" s="6">
        <v>2025</v>
      </c>
      <c r="B6488" s="6">
        <v>9</v>
      </c>
      <c r="C6488" s="6" t="s">
        <v>68</v>
      </c>
      <c r="D6488" s="6" t="s">
        <v>678</v>
      </c>
      <c r="E6488" s="6" t="s">
        <v>438</v>
      </c>
      <c r="F6488" s="6" t="str">
        <f>IF($M6488="PADD I","PADD 1",IF($M6488="PADD II","PADD 2",IF($M6488="PADD III","PADD 3",IF($M6488="PADD IV","PADD 4",IF($M6488="PADD V","PADD 5","")))))</f>
        <v>PADD 3</v>
      </c>
      <c r="G6488" s="6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6" t="s">
        <v>510</v>
      </c>
      <c r="I6488" s="6" t="s">
        <v>666</v>
      </c>
      <c r="J6488" s="6" t="s">
        <v>394</v>
      </c>
      <c r="K6488" s="10">
        <v>0.966</v>
      </c>
      <c r="L6488" s="10">
        <v>13.8</v>
      </c>
      <c r="M6488" s="6" t="s">
        <v>421</v>
      </c>
      <c r="N6488" s="6">
        <f>IF(OR($G6488="FCC",$G6488="Hydrocracker",$G6488="Reformer"),IF(COUNTIFS($D:$D,$D6488,$A:$A,$A6488,$B:$B,$B6488,$G:$G,"CDU",$J:$J,"PLANNED")&gt;0,"tied","standalone"),"")</f>
        <v/>
      </c>
    </row>
    <row r="6489" spans="1:14">
      <c r="A6489" s="6">
        <v>2025</v>
      </c>
      <c r="B6489" s="6">
        <v>9</v>
      </c>
      <c r="C6489" s="6" t="s">
        <v>68</v>
      </c>
      <c r="D6489" s="6" t="s">
        <v>518</v>
      </c>
      <c r="E6489" s="6" t="s">
        <v>419</v>
      </c>
      <c r="F6489" s="6" t="str">
        <f>IF($M6489="PADD I","PADD 1",IF($M6489="PADD II","PADD 2",IF($M6489="PADD III","PADD 3",IF($M6489="PADD IV","PADD 4",IF($M6489="PADD V","PADD 5","")))))</f>
        <v>PADD 3</v>
      </c>
      <c r="G6489" s="6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6" t="s">
        <v>426</v>
      </c>
      <c r="I6489" s="6" t="s">
        <v>523</v>
      </c>
      <c r="J6489" s="6" t="s">
        <v>394</v>
      </c>
      <c r="K6489" s="10">
        <v>0.9</v>
      </c>
      <c r="L6489" s="10">
        <v>30</v>
      </c>
      <c r="M6489" s="6" t="s">
        <v>421</v>
      </c>
      <c r="N6489" s="6" t="str">
        <f>IF(OR($G6489="FCC",$G6489="Hydrocracker",$G6489="Reformer"),IF(COUNTIFS($D:$D,$D6489,$A:$A,$A6489,$B:$B,$B6489,$G:$G,"CDU",$J:$J,"PLANNED")&gt;0,"tied","standalone"),"")</f>
        <v>standalone</v>
      </c>
    </row>
    <row r="6490" spans="1:14">
      <c r="A6490" s="6">
        <v>2025</v>
      </c>
      <c r="B6490" s="6">
        <v>9</v>
      </c>
      <c r="C6490" s="6" t="s">
        <v>68</v>
      </c>
      <c r="D6490" s="6" t="s">
        <v>371</v>
      </c>
      <c r="E6490" s="6" t="s">
        <v>419</v>
      </c>
      <c r="F6490" s="6" t="str">
        <f>IF($M6490="PADD I","PADD 1",IF($M6490="PADD II","PADD 2",IF($M6490="PADD III","PADD 3",IF($M6490="PADD IV","PADD 4",IF($M6490="PADD V","PADD 5","")))))</f>
        <v>PADD 2</v>
      </c>
      <c r="G6490" s="6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6" t="s">
        <v>428</v>
      </c>
      <c r="I6490" s="6" t="s">
        <v>1384</v>
      </c>
      <c r="J6490" s="6" t="s">
        <v>394</v>
      </c>
      <c r="K6490" s="10">
        <v>0.9</v>
      </c>
      <c r="L6490" s="10">
        <v>30</v>
      </c>
      <c r="M6490" s="6" t="s">
        <v>425</v>
      </c>
      <c r="N6490" s="6">
        <f>IF(OR($G6490="FCC",$G6490="Hydrocracker",$G6490="Reformer"),IF(COUNTIFS($D:$D,$D6490,$A:$A,$A6490,$B:$B,$B6490,$G:$G,"CDU",$J:$J,"PLANNED")&gt;0,"tied","standalone"),"")</f>
        <v/>
      </c>
    </row>
    <row r="6491" spans="1:14">
      <c r="A6491" s="6">
        <v>2025</v>
      </c>
      <c r="B6491" s="6">
        <v>9</v>
      </c>
      <c r="C6491" s="6" t="s">
        <v>68</v>
      </c>
      <c r="D6491" s="6" t="s">
        <v>550</v>
      </c>
      <c r="E6491" s="6" t="s">
        <v>438</v>
      </c>
      <c r="F6491" s="6" t="str">
        <f>IF($M6491="PADD I","PADD 1",IF($M6491="PADD II","PADD 2",IF($M6491="PADD III","PADD 3",IF($M6491="PADD IV","PADD 4",IF($M6491="PADD V","PADD 5","")))))</f>
        <v>PADD 2</v>
      </c>
      <c r="G6491" s="6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6" t="s">
        <v>510</v>
      </c>
      <c r="I6491" s="6" t="s">
        <v>666</v>
      </c>
      <c r="J6491" s="6" t="s">
        <v>394</v>
      </c>
      <c r="K6491" s="10">
        <v>0.78</v>
      </c>
      <c r="L6491" s="10">
        <v>6</v>
      </c>
      <c r="M6491" s="6" t="s">
        <v>425</v>
      </c>
      <c r="N6491" s="6">
        <f>IF(OR($G6491="FCC",$G6491="Hydrocracker",$G6491="Reformer"),IF(COUNTIFS($D:$D,$D6491,$A:$A,$A6491,$B:$B,$B6491,$G:$G,"CDU",$J:$J,"PLANNED")&gt;0,"tied","standalone"),"")</f>
        <v/>
      </c>
    </row>
    <row r="6492" spans="1:14">
      <c r="A6492" s="6">
        <v>2025</v>
      </c>
      <c r="B6492" s="6">
        <v>9</v>
      </c>
      <c r="C6492" s="6" t="s">
        <v>68</v>
      </c>
      <c r="D6492" s="6" t="s">
        <v>518</v>
      </c>
      <c r="E6492" s="6" t="s">
        <v>419</v>
      </c>
      <c r="F6492" s="6" t="str">
        <f>IF($M6492="PADD I","PADD 1",IF($M6492="PADD II","PADD 2",IF($M6492="PADD III","PADD 3",IF($M6492="PADD IV","PADD 4",IF($M6492="PADD V","PADD 5","")))))</f>
        <v>PADD 3</v>
      </c>
      <c r="G6492" s="6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6" t="s">
        <v>471</v>
      </c>
      <c r="I6492" s="6" t="s">
        <v>685</v>
      </c>
      <c r="J6492" s="6" t="s">
        <v>394</v>
      </c>
      <c r="K6492" s="10">
        <v>0.7</v>
      </c>
      <c r="L6492" s="10">
        <v>7</v>
      </c>
      <c r="M6492" s="6" t="s">
        <v>421</v>
      </c>
      <c r="N6492" s="6" t="str">
        <f>IF(OR($G6492="FCC",$G6492="Hydrocracker",$G6492="Reformer"),IF(COUNTIFS($D:$D,$D6492,$A:$A,$A6492,$B:$B,$B6492,$G:$G,"CDU",$J:$J,"PLANNED")&gt;0,"tied","standalone"),"")</f>
        <v>standalone</v>
      </c>
    </row>
    <row r="6493" spans="1:14">
      <c r="A6493" s="6">
        <v>2025</v>
      </c>
      <c r="B6493" s="6">
        <v>9</v>
      </c>
      <c r="C6493" s="6" t="s">
        <v>68</v>
      </c>
      <c r="D6493" s="6" t="s">
        <v>1082</v>
      </c>
      <c r="E6493" s="6" t="s">
        <v>1083</v>
      </c>
      <c r="F6493" s="6" t="str">
        <f>IF($M6493="PADD I","PADD 1",IF($M6493="PADD II","PADD 2",IF($M6493="PADD III","PADD 3",IF($M6493="PADD IV","PADD 4",IF($M6493="PADD V","PADD 5","")))))</f>
        <v>PADD 5</v>
      </c>
      <c r="G6493" s="6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6" t="s">
        <v>428</v>
      </c>
      <c r="I6493" s="6" t="s">
        <v>1084</v>
      </c>
      <c r="J6493" s="6" t="s">
        <v>394</v>
      </c>
      <c r="K6493" s="10">
        <v>0.6</v>
      </c>
      <c r="L6493" s="10">
        <v>2</v>
      </c>
      <c r="M6493" s="6" t="s">
        <v>436</v>
      </c>
      <c r="N6493" s="6">
        <f>IF(OR($G6493="FCC",$G6493="Hydrocracker",$G6493="Reformer"),IF(COUNTIFS($D:$D,$D6493,$A:$A,$A6493,$B:$B,$B6493,$G:$G,"CDU",$J:$J,"PLANNED")&gt;0,"tied","standalone"),"")</f>
        <v/>
      </c>
    </row>
    <row r="6494" spans="1:14">
      <c r="A6494" s="6">
        <v>2025</v>
      </c>
      <c r="B6494" s="6">
        <v>9</v>
      </c>
      <c r="C6494" s="6" t="s">
        <v>68</v>
      </c>
      <c r="D6494" s="6" t="s">
        <v>849</v>
      </c>
      <c r="E6494" s="6" t="s">
        <v>441</v>
      </c>
      <c r="F6494" s="6" t="str">
        <f>IF($M6494="PADD I","PADD 1",IF($M6494="PADD II","PADD 2",IF($M6494="PADD III","PADD 3",IF($M6494="PADD IV","PADD 4",IF($M6494="PADD V","PADD 5","")))))</f>
        <v>PADD 4</v>
      </c>
      <c r="G6494" s="6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6" t="s">
        <v>510</v>
      </c>
      <c r="I6494" s="6" t="s">
        <v>958</v>
      </c>
      <c r="J6494" s="6" t="s">
        <v>394</v>
      </c>
      <c r="K6494" s="10">
        <v>0.5600000000000001</v>
      </c>
      <c r="L6494" s="10">
        <v>5.6</v>
      </c>
      <c r="M6494" s="6" t="s">
        <v>480</v>
      </c>
      <c r="N6494" s="6">
        <f>IF(OR($G6494="FCC",$G6494="Hydrocracker",$G6494="Reformer"),IF(COUNTIFS($D:$D,$D6494,$A:$A,$A6494,$B:$B,$B6494,$G:$G,"CDU",$J:$J,"PLANNED")&gt;0,"tied","standalone"),"")</f>
        <v/>
      </c>
    </row>
    <row r="6495" spans="1:14">
      <c r="A6495" s="6">
        <v>2025</v>
      </c>
      <c r="B6495" s="6">
        <v>9</v>
      </c>
      <c r="C6495" s="6" t="s">
        <v>68</v>
      </c>
      <c r="D6495" s="6" t="s">
        <v>371</v>
      </c>
      <c r="E6495" s="6" t="s">
        <v>419</v>
      </c>
      <c r="F6495" s="6" t="str">
        <f>IF($M6495="PADD I","PADD 1",IF($M6495="PADD II","PADD 2",IF($M6495="PADD III","PADD 3",IF($M6495="PADD IV","PADD 4",IF($M6495="PADD V","PADD 5","")))))</f>
        <v>PADD 2</v>
      </c>
      <c r="G6495" s="6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6" t="s">
        <v>471</v>
      </c>
      <c r="I6495" s="6" t="s">
        <v>756</v>
      </c>
      <c r="J6495" s="6" t="s">
        <v>394</v>
      </c>
      <c r="K6495" s="10">
        <v>0.555</v>
      </c>
      <c r="L6495" s="10">
        <v>18.5</v>
      </c>
      <c r="M6495" s="6" t="s">
        <v>425</v>
      </c>
      <c r="N6495" s="6" t="str">
        <f>IF(OR($G6495="FCC",$G6495="Hydrocracker",$G6495="Reformer"),IF(COUNTIFS($D:$D,$D6495,$A:$A,$A6495,$B:$B,$B6495,$G:$G,"CDU",$J:$J,"PLANNED")&gt;0,"tied","standalone"),"")</f>
        <v>tied</v>
      </c>
    </row>
    <row r="6496" spans="1:14">
      <c r="A6496" s="6">
        <v>2025</v>
      </c>
      <c r="B6496" s="6">
        <v>9</v>
      </c>
      <c r="C6496" s="6" t="s">
        <v>68</v>
      </c>
      <c r="D6496" s="6" t="s">
        <v>375</v>
      </c>
      <c r="E6496" s="6" t="s">
        <v>435</v>
      </c>
      <c r="F6496" s="6" t="str">
        <f>IF($M6496="PADD I","PADD 1",IF($M6496="PADD II","PADD 2",IF($M6496="PADD III","PADD 3",IF($M6496="PADD IV","PADD 4",IF($M6496="PADD V","PADD 5","")))))</f>
        <v>PADD 5</v>
      </c>
      <c r="G6496" s="6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6" t="s">
        <v>618</v>
      </c>
      <c r="I6496" s="6" t="s">
        <v>654</v>
      </c>
      <c r="J6496" s="6" t="s">
        <v>394</v>
      </c>
      <c r="K6496" s="10">
        <v>0.53</v>
      </c>
      <c r="L6496" s="10">
        <v>0.53</v>
      </c>
      <c r="M6496" s="6" t="s">
        <v>436</v>
      </c>
      <c r="N6496" s="6">
        <f>IF(OR($G6496="FCC",$G6496="Hydrocracker",$G6496="Reformer"),IF(COUNTIFS($D:$D,$D6496,$A:$A,$A6496,$B:$B,$B6496,$G:$G,"CDU",$J:$J,"PLANNED")&gt;0,"tied","standalone"),"")</f>
        <v/>
      </c>
    </row>
    <row r="6497" spans="1:14">
      <c r="A6497" s="6">
        <v>2025</v>
      </c>
      <c r="B6497" s="6">
        <v>9</v>
      </c>
      <c r="C6497" s="6" t="s">
        <v>68</v>
      </c>
      <c r="D6497" s="6" t="s">
        <v>689</v>
      </c>
      <c r="E6497" s="6" t="s">
        <v>502</v>
      </c>
      <c r="F6497" s="6" t="str">
        <f>IF($M6497="PADD I","PADD 1",IF($M6497="PADD II","PADD 2",IF($M6497="PADD III","PADD 3",IF($M6497="PADD IV","PADD 4",IF($M6497="PADD V","PADD 5","")))))</f>
        <v>PADD 5</v>
      </c>
      <c r="G6497" s="6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6" t="s">
        <v>471</v>
      </c>
      <c r="I6497" s="6" t="s">
        <v>956</v>
      </c>
      <c r="J6497" s="6" t="s">
        <v>398</v>
      </c>
      <c r="K6497" s="10">
        <v>0.51</v>
      </c>
      <c r="L6497" s="10">
        <v>17</v>
      </c>
      <c r="M6497" s="6" t="s">
        <v>436</v>
      </c>
      <c r="N6497" s="6" t="str">
        <f>IF(OR($G6497="FCC",$G6497="Hydrocracker",$G6497="Reformer"),IF(COUNTIFS($D:$D,$D6497,$A:$A,$A6497,$B:$B,$B6497,$G:$G,"CDU",$J:$J,"PLANNED")&gt;0,"tied","standalone"),"")</f>
        <v>standalone</v>
      </c>
    </row>
    <row r="6498" spans="1:14">
      <c r="A6498" s="6">
        <v>2025</v>
      </c>
      <c r="B6498" s="6">
        <v>9</v>
      </c>
      <c r="C6498" s="6" t="s">
        <v>68</v>
      </c>
      <c r="D6498" s="6" t="s">
        <v>806</v>
      </c>
      <c r="E6498" s="6" t="s">
        <v>807</v>
      </c>
      <c r="F6498" s="6" t="str">
        <f>IF($M6498="PADD I","PADD 1",IF($M6498="PADD II","PADD 2",IF($M6498="PADD III","PADD 3",IF($M6498="PADD IV","PADD 4",IF($M6498="PADD V","PADD 5","")))))</f>
        <v>PADD 3</v>
      </c>
      <c r="G6498" s="6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6" t="s">
        <v>39</v>
      </c>
      <c r="I6498" s="6" t="s">
        <v>82</v>
      </c>
      <c r="J6498" s="6" t="s">
        <v>394</v>
      </c>
      <c r="K6498" s="10">
        <v>0.45</v>
      </c>
      <c r="L6498" s="10">
        <v>15</v>
      </c>
      <c r="M6498" s="6" t="s">
        <v>421</v>
      </c>
      <c r="N6498" s="6">
        <f>IF(OR($G6498="FCC",$G6498="Hydrocracker",$G6498="Reformer"),IF(COUNTIFS($D:$D,$D6498,$A:$A,$A6498,$B:$B,$B6498,$G:$G,"CDU",$J:$J,"PLANNED")&gt;0,"tied","standalone"),"")</f>
        <v/>
      </c>
    </row>
    <row r="6499" spans="1:14">
      <c r="A6499" s="6">
        <v>2025</v>
      </c>
      <c r="B6499" s="6">
        <v>9</v>
      </c>
      <c r="C6499" s="6" t="s">
        <v>68</v>
      </c>
      <c r="D6499" s="6" t="s">
        <v>806</v>
      </c>
      <c r="E6499" s="6" t="s">
        <v>807</v>
      </c>
      <c r="F6499" s="6" t="str">
        <f>IF($M6499="PADD I","PADD 1",IF($M6499="PADD II","PADD 2",IF($M6499="PADD III","PADD 3",IF($M6499="PADD IV","PADD 4",IF($M6499="PADD V","PADD 5","")))))</f>
        <v>PADD 3</v>
      </c>
      <c r="G6499" s="6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6" t="s">
        <v>39</v>
      </c>
      <c r="I6499" s="6" t="s">
        <v>82</v>
      </c>
      <c r="J6499" s="6" t="s">
        <v>394</v>
      </c>
      <c r="K6499" s="10">
        <v>0.45</v>
      </c>
      <c r="L6499" s="10">
        <v>15</v>
      </c>
      <c r="M6499" s="6" t="s">
        <v>421</v>
      </c>
      <c r="N6499" s="6">
        <f>IF(OR($G6499="FCC",$G6499="Hydrocracker",$G6499="Reformer"),IF(COUNTIFS($D:$D,$D6499,$A:$A,$A6499,$B:$B,$B6499,$G:$G,"CDU",$J:$J,"PLANNED")&gt;0,"tied","standalone"),"")</f>
        <v/>
      </c>
    </row>
    <row r="6500" spans="1:14">
      <c r="A6500" s="6">
        <v>2025</v>
      </c>
      <c r="B6500" s="6">
        <v>9</v>
      </c>
      <c r="C6500" s="6" t="s">
        <v>68</v>
      </c>
      <c r="D6500" s="6" t="s">
        <v>812</v>
      </c>
      <c r="E6500" s="6" t="s">
        <v>813</v>
      </c>
      <c r="F6500" s="6" t="str">
        <f>IF($M6500="PADD I","PADD 1",IF($M6500="PADD II","PADD 2",IF($M6500="PADD III","PADD 3",IF($M6500="PADD IV","PADD 4",IF($M6500="PADD V","PADD 5","")))))</f>
        <v>PADD 2</v>
      </c>
      <c r="G6500" s="6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6" t="s">
        <v>44</v>
      </c>
      <c r="I6500" s="6" t="s">
        <v>508</v>
      </c>
      <c r="J6500" s="6" t="s">
        <v>394</v>
      </c>
      <c r="K6500" s="10">
        <v>0.39</v>
      </c>
      <c r="L6500" s="10">
        <v>13</v>
      </c>
      <c r="M6500" s="6" t="s">
        <v>425</v>
      </c>
      <c r="N6500" s="6">
        <f>IF(OR($G6500="FCC",$G6500="Hydrocracker",$G6500="Reformer"),IF(COUNTIFS($D:$D,$D6500,$A:$A,$A6500,$B:$B,$B6500,$G:$G,"CDU",$J:$J,"PLANNED")&gt;0,"tied","standalone"),"")</f>
        <v/>
      </c>
    </row>
    <row r="6501" spans="1:14">
      <c r="A6501" s="6">
        <v>2025</v>
      </c>
      <c r="B6501" s="6">
        <v>9</v>
      </c>
      <c r="C6501" s="6" t="s">
        <v>68</v>
      </c>
      <c r="D6501" s="6" t="s">
        <v>689</v>
      </c>
      <c r="E6501" s="6" t="s">
        <v>502</v>
      </c>
      <c r="F6501" s="6" t="str">
        <f>IF($M6501="PADD I","PADD 1",IF($M6501="PADD II","PADD 2",IF($M6501="PADD III","PADD 3",IF($M6501="PADD IV","PADD 4",IF($M6501="PADD V","PADD 5","")))))</f>
        <v>PADD 5</v>
      </c>
      <c r="G6501" s="6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6" t="s">
        <v>618</v>
      </c>
      <c r="I6501" s="6" t="s">
        <v>763</v>
      </c>
      <c r="J6501" s="6" t="s">
        <v>398</v>
      </c>
      <c r="K6501" s="10">
        <v>0.36</v>
      </c>
      <c r="L6501" s="10">
        <v>12</v>
      </c>
      <c r="M6501" s="6" t="s">
        <v>436</v>
      </c>
      <c r="N6501" s="6">
        <f>IF(OR($G6501="FCC",$G6501="Hydrocracker",$G6501="Reformer"),IF(COUNTIFS($D:$D,$D6501,$A:$A,$A6501,$B:$B,$B6501,$G:$G,"CDU",$J:$J,"PLANNED")&gt;0,"tied","standalone"),"")</f>
        <v/>
      </c>
    </row>
    <row r="6502" spans="1:14">
      <c r="A6502" s="6">
        <v>2025</v>
      </c>
      <c r="B6502" s="6">
        <v>9</v>
      </c>
      <c r="C6502" s="6" t="s">
        <v>68</v>
      </c>
      <c r="D6502" s="6" t="s">
        <v>518</v>
      </c>
      <c r="E6502" s="6" t="s">
        <v>419</v>
      </c>
      <c r="F6502" s="6" t="str">
        <f>IF($M6502="PADD I","PADD 1",IF($M6502="PADD II","PADD 2",IF($M6502="PADD III","PADD 3",IF($M6502="PADD IV","PADD 4",IF($M6502="PADD V","PADD 5","")))))</f>
        <v>PADD 3</v>
      </c>
      <c r="G6502" s="6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6" t="s">
        <v>471</v>
      </c>
      <c r="I6502" s="6" t="s">
        <v>685</v>
      </c>
      <c r="J6502" s="6" t="s">
        <v>394</v>
      </c>
      <c r="K6502" s="10">
        <v>0.21</v>
      </c>
      <c r="L6502" s="10">
        <v>7</v>
      </c>
      <c r="M6502" s="6" t="s">
        <v>421</v>
      </c>
      <c r="N6502" s="6" t="str">
        <f>IF(OR($G6502="FCC",$G6502="Hydrocracker",$G6502="Reformer"),IF(COUNTIFS($D:$D,$D6502,$A:$A,$A6502,$B:$B,$B6502,$G:$G,"CDU",$J:$J,"PLANNED")&gt;0,"tied","standalone"),"")</f>
        <v>standalone</v>
      </c>
    </row>
    <row r="6503" spans="1:14">
      <c r="A6503" s="6">
        <v>2025</v>
      </c>
      <c r="B6503" s="6">
        <v>10</v>
      </c>
      <c r="C6503" s="6" t="s">
        <v>69</v>
      </c>
      <c r="D6503" s="6" t="s">
        <v>445</v>
      </c>
      <c r="E6503" s="6" t="s">
        <v>446</v>
      </c>
      <c r="F6503" s="6" t="str">
        <f>IF($M6503="PADD I","PADD 1",IF($M6503="PADD II","PADD 2",IF($M6503="PADD III","PADD 3",IF($M6503="PADD IV","PADD 4",IF($M6503="PADD V","PADD 5","")))))</f>
        <v>PADD 3</v>
      </c>
      <c r="G6503" s="6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6" t="s">
        <v>39</v>
      </c>
      <c r="I6503" s="6" t="s">
        <v>447</v>
      </c>
      <c r="J6503" s="6" t="s">
        <v>398</v>
      </c>
      <c r="K6503" s="10">
        <v>243</v>
      </c>
      <c r="L6503" s="10">
        <v>270</v>
      </c>
      <c r="M6503" s="6" t="s">
        <v>421</v>
      </c>
      <c r="N6503" s="6">
        <f>IF(OR($G6503="FCC",$G6503="Hydrocracker",$G6503="Reformer"),IF(COUNTIFS($D:$D,$D6503,$A:$A,$A6503,$B:$B,$B6503,$G:$G,"CDU",$J:$J,"PLANNED")&gt;0,"tied","standalone"),"")</f>
        <v/>
      </c>
    </row>
    <row r="6504" spans="1:14">
      <c r="A6504" s="6">
        <v>2025</v>
      </c>
      <c r="B6504" s="6">
        <v>10</v>
      </c>
      <c r="C6504" s="6" t="s">
        <v>69</v>
      </c>
      <c r="D6504" s="6" t="s">
        <v>662</v>
      </c>
      <c r="E6504" s="6" t="s">
        <v>466</v>
      </c>
      <c r="F6504" s="6" t="str">
        <f>IF($M6504="PADD I","PADD 1",IF($M6504="PADD II","PADD 2",IF($M6504="PADD III","PADD 3",IF($M6504="PADD IV","PADD 4",IF($M6504="PADD V","PADD 5","")))))</f>
        <v>PADD 3</v>
      </c>
      <c r="G6504" s="6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6" t="s">
        <v>39</v>
      </c>
      <c r="I6504" s="6" t="s">
        <v>82</v>
      </c>
      <c r="J6504" s="6" t="s">
        <v>398</v>
      </c>
      <c r="K6504" s="10">
        <v>165</v>
      </c>
      <c r="L6504" s="10">
        <v>165</v>
      </c>
      <c r="M6504" s="6" t="s">
        <v>421</v>
      </c>
      <c r="N6504" s="6">
        <f>IF(OR($G6504="FCC",$G6504="Hydrocracker",$G6504="Reformer"),IF(COUNTIFS($D:$D,$D6504,$A:$A,$A6504,$B:$B,$B6504,$G:$G,"CDU",$J:$J,"PLANNED")&gt;0,"tied","standalone"),"")</f>
        <v/>
      </c>
    </row>
    <row r="6505" spans="1:14">
      <c r="A6505" s="6">
        <v>2025</v>
      </c>
      <c r="B6505" s="6">
        <v>10</v>
      </c>
      <c r="C6505" s="6" t="s">
        <v>69</v>
      </c>
      <c r="D6505" s="6" t="s">
        <v>458</v>
      </c>
      <c r="E6505" s="6" t="s">
        <v>459</v>
      </c>
      <c r="F6505" s="6" t="str">
        <f>IF($M6505="PADD I","PADD 1",IF($M6505="PADD II","PADD 2",IF($M6505="PADD III","PADD 3",IF($M6505="PADD IV","PADD 4",IF($M6505="PADD V","PADD 5","")))))</f>
        <v>PADD 3</v>
      </c>
      <c r="G6505" s="6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6" t="s">
        <v>39</v>
      </c>
      <c r="I6505" s="6" t="s">
        <v>460</v>
      </c>
      <c r="J6505" s="6" t="s">
        <v>398</v>
      </c>
      <c r="K6505" s="10">
        <v>150</v>
      </c>
      <c r="L6505" s="10">
        <v>150</v>
      </c>
      <c r="M6505" s="6" t="s">
        <v>421</v>
      </c>
      <c r="N6505" s="6">
        <f>IF(OR($G6505="FCC",$G6505="Hydrocracker",$G6505="Reformer"),IF(COUNTIFS($D:$D,$D6505,$A:$A,$A6505,$B:$B,$B6505,$G:$G,"CDU",$J:$J,"PLANNED")&gt;0,"tied","standalone"),"")</f>
        <v/>
      </c>
    </row>
    <row r="6506" spans="1:14">
      <c r="A6506" s="6">
        <v>2025</v>
      </c>
      <c r="B6506" s="6">
        <v>10</v>
      </c>
      <c r="C6506" s="6" t="s">
        <v>69</v>
      </c>
      <c r="D6506" s="6" t="s">
        <v>373</v>
      </c>
      <c r="E6506" s="6" t="s">
        <v>438</v>
      </c>
      <c r="F6506" s="6" t="str">
        <f>IF($M6506="PADD I","PADD 1",IF($M6506="PADD II","PADD 2",IF($M6506="PADD III","PADD 3",IF($M6506="PADD IV","PADD 4",IF($M6506="PADD V","PADD 5","")))))</f>
        <v>PADD 3</v>
      </c>
      <c r="G6506" s="6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6" t="s">
        <v>39</v>
      </c>
      <c r="I6506" s="6" t="s">
        <v>97</v>
      </c>
      <c r="J6506" s="6" t="s">
        <v>398</v>
      </c>
      <c r="K6506" s="10">
        <v>121.8</v>
      </c>
      <c r="L6506" s="10">
        <v>145</v>
      </c>
      <c r="M6506" s="6" t="s">
        <v>421</v>
      </c>
      <c r="N6506" s="6">
        <f>IF(OR($G6506="FCC",$G6506="Hydrocracker",$G6506="Reformer"),IF(COUNTIFS($D:$D,$D6506,$A:$A,$A6506,$B:$B,$B6506,$G:$G,"CDU",$J:$J,"PLANNED")&gt;0,"tied","standalone"),"")</f>
        <v/>
      </c>
    </row>
    <row r="6507" spans="1:14">
      <c r="A6507" s="6">
        <v>2025</v>
      </c>
      <c r="B6507" s="6">
        <v>10</v>
      </c>
      <c r="C6507" s="6" t="s">
        <v>69</v>
      </c>
      <c r="D6507" s="6" t="s">
        <v>507</v>
      </c>
      <c r="E6507" s="6" t="s">
        <v>438</v>
      </c>
      <c r="F6507" s="6" t="str">
        <f>IF($M6507="PADD I","PADD 1",IF($M6507="PADD II","PADD 2",IF($M6507="PADD III","PADD 3",IF($M6507="PADD IV","PADD 4",IF($M6507="PADD V","PADD 5","")))))</f>
        <v>PADD 5</v>
      </c>
      <c r="G6507" s="6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6" t="s">
        <v>44</v>
      </c>
      <c r="I6507" s="6" t="s">
        <v>1123</v>
      </c>
      <c r="J6507" s="6" t="s">
        <v>398</v>
      </c>
      <c r="K6507" s="10">
        <v>105</v>
      </c>
      <c r="L6507" s="10">
        <v>105</v>
      </c>
      <c r="M6507" s="6" t="s">
        <v>436</v>
      </c>
      <c r="N6507" s="6">
        <f>IF(OR($G6507="FCC",$G6507="Hydrocracker",$G6507="Reformer"),IF(COUNTIFS($D:$D,$D6507,$A:$A,$A6507,$B:$B,$B6507,$G:$G,"CDU",$J:$J,"PLANNED")&gt;0,"tied","standalone"),"")</f>
        <v/>
      </c>
    </row>
    <row r="6508" spans="1:14">
      <c r="A6508" s="6">
        <v>2025</v>
      </c>
      <c r="B6508" s="6">
        <v>10</v>
      </c>
      <c r="C6508" s="6" t="s">
        <v>69</v>
      </c>
      <c r="D6508" s="6" t="s">
        <v>720</v>
      </c>
      <c r="E6508" s="6" t="s">
        <v>455</v>
      </c>
      <c r="F6508" s="6" t="str">
        <f>IF($M6508="PADD I","PADD 1",IF($M6508="PADD II","PADD 2",IF($M6508="PADD III","PADD 3",IF($M6508="PADD IV","PADD 4",IF($M6508="PADD V","PADD 5","")))))</f>
        <v>PADD 2</v>
      </c>
      <c r="G6508" s="6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6" t="s">
        <v>39</v>
      </c>
      <c r="I6508" s="6" t="s">
        <v>108</v>
      </c>
      <c r="J6508" s="6" t="s">
        <v>394</v>
      </c>
      <c r="K6508" s="10">
        <v>105</v>
      </c>
      <c r="L6508" s="10">
        <v>105</v>
      </c>
      <c r="M6508" s="6" t="s">
        <v>425</v>
      </c>
      <c r="N6508" s="6">
        <f>IF(OR($G6508="FCC",$G6508="Hydrocracker",$G6508="Reformer"),IF(COUNTIFS($D:$D,$D6508,$A:$A,$A6508,$B:$B,$B6508,$G:$G,"CDU",$J:$J,"PLANNED")&gt;0,"tied","standalone"),"")</f>
        <v/>
      </c>
    </row>
    <row r="6509" spans="1:14">
      <c r="A6509" s="6">
        <v>2025</v>
      </c>
      <c r="B6509" s="6">
        <v>10</v>
      </c>
      <c r="C6509" s="6" t="s">
        <v>69</v>
      </c>
      <c r="D6509" s="6" t="s">
        <v>507</v>
      </c>
      <c r="E6509" s="6" t="s">
        <v>438</v>
      </c>
      <c r="F6509" s="6" t="str">
        <f>IF($M6509="PADD I","PADD 1",IF($M6509="PADD II","PADD 2",IF($M6509="PADD III","PADD 3",IF($M6509="PADD IV","PADD 4",IF($M6509="PADD V","PADD 5","")))))</f>
        <v>PADD 5</v>
      </c>
      <c r="G6509" s="6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6" t="s">
        <v>426</v>
      </c>
      <c r="I6509" s="6" t="s">
        <v>106</v>
      </c>
      <c r="J6509" s="6" t="s">
        <v>398</v>
      </c>
      <c r="K6509" s="10">
        <v>104</v>
      </c>
      <c r="L6509" s="10">
        <v>104</v>
      </c>
      <c r="M6509" s="6" t="s">
        <v>436</v>
      </c>
      <c r="N6509" s="6" t="str">
        <f>IF(OR($G6509="FCC",$G6509="Hydrocracker",$G6509="Reformer"),IF(COUNTIFS($D:$D,$D6509,$A:$A,$A6509,$B:$B,$B6509,$G:$G,"CDU",$J:$J,"PLANNED")&gt;0,"tied","standalone"),"")</f>
        <v>standalone</v>
      </c>
    </row>
    <row r="6510" spans="1:14">
      <c r="A6510" s="6">
        <v>2025</v>
      </c>
      <c r="B6510" s="6">
        <v>10</v>
      </c>
      <c r="C6510" s="6" t="s">
        <v>69</v>
      </c>
      <c r="D6510" s="6" t="s">
        <v>445</v>
      </c>
      <c r="E6510" s="6" t="s">
        <v>446</v>
      </c>
      <c r="F6510" s="6" t="str">
        <f>IF($M6510="PADD I","PADD 1",IF($M6510="PADD II","PADD 2",IF($M6510="PADD III","PADD 3",IF($M6510="PADD IV","PADD 4",IF($M6510="PADD V","PADD 5","")))))</f>
        <v>PADD 3</v>
      </c>
      <c r="G6510" s="6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6" t="s">
        <v>428</v>
      </c>
      <c r="I6510" s="6" t="s">
        <v>524</v>
      </c>
      <c r="J6510" s="6" t="s">
        <v>398</v>
      </c>
      <c r="K6510" s="10">
        <v>103.5</v>
      </c>
      <c r="L6510" s="10">
        <v>115</v>
      </c>
      <c r="M6510" s="6" t="s">
        <v>421</v>
      </c>
      <c r="N6510" s="6">
        <f>IF(OR($G6510="FCC",$G6510="Hydrocracker",$G6510="Reformer"),IF(COUNTIFS($D:$D,$D6510,$A:$A,$A6510,$B:$B,$B6510,$G:$G,"CDU",$J:$J,"PLANNED")&gt;0,"tied","standalone"),"")</f>
        <v/>
      </c>
    </row>
    <row r="6511" spans="1:14">
      <c r="A6511" s="6">
        <v>2025</v>
      </c>
      <c r="B6511" s="6">
        <v>10</v>
      </c>
      <c r="C6511" s="6" t="s">
        <v>69</v>
      </c>
      <c r="D6511" s="6" t="s">
        <v>592</v>
      </c>
      <c r="E6511" s="6" t="s">
        <v>593</v>
      </c>
      <c r="F6511" s="6" t="str">
        <f>IF($M6511="PADD I","PADD 1",IF($M6511="PADD II","PADD 2",IF($M6511="PADD III","PADD 3",IF($M6511="PADD IV","PADD 4",IF($M6511="PADD V","PADD 5","")))))</f>
        <v>PADD 2</v>
      </c>
      <c r="G6511" s="6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6" t="s">
        <v>39</v>
      </c>
      <c r="I6511" s="6" t="s">
        <v>924</v>
      </c>
      <c r="J6511" s="6" t="s">
        <v>394</v>
      </c>
      <c r="K6511" s="10">
        <v>97.5</v>
      </c>
      <c r="L6511" s="10">
        <v>250</v>
      </c>
      <c r="M6511" s="6" t="s">
        <v>425</v>
      </c>
      <c r="N6511" s="6">
        <f>IF(OR($G6511="FCC",$G6511="Hydrocracker",$G6511="Reformer"),IF(COUNTIFS($D:$D,$D6511,$A:$A,$A6511,$B:$B,$B6511,$G:$G,"CDU",$J:$J,"PLANNED")&gt;0,"tied","standalone"),"")</f>
        <v/>
      </c>
    </row>
    <row r="6512" spans="1:14">
      <c r="A6512" s="6">
        <v>2025</v>
      </c>
      <c r="B6512" s="6">
        <v>10</v>
      </c>
      <c r="C6512" s="6" t="s">
        <v>69</v>
      </c>
      <c r="D6512" s="6" t="s">
        <v>1088</v>
      </c>
      <c r="E6512" s="6" t="s">
        <v>1089</v>
      </c>
      <c r="F6512" s="6" t="str">
        <f>IF($M6512="PADD I","PADD 1",IF($M6512="PADD II","PADD 2",IF($M6512="PADD III","PADD 3",IF($M6512="PADD IV","PADD 4",IF($M6512="PADD V","PADD 5","")))))</f>
        <v>PADD 2</v>
      </c>
      <c r="G6512" s="6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6" t="s">
        <v>39</v>
      </c>
      <c r="I6512" s="6" t="s">
        <v>1090</v>
      </c>
      <c r="J6512" s="6" t="s">
        <v>398</v>
      </c>
      <c r="K6512" s="10">
        <v>95</v>
      </c>
      <c r="L6512" s="10">
        <v>95</v>
      </c>
      <c r="M6512" s="6" t="s">
        <v>425</v>
      </c>
      <c r="N6512" s="6">
        <f>IF(OR($G6512="FCC",$G6512="Hydrocracker",$G6512="Reformer"),IF(COUNTIFS($D:$D,$D6512,$A:$A,$A6512,$B:$B,$B6512,$G:$G,"CDU",$J:$J,"PLANNED")&gt;0,"tied","standalone"),"")</f>
        <v/>
      </c>
    </row>
    <row r="6513" spans="1:14">
      <c r="A6513" s="6">
        <v>2025</v>
      </c>
      <c r="B6513" s="6">
        <v>10</v>
      </c>
      <c r="C6513" s="6" t="s">
        <v>69</v>
      </c>
      <c r="D6513" s="6" t="s">
        <v>592</v>
      </c>
      <c r="E6513" s="6" t="s">
        <v>593</v>
      </c>
      <c r="F6513" s="6" t="str">
        <f>IF($M6513="PADD I","PADD 1",IF($M6513="PADD II","PADD 2",IF($M6513="PADD III","PADD 3",IF($M6513="PADD IV","PADD 4",IF($M6513="PADD V","PADD 5","")))))</f>
        <v>PADD 2</v>
      </c>
      <c r="G6513" s="6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6" t="s">
        <v>39</v>
      </c>
      <c r="I6513" s="6" t="s">
        <v>1165</v>
      </c>
      <c r="J6513" s="6" t="s">
        <v>398</v>
      </c>
      <c r="K6513" s="10">
        <v>90</v>
      </c>
      <c r="L6513" s="10">
        <v>90</v>
      </c>
      <c r="M6513" s="6" t="s">
        <v>425</v>
      </c>
      <c r="N6513" s="6">
        <f>IF(OR($G6513="FCC",$G6513="Hydrocracker",$G6513="Reformer"),IF(COUNTIFS($D:$D,$D6513,$A:$A,$A6513,$B:$B,$B6513,$G:$G,"CDU",$J:$J,"PLANNED")&gt;0,"tied","standalone"),"")</f>
        <v/>
      </c>
    </row>
    <row r="6514" spans="1:14">
      <c r="A6514" s="6">
        <v>2025</v>
      </c>
      <c r="B6514" s="6">
        <v>10</v>
      </c>
      <c r="C6514" s="6" t="s">
        <v>69</v>
      </c>
      <c r="D6514" s="6" t="s">
        <v>662</v>
      </c>
      <c r="E6514" s="6" t="s">
        <v>466</v>
      </c>
      <c r="F6514" s="6" t="str">
        <f>IF($M6514="PADD I","PADD 1",IF($M6514="PADD II","PADD 2",IF($M6514="PADD III","PADD 3",IF($M6514="PADD IV","PADD 4",IF($M6514="PADD V","PADD 5","")))))</f>
        <v>PADD 3</v>
      </c>
      <c r="G6514" s="6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6" t="s">
        <v>428</v>
      </c>
      <c r="I6514" s="6" t="s">
        <v>481</v>
      </c>
      <c r="J6514" s="6" t="s">
        <v>398</v>
      </c>
      <c r="K6514" s="10">
        <v>80</v>
      </c>
      <c r="L6514" s="10">
        <v>80</v>
      </c>
      <c r="M6514" s="6" t="s">
        <v>421</v>
      </c>
      <c r="N6514" s="6">
        <f>IF(OR($G6514="FCC",$G6514="Hydrocracker",$G6514="Reformer"),IF(COUNTIFS($D:$D,$D6514,$A:$A,$A6514,$B:$B,$B6514,$G:$G,"CDU",$J:$J,"PLANNED")&gt;0,"tied","standalone"),"")</f>
        <v/>
      </c>
    </row>
    <row r="6515" spans="1:14">
      <c r="A6515" s="6">
        <v>2025</v>
      </c>
      <c r="B6515" s="6">
        <v>10</v>
      </c>
      <c r="C6515" s="6" t="s">
        <v>69</v>
      </c>
      <c r="D6515" s="6" t="s">
        <v>368</v>
      </c>
      <c r="E6515" s="6" t="s">
        <v>715</v>
      </c>
      <c r="F6515" s="6" t="str">
        <f>IF($M6515="PADD I","PADD 1",IF($M6515="PADD II","PADD 2",IF($M6515="PADD III","PADD 3",IF($M6515="PADD IV","PADD 4",IF($M6515="PADD V","PADD 5","")))))</f>
        <v>PADD 3</v>
      </c>
      <c r="G6515" s="6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6" t="s">
        <v>426</v>
      </c>
      <c r="I6515" s="6" t="s">
        <v>925</v>
      </c>
      <c r="J6515" s="6" t="s">
        <v>398</v>
      </c>
      <c r="K6515" s="10">
        <v>79.52</v>
      </c>
      <c r="L6515" s="10">
        <v>112</v>
      </c>
      <c r="M6515" s="6" t="s">
        <v>421</v>
      </c>
      <c r="N6515" s="6" t="str">
        <f>IF(OR($G6515="FCC",$G6515="Hydrocracker",$G6515="Reformer"),IF(COUNTIFS($D:$D,$D6515,$A:$A,$A6515,$B:$B,$B6515,$G:$G,"CDU",$J:$J,"PLANNED")&gt;0,"tied","standalone"),"")</f>
        <v>standalone</v>
      </c>
    </row>
    <row r="6516" spans="1:14">
      <c r="A6516" s="6">
        <v>2025</v>
      </c>
      <c r="B6516" s="6">
        <v>10</v>
      </c>
      <c r="C6516" s="6" t="s">
        <v>69</v>
      </c>
      <c r="D6516" s="6" t="s">
        <v>375</v>
      </c>
      <c r="E6516" s="6" t="s">
        <v>435</v>
      </c>
      <c r="F6516" s="6" t="str">
        <f>IF($M6516="PADD I","PADD 1",IF($M6516="PADD II","PADD 2",IF($M6516="PADD III","PADD 3",IF($M6516="PADD IV","PADD 4",IF($M6516="PADD V","PADD 5","")))))</f>
        <v>PADD 5</v>
      </c>
      <c r="G6516" s="6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6" t="s">
        <v>44</v>
      </c>
      <c r="I6516" s="6" t="s">
        <v>1335</v>
      </c>
      <c r="J6516" s="6" t="s">
        <v>394</v>
      </c>
      <c r="K6516" s="10">
        <v>77.5</v>
      </c>
      <c r="L6516" s="10">
        <v>77.5</v>
      </c>
      <c r="M6516" s="6" t="s">
        <v>436</v>
      </c>
      <c r="N6516" s="6">
        <f>IF(OR($G6516="FCC",$G6516="Hydrocracker",$G6516="Reformer"),IF(COUNTIFS($D:$D,$D6516,$A:$A,$A6516,$B:$B,$B6516,$G:$G,"CDU",$J:$J,"PLANNED")&gt;0,"tied","standalone"),"")</f>
        <v/>
      </c>
    </row>
    <row r="6517" spans="1:14">
      <c r="A6517" s="6">
        <v>2025</v>
      </c>
      <c r="B6517" s="6">
        <v>10</v>
      </c>
      <c r="C6517" s="6" t="s">
        <v>69</v>
      </c>
      <c r="D6517" s="6" t="s">
        <v>445</v>
      </c>
      <c r="E6517" s="6" t="s">
        <v>446</v>
      </c>
      <c r="F6517" s="6" t="str">
        <f>IF($M6517="PADD I","PADD 1",IF($M6517="PADD II","PADD 2",IF($M6517="PADD III","PADD 3",IF($M6517="PADD IV","PADD 4",IF($M6517="PADD V","PADD 5","")))))</f>
        <v>PADD 3</v>
      </c>
      <c r="G6517" s="6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6" t="s">
        <v>485</v>
      </c>
      <c r="I6517" s="6" t="s">
        <v>491</v>
      </c>
      <c r="J6517" s="6" t="s">
        <v>398</v>
      </c>
      <c r="K6517" s="10">
        <v>77.28</v>
      </c>
      <c r="L6517" s="10">
        <v>92</v>
      </c>
      <c r="M6517" s="6" t="s">
        <v>421</v>
      </c>
      <c r="N6517" s="6">
        <f>IF(OR($G6517="FCC",$G6517="Hydrocracker",$G6517="Reformer"),IF(COUNTIFS($D:$D,$D6517,$A:$A,$A6517,$B:$B,$B6517,$G:$G,"CDU",$J:$J,"PLANNED")&gt;0,"tied","standalone"),"")</f>
        <v/>
      </c>
    </row>
    <row r="6518" spans="1:14">
      <c r="A6518" s="6">
        <v>2025</v>
      </c>
      <c r="B6518" s="6">
        <v>10</v>
      </c>
      <c r="C6518" s="6" t="s">
        <v>69</v>
      </c>
      <c r="D6518" s="6" t="s">
        <v>1110</v>
      </c>
      <c r="E6518" s="6" t="s">
        <v>1089</v>
      </c>
      <c r="F6518" s="6" t="str">
        <f>IF($M6518="PADD I","PADD 1",IF($M6518="PADD II","PADD 2",IF($M6518="PADD III","PADD 3",IF($M6518="PADD IV","PADD 4",IF($M6518="PADD V","PADD 5","")))))</f>
        <v>PADD 2</v>
      </c>
      <c r="G6518" s="6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6" t="s">
        <v>44</v>
      </c>
      <c r="I6518" s="6" t="s">
        <v>1230</v>
      </c>
      <c r="J6518" s="6" t="s">
        <v>398</v>
      </c>
      <c r="K6518" s="10">
        <v>71</v>
      </c>
      <c r="L6518" s="10">
        <v>71</v>
      </c>
      <c r="M6518" s="6" t="s">
        <v>425</v>
      </c>
      <c r="N6518" s="6">
        <f>IF(OR($G6518="FCC",$G6518="Hydrocracker",$G6518="Reformer"),IF(COUNTIFS($D:$D,$D6518,$A:$A,$A6518,$B:$B,$B6518,$G:$G,"CDU",$J:$J,"PLANNED")&gt;0,"tied","standalone"),"")</f>
        <v/>
      </c>
    </row>
    <row r="6519" spans="1:14">
      <c r="A6519" s="6">
        <v>2025</v>
      </c>
      <c r="B6519" s="6">
        <v>10</v>
      </c>
      <c r="C6519" s="6" t="s">
        <v>69</v>
      </c>
      <c r="D6519" s="6" t="s">
        <v>375</v>
      </c>
      <c r="E6519" s="6" t="s">
        <v>435</v>
      </c>
      <c r="F6519" s="6" t="str">
        <f>IF($M6519="PADD I","PADD 1",IF($M6519="PADD II","PADD 2",IF($M6519="PADD III","PADD 3",IF($M6519="PADD IV","PADD 4",IF($M6519="PADD V","PADD 5","")))))</f>
        <v>PADD 5</v>
      </c>
      <c r="G6519" s="6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6" t="s">
        <v>426</v>
      </c>
      <c r="I6519" s="6" t="s">
        <v>554</v>
      </c>
      <c r="J6519" s="6" t="s">
        <v>394</v>
      </c>
      <c r="K6519" s="10">
        <v>70</v>
      </c>
      <c r="L6519" s="10">
        <v>70</v>
      </c>
      <c r="M6519" s="6" t="s">
        <v>436</v>
      </c>
      <c r="N6519" s="6" t="str">
        <f>IF(OR($G6519="FCC",$G6519="Hydrocracker",$G6519="Reformer"),IF(COUNTIFS($D:$D,$D6519,$A:$A,$A6519,$B:$B,$B6519,$G:$G,"CDU",$J:$J,"PLANNED")&gt;0,"tied","standalone"),"")</f>
        <v>standalone</v>
      </c>
    </row>
    <row r="6520" spans="1:14">
      <c r="A6520" s="6">
        <v>2025</v>
      </c>
      <c r="B6520" s="6">
        <v>10</v>
      </c>
      <c r="C6520" s="6" t="s">
        <v>69</v>
      </c>
      <c r="D6520" s="6" t="s">
        <v>720</v>
      </c>
      <c r="E6520" s="6" t="s">
        <v>455</v>
      </c>
      <c r="F6520" s="6" t="str">
        <f>IF($M6520="PADD I","PADD 1",IF($M6520="PADD II","PADD 2",IF($M6520="PADD III","PADD 3",IF($M6520="PADD IV","PADD 4",IF($M6520="PADD V","PADD 5","")))))</f>
        <v>PADD 2</v>
      </c>
      <c r="G6520" s="6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6" t="s">
        <v>426</v>
      </c>
      <c r="I6520" s="6" t="s">
        <v>106</v>
      </c>
      <c r="J6520" s="6" t="s">
        <v>398</v>
      </c>
      <c r="K6520" s="10">
        <v>65</v>
      </c>
      <c r="L6520" s="10">
        <v>65</v>
      </c>
      <c r="M6520" s="6" t="s">
        <v>425</v>
      </c>
      <c r="N6520" s="6" t="str">
        <f>IF(OR($G6520="FCC",$G6520="Hydrocracker",$G6520="Reformer"),IF(COUNTIFS($D:$D,$D6520,$A:$A,$A6520,$B:$B,$B6520,$G:$G,"CDU",$J:$J,"PLANNED")&gt;0,"tied","standalone"),"")</f>
        <v>standalone</v>
      </c>
    </row>
    <row r="6521" spans="1:14">
      <c r="A6521" s="6">
        <v>2025</v>
      </c>
      <c r="B6521" s="6">
        <v>10</v>
      </c>
      <c r="C6521" s="6" t="s">
        <v>69</v>
      </c>
      <c r="D6521" s="6" t="s">
        <v>592</v>
      </c>
      <c r="E6521" s="6" t="s">
        <v>593</v>
      </c>
      <c r="F6521" s="6" t="str">
        <f>IF($M6521="PADD I","PADD 1",IF($M6521="PADD II","PADD 2",IF($M6521="PADD III","PADD 3",IF($M6521="PADD IV","PADD 4",IF($M6521="PADD V","PADD 5","")))))</f>
        <v>PADD 2</v>
      </c>
      <c r="G6521" s="6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6" t="s">
        <v>426</v>
      </c>
      <c r="I6521" s="6" t="s">
        <v>1163</v>
      </c>
      <c r="J6521" s="6" t="s">
        <v>398</v>
      </c>
      <c r="K6521" s="10">
        <v>65</v>
      </c>
      <c r="L6521" s="10">
        <v>65</v>
      </c>
      <c r="M6521" s="6" t="s">
        <v>425</v>
      </c>
      <c r="N6521" s="6" t="str">
        <f>IF(OR($G6521="FCC",$G6521="Hydrocracker",$G6521="Reformer"),IF(COUNTIFS($D:$D,$D6521,$A:$A,$A6521,$B:$B,$B6521,$G:$G,"CDU",$J:$J,"PLANNED")&gt;0,"tied","standalone"),"")</f>
        <v>tied</v>
      </c>
    </row>
    <row r="6522" spans="1:14">
      <c r="A6522" s="6">
        <v>2025</v>
      </c>
      <c r="B6522" s="6">
        <v>10</v>
      </c>
      <c r="C6522" s="6" t="s">
        <v>69</v>
      </c>
      <c r="D6522" s="6" t="s">
        <v>445</v>
      </c>
      <c r="E6522" s="6" t="s">
        <v>446</v>
      </c>
      <c r="F6522" s="6" t="str">
        <f>IF($M6522="PADD I","PADD 1",IF($M6522="PADD II","PADD 2",IF($M6522="PADD III","PADD 3",IF($M6522="PADD IV","PADD 4",IF($M6522="PADD V","PADD 5","")))))</f>
        <v>PADD 3</v>
      </c>
      <c r="G6522" s="6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6" t="s">
        <v>44</v>
      </c>
      <c r="I6522" s="6" t="s">
        <v>549</v>
      </c>
      <c r="J6522" s="6" t="s">
        <v>398</v>
      </c>
      <c r="K6522" s="10">
        <v>64.8</v>
      </c>
      <c r="L6522" s="10">
        <v>72</v>
      </c>
      <c r="M6522" s="6" t="s">
        <v>421</v>
      </c>
      <c r="N6522" s="6">
        <f>IF(OR($G6522="FCC",$G6522="Hydrocracker",$G6522="Reformer"),IF(COUNTIFS($D:$D,$D6522,$A:$A,$A6522,$B:$B,$B6522,$G:$G,"CDU",$J:$J,"PLANNED")&gt;0,"tied","standalone"),"")</f>
        <v/>
      </c>
    </row>
    <row r="6523" spans="1:14">
      <c r="A6523" s="6">
        <v>2025</v>
      </c>
      <c r="B6523" s="6">
        <v>10</v>
      </c>
      <c r="C6523" s="6" t="s">
        <v>69</v>
      </c>
      <c r="D6523" s="6" t="s">
        <v>626</v>
      </c>
      <c r="E6523" s="6" t="s">
        <v>419</v>
      </c>
      <c r="F6523" s="6" t="str">
        <f>IF($M6523="PADD I","PADD 1",IF($M6523="PADD II","PADD 2",IF($M6523="PADD III","PADD 3",IF($M6523="PADD IV","PADD 4",IF($M6523="PADD V","PADD 5","")))))</f>
        <v>PADD 3</v>
      </c>
      <c r="G6523" s="6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6" t="s">
        <v>39</v>
      </c>
      <c r="I6523" s="6" t="s">
        <v>111</v>
      </c>
      <c r="J6523" s="6" t="s">
        <v>394</v>
      </c>
      <c r="K6523" s="10">
        <v>63.8</v>
      </c>
      <c r="L6523" s="10">
        <v>110</v>
      </c>
      <c r="M6523" s="6" t="s">
        <v>421</v>
      </c>
      <c r="N6523" s="6">
        <f>IF(OR($G6523="FCC",$G6523="Hydrocracker",$G6523="Reformer"),IF(COUNTIFS($D:$D,$D6523,$A:$A,$A6523,$B:$B,$B6523,$G:$G,"CDU",$J:$J,"PLANNED")&gt;0,"tied","standalone"),"")</f>
        <v/>
      </c>
    </row>
    <row r="6524" spans="1:14">
      <c r="A6524" s="6">
        <v>2025</v>
      </c>
      <c r="B6524" s="6">
        <v>10</v>
      </c>
      <c r="C6524" s="6" t="s">
        <v>69</v>
      </c>
      <c r="D6524" s="6" t="s">
        <v>445</v>
      </c>
      <c r="E6524" s="6" t="s">
        <v>446</v>
      </c>
      <c r="F6524" s="6" t="str">
        <f>IF($M6524="PADD I","PADD 1",IF($M6524="PADD II","PADD 2",IF($M6524="PADD III","PADD 3",IF($M6524="PADD IV","PADD 4",IF($M6524="PADD V","PADD 5","")))))</f>
        <v>PADD 3</v>
      </c>
      <c r="G6524" s="6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6" t="s">
        <v>494</v>
      </c>
      <c r="I6524" s="6" t="s">
        <v>562</v>
      </c>
      <c r="J6524" s="6" t="s">
        <v>398</v>
      </c>
      <c r="K6524" s="10">
        <v>63</v>
      </c>
      <c r="L6524" s="10">
        <v>70</v>
      </c>
      <c r="M6524" s="6" t="s">
        <v>421</v>
      </c>
      <c r="N6524" s="6" t="str">
        <f>IF(OR($G6524="FCC",$G6524="Hydrocracker",$G6524="Reformer"),IF(COUNTIFS($D:$D,$D6524,$A:$A,$A6524,$B:$B,$B6524,$G:$G,"CDU",$J:$J,"PLANNED")&gt;0,"tied","standalone"),"")</f>
        <v>tied</v>
      </c>
    </row>
    <row r="6525" spans="1:14">
      <c r="A6525" s="6">
        <v>2025</v>
      </c>
      <c r="B6525" s="6">
        <v>10</v>
      </c>
      <c r="C6525" s="6" t="s">
        <v>69</v>
      </c>
      <c r="D6525" s="6" t="s">
        <v>465</v>
      </c>
      <c r="E6525" s="6" t="s">
        <v>466</v>
      </c>
      <c r="F6525" s="6" t="str">
        <f>IF($M6525="PADD I","PADD 1",IF($M6525="PADD II","PADD 2",IF($M6525="PADD III","PADD 3",IF($M6525="PADD IV","PADD 4",IF($M6525="PADD V","PADD 5","")))))</f>
        <v>PADD 3</v>
      </c>
      <c r="G6525" s="6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6" t="s">
        <v>428</v>
      </c>
      <c r="I6525" s="6" t="s">
        <v>1112</v>
      </c>
      <c r="J6525" s="6" t="s">
        <v>394</v>
      </c>
      <c r="K6525" s="10">
        <v>63</v>
      </c>
      <c r="L6525" s="10">
        <v>140</v>
      </c>
      <c r="M6525" s="6" t="s">
        <v>421</v>
      </c>
      <c r="N6525" s="6">
        <f>IF(OR($G6525="FCC",$G6525="Hydrocracker",$G6525="Reformer"),IF(COUNTIFS($D:$D,$D6525,$A:$A,$A6525,$B:$B,$B6525,$G:$G,"CDU",$J:$J,"PLANNED")&gt;0,"tied","standalone"),"")</f>
        <v/>
      </c>
    </row>
    <row r="6526" spans="1:14">
      <c r="A6526" s="6">
        <v>2025</v>
      </c>
      <c r="B6526" s="6">
        <v>10</v>
      </c>
      <c r="C6526" s="6" t="s">
        <v>69</v>
      </c>
      <c r="D6526" s="6" t="s">
        <v>689</v>
      </c>
      <c r="E6526" s="6" t="s">
        <v>502</v>
      </c>
      <c r="F6526" s="6" t="str">
        <f>IF($M6526="PADD I","PADD 1",IF($M6526="PADD II","PADD 2",IF($M6526="PADD III","PADD 3",IF($M6526="PADD IV","PADD 4",IF($M6526="PADD V","PADD 5","")))))</f>
        <v>PADD 5</v>
      </c>
      <c r="G6526" s="6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6" t="s">
        <v>39</v>
      </c>
      <c r="I6526" s="6" t="s">
        <v>690</v>
      </c>
      <c r="J6526" s="6" t="s">
        <v>398</v>
      </c>
      <c r="K6526" s="10">
        <v>60.48</v>
      </c>
      <c r="L6526" s="10">
        <v>144</v>
      </c>
      <c r="M6526" s="6" t="s">
        <v>436</v>
      </c>
      <c r="N6526" s="6">
        <f>IF(OR($G6526="FCC",$G6526="Hydrocracker",$G6526="Reformer"),IF(COUNTIFS($D:$D,$D6526,$A:$A,$A6526,$B:$B,$B6526,$G:$G,"CDU",$J:$J,"PLANNED")&gt;0,"tied","standalone"),"")</f>
        <v/>
      </c>
    </row>
    <row r="6527" spans="1:14">
      <c r="A6527" s="6">
        <v>2025</v>
      </c>
      <c r="B6527" s="6">
        <v>10</v>
      </c>
      <c r="C6527" s="6" t="s">
        <v>69</v>
      </c>
      <c r="D6527" s="6" t="s">
        <v>458</v>
      </c>
      <c r="E6527" s="6" t="s">
        <v>459</v>
      </c>
      <c r="F6527" s="6" t="str">
        <f>IF($M6527="PADD I","PADD 1",IF($M6527="PADD II","PADD 2",IF($M6527="PADD III","PADD 3",IF($M6527="PADD IV","PADD 4",IF($M6527="PADD V","PADD 5","")))))</f>
        <v>PADD 3</v>
      </c>
      <c r="G6527" s="6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6" t="s">
        <v>485</v>
      </c>
      <c r="I6527" s="6" t="s">
        <v>509</v>
      </c>
      <c r="J6527" s="6" t="s">
        <v>398</v>
      </c>
      <c r="K6527" s="10">
        <v>60</v>
      </c>
      <c r="L6527" s="10">
        <v>60</v>
      </c>
      <c r="M6527" s="6" t="s">
        <v>421</v>
      </c>
      <c r="N6527" s="6">
        <f>IF(OR($G6527="FCC",$G6527="Hydrocracker",$G6527="Reformer"),IF(COUNTIFS($D:$D,$D6527,$A:$A,$A6527,$B:$B,$B6527,$G:$G,"CDU",$J:$J,"PLANNED")&gt;0,"tied","standalone"),"")</f>
        <v/>
      </c>
    </row>
    <row r="6528" spans="1:14">
      <c r="A6528" s="6">
        <v>2025</v>
      </c>
      <c r="B6528" s="6">
        <v>10</v>
      </c>
      <c r="C6528" s="6" t="s">
        <v>69</v>
      </c>
      <c r="D6528" s="6" t="s">
        <v>458</v>
      </c>
      <c r="E6528" s="6" t="s">
        <v>459</v>
      </c>
      <c r="F6528" s="6" t="str">
        <f>IF($M6528="PADD I","PADD 1",IF($M6528="PADD II","PADD 2",IF($M6528="PADD III","PADD 3",IF($M6528="PADD IV","PADD 4",IF($M6528="PADD V","PADD 5","")))))</f>
        <v>PADD 3</v>
      </c>
      <c r="G6528" s="6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6" t="s">
        <v>428</v>
      </c>
      <c r="I6528" s="6" t="s">
        <v>539</v>
      </c>
      <c r="J6528" s="6" t="s">
        <v>398</v>
      </c>
      <c r="K6528" s="10">
        <v>60</v>
      </c>
      <c r="L6528" s="10">
        <v>60</v>
      </c>
      <c r="M6528" s="6" t="s">
        <v>421</v>
      </c>
      <c r="N6528" s="6">
        <f>IF(OR($G6528="FCC",$G6528="Hydrocracker",$G6528="Reformer"),IF(COUNTIFS($D:$D,$D6528,$A:$A,$A6528,$B:$B,$B6528,$G:$G,"CDU",$J:$J,"PLANNED")&gt;0,"tied","standalone"),"")</f>
        <v/>
      </c>
    </row>
    <row r="6529" spans="1:14">
      <c r="A6529" s="6">
        <v>2025</v>
      </c>
      <c r="B6529" s="6">
        <v>10</v>
      </c>
      <c r="C6529" s="6" t="s">
        <v>69</v>
      </c>
      <c r="D6529" s="6" t="s">
        <v>689</v>
      </c>
      <c r="E6529" s="6" t="s">
        <v>502</v>
      </c>
      <c r="F6529" s="6" t="str">
        <f>IF($M6529="PADD I","PADD 1",IF($M6529="PADD II","PADD 2",IF($M6529="PADD III","PADD 3",IF($M6529="PADD IV","PADD 4",IF($M6529="PADD V","PADD 5","")))))</f>
        <v>PADD 5</v>
      </c>
      <c r="G6529" s="6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6" t="s">
        <v>44</v>
      </c>
      <c r="I6529" s="6" t="s">
        <v>1378</v>
      </c>
      <c r="J6529" s="6" t="s">
        <v>398</v>
      </c>
      <c r="K6529" s="10">
        <v>60</v>
      </c>
      <c r="L6529" s="10">
        <v>60</v>
      </c>
      <c r="M6529" s="6" t="s">
        <v>436</v>
      </c>
      <c r="N6529" s="6">
        <f>IF(OR($G6529="FCC",$G6529="Hydrocracker",$G6529="Reformer"),IF(COUNTIFS($D:$D,$D6529,$A:$A,$A6529,$B:$B,$B6529,$G:$G,"CDU",$J:$J,"PLANNED")&gt;0,"tied","standalone"),"")</f>
        <v/>
      </c>
    </row>
    <row r="6530" spans="1:14">
      <c r="A6530" s="6">
        <v>2025</v>
      </c>
      <c r="B6530" s="6">
        <v>10</v>
      </c>
      <c r="C6530" s="6" t="s">
        <v>69</v>
      </c>
      <c r="D6530" s="6" t="s">
        <v>561</v>
      </c>
      <c r="E6530" s="6" t="s">
        <v>455</v>
      </c>
      <c r="F6530" s="6" t="str">
        <f>IF($M6530="PADD I","PADD 1",IF($M6530="PADD II","PADD 2",IF($M6530="PADD III","PADD 3",IF($M6530="PADD IV","PADD 4",IF($M6530="PADD V","PADD 5","")))))</f>
        <v>PADD 3</v>
      </c>
      <c r="G6530" s="6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6" t="s">
        <v>39</v>
      </c>
      <c r="I6530" s="6" t="s">
        <v>113</v>
      </c>
      <c r="J6530" s="6" t="s">
        <v>394</v>
      </c>
      <c r="K6530" s="10">
        <v>57.2</v>
      </c>
      <c r="L6530" s="10">
        <v>110</v>
      </c>
      <c r="M6530" s="6" t="s">
        <v>421</v>
      </c>
      <c r="N6530" s="6">
        <f>IF(OR($G6530="FCC",$G6530="Hydrocracker",$G6530="Reformer"),IF(COUNTIFS($D:$D,$D6530,$A:$A,$A6530,$B:$B,$B6530,$G:$G,"CDU",$J:$J,"PLANNED")&gt;0,"tied","standalone"),"")</f>
        <v/>
      </c>
    </row>
    <row r="6531" spans="1:14">
      <c r="A6531" s="6">
        <v>2025</v>
      </c>
      <c r="B6531" s="6">
        <v>10</v>
      </c>
      <c r="C6531" s="6" t="s">
        <v>69</v>
      </c>
      <c r="D6531" s="6" t="s">
        <v>576</v>
      </c>
      <c r="E6531" s="6" t="s">
        <v>455</v>
      </c>
      <c r="F6531" s="6" t="str">
        <f>IF($M6531="PADD I","PADD 1",IF($M6531="PADD II","PADD 2",IF($M6531="PADD III","PADD 3",IF($M6531="PADD IV","PADD 4",IF($M6531="PADD V","PADD 5","")))))</f>
        <v>PADD 3</v>
      </c>
      <c r="G6531" s="6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6" t="s">
        <v>494</v>
      </c>
      <c r="I6531" s="6" t="s">
        <v>577</v>
      </c>
      <c r="J6531" s="6" t="s">
        <v>398</v>
      </c>
      <c r="K6531" s="10">
        <v>57</v>
      </c>
      <c r="L6531" s="10">
        <v>57</v>
      </c>
      <c r="M6531" s="6" t="s">
        <v>421</v>
      </c>
      <c r="N6531" s="6" t="str">
        <f>IF(OR($G6531="FCC",$G6531="Hydrocracker",$G6531="Reformer"),IF(COUNTIFS($D:$D,$D6531,$A:$A,$A6531,$B:$B,$B6531,$G:$G,"CDU",$J:$J,"PLANNED")&gt;0,"tied","standalone"),"")</f>
        <v>standalone</v>
      </c>
    </row>
    <row r="6532" spans="1:14">
      <c r="A6532" s="6">
        <v>2025</v>
      </c>
      <c r="B6532" s="6">
        <v>10</v>
      </c>
      <c r="C6532" s="6" t="s">
        <v>69</v>
      </c>
      <c r="D6532" s="6" t="s">
        <v>52</v>
      </c>
      <c r="E6532" s="6" t="s">
        <v>441</v>
      </c>
      <c r="F6532" s="6" t="str">
        <f>IF($M6532="PADD I","PADD 1",IF($M6532="PADD II","PADD 2",IF($M6532="PADD III","PADD 3",IF($M6532="PADD IV","PADD 4",IF($M6532="PADD V","PADD 5","")))))</f>
        <v>PADD 5</v>
      </c>
      <c r="G6532" s="6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6" t="s">
        <v>471</v>
      </c>
      <c r="I6532" s="6" t="s">
        <v>589</v>
      </c>
      <c r="J6532" s="6" t="s">
        <v>394</v>
      </c>
      <c r="K6532" s="10">
        <v>56.4</v>
      </c>
      <c r="L6532" s="10">
        <v>60</v>
      </c>
      <c r="M6532" s="6" t="s">
        <v>436</v>
      </c>
      <c r="N6532" s="6" t="str">
        <f>IF(OR($G6532="FCC",$G6532="Hydrocracker",$G6532="Reformer"),IF(COUNTIFS($D:$D,$D6532,$A:$A,$A6532,$B:$B,$B6532,$G:$G,"CDU",$J:$J,"PLANNED")&gt;0,"tied","standalone"),"")</f>
        <v>standalone</v>
      </c>
    </row>
    <row r="6533" spans="1:14">
      <c r="A6533" s="6">
        <v>2025</v>
      </c>
      <c r="B6533" s="6">
        <v>10</v>
      </c>
      <c r="C6533" s="6" t="s">
        <v>69</v>
      </c>
      <c r="D6533" s="6" t="s">
        <v>375</v>
      </c>
      <c r="E6533" s="6" t="s">
        <v>435</v>
      </c>
      <c r="F6533" s="6" t="str">
        <f>IF($M6533="PADD I","PADD 1",IF($M6533="PADD II","PADD 2",IF($M6533="PADD III","PADD 3",IF($M6533="PADD IV","PADD 4",IF($M6533="PADD V","PADD 5","")))))</f>
        <v>PADD 5</v>
      </c>
      <c r="G6533" s="6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6" t="s">
        <v>39</v>
      </c>
      <c r="I6533" s="6" t="s">
        <v>94</v>
      </c>
      <c r="J6533" s="6" t="s">
        <v>394</v>
      </c>
      <c r="K6533" s="10">
        <v>54.25</v>
      </c>
      <c r="L6533" s="10">
        <v>54.25</v>
      </c>
      <c r="M6533" s="6" t="s">
        <v>436</v>
      </c>
      <c r="N6533" s="6">
        <f>IF(OR($G6533="FCC",$G6533="Hydrocracker",$G6533="Reformer"),IF(COUNTIFS($D:$D,$D6533,$A:$A,$A6533,$B:$B,$B6533,$G:$G,"CDU",$J:$J,"PLANNED")&gt;0,"tied","standalone"),"")</f>
        <v/>
      </c>
    </row>
    <row r="6534" spans="1:14">
      <c r="A6534" s="6">
        <v>2025</v>
      </c>
      <c r="B6534" s="6">
        <v>10</v>
      </c>
      <c r="C6534" s="6" t="s">
        <v>69</v>
      </c>
      <c r="D6534" s="6" t="s">
        <v>851</v>
      </c>
      <c r="E6534" s="6" t="s">
        <v>829</v>
      </c>
      <c r="F6534" s="6" t="str">
        <f>IF($M6534="PADD I","PADD 1",IF($M6534="PADD II","PADD 2",IF($M6534="PADD III","PADD 3",IF($M6534="PADD IV","PADD 4",IF($M6534="PADD V","PADD 5","")))))</f>
        <v>PADD 2</v>
      </c>
      <c r="G6534" s="6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6" t="s">
        <v>39</v>
      </c>
      <c r="I6534" s="6" t="s">
        <v>1029</v>
      </c>
      <c r="J6534" s="6" t="s">
        <v>398</v>
      </c>
      <c r="K6534" s="10">
        <v>52.8</v>
      </c>
      <c r="L6534" s="10">
        <v>165</v>
      </c>
      <c r="M6534" s="6" t="s">
        <v>425</v>
      </c>
      <c r="N6534" s="6">
        <f>IF(OR($G6534="FCC",$G6534="Hydrocracker",$G6534="Reformer"),IF(COUNTIFS($D:$D,$D6534,$A:$A,$A6534,$B:$B,$B6534,$G:$G,"CDU",$J:$J,"PLANNED")&gt;0,"tied","standalone"),"")</f>
        <v/>
      </c>
    </row>
    <row r="6535" spans="1:14">
      <c r="A6535" s="6">
        <v>2025</v>
      </c>
      <c r="B6535" s="6">
        <v>10</v>
      </c>
      <c r="C6535" s="6" t="s">
        <v>69</v>
      </c>
      <c r="D6535" s="6" t="s">
        <v>458</v>
      </c>
      <c r="E6535" s="6" t="s">
        <v>459</v>
      </c>
      <c r="F6535" s="6" t="str">
        <f>IF($M6535="PADD I","PADD 1",IF($M6535="PADD II","PADD 2",IF($M6535="PADD III","PADD 3",IF($M6535="PADD IV","PADD 4",IF($M6535="PADD V","PADD 5","")))))</f>
        <v>PADD 3</v>
      </c>
      <c r="G6535" s="6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6" t="s">
        <v>428</v>
      </c>
      <c r="I6535" s="6" t="s">
        <v>556</v>
      </c>
      <c r="J6535" s="6" t="s">
        <v>398</v>
      </c>
      <c r="K6535" s="10">
        <v>51</v>
      </c>
      <c r="L6535" s="10">
        <v>51</v>
      </c>
      <c r="M6535" s="6" t="s">
        <v>421</v>
      </c>
      <c r="N6535" s="6">
        <f>IF(OR($G6535="FCC",$G6535="Hydrocracker",$G6535="Reformer"),IF(COUNTIFS($D:$D,$D6535,$A:$A,$A6535,$B:$B,$B6535,$G:$G,"CDU",$J:$J,"PLANNED")&gt;0,"tied","standalone"),"")</f>
        <v/>
      </c>
    </row>
    <row r="6536" spans="1:14">
      <c r="A6536" s="6">
        <v>2025</v>
      </c>
      <c r="B6536" s="6">
        <v>10</v>
      </c>
      <c r="C6536" s="6" t="s">
        <v>69</v>
      </c>
      <c r="D6536" s="6" t="s">
        <v>1189</v>
      </c>
      <c r="E6536" s="6" t="s">
        <v>502</v>
      </c>
      <c r="F6536" s="6" t="str">
        <f>IF($M6536="PADD I","PADD 1",IF($M6536="PADD II","PADD 2",IF($M6536="PADD III","PADD 3",IF($M6536="PADD IV","PADD 4",IF($M6536="PADD V","PADD 5","")))))</f>
        <v>PADD 5</v>
      </c>
      <c r="G6536" s="6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6" t="s">
        <v>44</v>
      </c>
      <c r="I6536" s="6" t="s">
        <v>980</v>
      </c>
      <c r="J6536" s="6" t="s">
        <v>394</v>
      </c>
      <c r="K6536" s="10">
        <v>49.5</v>
      </c>
      <c r="L6536" s="10">
        <v>49.5</v>
      </c>
      <c r="M6536" s="6" t="s">
        <v>436</v>
      </c>
      <c r="N6536" s="6">
        <f>IF(OR($G6536="FCC",$G6536="Hydrocracker",$G6536="Reformer"),IF(COUNTIFS($D:$D,$D6536,$A:$A,$A6536,$B:$B,$B6536,$G:$G,"CDU",$J:$J,"PLANNED")&gt;0,"tied","standalone"),"")</f>
        <v/>
      </c>
    </row>
    <row r="6537" spans="1:14">
      <c r="A6537" s="6">
        <v>2025</v>
      </c>
      <c r="B6537" s="6">
        <v>10</v>
      </c>
      <c r="C6537" s="6" t="s">
        <v>69</v>
      </c>
      <c r="D6537" s="6" t="s">
        <v>695</v>
      </c>
      <c r="E6537" s="6" t="s">
        <v>438</v>
      </c>
      <c r="F6537" s="6" t="str">
        <f>IF($M6537="PADD I","PADD 1",IF($M6537="PADD II","PADD 2",IF($M6537="PADD III","PADD 3",IF($M6537="PADD IV","PADD 4",IF($M6537="PADD V","PADD 5","")))))</f>
        <v>PADD 3</v>
      </c>
      <c r="G6537" s="6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6" t="s">
        <v>44</v>
      </c>
      <c r="I6537" s="6" t="s">
        <v>499</v>
      </c>
      <c r="J6537" s="6" t="s">
        <v>394</v>
      </c>
      <c r="K6537" s="10">
        <v>48.8</v>
      </c>
      <c r="L6537" s="10">
        <v>80</v>
      </c>
      <c r="M6537" s="6" t="s">
        <v>421</v>
      </c>
      <c r="N6537" s="6">
        <f>IF(OR($G6537="FCC",$G6537="Hydrocracker",$G6537="Reformer"),IF(COUNTIFS($D:$D,$D6537,$A:$A,$A6537,$B:$B,$B6537,$G:$G,"CDU",$J:$J,"PLANNED")&gt;0,"tied","standalone"),"")</f>
        <v/>
      </c>
    </row>
    <row r="6538" spans="1:14">
      <c r="A6538" s="6">
        <v>2025</v>
      </c>
      <c r="B6538" s="6">
        <v>10</v>
      </c>
      <c r="C6538" s="6" t="s">
        <v>69</v>
      </c>
      <c r="D6538" s="6" t="s">
        <v>373</v>
      </c>
      <c r="E6538" s="6" t="s">
        <v>438</v>
      </c>
      <c r="F6538" s="6" t="str">
        <f>IF($M6538="PADD I","PADD 1",IF($M6538="PADD II","PADD 2",IF($M6538="PADD III","PADD 3",IF($M6538="PADD IV","PADD 4",IF($M6538="PADD V","PADD 5","")))))</f>
        <v>PADD 3</v>
      </c>
      <c r="G6538" s="6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6" t="s">
        <v>426</v>
      </c>
      <c r="I6538" s="6" t="s">
        <v>994</v>
      </c>
      <c r="J6538" s="6" t="s">
        <v>394</v>
      </c>
      <c r="K6538" s="10">
        <v>47.6</v>
      </c>
      <c r="L6538" s="10">
        <v>136</v>
      </c>
      <c r="M6538" s="6" t="s">
        <v>421</v>
      </c>
      <c r="N6538" s="6" t="str">
        <f>IF(OR($G6538="FCC",$G6538="Hydrocracker",$G6538="Reformer"),IF(COUNTIFS($D:$D,$D6538,$A:$A,$A6538,$B:$B,$B6538,$G:$G,"CDU",$J:$J,"PLANNED")&gt;0,"tied","standalone"),"")</f>
        <v>tied</v>
      </c>
    </row>
    <row r="6539" spans="1:14">
      <c r="A6539" s="6">
        <v>2025</v>
      </c>
      <c r="B6539" s="6">
        <v>10</v>
      </c>
      <c r="C6539" s="6" t="s">
        <v>69</v>
      </c>
      <c r="D6539" s="6" t="s">
        <v>576</v>
      </c>
      <c r="E6539" s="6" t="s">
        <v>455</v>
      </c>
      <c r="F6539" s="6" t="str">
        <f>IF($M6539="PADD I","PADD 1",IF($M6539="PADD II","PADD 2",IF($M6539="PADD III","PADD 3",IF($M6539="PADD IV","PADD 4",IF($M6539="PADD V","PADD 5","")))))</f>
        <v>PADD 3</v>
      </c>
      <c r="G6539" s="6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6" t="s">
        <v>494</v>
      </c>
      <c r="I6539" s="6" t="s">
        <v>400</v>
      </c>
      <c r="J6539" s="6" t="s">
        <v>394</v>
      </c>
      <c r="K6539" s="10">
        <v>46.17</v>
      </c>
      <c r="L6539" s="10">
        <v>57</v>
      </c>
      <c r="M6539" s="6" t="s">
        <v>421</v>
      </c>
      <c r="N6539" s="6" t="str">
        <f>IF(OR($G6539="FCC",$G6539="Hydrocracker",$G6539="Reformer"),IF(COUNTIFS($D:$D,$D6539,$A:$A,$A6539,$B:$B,$B6539,$G:$G,"CDU",$J:$J,"PLANNED")&gt;0,"tied","standalone"),"")</f>
        <v>standalone</v>
      </c>
    </row>
    <row r="6540" spans="1:14">
      <c r="A6540" s="6">
        <v>2025</v>
      </c>
      <c r="B6540" s="6">
        <v>10</v>
      </c>
      <c r="C6540" s="6" t="s">
        <v>69</v>
      </c>
      <c r="D6540" s="6" t="s">
        <v>445</v>
      </c>
      <c r="E6540" s="6" t="s">
        <v>446</v>
      </c>
      <c r="F6540" s="6" t="str">
        <f>IF($M6540="PADD I","PADD 1",IF($M6540="PADD II","PADD 2",IF($M6540="PADD III","PADD 3",IF($M6540="PADD IV","PADD 4",IF($M6540="PADD V","PADD 5","")))))</f>
        <v>PADD 3</v>
      </c>
      <c r="G6540" s="6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6" t="s">
        <v>471</v>
      </c>
      <c r="I6540" s="6" t="s">
        <v>588</v>
      </c>
      <c r="J6540" s="6" t="s">
        <v>398</v>
      </c>
      <c r="K6540" s="10">
        <v>45.9</v>
      </c>
      <c r="L6540" s="10">
        <v>45.9</v>
      </c>
      <c r="M6540" s="6" t="s">
        <v>421</v>
      </c>
      <c r="N6540" s="6" t="str">
        <f>IF(OR($G6540="FCC",$G6540="Hydrocracker",$G6540="Reformer"),IF(COUNTIFS($D:$D,$D6540,$A:$A,$A6540,$B:$B,$B6540,$G:$G,"CDU",$J:$J,"PLANNED")&gt;0,"tied","standalone"),"")</f>
        <v>tied</v>
      </c>
    </row>
    <row r="6541" spans="1:14">
      <c r="A6541" s="6">
        <v>2025</v>
      </c>
      <c r="B6541" s="6">
        <v>10</v>
      </c>
      <c r="C6541" s="6" t="s">
        <v>69</v>
      </c>
      <c r="D6541" s="6" t="s">
        <v>465</v>
      </c>
      <c r="E6541" s="6" t="s">
        <v>466</v>
      </c>
      <c r="F6541" s="6" t="str">
        <f>IF($M6541="PADD I","PADD 1",IF($M6541="PADD II","PADD 2",IF($M6541="PADD III","PADD 3",IF($M6541="PADD IV","PADD 4",IF($M6541="PADD V","PADD 5","")))))</f>
        <v>PADD 3</v>
      </c>
      <c r="G6541" s="6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6" t="s">
        <v>39</v>
      </c>
      <c r="I6541" s="6" t="s">
        <v>134</v>
      </c>
      <c r="J6541" s="6" t="s">
        <v>394</v>
      </c>
      <c r="K6541" s="10">
        <v>45</v>
      </c>
      <c r="L6541" s="10">
        <v>100</v>
      </c>
      <c r="M6541" s="6" t="s">
        <v>421</v>
      </c>
      <c r="N6541" s="6">
        <f>IF(OR($G6541="FCC",$G6541="Hydrocracker",$G6541="Reformer"),IF(COUNTIFS($D:$D,$D6541,$A:$A,$A6541,$B:$B,$B6541,$G:$G,"CDU",$J:$J,"PLANNED")&gt;0,"tied","standalone"),"")</f>
        <v/>
      </c>
    </row>
    <row r="6542" spans="1:14">
      <c r="A6542" s="6">
        <v>2025</v>
      </c>
      <c r="B6542" s="6">
        <v>10</v>
      </c>
      <c r="C6542" s="6" t="s">
        <v>69</v>
      </c>
      <c r="D6542" s="6" t="s">
        <v>445</v>
      </c>
      <c r="E6542" s="6" t="s">
        <v>446</v>
      </c>
      <c r="F6542" s="6" t="str">
        <f>IF($M6542="PADD I","PADD 1",IF($M6542="PADD II","PADD 2",IF($M6542="PADD III","PADD 3",IF($M6542="PADD IV","PADD 4",IF($M6542="PADD V","PADD 5","")))))</f>
        <v>PADD 3</v>
      </c>
      <c r="G6542" s="6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6" t="s">
        <v>471</v>
      </c>
      <c r="I6542" s="6" t="s">
        <v>590</v>
      </c>
      <c r="J6542" s="6" t="s">
        <v>394</v>
      </c>
      <c r="K6542" s="10">
        <v>45</v>
      </c>
      <c r="L6542" s="10">
        <v>45</v>
      </c>
      <c r="M6542" s="6" t="s">
        <v>421</v>
      </c>
      <c r="N6542" s="6" t="str">
        <f>IF(OR($G6542="FCC",$G6542="Hydrocracker",$G6542="Reformer"),IF(COUNTIFS($D:$D,$D6542,$A:$A,$A6542,$B:$B,$B6542,$G:$G,"CDU",$J:$J,"PLANNED")&gt;0,"tied","standalone"),"")</f>
        <v>tied</v>
      </c>
    </row>
    <row r="6543" spans="1:14">
      <c r="A6543" s="6">
        <v>2025</v>
      </c>
      <c r="B6543" s="6">
        <v>10</v>
      </c>
      <c r="C6543" s="6" t="s">
        <v>69</v>
      </c>
      <c r="D6543" s="6" t="s">
        <v>712</v>
      </c>
      <c r="E6543" s="6" t="s">
        <v>602</v>
      </c>
      <c r="F6543" s="6" t="str">
        <f>IF($M6543="PADD I","PADD 1",IF($M6543="PADD II","PADD 2",IF($M6543="PADD III","PADD 3",IF($M6543="PADD IV","PADD 4",IF($M6543="PADD V","PADD 5","")))))</f>
        <v>PADD 3</v>
      </c>
      <c r="G6543" s="6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6" t="s">
        <v>39</v>
      </c>
      <c r="I6543" s="6" t="s">
        <v>713</v>
      </c>
      <c r="J6543" s="6" t="s">
        <v>398</v>
      </c>
      <c r="K6543" s="10">
        <v>44.53</v>
      </c>
      <c r="L6543" s="10">
        <v>73</v>
      </c>
      <c r="M6543" s="6" t="s">
        <v>421</v>
      </c>
      <c r="N6543" s="6">
        <f>IF(OR($G6543="FCC",$G6543="Hydrocracker",$G6543="Reformer"),IF(COUNTIFS($D:$D,$D6543,$A:$A,$A6543,$B:$B,$B6543,$G:$G,"CDU",$J:$J,"PLANNED")&gt;0,"tied","standalone"),"")</f>
        <v/>
      </c>
    </row>
    <row r="6544" spans="1:14">
      <c r="A6544" s="6">
        <v>2025</v>
      </c>
      <c r="B6544" s="6">
        <v>10</v>
      </c>
      <c r="C6544" s="6" t="s">
        <v>69</v>
      </c>
      <c r="D6544" s="6" t="s">
        <v>835</v>
      </c>
      <c r="E6544" s="6" t="s">
        <v>829</v>
      </c>
      <c r="F6544" s="6" t="str">
        <f>IF($M6544="PADD I","PADD 1",IF($M6544="PADD II","PADD 2",IF($M6544="PADD III","PADD 3",IF($M6544="PADD IV","PADD 4",IF($M6544="PADD V","PADD 5","")))))</f>
        <v>PADD 2</v>
      </c>
      <c r="G6544" s="6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6" t="s">
        <v>428</v>
      </c>
      <c r="I6544" s="6" t="s">
        <v>836</v>
      </c>
      <c r="J6544" s="6" t="s">
        <v>394</v>
      </c>
      <c r="K6544" s="10">
        <v>44.3144</v>
      </c>
      <c r="L6544" s="10">
        <v>85.22</v>
      </c>
      <c r="M6544" s="6" t="s">
        <v>425</v>
      </c>
      <c r="N6544" s="6">
        <f>IF(OR($G6544="FCC",$G6544="Hydrocracker",$G6544="Reformer"),IF(COUNTIFS($D:$D,$D6544,$A:$A,$A6544,$B:$B,$B6544,$G:$G,"CDU",$J:$J,"PLANNED")&gt;0,"tied","standalone"),"")</f>
        <v/>
      </c>
    </row>
    <row r="6545" spans="1:14">
      <c r="A6545" s="6">
        <v>2025</v>
      </c>
      <c r="B6545" s="6">
        <v>10</v>
      </c>
      <c r="C6545" s="6" t="s">
        <v>69</v>
      </c>
      <c r="D6545" s="6" t="s">
        <v>375</v>
      </c>
      <c r="E6545" s="6" t="s">
        <v>435</v>
      </c>
      <c r="F6545" s="6" t="str">
        <f>IF($M6545="PADD I","PADD 1",IF($M6545="PADD II","PADD 2",IF($M6545="PADD III","PADD 3",IF($M6545="PADD IV","PADD 4",IF($M6545="PADD V","PADD 5","")))))</f>
        <v>PADD 5</v>
      </c>
      <c r="G6545" s="6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6" t="s">
        <v>494</v>
      </c>
      <c r="I6545" s="6" t="s">
        <v>548</v>
      </c>
      <c r="J6545" s="6" t="s">
        <v>394</v>
      </c>
      <c r="K6545" s="10">
        <v>42</v>
      </c>
      <c r="L6545" s="10">
        <v>42</v>
      </c>
      <c r="M6545" s="6" t="s">
        <v>436</v>
      </c>
      <c r="N6545" s="6" t="str">
        <f>IF(OR($G6545="FCC",$G6545="Hydrocracker",$G6545="Reformer"),IF(COUNTIFS($D:$D,$D6545,$A:$A,$A6545,$B:$B,$B6545,$G:$G,"CDU",$J:$J,"PLANNED")&gt;0,"tied","standalone"),"")</f>
        <v>standalone</v>
      </c>
    </row>
    <row r="6546" spans="1:14">
      <c r="A6546" s="6">
        <v>2025</v>
      </c>
      <c r="B6546" s="6">
        <v>10</v>
      </c>
      <c r="C6546" s="6" t="s">
        <v>69</v>
      </c>
      <c r="D6546" s="6" t="s">
        <v>689</v>
      </c>
      <c r="E6546" s="6" t="s">
        <v>502</v>
      </c>
      <c r="F6546" s="6" t="str">
        <f>IF($M6546="PADD I","PADD 1",IF($M6546="PADD II","PADD 2",IF($M6546="PADD III","PADD 3",IF($M6546="PADD IV","PADD 4",IF($M6546="PADD V","PADD 5","")))))</f>
        <v>PADD 5</v>
      </c>
      <c r="G6546" s="6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6" t="s">
        <v>39</v>
      </c>
      <c r="I6546" s="6" t="s">
        <v>690</v>
      </c>
      <c r="J6546" s="6" t="s">
        <v>398</v>
      </c>
      <c r="K6546" s="10">
        <v>41.76</v>
      </c>
      <c r="L6546" s="10">
        <v>72</v>
      </c>
      <c r="M6546" s="6" t="s">
        <v>436</v>
      </c>
      <c r="N6546" s="6">
        <f>IF(OR($G6546="FCC",$G6546="Hydrocracker",$G6546="Reformer"),IF(COUNTIFS($D:$D,$D6546,$A:$A,$A6546,$B:$B,$B6546,$G:$G,"CDU",$J:$J,"PLANNED")&gt;0,"tied","standalone"),"")</f>
        <v/>
      </c>
    </row>
    <row r="6547" spans="1:14">
      <c r="A6547" s="6">
        <v>2025</v>
      </c>
      <c r="B6547" s="6">
        <v>10</v>
      </c>
      <c r="C6547" s="6" t="s">
        <v>69</v>
      </c>
      <c r="D6547" s="6" t="s">
        <v>445</v>
      </c>
      <c r="E6547" s="6" t="s">
        <v>446</v>
      </c>
      <c r="F6547" s="6" t="str">
        <f>IF($M6547="PADD I","PADD 1",IF($M6547="PADD II","PADD 2",IF($M6547="PADD III","PADD 3",IF($M6547="PADD IV","PADD 4",IF($M6547="PADD V","PADD 5","")))))</f>
        <v>PADD 3</v>
      </c>
      <c r="G6547" s="6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6" t="s">
        <v>44</v>
      </c>
      <c r="I6547" s="6" t="s">
        <v>601</v>
      </c>
      <c r="J6547" s="6" t="s">
        <v>398</v>
      </c>
      <c r="K6547" s="10">
        <v>40.9</v>
      </c>
      <c r="L6547" s="10">
        <v>40.9</v>
      </c>
      <c r="M6547" s="6" t="s">
        <v>421</v>
      </c>
      <c r="N6547" s="6">
        <f>IF(OR($G6547="FCC",$G6547="Hydrocracker",$G6547="Reformer"),IF(COUNTIFS($D:$D,$D6547,$A:$A,$A6547,$B:$B,$B6547,$G:$G,"CDU",$J:$J,"PLANNED")&gt;0,"tied","standalone"),"")</f>
        <v/>
      </c>
    </row>
    <row r="6548" spans="1:14">
      <c r="A6548" s="6">
        <v>2025</v>
      </c>
      <c r="B6548" s="6">
        <v>10</v>
      </c>
      <c r="C6548" s="6" t="s">
        <v>69</v>
      </c>
      <c r="D6548" s="6" t="s">
        <v>613</v>
      </c>
      <c r="E6548" s="6" t="s">
        <v>446</v>
      </c>
      <c r="F6548" s="6" t="str">
        <f>IF($M6548="PADD I","PADD 1",IF($M6548="PADD II","PADD 2",IF($M6548="PADD III","PADD 3",IF($M6548="PADD IV","PADD 4",IF($M6548="PADD V","PADD 5","")))))</f>
        <v>PADD 3</v>
      </c>
      <c r="G6548" s="6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6" t="s">
        <v>44</v>
      </c>
      <c r="I6548" s="6" t="s">
        <v>614</v>
      </c>
      <c r="J6548" s="6" t="s">
        <v>394</v>
      </c>
      <c r="K6548" s="10">
        <v>40.9</v>
      </c>
      <c r="L6548" s="10">
        <v>40.9</v>
      </c>
      <c r="M6548" s="6" t="s">
        <v>421</v>
      </c>
      <c r="N6548" s="6">
        <f>IF(OR($G6548="FCC",$G6548="Hydrocracker",$G6548="Reformer"),IF(COUNTIFS($D:$D,$D6548,$A:$A,$A6548,$B:$B,$B6548,$G:$G,"CDU",$J:$J,"PLANNED")&gt;0,"tied","standalone"),"")</f>
        <v/>
      </c>
    </row>
    <row r="6549" spans="1:14">
      <c r="A6549" s="6">
        <v>2025</v>
      </c>
      <c r="B6549" s="6">
        <v>10</v>
      </c>
      <c r="C6549" s="6" t="s">
        <v>69</v>
      </c>
      <c r="D6549" s="6" t="s">
        <v>662</v>
      </c>
      <c r="E6549" s="6" t="s">
        <v>466</v>
      </c>
      <c r="F6549" s="6" t="str">
        <f>IF($M6549="PADD I","PADD 1",IF($M6549="PADD II","PADD 2",IF($M6549="PADD III","PADD 3",IF($M6549="PADD IV","PADD 4",IF($M6549="PADD V","PADD 5","")))))</f>
        <v>PADD 3</v>
      </c>
      <c r="G6549" s="6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6" t="s">
        <v>44</v>
      </c>
      <c r="I6549" s="6" t="s">
        <v>508</v>
      </c>
      <c r="J6549" s="6" t="s">
        <v>398</v>
      </c>
      <c r="K6549" s="10">
        <v>40</v>
      </c>
      <c r="L6549" s="10">
        <v>40</v>
      </c>
      <c r="M6549" s="6" t="s">
        <v>421</v>
      </c>
      <c r="N6549" s="6">
        <f>IF(OR($G6549="FCC",$G6549="Hydrocracker",$G6549="Reformer"),IF(COUNTIFS($D:$D,$D6549,$A:$A,$A6549,$B:$B,$B6549,$G:$G,"CDU",$J:$J,"PLANNED")&gt;0,"tied","standalone"),"")</f>
        <v/>
      </c>
    </row>
    <row r="6550" spans="1:14">
      <c r="A6550" s="6">
        <v>2025</v>
      </c>
      <c r="B6550" s="6">
        <v>10</v>
      </c>
      <c r="C6550" s="6" t="s">
        <v>69</v>
      </c>
      <c r="D6550" s="6" t="s">
        <v>458</v>
      </c>
      <c r="E6550" s="6" t="s">
        <v>459</v>
      </c>
      <c r="F6550" s="6" t="str">
        <f>IF($M6550="PADD I","PADD 1",IF($M6550="PADD II","PADD 2",IF($M6550="PADD III","PADD 3",IF($M6550="PADD IV","PADD 4",IF($M6550="PADD V","PADD 5","")))))</f>
        <v>PADD 3</v>
      </c>
      <c r="G6550" s="6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6" t="s">
        <v>39</v>
      </c>
      <c r="I6550" s="6" t="s">
        <v>572</v>
      </c>
      <c r="J6550" s="6" t="s">
        <v>398</v>
      </c>
      <c r="K6550" s="10">
        <v>40</v>
      </c>
      <c r="L6550" s="10">
        <v>40</v>
      </c>
      <c r="M6550" s="6" t="s">
        <v>421</v>
      </c>
      <c r="N6550" s="6">
        <f>IF(OR($G6550="FCC",$G6550="Hydrocracker",$G6550="Reformer"),IF(COUNTIFS($D:$D,$D6550,$A:$A,$A6550,$B:$B,$B6550,$G:$G,"CDU",$J:$J,"PLANNED")&gt;0,"tied","standalone"),"")</f>
        <v/>
      </c>
    </row>
    <row r="6551" spans="1:14">
      <c r="A6551" s="6">
        <v>2025</v>
      </c>
      <c r="B6551" s="6">
        <v>10</v>
      </c>
      <c r="C6551" s="6" t="s">
        <v>69</v>
      </c>
      <c r="D6551" s="6" t="s">
        <v>52</v>
      </c>
      <c r="E6551" s="6" t="s">
        <v>441</v>
      </c>
      <c r="F6551" s="6" t="str">
        <f>IF($M6551="PADD I","PADD 1",IF($M6551="PADD II","PADD 2",IF($M6551="PADD III","PADD 3",IF($M6551="PADD IV","PADD 4",IF($M6551="PADD V","PADD 5","")))))</f>
        <v>PADD 5</v>
      </c>
      <c r="G6551" s="6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6" t="s">
        <v>39</v>
      </c>
      <c r="I6551" s="6" t="s">
        <v>1213</v>
      </c>
      <c r="J6551" s="6" t="s">
        <v>394</v>
      </c>
      <c r="K6551" s="10">
        <v>39.1</v>
      </c>
      <c r="L6551" s="10">
        <v>170</v>
      </c>
      <c r="M6551" s="6" t="s">
        <v>436</v>
      </c>
      <c r="N6551" s="6">
        <f>IF(OR($G6551="FCC",$G6551="Hydrocracker",$G6551="Reformer"),IF(COUNTIFS($D:$D,$D6551,$A:$A,$A6551,$B:$B,$B6551,$G:$G,"CDU",$J:$J,"PLANNED")&gt;0,"tied","standalone"),"")</f>
        <v/>
      </c>
    </row>
    <row r="6552" spans="1:14">
      <c r="A6552" s="6">
        <v>2025</v>
      </c>
      <c r="B6552" s="6">
        <v>10</v>
      </c>
      <c r="C6552" s="6" t="s">
        <v>69</v>
      </c>
      <c r="D6552" s="6" t="s">
        <v>52</v>
      </c>
      <c r="E6552" s="6" t="s">
        <v>441</v>
      </c>
      <c r="F6552" s="6" t="str">
        <f>IF($M6552="PADD I","PADD 1",IF($M6552="PADD II","PADD 2",IF($M6552="PADD III","PADD 3",IF($M6552="PADD IV","PADD 4",IF($M6552="PADD V","PADD 5","")))))</f>
        <v>PADD 5</v>
      </c>
      <c r="G6552" s="6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6" t="s">
        <v>428</v>
      </c>
      <c r="I6552" s="6" t="s">
        <v>1085</v>
      </c>
      <c r="J6552" s="6" t="s">
        <v>394</v>
      </c>
      <c r="K6552" s="10">
        <v>37.03</v>
      </c>
      <c r="L6552" s="10">
        <v>161</v>
      </c>
      <c r="M6552" s="6" t="s">
        <v>436</v>
      </c>
      <c r="N6552" s="6">
        <f>IF(OR($G6552="FCC",$G6552="Hydrocracker",$G6552="Reformer"),IF(COUNTIFS($D:$D,$D6552,$A:$A,$A6552,$B:$B,$B6552,$G:$G,"CDU",$J:$J,"PLANNED")&gt;0,"tied","standalone"),"")</f>
        <v/>
      </c>
    </row>
    <row r="6553" spans="1:14">
      <c r="A6553" s="6">
        <v>2025</v>
      </c>
      <c r="B6553" s="6">
        <v>10</v>
      </c>
      <c r="C6553" s="6" t="s">
        <v>69</v>
      </c>
      <c r="D6553" s="6" t="s">
        <v>52</v>
      </c>
      <c r="E6553" s="6" t="s">
        <v>441</v>
      </c>
      <c r="F6553" s="6" t="str">
        <f>IF($M6553="PADD I","PADD 1",IF($M6553="PADD II","PADD 2",IF($M6553="PADD III","PADD 3",IF($M6553="PADD IV","PADD 4",IF($M6553="PADD V","PADD 5","")))))</f>
        <v>PADD 5</v>
      </c>
      <c r="G6553" s="6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6" t="s">
        <v>44</v>
      </c>
      <c r="I6553" s="6" t="s">
        <v>1217</v>
      </c>
      <c r="J6553" s="6" t="s">
        <v>394</v>
      </c>
      <c r="K6553" s="10">
        <v>36.4</v>
      </c>
      <c r="L6553" s="10">
        <v>70</v>
      </c>
      <c r="M6553" s="6" t="s">
        <v>436</v>
      </c>
      <c r="N6553" s="6">
        <f>IF(OR($G6553="FCC",$G6553="Hydrocracker",$G6553="Reformer"),IF(COUNTIFS($D:$D,$D6553,$A:$A,$A6553,$B:$B,$B6553,$G:$G,"CDU",$J:$J,"PLANNED")&gt;0,"tied","standalone"),"")</f>
        <v/>
      </c>
    </row>
    <row r="6554" spans="1:14">
      <c r="A6554" s="6">
        <v>2025</v>
      </c>
      <c r="B6554" s="6">
        <v>10</v>
      </c>
      <c r="C6554" s="6" t="s">
        <v>69</v>
      </c>
      <c r="D6554" s="6" t="s">
        <v>561</v>
      </c>
      <c r="E6554" s="6" t="s">
        <v>455</v>
      </c>
      <c r="F6554" s="6" t="str">
        <f>IF($M6554="PADD I","PADD 1",IF($M6554="PADD II","PADD 2",IF($M6554="PADD III","PADD 3",IF($M6554="PADD IV","PADD 4",IF($M6554="PADD V","PADD 5","")))))</f>
        <v>PADD 3</v>
      </c>
      <c r="G6554" s="6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6" t="s">
        <v>426</v>
      </c>
      <c r="I6554" s="6" t="s">
        <v>106</v>
      </c>
      <c r="J6554" s="6" t="s">
        <v>394</v>
      </c>
      <c r="K6554" s="10">
        <v>35.75</v>
      </c>
      <c r="L6554" s="10">
        <v>65</v>
      </c>
      <c r="M6554" s="6" t="s">
        <v>421</v>
      </c>
      <c r="N6554" s="6" t="str">
        <f>IF(OR($G6554="FCC",$G6554="Hydrocracker",$G6554="Reformer"),IF(COUNTIFS($D:$D,$D6554,$A:$A,$A6554,$B:$B,$B6554,$G:$G,"CDU",$J:$J,"PLANNED")&gt;0,"tied","standalone"),"")</f>
        <v>standalone</v>
      </c>
    </row>
    <row r="6555" spans="1:14">
      <c r="A6555" s="6">
        <v>2025</v>
      </c>
      <c r="B6555" s="6">
        <v>10</v>
      </c>
      <c r="C6555" s="6" t="s">
        <v>69</v>
      </c>
      <c r="D6555" s="6" t="s">
        <v>368</v>
      </c>
      <c r="E6555" s="6" t="s">
        <v>715</v>
      </c>
      <c r="F6555" s="6" t="str">
        <f>IF($M6555="PADD I","PADD 1",IF($M6555="PADD II","PADD 2",IF($M6555="PADD III","PADD 3",IF($M6555="PADD IV","PADD 4",IF($M6555="PADD V","PADD 5","")))))</f>
        <v>PADD 3</v>
      </c>
      <c r="G6555" s="6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6" t="s">
        <v>44</v>
      </c>
      <c r="I6555" s="6" t="s">
        <v>933</v>
      </c>
      <c r="J6555" s="6" t="s">
        <v>398</v>
      </c>
      <c r="K6555" s="10">
        <v>35.5</v>
      </c>
      <c r="L6555" s="10">
        <v>50</v>
      </c>
      <c r="M6555" s="6" t="s">
        <v>421</v>
      </c>
      <c r="N6555" s="6">
        <f>IF(OR($G6555="FCC",$G6555="Hydrocracker",$G6555="Reformer"),IF(COUNTIFS($D:$D,$D6555,$A:$A,$A6555,$B:$B,$B6555,$G:$G,"CDU",$J:$J,"PLANNED")&gt;0,"tied","standalone"),"")</f>
        <v/>
      </c>
    </row>
    <row r="6556" spans="1:14">
      <c r="A6556" s="6">
        <v>2025</v>
      </c>
      <c r="B6556" s="6">
        <v>10</v>
      </c>
      <c r="C6556" s="6" t="s">
        <v>69</v>
      </c>
      <c r="D6556" s="6" t="s">
        <v>52</v>
      </c>
      <c r="E6556" s="6" t="s">
        <v>441</v>
      </c>
      <c r="F6556" s="6" t="str">
        <f>IF($M6556="PADD I","PADD 1",IF($M6556="PADD II","PADD 2",IF($M6556="PADD III","PADD 3",IF($M6556="PADD IV","PADD 4",IF($M6556="PADD V","PADD 5","")))))</f>
        <v>PADD 5</v>
      </c>
      <c r="G6556" s="6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6" t="s">
        <v>485</v>
      </c>
      <c r="I6556" s="6" t="s">
        <v>491</v>
      </c>
      <c r="J6556" s="6" t="s">
        <v>394</v>
      </c>
      <c r="K6556" s="10">
        <v>35.36</v>
      </c>
      <c r="L6556" s="10">
        <v>68</v>
      </c>
      <c r="M6556" s="6" t="s">
        <v>436</v>
      </c>
      <c r="N6556" s="6">
        <f>IF(OR($G6556="FCC",$G6556="Hydrocracker",$G6556="Reformer"),IF(COUNTIFS($D:$D,$D6556,$A:$A,$A6556,$B:$B,$B6556,$G:$G,"CDU",$J:$J,"PLANNED")&gt;0,"tied","standalone"),"")</f>
        <v/>
      </c>
    </row>
    <row r="6557" spans="1:14">
      <c r="A6557" s="6">
        <v>2025</v>
      </c>
      <c r="B6557" s="6">
        <v>10</v>
      </c>
      <c r="C6557" s="6" t="s">
        <v>69</v>
      </c>
      <c r="D6557" s="6" t="s">
        <v>52</v>
      </c>
      <c r="E6557" s="6" t="s">
        <v>441</v>
      </c>
      <c r="F6557" s="6" t="str">
        <f>IF($M6557="PADD I","PADD 1",IF($M6557="PADD II","PADD 2",IF($M6557="PADD III","PADD 3",IF($M6557="PADD IV","PADD 4",IF($M6557="PADD V","PADD 5","")))))</f>
        <v>PADD 5</v>
      </c>
      <c r="G6557" s="6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6" t="s">
        <v>44</v>
      </c>
      <c r="I6557" s="6" t="s">
        <v>1280</v>
      </c>
      <c r="J6557" s="6" t="s">
        <v>394</v>
      </c>
      <c r="K6557" s="10">
        <v>35.36</v>
      </c>
      <c r="L6557" s="10">
        <v>68</v>
      </c>
      <c r="M6557" s="6" t="s">
        <v>436</v>
      </c>
      <c r="N6557" s="6">
        <f>IF(OR($G6557="FCC",$G6557="Hydrocracker",$G6557="Reformer"),IF(COUNTIFS($D:$D,$D6557,$A:$A,$A6557,$B:$B,$B6557,$G:$G,"CDU",$J:$J,"PLANNED")&gt;0,"tied","standalone"),"")</f>
        <v/>
      </c>
    </row>
    <row r="6558" spans="1:14">
      <c r="A6558" s="6">
        <v>2025</v>
      </c>
      <c r="B6558" s="6">
        <v>10</v>
      </c>
      <c r="C6558" s="6" t="s">
        <v>69</v>
      </c>
      <c r="D6558" s="6" t="s">
        <v>52</v>
      </c>
      <c r="E6558" s="6" t="s">
        <v>441</v>
      </c>
      <c r="F6558" s="6" t="str">
        <f>IF($M6558="PADD I","PADD 1",IF($M6558="PADD II","PADD 2",IF($M6558="PADD III","PADD 3",IF($M6558="PADD IV","PADD 4",IF($M6558="PADD V","PADD 5","")))))</f>
        <v>PADD 5</v>
      </c>
      <c r="G6558" s="6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6" t="s">
        <v>39</v>
      </c>
      <c r="I6558" s="6" t="s">
        <v>136</v>
      </c>
      <c r="J6558" s="6" t="s">
        <v>394</v>
      </c>
      <c r="K6558" s="10">
        <v>35.1</v>
      </c>
      <c r="L6558" s="10">
        <v>90</v>
      </c>
      <c r="M6558" s="6" t="s">
        <v>436</v>
      </c>
      <c r="N6558" s="6">
        <f>IF(OR($G6558="FCC",$G6558="Hydrocracker",$G6558="Reformer"),IF(COUNTIFS($D:$D,$D6558,$A:$A,$A6558,$B:$B,$B6558,$G:$G,"CDU",$J:$J,"PLANNED")&gt;0,"tied","standalone"),"")</f>
        <v/>
      </c>
    </row>
    <row r="6559" spans="1:14">
      <c r="A6559" s="6">
        <v>2025</v>
      </c>
      <c r="B6559" s="6">
        <v>10</v>
      </c>
      <c r="C6559" s="6" t="s">
        <v>69</v>
      </c>
      <c r="D6559" s="6" t="s">
        <v>371</v>
      </c>
      <c r="E6559" s="6" t="s">
        <v>419</v>
      </c>
      <c r="F6559" s="6" t="str">
        <f>IF($M6559="PADD I","PADD 1",IF($M6559="PADD II","PADD 2",IF($M6559="PADD III","PADD 3",IF($M6559="PADD IV","PADD 4",IF($M6559="PADD V","PADD 5","")))))</f>
        <v>PADD 2</v>
      </c>
      <c r="G6559" s="6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6" t="s">
        <v>39</v>
      </c>
      <c r="I6559" s="6" t="s">
        <v>961</v>
      </c>
      <c r="J6559" s="6" t="s">
        <v>394</v>
      </c>
      <c r="K6559" s="10">
        <v>35.1</v>
      </c>
      <c r="L6559" s="10">
        <v>67.5</v>
      </c>
      <c r="M6559" s="6" t="s">
        <v>425</v>
      </c>
      <c r="N6559" s="6">
        <f>IF(OR($G6559="FCC",$G6559="Hydrocracker",$G6559="Reformer"),IF(COUNTIFS($D:$D,$D6559,$A:$A,$A6559,$B:$B,$B6559,$G:$G,"CDU",$J:$J,"PLANNED")&gt;0,"tied","standalone"),"")</f>
        <v/>
      </c>
    </row>
    <row r="6560" spans="1:14">
      <c r="A6560" s="6">
        <v>2025</v>
      </c>
      <c r="B6560" s="6">
        <v>10</v>
      </c>
      <c r="C6560" s="6" t="s">
        <v>69</v>
      </c>
      <c r="D6560" s="6" t="s">
        <v>1088</v>
      </c>
      <c r="E6560" s="6" t="s">
        <v>1089</v>
      </c>
      <c r="F6560" s="6" t="str">
        <f>IF($M6560="PADD I","PADD 1",IF($M6560="PADD II","PADD 2",IF($M6560="PADD III","PADD 3",IF($M6560="PADD IV","PADD 4",IF($M6560="PADD V","PADD 5","")))))</f>
        <v>PADD 2</v>
      </c>
      <c r="G6560" s="6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6" t="s">
        <v>39</v>
      </c>
      <c r="I6560" s="6" t="s">
        <v>967</v>
      </c>
      <c r="J6560" s="6" t="s">
        <v>398</v>
      </c>
      <c r="K6560" s="10">
        <v>35</v>
      </c>
      <c r="L6560" s="10">
        <v>35</v>
      </c>
      <c r="M6560" s="6" t="s">
        <v>425</v>
      </c>
      <c r="N6560" s="6">
        <f>IF(OR($G6560="FCC",$G6560="Hydrocracker",$G6560="Reformer"),IF(COUNTIFS($D:$D,$D6560,$A:$A,$A6560,$B:$B,$B6560,$G:$G,"CDU",$J:$J,"PLANNED")&gt;0,"tied","standalone"),"")</f>
        <v/>
      </c>
    </row>
    <row r="6561" spans="1:14">
      <c r="A6561" s="6">
        <v>2025</v>
      </c>
      <c r="B6561" s="6">
        <v>10</v>
      </c>
      <c r="C6561" s="6" t="s">
        <v>69</v>
      </c>
      <c r="D6561" s="6" t="s">
        <v>371</v>
      </c>
      <c r="E6561" s="6" t="s">
        <v>419</v>
      </c>
      <c r="F6561" s="6" t="str">
        <f>IF($M6561="PADD I","PADD 1",IF($M6561="PADD II","PADD 2",IF($M6561="PADD III","PADD 3",IF($M6561="PADD IV","PADD 4",IF($M6561="PADD V","PADD 5","")))))</f>
        <v>PADD 2</v>
      </c>
      <c r="G6561" s="6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6" t="s">
        <v>39</v>
      </c>
      <c r="I6561" s="6" t="s">
        <v>961</v>
      </c>
      <c r="J6561" s="6" t="s">
        <v>398</v>
      </c>
      <c r="K6561" s="10">
        <v>35</v>
      </c>
      <c r="L6561" s="10">
        <v>35</v>
      </c>
      <c r="M6561" s="6" t="s">
        <v>425</v>
      </c>
      <c r="N6561" s="6">
        <f>IF(OR($G6561="FCC",$G6561="Hydrocracker",$G6561="Reformer"),IF(COUNTIFS($D:$D,$D6561,$A:$A,$A6561,$B:$B,$B6561,$G:$G,"CDU",$J:$J,"PLANNED")&gt;0,"tied","standalone"),"")</f>
        <v/>
      </c>
    </row>
    <row r="6562" spans="1:14">
      <c r="A6562" s="6">
        <v>2025</v>
      </c>
      <c r="B6562" s="6">
        <v>10</v>
      </c>
      <c r="C6562" s="6" t="s">
        <v>69</v>
      </c>
      <c r="D6562" s="6" t="s">
        <v>626</v>
      </c>
      <c r="E6562" s="6" t="s">
        <v>419</v>
      </c>
      <c r="F6562" s="6" t="str">
        <f>IF($M6562="PADD I","PADD 1",IF($M6562="PADD II","PADD 2",IF($M6562="PADD III","PADD 3",IF($M6562="PADD IV","PADD 4",IF($M6562="PADD V","PADD 5","")))))</f>
        <v>PADD 3</v>
      </c>
      <c r="G6562" s="6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6" t="s">
        <v>39</v>
      </c>
      <c r="I6562" s="6" t="s">
        <v>1369</v>
      </c>
      <c r="J6562" s="6" t="s">
        <v>394</v>
      </c>
      <c r="K6562" s="10">
        <v>34.86</v>
      </c>
      <c r="L6562" s="10">
        <v>83</v>
      </c>
      <c r="M6562" s="6" t="s">
        <v>421</v>
      </c>
      <c r="N6562" s="6">
        <f>IF(OR($G6562="FCC",$G6562="Hydrocracker",$G6562="Reformer"),IF(COUNTIFS($D:$D,$D6562,$A:$A,$A6562,$B:$B,$B6562,$G:$G,"CDU",$J:$J,"PLANNED")&gt;0,"tied","standalone"),"")</f>
        <v/>
      </c>
    </row>
    <row r="6563" spans="1:14">
      <c r="A6563" s="6">
        <v>2025</v>
      </c>
      <c r="B6563" s="6">
        <v>10</v>
      </c>
      <c r="C6563" s="6" t="s">
        <v>69</v>
      </c>
      <c r="D6563" s="6" t="s">
        <v>373</v>
      </c>
      <c r="E6563" s="6" t="s">
        <v>438</v>
      </c>
      <c r="F6563" s="6" t="str">
        <f>IF($M6563="PADD I","PADD 1",IF($M6563="PADD II","PADD 2",IF($M6563="PADD III","PADD 3",IF($M6563="PADD IV","PADD 4",IF($M6563="PADD V","PADD 5","")))))</f>
        <v>PADD 3</v>
      </c>
      <c r="G6563" s="6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6" t="s">
        <v>428</v>
      </c>
      <c r="I6563" s="6" t="s">
        <v>992</v>
      </c>
      <c r="J6563" s="6" t="s">
        <v>394</v>
      </c>
      <c r="K6563" s="10">
        <v>34.155</v>
      </c>
      <c r="L6563" s="10">
        <v>148.5</v>
      </c>
      <c r="M6563" s="6" t="s">
        <v>421</v>
      </c>
      <c r="N6563" s="6">
        <f>IF(OR($G6563="FCC",$G6563="Hydrocracker",$G6563="Reformer"),IF(COUNTIFS($D:$D,$D6563,$A:$A,$A6563,$B:$B,$B6563,$G:$G,"CDU",$J:$J,"PLANNED")&gt;0,"tied","standalone"),"")</f>
        <v/>
      </c>
    </row>
    <row r="6564" spans="1:14">
      <c r="A6564" s="6">
        <v>2025</v>
      </c>
      <c r="B6564" s="6">
        <v>10</v>
      </c>
      <c r="C6564" s="6" t="s">
        <v>69</v>
      </c>
      <c r="D6564" s="6" t="s">
        <v>52</v>
      </c>
      <c r="E6564" s="6" t="s">
        <v>441</v>
      </c>
      <c r="F6564" s="6" t="str">
        <f>IF($M6564="PADD I","PADD 1",IF($M6564="PADD II","PADD 2",IF($M6564="PADD III","PADD 3",IF($M6564="PADD IV","PADD 4",IF($M6564="PADD V","PADD 5","")))))</f>
        <v>PADD 5</v>
      </c>
      <c r="G6564" s="6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6" t="s">
        <v>44</v>
      </c>
      <c r="I6564" s="6" t="s">
        <v>909</v>
      </c>
      <c r="J6564" s="6" t="s">
        <v>394</v>
      </c>
      <c r="K6564" s="10">
        <v>33.95</v>
      </c>
      <c r="L6564" s="10">
        <v>35</v>
      </c>
      <c r="M6564" s="6" t="s">
        <v>436</v>
      </c>
      <c r="N6564" s="6">
        <f>IF(OR($G6564="FCC",$G6564="Hydrocracker",$G6564="Reformer"),IF(COUNTIFS($D:$D,$D6564,$A:$A,$A6564,$B:$B,$B6564,$G:$G,"CDU",$J:$J,"PLANNED")&gt;0,"tied","standalone"),"")</f>
        <v/>
      </c>
    </row>
    <row r="6565" spans="1:14">
      <c r="A6565" s="6">
        <v>2025</v>
      </c>
      <c r="B6565" s="6">
        <v>10</v>
      </c>
      <c r="C6565" s="6" t="s">
        <v>69</v>
      </c>
      <c r="D6565" s="6" t="s">
        <v>373</v>
      </c>
      <c r="E6565" s="6" t="s">
        <v>438</v>
      </c>
      <c r="F6565" s="6" t="str">
        <f>IF($M6565="PADD I","PADD 1",IF($M6565="PADD II","PADD 2",IF($M6565="PADD III","PADD 3",IF($M6565="PADD IV","PADD 4",IF($M6565="PADD V","PADD 5","")))))</f>
        <v>PADD 3</v>
      </c>
      <c r="G6565" s="6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6" t="s">
        <v>44</v>
      </c>
      <c r="I6565" s="6" t="s">
        <v>732</v>
      </c>
      <c r="J6565" s="6" t="s">
        <v>394</v>
      </c>
      <c r="K6565" s="10">
        <v>33.92</v>
      </c>
      <c r="L6565" s="10">
        <v>106</v>
      </c>
      <c r="M6565" s="6" t="s">
        <v>421</v>
      </c>
      <c r="N6565" s="6">
        <f>IF(OR($G6565="FCC",$G6565="Hydrocracker",$G6565="Reformer"),IF(COUNTIFS($D:$D,$D6565,$A:$A,$A6565,$B:$B,$B6565,$G:$G,"CDU",$J:$J,"PLANNED")&gt;0,"tied","standalone"),"")</f>
        <v/>
      </c>
    </row>
    <row r="6566" spans="1:14">
      <c r="A6566" s="6">
        <v>2025</v>
      </c>
      <c r="B6566" s="6">
        <v>10</v>
      </c>
      <c r="C6566" s="6" t="s">
        <v>69</v>
      </c>
      <c r="D6566" s="6" t="s">
        <v>689</v>
      </c>
      <c r="E6566" s="6" t="s">
        <v>502</v>
      </c>
      <c r="F6566" s="6" t="str">
        <f>IF($M6566="PADD I","PADD 1",IF($M6566="PADD II","PADD 2",IF($M6566="PADD III","PADD 3",IF($M6566="PADD IV","PADD 4",IF($M6566="PADD V","PADD 5","")))))</f>
        <v>PADD 5</v>
      </c>
      <c r="G6566" s="6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6" t="s">
        <v>44</v>
      </c>
      <c r="I6566" s="6" t="s">
        <v>1383</v>
      </c>
      <c r="J6566" s="6" t="s">
        <v>398</v>
      </c>
      <c r="K6566" s="10">
        <v>33</v>
      </c>
      <c r="L6566" s="10">
        <v>33</v>
      </c>
      <c r="M6566" s="6" t="s">
        <v>436</v>
      </c>
      <c r="N6566" s="6">
        <f>IF(OR($G6566="FCC",$G6566="Hydrocracker",$G6566="Reformer"),IF(COUNTIFS($D:$D,$D6566,$A:$A,$A6566,$B:$B,$B6566,$G:$G,"CDU",$J:$J,"PLANNED")&gt;0,"tied","standalone"),"")</f>
        <v/>
      </c>
    </row>
    <row r="6567" spans="1:14">
      <c r="A6567" s="6">
        <v>2025</v>
      </c>
      <c r="B6567" s="6">
        <v>10</v>
      </c>
      <c r="C6567" s="6" t="s">
        <v>69</v>
      </c>
      <c r="D6567" s="6" t="s">
        <v>689</v>
      </c>
      <c r="E6567" s="6" t="s">
        <v>502</v>
      </c>
      <c r="F6567" s="6" t="str">
        <f>IF($M6567="PADD I","PADD 1",IF($M6567="PADD II","PADD 2",IF($M6567="PADD III","PADD 3",IF($M6567="PADD IV","PADD 4",IF($M6567="PADD V","PADD 5","")))))</f>
        <v>PADD 5</v>
      </c>
      <c r="G6567" s="6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6" t="s">
        <v>428</v>
      </c>
      <c r="I6567" s="6" t="s">
        <v>429</v>
      </c>
      <c r="J6567" s="6" t="s">
        <v>398</v>
      </c>
      <c r="K6567" s="10">
        <v>32.9</v>
      </c>
      <c r="L6567" s="10">
        <v>32.9</v>
      </c>
      <c r="M6567" s="6" t="s">
        <v>436</v>
      </c>
      <c r="N6567" s="6">
        <f>IF(OR($G6567="FCC",$G6567="Hydrocracker",$G6567="Reformer"),IF(COUNTIFS($D:$D,$D6567,$A:$A,$A6567,$B:$B,$B6567,$G:$G,"CDU",$J:$J,"PLANNED")&gt;0,"tied","standalone"),"")</f>
        <v/>
      </c>
    </row>
    <row r="6568" spans="1:14">
      <c r="A6568" s="6">
        <v>2025</v>
      </c>
      <c r="B6568" s="6">
        <v>10</v>
      </c>
      <c r="C6568" s="6" t="s">
        <v>69</v>
      </c>
      <c r="D6568" s="6" t="s">
        <v>662</v>
      </c>
      <c r="E6568" s="6" t="s">
        <v>466</v>
      </c>
      <c r="F6568" s="6" t="str">
        <f>IF($M6568="PADD I","PADD 1",IF($M6568="PADD II","PADD 2",IF($M6568="PADD III","PADD 3",IF($M6568="PADD IV","PADD 4",IF($M6568="PADD V","PADD 5","")))))</f>
        <v>PADD 3</v>
      </c>
      <c r="G6568" s="6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6" t="s">
        <v>485</v>
      </c>
      <c r="I6568" s="6" t="s">
        <v>491</v>
      </c>
      <c r="J6568" s="6" t="s">
        <v>394</v>
      </c>
      <c r="K6568" s="10">
        <v>32.56</v>
      </c>
      <c r="L6568" s="10">
        <v>44</v>
      </c>
      <c r="M6568" s="6" t="s">
        <v>421</v>
      </c>
      <c r="N6568" s="6">
        <f>IF(OR($G6568="FCC",$G6568="Hydrocracker",$G6568="Reformer"),IF(COUNTIFS($D:$D,$D6568,$A:$A,$A6568,$B:$B,$B6568,$G:$G,"CDU",$J:$J,"PLANNED")&gt;0,"tied","standalone"),"")</f>
        <v/>
      </c>
    </row>
    <row r="6569" spans="1:14">
      <c r="A6569" s="6">
        <v>2025</v>
      </c>
      <c r="B6569" s="6">
        <v>10</v>
      </c>
      <c r="C6569" s="6" t="s">
        <v>69</v>
      </c>
      <c r="D6569" s="6" t="s">
        <v>820</v>
      </c>
      <c r="E6569" s="6" t="s">
        <v>710</v>
      </c>
      <c r="F6569" s="6" t="str">
        <f>IF($M6569="PADD I","PADD 1",IF($M6569="PADD II","PADD 2",IF($M6569="PADD III","PADD 3",IF($M6569="PADD IV","PADD 4",IF($M6569="PADD V","PADD 5","")))))</f>
        <v>PADD 3</v>
      </c>
      <c r="G6569" s="6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6" t="s">
        <v>485</v>
      </c>
      <c r="I6569" s="6" t="s">
        <v>491</v>
      </c>
      <c r="J6569" s="6" t="s">
        <v>394</v>
      </c>
      <c r="K6569" s="10">
        <v>32</v>
      </c>
      <c r="L6569" s="10">
        <v>32</v>
      </c>
      <c r="M6569" s="6" t="s">
        <v>421</v>
      </c>
      <c r="N6569" s="6">
        <f>IF(OR($G6569="FCC",$G6569="Hydrocracker",$G6569="Reformer"),IF(COUNTIFS($D:$D,$D6569,$A:$A,$A6569,$B:$B,$B6569,$G:$G,"CDU",$J:$J,"PLANNED")&gt;0,"tied","standalone"),"")</f>
        <v/>
      </c>
    </row>
    <row r="6570" spans="1:14">
      <c r="A6570" s="6">
        <v>2025</v>
      </c>
      <c r="B6570" s="6">
        <v>10</v>
      </c>
      <c r="C6570" s="6" t="s">
        <v>69</v>
      </c>
      <c r="D6570" s="6" t="s">
        <v>375</v>
      </c>
      <c r="E6570" s="6" t="s">
        <v>435</v>
      </c>
      <c r="F6570" s="6" t="str">
        <f>IF($M6570="PADD I","PADD 1",IF($M6570="PADD II","PADD 2",IF($M6570="PADD III","PADD 3",IF($M6570="PADD IV","PADD 4",IF($M6570="PADD V","PADD 5","")))))</f>
        <v>PADD 5</v>
      </c>
      <c r="G6570" s="6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6" t="s">
        <v>428</v>
      </c>
      <c r="I6570" s="6" t="s">
        <v>481</v>
      </c>
      <c r="J6570" s="6" t="s">
        <v>394</v>
      </c>
      <c r="K6570" s="10">
        <v>31.5</v>
      </c>
      <c r="L6570" s="10">
        <v>31.5</v>
      </c>
      <c r="M6570" s="6" t="s">
        <v>436</v>
      </c>
      <c r="N6570" s="6">
        <f>IF(OR($G6570="FCC",$G6570="Hydrocracker",$G6570="Reformer"),IF(COUNTIFS($D:$D,$D6570,$A:$A,$A6570,$B:$B,$B6570,$G:$G,"CDU",$J:$J,"PLANNED")&gt;0,"tied","standalone"),"")</f>
        <v/>
      </c>
    </row>
    <row r="6571" spans="1:14">
      <c r="A6571" s="6">
        <v>2025</v>
      </c>
      <c r="B6571" s="6">
        <v>10</v>
      </c>
      <c r="C6571" s="6" t="s">
        <v>69</v>
      </c>
      <c r="D6571" s="6" t="s">
        <v>52</v>
      </c>
      <c r="E6571" s="6" t="s">
        <v>441</v>
      </c>
      <c r="F6571" s="6" t="str">
        <f>IF($M6571="PADD I","PADD 1",IF($M6571="PADD II","PADD 2",IF($M6571="PADD III","PADD 3",IF($M6571="PADD IV","PADD 4",IF($M6571="PADD V","PADD 5","")))))</f>
        <v>PADD 5</v>
      </c>
      <c r="G6571" s="6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6" t="s">
        <v>471</v>
      </c>
      <c r="I6571" s="6" t="s">
        <v>589</v>
      </c>
      <c r="J6571" s="6" t="s">
        <v>394</v>
      </c>
      <c r="K6571" s="10">
        <v>31.2</v>
      </c>
      <c r="L6571" s="10">
        <v>60</v>
      </c>
      <c r="M6571" s="6" t="s">
        <v>436</v>
      </c>
      <c r="N6571" s="6" t="str">
        <f>IF(OR($G6571="FCC",$G6571="Hydrocracker",$G6571="Reformer"),IF(COUNTIFS($D:$D,$D6571,$A:$A,$A6571,$B:$B,$B6571,$G:$G,"CDU",$J:$J,"PLANNED")&gt;0,"tied","standalone"),"")</f>
        <v>standalone</v>
      </c>
    </row>
    <row r="6572" spans="1:14">
      <c r="A6572" s="6">
        <v>2025</v>
      </c>
      <c r="B6572" s="6">
        <v>10</v>
      </c>
      <c r="C6572" s="6" t="s">
        <v>69</v>
      </c>
      <c r="D6572" s="6" t="s">
        <v>613</v>
      </c>
      <c r="E6572" s="6" t="s">
        <v>446</v>
      </c>
      <c r="F6572" s="6" t="str">
        <f>IF($M6572="PADD I","PADD 1",IF($M6572="PADD II","PADD 2",IF($M6572="PADD III","PADD 3",IF($M6572="PADD IV","PADD 4",IF($M6572="PADD V","PADD 5","")))))</f>
        <v>PADD 3</v>
      </c>
      <c r="G6572" s="6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6" t="s">
        <v>44</v>
      </c>
      <c r="I6572" s="6" t="s">
        <v>499</v>
      </c>
      <c r="J6572" s="6" t="s">
        <v>394</v>
      </c>
      <c r="K6572" s="10">
        <v>31.185</v>
      </c>
      <c r="L6572" s="10">
        <v>38.5</v>
      </c>
      <c r="M6572" s="6" t="s">
        <v>421</v>
      </c>
      <c r="N6572" s="6">
        <f>IF(OR($G6572="FCC",$G6572="Hydrocracker",$G6572="Reformer"),IF(COUNTIFS($D:$D,$D6572,$A:$A,$A6572,$B:$B,$B6572,$G:$G,"CDU",$J:$J,"PLANNED")&gt;0,"tied","standalone"),"")</f>
        <v/>
      </c>
    </row>
    <row r="6573" spans="1:14">
      <c r="A6573" s="6">
        <v>2025</v>
      </c>
      <c r="B6573" s="6">
        <v>10</v>
      </c>
      <c r="C6573" s="6" t="s">
        <v>69</v>
      </c>
      <c r="D6573" s="6" t="s">
        <v>518</v>
      </c>
      <c r="E6573" s="6" t="s">
        <v>419</v>
      </c>
      <c r="F6573" s="6" t="str">
        <f>IF($M6573="PADD I","PADD 1",IF($M6573="PADD II","PADD 2",IF($M6573="PADD III","PADD 3",IF($M6573="PADD IV","PADD 4",IF($M6573="PADD V","PADD 5","")))))</f>
        <v>PADD 3</v>
      </c>
      <c r="G6573" s="6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6" t="s">
        <v>426</v>
      </c>
      <c r="I6573" s="6" t="s">
        <v>523</v>
      </c>
      <c r="J6573" s="6" t="s">
        <v>398</v>
      </c>
      <c r="K6573" s="10">
        <v>30</v>
      </c>
      <c r="L6573" s="10">
        <v>30</v>
      </c>
      <c r="M6573" s="6" t="s">
        <v>421</v>
      </c>
      <c r="N6573" s="6" t="str">
        <f>IF(OR($G6573="FCC",$G6573="Hydrocracker",$G6573="Reformer"),IF(COUNTIFS($D:$D,$D6573,$A:$A,$A6573,$B:$B,$B6573,$G:$G,"CDU",$J:$J,"PLANNED")&gt;0,"tied","standalone"),"")</f>
        <v>standalone</v>
      </c>
    </row>
    <row r="6574" spans="1:14">
      <c r="A6574" s="6">
        <v>2025</v>
      </c>
      <c r="B6574" s="6">
        <v>10</v>
      </c>
      <c r="C6574" s="6" t="s">
        <v>69</v>
      </c>
      <c r="D6574" s="6" t="s">
        <v>458</v>
      </c>
      <c r="E6574" s="6" t="s">
        <v>459</v>
      </c>
      <c r="F6574" s="6" t="str">
        <f>IF($M6574="PADD I","PADD 1",IF($M6574="PADD II","PADD 2",IF($M6574="PADD III","PADD 3",IF($M6574="PADD IV","PADD 4",IF($M6574="PADD V","PADD 5","")))))</f>
        <v>PADD 3</v>
      </c>
      <c r="G6574" s="6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6" t="s">
        <v>44</v>
      </c>
      <c r="I6574" s="6" t="s">
        <v>553</v>
      </c>
      <c r="J6574" s="6" t="s">
        <v>398</v>
      </c>
      <c r="K6574" s="10">
        <v>30</v>
      </c>
      <c r="L6574" s="10">
        <v>30</v>
      </c>
      <c r="M6574" s="6" t="s">
        <v>421</v>
      </c>
      <c r="N6574" s="6">
        <f>IF(OR($G6574="FCC",$G6574="Hydrocracker",$G6574="Reformer"),IF(COUNTIFS($D:$D,$D6574,$A:$A,$A6574,$B:$B,$B6574,$G:$G,"CDU",$J:$J,"PLANNED")&gt;0,"tied","standalone"),"")</f>
        <v/>
      </c>
    </row>
    <row r="6575" spans="1:14">
      <c r="A6575" s="6">
        <v>2025</v>
      </c>
      <c r="B6575" s="6">
        <v>10</v>
      </c>
      <c r="C6575" s="6" t="s">
        <v>69</v>
      </c>
      <c r="D6575" s="6" t="s">
        <v>592</v>
      </c>
      <c r="E6575" s="6" t="s">
        <v>593</v>
      </c>
      <c r="F6575" s="6" t="str">
        <f>IF($M6575="PADD I","PADD 1",IF($M6575="PADD II","PADD 2",IF($M6575="PADD III","PADD 3",IF($M6575="PADD IV","PADD 4",IF($M6575="PADD V","PADD 5","")))))</f>
        <v>PADD 2</v>
      </c>
      <c r="G6575" s="6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6" t="s">
        <v>44</v>
      </c>
      <c r="I6575" s="6" t="s">
        <v>601</v>
      </c>
      <c r="J6575" s="6" t="s">
        <v>394</v>
      </c>
      <c r="K6575" s="10">
        <v>29</v>
      </c>
      <c r="L6575" s="10">
        <v>100</v>
      </c>
      <c r="M6575" s="6" t="s">
        <v>425</v>
      </c>
      <c r="N6575" s="6">
        <f>IF(OR($G6575="FCC",$G6575="Hydrocracker",$G6575="Reformer"),IF(COUNTIFS($D:$D,$D6575,$A:$A,$A6575,$B:$B,$B6575,$G:$G,"CDU",$J:$J,"PLANNED")&gt;0,"tied","standalone"),"")</f>
        <v/>
      </c>
    </row>
    <row r="6576" spans="1:14">
      <c r="A6576" s="6">
        <v>2025</v>
      </c>
      <c r="B6576" s="6">
        <v>10</v>
      </c>
      <c r="C6576" s="6" t="s">
        <v>69</v>
      </c>
      <c r="D6576" s="6" t="s">
        <v>689</v>
      </c>
      <c r="E6576" s="6" t="s">
        <v>502</v>
      </c>
      <c r="F6576" s="6" t="str">
        <f>IF($M6576="PADD I","PADD 1",IF($M6576="PADD II","PADD 2",IF($M6576="PADD III","PADD 3",IF($M6576="PADD IV","PADD 4",IF($M6576="PADD V","PADD 5","")))))</f>
        <v>PADD 5</v>
      </c>
      <c r="G6576" s="6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6" t="s">
        <v>428</v>
      </c>
      <c r="I6576" s="6" t="s">
        <v>429</v>
      </c>
      <c r="J6576" s="6" t="s">
        <v>398</v>
      </c>
      <c r="K6576" s="10">
        <v>27.636</v>
      </c>
      <c r="L6576" s="10">
        <v>65.8</v>
      </c>
      <c r="M6576" s="6" t="s">
        <v>436</v>
      </c>
      <c r="N6576" s="6">
        <f>IF(OR($G6576="FCC",$G6576="Hydrocracker",$G6576="Reformer"),IF(COUNTIFS($D:$D,$D6576,$A:$A,$A6576,$B:$B,$B6576,$G:$G,"CDU",$J:$J,"PLANNED")&gt;0,"tied","standalone"),"")</f>
        <v/>
      </c>
    </row>
    <row r="6577" spans="1:14">
      <c r="A6577" s="6">
        <v>2025</v>
      </c>
      <c r="B6577" s="6">
        <v>10</v>
      </c>
      <c r="C6577" s="6" t="s">
        <v>69</v>
      </c>
      <c r="D6577" s="6" t="s">
        <v>1035</v>
      </c>
      <c r="E6577" s="6" t="s">
        <v>593</v>
      </c>
      <c r="F6577" s="6" t="str">
        <f>IF($M6577="PADD I","PADD 1",IF($M6577="PADD II","PADD 2",IF($M6577="PADD III","PADD 3",IF($M6577="PADD IV","PADD 4",IF($M6577="PADD V","PADD 5","")))))</f>
        <v>PADD 2</v>
      </c>
      <c r="G6577" s="6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6" t="s">
        <v>428</v>
      </c>
      <c r="I6577" s="6" t="s">
        <v>836</v>
      </c>
      <c r="J6577" s="6" t="s">
        <v>394</v>
      </c>
      <c r="K6577" s="10">
        <v>27.1485</v>
      </c>
      <c r="L6577" s="10">
        <v>60.33</v>
      </c>
      <c r="M6577" s="6" t="s">
        <v>425</v>
      </c>
      <c r="N6577" s="6">
        <f>IF(OR($G6577="FCC",$G6577="Hydrocracker",$G6577="Reformer"),IF(COUNTIFS($D:$D,$D6577,$A:$A,$A6577,$B:$B,$B6577,$G:$G,"CDU",$J:$J,"PLANNED")&gt;0,"tied","standalone"),"")</f>
        <v/>
      </c>
    </row>
    <row r="6578" spans="1:14">
      <c r="A6578" s="6">
        <v>2025</v>
      </c>
      <c r="B6578" s="6">
        <v>10</v>
      </c>
      <c r="C6578" s="6" t="s">
        <v>69</v>
      </c>
      <c r="D6578" s="6" t="s">
        <v>592</v>
      </c>
      <c r="E6578" s="6" t="s">
        <v>593</v>
      </c>
      <c r="F6578" s="6" t="str">
        <f>IF($M6578="PADD I","PADD 1",IF($M6578="PADD II","PADD 2",IF($M6578="PADD III","PADD 3",IF($M6578="PADD IV","PADD 4",IF($M6578="PADD V","PADD 5","")))))</f>
        <v>PADD 2</v>
      </c>
      <c r="G6578" s="6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6" t="s">
        <v>426</v>
      </c>
      <c r="I6578" s="6" t="s">
        <v>1160</v>
      </c>
      <c r="J6578" s="6" t="s">
        <v>394</v>
      </c>
      <c r="K6578" s="10">
        <v>25.3</v>
      </c>
      <c r="L6578" s="10">
        <v>110</v>
      </c>
      <c r="M6578" s="6" t="s">
        <v>425</v>
      </c>
      <c r="N6578" s="6" t="str">
        <f>IF(OR($G6578="FCC",$G6578="Hydrocracker",$G6578="Reformer"),IF(COUNTIFS($D:$D,$D6578,$A:$A,$A6578,$B:$B,$B6578,$G:$G,"CDU",$J:$J,"PLANNED")&gt;0,"tied","standalone"),"")</f>
        <v>tied</v>
      </c>
    </row>
    <row r="6579" spans="1:14">
      <c r="A6579" s="6">
        <v>2025</v>
      </c>
      <c r="B6579" s="6">
        <v>10</v>
      </c>
      <c r="C6579" s="6" t="s">
        <v>69</v>
      </c>
      <c r="D6579" s="6" t="s">
        <v>445</v>
      </c>
      <c r="E6579" s="6" t="s">
        <v>446</v>
      </c>
      <c r="F6579" s="6" t="str">
        <f>IF($M6579="PADD I","PADD 1",IF($M6579="PADD II","PADD 2",IF($M6579="PADD III","PADD 3",IF($M6579="PADD IV","PADD 4",IF($M6579="PADD V","PADD 5","")))))</f>
        <v>PADD 3</v>
      </c>
      <c r="G6579" s="6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6" t="s">
        <v>471</v>
      </c>
      <c r="I6579" s="6" t="s">
        <v>590</v>
      </c>
      <c r="J6579" s="6" t="s">
        <v>398</v>
      </c>
      <c r="K6579" s="10">
        <v>25.2</v>
      </c>
      <c r="L6579" s="10">
        <v>30</v>
      </c>
      <c r="M6579" s="6" t="s">
        <v>421</v>
      </c>
      <c r="N6579" s="6" t="str">
        <f>IF(OR($G6579="FCC",$G6579="Hydrocracker",$G6579="Reformer"),IF(COUNTIFS($D:$D,$D6579,$A:$A,$A6579,$B:$B,$B6579,$G:$G,"CDU",$J:$J,"PLANNED")&gt;0,"tied","standalone"),"")</f>
        <v>tied</v>
      </c>
    </row>
    <row r="6580" spans="1:14">
      <c r="A6580" s="6">
        <v>2025</v>
      </c>
      <c r="B6580" s="6">
        <v>10</v>
      </c>
      <c r="C6580" s="6" t="s">
        <v>69</v>
      </c>
      <c r="D6580" s="6" t="s">
        <v>507</v>
      </c>
      <c r="E6580" s="6" t="s">
        <v>438</v>
      </c>
      <c r="F6580" s="6" t="str">
        <f>IF($M6580="PADD I","PADD 1",IF($M6580="PADD II","PADD 2",IF($M6580="PADD III","PADD 3",IF($M6580="PADD IV","PADD 4",IF($M6580="PADD V","PADD 5","")))))</f>
        <v>PADD 5</v>
      </c>
      <c r="G6580" s="6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6" t="s">
        <v>44</v>
      </c>
      <c r="I6580" s="6" t="s">
        <v>1143</v>
      </c>
      <c r="J6580" s="6" t="s">
        <v>398</v>
      </c>
      <c r="K6580" s="10">
        <v>25</v>
      </c>
      <c r="L6580" s="10">
        <v>25</v>
      </c>
      <c r="M6580" s="6" t="s">
        <v>436</v>
      </c>
      <c r="N6580" s="6">
        <f>IF(OR($G6580="FCC",$G6580="Hydrocracker",$G6580="Reformer"),IF(COUNTIFS($D:$D,$D6580,$A:$A,$A6580,$B:$B,$B6580,$G:$G,"CDU",$J:$J,"PLANNED")&gt;0,"tied","standalone"),"")</f>
        <v/>
      </c>
    </row>
    <row r="6581" spans="1:14">
      <c r="A6581" s="6">
        <v>2025</v>
      </c>
      <c r="B6581" s="6">
        <v>10</v>
      </c>
      <c r="C6581" s="6" t="s">
        <v>69</v>
      </c>
      <c r="D6581" s="6" t="s">
        <v>764</v>
      </c>
      <c r="E6581" s="6" t="s">
        <v>455</v>
      </c>
      <c r="F6581" s="6" t="str">
        <f>IF($M6581="PADD I","PADD 1",IF($M6581="PADD II","PADD 2",IF($M6581="PADD III","PADD 3",IF($M6581="PADD IV","PADD 4",IF($M6581="PADD V","PADD 5","")))))</f>
        <v>PADD 3</v>
      </c>
      <c r="G6581" s="6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6" t="s">
        <v>426</v>
      </c>
      <c r="I6581" s="6" t="s">
        <v>106</v>
      </c>
      <c r="J6581" s="6" t="s">
        <v>394</v>
      </c>
      <c r="K6581" s="10">
        <v>24.5115</v>
      </c>
      <c r="L6581" s="10">
        <v>54.47</v>
      </c>
      <c r="M6581" s="6" t="s">
        <v>421</v>
      </c>
      <c r="N6581" s="6" t="str">
        <f>IF(OR($G6581="FCC",$G6581="Hydrocracker",$G6581="Reformer"),IF(COUNTIFS($D:$D,$D6581,$A:$A,$A6581,$B:$B,$B6581,$G:$G,"CDU",$J:$J,"PLANNED")&gt;0,"tied","standalone"),"")</f>
        <v>standalone</v>
      </c>
    </row>
    <row r="6582" spans="1:14">
      <c r="A6582" s="6">
        <v>2025</v>
      </c>
      <c r="B6582" s="6">
        <v>10</v>
      </c>
      <c r="C6582" s="6" t="s">
        <v>69</v>
      </c>
      <c r="D6582" s="6" t="s">
        <v>458</v>
      </c>
      <c r="E6582" s="6" t="s">
        <v>459</v>
      </c>
      <c r="F6582" s="6" t="str">
        <f>IF($M6582="PADD I","PADD 1",IF($M6582="PADD II","PADD 2",IF($M6582="PADD III","PADD 3",IF($M6582="PADD IV","PADD 4",IF($M6582="PADD V","PADD 5","")))))</f>
        <v>PADD 3</v>
      </c>
      <c r="G6582" s="6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6" t="s">
        <v>44</v>
      </c>
      <c r="I6582" s="6" t="s">
        <v>567</v>
      </c>
      <c r="J6582" s="6" t="s">
        <v>398</v>
      </c>
      <c r="K6582" s="10">
        <v>24</v>
      </c>
      <c r="L6582" s="10">
        <v>24</v>
      </c>
      <c r="M6582" s="6" t="s">
        <v>421</v>
      </c>
      <c r="N6582" s="6">
        <f>IF(OR($G6582="FCC",$G6582="Hydrocracker",$G6582="Reformer"),IF(COUNTIFS($D:$D,$D6582,$A:$A,$A6582,$B:$B,$B6582,$G:$G,"CDU",$J:$J,"PLANNED")&gt;0,"tied","standalone"),"")</f>
        <v/>
      </c>
    </row>
    <row r="6583" spans="1:14">
      <c r="A6583" s="6">
        <v>2025</v>
      </c>
      <c r="B6583" s="6">
        <v>10</v>
      </c>
      <c r="C6583" s="6" t="s">
        <v>69</v>
      </c>
      <c r="D6583" s="6" t="s">
        <v>689</v>
      </c>
      <c r="E6583" s="6" t="s">
        <v>502</v>
      </c>
      <c r="F6583" s="6" t="str">
        <f>IF($M6583="PADD I","PADD 1",IF($M6583="PADD II","PADD 2",IF($M6583="PADD III","PADD 3",IF($M6583="PADD IV","PADD 4",IF($M6583="PADD V","PADD 5","")))))</f>
        <v>PADD 5</v>
      </c>
      <c r="G6583" s="6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6" t="s">
        <v>485</v>
      </c>
      <c r="I6583" s="6" t="s">
        <v>1146</v>
      </c>
      <c r="J6583" s="6" t="s">
        <v>398</v>
      </c>
      <c r="K6583" s="10">
        <v>24</v>
      </c>
      <c r="L6583" s="10">
        <v>24</v>
      </c>
      <c r="M6583" s="6" t="s">
        <v>436</v>
      </c>
      <c r="N6583" s="6">
        <f>IF(OR($G6583="FCC",$G6583="Hydrocracker",$G6583="Reformer"),IF(COUNTIFS($D:$D,$D6583,$A:$A,$A6583,$B:$B,$B6583,$G:$G,"CDU",$J:$J,"PLANNED")&gt;0,"tied","standalone"),"")</f>
        <v/>
      </c>
    </row>
    <row r="6584" spans="1:14">
      <c r="A6584" s="6">
        <v>2025</v>
      </c>
      <c r="B6584" s="6">
        <v>10</v>
      </c>
      <c r="C6584" s="6" t="s">
        <v>69</v>
      </c>
      <c r="D6584" s="6" t="s">
        <v>437</v>
      </c>
      <c r="E6584" s="6" t="s">
        <v>438</v>
      </c>
      <c r="F6584" s="6" t="str">
        <f>IF($M6584="PADD I","PADD 1",IF($M6584="PADD II","PADD 2",IF($M6584="PADD III","PADD 3",IF($M6584="PADD IV","PADD 4",IF($M6584="PADD V","PADD 5","")))))</f>
        <v>PADD 3</v>
      </c>
      <c r="G6584" s="6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6" t="s">
        <v>426</v>
      </c>
      <c r="I6584" s="6" t="s">
        <v>522</v>
      </c>
      <c r="J6584" s="6" t="s">
        <v>394</v>
      </c>
      <c r="K6584" s="10">
        <v>23.2</v>
      </c>
      <c r="L6584" s="10">
        <v>145</v>
      </c>
      <c r="M6584" s="6" t="s">
        <v>421</v>
      </c>
      <c r="N6584" s="6" t="str">
        <f>IF(OR($G6584="FCC",$G6584="Hydrocracker",$G6584="Reformer"),IF(COUNTIFS($D:$D,$D6584,$A:$A,$A6584,$B:$B,$B6584,$G:$G,"CDU",$J:$J,"PLANNED")&gt;0,"tied","standalone"),"")</f>
        <v>standalone</v>
      </c>
    </row>
    <row r="6585" spans="1:14">
      <c r="A6585" s="6">
        <v>2025</v>
      </c>
      <c r="B6585" s="6">
        <v>10</v>
      </c>
      <c r="C6585" s="6" t="s">
        <v>69</v>
      </c>
      <c r="D6585" s="6" t="s">
        <v>373</v>
      </c>
      <c r="E6585" s="6" t="s">
        <v>438</v>
      </c>
      <c r="F6585" s="6" t="str">
        <f>IF($M6585="PADD I","PADD 1",IF($M6585="PADD II","PADD 2",IF($M6585="PADD III","PADD 3",IF($M6585="PADD IV","PADD 4",IF($M6585="PADD V","PADD 5","")))))</f>
        <v>PADD 3</v>
      </c>
      <c r="G6585" s="6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6" t="s">
        <v>39</v>
      </c>
      <c r="I6585" s="6" t="s">
        <v>99</v>
      </c>
      <c r="J6585" s="6" t="s">
        <v>398</v>
      </c>
      <c r="K6585" s="10">
        <v>23.2</v>
      </c>
      <c r="L6585" s="10">
        <v>145</v>
      </c>
      <c r="M6585" s="6" t="s">
        <v>421</v>
      </c>
      <c r="N6585" s="6">
        <f>IF(OR($G6585="FCC",$G6585="Hydrocracker",$G6585="Reformer"),IF(COUNTIFS($D:$D,$D6585,$A:$A,$A6585,$B:$B,$B6585,$G:$G,"CDU",$J:$J,"PLANNED")&gt;0,"tied","standalone"),"")</f>
        <v/>
      </c>
    </row>
    <row r="6586" spans="1:14">
      <c r="A6586" s="6">
        <v>2025</v>
      </c>
      <c r="B6586" s="6">
        <v>10</v>
      </c>
      <c r="C6586" s="6" t="s">
        <v>69</v>
      </c>
      <c r="D6586" s="6" t="s">
        <v>458</v>
      </c>
      <c r="E6586" s="6" t="s">
        <v>459</v>
      </c>
      <c r="F6586" s="6" t="str">
        <f>IF($M6586="PADD I","PADD 1",IF($M6586="PADD II","PADD 2",IF($M6586="PADD III","PADD 3",IF($M6586="PADD IV","PADD 4",IF($M6586="PADD V","PADD 5","")))))</f>
        <v>PADD 3</v>
      </c>
      <c r="G6586" s="6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6" t="s">
        <v>44</v>
      </c>
      <c r="I6586" s="6" t="s">
        <v>528</v>
      </c>
      <c r="J6586" s="6" t="s">
        <v>398</v>
      </c>
      <c r="K6586" s="10">
        <v>23.1</v>
      </c>
      <c r="L6586" s="10">
        <v>42</v>
      </c>
      <c r="M6586" s="6" t="s">
        <v>421</v>
      </c>
      <c r="N6586" s="6">
        <f>IF(OR($G6586="FCC",$G6586="Hydrocracker",$G6586="Reformer"),IF(COUNTIFS($D:$D,$D6586,$A:$A,$A6586,$B:$B,$B6586,$G:$G,"CDU",$J:$J,"PLANNED")&gt;0,"tied","standalone"),"")</f>
        <v/>
      </c>
    </row>
    <row r="6587" spans="1:14">
      <c r="A6587" s="6">
        <v>2025</v>
      </c>
      <c r="B6587" s="6">
        <v>10</v>
      </c>
      <c r="C6587" s="6" t="s">
        <v>69</v>
      </c>
      <c r="D6587" s="6" t="s">
        <v>373</v>
      </c>
      <c r="E6587" s="6" t="s">
        <v>438</v>
      </c>
      <c r="F6587" s="6" t="str">
        <f>IF($M6587="PADD I","PADD 1",IF($M6587="PADD II","PADD 2",IF($M6587="PADD III","PADD 3",IF($M6587="PADD IV","PADD 4",IF($M6587="PADD V","PADD 5","")))))</f>
        <v>PADD 3</v>
      </c>
      <c r="G6587" s="6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6" t="s">
        <v>44</v>
      </c>
      <c r="I6587" s="6" t="s">
        <v>743</v>
      </c>
      <c r="J6587" s="6" t="s">
        <v>398</v>
      </c>
      <c r="K6587" s="10">
        <v>22.36</v>
      </c>
      <c r="L6587" s="10">
        <v>43</v>
      </c>
      <c r="M6587" s="6" t="s">
        <v>421</v>
      </c>
      <c r="N6587" s="6">
        <f>IF(OR($G6587="FCC",$G6587="Hydrocracker",$G6587="Reformer"),IF(COUNTIFS($D:$D,$D6587,$A:$A,$A6587,$B:$B,$B6587,$G:$G,"CDU",$J:$J,"PLANNED")&gt;0,"tied","standalone"),"")</f>
        <v/>
      </c>
    </row>
    <row r="6588" spans="1:14">
      <c r="A6588" s="6">
        <v>2025</v>
      </c>
      <c r="B6588" s="6">
        <v>10</v>
      </c>
      <c r="C6588" s="6" t="s">
        <v>69</v>
      </c>
      <c r="D6588" s="6" t="s">
        <v>373</v>
      </c>
      <c r="E6588" s="6" t="s">
        <v>438</v>
      </c>
      <c r="F6588" s="6" t="str">
        <f>IF($M6588="PADD I","PADD 1",IF($M6588="PADD II","PADD 2",IF($M6588="PADD III","PADD 3",IF($M6588="PADD IV","PADD 4",IF($M6588="PADD V","PADD 5","")))))</f>
        <v>PADD 3</v>
      </c>
      <c r="G6588" s="6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6" t="s">
        <v>471</v>
      </c>
      <c r="I6588" s="6" t="s">
        <v>1372</v>
      </c>
      <c r="J6588" s="6" t="s">
        <v>398</v>
      </c>
      <c r="K6588" s="10">
        <v>22.256</v>
      </c>
      <c r="L6588" s="10">
        <v>42.8</v>
      </c>
      <c r="M6588" s="6" t="s">
        <v>421</v>
      </c>
      <c r="N6588" s="6" t="str">
        <f>IF(OR($G6588="FCC",$G6588="Hydrocracker",$G6588="Reformer"),IF(COUNTIFS($D:$D,$D6588,$A:$A,$A6588,$B:$B,$B6588,$G:$G,"CDU",$J:$J,"PLANNED")&gt;0,"tied","standalone"),"")</f>
        <v>tied</v>
      </c>
    </row>
    <row r="6589" spans="1:14">
      <c r="A6589" s="6">
        <v>2025</v>
      </c>
      <c r="B6589" s="6">
        <v>10</v>
      </c>
      <c r="C6589" s="6" t="s">
        <v>69</v>
      </c>
      <c r="D6589" s="6" t="s">
        <v>696</v>
      </c>
      <c r="E6589" s="6" t="s">
        <v>455</v>
      </c>
      <c r="F6589" s="6" t="str">
        <f>IF($M6589="PADD I","PADD 1",IF($M6589="PADD II","PADD 2",IF($M6589="PADD III","PADD 3",IF($M6589="PADD IV","PADD 4",IF($M6589="PADD V","PADD 5","")))))</f>
        <v>PADD 3</v>
      </c>
      <c r="G6589" s="6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6" t="s">
        <v>44</v>
      </c>
      <c r="I6589" s="6" t="s">
        <v>893</v>
      </c>
      <c r="J6589" s="6" t="s">
        <v>394</v>
      </c>
      <c r="K6589" s="10">
        <v>22.2</v>
      </c>
      <c r="L6589" s="10">
        <v>30</v>
      </c>
      <c r="M6589" s="6" t="s">
        <v>421</v>
      </c>
      <c r="N6589" s="6">
        <f>IF(OR($G6589="FCC",$G6589="Hydrocracker",$G6589="Reformer"),IF(COUNTIFS($D:$D,$D6589,$A:$A,$A6589,$B:$B,$B6589,$G:$G,"CDU",$J:$J,"PLANNED")&gt;0,"tied","standalone"),"")</f>
        <v/>
      </c>
    </row>
    <row r="6590" spans="1:14">
      <c r="A6590" s="6">
        <v>2025</v>
      </c>
      <c r="B6590" s="6">
        <v>10</v>
      </c>
      <c r="C6590" s="6" t="s">
        <v>69</v>
      </c>
      <c r="D6590" s="6" t="s">
        <v>422</v>
      </c>
      <c r="E6590" s="6" t="s">
        <v>423</v>
      </c>
      <c r="F6590" s="6" t="str">
        <f>IF($M6590="PADD I","PADD 1",IF($M6590="PADD II","PADD 2",IF($M6590="PADD III","PADD 3",IF($M6590="PADD IV","PADD 4",IF($M6590="PADD V","PADD 5","")))))</f>
        <v>PADD 2</v>
      </c>
      <c r="G6590" s="6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6" t="s">
        <v>485</v>
      </c>
      <c r="I6590" s="6" t="s">
        <v>517</v>
      </c>
      <c r="J6590" s="6" t="s">
        <v>398</v>
      </c>
      <c r="K6590" s="10">
        <v>21.3</v>
      </c>
      <c r="L6590" s="10">
        <v>30</v>
      </c>
      <c r="M6590" s="6" t="s">
        <v>425</v>
      </c>
      <c r="N6590" s="6">
        <f>IF(OR($G6590="FCC",$G6590="Hydrocracker",$G6590="Reformer"),IF(COUNTIFS($D:$D,$D6590,$A:$A,$A6590,$B:$B,$B6590,$G:$G,"CDU",$J:$J,"PLANNED")&gt;0,"tied","standalone"),"")</f>
        <v/>
      </c>
    </row>
    <row r="6591" spans="1:14">
      <c r="A6591" s="6">
        <v>2025</v>
      </c>
      <c r="B6591" s="6">
        <v>10</v>
      </c>
      <c r="C6591" s="6" t="s">
        <v>69</v>
      </c>
      <c r="D6591" s="6" t="s">
        <v>422</v>
      </c>
      <c r="E6591" s="6" t="s">
        <v>423</v>
      </c>
      <c r="F6591" s="6" t="str">
        <f>IF($M6591="PADD I","PADD 1",IF($M6591="PADD II","PADD 2",IF($M6591="PADD III","PADD 3",IF($M6591="PADD IV","PADD 4",IF($M6591="PADD V","PADD 5","")))))</f>
        <v>PADD 2</v>
      </c>
      <c r="G6591" s="6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6" t="s">
        <v>39</v>
      </c>
      <c r="I6591" s="6" t="s">
        <v>424</v>
      </c>
      <c r="J6591" s="6" t="s">
        <v>394</v>
      </c>
      <c r="K6591" s="10">
        <v>20.9</v>
      </c>
      <c r="L6591" s="10">
        <v>110</v>
      </c>
      <c r="M6591" s="6" t="s">
        <v>425</v>
      </c>
      <c r="N6591" s="6">
        <f>IF(OR($G6591="FCC",$G6591="Hydrocracker",$G6591="Reformer"),IF(COUNTIFS($D:$D,$D6591,$A:$A,$A6591,$B:$B,$B6591,$G:$G,"CDU",$J:$J,"PLANNED")&gt;0,"tied","standalone"),"")</f>
        <v/>
      </c>
    </row>
    <row r="6592" spans="1:14">
      <c r="A6592" s="6">
        <v>2025</v>
      </c>
      <c r="B6592" s="6">
        <v>10</v>
      </c>
      <c r="C6592" s="6" t="s">
        <v>69</v>
      </c>
      <c r="D6592" s="6" t="s">
        <v>52</v>
      </c>
      <c r="E6592" s="6" t="s">
        <v>441</v>
      </c>
      <c r="F6592" s="6" t="str">
        <f>IF($M6592="PADD I","PADD 1",IF($M6592="PADD II","PADD 2",IF($M6592="PADD III","PADD 3",IF($M6592="PADD IV","PADD 4",IF($M6592="PADD V","PADD 5","")))))</f>
        <v>PADD 5</v>
      </c>
      <c r="G6592" s="6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6" t="s">
        <v>39</v>
      </c>
      <c r="I6592" s="6" t="s">
        <v>136</v>
      </c>
      <c r="J6592" s="6" t="s">
        <v>394</v>
      </c>
      <c r="K6592" s="10">
        <v>20.7</v>
      </c>
      <c r="L6592" s="10">
        <v>90</v>
      </c>
      <c r="M6592" s="6" t="s">
        <v>436</v>
      </c>
      <c r="N6592" s="6">
        <f>IF(OR($G6592="FCC",$G6592="Hydrocracker",$G6592="Reformer"),IF(COUNTIFS($D:$D,$D6592,$A:$A,$A6592,$B:$B,$B6592,$G:$G,"CDU",$J:$J,"PLANNED")&gt;0,"tied","standalone"),"")</f>
        <v/>
      </c>
    </row>
    <row r="6593" spans="1:14">
      <c r="A6593" s="6">
        <v>2025</v>
      </c>
      <c r="B6593" s="6">
        <v>10</v>
      </c>
      <c r="C6593" s="6" t="s">
        <v>69</v>
      </c>
      <c r="D6593" s="6" t="s">
        <v>534</v>
      </c>
      <c r="E6593" s="6" t="s">
        <v>459</v>
      </c>
      <c r="F6593" s="6" t="str">
        <f>IF($M6593="PADD I","PADD 1",IF($M6593="PADD II","PADD 2",IF($M6593="PADD III","PADD 3",IF($M6593="PADD IV","PADD 4",IF($M6593="PADD V","PADD 5","")))))</f>
        <v>PADD 3</v>
      </c>
      <c r="G6593" s="6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6" t="s">
        <v>44</v>
      </c>
      <c r="I6593" s="6" t="s">
        <v>551</v>
      </c>
      <c r="J6593" s="6" t="s">
        <v>394</v>
      </c>
      <c r="K6593" s="10">
        <v>20.475</v>
      </c>
      <c r="L6593" s="10">
        <v>45.5</v>
      </c>
      <c r="M6593" s="6" t="s">
        <v>421</v>
      </c>
      <c r="N6593" s="6">
        <f>IF(OR($G6593="FCC",$G6593="Hydrocracker",$G6593="Reformer"),IF(COUNTIFS($D:$D,$D6593,$A:$A,$A6593,$B:$B,$B6593,$G:$G,"CDU",$J:$J,"PLANNED")&gt;0,"tied","standalone"),"")</f>
        <v/>
      </c>
    </row>
    <row r="6594" spans="1:14">
      <c r="A6594" s="6">
        <v>2025</v>
      </c>
      <c r="B6594" s="6">
        <v>10</v>
      </c>
      <c r="C6594" s="6" t="s">
        <v>69</v>
      </c>
      <c r="D6594" s="6" t="s">
        <v>458</v>
      </c>
      <c r="E6594" s="6" t="s">
        <v>459</v>
      </c>
      <c r="F6594" s="6" t="str">
        <f>IF($M6594="PADD I","PADD 1",IF($M6594="PADD II","PADD 2",IF($M6594="PADD III","PADD 3",IF($M6594="PADD IV","PADD 4",IF($M6594="PADD V","PADD 5","")))))</f>
        <v>PADD 3</v>
      </c>
      <c r="G6594" s="6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6" t="s">
        <v>44</v>
      </c>
      <c r="I6594" s="6" t="s">
        <v>552</v>
      </c>
      <c r="J6594" s="6" t="s">
        <v>398</v>
      </c>
      <c r="K6594" s="10">
        <v>20.4</v>
      </c>
      <c r="L6594" s="10">
        <v>30</v>
      </c>
      <c r="M6594" s="6" t="s">
        <v>421</v>
      </c>
      <c r="N6594" s="6">
        <f>IF(OR($G6594="FCC",$G6594="Hydrocracker",$G6594="Reformer"),IF(COUNTIFS($D:$D,$D6594,$A:$A,$A6594,$B:$B,$B6594,$G:$G,"CDU",$J:$J,"PLANNED")&gt;0,"tied","standalone"),"")</f>
        <v/>
      </c>
    </row>
    <row r="6595" spans="1:14">
      <c r="A6595" s="6">
        <v>2025</v>
      </c>
      <c r="B6595" s="6">
        <v>10</v>
      </c>
      <c r="C6595" s="6" t="s">
        <v>69</v>
      </c>
      <c r="D6595" s="6" t="s">
        <v>384</v>
      </c>
      <c r="E6595" s="6" t="s">
        <v>419</v>
      </c>
      <c r="F6595" s="6" t="str">
        <f>IF($M6595="PADD I","PADD 1",IF($M6595="PADD II","PADD 2",IF($M6595="PADD III","PADD 3",IF($M6595="PADD IV","PADD 4",IF($M6595="PADD V","PADD 5","")))))</f>
        <v>PADD 3</v>
      </c>
      <c r="G6595" s="6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6" t="s">
        <v>426</v>
      </c>
      <c r="I6595" s="6" t="s">
        <v>142</v>
      </c>
      <c r="J6595" s="6" t="s">
        <v>398</v>
      </c>
      <c r="K6595" s="10">
        <v>20.28</v>
      </c>
      <c r="L6595" s="10">
        <v>78</v>
      </c>
      <c r="M6595" s="6" t="s">
        <v>421</v>
      </c>
      <c r="N6595" s="6" t="str">
        <f>IF(OR($G6595="FCC",$G6595="Hydrocracker",$G6595="Reformer"),IF(COUNTIFS($D:$D,$D6595,$A:$A,$A6595,$B:$B,$B6595,$G:$G,"CDU",$J:$J,"PLANNED")&gt;0,"tied","standalone"),"")</f>
        <v>standalone</v>
      </c>
    </row>
    <row r="6596" spans="1:14">
      <c r="A6596" s="6">
        <v>2025</v>
      </c>
      <c r="B6596" s="6">
        <v>10</v>
      </c>
      <c r="C6596" s="6" t="s">
        <v>69</v>
      </c>
      <c r="D6596" s="6" t="s">
        <v>51</v>
      </c>
      <c r="E6596" s="6" t="s">
        <v>431</v>
      </c>
      <c r="F6596" s="6" t="str">
        <f>IF($M6596="PADD I","PADD 1",IF($M6596="PADD II","PADD 2",IF($M6596="PADD III","PADD 3",IF($M6596="PADD IV","PADD 4",IF($M6596="PADD V","PADD 5","")))))</f>
        <v>PADD 3</v>
      </c>
      <c r="G6596" s="6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6" t="s">
        <v>39</v>
      </c>
      <c r="I6596" s="6" t="s">
        <v>1317</v>
      </c>
      <c r="J6596" s="6" t="s">
        <v>394</v>
      </c>
      <c r="K6596" s="10">
        <v>20.15</v>
      </c>
      <c r="L6596" s="10">
        <v>155</v>
      </c>
      <c r="M6596" s="6" t="s">
        <v>421</v>
      </c>
      <c r="N6596" s="6">
        <f>IF(OR($G6596="FCC",$G6596="Hydrocracker",$G6596="Reformer"),IF(COUNTIFS($D:$D,$D6596,$A:$A,$A6596,$B:$B,$B6596,$G:$G,"CDU",$J:$J,"PLANNED")&gt;0,"tied","standalone"),"")</f>
        <v/>
      </c>
    </row>
    <row r="6597" spans="1:14">
      <c r="A6597" s="6">
        <v>2025</v>
      </c>
      <c r="B6597" s="6">
        <v>10</v>
      </c>
      <c r="C6597" s="6" t="s">
        <v>69</v>
      </c>
      <c r="D6597" s="6" t="s">
        <v>518</v>
      </c>
      <c r="E6597" s="6" t="s">
        <v>419</v>
      </c>
      <c r="F6597" s="6" t="str">
        <f>IF($M6597="PADD I","PADD 1",IF($M6597="PADD II","PADD 2",IF($M6597="PADD III","PADD 3",IF($M6597="PADD IV","PADD 4",IF($M6597="PADD V","PADD 5","")))))</f>
        <v>PADD 3</v>
      </c>
      <c r="G6597" s="6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6" t="s">
        <v>44</v>
      </c>
      <c r="I6597" s="6" t="s">
        <v>1080</v>
      </c>
      <c r="J6597" s="6" t="s">
        <v>398</v>
      </c>
      <c r="K6597" s="10">
        <v>20</v>
      </c>
      <c r="L6597" s="10">
        <v>20</v>
      </c>
      <c r="M6597" s="6" t="s">
        <v>421</v>
      </c>
      <c r="N6597" s="6">
        <f>IF(OR($G6597="FCC",$G6597="Hydrocracker",$G6597="Reformer"),IF(COUNTIFS($D:$D,$D6597,$A:$A,$A6597,$B:$B,$B6597,$G:$G,"CDU",$J:$J,"PLANNED")&gt;0,"tied","standalone"),"")</f>
        <v/>
      </c>
    </row>
    <row r="6598" spans="1:14">
      <c r="A6598" s="6">
        <v>2025</v>
      </c>
      <c r="B6598" s="6">
        <v>10</v>
      </c>
      <c r="C6598" s="6" t="s">
        <v>69</v>
      </c>
      <c r="D6598" s="6" t="s">
        <v>507</v>
      </c>
      <c r="E6598" s="6" t="s">
        <v>438</v>
      </c>
      <c r="F6598" s="6" t="str">
        <f>IF($M6598="PADD I","PADD 1",IF($M6598="PADD II","PADD 2",IF($M6598="PADD III","PADD 3",IF($M6598="PADD IV","PADD 4",IF($M6598="PADD V","PADD 5","")))))</f>
        <v>PADD 5</v>
      </c>
      <c r="G6598" s="6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6" t="s">
        <v>471</v>
      </c>
      <c r="I6598" s="6" t="s">
        <v>607</v>
      </c>
      <c r="J6598" s="6" t="s">
        <v>398</v>
      </c>
      <c r="K6598" s="10">
        <v>20</v>
      </c>
      <c r="L6598" s="10">
        <v>20</v>
      </c>
      <c r="M6598" s="6" t="s">
        <v>436</v>
      </c>
      <c r="N6598" s="6" t="str">
        <f>IF(OR($G6598="FCC",$G6598="Hydrocracker",$G6598="Reformer"),IF(COUNTIFS($D:$D,$D6598,$A:$A,$A6598,$B:$B,$B6598,$G:$G,"CDU",$J:$J,"PLANNED")&gt;0,"tied","standalone"),"")</f>
        <v>standalone</v>
      </c>
    </row>
    <row r="6599" spans="1:14">
      <c r="A6599" s="6">
        <v>2025</v>
      </c>
      <c r="B6599" s="6">
        <v>10</v>
      </c>
      <c r="C6599" s="6" t="s">
        <v>69</v>
      </c>
      <c r="D6599" s="6" t="s">
        <v>1088</v>
      </c>
      <c r="E6599" s="6" t="s">
        <v>1089</v>
      </c>
      <c r="F6599" s="6" t="str">
        <f>IF($M6599="PADD I","PADD 1",IF($M6599="PADD II","PADD 2",IF($M6599="PADD III","PADD 3",IF($M6599="PADD IV","PADD 4",IF($M6599="PADD V","PADD 5","")))))</f>
        <v>PADD 2</v>
      </c>
      <c r="G6599" s="6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6" t="s">
        <v>471</v>
      </c>
      <c r="I6599" s="6" t="s">
        <v>1096</v>
      </c>
      <c r="J6599" s="6" t="s">
        <v>398</v>
      </c>
      <c r="K6599" s="10">
        <v>20</v>
      </c>
      <c r="L6599" s="10">
        <v>20</v>
      </c>
      <c r="M6599" s="6" t="s">
        <v>425</v>
      </c>
      <c r="N6599" s="6" t="str">
        <f>IF(OR($G6599="FCC",$G6599="Hydrocracker",$G6599="Reformer"),IF(COUNTIFS($D:$D,$D6599,$A:$A,$A6599,$B:$B,$B6599,$G:$G,"CDU",$J:$J,"PLANNED")&gt;0,"tied","standalone"),"")</f>
        <v>tied</v>
      </c>
    </row>
    <row r="6600" spans="1:14">
      <c r="A6600" s="6">
        <v>2025</v>
      </c>
      <c r="B6600" s="6">
        <v>10</v>
      </c>
      <c r="C6600" s="6" t="s">
        <v>69</v>
      </c>
      <c r="D6600" s="6" t="s">
        <v>52</v>
      </c>
      <c r="E6600" s="6" t="s">
        <v>441</v>
      </c>
      <c r="F6600" s="6" t="str">
        <f>IF($M6600="PADD I","PADD 1",IF($M6600="PADD II","PADD 2",IF($M6600="PADD III","PADD 3",IF($M6600="PADD IV","PADD 4",IF($M6600="PADD V","PADD 5","")))))</f>
        <v>PADD 5</v>
      </c>
      <c r="G6600" s="6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6" t="s">
        <v>428</v>
      </c>
      <c r="I6600" s="6" t="s">
        <v>1085</v>
      </c>
      <c r="J6600" s="6" t="s">
        <v>394</v>
      </c>
      <c r="K6600" s="10">
        <v>19.6</v>
      </c>
      <c r="L6600" s="10">
        <v>56</v>
      </c>
      <c r="M6600" s="6" t="s">
        <v>436</v>
      </c>
      <c r="N6600" s="6">
        <f>IF(OR($G6600="FCC",$G6600="Hydrocracker",$G6600="Reformer"),IF(COUNTIFS($D:$D,$D6600,$A:$A,$A6600,$B:$B,$B6600,$G:$G,"CDU",$J:$J,"PLANNED")&gt;0,"tied","standalone"),"")</f>
        <v/>
      </c>
    </row>
    <row r="6601" spans="1:14">
      <c r="A6601" s="6">
        <v>2025</v>
      </c>
      <c r="B6601" s="6">
        <v>10</v>
      </c>
      <c r="C6601" s="6" t="s">
        <v>69</v>
      </c>
      <c r="D6601" s="6" t="s">
        <v>458</v>
      </c>
      <c r="E6601" s="6" t="s">
        <v>459</v>
      </c>
      <c r="F6601" s="6" t="str">
        <f>IF($M6601="PADD I","PADD 1",IF($M6601="PADD II","PADD 2",IF($M6601="PADD III","PADD 3",IF($M6601="PADD IV","PADD 4",IF($M6601="PADD V","PADD 5","")))))</f>
        <v>PADD 3</v>
      </c>
      <c r="G6601" s="6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6" t="s">
        <v>471</v>
      </c>
      <c r="I6601" s="6" t="s">
        <v>583</v>
      </c>
      <c r="J6601" s="6" t="s">
        <v>398</v>
      </c>
      <c r="K6601" s="10">
        <v>19.25</v>
      </c>
      <c r="L6601" s="10">
        <v>35</v>
      </c>
      <c r="M6601" s="6" t="s">
        <v>421</v>
      </c>
      <c r="N6601" s="6" t="str">
        <f>IF(OR($G6601="FCC",$G6601="Hydrocracker",$G6601="Reformer"),IF(COUNTIFS($D:$D,$D6601,$A:$A,$A6601,$B:$B,$B6601,$G:$G,"CDU",$J:$J,"PLANNED")&gt;0,"tied","standalone"),"")</f>
        <v>tied</v>
      </c>
    </row>
    <row r="6602" spans="1:14">
      <c r="A6602" s="6">
        <v>2025</v>
      </c>
      <c r="B6602" s="6">
        <v>10</v>
      </c>
      <c r="C6602" s="6" t="s">
        <v>69</v>
      </c>
      <c r="D6602" s="6" t="s">
        <v>430</v>
      </c>
      <c r="E6602" s="6" t="s">
        <v>431</v>
      </c>
      <c r="F6602" s="6" t="str">
        <f>IF($M6602="PADD I","PADD 1",IF($M6602="PADD II","PADD 2",IF($M6602="PADD III","PADD 3",IF($M6602="PADD IV","PADD 4",IF($M6602="PADD V","PADD 5","")))))</f>
        <v>PADD 3</v>
      </c>
      <c r="G6602" s="6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6" t="s">
        <v>39</v>
      </c>
      <c r="I6602" s="6" t="s">
        <v>115</v>
      </c>
      <c r="J6602" s="6" t="s">
        <v>394</v>
      </c>
      <c r="K6602" s="10">
        <v>19.2</v>
      </c>
      <c r="L6602" s="10">
        <v>120</v>
      </c>
      <c r="M6602" s="6" t="s">
        <v>421</v>
      </c>
      <c r="N6602" s="6">
        <f>IF(OR($G6602="FCC",$G6602="Hydrocracker",$G6602="Reformer"),IF(COUNTIFS($D:$D,$D6602,$A:$A,$A6602,$B:$B,$B6602,$G:$G,"CDU",$J:$J,"PLANNED")&gt;0,"tied","standalone"),"")</f>
        <v/>
      </c>
    </row>
    <row r="6603" spans="1:14">
      <c r="A6603" s="6">
        <v>2025</v>
      </c>
      <c r="B6603" s="6">
        <v>10</v>
      </c>
      <c r="C6603" s="6" t="s">
        <v>69</v>
      </c>
      <c r="D6603" s="6" t="s">
        <v>1373</v>
      </c>
      <c r="E6603" s="6" t="s">
        <v>419</v>
      </c>
      <c r="F6603" s="6" t="str">
        <f>IF($M6603="PADD I","PADD 1",IF($M6603="PADD II","PADD 2",IF($M6603="PADD III","PADD 3",IF($M6603="PADD IV","PADD 4",IF($M6603="PADD V","PADD 5","")))))</f>
        <v>PADD 5</v>
      </c>
      <c r="G6603" s="6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6" t="s">
        <v>44</v>
      </c>
      <c r="I6603" s="6" t="s">
        <v>861</v>
      </c>
      <c r="J6603" s="6" t="s">
        <v>398</v>
      </c>
      <c r="K6603" s="10">
        <v>18.56</v>
      </c>
      <c r="L6603" s="10">
        <v>32</v>
      </c>
      <c r="M6603" s="6" t="s">
        <v>436</v>
      </c>
      <c r="N6603" s="6">
        <f>IF(OR($G6603="FCC",$G6603="Hydrocracker",$G6603="Reformer"),IF(COUNTIFS($D:$D,$D6603,$A:$A,$A6603,$B:$B,$B6603,$G:$G,"CDU",$J:$J,"PLANNED")&gt;0,"tied","standalone"),"")</f>
        <v/>
      </c>
    </row>
    <row r="6604" spans="1:14">
      <c r="A6604" s="6">
        <v>2025</v>
      </c>
      <c r="B6604" s="6">
        <v>10</v>
      </c>
      <c r="C6604" s="6" t="s">
        <v>69</v>
      </c>
      <c r="D6604" s="6" t="s">
        <v>52</v>
      </c>
      <c r="E6604" s="6" t="s">
        <v>441</v>
      </c>
      <c r="F6604" s="6" t="str">
        <f>IF($M6604="PADD I","PADD 1",IF($M6604="PADD II","PADD 2",IF($M6604="PADD III","PADD 3",IF($M6604="PADD IV","PADD 4",IF($M6604="PADD V","PADD 5","")))))</f>
        <v>PADD 5</v>
      </c>
      <c r="G6604" s="6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6" t="s">
        <v>44</v>
      </c>
      <c r="I6604" s="6" t="s">
        <v>1270</v>
      </c>
      <c r="J6604" s="6" t="s">
        <v>394</v>
      </c>
      <c r="K6604" s="10">
        <v>18.2</v>
      </c>
      <c r="L6604" s="10">
        <v>35</v>
      </c>
      <c r="M6604" s="6" t="s">
        <v>436</v>
      </c>
      <c r="N6604" s="6">
        <f>IF(OR($G6604="FCC",$G6604="Hydrocracker",$G6604="Reformer"),IF(COUNTIFS($D:$D,$D6604,$A:$A,$A6604,$B:$B,$B6604,$G:$G,"CDU",$J:$J,"PLANNED")&gt;0,"tied","standalone"),"")</f>
        <v/>
      </c>
    </row>
    <row r="6605" spans="1:14">
      <c r="A6605" s="6">
        <v>2025</v>
      </c>
      <c r="B6605" s="6">
        <v>10</v>
      </c>
      <c r="C6605" s="6" t="s">
        <v>69</v>
      </c>
      <c r="D6605" s="6" t="s">
        <v>1088</v>
      </c>
      <c r="E6605" s="6" t="s">
        <v>1089</v>
      </c>
      <c r="F6605" s="6" t="str">
        <f>IF($M6605="PADD I","PADD 1",IF($M6605="PADD II","PADD 2",IF($M6605="PADD III","PADD 3",IF($M6605="PADD IV","PADD 4",IF($M6605="PADD V","PADD 5","")))))</f>
        <v>PADD 2</v>
      </c>
      <c r="G6605" s="6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6" t="s">
        <v>44</v>
      </c>
      <c r="I6605" s="6" t="s">
        <v>1247</v>
      </c>
      <c r="J6605" s="6" t="s">
        <v>398</v>
      </c>
      <c r="K6605" s="10">
        <v>18</v>
      </c>
      <c r="L6605" s="10">
        <v>18</v>
      </c>
      <c r="M6605" s="6" t="s">
        <v>425</v>
      </c>
      <c r="N6605" s="6">
        <f>IF(OR($G6605="FCC",$G6605="Hydrocracker",$G6605="Reformer"),IF(COUNTIFS($D:$D,$D6605,$A:$A,$A6605,$B:$B,$B6605,$G:$G,"CDU",$J:$J,"PLANNED")&gt;0,"tied","standalone"),"")</f>
        <v/>
      </c>
    </row>
    <row r="6606" spans="1:14">
      <c r="A6606" s="6">
        <v>2025</v>
      </c>
      <c r="B6606" s="6">
        <v>10</v>
      </c>
      <c r="C6606" s="6" t="s">
        <v>69</v>
      </c>
      <c r="D6606" s="6" t="s">
        <v>375</v>
      </c>
      <c r="E6606" s="6" t="s">
        <v>435</v>
      </c>
      <c r="F6606" s="6" t="str">
        <f>IF($M6606="PADD I","PADD 1",IF($M6606="PADD II","PADD 2",IF($M6606="PADD III","PADD 3",IF($M6606="PADD IV","PADD 4",IF($M6606="PADD V","PADD 5","")))))</f>
        <v>PADD 5</v>
      </c>
      <c r="G6606" s="6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6" t="s">
        <v>44</v>
      </c>
      <c r="I6606" s="6" t="s">
        <v>1224</v>
      </c>
      <c r="J6606" s="6" t="s">
        <v>394</v>
      </c>
      <c r="K6606" s="10">
        <v>17.57</v>
      </c>
      <c r="L6606" s="10">
        <v>17.57</v>
      </c>
      <c r="M6606" s="6" t="s">
        <v>436</v>
      </c>
      <c r="N6606" s="6">
        <f>IF(OR($G6606="FCC",$G6606="Hydrocracker",$G6606="Reformer"),IF(COUNTIFS($D:$D,$D6606,$A:$A,$A6606,$B:$B,$B6606,$G:$G,"CDU",$J:$J,"PLANNED")&gt;0,"tied","standalone"),"")</f>
        <v/>
      </c>
    </row>
    <row r="6607" spans="1:14">
      <c r="A6607" s="6">
        <v>2025</v>
      </c>
      <c r="B6607" s="6">
        <v>10</v>
      </c>
      <c r="C6607" s="6" t="s">
        <v>69</v>
      </c>
      <c r="D6607" s="6" t="s">
        <v>371</v>
      </c>
      <c r="E6607" s="6" t="s">
        <v>419</v>
      </c>
      <c r="F6607" s="6" t="str">
        <f>IF($M6607="PADD I","PADD 1",IF($M6607="PADD II","PADD 2",IF($M6607="PADD III","PADD 3",IF($M6607="PADD IV","PADD 4",IF($M6607="PADD V","PADD 5","")))))</f>
        <v>PADD 2</v>
      </c>
      <c r="G6607" s="6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6" t="s">
        <v>471</v>
      </c>
      <c r="I6607" s="6" t="s">
        <v>735</v>
      </c>
      <c r="J6607" s="6" t="s">
        <v>398</v>
      </c>
      <c r="K6607" s="10">
        <v>17.5</v>
      </c>
      <c r="L6607" s="10">
        <v>50</v>
      </c>
      <c r="M6607" s="6" t="s">
        <v>425</v>
      </c>
      <c r="N6607" s="6" t="str">
        <f>IF(OR($G6607="FCC",$G6607="Hydrocracker",$G6607="Reformer"),IF(COUNTIFS($D:$D,$D6607,$A:$A,$A6607,$B:$B,$B6607,$G:$G,"CDU",$J:$J,"PLANNED")&gt;0,"tied","standalone"),"")</f>
        <v>tied</v>
      </c>
    </row>
    <row r="6608" spans="1:14">
      <c r="A6608" s="6">
        <v>2025</v>
      </c>
      <c r="B6608" s="6">
        <v>10</v>
      </c>
      <c r="C6608" s="6" t="s">
        <v>69</v>
      </c>
      <c r="D6608" s="6" t="s">
        <v>712</v>
      </c>
      <c r="E6608" s="6" t="s">
        <v>602</v>
      </c>
      <c r="F6608" s="6" t="str">
        <f>IF($M6608="PADD I","PADD 1",IF($M6608="PADD II","PADD 2",IF($M6608="PADD III","PADD 3",IF($M6608="PADD IV","PADD 4",IF($M6608="PADD V","PADD 5","")))))</f>
        <v>PADD 3</v>
      </c>
      <c r="G6608" s="6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6" t="s">
        <v>44</v>
      </c>
      <c r="I6608" s="6" t="s">
        <v>977</v>
      </c>
      <c r="J6608" s="6" t="s">
        <v>398</v>
      </c>
      <c r="K6608" s="10">
        <v>17.34</v>
      </c>
      <c r="L6608" s="10">
        <v>25.5</v>
      </c>
      <c r="M6608" s="6" t="s">
        <v>421</v>
      </c>
      <c r="N6608" s="6">
        <f>IF(OR($G6608="FCC",$G6608="Hydrocracker",$G6608="Reformer"),IF(COUNTIFS($D:$D,$D6608,$A:$A,$A6608,$B:$B,$B6608,$G:$G,"CDU",$J:$J,"PLANNED")&gt;0,"tied","standalone"),"")</f>
        <v/>
      </c>
    </row>
    <row r="6609" spans="1:14">
      <c r="A6609" s="6">
        <v>2025</v>
      </c>
      <c r="B6609" s="6">
        <v>10</v>
      </c>
      <c r="C6609" s="6" t="s">
        <v>69</v>
      </c>
      <c r="D6609" s="6" t="s">
        <v>851</v>
      </c>
      <c r="E6609" s="6" t="s">
        <v>829</v>
      </c>
      <c r="F6609" s="6" t="str">
        <f>IF($M6609="PADD I","PADD 1",IF($M6609="PADD II","PADD 2",IF($M6609="PADD III","PADD 3",IF($M6609="PADD IV","PADD 4",IF($M6609="PADD V","PADD 5","")))))</f>
        <v>PADD 2</v>
      </c>
      <c r="G6609" s="6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6" t="s">
        <v>44</v>
      </c>
      <c r="I6609" s="6" t="s">
        <v>1031</v>
      </c>
      <c r="J6609" s="6" t="s">
        <v>398</v>
      </c>
      <c r="K6609" s="10">
        <v>17.28</v>
      </c>
      <c r="L6609" s="10">
        <v>54</v>
      </c>
      <c r="M6609" s="6" t="s">
        <v>425</v>
      </c>
      <c r="N6609" s="6">
        <f>IF(OR($G6609="FCC",$G6609="Hydrocracker",$G6609="Reformer"),IF(COUNTIFS($D:$D,$D6609,$A:$A,$A6609,$B:$B,$B6609,$G:$G,"CDU",$J:$J,"PLANNED")&gt;0,"tied","standalone"),"")</f>
        <v/>
      </c>
    </row>
    <row r="6610" spans="1:14">
      <c r="A6610" s="6">
        <v>2025</v>
      </c>
      <c r="B6610" s="6">
        <v>10</v>
      </c>
      <c r="C6610" s="6" t="s">
        <v>69</v>
      </c>
      <c r="D6610" s="6" t="s">
        <v>52</v>
      </c>
      <c r="E6610" s="6" t="s">
        <v>441</v>
      </c>
      <c r="F6610" s="6" t="str">
        <f>IF($M6610="PADD I","PADD 1",IF($M6610="PADD II","PADD 2",IF($M6610="PADD III","PADD 3",IF($M6610="PADD IV","PADD 4",IF($M6610="PADD V","PADD 5","")))))</f>
        <v>PADD 5</v>
      </c>
      <c r="G6610" s="6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6" t="s">
        <v>510</v>
      </c>
      <c r="I6610" s="6" t="s">
        <v>511</v>
      </c>
      <c r="J6610" s="6" t="s">
        <v>394</v>
      </c>
      <c r="K6610" s="10">
        <v>17.16</v>
      </c>
      <c r="L6610" s="10">
        <v>33</v>
      </c>
      <c r="M6610" s="6" t="s">
        <v>436</v>
      </c>
      <c r="N6610" s="6">
        <f>IF(OR($G6610="FCC",$G6610="Hydrocracker",$G6610="Reformer"),IF(COUNTIFS($D:$D,$D6610,$A:$A,$A6610,$B:$B,$B6610,$G:$G,"CDU",$J:$J,"PLANNED")&gt;0,"tied","standalone"),"")</f>
        <v/>
      </c>
    </row>
    <row r="6611" spans="1:14">
      <c r="A6611" s="6">
        <v>2025</v>
      </c>
      <c r="B6611" s="6">
        <v>10</v>
      </c>
      <c r="C6611" s="6" t="s">
        <v>69</v>
      </c>
      <c r="D6611" s="6" t="s">
        <v>689</v>
      </c>
      <c r="E6611" s="6" t="s">
        <v>502</v>
      </c>
      <c r="F6611" s="6" t="str">
        <f>IF($M6611="PADD I","PADD 1",IF($M6611="PADD II","PADD 2",IF($M6611="PADD III","PADD 3",IF($M6611="PADD IV","PADD 4",IF($M6611="PADD V","PADD 5","")))))</f>
        <v>PADD 5</v>
      </c>
      <c r="G6611" s="6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6" t="s">
        <v>471</v>
      </c>
      <c r="I6611" s="6" t="s">
        <v>956</v>
      </c>
      <c r="J6611" s="6" t="s">
        <v>398</v>
      </c>
      <c r="K6611" s="10">
        <v>17</v>
      </c>
      <c r="L6611" s="10">
        <v>17</v>
      </c>
      <c r="M6611" s="6" t="s">
        <v>436</v>
      </c>
      <c r="N6611" s="6" t="str">
        <f>IF(OR($G6611="FCC",$G6611="Hydrocracker",$G6611="Reformer"),IF(COUNTIFS($D:$D,$D6611,$A:$A,$A6611,$B:$B,$B6611,$G:$G,"CDU",$J:$J,"PLANNED")&gt;0,"tied","standalone"),"")</f>
        <v>standalone</v>
      </c>
    </row>
    <row r="6612" spans="1:14">
      <c r="A6612" s="6">
        <v>2025</v>
      </c>
      <c r="B6612" s="6">
        <v>10</v>
      </c>
      <c r="C6612" s="6" t="s">
        <v>69</v>
      </c>
      <c r="D6612" s="6" t="s">
        <v>1370</v>
      </c>
      <c r="E6612" s="6" t="s">
        <v>1371</v>
      </c>
      <c r="F6612" s="6" t="str">
        <f>IF($M6612="PADD I","PADD 1",IF($M6612="PADD II","PADD 2",IF($M6612="PADD III","PADD 3",IF($M6612="PADD IV","PADD 4",IF($M6612="PADD V","PADD 5","")))))</f>
        <v>PADD 3</v>
      </c>
      <c r="G6612" s="6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6" t="s">
        <v>39</v>
      </c>
      <c r="I6612" s="6" t="s">
        <v>82</v>
      </c>
      <c r="J6612" s="6" t="s">
        <v>398</v>
      </c>
      <c r="K6612" s="10">
        <v>16.165</v>
      </c>
      <c r="L6612" s="10">
        <v>26.5</v>
      </c>
      <c r="M6612" s="6" t="s">
        <v>421</v>
      </c>
      <c r="N6612" s="6">
        <f>IF(OR($G6612="FCC",$G6612="Hydrocracker",$G6612="Reformer"),IF(COUNTIFS($D:$D,$D6612,$A:$A,$A6612,$B:$B,$B6612,$G:$G,"CDU",$J:$J,"PLANNED")&gt;0,"tied","standalone"),"")</f>
        <v/>
      </c>
    </row>
    <row r="6613" spans="1:14">
      <c r="A6613" s="6">
        <v>2025</v>
      </c>
      <c r="B6613" s="6">
        <v>10</v>
      </c>
      <c r="C6613" s="6" t="s">
        <v>69</v>
      </c>
      <c r="D6613" s="6" t="s">
        <v>437</v>
      </c>
      <c r="E6613" s="6" t="s">
        <v>438</v>
      </c>
      <c r="F6613" s="6" t="str">
        <f>IF($M6613="PADD I","PADD 1",IF($M6613="PADD II","PADD 2",IF($M6613="PADD III","PADD 3",IF($M6613="PADD IV","PADD 4",IF($M6613="PADD V","PADD 5","")))))</f>
        <v>PADD 3</v>
      </c>
      <c r="G6613" s="6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6" t="s">
        <v>631</v>
      </c>
      <c r="I6613" s="6" t="s">
        <v>918</v>
      </c>
      <c r="J6613" s="6" t="s">
        <v>394</v>
      </c>
      <c r="K6613" s="10">
        <v>16</v>
      </c>
      <c r="L6613" s="10">
        <v>16</v>
      </c>
      <c r="M6613" s="6" t="s">
        <v>421</v>
      </c>
      <c r="N6613" s="6" t="str">
        <f>IF(OR($G6613="FCC",$G6613="Hydrocracker",$G6613="Reformer"),IF(COUNTIFS($D:$D,$D6613,$A:$A,$A6613,$B:$B,$B6613,$G:$G,"CDU",$J:$J,"PLANNED")&gt;0,"tied","standalone"),"")</f>
        <v>standalone</v>
      </c>
    </row>
    <row r="6614" spans="1:14">
      <c r="A6614" s="6">
        <v>2025</v>
      </c>
      <c r="B6614" s="6">
        <v>10</v>
      </c>
      <c r="C6614" s="6" t="s">
        <v>69</v>
      </c>
      <c r="D6614" s="6" t="s">
        <v>371</v>
      </c>
      <c r="E6614" s="6" t="s">
        <v>419</v>
      </c>
      <c r="F6614" s="6" t="str">
        <f>IF($M6614="PADD I","PADD 1",IF($M6614="PADD II","PADD 2",IF($M6614="PADD III","PADD 3",IF($M6614="PADD IV","PADD 4",IF($M6614="PADD V","PADD 5","")))))</f>
        <v>PADD 2</v>
      </c>
      <c r="G6614" s="6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6" t="s">
        <v>428</v>
      </c>
      <c r="I6614" s="6" t="s">
        <v>1384</v>
      </c>
      <c r="J6614" s="6" t="s">
        <v>394</v>
      </c>
      <c r="K6614" s="10">
        <v>15.6</v>
      </c>
      <c r="L6614" s="10">
        <v>30</v>
      </c>
      <c r="M6614" s="6" t="s">
        <v>425</v>
      </c>
      <c r="N6614" s="6">
        <f>IF(OR($G6614="FCC",$G6614="Hydrocracker",$G6614="Reformer"),IF(COUNTIFS($D:$D,$D6614,$A:$A,$A6614,$B:$B,$B6614,$G:$G,"CDU",$J:$J,"PLANNED")&gt;0,"tied","standalone"),"")</f>
        <v/>
      </c>
    </row>
    <row r="6615" spans="1:14">
      <c r="A6615" s="6">
        <v>2025</v>
      </c>
      <c r="B6615" s="6">
        <v>10</v>
      </c>
      <c r="C6615" s="6" t="s">
        <v>69</v>
      </c>
      <c r="D6615" s="6" t="s">
        <v>373</v>
      </c>
      <c r="E6615" s="6" t="s">
        <v>438</v>
      </c>
      <c r="F6615" s="6" t="str">
        <f>IF($M6615="PADD I","PADD 1",IF($M6615="PADD II","PADD 2",IF($M6615="PADD III","PADD 3",IF($M6615="PADD IV","PADD 4",IF($M6615="PADD V","PADD 5","")))))</f>
        <v>PADD 3</v>
      </c>
      <c r="G6615" s="6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6" t="s">
        <v>485</v>
      </c>
      <c r="I6615" s="6" t="s">
        <v>1012</v>
      </c>
      <c r="J6615" s="6" t="s">
        <v>398</v>
      </c>
      <c r="K6615" s="10">
        <v>15.525</v>
      </c>
      <c r="L6615" s="10">
        <v>34.5</v>
      </c>
      <c r="M6615" s="6" t="s">
        <v>421</v>
      </c>
      <c r="N6615" s="6">
        <f>IF(OR($G6615="FCC",$G6615="Hydrocracker",$G6615="Reformer"),IF(COUNTIFS($D:$D,$D6615,$A:$A,$A6615,$B:$B,$B6615,$G:$G,"CDU",$J:$J,"PLANNED")&gt;0,"tied","standalone"),"")</f>
        <v/>
      </c>
    </row>
    <row r="6616" spans="1:14">
      <c r="A6616" s="6">
        <v>2025</v>
      </c>
      <c r="B6616" s="6">
        <v>10</v>
      </c>
      <c r="C6616" s="6" t="s">
        <v>69</v>
      </c>
      <c r="D6616" s="6" t="s">
        <v>52</v>
      </c>
      <c r="E6616" s="6" t="s">
        <v>441</v>
      </c>
      <c r="F6616" s="6" t="str">
        <f>IF($M6616="PADD I","PADD 1",IF($M6616="PADD II","PADD 2",IF($M6616="PADD III","PADD 3",IF($M6616="PADD IV","PADD 4",IF($M6616="PADD V","PADD 5","")))))</f>
        <v>PADD 5</v>
      </c>
      <c r="G6616" s="6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6" t="s">
        <v>428</v>
      </c>
      <c r="I6616" s="6" t="s">
        <v>1085</v>
      </c>
      <c r="J6616" s="6" t="s">
        <v>394</v>
      </c>
      <c r="K6616" s="10">
        <v>15.4077</v>
      </c>
      <c r="L6616" s="10">
        <v>53.13</v>
      </c>
      <c r="M6616" s="6" t="s">
        <v>436</v>
      </c>
      <c r="N6616" s="6">
        <f>IF(OR($G6616="FCC",$G6616="Hydrocracker",$G6616="Reformer"),IF(COUNTIFS($D:$D,$D6616,$A:$A,$A6616,$B:$B,$B6616,$G:$G,"CDU",$J:$J,"PLANNED")&gt;0,"tied","standalone"),"")</f>
        <v/>
      </c>
    </row>
    <row r="6617" spans="1:14">
      <c r="A6617" s="6">
        <v>2025</v>
      </c>
      <c r="B6617" s="6">
        <v>10</v>
      </c>
      <c r="C6617" s="6" t="s">
        <v>69</v>
      </c>
      <c r="D6617" s="6" t="s">
        <v>597</v>
      </c>
      <c r="E6617" s="6" t="s">
        <v>441</v>
      </c>
      <c r="F6617" s="6" t="str">
        <f>IF($M6617="PADD I","PADD 1",IF($M6617="PADD II","PADD 2",IF($M6617="PADD III","PADD 3",IF($M6617="PADD IV","PADD 4",IF($M6617="PADD V","PADD 5","")))))</f>
        <v>PADD 5</v>
      </c>
      <c r="G6617" s="6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6" t="s">
        <v>44</v>
      </c>
      <c r="I6617" s="6" t="s">
        <v>106</v>
      </c>
      <c r="J6617" s="6" t="s">
        <v>394</v>
      </c>
      <c r="K6617" s="10">
        <v>14.95</v>
      </c>
      <c r="L6617" s="10">
        <v>65</v>
      </c>
      <c r="M6617" s="6" t="s">
        <v>436</v>
      </c>
      <c r="N6617" s="6">
        <f>IF(OR($G6617="FCC",$G6617="Hydrocracker",$G6617="Reformer"),IF(COUNTIFS($D:$D,$D6617,$A:$A,$A6617,$B:$B,$B6617,$G:$G,"CDU",$J:$J,"PLANNED")&gt;0,"tied","standalone"),"")</f>
        <v/>
      </c>
    </row>
    <row r="6618" spans="1:14">
      <c r="A6618" s="6">
        <v>2025</v>
      </c>
      <c r="B6618" s="6">
        <v>10</v>
      </c>
      <c r="C6618" s="6" t="s">
        <v>69</v>
      </c>
      <c r="D6618" s="6" t="s">
        <v>851</v>
      </c>
      <c r="E6618" s="6" t="s">
        <v>829</v>
      </c>
      <c r="F6618" s="6" t="str">
        <f>IF($M6618="PADD I","PADD 1",IF($M6618="PADD II","PADD 2",IF($M6618="PADD III","PADD 3",IF($M6618="PADD IV","PADD 4",IF($M6618="PADD V","PADD 5","")))))</f>
        <v>PADD 2</v>
      </c>
      <c r="G6618" s="6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6" t="s">
        <v>485</v>
      </c>
      <c r="I6618" s="6" t="s">
        <v>1229</v>
      </c>
      <c r="J6618" s="6" t="s">
        <v>394</v>
      </c>
      <c r="K6618" s="10">
        <v>14.64</v>
      </c>
      <c r="L6618" s="10">
        <v>24</v>
      </c>
      <c r="M6618" s="6" t="s">
        <v>425</v>
      </c>
      <c r="N6618" s="6">
        <f>IF(OR($G6618="FCC",$G6618="Hydrocracker",$G6618="Reformer"),IF(COUNTIFS($D:$D,$D6618,$A:$A,$A6618,$B:$B,$B6618,$G:$G,"CDU",$J:$J,"PLANNED")&gt;0,"tied","standalone"),"")</f>
        <v/>
      </c>
    </row>
    <row r="6619" spans="1:14">
      <c r="A6619" s="6">
        <v>2025</v>
      </c>
      <c r="B6619" s="6">
        <v>10</v>
      </c>
      <c r="C6619" s="6" t="s">
        <v>69</v>
      </c>
      <c r="D6619" s="6" t="s">
        <v>851</v>
      </c>
      <c r="E6619" s="6" t="s">
        <v>829</v>
      </c>
      <c r="F6619" s="6" t="str">
        <f>IF($M6619="PADD I","PADD 1",IF($M6619="PADD II","PADD 2",IF($M6619="PADD III","PADD 3",IF($M6619="PADD IV","PADD 4",IF($M6619="PADD V","PADD 5","")))))</f>
        <v>PADD 2</v>
      </c>
      <c r="G6619" s="6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6" t="s">
        <v>44</v>
      </c>
      <c r="I6619" s="6" t="s">
        <v>1040</v>
      </c>
      <c r="J6619" s="6" t="s">
        <v>398</v>
      </c>
      <c r="K6619" s="10">
        <v>14.4</v>
      </c>
      <c r="L6619" s="10">
        <v>45</v>
      </c>
      <c r="M6619" s="6" t="s">
        <v>425</v>
      </c>
      <c r="N6619" s="6">
        <f>IF(OR($G6619="FCC",$G6619="Hydrocracker",$G6619="Reformer"),IF(COUNTIFS($D:$D,$D6619,$A:$A,$A6619,$B:$B,$B6619,$G:$G,"CDU",$J:$J,"PLANNED")&gt;0,"tied","standalone"),"")</f>
        <v/>
      </c>
    </row>
    <row r="6620" spans="1:14">
      <c r="A6620" s="6">
        <v>2025</v>
      </c>
      <c r="B6620" s="6">
        <v>10</v>
      </c>
      <c r="C6620" s="6" t="s">
        <v>69</v>
      </c>
      <c r="D6620" s="6" t="s">
        <v>518</v>
      </c>
      <c r="E6620" s="6" t="s">
        <v>419</v>
      </c>
      <c r="F6620" s="6" t="str">
        <f>IF($M6620="PADD I","PADD 1",IF($M6620="PADD II","PADD 2",IF($M6620="PADD III","PADD 3",IF($M6620="PADD IV","PADD 4",IF($M6620="PADD V","PADD 5","")))))</f>
        <v>PADD 3</v>
      </c>
      <c r="G6620" s="6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6" t="s">
        <v>510</v>
      </c>
      <c r="I6620" s="6" t="s">
        <v>940</v>
      </c>
      <c r="J6620" s="6" t="s">
        <v>398</v>
      </c>
      <c r="K6620" s="10">
        <v>14</v>
      </c>
      <c r="L6620" s="10">
        <v>14</v>
      </c>
      <c r="M6620" s="6" t="s">
        <v>421</v>
      </c>
      <c r="N6620" s="6">
        <f>IF(OR($G6620="FCC",$G6620="Hydrocracker",$G6620="Reformer"),IF(COUNTIFS($D:$D,$D6620,$A:$A,$A6620,$B:$B,$B6620,$G:$G,"CDU",$J:$J,"PLANNED")&gt;0,"tied","standalone"),"")</f>
        <v/>
      </c>
    </row>
    <row r="6621" spans="1:14">
      <c r="A6621" s="6">
        <v>2025</v>
      </c>
      <c r="B6621" s="6">
        <v>10</v>
      </c>
      <c r="C6621" s="6" t="s">
        <v>69</v>
      </c>
      <c r="D6621" s="6" t="s">
        <v>822</v>
      </c>
      <c r="E6621" s="6" t="s">
        <v>455</v>
      </c>
      <c r="F6621" s="6" t="str">
        <f>IF($M6621="PADD I","PADD 1",IF($M6621="PADD II","PADD 2",IF($M6621="PADD III","PADD 3",IF($M6621="PADD IV","PADD 4",IF($M6621="PADD V","PADD 5","")))))</f>
        <v>PADD 3</v>
      </c>
      <c r="G6621" s="6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6" t="s">
        <v>39</v>
      </c>
      <c r="I6621" s="6" t="s">
        <v>1147</v>
      </c>
      <c r="J6621" s="6" t="s">
        <v>398</v>
      </c>
      <c r="K6621" s="10">
        <v>13.02</v>
      </c>
      <c r="L6621" s="10">
        <v>37.2</v>
      </c>
      <c r="M6621" s="6" t="s">
        <v>421</v>
      </c>
      <c r="N6621" s="6">
        <f>IF(OR($G6621="FCC",$G6621="Hydrocracker",$G6621="Reformer"),IF(COUNTIFS($D:$D,$D6621,$A:$A,$A6621,$B:$B,$B6621,$G:$G,"CDU",$J:$J,"PLANNED")&gt;0,"tied","standalone"),"")</f>
        <v/>
      </c>
    </row>
    <row r="6622" spans="1:14">
      <c r="A6622" s="6">
        <v>2025</v>
      </c>
      <c r="B6622" s="6">
        <v>10</v>
      </c>
      <c r="C6622" s="6" t="s">
        <v>69</v>
      </c>
      <c r="D6622" s="6" t="s">
        <v>828</v>
      </c>
      <c r="E6622" s="6" t="s">
        <v>829</v>
      </c>
      <c r="F6622" s="6" t="str">
        <f>IF($M6622="PADD I","PADD 1",IF($M6622="PADD II","PADD 2",IF($M6622="PADD III","PADD 3",IF($M6622="PADD IV","PADD 4",IF($M6622="PADD V","PADD 5","")))))</f>
        <v>PADD 3</v>
      </c>
      <c r="G6622" s="6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6" t="s">
        <v>39</v>
      </c>
      <c r="I6622" s="6" t="s">
        <v>830</v>
      </c>
      <c r="J6622" s="6" t="s">
        <v>394</v>
      </c>
      <c r="K6622" s="10">
        <v>13.02</v>
      </c>
      <c r="L6622" s="10">
        <v>217</v>
      </c>
      <c r="M6622" s="6" t="s">
        <v>421</v>
      </c>
      <c r="N6622" s="6">
        <f>IF(OR($G6622="FCC",$G6622="Hydrocracker",$G6622="Reformer"),IF(COUNTIFS($D:$D,$D6622,$A:$A,$A6622,$B:$B,$B6622,$G:$G,"CDU",$J:$J,"PLANNED")&gt;0,"tied","standalone"),"")</f>
        <v/>
      </c>
    </row>
    <row r="6623" spans="1:14">
      <c r="A6623" s="6">
        <v>2025</v>
      </c>
      <c r="B6623" s="6">
        <v>10</v>
      </c>
      <c r="C6623" s="6" t="s">
        <v>69</v>
      </c>
      <c r="D6623" s="6" t="s">
        <v>507</v>
      </c>
      <c r="E6623" s="6" t="s">
        <v>438</v>
      </c>
      <c r="F6623" s="6" t="str">
        <f>IF($M6623="PADD I","PADD 1",IF($M6623="PADD II","PADD 2",IF($M6623="PADD III","PADD 3",IF($M6623="PADD IV","PADD 4",IF($M6623="PADD V","PADD 5","")))))</f>
        <v>PADD 5</v>
      </c>
      <c r="G6623" s="6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6" t="s">
        <v>510</v>
      </c>
      <c r="I6623" s="6" t="s">
        <v>511</v>
      </c>
      <c r="J6623" s="6" t="s">
        <v>398</v>
      </c>
      <c r="K6623" s="10">
        <v>13</v>
      </c>
      <c r="L6623" s="10">
        <v>13</v>
      </c>
      <c r="M6623" s="6" t="s">
        <v>436</v>
      </c>
      <c r="N6623" s="6">
        <f>IF(OR($G6623="FCC",$G6623="Hydrocracker",$G6623="Reformer"),IF(COUNTIFS($D:$D,$D6623,$A:$A,$A6623,$B:$B,$B6623,$G:$G,"CDU",$J:$J,"PLANNED")&gt;0,"tied","standalone"),"")</f>
        <v/>
      </c>
    </row>
    <row r="6624" spans="1:14">
      <c r="A6624" s="6">
        <v>2025</v>
      </c>
      <c r="B6624" s="6">
        <v>10</v>
      </c>
      <c r="C6624" s="6" t="s">
        <v>69</v>
      </c>
      <c r="D6624" s="6" t="s">
        <v>626</v>
      </c>
      <c r="E6624" s="6" t="s">
        <v>419</v>
      </c>
      <c r="F6624" s="6" t="str">
        <f>IF($M6624="PADD I","PADD 1",IF($M6624="PADD II","PADD 2",IF($M6624="PADD III","PADD 3",IF($M6624="PADD IV","PADD 4",IF($M6624="PADD V","PADD 5","")))))</f>
        <v>PADD 3</v>
      </c>
      <c r="G6624" s="6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6" t="s">
        <v>39</v>
      </c>
      <c r="I6624" s="6" t="s">
        <v>1369</v>
      </c>
      <c r="J6624" s="6" t="s">
        <v>398</v>
      </c>
      <c r="K6624" s="10">
        <v>12.8</v>
      </c>
      <c r="L6624" s="10">
        <v>80</v>
      </c>
      <c r="M6624" s="6" t="s">
        <v>421</v>
      </c>
      <c r="N6624" s="6">
        <f>IF(OR($G6624="FCC",$G6624="Hydrocracker",$G6624="Reformer"),IF(COUNTIFS($D:$D,$D6624,$A:$A,$A6624,$B:$B,$B6624,$G:$G,"CDU",$J:$J,"PLANNED")&gt;0,"tied","standalone"),"")</f>
        <v/>
      </c>
    </row>
    <row r="6625" spans="1:14">
      <c r="A6625" s="6">
        <v>2025</v>
      </c>
      <c r="B6625" s="6">
        <v>10</v>
      </c>
      <c r="C6625" s="6" t="s">
        <v>69</v>
      </c>
      <c r="D6625" s="6" t="s">
        <v>849</v>
      </c>
      <c r="E6625" s="6" t="s">
        <v>441</v>
      </c>
      <c r="F6625" s="6" t="str">
        <f>IF($M6625="PADD I","PADD 1",IF($M6625="PADD II","PADD 2",IF($M6625="PADD III","PADD 3",IF($M6625="PADD IV","PADD 4",IF($M6625="PADD V","PADD 5","")))))</f>
        <v>PADD 4</v>
      </c>
      <c r="G6625" s="6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6" t="s">
        <v>426</v>
      </c>
      <c r="I6625" s="6" t="s">
        <v>850</v>
      </c>
      <c r="J6625" s="6" t="s">
        <v>398</v>
      </c>
      <c r="K6625" s="10">
        <v>12.61</v>
      </c>
      <c r="L6625" s="10">
        <v>13</v>
      </c>
      <c r="M6625" s="6" t="s">
        <v>480</v>
      </c>
      <c r="N6625" s="6" t="str">
        <f>IF(OR($G6625="FCC",$G6625="Hydrocracker",$G6625="Reformer"),IF(COUNTIFS($D:$D,$D6625,$A:$A,$A6625,$B:$B,$B6625,$G:$G,"CDU",$J:$J,"PLANNED")&gt;0,"tied","standalone"),"")</f>
        <v>standalone</v>
      </c>
    </row>
    <row r="6626" spans="1:14">
      <c r="A6626" s="6">
        <v>2025</v>
      </c>
      <c r="B6626" s="6">
        <v>10</v>
      </c>
      <c r="C6626" s="6" t="s">
        <v>69</v>
      </c>
      <c r="D6626" s="6" t="s">
        <v>384</v>
      </c>
      <c r="E6626" s="6" t="s">
        <v>419</v>
      </c>
      <c r="F6626" s="6" t="str">
        <f>IF($M6626="PADD I","PADD 1",IF($M6626="PADD II","PADD 2",IF($M6626="PADD III","PADD 3",IF($M6626="PADD IV","PADD 4",IF($M6626="PADD V","PADD 5","")))))</f>
        <v>PADD 3</v>
      </c>
      <c r="G6626" s="6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6" t="s">
        <v>39</v>
      </c>
      <c r="I6626" s="6" t="s">
        <v>779</v>
      </c>
      <c r="J6626" s="6" t="s">
        <v>394</v>
      </c>
      <c r="K6626" s="10">
        <v>12.36</v>
      </c>
      <c r="L6626" s="10">
        <v>206</v>
      </c>
      <c r="M6626" s="6" t="s">
        <v>421</v>
      </c>
      <c r="N6626" s="6">
        <f>IF(OR($G6626="FCC",$G6626="Hydrocracker",$G6626="Reformer"),IF(COUNTIFS($D:$D,$D6626,$A:$A,$A6626,$B:$B,$B6626,$G:$G,"CDU",$J:$J,"PLANNED")&gt;0,"tied","standalone"),"")</f>
        <v/>
      </c>
    </row>
    <row r="6627" spans="1:14">
      <c r="A6627" s="6">
        <v>2025</v>
      </c>
      <c r="B6627" s="6">
        <v>10</v>
      </c>
      <c r="C6627" s="6" t="s">
        <v>69</v>
      </c>
      <c r="D6627" s="6" t="s">
        <v>1370</v>
      </c>
      <c r="E6627" s="6" t="s">
        <v>1371</v>
      </c>
      <c r="F6627" s="6" t="str">
        <f>IF($M6627="PADD I","PADD 1",IF($M6627="PADD II","PADD 2",IF($M6627="PADD III","PADD 3",IF($M6627="PADD IV","PADD 4",IF($M6627="PADD V","PADD 5","")))))</f>
        <v>PADD 3</v>
      </c>
      <c r="G6627" s="6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6" t="s">
        <v>428</v>
      </c>
      <c r="I6627" s="6" t="s">
        <v>481</v>
      </c>
      <c r="J6627" s="6" t="s">
        <v>398</v>
      </c>
      <c r="K6627" s="10">
        <v>12.2</v>
      </c>
      <c r="L6627" s="10">
        <v>20</v>
      </c>
      <c r="M6627" s="6" t="s">
        <v>421</v>
      </c>
      <c r="N6627" s="6">
        <f>IF(OR($G6627="FCC",$G6627="Hydrocracker",$G6627="Reformer"),IF(COUNTIFS($D:$D,$D6627,$A:$A,$A6627,$B:$B,$B6627,$G:$G,"CDU",$J:$J,"PLANNED")&gt;0,"tied","standalone"),"")</f>
        <v/>
      </c>
    </row>
    <row r="6628" spans="1:14">
      <c r="A6628" s="6">
        <v>2025</v>
      </c>
      <c r="B6628" s="6">
        <v>10</v>
      </c>
      <c r="C6628" s="6" t="s">
        <v>69</v>
      </c>
      <c r="D6628" s="6" t="s">
        <v>720</v>
      </c>
      <c r="E6628" s="6" t="s">
        <v>455</v>
      </c>
      <c r="F6628" s="6" t="str">
        <f>IF($M6628="PADD I","PADD 1",IF($M6628="PADD II","PADD 2",IF($M6628="PADD III","PADD 3",IF($M6628="PADD IV","PADD 4",IF($M6628="PADD V","PADD 5","")))))</f>
        <v>PADD 2</v>
      </c>
      <c r="G6628" s="6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6" t="s">
        <v>510</v>
      </c>
      <c r="I6628" s="6" t="s">
        <v>666</v>
      </c>
      <c r="J6628" s="6" t="s">
        <v>398</v>
      </c>
      <c r="K6628" s="10">
        <v>12</v>
      </c>
      <c r="L6628" s="10">
        <v>12</v>
      </c>
      <c r="M6628" s="6" t="s">
        <v>425</v>
      </c>
      <c r="N6628" s="6">
        <f>IF(OR($G6628="FCC",$G6628="Hydrocracker",$G6628="Reformer"),IF(COUNTIFS($D:$D,$D6628,$A:$A,$A6628,$B:$B,$B6628,$G:$G,"CDU",$J:$J,"PLANNED")&gt;0,"tied","standalone"),"")</f>
        <v/>
      </c>
    </row>
    <row r="6629" spans="1:14">
      <c r="A6629" s="6">
        <v>2025</v>
      </c>
      <c r="B6629" s="6">
        <v>10</v>
      </c>
      <c r="C6629" s="6" t="s">
        <v>69</v>
      </c>
      <c r="D6629" s="6" t="s">
        <v>689</v>
      </c>
      <c r="E6629" s="6" t="s">
        <v>502</v>
      </c>
      <c r="F6629" s="6" t="str">
        <f>IF($M6629="PADD I","PADD 1",IF($M6629="PADD II","PADD 2",IF($M6629="PADD III","PADD 3",IF($M6629="PADD IV","PADD 4",IF($M6629="PADD V","PADD 5","")))))</f>
        <v>PADD 5</v>
      </c>
      <c r="G6629" s="6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6" t="s">
        <v>618</v>
      </c>
      <c r="I6629" s="6" t="s">
        <v>763</v>
      </c>
      <c r="J6629" s="6" t="s">
        <v>398</v>
      </c>
      <c r="K6629" s="10">
        <v>12</v>
      </c>
      <c r="L6629" s="10">
        <v>12</v>
      </c>
      <c r="M6629" s="6" t="s">
        <v>436</v>
      </c>
      <c r="N6629" s="6">
        <f>IF(OR($G6629="FCC",$G6629="Hydrocracker",$G6629="Reformer"),IF(COUNTIFS($D:$D,$D6629,$A:$A,$A6629,$B:$B,$B6629,$G:$G,"CDU",$J:$J,"PLANNED")&gt;0,"tied","standalone"),"")</f>
        <v/>
      </c>
    </row>
    <row r="6630" spans="1:14">
      <c r="A6630" s="6">
        <v>2025</v>
      </c>
      <c r="B6630" s="6">
        <v>10</v>
      </c>
      <c r="C6630" s="6" t="s">
        <v>69</v>
      </c>
      <c r="D6630" s="6" t="s">
        <v>561</v>
      </c>
      <c r="E6630" s="6" t="s">
        <v>455</v>
      </c>
      <c r="F6630" s="6" t="str">
        <f>IF($M6630="PADD I","PADD 1",IF($M6630="PADD II","PADD 2",IF($M6630="PADD III","PADD 3",IF($M6630="PADD IV","PADD 4",IF($M6630="PADD V","PADD 5","")))))</f>
        <v>PADD 3</v>
      </c>
      <c r="G6630" s="6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6" t="s">
        <v>39</v>
      </c>
      <c r="I6630" s="6" t="s">
        <v>113</v>
      </c>
      <c r="J6630" s="6" t="s">
        <v>394</v>
      </c>
      <c r="K6630" s="10">
        <v>11.5</v>
      </c>
      <c r="L6630" s="10">
        <v>115</v>
      </c>
      <c r="M6630" s="6" t="s">
        <v>421</v>
      </c>
      <c r="N6630" s="6">
        <f>IF(OR($G6630="FCC",$G6630="Hydrocracker",$G6630="Reformer"),IF(COUNTIFS($D:$D,$D6630,$A:$A,$A6630,$B:$B,$B6630,$G:$G,"CDU",$J:$J,"PLANNED")&gt;0,"tied","standalone"),"")</f>
        <v/>
      </c>
    </row>
    <row r="6631" spans="1:14">
      <c r="A6631" s="6">
        <v>2025</v>
      </c>
      <c r="B6631" s="6">
        <v>10</v>
      </c>
      <c r="C6631" s="6" t="s">
        <v>69</v>
      </c>
      <c r="D6631" s="6" t="s">
        <v>437</v>
      </c>
      <c r="E6631" s="6" t="s">
        <v>438</v>
      </c>
      <c r="F6631" s="6" t="str">
        <f>IF($M6631="PADD I","PADD 1",IF($M6631="PADD II","PADD 2",IF($M6631="PADD III","PADD 3",IF($M6631="PADD IV","PADD 4",IF($M6631="PADD V","PADD 5","")))))</f>
        <v>PADD 3</v>
      </c>
      <c r="G6631" s="6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6" t="s">
        <v>426</v>
      </c>
      <c r="I6631" s="6" t="s">
        <v>522</v>
      </c>
      <c r="J6631" s="6" t="s">
        <v>394</v>
      </c>
      <c r="K6631" s="10">
        <v>11.44</v>
      </c>
      <c r="L6631" s="10">
        <v>44</v>
      </c>
      <c r="M6631" s="6" t="s">
        <v>421</v>
      </c>
      <c r="N6631" s="6" t="str">
        <f>IF(OR($G6631="FCC",$G6631="Hydrocracker",$G6631="Reformer"),IF(COUNTIFS($D:$D,$D6631,$A:$A,$A6631,$B:$B,$B6631,$G:$G,"CDU",$J:$J,"PLANNED")&gt;0,"tied","standalone"),"")</f>
        <v>standalone</v>
      </c>
    </row>
    <row r="6632" spans="1:14">
      <c r="A6632" s="6">
        <v>2025</v>
      </c>
      <c r="B6632" s="6">
        <v>10</v>
      </c>
      <c r="C6632" s="6" t="s">
        <v>69</v>
      </c>
      <c r="D6632" s="6" t="s">
        <v>712</v>
      </c>
      <c r="E6632" s="6" t="s">
        <v>602</v>
      </c>
      <c r="F6632" s="6" t="str">
        <f>IF($M6632="PADD I","PADD 1",IF($M6632="PADD II","PADD 2",IF($M6632="PADD III","PADD 3",IF($M6632="PADD IV","PADD 4",IF($M6632="PADD V","PADD 5","")))))</f>
        <v>PADD 3</v>
      </c>
      <c r="G6632" s="6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6" t="s">
        <v>44</v>
      </c>
      <c r="I6632" s="6" t="s">
        <v>785</v>
      </c>
      <c r="J6632" s="6" t="s">
        <v>398</v>
      </c>
      <c r="K6632" s="10">
        <v>11.04</v>
      </c>
      <c r="L6632" s="10">
        <v>23</v>
      </c>
      <c r="M6632" s="6" t="s">
        <v>421</v>
      </c>
      <c r="N6632" s="6">
        <f>IF(OR($G6632="FCC",$G6632="Hydrocracker",$G6632="Reformer"),IF(COUNTIFS($D:$D,$D6632,$A:$A,$A6632,$B:$B,$B6632,$G:$G,"CDU",$J:$J,"PLANNED")&gt;0,"tied","standalone"),"")</f>
        <v/>
      </c>
    </row>
    <row r="6633" spans="1:14">
      <c r="A6633" s="6">
        <v>2025</v>
      </c>
      <c r="B6633" s="6">
        <v>10</v>
      </c>
      <c r="C6633" s="6" t="s">
        <v>69</v>
      </c>
      <c r="D6633" s="6" t="s">
        <v>1370</v>
      </c>
      <c r="E6633" s="6" t="s">
        <v>1371</v>
      </c>
      <c r="F6633" s="6" t="str">
        <f>IF($M6633="PADD I","PADD 1",IF($M6633="PADD II","PADD 2",IF($M6633="PADD III","PADD 3",IF($M6633="PADD IV","PADD 4",IF($M6633="PADD V","PADD 5","")))))</f>
        <v>PADD 3</v>
      </c>
      <c r="G6633" s="6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6" t="s">
        <v>573</v>
      </c>
      <c r="I6633" s="6" t="s">
        <v>574</v>
      </c>
      <c r="J6633" s="6" t="s">
        <v>398</v>
      </c>
      <c r="K6633" s="10">
        <v>10.858</v>
      </c>
      <c r="L6633" s="10">
        <v>17.8</v>
      </c>
      <c r="M6633" s="6" t="s">
        <v>421</v>
      </c>
      <c r="N6633" s="6">
        <f>IF(OR($G6633="FCC",$G6633="Hydrocracker",$G6633="Reformer"),IF(COUNTIFS($D:$D,$D6633,$A:$A,$A6633,$B:$B,$B6633,$G:$G,"CDU",$J:$J,"PLANNED")&gt;0,"tied","standalone"),"")</f>
        <v/>
      </c>
    </row>
    <row r="6634" spans="1:14">
      <c r="A6634" s="6">
        <v>2025</v>
      </c>
      <c r="B6634" s="6">
        <v>10</v>
      </c>
      <c r="C6634" s="6" t="s">
        <v>69</v>
      </c>
      <c r="D6634" s="6" t="s">
        <v>1093</v>
      </c>
      <c r="E6634" s="6" t="s">
        <v>438</v>
      </c>
      <c r="F6634" s="6" t="str">
        <f>IF($M6634="PADD I","PADD 1",IF($M6634="PADD II","PADD 2",IF($M6634="PADD III","PADD 3",IF($M6634="PADD IV","PADD 4",IF($M6634="PADD V","PADD 5","")))))</f>
        <v>PADD 2</v>
      </c>
      <c r="G6634" s="6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6" t="s">
        <v>44</v>
      </c>
      <c r="I6634" s="6" t="s">
        <v>1102</v>
      </c>
      <c r="J6634" s="6" t="s">
        <v>394</v>
      </c>
      <c r="K6634" s="10">
        <v>10.71</v>
      </c>
      <c r="L6634" s="10">
        <v>23.8</v>
      </c>
      <c r="M6634" s="6" t="s">
        <v>425</v>
      </c>
      <c r="N6634" s="6">
        <f>IF(OR($G6634="FCC",$G6634="Hydrocracker",$G6634="Reformer"),IF(COUNTIFS($D:$D,$D6634,$A:$A,$A6634,$B:$B,$B6634,$G:$G,"CDU",$J:$J,"PLANNED")&gt;0,"tied","standalone"),"")</f>
        <v/>
      </c>
    </row>
    <row r="6635" spans="1:14">
      <c r="A6635" s="6">
        <v>2025</v>
      </c>
      <c r="B6635" s="6">
        <v>10</v>
      </c>
      <c r="C6635" s="6" t="s">
        <v>69</v>
      </c>
      <c r="D6635" s="6" t="s">
        <v>849</v>
      </c>
      <c r="E6635" s="6" t="s">
        <v>441</v>
      </c>
      <c r="F6635" s="6" t="str">
        <f>IF($M6635="PADD I","PADD 1",IF($M6635="PADD II","PADD 2",IF($M6635="PADD III","PADD 3",IF($M6635="PADD IV","PADD 4",IF($M6635="PADD V","PADD 5","")))))</f>
        <v>PADD 4</v>
      </c>
      <c r="G6635" s="6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6" t="s">
        <v>44</v>
      </c>
      <c r="I6635" s="6" t="s">
        <v>1117</v>
      </c>
      <c r="J6635" s="6" t="s">
        <v>398</v>
      </c>
      <c r="K6635" s="10">
        <v>10.65</v>
      </c>
      <c r="L6635" s="10">
        <v>15</v>
      </c>
      <c r="M6635" s="6" t="s">
        <v>480</v>
      </c>
      <c r="N6635" s="6">
        <f>IF(OR($G6635="FCC",$G6635="Hydrocracker",$G6635="Reformer"),IF(COUNTIFS($D:$D,$D6635,$A:$A,$A6635,$B:$B,$B6635,$G:$G,"CDU",$J:$J,"PLANNED")&gt;0,"tied","standalone"),"")</f>
        <v/>
      </c>
    </row>
    <row r="6636" spans="1:14">
      <c r="A6636" s="6">
        <v>2025</v>
      </c>
      <c r="B6636" s="6">
        <v>10</v>
      </c>
      <c r="C6636" s="6" t="s">
        <v>69</v>
      </c>
      <c r="D6636" s="6" t="s">
        <v>368</v>
      </c>
      <c r="E6636" s="6" t="s">
        <v>715</v>
      </c>
      <c r="F6636" s="6" t="str">
        <f>IF($M6636="PADD I","PADD 1",IF($M6636="PADD II","PADD 2",IF($M6636="PADD III","PADD 3",IF($M6636="PADD IV","PADD 4",IF($M6636="PADD V","PADD 5","")))))</f>
        <v>PADD 3</v>
      </c>
      <c r="G6636" s="6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6" t="s">
        <v>510</v>
      </c>
      <c r="I6636" s="6" t="s">
        <v>511</v>
      </c>
      <c r="J6636" s="6" t="s">
        <v>398</v>
      </c>
      <c r="K6636" s="10">
        <v>10.508</v>
      </c>
      <c r="L6636" s="10">
        <v>14.8</v>
      </c>
      <c r="M6636" s="6" t="s">
        <v>421</v>
      </c>
      <c r="N6636" s="6">
        <f>IF(OR($G6636="FCC",$G6636="Hydrocracker",$G6636="Reformer"),IF(COUNTIFS($D:$D,$D6636,$A:$A,$A6636,$B:$B,$B6636,$G:$G,"CDU",$J:$J,"PLANNED")&gt;0,"tied","standalone"),"")</f>
        <v/>
      </c>
    </row>
    <row r="6637" spans="1:14">
      <c r="A6637" s="6">
        <v>2025</v>
      </c>
      <c r="B6637" s="6">
        <v>10</v>
      </c>
      <c r="C6637" s="6" t="s">
        <v>69</v>
      </c>
      <c r="D6637" s="6" t="s">
        <v>822</v>
      </c>
      <c r="E6637" s="6" t="s">
        <v>455</v>
      </c>
      <c r="F6637" s="6" t="str">
        <f>IF($M6637="PADD I","PADD 1",IF($M6637="PADD II","PADD 2",IF($M6637="PADD III","PADD 3",IF($M6637="PADD IV","PADD 4",IF($M6637="PADD V","PADD 5","")))))</f>
        <v>PADD 3</v>
      </c>
      <c r="G6637" s="6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6" t="s">
        <v>428</v>
      </c>
      <c r="I6637" s="6" t="s">
        <v>481</v>
      </c>
      <c r="J6637" s="6" t="s">
        <v>398</v>
      </c>
      <c r="K6637" s="10">
        <v>10.5</v>
      </c>
      <c r="L6637" s="10">
        <v>30</v>
      </c>
      <c r="M6637" s="6" t="s">
        <v>421</v>
      </c>
      <c r="N6637" s="6">
        <f>IF(OR($G6637="FCC",$G6637="Hydrocracker",$G6637="Reformer"),IF(COUNTIFS($D:$D,$D6637,$A:$A,$A6637,$B:$B,$B6637,$G:$G,"CDU",$J:$J,"PLANNED")&gt;0,"tied","standalone"),"")</f>
        <v/>
      </c>
    </row>
    <row r="6638" spans="1:14">
      <c r="A6638" s="6">
        <v>2025</v>
      </c>
      <c r="B6638" s="6">
        <v>10</v>
      </c>
      <c r="C6638" s="6" t="s">
        <v>69</v>
      </c>
      <c r="D6638" s="6" t="s">
        <v>422</v>
      </c>
      <c r="E6638" s="6" t="s">
        <v>423</v>
      </c>
      <c r="F6638" s="6" t="str">
        <f>IF($M6638="PADD I","PADD 1",IF($M6638="PADD II","PADD 2",IF($M6638="PADD III","PADD 3",IF($M6638="PADD IV","PADD 4",IF($M6638="PADD V","PADD 5","")))))</f>
        <v>PADD 2</v>
      </c>
      <c r="G6638" s="6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6" t="s">
        <v>426</v>
      </c>
      <c r="I6638" s="6" t="s">
        <v>457</v>
      </c>
      <c r="J6638" s="6" t="s">
        <v>394</v>
      </c>
      <c r="K6638" s="10">
        <v>10.45</v>
      </c>
      <c r="L6638" s="10">
        <v>55</v>
      </c>
      <c r="M6638" s="6" t="s">
        <v>425</v>
      </c>
      <c r="N6638" s="6" t="str">
        <f>IF(OR($G6638="FCC",$G6638="Hydrocracker",$G6638="Reformer"),IF(COUNTIFS($D:$D,$D6638,$A:$A,$A6638,$B:$B,$B6638,$G:$G,"CDU",$J:$J,"PLANNED")&gt;0,"tied","standalone"),"")</f>
        <v>standalone</v>
      </c>
    </row>
    <row r="6639" spans="1:14">
      <c r="A6639" s="6">
        <v>2025</v>
      </c>
      <c r="B6639" s="6">
        <v>10</v>
      </c>
      <c r="C6639" s="6" t="s">
        <v>69</v>
      </c>
      <c r="D6639" s="6" t="s">
        <v>626</v>
      </c>
      <c r="E6639" s="6" t="s">
        <v>419</v>
      </c>
      <c r="F6639" s="6" t="str">
        <f>IF($M6639="PADD I","PADD 1",IF($M6639="PADD II","PADD 2",IF($M6639="PADD III","PADD 3",IF($M6639="PADD IV","PADD 4",IF($M6639="PADD V","PADD 5","")))))</f>
        <v>PADD 3</v>
      </c>
      <c r="G6639" s="6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6" t="s">
        <v>428</v>
      </c>
      <c r="I6639" s="6" t="s">
        <v>1014</v>
      </c>
      <c r="J6639" s="6" t="s">
        <v>398</v>
      </c>
      <c r="K6639" s="10">
        <v>10.4</v>
      </c>
      <c r="L6639" s="10">
        <v>65</v>
      </c>
      <c r="M6639" s="6" t="s">
        <v>421</v>
      </c>
      <c r="N6639" s="6">
        <f>IF(OR($G6639="FCC",$G6639="Hydrocracker",$G6639="Reformer"),IF(COUNTIFS($D:$D,$D6639,$A:$A,$A6639,$B:$B,$B6639,$G:$G,"CDU",$J:$J,"PLANNED")&gt;0,"tied","standalone"),"")</f>
        <v/>
      </c>
    </row>
    <row r="6640" spans="1:14">
      <c r="A6640" s="6">
        <v>2025</v>
      </c>
      <c r="B6640" s="6">
        <v>10</v>
      </c>
      <c r="C6640" s="6" t="s">
        <v>69</v>
      </c>
      <c r="D6640" s="6" t="s">
        <v>375</v>
      </c>
      <c r="E6640" s="6" t="s">
        <v>435</v>
      </c>
      <c r="F6640" s="6" t="str">
        <f>IF($M6640="PADD I","PADD 1",IF($M6640="PADD II","PADD 2",IF($M6640="PADD III","PADD 3",IF($M6640="PADD IV","PADD 4",IF($M6640="PADD V","PADD 5","")))))</f>
        <v>PADD 5</v>
      </c>
      <c r="G6640" s="6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6" t="s">
        <v>471</v>
      </c>
      <c r="I6640" s="6" t="s">
        <v>15</v>
      </c>
      <c r="J6640" s="6" t="s">
        <v>394</v>
      </c>
      <c r="K6640" s="10">
        <v>10.33</v>
      </c>
      <c r="L6640" s="10">
        <v>10.33</v>
      </c>
      <c r="M6640" s="6" t="s">
        <v>436</v>
      </c>
      <c r="N6640" s="6" t="str">
        <f>IF(OR($G6640="FCC",$G6640="Hydrocracker",$G6640="Reformer"),IF(COUNTIFS($D:$D,$D6640,$A:$A,$A6640,$B:$B,$B6640,$G:$G,"CDU",$J:$J,"PLANNED")&gt;0,"tied","standalone"),"")</f>
        <v>standalone</v>
      </c>
    </row>
    <row r="6641" spans="1:14">
      <c r="A6641" s="6">
        <v>2025</v>
      </c>
      <c r="B6641" s="6">
        <v>10</v>
      </c>
      <c r="C6641" s="6" t="s">
        <v>69</v>
      </c>
      <c r="D6641" s="6" t="s">
        <v>375</v>
      </c>
      <c r="E6641" s="6" t="s">
        <v>435</v>
      </c>
      <c r="F6641" s="6" t="str">
        <f>IF($M6641="PADD I","PADD 1",IF($M6641="PADD II","PADD 2",IF($M6641="PADD III","PADD 3",IF($M6641="PADD IV","PADD 4",IF($M6641="PADD V","PADD 5","")))))</f>
        <v>PADD 5</v>
      </c>
      <c r="G6641" s="6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6" t="s">
        <v>44</v>
      </c>
      <c r="I6641" s="6" t="s">
        <v>551</v>
      </c>
      <c r="J6641" s="6" t="s">
        <v>394</v>
      </c>
      <c r="K6641" s="10">
        <v>9.800000000000001</v>
      </c>
      <c r="L6641" s="10">
        <v>9.800000000000001</v>
      </c>
      <c r="M6641" s="6" t="s">
        <v>436</v>
      </c>
      <c r="N6641" s="6">
        <f>IF(OR($G6641="FCC",$G6641="Hydrocracker",$G6641="Reformer"),IF(COUNTIFS($D:$D,$D6641,$A:$A,$A6641,$B:$B,$B6641,$G:$G,"CDU",$J:$J,"PLANNED")&gt;0,"tied","standalone"),"")</f>
        <v/>
      </c>
    </row>
    <row r="6642" spans="1:14">
      <c r="A6642" s="6">
        <v>2025</v>
      </c>
      <c r="B6642" s="6">
        <v>10</v>
      </c>
      <c r="C6642" s="6" t="s">
        <v>69</v>
      </c>
      <c r="D6642" s="6" t="s">
        <v>370</v>
      </c>
      <c r="E6642" s="6" t="s">
        <v>431</v>
      </c>
      <c r="F6642" s="6" t="str">
        <f>IF($M6642="PADD I","PADD 1",IF($M6642="PADD II","PADD 2",IF($M6642="PADD III","PADD 3",IF($M6642="PADD IV","PADD 4",IF($M6642="PADD V","PADD 5","")))))</f>
        <v>PADD 2</v>
      </c>
      <c r="G6642" s="6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6" t="s">
        <v>426</v>
      </c>
      <c r="I6642" s="6" t="s">
        <v>106</v>
      </c>
      <c r="J6642" s="6" t="s">
        <v>394</v>
      </c>
      <c r="K6642" s="10">
        <v>9.800000000000001</v>
      </c>
      <c r="L6642" s="10">
        <v>98</v>
      </c>
      <c r="M6642" s="6" t="s">
        <v>425</v>
      </c>
      <c r="N6642" s="6" t="str">
        <f>IF(OR($G6642="FCC",$G6642="Hydrocracker",$G6642="Reformer"),IF(COUNTIFS($D:$D,$D6642,$A:$A,$A6642,$B:$B,$B6642,$G:$G,"CDU",$J:$J,"PLANNED")&gt;0,"tied","standalone"),"")</f>
        <v>standalone</v>
      </c>
    </row>
    <row r="6643" spans="1:14">
      <c r="A6643" s="6">
        <v>2025</v>
      </c>
      <c r="B6643" s="6">
        <v>10</v>
      </c>
      <c r="C6643" s="6" t="s">
        <v>69</v>
      </c>
      <c r="D6643" s="6" t="s">
        <v>662</v>
      </c>
      <c r="E6643" s="6" t="s">
        <v>466</v>
      </c>
      <c r="F6643" s="6" t="str">
        <f>IF($M6643="PADD I","PADD 1",IF($M6643="PADD II","PADD 2",IF($M6643="PADD III","PADD 3",IF($M6643="PADD IV","PADD 4",IF($M6643="PADD V","PADD 5","")))))</f>
        <v>PADD 3</v>
      </c>
      <c r="G6643" s="6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6" t="s">
        <v>471</v>
      </c>
      <c r="I6643" s="6" t="s">
        <v>805</v>
      </c>
      <c r="J6643" s="6" t="s">
        <v>394</v>
      </c>
      <c r="K6643" s="10">
        <v>9.6</v>
      </c>
      <c r="L6643" s="10">
        <v>30</v>
      </c>
      <c r="M6643" s="6" t="s">
        <v>421</v>
      </c>
      <c r="N6643" s="6" t="str">
        <f>IF(OR($G6643="FCC",$G6643="Hydrocracker",$G6643="Reformer"),IF(COUNTIFS($D:$D,$D6643,$A:$A,$A6643,$B:$B,$B6643,$G:$G,"CDU",$J:$J,"PLANNED")&gt;0,"tied","standalone"),"")</f>
        <v>tied</v>
      </c>
    </row>
    <row r="6644" spans="1:14">
      <c r="A6644" s="6">
        <v>2025</v>
      </c>
      <c r="B6644" s="6">
        <v>10</v>
      </c>
      <c r="C6644" s="6" t="s">
        <v>69</v>
      </c>
      <c r="D6644" s="6" t="s">
        <v>52</v>
      </c>
      <c r="E6644" s="6" t="s">
        <v>441</v>
      </c>
      <c r="F6644" s="6" t="str">
        <f>IF($M6644="PADD I","PADD 1",IF($M6644="PADD II","PADD 2",IF($M6644="PADD III","PADD 3",IF($M6644="PADD IV","PADD 4",IF($M6644="PADD V","PADD 5","")))))</f>
        <v>PADD 5</v>
      </c>
      <c r="G6644" s="6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6" t="s">
        <v>426</v>
      </c>
      <c r="I6644" s="6" t="s">
        <v>106</v>
      </c>
      <c r="J6644" s="6" t="s">
        <v>394</v>
      </c>
      <c r="K6644" s="10">
        <v>9.425000000000001</v>
      </c>
      <c r="L6644" s="10">
        <v>72.5</v>
      </c>
      <c r="M6644" s="6" t="s">
        <v>436</v>
      </c>
      <c r="N6644" s="6" t="str">
        <f>IF(OR($G6644="FCC",$G6644="Hydrocracker",$G6644="Reformer"),IF(COUNTIFS($D:$D,$D6644,$A:$A,$A6644,$B:$B,$B6644,$G:$G,"CDU",$J:$J,"PLANNED")&gt;0,"tied","standalone"),"")</f>
        <v>standalone</v>
      </c>
    </row>
    <row r="6645" spans="1:14">
      <c r="A6645" s="6">
        <v>2025</v>
      </c>
      <c r="B6645" s="6">
        <v>10</v>
      </c>
      <c r="C6645" s="6" t="s">
        <v>69</v>
      </c>
      <c r="D6645" s="6" t="s">
        <v>501</v>
      </c>
      <c r="E6645" s="6" t="s">
        <v>502</v>
      </c>
      <c r="F6645" s="6" t="str">
        <f>IF($M6645="PADD I","PADD 1",IF($M6645="PADD II","PADD 2",IF($M6645="PADD III","PADD 3",IF($M6645="PADD IV","PADD 4",IF($M6645="PADD V","PADD 5","")))))</f>
        <v>PADD 2</v>
      </c>
      <c r="G6645" s="6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6" t="s">
        <v>39</v>
      </c>
      <c r="I6645" s="6" t="s">
        <v>531</v>
      </c>
      <c r="J6645" s="6" t="s">
        <v>394</v>
      </c>
      <c r="K6645" s="10">
        <v>9.199999999999999</v>
      </c>
      <c r="L6645" s="10">
        <v>40</v>
      </c>
      <c r="M6645" s="6" t="s">
        <v>425</v>
      </c>
      <c r="N6645" s="6">
        <f>IF(OR($G6645="FCC",$G6645="Hydrocracker",$G6645="Reformer"),IF(COUNTIFS($D:$D,$D6645,$A:$A,$A6645,$B:$B,$B6645,$G:$G,"CDU",$J:$J,"PLANNED")&gt;0,"tied","standalone"),"")</f>
        <v/>
      </c>
    </row>
    <row r="6646" spans="1:14">
      <c r="A6646" s="6">
        <v>2025</v>
      </c>
      <c r="B6646" s="6">
        <v>10</v>
      </c>
      <c r="C6646" s="6" t="s">
        <v>69</v>
      </c>
      <c r="D6646" s="6" t="s">
        <v>375</v>
      </c>
      <c r="E6646" s="6" t="s">
        <v>435</v>
      </c>
      <c r="F6646" s="6" t="str">
        <f>IF($M6646="PADD I","PADD 1",IF($M6646="PADD II","PADD 2",IF($M6646="PADD III","PADD 3",IF($M6646="PADD IV","PADD 4",IF($M6646="PADD V","PADD 5","")))))</f>
        <v>PADD 5</v>
      </c>
      <c r="G6646" s="6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6" t="s">
        <v>44</v>
      </c>
      <c r="I6646" s="6" t="s">
        <v>1233</v>
      </c>
      <c r="J6646" s="6" t="s">
        <v>394</v>
      </c>
      <c r="K6646" s="10">
        <v>9.1</v>
      </c>
      <c r="L6646" s="10">
        <v>9.1</v>
      </c>
      <c r="M6646" s="6" t="s">
        <v>436</v>
      </c>
      <c r="N6646" s="6">
        <f>IF(OR($G6646="FCC",$G6646="Hydrocracker",$G6646="Reformer"),IF(COUNTIFS($D:$D,$D6646,$A:$A,$A6646,$B:$B,$B6646,$G:$G,"CDU",$J:$J,"PLANNED")&gt;0,"tied","standalone"),"")</f>
        <v/>
      </c>
    </row>
    <row r="6647" spans="1:14">
      <c r="A6647" s="6">
        <v>2025</v>
      </c>
      <c r="B6647" s="6">
        <v>10</v>
      </c>
      <c r="C6647" s="6" t="s">
        <v>69</v>
      </c>
      <c r="D6647" s="6" t="s">
        <v>540</v>
      </c>
      <c r="E6647" s="6" t="s">
        <v>541</v>
      </c>
      <c r="F6647" s="6" t="str">
        <f>IF($M6647="PADD I","PADD 1",IF($M6647="PADD II","PADD 2",IF($M6647="PADD III","PADD 3",IF($M6647="PADD IV","PADD 4",IF($M6647="PADD V","PADD 5","")))))</f>
        <v>PADD 3</v>
      </c>
      <c r="G6647" s="6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6" t="s">
        <v>426</v>
      </c>
      <c r="I6647" s="6" t="s">
        <v>522</v>
      </c>
      <c r="J6647" s="6" t="s">
        <v>394</v>
      </c>
      <c r="K6647" s="10">
        <v>8.800000000000001</v>
      </c>
      <c r="L6647" s="10">
        <v>88</v>
      </c>
      <c r="M6647" s="6" t="s">
        <v>421</v>
      </c>
      <c r="N6647" s="6" t="str">
        <f>IF(OR($G6647="FCC",$G6647="Hydrocracker",$G6647="Reformer"),IF(COUNTIFS($D:$D,$D6647,$A:$A,$A6647,$B:$B,$B6647,$G:$G,"CDU",$J:$J,"PLANNED")&gt;0,"tied","standalone"),"")</f>
        <v>standalone</v>
      </c>
    </row>
    <row r="6648" spans="1:14">
      <c r="A6648" s="6">
        <v>2025</v>
      </c>
      <c r="B6648" s="6">
        <v>10</v>
      </c>
      <c r="C6648" s="6" t="s">
        <v>69</v>
      </c>
      <c r="D6648" s="6" t="s">
        <v>430</v>
      </c>
      <c r="E6648" s="6" t="s">
        <v>431</v>
      </c>
      <c r="F6648" s="6" t="str">
        <f>IF($M6648="PADD I","PADD 1",IF($M6648="PADD II","PADD 2",IF($M6648="PADD III","PADD 3",IF($M6648="PADD IV","PADD 4",IF($M6648="PADD V","PADD 5","")))))</f>
        <v>PADD 3</v>
      </c>
      <c r="G6648" s="6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6" t="s">
        <v>428</v>
      </c>
      <c r="I6648" s="6" t="s">
        <v>1176</v>
      </c>
      <c r="J6648" s="6" t="s">
        <v>394</v>
      </c>
      <c r="K6648" s="10">
        <v>8.640000000000001</v>
      </c>
      <c r="L6648" s="10">
        <v>54</v>
      </c>
      <c r="M6648" s="6" t="s">
        <v>421</v>
      </c>
      <c r="N6648" s="6">
        <f>IF(OR($G6648="FCC",$G6648="Hydrocracker",$G6648="Reformer"),IF(COUNTIFS($D:$D,$D6648,$A:$A,$A6648,$B:$B,$B6648,$G:$G,"CDU",$J:$J,"PLANNED")&gt;0,"tied","standalone"),"")</f>
        <v/>
      </c>
    </row>
    <row r="6649" spans="1:14">
      <c r="A6649" s="6">
        <v>2025</v>
      </c>
      <c r="B6649" s="6">
        <v>10</v>
      </c>
      <c r="C6649" s="6" t="s">
        <v>69</v>
      </c>
      <c r="D6649" s="6" t="s">
        <v>838</v>
      </c>
      <c r="E6649" s="6" t="s">
        <v>455</v>
      </c>
      <c r="F6649" s="6" t="str">
        <f>IF($M6649="PADD I","PADD 1",IF($M6649="PADD II","PADD 2",IF($M6649="PADD III","PADD 3",IF($M6649="PADD IV","PADD 4",IF($M6649="PADD V","PADD 5","")))))</f>
        <v>PADD 3</v>
      </c>
      <c r="G6649" s="6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6" t="s">
        <v>471</v>
      </c>
      <c r="I6649" s="6" t="s">
        <v>832</v>
      </c>
      <c r="J6649" s="6" t="s">
        <v>394</v>
      </c>
      <c r="K6649" s="10">
        <v>8.32</v>
      </c>
      <c r="L6649" s="10">
        <v>32</v>
      </c>
      <c r="M6649" s="6" t="s">
        <v>421</v>
      </c>
      <c r="N6649" s="6" t="str">
        <f>IF(OR($G6649="FCC",$G6649="Hydrocracker",$G6649="Reformer"),IF(COUNTIFS($D:$D,$D6649,$A:$A,$A6649,$B:$B,$B6649,$G:$G,"CDU",$J:$J,"PLANNED")&gt;0,"tied","standalone"),"")</f>
        <v>standalone</v>
      </c>
    </row>
    <row r="6650" spans="1:14">
      <c r="A6650" s="6">
        <v>2025</v>
      </c>
      <c r="B6650" s="6">
        <v>10</v>
      </c>
      <c r="C6650" s="6" t="s">
        <v>69</v>
      </c>
      <c r="D6650" s="6" t="s">
        <v>851</v>
      </c>
      <c r="E6650" s="6" t="s">
        <v>829</v>
      </c>
      <c r="F6650" s="6" t="str">
        <f>IF($M6650="PADD I","PADD 1",IF($M6650="PADD II","PADD 2",IF($M6650="PADD III","PADD 3",IF($M6650="PADD IV","PADD 4",IF($M6650="PADD V","PADD 5","")))))</f>
        <v>PADD 2</v>
      </c>
      <c r="G6650" s="6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6" t="s">
        <v>485</v>
      </c>
      <c r="I6650" s="6" t="s">
        <v>1229</v>
      </c>
      <c r="J6650" s="6" t="s">
        <v>394</v>
      </c>
      <c r="K6650" s="10">
        <v>8.279999999999999</v>
      </c>
      <c r="L6650" s="10">
        <v>36</v>
      </c>
      <c r="M6650" s="6" t="s">
        <v>425</v>
      </c>
      <c r="N6650" s="6">
        <f>IF(OR($G6650="FCC",$G6650="Hydrocracker",$G6650="Reformer"),IF(COUNTIFS($D:$D,$D6650,$A:$A,$A6650,$B:$B,$B6650,$G:$G,"CDU",$J:$J,"PLANNED")&gt;0,"tied","standalone"),"")</f>
        <v/>
      </c>
    </row>
    <row r="6651" spans="1:14">
      <c r="A6651" s="6">
        <v>2025</v>
      </c>
      <c r="B6651" s="6">
        <v>10</v>
      </c>
      <c r="C6651" s="6" t="s">
        <v>69</v>
      </c>
      <c r="D6651" s="6" t="s">
        <v>665</v>
      </c>
      <c r="E6651" s="6" t="s">
        <v>455</v>
      </c>
      <c r="F6651" s="6" t="str">
        <f>IF($M6651="PADD I","PADD 1",IF($M6651="PADD II","PADD 2",IF($M6651="PADD III","PADD 3",IF($M6651="PADD IV","PADD 4",IF($M6651="PADD V","PADD 5","")))))</f>
        <v>PADD 5</v>
      </c>
      <c r="G6651" s="6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6" t="s">
        <v>494</v>
      </c>
      <c r="I6651" s="6" t="s">
        <v>14</v>
      </c>
      <c r="J6651" s="6" t="s">
        <v>398</v>
      </c>
      <c r="K6651" s="10">
        <v>8.279999999999999</v>
      </c>
      <c r="L6651" s="10">
        <v>36</v>
      </c>
      <c r="M6651" s="6" t="s">
        <v>436</v>
      </c>
      <c r="N6651" s="6" t="str">
        <f>IF(OR($G6651="FCC",$G6651="Hydrocracker",$G6651="Reformer"),IF(COUNTIFS($D:$D,$D6651,$A:$A,$A6651,$B:$B,$B6651,$G:$G,"CDU",$J:$J,"PLANNED")&gt;0,"tied","standalone"),"")</f>
        <v>standalone</v>
      </c>
    </row>
    <row r="6652" spans="1:14">
      <c r="A6652" s="6">
        <v>2025</v>
      </c>
      <c r="B6652" s="6">
        <v>10</v>
      </c>
      <c r="C6652" s="6" t="s">
        <v>69</v>
      </c>
      <c r="D6652" s="6" t="s">
        <v>597</v>
      </c>
      <c r="E6652" s="6" t="s">
        <v>441</v>
      </c>
      <c r="F6652" s="6" t="str">
        <f>IF($M6652="PADD I","PADD 1",IF($M6652="PADD II","PADD 2",IF($M6652="PADD III","PADD 3",IF($M6652="PADD IV","PADD 4",IF($M6652="PADD V","PADD 5","")))))</f>
        <v>PADD 5</v>
      </c>
      <c r="G6652" s="6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6" t="s">
        <v>426</v>
      </c>
      <c r="I6652" s="6" t="s">
        <v>106</v>
      </c>
      <c r="J6652" s="6" t="s">
        <v>394</v>
      </c>
      <c r="K6652" s="10">
        <v>8</v>
      </c>
      <c r="L6652" s="10">
        <v>80</v>
      </c>
      <c r="M6652" s="6" t="s">
        <v>436</v>
      </c>
      <c r="N6652" s="6" t="str">
        <f>IF(OR($G6652="FCC",$G6652="Hydrocracker",$G6652="Reformer"),IF(COUNTIFS($D:$D,$D6652,$A:$A,$A6652,$B:$B,$B6652,$G:$G,"CDU",$J:$J,"PLANNED")&gt;0,"tied","standalone"),"")</f>
        <v>standalone</v>
      </c>
    </row>
    <row r="6653" spans="1:14">
      <c r="A6653" s="6">
        <v>2025</v>
      </c>
      <c r="B6653" s="6">
        <v>10</v>
      </c>
      <c r="C6653" s="6" t="s">
        <v>69</v>
      </c>
      <c r="D6653" s="6" t="s">
        <v>375</v>
      </c>
      <c r="E6653" s="6" t="s">
        <v>435</v>
      </c>
      <c r="F6653" s="6" t="str">
        <f>IF($M6653="PADD I","PADD 1",IF($M6653="PADD II","PADD 2",IF($M6653="PADD III","PADD 3",IF($M6653="PADD IV","PADD 4",IF($M6653="PADD V","PADD 5","")))))</f>
        <v>PADD 5</v>
      </c>
      <c r="G6653" s="6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6" t="s">
        <v>485</v>
      </c>
      <c r="I6653" s="6" t="s">
        <v>491</v>
      </c>
      <c r="J6653" s="6" t="s">
        <v>394</v>
      </c>
      <c r="K6653" s="10">
        <v>7.7</v>
      </c>
      <c r="L6653" s="10">
        <v>7.7</v>
      </c>
      <c r="M6653" s="6" t="s">
        <v>436</v>
      </c>
      <c r="N6653" s="6">
        <f>IF(OR($G6653="FCC",$G6653="Hydrocracker",$G6653="Reformer"),IF(COUNTIFS($D:$D,$D6653,$A:$A,$A6653,$B:$B,$B6653,$G:$G,"CDU",$J:$J,"PLANNED")&gt;0,"tied","standalone"),"")</f>
        <v/>
      </c>
    </row>
    <row r="6654" spans="1:14">
      <c r="A6654" s="6">
        <v>2025</v>
      </c>
      <c r="B6654" s="6">
        <v>10</v>
      </c>
      <c r="C6654" s="6" t="s">
        <v>69</v>
      </c>
      <c r="D6654" s="6" t="s">
        <v>726</v>
      </c>
      <c r="E6654" s="6" t="s">
        <v>727</v>
      </c>
      <c r="F6654" s="6" t="str">
        <f>IF($M6654="PADD I","PADD 1",IF($M6654="PADD II","PADD 2",IF($M6654="PADD III","PADD 3",IF($M6654="PADD IV","PADD 4",IF($M6654="PADD V","PADD 5","")))))</f>
        <v>PADD 1</v>
      </c>
      <c r="G6654" s="6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6" t="s">
        <v>471</v>
      </c>
      <c r="I6654" s="6" t="s">
        <v>949</v>
      </c>
      <c r="J6654" s="6" t="s">
        <v>394</v>
      </c>
      <c r="K6654" s="10">
        <v>7.36</v>
      </c>
      <c r="L6654" s="10">
        <v>32</v>
      </c>
      <c r="M6654" s="6" t="s">
        <v>463</v>
      </c>
      <c r="N6654" s="6" t="str">
        <f>IF(OR($G6654="FCC",$G6654="Hydrocracker",$G6654="Reformer"),IF(COUNTIFS($D:$D,$D6654,$A:$A,$A6654,$B:$B,$B6654,$G:$G,"CDU",$J:$J,"PLANNED")&gt;0,"tied","standalone"),"")</f>
        <v>standalone</v>
      </c>
    </row>
    <row r="6655" spans="1:14">
      <c r="A6655" s="6">
        <v>2025</v>
      </c>
      <c r="B6655" s="6">
        <v>10</v>
      </c>
      <c r="C6655" s="6" t="s">
        <v>69</v>
      </c>
      <c r="D6655" s="6" t="s">
        <v>375</v>
      </c>
      <c r="E6655" s="6" t="s">
        <v>435</v>
      </c>
      <c r="F6655" s="6" t="str">
        <f>IF($M6655="PADD I","PADD 1",IF($M6655="PADD II","PADD 2",IF($M6655="PADD III","PADD 3",IF($M6655="PADD IV","PADD 4",IF($M6655="PADD V","PADD 5","")))))</f>
        <v>PADD 5</v>
      </c>
      <c r="G6655" s="6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6" t="s">
        <v>485</v>
      </c>
      <c r="I6655" s="6" t="s">
        <v>863</v>
      </c>
      <c r="J6655" s="6" t="s">
        <v>394</v>
      </c>
      <c r="K6655" s="10">
        <v>7.32</v>
      </c>
      <c r="L6655" s="10">
        <v>7.32</v>
      </c>
      <c r="M6655" s="6" t="s">
        <v>436</v>
      </c>
      <c r="N6655" s="6">
        <f>IF(OR($G6655="FCC",$G6655="Hydrocracker",$G6655="Reformer"),IF(COUNTIFS($D:$D,$D6655,$A:$A,$A6655,$B:$B,$B6655,$G:$G,"CDU",$J:$J,"PLANNED")&gt;0,"tied","standalone"),"")</f>
        <v/>
      </c>
    </row>
    <row r="6656" spans="1:14">
      <c r="A6656" s="6">
        <v>2025</v>
      </c>
      <c r="B6656" s="6">
        <v>10</v>
      </c>
      <c r="C6656" s="6" t="s">
        <v>69</v>
      </c>
      <c r="D6656" s="6" t="s">
        <v>1370</v>
      </c>
      <c r="E6656" s="6" t="s">
        <v>1371</v>
      </c>
      <c r="F6656" s="6" t="str">
        <f>IF($M6656="PADD I","PADD 1",IF($M6656="PADD II","PADD 2",IF($M6656="PADD III","PADD 3",IF($M6656="PADD IV","PADD 4",IF($M6656="PADD V","PADD 5","")))))</f>
        <v>PADD 3</v>
      </c>
      <c r="G6656" s="6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6" t="s">
        <v>44</v>
      </c>
      <c r="I6656" s="6" t="s">
        <v>954</v>
      </c>
      <c r="J6656" s="6" t="s">
        <v>398</v>
      </c>
      <c r="K6656" s="10">
        <v>7.32</v>
      </c>
      <c r="L6656" s="10">
        <v>12</v>
      </c>
      <c r="M6656" s="6" t="s">
        <v>421</v>
      </c>
      <c r="N6656" s="6">
        <f>IF(OR($G6656="FCC",$G6656="Hydrocracker",$G6656="Reformer"),IF(COUNTIFS($D:$D,$D6656,$A:$A,$A6656,$B:$B,$B6656,$G:$G,"CDU",$J:$J,"PLANNED")&gt;0,"tied","standalone"),"")</f>
        <v/>
      </c>
    </row>
    <row r="6657" spans="1:14">
      <c r="A6657" s="6">
        <v>2025</v>
      </c>
      <c r="B6657" s="6">
        <v>10</v>
      </c>
      <c r="C6657" s="6" t="s">
        <v>69</v>
      </c>
      <c r="D6657" s="6" t="s">
        <v>712</v>
      </c>
      <c r="E6657" s="6" t="s">
        <v>602</v>
      </c>
      <c r="F6657" s="6" t="str">
        <f>IF($M6657="PADD I","PADD 1",IF($M6657="PADD II","PADD 2",IF($M6657="PADD III","PADD 3",IF($M6657="PADD IV","PADD 4",IF($M6657="PADD V","PADD 5","")))))</f>
        <v>PADD 3</v>
      </c>
      <c r="G6657" s="6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6" t="s">
        <v>428</v>
      </c>
      <c r="I6657" s="6" t="s">
        <v>481</v>
      </c>
      <c r="J6657" s="6" t="s">
        <v>398</v>
      </c>
      <c r="K6657" s="10">
        <v>6.96</v>
      </c>
      <c r="L6657" s="10">
        <v>24</v>
      </c>
      <c r="M6657" s="6" t="s">
        <v>421</v>
      </c>
      <c r="N6657" s="6">
        <f>IF(OR($G6657="FCC",$G6657="Hydrocracker",$G6657="Reformer"),IF(COUNTIFS($D:$D,$D6657,$A:$A,$A6657,$B:$B,$B6657,$G:$G,"CDU",$J:$J,"PLANNED")&gt;0,"tied","standalone"),"")</f>
        <v/>
      </c>
    </row>
    <row r="6658" spans="1:14">
      <c r="A6658" s="6">
        <v>2025</v>
      </c>
      <c r="B6658" s="6">
        <v>10</v>
      </c>
      <c r="C6658" s="6" t="s">
        <v>69</v>
      </c>
      <c r="D6658" s="6" t="s">
        <v>712</v>
      </c>
      <c r="E6658" s="6" t="s">
        <v>602</v>
      </c>
      <c r="F6658" s="6" t="str">
        <f>IF($M6658="PADD I","PADD 1",IF($M6658="PADD II","PADD 2",IF($M6658="PADD III","PADD 3",IF($M6658="PADD IV","PADD 4",IF($M6658="PADD V","PADD 5","")))))</f>
        <v>PADD 3</v>
      </c>
      <c r="G6658" s="6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6" t="s">
        <v>471</v>
      </c>
      <c r="I6658" s="6" t="s">
        <v>1099</v>
      </c>
      <c r="J6658" s="6" t="s">
        <v>398</v>
      </c>
      <c r="K6658" s="10">
        <v>6.88</v>
      </c>
      <c r="L6658" s="10">
        <v>21.5</v>
      </c>
      <c r="M6658" s="6" t="s">
        <v>421</v>
      </c>
      <c r="N6658" s="6" t="str">
        <f>IF(OR($G6658="FCC",$G6658="Hydrocracker",$G6658="Reformer"),IF(COUNTIFS($D:$D,$D6658,$A:$A,$A6658,$B:$B,$B6658,$G:$G,"CDU",$J:$J,"PLANNED")&gt;0,"tied","standalone"),"")</f>
        <v>tied</v>
      </c>
    </row>
    <row r="6659" spans="1:14">
      <c r="A6659" s="6">
        <v>2025</v>
      </c>
      <c r="B6659" s="6">
        <v>10</v>
      </c>
      <c r="C6659" s="6" t="s">
        <v>69</v>
      </c>
      <c r="D6659" s="6" t="s">
        <v>712</v>
      </c>
      <c r="E6659" s="6" t="s">
        <v>602</v>
      </c>
      <c r="F6659" s="6" t="str">
        <f>IF($M6659="PADD I","PADD 1",IF($M6659="PADD II","PADD 2",IF($M6659="PADD III","PADD 3",IF($M6659="PADD IV","PADD 4",IF($M6659="PADD V","PADD 5","")))))</f>
        <v>PADD 3</v>
      </c>
      <c r="G6659" s="6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6" t="s">
        <v>426</v>
      </c>
      <c r="I6659" s="6" t="s">
        <v>106</v>
      </c>
      <c r="J6659" s="6" t="s">
        <v>398</v>
      </c>
      <c r="K6659" s="10">
        <v>6.5</v>
      </c>
      <c r="L6659" s="10">
        <v>25</v>
      </c>
      <c r="M6659" s="6" t="s">
        <v>421</v>
      </c>
      <c r="N6659" s="6" t="str">
        <f>IF(OR($G6659="FCC",$G6659="Hydrocracker",$G6659="Reformer"),IF(COUNTIFS($D:$D,$D6659,$A:$A,$A6659,$B:$B,$B6659,$G:$G,"CDU",$J:$J,"PLANNED")&gt;0,"tied","standalone"),"")</f>
        <v>tied</v>
      </c>
    </row>
    <row r="6660" spans="1:14">
      <c r="A6660" s="6">
        <v>2025</v>
      </c>
      <c r="B6660" s="6">
        <v>10</v>
      </c>
      <c r="C6660" s="6" t="s">
        <v>69</v>
      </c>
      <c r="D6660" s="6" t="s">
        <v>592</v>
      </c>
      <c r="E6660" s="6" t="s">
        <v>593</v>
      </c>
      <c r="F6660" s="6" t="str">
        <f>IF($M6660="PADD I","PADD 1",IF($M6660="PADD II","PADD 2",IF($M6660="PADD III","PADD 3",IF($M6660="PADD IV","PADD 4",IF($M6660="PADD V","PADD 5","")))))</f>
        <v>PADD 2</v>
      </c>
      <c r="G6660" s="6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6" t="s">
        <v>44</v>
      </c>
      <c r="I6660" s="6" t="s">
        <v>963</v>
      </c>
      <c r="J6660" s="6" t="s">
        <v>394</v>
      </c>
      <c r="K6660" s="10">
        <v>6.3</v>
      </c>
      <c r="L6660" s="10">
        <v>105</v>
      </c>
      <c r="M6660" s="6" t="s">
        <v>425</v>
      </c>
      <c r="N6660" s="6">
        <f>IF(OR($G6660="FCC",$G6660="Hydrocracker",$G6660="Reformer"),IF(COUNTIFS($D:$D,$D6660,$A:$A,$A6660,$B:$B,$B6660,$G:$G,"CDU",$J:$J,"PLANNED")&gt;0,"tied","standalone"),"")</f>
        <v/>
      </c>
    </row>
    <row r="6661" spans="1:14">
      <c r="A6661" s="6">
        <v>2025</v>
      </c>
      <c r="B6661" s="6">
        <v>10</v>
      </c>
      <c r="C6661" s="6" t="s">
        <v>69</v>
      </c>
      <c r="D6661" s="6" t="s">
        <v>1093</v>
      </c>
      <c r="E6661" s="6" t="s">
        <v>438</v>
      </c>
      <c r="F6661" s="6" t="str">
        <f>IF($M6661="PADD I","PADD 1",IF($M6661="PADD II","PADD 2",IF($M6661="PADD III","PADD 3",IF($M6661="PADD IV","PADD 4",IF($M6661="PADD V","PADD 5","")))))</f>
        <v>PADD 2</v>
      </c>
      <c r="G6661" s="6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6" t="s">
        <v>426</v>
      </c>
      <c r="I6661" s="6" t="s">
        <v>106</v>
      </c>
      <c r="J6661" s="6" t="s">
        <v>394</v>
      </c>
      <c r="K6661" s="10">
        <v>6.21</v>
      </c>
      <c r="L6661" s="10">
        <v>27</v>
      </c>
      <c r="M6661" s="6" t="s">
        <v>425</v>
      </c>
      <c r="N6661" s="6" t="str">
        <f>IF(OR($G6661="FCC",$G6661="Hydrocracker",$G6661="Reformer"),IF(COUNTIFS($D:$D,$D6661,$A:$A,$A6661,$B:$B,$B6661,$G:$G,"CDU",$J:$J,"PLANNED")&gt;0,"tied","standalone"),"")</f>
        <v>standalone</v>
      </c>
    </row>
    <row r="6662" spans="1:14">
      <c r="A6662" s="6">
        <v>2025</v>
      </c>
      <c r="B6662" s="6">
        <v>10</v>
      </c>
      <c r="C6662" s="6" t="s">
        <v>69</v>
      </c>
      <c r="D6662" s="6" t="s">
        <v>849</v>
      </c>
      <c r="E6662" s="6" t="s">
        <v>441</v>
      </c>
      <c r="F6662" s="6" t="str">
        <f>IF($M6662="PADD I","PADD 1",IF($M6662="PADD II","PADD 2",IF($M6662="PADD III","PADD 3",IF($M6662="PADD IV","PADD 4",IF($M6662="PADD V","PADD 5","")))))</f>
        <v>PADD 4</v>
      </c>
      <c r="G6662" s="6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6" t="s">
        <v>471</v>
      </c>
      <c r="I6662" s="6" t="s">
        <v>1385</v>
      </c>
      <c r="J6662" s="6" t="s">
        <v>398</v>
      </c>
      <c r="K6662" s="10">
        <v>5.68</v>
      </c>
      <c r="L6662" s="10">
        <v>8</v>
      </c>
      <c r="M6662" s="6" t="s">
        <v>480</v>
      </c>
      <c r="N6662" s="6" t="str">
        <f>IF(OR($G6662="FCC",$G6662="Hydrocracker",$G6662="Reformer"),IF(COUNTIFS($D:$D,$D6662,$A:$A,$A6662,$B:$B,$B6662,$G:$G,"CDU",$J:$J,"PLANNED")&gt;0,"tied","standalone"),"")</f>
        <v>standalone</v>
      </c>
    </row>
    <row r="6663" spans="1:14">
      <c r="A6663" s="6">
        <v>2025</v>
      </c>
      <c r="B6663" s="6">
        <v>10</v>
      </c>
      <c r="C6663" s="6" t="s">
        <v>69</v>
      </c>
      <c r="D6663" s="6" t="s">
        <v>550</v>
      </c>
      <c r="E6663" s="6" t="s">
        <v>438</v>
      </c>
      <c r="F6663" s="6" t="str">
        <f>IF($M6663="PADD I","PADD 1",IF($M6663="PADD II","PADD 2",IF($M6663="PADD III","PADD 3",IF($M6663="PADD IV","PADD 4",IF($M6663="PADD V","PADD 5","")))))</f>
        <v>PADD 2</v>
      </c>
      <c r="G6663" s="6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6" t="s">
        <v>39</v>
      </c>
      <c r="I6663" s="6" t="s">
        <v>580</v>
      </c>
      <c r="J6663" s="6" t="s">
        <v>394</v>
      </c>
      <c r="K6663" s="10">
        <v>5.52</v>
      </c>
      <c r="L6663" s="10">
        <v>92</v>
      </c>
      <c r="M6663" s="6" t="s">
        <v>425</v>
      </c>
      <c r="N6663" s="6">
        <f>IF(OR($G6663="FCC",$G6663="Hydrocracker",$G6663="Reformer"),IF(COUNTIFS($D:$D,$D6663,$A:$A,$A6663,$B:$B,$B6663,$G:$G,"CDU",$J:$J,"PLANNED")&gt;0,"tied","standalone"),"")</f>
        <v/>
      </c>
    </row>
    <row r="6664" spans="1:14">
      <c r="A6664" s="6">
        <v>2025</v>
      </c>
      <c r="B6664" s="6">
        <v>10</v>
      </c>
      <c r="C6664" s="6" t="s">
        <v>69</v>
      </c>
      <c r="D6664" s="6" t="s">
        <v>43</v>
      </c>
      <c r="E6664" s="6" t="s">
        <v>455</v>
      </c>
      <c r="F6664" s="6" t="str">
        <f>IF($M6664="PADD I","PADD 1",IF($M6664="PADD II","PADD 2",IF($M6664="PADD III","PADD 3",IF($M6664="PADD IV","PADD 4",IF($M6664="PADD V","PADD 5","")))))</f>
        <v>PADD 3</v>
      </c>
      <c r="G6664" s="6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6" t="s">
        <v>471</v>
      </c>
      <c r="I6664" s="6" t="s">
        <v>1386</v>
      </c>
      <c r="J6664" s="6" t="s">
        <v>394</v>
      </c>
      <c r="K6664" s="10">
        <v>5.22</v>
      </c>
      <c r="L6664" s="10">
        <v>18</v>
      </c>
      <c r="M6664" s="6" t="s">
        <v>421</v>
      </c>
      <c r="N6664" s="6" t="str">
        <f>IF(OR($G6664="FCC",$G6664="Hydrocracker",$G6664="Reformer"),IF(COUNTIFS($D:$D,$D6664,$A:$A,$A6664,$B:$B,$B6664,$G:$G,"CDU",$J:$J,"PLANNED")&gt;0,"tied","standalone"),"")</f>
        <v>standalone</v>
      </c>
    </row>
    <row r="6665" spans="1:14">
      <c r="A6665" s="6">
        <v>2025</v>
      </c>
      <c r="B6665" s="6">
        <v>10</v>
      </c>
      <c r="C6665" s="6" t="s">
        <v>69</v>
      </c>
      <c r="D6665" s="6" t="s">
        <v>550</v>
      </c>
      <c r="E6665" s="6" t="s">
        <v>438</v>
      </c>
      <c r="F6665" s="6" t="str">
        <f>IF($M6665="PADD I","PADD 1",IF($M6665="PADD II","PADD 2",IF($M6665="PADD III","PADD 3",IF($M6665="PADD IV","PADD 4",IF($M6665="PADD V","PADD 5","")))))</f>
        <v>PADD 2</v>
      </c>
      <c r="G6665" s="6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6" t="s">
        <v>428</v>
      </c>
      <c r="I6665" s="6" t="s">
        <v>481</v>
      </c>
      <c r="J6665" s="6" t="s">
        <v>394</v>
      </c>
      <c r="K6665" s="10">
        <v>5.12</v>
      </c>
      <c r="L6665" s="10">
        <v>32</v>
      </c>
      <c r="M6665" s="6" t="s">
        <v>425</v>
      </c>
      <c r="N6665" s="6">
        <f>IF(OR($G6665="FCC",$G6665="Hydrocracker",$G6665="Reformer"),IF(COUNTIFS($D:$D,$D6665,$A:$A,$A6665,$B:$B,$B6665,$G:$G,"CDU",$J:$J,"PLANNED")&gt;0,"tied","standalone"),"")</f>
        <v/>
      </c>
    </row>
    <row r="6666" spans="1:14">
      <c r="A6666" s="6">
        <v>2025</v>
      </c>
      <c r="B6666" s="6">
        <v>10</v>
      </c>
      <c r="C6666" s="6" t="s">
        <v>69</v>
      </c>
      <c r="D6666" s="6" t="s">
        <v>853</v>
      </c>
      <c r="E6666" s="6" t="s">
        <v>438</v>
      </c>
      <c r="F6666" s="6" t="str">
        <f>IF($M6666="PADD I","PADD 1",IF($M6666="PADD II","PADD 2",IF($M6666="PADD III","PADD 3",IF($M6666="PADD IV","PADD 4",IF($M6666="PADD V","PADD 5","")))))</f>
        <v>PADD 2</v>
      </c>
      <c r="G6666" s="6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6" t="s">
        <v>44</v>
      </c>
      <c r="I6666" s="6" t="s">
        <v>968</v>
      </c>
      <c r="J6666" s="6" t="s">
        <v>394</v>
      </c>
      <c r="K6666" s="10">
        <v>5.12</v>
      </c>
      <c r="L6666" s="10">
        <v>32</v>
      </c>
      <c r="M6666" s="6" t="s">
        <v>425</v>
      </c>
      <c r="N6666" s="6">
        <f>IF(OR($G6666="FCC",$G6666="Hydrocracker",$G6666="Reformer"),IF(COUNTIFS($D:$D,$D6666,$A:$A,$A6666,$B:$B,$B6666,$G:$G,"CDU",$J:$J,"PLANNED")&gt;0,"tied","standalone"),"")</f>
        <v/>
      </c>
    </row>
    <row r="6667" spans="1:14">
      <c r="A6667" s="6">
        <v>2025</v>
      </c>
      <c r="B6667" s="6">
        <v>10</v>
      </c>
      <c r="C6667" s="6" t="s">
        <v>69</v>
      </c>
      <c r="D6667" s="6" t="s">
        <v>592</v>
      </c>
      <c r="E6667" s="6" t="s">
        <v>593</v>
      </c>
      <c r="F6667" s="6" t="str">
        <f>IF($M6667="PADD I","PADD 1",IF($M6667="PADD II","PADD 2",IF($M6667="PADD III","PADD 3",IF($M6667="PADD IV","PADD 4",IF($M6667="PADD V","PADD 5","")))))</f>
        <v>PADD 2</v>
      </c>
      <c r="G6667" s="6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6" t="s">
        <v>44</v>
      </c>
      <c r="I6667" s="6" t="s">
        <v>1161</v>
      </c>
      <c r="J6667" s="6" t="s">
        <v>394</v>
      </c>
      <c r="K6667" s="10">
        <v>5.1</v>
      </c>
      <c r="L6667" s="10">
        <v>85</v>
      </c>
      <c r="M6667" s="6" t="s">
        <v>425</v>
      </c>
      <c r="N6667" s="6">
        <f>IF(OR($G6667="FCC",$G6667="Hydrocracker",$G6667="Reformer"),IF(COUNTIFS($D:$D,$D6667,$A:$A,$A6667,$B:$B,$B6667,$G:$G,"CDU",$J:$J,"PLANNED")&gt;0,"tied","standalone"),"")</f>
        <v/>
      </c>
    </row>
    <row r="6668" spans="1:14">
      <c r="A6668" s="6">
        <v>2025</v>
      </c>
      <c r="B6668" s="6">
        <v>10</v>
      </c>
      <c r="C6668" s="6" t="s">
        <v>69</v>
      </c>
      <c r="D6668" s="6" t="s">
        <v>458</v>
      </c>
      <c r="E6668" s="6" t="s">
        <v>459</v>
      </c>
      <c r="F6668" s="6" t="str">
        <f>IF($M6668="PADD I","PADD 1",IF($M6668="PADD II","PADD 2",IF($M6668="PADD III","PADD 3",IF($M6668="PADD IV","PADD 4",IF($M6668="PADD V","PADD 5","")))))</f>
        <v>PADD 3</v>
      </c>
      <c r="G6668" s="6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6" t="s">
        <v>510</v>
      </c>
      <c r="I6668" s="6" t="s">
        <v>656</v>
      </c>
      <c r="J6668" s="6" t="s">
        <v>398</v>
      </c>
      <c r="K6668" s="10">
        <v>5</v>
      </c>
      <c r="L6668" s="10">
        <v>5</v>
      </c>
      <c r="M6668" s="6" t="s">
        <v>421</v>
      </c>
      <c r="N6668" s="6">
        <f>IF(OR($G6668="FCC",$G6668="Hydrocracker",$G6668="Reformer"),IF(COUNTIFS($D:$D,$D6668,$A:$A,$A6668,$B:$B,$B6668,$G:$G,"CDU",$J:$J,"PLANNED")&gt;0,"tied","standalone"),"")</f>
        <v/>
      </c>
    </row>
    <row r="6669" spans="1:14">
      <c r="A6669" s="6">
        <v>2025</v>
      </c>
      <c r="B6669" s="6">
        <v>10</v>
      </c>
      <c r="C6669" s="6" t="s">
        <v>69</v>
      </c>
      <c r="D6669" s="6" t="s">
        <v>828</v>
      </c>
      <c r="E6669" s="6" t="s">
        <v>829</v>
      </c>
      <c r="F6669" s="6" t="str">
        <f>IF($M6669="PADD I","PADD 1",IF($M6669="PADD II","PADD 2",IF($M6669="PADD III","PADD 3",IF($M6669="PADD IV","PADD 4",IF($M6669="PADD V","PADD 5","")))))</f>
        <v>PADD 3</v>
      </c>
      <c r="G6669" s="6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6" t="s">
        <v>428</v>
      </c>
      <c r="I6669" s="6" t="s">
        <v>847</v>
      </c>
      <c r="J6669" s="6" t="s">
        <v>394</v>
      </c>
      <c r="K6669" s="10">
        <v>4.9878</v>
      </c>
      <c r="L6669" s="10">
        <v>83.13</v>
      </c>
      <c r="M6669" s="6" t="s">
        <v>421</v>
      </c>
      <c r="N6669" s="6">
        <f>IF(OR($G6669="FCC",$G6669="Hydrocracker",$G6669="Reformer"),IF(COUNTIFS($D:$D,$D6669,$A:$A,$A6669,$B:$B,$B6669,$G:$G,"CDU",$J:$J,"PLANNED")&gt;0,"tied","standalone"),"")</f>
        <v/>
      </c>
    </row>
    <row r="6670" spans="1:14">
      <c r="A6670" s="6">
        <v>2025</v>
      </c>
      <c r="B6670" s="6">
        <v>10</v>
      </c>
      <c r="C6670" s="6" t="s">
        <v>69</v>
      </c>
      <c r="D6670" s="6" t="s">
        <v>828</v>
      </c>
      <c r="E6670" s="6" t="s">
        <v>829</v>
      </c>
      <c r="F6670" s="6" t="str">
        <f>IF($M6670="PADD I","PADD 1",IF($M6670="PADD II","PADD 2",IF($M6670="PADD III","PADD 3",IF($M6670="PADD IV","PADD 4",IF($M6670="PADD V","PADD 5","")))))</f>
        <v>PADD 3</v>
      </c>
      <c r="G6670" s="6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6" t="s">
        <v>428</v>
      </c>
      <c r="I6670" s="6" t="s">
        <v>848</v>
      </c>
      <c r="J6670" s="6" t="s">
        <v>394</v>
      </c>
      <c r="K6670" s="10">
        <v>4.98</v>
      </c>
      <c r="L6670" s="10">
        <v>83</v>
      </c>
      <c r="M6670" s="6" t="s">
        <v>421</v>
      </c>
      <c r="N6670" s="6">
        <f>IF(OR($G6670="FCC",$G6670="Hydrocracker",$G6670="Reformer"),IF(COUNTIFS($D:$D,$D6670,$A:$A,$A6670,$B:$B,$B6670,$G:$G,"CDU",$J:$J,"PLANNED")&gt;0,"tied","standalone"),"")</f>
        <v/>
      </c>
    </row>
    <row r="6671" spans="1:14">
      <c r="A6671" s="6">
        <v>2025</v>
      </c>
      <c r="B6671" s="6">
        <v>10</v>
      </c>
      <c r="C6671" s="6" t="s">
        <v>69</v>
      </c>
      <c r="D6671" s="6" t="s">
        <v>1370</v>
      </c>
      <c r="E6671" s="6" t="s">
        <v>1371</v>
      </c>
      <c r="F6671" s="6" t="str">
        <f>IF($M6671="PADD I","PADD 1",IF($M6671="PADD II","PADD 2",IF($M6671="PADD III","PADD 3",IF($M6671="PADD IV","PADD 4",IF($M6671="PADD V","PADD 5","")))))</f>
        <v>PADD 3</v>
      </c>
      <c r="G6671" s="6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6" t="s">
        <v>44</v>
      </c>
      <c r="I6671" s="6" t="s">
        <v>1374</v>
      </c>
      <c r="J6671" s="6" t="s">
        <v>398</v>
      </c>
      <c r="K6671" s="10">
        <v>4.88</v>
      </c>
      <c r="L6671" s="10">
        <v>8</v>
      </c>
      <c r="M6671" s="6" t="s">
        <v>421</v>
      </c>
      <c r="N6671" s="6">
        <f>IF(OR($G6671="FCC",$G6671="Hydrocracker",$G6671="Reformer"),IF(COUNTIFS($D:$D,$D6671,$A:$A,$A6671,$B:$B,$B6671,$G:$G,"CDU",$J:$J,"PLANNED")&gt;0,"tied","standalone"),"")</f>
        <v/>
      </c>
    </row>
    <row r="6672" spans="1:14">
      <c r="A6672" s="6">
        <v>2025</v>
      </c>
      <c r="B6672" s="6">
        <v>10</v>
      </c>
      <c r="C6672" s="6" t="s">
        <v>69</v>
      </c>
      <c r="D6672" s="6" t="s">
        <v>1370</v>
      </c>
      <c r="E6672" s="6" t="s">
        <v>1371</v>
      </c>
      <c r="F6672" s="6" t="str">
        <f>IF($M6672="PADD I","PADD 1",IF($M6672="PADD II","PADD 2",IF($M6672="PADD III","PADD 3",IF($M6672="PADD IV","PADD 4",IF($M6672="PADD V","PADD 5","")))))</f>
        <v>PADD 3</v>
      </c>
      <c r="G6672" s="6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6" t="s">
        <v>687</v>
      </c>
      <c r="I6672" s="6" t="s">
        <v>1375</v>
      </c>
      <c r="J6672" s="6" t="s">
        <v>398</v>
      </c>
      <c r="K6672" s="10">
        <v>4.88</v>
      </c>
      <c r="L6672" s="10">
        <v>8</v>
      </c>
      <c r="M6672" s="6" t="s">
        <v>421</v>
      </c>
      <c r="N6672" s="6">
        <f>IF(OR($G6672="FCC",$G6672="Hydrocracker",$G6672="Reformer"),IF(COUNTIFS($D:$D,$D6672,$A:$A,$A6672,$B:$B,$B6672,$G:$G,"CDU",$J:$J,"PLANNED")&gt;0,"tied","standalone"),"")</f>
        <v/>
      </c>
    </row>
    <row r="6673" spans="1:14">
      <c r="A6673" s="6">
        <v>2025</v>
      </c>
      <c r="B6673" s="6">
        <v>10</v>
      </c>
      <c r="C6673" s="6" t="s">
        <v>69</v>
      </c>
      <c r="D6673" s="6" t="s">
        <v>52</v>
      </c>
      <c r="E6673" s="6" t="s">
        <v>441</v>
      </c>
      <c r="F6673" s="6" t="str">
        <f>IF($M6673="PADD I","PADD 1",IF($M6673="PADD II","PADD 2",IF($M6673="PADD III","PADD 3",IF($M6673="PADD IV","PADD 4",IF($M6673="PADD V","PADD 5","")))))</f>
        <v>PADD 5</v>
      </c>
      <c r="G6673" s="6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6" t="s">
        <v>44</v>
      </c>
      <c r="I6673" s="6" t="s">
        <v>1387</v>
      </c>
      <c r="J6673" s="6" t="s">
        <v>394</v>
      </c>
      <c r="K6673" s="10">
        <v>4.83</v>
      </c>
      <c r="L6673" s="10">
        <v>21</v>
      </c>
      <c r="M6673" s="6" t="s">
        <v>436</v>
      </c>
      <c r="N6673" s="6">
        <f>IF(OR($G6673="FCC",$G6673="Hydrocracker",$G6673="Reformer"),IF(COUNTIFS($D:$D,$D6673,$A:$A,$A6673,$B:$B,$B6673,$G:$G,"CDU",$J:$J,"PLANNED")&gt;0,"tied","standalone"),"")</f>
        <v/>
      </c>
    </row>
    <row r="6674" spans="1:14">
      <c r="A6674" s="6">
        <v>2025</v>
      </c>
      <c r="B6674" s="6">
        <v>10</v>
      </c>
      <c r="C6674" s="6" t="s">
        <v>69</v>
      </c>
      <c r="D6674" s="6" t="s">
        <v>772</v>
      </c>
      <c r="E6674" s="6" t="s">
        <v>502</v>
      </c>
      <c r="F6674" s="6" t="str">
        <f>IF($M6674="PADD I","PADD 1",IF($M6674="PADD II","PADD 2",IF($M6674="PADD III","PADD 3",IF($M6674="PADD IV","PADD 4",IF($M6674="PADD V","PADD 5","")))))</f>
        <v>PADD 4</v>
      </c>
      <c r="G6674" s="6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6" t="s">
        <v>494</v>
      </c>
      <c r="I6674" s="6" t="s">
        <v>1197</v>
      </c>
      <c r="J6674" s="6" t="s">
        <v>394</v>
      </c>
      <c r="K6674" s="10">
        <v>4.8</v>
      </c>
      <c r="L6674" s="10">
        <v>15</v>
      </c>
      <c r="M6674" s="6" t="s">
        <v>480</v>
      </c>
      <c r="N6674" s="6" t="str">
        <f>IF(OR($G6674="FCC",$G6674="Hydrocracker",$G6674="Reformer"),IF(COUNTIFS($D:$D,$D6674,$A:$A,$A6674,$B:$B,$B6674,$G:$G,"CDU",$J:$J,"PLANNED")&gt;0,"tied","standalone"),"")</f>
        <v>standalone</v>
      </c>
    </row>
    <row r="6675" spans="1:14">
      <c r="A6675" s="6">
        <v>2025</v>
      </c>
      <c r="B6675" s="6">
        <v>10</v>
      </c>
      <c r="C6675" s="6" t="s">
        <v>69</v>
      </c>
      <c r="D6675" s="6" t="s">
        <v>52</v>
      </c>
      <c r="E6675" s="6" t="s">
        <v>441</v>
      </c>
      <c r="F6675" s="6" t="str">
        <f>IF($M6675="PADD I","PADD 1",IF($M6675="PADD II","PADD 2",IF($M6675="PADD III","PADD 3",IF($M6675="PADD IV","PADD 4",IF($M6675="PADD V","PADD 5","")))))</f>
        <v>PADD 5</v>
      </c>
      <c r="G6675" s="6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6" t="s">
        <v>44</v>
      </c>
      <c r="I6675" s="6" t="s">
        <v>1388</v>
      </c>
      <c r="J6675" s="6" t="s">
        <v>394</v>
      </c>
      <c r="K6675" s="10">
        <v>4.6</v>
      </c>
      <c r="L6675" s="10">
        <v>20</v>
      </c>
      <c r="M6675" s="6" t="s">
        <v>436</v>
      </c>
      <c r="N6675" s="6">
        <f>IF(OR($G6675="FCC",$G6675="Hydrocracker",$G6675="Reformer"),IF(COUNTIFS($D:$D,$D6675,$A:$A,$A6675,$B:$B,$B6675,$G:$G,"CDU",$J:$J,"PLANNED")&gt;0,"tied","standalone"),"")</f>
        <v/>
      </c>
    </row>
    <row r="6676" spans="1:14">
      <c r="A6676" s="6">
        <v>2025</v>
      </c>
      <c r="B6676" s="6">
        <v>10</v>
      </c>
      <c r="C6676" s="6" t="s">
        <v>69</v>
      </c>
      <c r="D6676" s="6" t="s">
        <v>772</v>
      </c>
      <c r="E6676" s="6" t="s">
        <v>502</v>
      </c>
      <c r="F6676" s="6" t="str">
        <f>IF($M6676="PADD I","PADD 1",IF($M6676="PADD II","PADD 2",IF($M6676="PADD III","PADD 3",IF($M6676="PADD IV","PADD 4",IF($M6676="PADD V","PADD 5","")))))</f>
        <v>PADD 4</v>
      </c>
      <c r="G6676" s="6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6" t="s">
        <v>426</v>
      </c>
      <c r="I6676" s="6" t="s">
        <v>478</v>
      </c>
      <c r="J6676" s="6" t="s">
        <v>394</v>
      </c>
      <c r="K6676" s="10">
        <v>4.42</v>
      </c>
      <c r="L6676" s="10">
        <v>8.5</v>
      </c>
      <c r="M6676" s="6" t="s">
        <v>480</v>
      </c>
      <c r="N6676" s="6" t="str">
        <f>IF(OR($G6676="FCC",$G6676="Hydrocracker",$G6676="Reformer"),IF(COUNTIFS($D:$D,$D6676,$A:$A,$A6676,$B:$B,$B6676,$G:$G,"CDU",$J:$J,"PLANNED")&gt;0,"tied","standalone"),"")</f>
        <v>standalone</v>
      </c>
    </row>
    <row r="6677" spans="1:14">
      <c r="A6677" s="6">
        <v>2025</v>
      </c>
      <c r="B6677" s="6">
        <v>10</v>
      </c>
      <c r="C6677" s="6" t="s">
        <v>69</v>
      </c>
      <c r="D6677" s="6" t="s">
        <v>437</v>
      </c>
      <c r="E6677" s="6" t="s">
        <v>438</v>
      </c>
      <c r="F6677" s="6" t="str">
        <f>IF($M6677="PADD I","PADD 1",IF($M6677="PADD II","PADD 2",IF($M6677="PADD III","PADD 3",IF($M6677="PADD IV","PADD 4",IF($M6677="PADD V","PADD 5","")))))</f>
        <v>PADD 3</v>
      </c>
      <c r="G6677" s="6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6" t="s">
        <v>426</v>
      </c>
      <c r="I6677" s="6" t="s">
        <v>522</v>
      </c>
      <c r="J6677" s="6" t="s">
        <v>394</v>
      </c>
      <c r="K6677" s="10">
        <v>4.4</v>
      </c>
      <c r="L6677" s="10">
        <v>44</v>
      </c>
      <c r="M6677" s="6" t="s">
        <v>421</v>
      </c>
      <c r="N6677" s="6" t="str">
        <f>IF(OR($G6677="FCC",$G6677="Hydrocracker",$G6677="Reformer"),IF(COUNTIFS($D:$D,$D6677,$A:$A,$A6677,$B:$B,$B6677,$G:$G,"CDU",$J:$J,"PLANNED")&gt;0,"tied","standalone"),"")</f>
        <v>standalone</v>
      </c>
    </row>
    <row r="6678" spans="1:14">
      <c r="A6678" s="6">
        <v>2025</v>
      </c>
      <c r="B6678" s="6">
        <v>10</v>
      </c>
      <c r="C6678" s="6" t="s">
        <v>69</v>
      </c>
      <c r="D6678" s="6" t="s">
        <v>652</v>
      </c>
      <c r="E6678" s="6" t="s">
        <v>419</v>
      </c>
      <c r="F6678" s="6" t="str">
        <f>IF($M6678="PADD I","PADD 1",IF($M6678="PADD II","PADD 2",IF($M6678="PADD III","PADD 3",IF($M6678="PADD IV","PADD 4",IF($M6678="PADD V","PADD 5","")))))</f>
        <v>PADD 2</v>
      </c>
      <c r="G6678" s="6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6" t="s">
        <v>485</v>
      </c>
      <c r="I6678" s="6" t="s">
        <v>491</v>
      </c>
      <c r="J6678" s="6" t="s">
        <v>394</v>
      </c>
      <c r="K6678" s="10">
        <v>4.389</v>
      </c>
      <c r="L6678" s="10">
        <v>23.1</v>
      </c>
      <c r="M6678" s="6" t="s">
        <v>425</v>
      </c>
      <c r="N6678" s="6">
        <f>IF(OR($G6678="FCC",$G6678="Hydrocracker",$G6678="Reformer"),IF(COUNTIFS($D:$D,$D6678,$A:$A,$A6678,$B:$B,$B6678,$G:$G,"CDU",$J:$J,"PLANNED")&gt;0,"tied","standalone"),"")</f>
        <v/>
      </c>
    </row>
    <row r="6679" spans="1:14">
      <c r="A6679" s="6">
        <v>2025</v>
      </c>
      <c r="B6679" s="6">
        <v>10</v>
      </c>
      <c r="C6679" s="6" t="s">
        <v>69</v>
      </c>
      <c r="D6679" s="6" t="s">
        <v>52</v>
      </c>
      <c r="E6679" s="6" t="s">
        <v>441</v>
      </c>
      <c r="F6679" s="6" t="str">
        <f>IF($M6679="PADD I","PADD 1",IF($M6679="PADD II","PADD 2",IF($M6679="PADD III","PADD 3",IF($M6679="PADD IV","PADD 4",IF($M6679="PADD V","PADD 5","")))))</f>
        <v>PADD 5</v>
      </c>
      <c r="G6679" s="6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6" t="s">
        <v>426</v>
      </c>
      <c r="I6679" s="6" t="s">
        <v>106</v>
      </c>
      <c r="J6679" s="6" t="s">
        <v>394</v>
      </c>
      <c r="K6679" s="10">
        <v>4.38</v>
      </c>
      <c r="L6679" s="10">
        <v>73</v>
      </c>
      <c r="M6679" s="6" t="s">
        <v>436</v>
      </c>
      <c r="N6679" s="6" t="str">
        <f>IF(OR($G6679="FCC",$G6679="Hydrocracker",$G6679="Reformer"),IF(COUNTIFS($D:$D,$D6679,$A:$A,$A6679,$B:$B,$B6679,$G:$G,"CDU",$J:$J,"PLANNED")&gt;0,"tied","standalone"),"")</f>
        <v>standalone</v>
      </c>
    </row>
    <row r="6680" spans="1:14">
      <c r="A6680" s="6">
        <v>2025</v>
      </c>
      <c r="B6680" s="6">
        <v>10</v>
      </c>
      <c r="C6680" s="6" t="s">
        <v>69</v>
      </c>
      <c r="D6680" s="6" t="s">
        <v>384</v>
      </c>
      <c r="E6680" s="6" t="s">
        <v>419</v>
      </c>
      <c r="F6680" s="6" t="str">
        <f>IF($M6680="PADD I","PADD 1",IF($M6680="PADD II","PADD 2",IF($M6680="PADD III","PADD 3",IF($M6680="PADD IV","PADD 4",IF($M6680="PADD V","PADD 5","")))))</f>
        <v>PADD 3</v>
      </c>
      <c r="G6680" s="6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6" t="s">
        <v>485</v>
      </c>
      <c r="I6680" s="6" t="s">
        <v>1255</v>
      </c>
      <c r="J6680" s="6" t="s">
        <v>394</v>
      </c>
      <c r="K6680" s="10">
        <v>4.254</v>
      </c>
      <c r="L6680" s="10">
        <v>70.90000000000001</v>
      </c>
      <c r="M6680" s="6" t="s">
        <v>421</v>
      </c>
      <c r="N6680" s="6">
        <f>IF(OR($G6680="FCC",$G6680="Hydrocracker",$G6680="Reformer"),IF(COUNTIFS($D:$D,$D6680,$A:$A,$A6680,$B:$B,$B6680,$G:$G,"CDU",$J:$J,"PLANNED")&gt;0,"tied","standalone"),"")</f>
        <v/>
      </c>
    </row>
    <row r="6681" spans="1:14">
      <c r="A6681" s="6">
        <v>2025</v>
      </c>
      <c r="B6681" s="6">
        <v>10</v>
      </c>
      <c r="C6681" s="6" t="s">
        <v>69</v>
      </c>
      <c r="D6681" s="6" t="s">
        <v>375</v>
      </c>
      <c r="E6681" s="6" t="s">
        <v>435</v>
      </c>
      <c r="F6681" s="6" t="str">
        <f>IF($M6681="PADD I","PADD 1",IF($M6681="PADD II","PADD 2",IF($M6681="PADD III","PADD 3",IF($M6681="PADD IV","PADD 4",IF($M6681="PADD V","PADD 5","")))))</f>
        <v>PADD 5</v>
      </c>
      <c r="G6681" s="6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6" t="s">
        <v>510</v>
      </c>
      <c r="I6681" s="6" t="s">
        <v>1338</v>
      </c>
      <c r="J6681" s="6" t="s">
        <v>394</v>
      </c>
      <c r="K6681" s="10">
        <v>4.2</v>
      </c>
      <c r="L6681" s="10">
        <v>4.2</v>
      </c>
      <c r="M6681" s="6" t="s">
        <v>436</v>
      </c>
      <c r="N6681" s="6">
        <f>IF(OR($G6681="FCC",$G6681="Hydrocracker",$G6681="Reformer"),IF(COUNTIFS($D:$D,$D6681,$A:$A,$A6681,$B:$B,$B6681,$G:$G,"CDU",$J:$J,"PLANNED")&gt;0,"tied","standalone"),"")</f>
        <v/>
      </c>
    </row>
    <row r="6682" spans="1:14">
      <c r="A6682" s="6">
        <v>2025</v>
      </c>
      <c r="B6682" s="6">
        <v>10</v>
      </c>
      <c r="C6682" s="6" t="s">
        <v>69</v>
      </c>
      <c r="D6682" s="6" t="s">
        <v>512</v>
      </c>
      <c r="E6682" s="6" t="s">
        <v>488</v>
      </c>
      <c r="F6682" s="6" t="str">
        <f>IF($M6682="PADD I","PADD 1",IF($M6682="PADD II","PADD 2",IF($M6682="PADD III","PADD 3",IF($M6682="PADD IV","PADD 4",IF($M6682="PADD V","PADD 5","")))))</f>
        <v>PADD 4</v>
      </c>
      <c r="G6682" s="6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6" t="s">
        <v>39</v>
      </c>
      <c r="I6682" s="6" t="s">
        <v>124</v>
      </c>
      <c r="J6682" s="6" t="s">
        <v>394</v>
      </c>
      <c r="K6682" s="10">
        <v>4.16</v>
      </c>
      <c r="L6682" s="10">
        <v>32</v>
      </c>
      <c r="M6682" s="6" t="s">
        <v>480</v>
      </c>
      <c r="N6682" s="6">
        <f>IF(OR($G6682="FCC",$G6682="Hydrocracker",$G6682="Reformer"),IF(COUNTIFS($D:$D,$D6682,$A:$A,$A6682,$B:$B,$B6682,$G:$G,"CDU",$J:$J,"PLANNED")&gt;0,"tied","standalone"),"")</f>
        <v/>
      </c>
    </row>
    <row r="6683" spans="1:14">
      <c r="A6683" s="6">
        <v>2025</v>
      </c>
      <c r="B6683" s="6">
        <v>10</v>
      </c>
      <c r="C6683" s="6" t="s">
        <v>69</v>
      </c>
      <c r="D6683" s="6" t="s">
        <v>445</v>
      </c>
      <c r="E6683" s="6" t="s">
        <v>446</v>
      </c>
      <c r="F6683" s="6" t="str">
        <f>IF($M6683="PADD I","PADD 1",IF($M6683="PADD II","PADD 2",IF($M6683="PADD III","PADD 3",IF($M6683="PADD IV","PADD 4",IF($M6683="PADD V","PADD 5","")))))</f>
        <v>PADD 3</v>
      </c>
      <c r="G6683" s="6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6" t="s">
        <v>44</v>
      </c>
      <c r="I6683" s="6" t="s">
        <v>600</v>
      </c>
      <c r="J6683" s="6" t="s">
        <v>394</v>
      </c>
      <c r="K6683" s="10">
        <v>4.11</v>
      </c>
      <c r="L6683" s="10">
        <v>41.1</v>
      </c>
      <c r="M6683" s="6" t="s">
        <v>421</v>
      </c>
      <c r="N6683" s="6">
        <f>IF(OR($G6683="FCC",$G6683="Hydrocracker",$G6683="Reformer"),IF(COUNTIFS($D:$D,$D6683,$A:$A,$A6683,$B:$B,$B6683,$G:$G,"CDU",$J:$J,"PLANNED")&gt;0,"tied","standalone"),"")</f>
        <v/>
      </c>
    </row>
    <row r="6684" spans="1:14">
      <c r="A6684" s="6">
        <v>2025</v>
      </c>
      <c r="B6684" s="6">
        <v>10</v>
      </c>
      <c r="C6684" s="6" t="s">
        <v>69</v>
      </c>
      <c r="D6684" s="6" t="s">
        <v>550</v>
      </c>
      <c r="E6684" s="6" t="s">
        <v>438</v>
      </c>
      <c r="F6684" s="6" t="str">
        <f>IF($M6684="PADD I","PADD 1",IF($M6684="PADD II","PADD 2",IF($M6684="PADD III","PADD 3",IF($M6684="PADD IV","PADD 4",IF($M6684="PADD V","PADD 5","")))))</f>
        <v>PADD 2</v>
      </c>
      <c r="G6684" s="6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6" t="s">
        <v>39</v>
      </c>
      <c r="I6684" s="6" t="s">
        <v>967</v>
      </c>
      <c r="J6684" s="6" t="s">
        <v>394</v>
      </c>
      <c r="K6684" s="10">
        <v>4</v>
      </c>
      <c r="L6684" s="10">
        <v>25</v>
      </c>
      <c r="M6684" s="6" t="s">
        <v>425</v>
      </c>
      <c r="N6684" s="6">
        <f>IF(OR($G6684="FCC",$G6684="Hydrocracker",$G6684="Reformer"),IF(COUNTIFS($D:$D,$D6684,$A:$A,$A6684,$B:$B,$B6684,$G:$G,"CDU",$J:$J,"PLANNED")&gt;0,"tied","standalone"),"")</f>
        <v/>
      </c>
    </row>
    <row r="6685" spans="1:14">
      <c r="A6685" s="6">
        <v>2025</v>
      </c>
      <c r="B6685" s="6">
        <v>10</v>
      </c>
      <c r="C6685" s="6" t="s">
        <v>69</v>
      </c>
      <c r="D6685" s="6" t="s">
        <v>550</v>
      </c>
      <c r="E6685" s="6" t="s">
        <v>438</v>
      </c>
      <c r="F6685" s="6" t="str">
        <f>IF($M6685="PADD I","PADD 1",IF($M6685="PADD II","PADD 2",IF($M6685="PADD III","PADD 3",IF($M6685="PADD IV","PADD 4",IF($M6685="PADD V","PADD 5","")))))</f>
        <v>PADD 2</v>
      </c>
      <c r="G6685" s="6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6" t="s">
        <v>44</v>
      </c>
      <c r="I6685" s="6" t="s">
        <v>968</v>
      </c>
      <c r="J6685" s="6" t="s">
        <v>394</v>
      </c>
      <c r="K6685" s="10">
        <v>4</v>
      </c>
      <c r="L6685" s="10">
        <v>25</v>
      </c>
      <c r="M6685" s="6" t="s">
        <v>425</v>
      </c>
      <c r="N6685" s="6">
        <f>IF(OR($G6685="FCC",$G6685="Hydrocracker",$G6685="Reformer"),IF(COUNTIFS($D:$D,$D6685,$A:$A,$A6685,$B:$B,$B6685,$G:$G,"CDU",$J:$J,"PLANNED")&gt;0,"tied","standalone"),"")</f>
        <v/>
      </c>
    </row>
    <row r="6686" spans="1:14">
      <c r="A6686" s="6">
        <v>2025</v>
      </c>
      <c r="B6686" s="6">
        <v>10</v>
      </c>
      <c r="C6686" s="6" t="s">
        <v>69</v>
      </c>
      <c r="D6686" s="6" t="s">
        <v>1370</v>
      </c>
      <c r="E6686" s="6" t="s">
        <v>1371</v>
      </c>
      <c r="F6686" s="6" t="str">
        <f>IF($M6686="PADD I","PADD 1",IF($M6686="PADD II","PADD 2",IF($M6686="PADD III","PADD 3",IF($M6686="PADD IV","PADD 4",IF($M6686="PADD V","PADD 5","")))))</f>
        <v>PADD 3</v>
      </c>
      <c r="G6686" s="6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6" t="s">
        <v>687</v>
      </c>
      <c r="I6686" s="6" t="s">
        <v>1376</v>
      </c>
      <c r="J6686" s="6" t="s">
        <v>398</v>
      </c>
      <c r="K6686" s="10">
        <v>3.965</v>
      </c>
      <c r="L6686" s="10">
        <v>6.5</v>
      </c>
      <c r="M6686" s="6" t="s">
        <v>421</v>
      </c>
      <c r="N6686" s="6">
        <f>IF(OR($G6686="FCC",$G6686="Hydrocracker",$G6686="Reformer"),IF(COUNTIFS($D:$D,$D6686,$A:$A,$A6686,$B:$B,$B6686,$G:$G,"CDU",$J:$J,"PLANNED")&gt;0,"tied","standalone"),"")</f>
        <v/>
      </c>
    </row>
    <row r="6687" spans="1:14">
      <c r="A6687" s="6">
        <v>2025</v>
      </c>
      <c r="B6687" s="6">
        <v>10</v>
      </c>
      <c r="C6687" s="6" t="s">
        <v>69</v>
      </c>
      <c r="D6687" s="6" t="s">
        <v>812</v>
      </c>
      <c r="E6687" s="6" t="s">
        <v>813</v>
      </c>
      <c r="F6687" s="6" t="str">
        <f>IF($M6687="PADD I","PADD 1",IF($M6687="PADD II","PADD 2",IF($M6687="PADD III","PADD 3",IF($M6687="PADD IV","PADD 4",IF($M6687="PADD V","PADD 5","")))))</f>
        <v>PADD 2</v>
      </c>
      <c r="G6687" s="6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6" t="s">
        <v>39</v>
      </c>
      <c r="I6687" s="6" t="s">
        <v>132</v>
      </c>
      <c r="J6687" s="6" t="s">
        <v>394</v>
      </c>
      <c r="K6687" s="10">
        <v>3.9</v>
      </c>
      <c r="L6687" s="10">
        <v>39</v>
      </c>
      <c r="M6687" s="6" t="s">
        <v>425</v>
      </c>
      <c r="N6687" s="6">
        <f>IF(OR($G6687="FCC",$G6687="Hydrocracker",$G6687="Reformer"),IF(COUNTIFS($D:$D,$D6687,$A:$A,$A6687,$B:$B,$B6687,$G:$G,"CDU",$J:$J,"PLANNED")&gt;0,"tied","standalone"),"")</f>
        <v/>
      </c>
    </row>
    <row r="6688" spans="1:14">
      <c r="A6688" s="6">
        <v>2025</v>
      </c>
      <c r="B6688" s="6">
        <v>10</v>
      </c>
      <c r="C6688" s="6" t="s">
        <v>69</v>
      </c>
      <c r="D6688" s="6" t="s">
        <v>812</v>
      </c>
      <c r="E6688" s="6" t="s">
        <v>813</v>
      </c>
      <c r="F6688" s="6" t="str">
        <f>IF($M6688="PADD I","PADD 1",IF($M6688="PADD II","PADD 2",IF($M6688="PADD III","PADD 3",IF($M6688="PADD IV","PADD 4",IF($M6688="PADD V","PADD 5","")))))</f>
        <v>PADD 2</v>
      </c>
      <c r="G6688" s="6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6" t="s">
        <v>39</v>
      </c>
      <c r="I6688" s="6" t="s">
        <v>379</v>
      </c>
      <c r="J6688" s="6" t="s">
        <v>394</v>
      </c>
      <c r="K6688" s="10">
        <v>3.9</v>
      </c>
      <c r="L6688" s="10">
        <v>39</v>
      </c>
      <c r="M6688" s="6" t="s">
        <v>425</v>
      </c>
      <c r="N6688" s="6">
        <f>IF(OR($G6688="FCC",$G6688="Hydrocracker",$G6688="Reformer"),IF(COUNTIFS($D:$D,$D6688,$A:$A,$A6688,$B:$B,$B6688,$G:$G,"CDU",$J:$J,"PLANNED")&gt;0,"tied","standalone"),"")</f>
        <v/>
      </c>
    </row>
    <row r="6689" spans="1:14">
      <c r="A6689" s="6">
        <v>2025</v>
      </c>
      <c r="B6689" s="6">
        <v>10</v>
      </c>
      <c r="C6689" s="6" t="s">
        <v>69</v>
      </c>
      <c r="D6689" s="6" t="s">
        <v>712</v>
      </c>
      <c r="E6689" s="6" t="s">
        <v>602</v>
      </c>
      <c r="F6689" s="6" t="str">
        <f>IF($M6689="PADD I","PADD 1",IF($M6689="PADD II","PADD 2",IF($M6689="PADD III","PADD 3",IF($M6689="PADD IV","PADD 4",IF($M6689="PADD V","PADD 5","")))))</f>
        <v>PADD 3</v>
      </c>
      <c r="G6689" s="6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6" t="s">
        <v>44</v>
      </c>
      <c r="I6689" s="6" t="s">
        <v>878</v>
      </c>
      <c r="J6689" s="6" t="s">
        <v>398</v>
      </c>
      <c r="K6689" s="10">
        <v>3.84</v>
      </c>
      <c r="L6689" s="10">
        <v>12</v>
      </c>
      <c r="M6689" s="6" t="s">
        <v>421</v>
      </c>
      <c r="N6689" s="6">
        <f>IF(OR($G6689="FCC",$G6689="Hydrocracker",$G6689="Reformer"),IF(COUNTIFS($D:$D,$D6689,$A:$A,$A6689,$B:$B,$B6689,$G:$G,"CDU",$J:$J,"PLANNED")&gt;0,"tied","standalone"),"")</f>
        <v/>
      </c>
    </row>
    <row r="6690" spans="1:14">
      <c r="A6690" s="6">
        <v>2025</v>
      </c>
      <c r="B6690" s="6">
        <v>10</v>
      </c>
      <c r="C6690" s="6" t="s">
        <v>69</v>
      </c>
      <c r="D6690" s="6" t="s">
        <v>52</v>
      </c>
      <c r="E6690" s="6" t="s">
        <v>441</v>
      </c>
      <c r="F6690" s="6" t="str">
        <f>IF($M6690="PADD I","PADD 1",IF($M6690="PADD II","PADD 2",IF($M6690="PADD III","PADD 3",IF($M6690="PADD IV","PADD 4",IF($M6690="PADD V","PADD 5","")))))</f>
        <v>PADD 5</v>
      </c>
      <c r="G6690" s="6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6" t="s">
        <v>44</v>
      </c>
      <c r="I6690" s="6" t="s">
        <v>909</v>
      </c>
      <c r="J6690" s="6" t="s">
        <v>394</v>
      </c>
      <c r="K6690" s="10">
        <v>3.828</v>
      </c>
      <c r="L6690" s="10">
        <v>13.2</v>
      </c>
      <c r="M6690" s="6" t="s">
        <v>436</v>
      </c>
      <c r="N6690" s="6">
        <f>IF(OR($G6690="FCC",$G6690="Hydrocracker",$G6690="Reformer"),IF(COUNTIFS($D:$D,$D6690,$A:$A,$A6690,$B:$B,$B6690,$G:$G,"CDU",$J:$J,"PLANNED")&gt;0,"tied","standalone"),"")</f>
        <v/>
      </c>
    </row>
    <row r="6691" spans="1:14">
      <c r="A6691" s="6">
        <v>2025</v>
      </c>
      <c r="B6691" s="6">
        <v>10</v>
      </c>
      <c r="C6691" s="6" t="s">
        <v>69</v>
      </c>
      <c r="D6691" s="6" t="s">
        <v>501</v>
      </c>
      <c r="E6691" s="6" t="s">
        <v>502</v>
      </c>
      <c r="F6691" s="6" t="str">
        <f>IF($M6691="PADD I","PADD 1",IF($M6691="PADD II","PADD 2",IF($M6691="PADD III","PADD 3",IF($M6691="PADD IV","PADD 4",IF($M6691="PADD V","PADD 5","")))))</f>
        <v>PADD 2</v>
      </c>
      <c r="G6691" s="6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6" t="s">
        <v>426</v>
      </c>
      <c r="I6691" s="6" t="s">
        <v>106</v>
      </c>
      <c r="J6691" s="6" t="s">
        <v>394</v>
      </c>
      <c r="K6691" s="10">
        <v>3.77</v>
      </c>
      <c r="L6691" s="10">
        <v>29</v>
      </c>
      <c r="M6691" s="6" t="s">
        <v>425</v>
      </c>
      <c r="N6691" s="6" t="str">
        <f>IF(OR($G6691="FCC",$G6691="Hydrocracker",$G6691="Reformer"),IF(COUNTIFS($D:$D,$D6691,$A:$A,$A6691,$B:$B,$B6691,$G:$G,"CDU",$J:$J,"PLANNED")&gt;0,"tied","standalone"),"")</f>
        <v>standalone</v>
      </c>
    </row>
    <row r="6692" spans="1:14">
      <c r="A6692" s="6">
        <v>2025</v>
      </c>
      <c r="B6692" s="6">
        <v>10</v>
      </c>
      <c r="C6692" s="6" t="s">
        <v>69</v>
      </c>
      <c r="D6692" s="6" t="s">
        <v>501</v>
      </c>
      <c r="E6692" s="6" t="s">
        <v>502</v>
      </c>
      <c r="F6692" s="6" t="str">
        <f>IF($M6692="PADD I","PADD 1",IF($M6692="PADD II","PADD 2",IF($M6692="PADD III","PADD 3",IF($M6692="PADD IV","PADD 4",IF($M6692="PADD V","PADD 5","")))))</f>
        <v>PADD 2</v>
      </c>
      <c r="G6692" s="6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6" t="s">
        <v>44</v>
      </c>
      <c r="I6692" s="6" t="s">
        <v>952</v>
      </c>
      <c r="J6692" s="6" t="s">
        <v>394</v>
      </c>
      <c r="K6692" s="10">
        <v>3.68</v>
      </c>
      <c r="L6692" s="10">
        <v>16</v>
      </c>
      <c r="M6692" s="6" t="s">
        <v>425</v>
      </c>
      <c r="N6692" s="6">
        <f>IF(OR($G6692="FCC",$G6692="Hydrocracker",$G6692="Reformer"),IF(COUNTIFS($D:$D,$D6692,$A:$A,$A6692,$B:$B,$B6692,$G:$G,"CDU",$J:$J,"PLANNED")&gt;0,"tied","standalone"),"")</f>
        <v/>
      </c>
    </row>
    <row r="6693" spans="1:14">
      <c r="A6693" s="6">
        <v>2025</v>
      </c>
      <c r="B6693" s="6">
        <v>10</v>
      </c>
      <c r="C6693" s="6" t="s">
        <v>69</v>
      </c>
      <c r="D6693" s="6" t="s">
        <v>1180</v>
      </c>
      <c r="E6693" s="6" t="s">
        <v>502</v>
      </c>
      <c r="F6693" s="6" t="str">
        <f>IF($M6693="PADD I","PADD 1",IF($M6693="PADD II","PADD 2",IF($M6693="PADD III","PADD 3",IF($M6693="PADD IV","PADD 4",IF($M6693="PADD V","PADD 5","")))))</f>
        <v>PADD 2</v>
      </c>
      <c r="G6693" s="6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6" t="s">
        <v>44</v>
      </c>
      <c r="I6693" s="6" t="s">
        <v>543</v>
      </c>
      <c r="J6693" s="6" t="s">
        <v>394</v>
      </c>
      <c r="K6693" s="10">
        <v>3.565</v>
      </c>
      <c r="L6693" s="10">
        <v>15.5</v>
      </c>
      <c r="M6693" s="6" t="s">
        <v>425</v>
      </c>
      <c r="N6693" s="6">
        <f>IF(OR($G6693="FCC",$G6693="Hydrocracker",$G6693="Reformer"),IF(COUNTIFS($D:$D,$D6693,$A:$A,$A6693,$B:$B,$B6693,$G:$G,"CDU",$J:$J,"PLANNED")&gt;0,"tied","standalone"),"")</f>
        <v/>
      </c>
    </row>
    <row r="6694" spans="1:14">
      <c r="A6694" s="6">
        <v>2025</v>
      </c>
      <c r="B6694" s="6">
        <v>10</v>
      </c>
      <c r="C6694" s="6" t="s">
        <v>69</v>
      </c>
      <c r="D6694" s="6" t="s">
        <v>712</v>
      </c>
      <c r="E6694" s="6" t="s">
        <v>602</v>
      </c>
      <c r="F6694" s="6" t="str">
        <f>IF($M6694="PADD I","PADD 1",IF($M6694="PADD II","PADD 2",IF($M6694="PADD III","PADD 3",IF($M6694="PADD IV","PADD 4",IF($M6694="PADD V","PADD 5","")))))</f>
        <v>PADD 3</v>
      </c>
      <c r="G6694" s="6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6" t="s">
        <v>510</v>
      </c>
      <c r="I6694" s="6" t="s">
        <v>666</v>
      </c>
      <c r="J6694" s="6" t="s">
        <v>394</v>
      </c>
      <c r="K6694" s="10">
        <v>3.55</v>
      </c>
      <c r="L6694" s="10">
        <v>5</v>
      </c>
      <c r="M6694" s="6" t="s">
        <v>421</v>
      </c>
      <c r="N6694" s="6">
        <f>IF(OR($G6694="FCC",$G6694="Hydrocracker",$G6694="Reformer"),IF(COUNTIFS($D:$D,$D6694,$A:$A,$A6694,$B:$B,$B6694,$G:$G,"CDU",$J:$J,"PLANNED")&gt;0,"tied","standalone"),"")</f>
        <v/>
      </c>
    </row>
    <row r="6695" spans="1:14">
      <c r="A6695" s="6">
        <v>2025</v>
      </c>
      <c r="B6695" s="6">
        <v>10</v>
      </c>
      <c r="C6695" s="6" t="s">
        <v>69</v>
      </c>
      <c r="D6695" s="6" t="s">
        <v>828</v>
      </c>
      <c r="E6695" s="6" t="s">
        <v>829</v>
      </c>
      <c r="F6695" s="6" t="str">
        <f>IF($M6695="PADD I","PADD 1",IF($M6695="PADD II","PADD 2",IF($M6695="PADD III","PADD 3",IF($M6695="PADD IV","PADD 4",IF($M6695="PADD V","PADD 5","")))))</f>
        <v>PADD 3</v>
      </c>
      <c r="G6695" s="6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6" t="s">
        <v>39</v>
      </c>
      <c r="I6695" s="6" t="s">
        <v>855</v>
      </c>
      <c r="J6695" s="6" t="s">
        <v>394</v>
      </c>
      <c r="K6695" s="10">
        <v>3.48</v>
      </c>
      <c r="L6695" s="10">
        <v>58</v>
      </c>
      <c r="M6695" s="6" t="s">
        <v>421</v>
      </c>
      <c r="N6695" s="6">
        <f>IF(OR($G6695="FCC",$G6695="Hydrocracker",$G6695="Reformer"),IF(COUNTIFS($D:$D,$D6695,$A:$A,$A6695,$B:$B,$B6695,$G:$G,"CDU",$J:$J,"PLANNED")&gt;0,"tied","standalone"),"")</f>
        <v/>
      </c>
    </row>
    <row r="6696" spans="1:14">
      <c r="A6696" s="6">
        <v>2025</v>
      </c>
      <c r="B6696" s="6">
        <v>10</v>
      </c>
      <c r="C6696" s="6" t="s">
        <v>69</v>
      </c>
      <c r="D6696" s="6" t="s">
        <v>561</v>
      </c>
      <c r="E6696" s="6" t="s">
        <v>455</v>
      </c>
      <c r="F6696" s="6" t="str">
        <f>IF($M6696="PADD I","PADD 1",IF($M6696="PADD II","PADD 2",IF($M6696="PADD III","PADD 3",IF($M6696="PADD IV","PADD 4",IF($M6696="PADD V","PADD 5","")))))</f>
        <v>PADD 3</v>
      </c>
      <c r="G6696" s="6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6" t="s">
        <v>510</v>
      </c>
      <c r="I6696" s="6" t="s">
        <v>511</v>
      </c>
      <c r="J6696" s="6" t="s">
        <v>394</v>
      </c>
      <c r="K6696" s="10">
        <v>3.38</v>
      </c>
      <c r="L6696" s="10">
        <v>13</v>
      </c>
      <c r="M6696" s="6" t="s">
        <v>421</v>
      </c>
      <c r="N6696" s="6">
        <f>IF(OR($G6696="FCC",$G6696="Hydrocracker",$G6696="Reformer"),IF(COUNTIFS($D:$D,$D6696,$A:$A,$A6696,$B:$B,$B6696,$G:$G,"CDU",$J:$J,"PLANNED")&gt;0,"tied","standalone"),"")</f>
        <v/>
      </c>
    </row>
    <row r="6697" spans="1:14">
      <c r="A6697" s="6">
        <v>2025</v>
      </c>
      <c r="B6697" s="6">
        <v>10</v>
      </c>
      <c r="C6697" s="6" t="s">
        <v>69</v>
      </c>
      <c r="D6697" s="6" t="s">
        <v>550</v>
      </c>
      <c r="E6697" s="6" t="s">
        <v>438</v>
      </c>
      <c r="F6697" s="6" t="str">
        <f>IF($M6697="PADD I","PADD 1",IF($M6697="PADD II","PADD 2",IF($M6697="PADD III","PADD 3",IF($M6697="PADD IV","PADD 4",IF($M6697="PADD V","PADD 5","")))))</f>
        <v>PADD 2</v>
      </c>
      <c r="G6697" s="6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6" t="s">
        <v>44</v>
      </c>
      <c r="I6697" s="6" t="s">
        <v>971</v>
      </c>
      <c r="J6697" s="6" t="s">
        <v>394</v>
      </c>
      <c r="K6697" s="10">
        <v>3.2</v>
      </c>
      <c r="L6697" s="10">
        <v>20</v>
      </c>
      <c r="M6697" s="6" t="s">
        <v>425</v>
      </c>
      <c r="N6697" s="6">
        <f>IF(OR($G6697="FCC",$G6697="Hydrocracker",$G6697="Reformer"),IF(COUNTIFS($D:$D,$D6697,$A:$A,$A6697,$B:$B,$B6697,$G:$G,"CDU",$J:$J,"PLANNED")&gt;0,"tied","standalone"),"")</f>
        <v/>
      </c>
    </row>
    <row r="6698" spans="1:14">
      <c r="A6698" s="6">
        <v>2025</v>
      </c>
      <c r="B6698" s="6">
        <v>10</v>
      </c>
      <c r="C6698" s="6" t="s">
        <v>69</v>
      </c>
      <c r="D6698" s="6" t="s">
        <v>597</v>
      </c>
      <c r="E6698" s="6" t="s">
        <v>441</v>
      </c>
      <c r="F6698" s="6" t="str">
        <f>IF($M6698="PADD I","PADD 1",IF($M6698="PADD II","PADD 2",IF($M6698="PADD III","PADD 3",IF($M6698="PADD IV","PADD 4",IF($M6698="PADD V","PADD 5","")))))</f>
        <v>PADD 5</v>
      </c>
      <c r="G6698" s="6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6" t="s">
        <v>510</v>
      </c>
      <c r="I6698" s="6" t="s">
        <v>511</v>
      </c>
      <c r="J6698" s="6" t="s">
        <v>394</v>
      </c>
      <c r="K6698" s="10">
        <v>3.2</v>
      </c>
      <c r="L6698" s="10">
        <v>20</v>
      </c>
      <c r="M6698" s="6" t="s">
        <v>436</v>
      </c>
      <c r="N6698" s="6">
        <f>IF(OR($G6698="FCC",$G6698="Hydrocracker",$G6698="Reformer"),IF(COUNTIFS($D:$D,$D6698,$A:$A,$A6698,$B:$B,$B6698,$G:$G,"CDU",$J:$J,"PLANNED")&gt;0,"tied","standalone"),"")</f>
        <v/>
      </c>
    </row>
    <row r="6699" spans="1:14">
      <c r="A6699" s="6">
        <v>2025</v>
      </c>
      <c r="B6699" s="6">
        <v>10</v>
      </c>
      <c r="C6699" s="6" t="s">
        <v>69</v>
      </c>
      <c r="D6699" s="6" t="s">
        <v>851</v>
      </c>
      <c r="E6699" s="6" t="s">
        <v>829</v>
      </c>
      <c r="F6699" s="6" t="str">
        <f>IF($M6699="PADD I","PADD 1",IF($M6699="PADD II","PADD 2",IF($M6699="PADD III","PADD 3",IF($M6699="PADD IV","PADD 4",IF($M6699="PADD V","PADD 5","")))))</f>
        <v>PADD 2</v>
      </c>
      <c r="G6699" s="6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6" t="s">
        <v>485</v>
      </c>
      <c r="I6699" s="6" t="s">
        <v>852</v>
      </c>
      <c r="J6699" s="6" t="s">
        <v>394</v>
      </c>
      <c r="K6699" s="10">
        <v>3.12</v>
      </c>
      <c r="L6699" s="10">
        <v>24</v>
      </c>
      <c r="M6699" s="6" t="s">
        <v>425</v>
      </c>
      <c r="N6699" s="6">
        <f>IF(OR($G6699="FCC",$G6699="Hydrocracker",$G6699="Reformer"),IF(COUNTIFS($D:$D,$D6699,$A:$A,$A6699,$B:$B,$B6699,$G:$G,"CDU",$J:$J,"PLANNED")&gt;0,"tied","standalone"),"")</f>
        <v/>
      </c>
    </row>
    <row r="6700" spans="1:14">
      <c r="A6700" s="6">
        <v>2025</v>
      </c>
      <c r="B6700" s="6">
        <v>10</v>
      </c>
      <c r="C6700" s="6" t="s">
        <v>69</v>
      </c>
      <c r="D6700" s="6" t="s">
        <v>712</v>
      </c>
      <c r="E6700" s="6" t="s">
        <v>602</v>
      </c>
      <c r="F6700" s="6" t="str">
        <f>IF($M6700="PADD I","PADD 1",IF($M6700="PADD II","PADD 2",IF($M6700="PADD III","PADD 3",IF($M6700="PADD IV","PADD 4",IF($M6700="PADD V","PADD 5","")))))</f>
        <v>PADD 3</v>
      </c>
      <c r="G6700" s="6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6" t="s">
        <v>44</v>
      </c>
      <c r="I6700" s="6" t="s">
        <v>894</v>
      </c>
      <c r="J6700" s="6" t="s">
        <v>398</v>
      </c>
      <c r="K6700" s="10">
        <v>3.05</v>
      </c>
      <c r="L6700" s="10">
        <v>5</v>
      </c>
      <c r="M6700" s="6" t="s">
        <v>421</v>
      </c>
      <c r="N6700" s="6">
        <f>IF(OR($G6700="FCC",$G6700="Hydrocracker",$G6700="Reformer"),IF(COUNTIFS($D:$D,$D6700,$A:$A,$A6700,$B:$B,$B6700,$G:$G,"CDU",$J:$J,"PLANNED")&gt;0,"tied","standalone"),"")</f>
        <v/>
      </c>
    </row>
    <row r="6701" spans="1:14">
      <c r="A6701" s="6">
        <v>2025</v>
      </c>
      <c r="B6701" s="6">
        <v>10</v>
      </c>
      <c r="C6701" s="6" t="s">
        <v>69</v>
      </c>
      <c r="D6701" s="6" t="s">
        <v>662</v>
      </c>
      <c r="E6701" s="6" t="s">
        <v>466</v>
      </c>
      <c r="F6701" s="6" t="str">
        <f>IF($M6701="PADD I","PADD 1",IF($M6701="PADD II","PADD 2",IF($M6701="PADD III","PADD 3",IF($M6701="PADD IV","PADD 4",IF($M6701="PADD V","PADD 5","")))))</f>
        <v>PADD 3</v>
      </c>
      <c r="G6701" s="6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6" t="s">
        <v>426</v>
      </c>
      <c r="I6701" s="6" t="s">
        <v>856</v>
      </c>
      <c r="J6701" s="6" t="s">
        <v>394</v>
      </c>
      <c r="K6701" s="10">
        <v>2.99</v>
      </c>
      <c r="L6701" s="10">
        <v>13</v>
      </c>
      <c r="M6701" s="6" t="s">
        <v>421</v>
      </c>
      <c r="N6701" s="6" t="str">
        <f>IF(OR($G6701="FCC",$G6701="Hydrocracker",$G6701="Reformer"),IF(COUNTIFS($D:$D,$D6701,$A:$A,$A6701,$B:$B,$B6701,$G:$G,"CDU",$J:$J,"PLANNED")&gt;0,"tied","standalone"),"")</f>
        <v>tied</v>
      </c>
    </row>
    <row r="6702" spans="1:14">
      <c r="A6702" s="6">
        <v>2025</v>
      </c>
      <c r="B6702" s="6">
        <v>10</v>
      </c>
      <c r="C6702" s="6" t="s">
        <v>69</v>
      </c>
      <c r="D6702" s="6" t="s">
        <v>824</v>
      </c>
      <c r="E6702" s="6" t="s">
        <v>825</v>
      </c>
      <c r="F6702" s="6" t="str">
        <f>IF($M6702="PADD I","PADD 1",IF($M6702="PADD II","PADD 2",IF($M6702="PADD III","PADD 3",IF($M6702="PADD IV","PADD 4",IF($M6702="PADD V","PADD 5","")))))</f>
        <v>PADD 1</v>
      </c>
      <c r="G6702" s="6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6" t="s">
        <v>494</v>
      </c>
      <c r="I6702" s="6" t="s">
        <v>14</v>
      </c>
      <c r="J6702" s="6" t="s">
        <v>394</v>
      </c>
      <c r="K6702" s="10">
        <v>2.88</v>
      </c>
      <c r="L6702" s="10">
        <v>18</v>
      </c>
      <c r="M6702" s="6" t="s">
        <v>463</v>
      </c>
      <c r="N6702" s="6" t="str">
        <f>IF(OR($G6702="FCC",$G6702="Hydrocracker",$G6702="Reformer"),IF(COUNTIFS($D:$D,$D6702,$A:$A,$A6702,$B:$B,$B6702,$G:$G,"CDU",$J:$J,"PLANNED")&gt;0,"tied","standalone"),"")</f>
        <v>standalone</v>
      </c>
    </row>
    <row r="6703" spans="1:14">
      <c r="A6703" s="6">
        <v>2025</v>
      </c>
      <c r="B6703" s="6">
        <v>10</v>
      </c>
      <c r="C6703" s="6" t="s">
        <v>69</v>
      </c>
      <c r="D6703" s="6" t="s">
        <v>52</v>
      </c>
      <c r="E6703" s="6" t="s">
        <v>441</v>
      </c>
      <c r="F6703" s="6" t="str">
        <f>IF($M6703="PADD I","PADD 1",IF($M6703="PADD II","PADD 2",IF($M6703="PADD III","PADD 3",IF($M6703="PADD IV","PADD 4",IF($M6703="PADD V","PADD 5","")))))</f>
        <v>PADD 5</v>
      </c>
      <c r="G6703" s="6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6" t="s">
        <v>44</v>
      </c>
      <c r="I6703" s="6" t="s">
        <v>1257</v>
      </c>
      <c r="J6703" s="6" t="s">
        <v>394</v>
      </c>
      <c r="K6703" s="10">
        <v>2.76</v>
      </c>
      <c r="L6703" s="10">
        <v>12</v>
      </c>
      <c r="M6703" s="6" t="s">
        <v>436</v>
      </c>
      <c r="N6703" s="6">
        <f>IF(OR($G6703="FCC",$G6703="Hydrocracker",$G6703="Reformer"),IF(COUNTIFS($D:$D,$D6703,$A:$A,$A6703,$B:$B,$B6703,$G:$G,"CDU",$J:$J,"PLANNED")&gt;0,"tied","standalone"),"")</f>
        <v/>
      </c>
    </row>
    <row r="6704" spans="1:14">
      <c r="A6704" s="6">
        <v>2025</v>
      </c>
      <c r="B6704" s="6">
        <v>10</v>
      </c>
      <c r="C6704" s="6" t="s">
        <v>69</v>
      </c>
      <c r="D6704" s="6" t="s">
        <v>812</v>
      </c>
      <c r="E6704" s="6" t="s">
        <v>813</v>
      </c>
      <c r="F6704" s="6" t="str">
        <f>IF($M6704="PADD I","PADD 1",IF($M6704="PADD II","PADD 2",IF($M6704="PADD III","PADD 3",IF($M6704="PADD IV","PADD 4",IF($M6704="PADD V","PADD 5","")))))</f>
        <v>PADD 2</v>
      </c>
      <c r="G6704" s="6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6" t="s">
        <v>428</v>
      </c>
      <c r="I6704" s="6" t="s">
        <v>862</v>
      </c>
      <c r="J6704" s="6" t="s">
        <v>394</v>
      </c>
      <c r="K6704" s="10">
        <v>2.7</v>
      </c>
      <c r="L6704" s="10">
        <v>27</v>
      </c>
      <c r="M6704" s="6" t="s">
        <v>425</v>
      </c>
      <c r="N6704" s="6">
        <f>IF(OR($G6704="FCC",$G6704="Hydrocracker",$G6704="Reformer"),IF(COUNTIFS($D:$D,$D6704,$A:$A,$A6704,$B:$B,$B6704,$G:$G,"CDU",$J:$J,"PLANNED")&gt;0,"tied","standalone"),"")</f>
        <v/>
      </c>
    </row>
    <row r="6705" spans="1:14">
      <c r="A6705" s="6">
        <v>2025</v>
      </c>
      <c r="B6705" s="6">
        <v>10</v>
      </c>
      <c r="C6705" s="6" t="s">
        <v>69</v>
      </c>
      <c r="D6705" s="6" t="s">
        <v>696</v>
      </c>
      <c r="E6705" s="6" t="s">
        <v>455</v>
      </c>
      <c r="F6705" s="6" t="str">
        <f>IF($M6705="PADD I","PADD 1",IF($M6705="PADD II","PADD 2",IF($M6705="PADD III","PADD 3",IF($M6705="PADD IV","PADD 4",IF($M6705="PADD V","PADD 5","")))))</f>
        <v>PADD 3</v>
      </c>
      <c r="G6705" s="6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6" t="s">
        <v>44</v>
      </c>
      <c r="I6705" s="6" t="s">
        <v>697</v>
      </c>
      <c r="J6705" s="6" t="s">
        <v>394</v>
      </c>
      <c r="K6705" s="10">
        <v>2.7</v>
      </c>
      <c r="L6705" s="10">
        <v>45</v>
      </c>
      <c r="M6705" s="6" t="s">
        <v>421</v>
      </c>
      <c r="N6705" s="6">
        <f>IF(OR($G6705="FCC",$G6705="Hydrocracker",$G6705="Reformer"),IF(COUNTIFS($D:$D,$D6705,$A:$A,$A6705,$B:$B,$B6705,$G:$G,"CDU",$J:$J,"PLANNED")&gt;0,"tied","standalone"),"")</f>
        <v/>
      </c>
    </row>
    <row r="6706" spans="1:14">
      <c r="A6706" s="6">
        <v>2025</v>
      </c>
      <c r="B6706" s="6">
        <v>10</v>
      </c>
      <c r="C6706" s="6" t="s">
        <v>69</v>
      </c>
      <c r="D6706" s="6" t="s">
        <v>652</v>
      </c>
      <c r="E6706" s="6" t="s">
        <v>419</v>
      </c>
      <c r="F6706" s="6" t="str">
        <f>IF($M6706="PADD I","PADD 1",IF($M6706="PADD II","PADD 2",IF($M6706="PADD III","PADD 3",IF($M6706="PADD IV","PADD 4",IF($M6706="PADD V","PADD 5","")))))</f>
        <v>PADD 2</v>
      </c>
      <c r="G6706" s="6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6" t="s">
        <v>426</v>
      </c>
      <c r="I6706" s="6" t="s">
        <v>704</v>
      </c>
      <c r="J6706" s="6" t="s">
        <v>394</v>
      </c>
      <c r="K6706" s="10">
        <v>2.6</v>
      </c>
      <c r="L6706" s="10">
        <v>26</v>
      </c>
      <c r="M6706" s="6" t="s">
        <v>425</v>
      </c>
      <c r="N6706" s="6" t="str">
        <f>IF(OR($G6706="FCC",$G6706="Hydrocracker",$G6706="Reformer"),IF(COUNTIFS($D:$D,$D6706,$A:$A,$A6706,$B:$B,$B6706,$G:$G,"CDU",$J:$J,"PLANNED")&gt;0,"tied","standalone"),"")</f>
        <v>standalone</v>
      </c>
    </row>
    <row r="6707" spans="1:14">
      <c r="A6707" s="6">
        <v>2025</v>
      </c>
      <c r="B6707" s="6">
        <v>10</v>
      </c>
      <c r="C6707" s="6" t="s">
        <v>69</v>
      </c>
      <c r="D6707" s="6" t="s">
        <v>626</v>
      </c>
      <c r="E6707" s="6" t="s">
        <v>419</v>
      </c>
      <c r="F6707" s="6" t="str">
        <f>IF($M6707="PADD I","PADD 1",IF($M6707="PADD II","PADD 2",IF($M6707="PADD III","PADD 3",IF($M6707="PADD IV","PADD 4",IF($M6707="PADD V","PADD 5","")))))</f>
        <v>PADD 3</v>
      </c>
      <c r="G6707" s="6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6" t="s">
        <v>39</v>
      </c>
      <c r="I6707" s="6" t="s">
        <v>1369</v>
      </c>
      <c r="J6707" s="6" t="s">
        <v>394</v>
      </c>
      <c r="K6707" s="10">
        <v>2.49</v>
      </c>
      <c r="L6707" s="10">
        <v>83</v>
      </c>
      <c r="M6707" s="6" t="s">
        <v>421</v>
      </c>
      <c r="N6707" s="6">
        <f>IF(OR($G6707="FCC",$G6707="Hydrocracker",$G6707="Reformer"),IF(COUNTIFS($D:$D,$D6707,$A:$A,$A6707,$B:$B,$B6707,$G:$G,"CDU",$J:$J,"PLANNED")&gt;0,"tied","standalone"),"")</f>
        <v/>
      </c>
    </row>
    <row r="6708" spans="1:14">
      <c r="A6708" s="6">
        <v>2025</v>
      </c>
      <c r="B6708" s="6">
        <v>10</v>
      </c>
      <c r="C6708" s="6" t="s">
        <v>69</v>
      </c>
      <c r="D6708" s="6" t="s">
        <v>764</v>
      </c>
      <c r="E6708" s="6" t="s">
        <v>455</v>
      </c>
      <c r="F6708" s="6" t="str">
        <f>IF($M6708="PADD I","PADD 1",IF($M6708="PADD II","PADD 2",IF($M6708="PADD III","PADD 3",IF($M6708="PADD IV","PADD 4",IF($M6708="PADD V","PADD 5","")))))</f>
        <v>PADD 3</v>
      </c>
      <c r="G6708" s="6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6" t="s">
        <v>510</v>
      </c>
      <c r="I6708" s="6" t="s">
        <v>511</v>
      </c>
      <c r="J6708" s="6" t="s">
        <v>394</v>
      </c>
      <c r="K6708" s="10">
        <v>2.47</v>
      </c>
      <c r="L6708" s="10">
        <v>9.5</v>
      </c>
      <c r="M6708" s="6" t="s">
        <v>421</v>
      </c>
      <c r="N6708" s="6">
        <f>IF(OR($G6708="FCC",$G6708="Hydrocracker",$G6708="Reformer"),IF(COUNTIFS($D:$D,$D6708,$A:$A,$A6708,$B:$B,$B6708,$G:$G,"CDU",$J:$J,"PLANNED")&gt;0,"tied","standalone"),"")</f>
        <v/>
      </c>
    </row>
    <row r="6709" spans="1:14">
      <c r="A6709" s="6">
        <v>2025</v>
      </c>
      <c r="B6709" s="6">
        <v>10</v>
      </c>
      <c r="C6709" s="6" t="s">
        <v>69</v>
      </c>
      <c r="D6709" s="6" t="s">
        <v>772</v>
      </c>
      <c r="E6709" s="6" t="s">
        <v>502</v>
      </c>
      <c r="F6709" s="6" t="str">
        <f>IF($M6709="PADD I","PADD 1",IF($M6709="PADD II","PADD 2",IF($M6709="PADD III","PADD 3",IF($M6709="PADD IV","PADD 4",IF($M6709="PADD V","PADD 5","")))))</f>
        <v>PADD 4</v>
      </c>
      <c r="G6709" s="6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6" t="s">
        <v>426</v>
      </c>
      <c r="I6709" s="6" t="s">
        <v>478</v>
      </c>
      <c r="J6709" s="6" t="s">
        <v>394</v>
      </c>
      <c r="K6709" s="10">
        <v>2.465</v>
      </c>
      <c r="L6709" s="10">
        <v>8.5</v>
      </c>
      <c r="M6709" s="6" t="s">
        <v>480</v>
      </c>
      <c r="N6709" s="6" t="str">
        <f>IF(OR($G6709="FCC",$G6709="Hydrocracker",$G6709="Reformer"),IF(COUNTIFS($D:$D,$D6709,$A:$A,$A6709,$B:$B,$B6709,$G:$G,"CDU",$J:$J,"PLANNED")&gt;0,"tied","standalone"),"")</f>
        <v>standalone</v>
      </c>
    </row>
    <row r="6710" spans="1:14">
      <c r="A6710" s="6">
        <v>2025</v>
      </c>
      <c r="B6710" s="6">
        <v>10</v>
      </c>
      <c r="C6710" s="6" t="s">
        <v>69</v>
      </c>
      <c r="D6710" s="6" t="s">
        <v>550</v>
      </c>
      <c r="E6710" s="6" t="s">
        <v>438</v>
      </c>
      <c r="F6710" s="6" t="str">
        <f>IF($M6710="PADD I","PADD 1",IF($M6710="PADD II","PADD 2",IF($M6710="PADD III","PADD 3",IF($M6710="PADD IV","PADD 4",IF($M6710="PADD V","PADD 5","")))))</f>
        <v>PADD 2</v>
      </c>
      <c r="G6710" s="6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6" t="s">
        <v>44</v>
      </c>
      <c r="I6710" s="6" t="s">
        <v>974</v>
      </c>
      <c r="J6710" s="6" t="s">
        <v>394</v>
      </c>
      <c r="K6710" s="10">
        <v>2.4</v>
      </c>
      <c r="L6710" s="10">
        <v>15</v>
      </c>
      <c r="M6710" s="6" t="s">
        <v>425</v>
      </c>
      <c r="N6710" s="6">
        <f>IF(OR($G6710="FCC",$G6710="Hydrocracker",$G6710="Reformer"),IF(COUNTIFS($D:$D,$D6710,$A:$A,$A6710,$B:$B,$B6710,$G:$G,"CDU",$J:$J,"PLANNED")&gt;0,"tied","standalone"),"")</f>
        <v/>
      </c>
    </row>
    <row r="6711" spans="1:14">
      <c r="A6711" s="6">
        <v>2025</v>
      </c>
      <c r="B6711" s="6">
        <v>10</v>
      </c>
      <c r="C6711" s="6" t="s">
        <v>69</v>
      </c>
      <c r="D6711" s="6" t="s">
        <v>458</v>
      </c>
      <c r="E6711" s="6" t="s">
        <v>459</v>
      </c>
      <c r="F6711" s="6" t="str">
        <f>IF($M6711="PADD I","PADD 1",IF($M6711="PADD II","PADD 2",IF($M6711="PADD III","PADD 3",IF($M6711="PADD IV","PADD 4",IF($M6711="PADD V","PADD 5","")))))</f>
        <v>PADD 3</v>
      </c>
      <c r="G6711" s="6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6" t="s">
        <v>39</v>
      </c>
      <c r="I6711" s="6" t="s">
        <v>460</v>
      </c>
      <c r="J6711" s="6" t="s">
        <v>394</v>
      </c>
      <c r="K6711" s="10">
        <v>2.4</v>
      </c>
      <c r="L6711" s="10">
        <v>80</v>
      </c>
      <c r="M6711" s="6" t="s">
        <v>421</v>
      </c>
      <c r="N6711" s="6">
        <f>IF(OR($G6711="FCC",$G6711="Hydrocracker",$G6711="Reformer"),IF(COUNTIFS($D:$D,$D6711,$A:$A,$A6711,$B:$B,$B6711,$G:$G,"CDU",$J:$J,"PLANNED")&gt;0,"tied","standalone"),"")</f>
        <v/>
      </c>
    </row>
    <row r="6712" spans="1:14">
      <c r="A6712" s="6">
        <v>2025</v>
      </c>
      <c r="B6712" s="6">
        <v>10</v>
      </c>
      <c r="C6712" s="6" t="s">
        <v>69</v>
      </c>
      <c r="D6712" s="6" t="s">
        <v>851</v>
      </c>
      <c r="E6712" s="6" t="s">
        <v>829</v>
      </c>
      <c r="F6712" s="6" t="str">
        <f>IF($M6712="PADD I","PADD 1",IF($M6712="PADD II","PADD 2",IF($M6712="PADD III","PADD 3",IF($M6712="PADD IV","PADD 4",IF($M6712="PADD V","PADD 5","")))))</f>
        <v>PADD 2</v>
      </c>
      <c r="G6712" s="6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6" t="s">
        <v>485</v>
      </c>
      <c r="I6712" s="6" t="s">
        <v>944</v>
      </c>
      <c r="J6712" s="6" t="s">
        <v>394</v>
      </c>
      <c r="K6712" s="10">
        <v>2.4</v>
      </c>
      <c r="L6712" s="10">
        <v>24</v>
      </c>
      <c r="M6712" s="6" t="s">
        <v>425</v>
      </c>
      <c r="N6712" s="6">
        <f>IF(OR($G6712="FCC",$G6712="Hydrocracker",$G6712="Reformer"),IF(COUNTIFS($D:$D,$D6712,$A:$A,$A6712,$B:$B,$B6712,$G:$G,"CDU",$J:$J,"PLANNED")&gt;0,"tied","standalone"),"")</f>
        <v/>
      </c>
    </row>
    <row r="6713" spans="1:14">
      <c r="A6713" s="6">
        <v>2025</v>
      </c>
      <c r="B6713" s="6">
        <v>10</v>
      </c>
      <c r="C6713" s="6" t="s">
        <v>69</v>
      </c>
      <c r="D6713" s="6" t="s">
        <v>370</v>
      </c>
      <c r="E6713" s="6" t="s">
        <v>431</v>
      </c>
      <c r="F6713" s="6" t="str">
        <f>IF($M6713="PADD I","PADD 1",IF($M6713="PADD II","PADD 2",IF($M6713="PADD III","PADD 3",IF($M6713="PADD IV","PADD 4",IF($M6713="PADD V","PADD 5","")))))</f>
        <v>PADD 2</v>
      </c>
      <c r="G6713" s="6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6" t="s">
        <v>510</v>
      </c>
      <c r="I6713" s="6" t="s">
        <v>666</v>
      </c>
      <c r="J6713" s="6" t="s">
        <v>394</v>
      </c>
      <c r="K6713" s="10">
        <v>2.261</v>
      </c>
      <c r="L6713" s="10">
        <v>11.9</v>
      </c>
      <c r="M6713" s="6" t="s">
        <v>425</v>
      </c>
      <c r="N6713" s="6">
        <f>IF(OR($G6713="FCC",$G6713="Hydrocracker",$G6713="Reformer"),IF(COUNTIFS($D:$D,$D6713,$A:$A,$A6713,$B:$B,$B6713,$G:$G,"CDU",$J:$J,"PLANNED")&gt;0,"tied","standalone"),"")</f>
        <v/>
      </c>
    </row>
    <row r="6714" spans="1:14">
      <c r="A6714" s="6">
        <v>2025</v>
      </c>
      <c r="B6714" s="6">
        <v>10</v>
      </c>
      <c r="C6714" s="6" t="s">
        <v>69</v>
      </c>
      <c r="D6714" s="6" t="s">
        <v>550</v>
      </c>
      <c r="E6714" s="6" t="s">
        <v>438</v>
      </c>
      <c r="F6714" s="6" t="str">
        <f>IF($M6714="PADD I","PADD 1",IF($M6714="PADD II","PADD 2",IF($M6714="PADD III","PADD 3",IF($M6714="PADD IV","PADD 4",IF($M6714="PADD V","PADD 5","")))))</f>
        <v>PADD 2</v>
      </c>
      <c r="G6714" s="6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6" t="s">
        <v>573</v>
      </c>
      <c r="I6714" s="6" t="s">
        <v>574</v>
      </c>
      <c r="J6714" s="6" t="s">
        <v>394</v>
      </c>
      <c r="K6714" s="10">
        <v>2.256</v>
      </c>
      <c r="L6714" s="10">
        <v>14.1</v>
      </c>
      <c r="M6714" s="6" t="s">
        <v>425</v>
      </c>
      <c r="N6714" s="6">
        <f>IF(OR($G6714="FCC",$G6714="Hydrocracker",$G6714="Reformer"),IF(COUNTIFS($D:$D,$D6714,$A:$A,$A6714,$B:$B,$B6714,$G:$G,"CDU",$J:$J,"PLANNED")&gt;0,"tied","standalone"),"")</f>
        <v/>
      </c>
    </row>
    <row r="6715" spans="1:14">
      <c r="A6715" s="6">
        <v>2025</v>
      </c>
      <c r="B6715" s="6">
        <v>10</v>
      </c>
      <c r="C6715" s="6" t="s">
        <v>69</v>
      </c>
      <c r="D6715" s="6" t="s">
        <v>828</v>
      </c>
      <c r="E6715" s="6" t="s">
        <v>829</v>
      </c>
      <c r="F6715" s="6" t="str">
        <f>IF($M6715="PADD I","PADD 1",IF($M6715="PADD II","PADD 2",IF($M6715="PADD III","PADD 3",IF($M6715="PADD IV","PADD 4",IF($M6715="PADD V","PADD 5","")))))</f>
        <v>PADD 3</v>
      </c>
      <c r="G6715" s="6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6" t="s">
        <v>39</v>
      </c>
      <c r="I6715" s="6" t="s">
        <v>855</v>
      </c>
      <c r="J6715" s="6" t="s">
        <v>394</v>
      </c>
      <c r="K6715" s="10">
        <v>2.25</v>
      </c>
      <c r="L6715" s="10">
        <v>75</v>
      </c>
      <c r="M6715" s="6" t="s">
        <v>421</v>
      </c>
      <c r="N6715" s="6">
        <f>IF(OR($G6715="FCC",$G6715="Hydrocracker",$G6715="Reformer"),IF(COUNTIFS($D:$D,$D6715,$A:$A,$A6715,$B:$B,$B6715,$G:$G,"CDU",$J:$J,"PLANNED")&gt;0,"tied","standalone"),"")</f>
        <v/>
      </c>
    </row>
    <row r="6716" spans="1:14">
      <c r="A6716" s="6">
        <v>2025</v>
      </c>
      <c r="B6716" s="6">
        <v>10</v>
      </c>
      <c r="C6716" s="6" t="s">
        <v>69</v>
      </c>
      <c r="D6716" s="6" t="s">
        <v>835</v>
      </c>
      <c r="E6716" s="6" t="s">
        <v>829</v>
      </c>
      <c r="F6716" s="6" t="str">
        <f>IF($M6716="PADD I","PADD 1",IF($M6716="PADD II","PADD 2",IF($M6716="PADD III","PADD 3",IF($M6716="PADD IV","PADD 4",IF($M6716="PADD V","PADD 5","")))))</f>
        <v>PADD 2</v>
      </c>
      <c r="G6716" s="6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6" t="s">
        <v>428</v>
      </c>
      <c r="I6716" s="6" t="s">
        <v>836</v>
      </c>
      <c r="J6716" s="6" t="s">
        <v>394</v>
      </c>
      <c r="K6716" s="10">
        <v>2.22</v>
      </c>
      <c r="L6716" s="10">
        <v>37</v>
      </c>
      <c r="M6716" s="6" t="s">
        <v>425</v>
      </c>
      <c r="N6716" s="6">
        <f>IF(OR($G6716="FCC",$G6716="Hydrocracker",$G6716="Reformer"),IF(COUNTIFS($D:$D,$D6716,$A:$A,$A6716,$B:$B,$B6716,$G:$G,"CDU",$J:$J,"PLANNED")&gt;0,"tied","standalone"),"")</f>
        <v/>
      </c>
    </row>
    <row r="6717" spans="1:14">
      <c r="A6717" s="6">
        <v>2025</v>
      </c>
      <c r="B6717" s="6">
        <v>10</v>
      </c>
      <c r="C6717" s="6" t="s">
        <v>69</v>
      </c>
      <c r="D6717" s="6" t="s">
        <v>592</v>
      </c>
      <c r="E6717" s="6" t="s">
        <v>593</v>
      </c>
      <c r="F6717" s="6" t="str">
        <f>IF($M6717="PADD I","PADD 1",IF($M6717="PADD II","PADD 2",IF($M6717="PADD III","PADD 3",IF($M6717="PADD IV","PADD 4",IF($M6717="PADD V","PADD 5","")))))</f>
        <v>PADD 2</v>
      </c>
      <c r="G6717" s="6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6" t="s">
        <v>44</v>
      </c>
      <c r="I6717" s="6" t="s">
        <v>809</v>
      </c>
      <c r="J6717" s="6" t="s">
        <v>394</v>
      </c>
      <c r="K6717" s="10">
        <v>2.1</v>
      </c>
      <c r="L6717" s="10">
        <v>70</v>
      </c>
      <c r="M6717" s="6" t="s">
        <v>425</v>
      </c>
      <c r="N6717" s="6">
        <f>IF(OR($G6717="FCC",$G6717="Hydrocracker",$G6717="Reformer"),IF(COUNTIFS($D:$D,$D6717,$A:$A,$A6717,$B:$B,$B6717,$G:$G,"CDU",$J:$J,"PLANNED")&gt;0,"tied","standalone"),"")</f>
        <v/>
      </c>
    </row>
    <row r="6718" spans="1:14">
      <c r="A6718" s="6">
        <v>2025</v>
      </c>
      <c r="B6718" s="6">
        <v>10</v>
      </c>
      <c r="C6718" s="6" t="s">
        <v>69</v>
      </c>
      <c r="D6718" s="6" t="s">
        <v>437</v>
      </c>
      <c r="E6718" s="6" t="s">
        <v>438</v>
      </c>
      <c r="F6718" s="6" t="str">
        <f>IF($M6718="PADD I","PADD 1",IF($M6718="PADD II","PADD 2",IF($M6718="PADD III","PADD 3",IF($M6718="PADD IV","PADD 4",IF($M6718="PADD V","PADD 5","")))))</f>
        <v>PADD 3</v>
      </c>
      <c r="G6718" s="6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6" t="s">
        <v>494</v>
      </c>
      <c r="I6718" s="6" t="s">
        <v>526</v>
      </c>
      <c r="J6718" s="6" t="s">
        <v>394</v>
      </c>
      <c r="K6718" s="10">
        <v>2.1</v>
      </c>
      <c r="L6718" s="10">
        <v>70</v>
      </c>
      <c r="M6718" s="6" t="s">
        <v>421</v>
      </c>
      <c r="N6718" s="6" t="str">
        <f>IF(OR($G6718="FCC",$G6718="Hydrocracker",$G6718="Reformer"),IF(COUNTIFS($D:$D,$D6718,$A:$A,$A6718,$B:$B,$B6718,$G:$G,"CDU",$J:$J,"PLANNED")&gt;0,"tied","standalone"),"")</f>
        <v>standalone</v>
      </c>
    </row>
    <row r="6719" spans="1:14">
      <c r="A6719" s="6">
        <v>2025</v>
      </c>
      <c r="B6719" s="6">
        <v>10</v>
      </c>
      <c r="C6719" s="6" t="s">
        <v>69</v>
      </c>
      <c r="D6719" s="6" t="s">
        <v>812</v>
      </c>
      <c r="E6719" s="6" t="s">
        <v>813</v>
      </c>
      <c r="F6719" s="6" t="str">
        <f>IF($M6719="PADD I","PADD 1",IF($M6719="PADD II","PADD 2",IF($M6719="PADD III","PADD 3",IF($M6719="PADD IV","PADD 4",IF($M6719="PADD V","PADD 5","")))))</f>
        <v>PADD 2</v>
      </c>
      <c r="G6719" s="6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6" t="s">
        <v>426</v>
      </c>
      <c r="I6719" s="6" t="s">
        <v>106</v>
      </c>
      <c r="J6719" s="6" t="s">
        <v>394</v>
      </c>
      <c r="K6719" s="10">
        <v>2.05</v>
      </c>
      <c r="L6719" s="10">
        <v>20.5</v>
      </c>
      <c r="M6719" s="6" t="s">
        <v>425</v>
      </c>
      <c r="N6719" s="6" t="str">
        <f>IF(OR($G6719="FCC",$G6719="Hydrocracker",$G6719="Reformer"),IF(COUNTIFS($D:$D,$D6719,$A:$A,$A6719,$B:$B,$B6719,$G:$G,"CDU",$J:$J,"PLANNED")&gt;0,"tied","standalone"),"")</f>
        <v>standalone</v>
      </c>
    </row>
    <row r="6720" spans="1:14">
      <c r="A6720" s="6">
        <v>2025</v>
      </c>
      <c r="B6720" s="6">
        <v>10</v>
      </c>
      <c r="C6720" s="6" t="s">
        <v>69</v>
      </c>
      <c r="D6720" s="6" t="s">
        <v>52</v>
      </c>
      <c r="E6720" s="6" t="s">
        <v>441</v>
      </c>
      <c r="F6720" s="6" t="str">
        <f>IF($M6720="PADD I","PADD 1",IF($M6720="PADD II","PADD 2",IF($M6720="PADD III","PADD 3",IF($M6720="PADD IV","PADD 4",IF($M6720="PADD V","PADD 5","")))))</f>
        <v>PADD 5</v>
      </c>
      <c r="G6720" s="6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6" t="s">
        <v>44</v>
      </c>
      <c r="I6720" s="6" t="s">
        <v>1387</v>
      </c>
      <c r="J6720" s="6" t="s">
        <v>394</v>
      </c>
      <c r="K6720" s="10">
        <v>2.0097</v>
      </c>
      <c r="L6720" s="10">
        <v>6.93</v>
      </c>
      <c r="M6720" s="6" t="s">
        <v>436</v>
      </c>
      <c r="N6720" s="6">
        <f>IF(OR($G6720="FCC",$G6720="Hydrocracker",$G6720="Reformer"),IF(COUNTIFS($D:$D,$D6720,$A:$A,$A6720,$B:$B,$B6720,$G:$G,"CDU",$J:$J,"PLANNED")&gt;0,"tied","standalone"),"")</f>
        <v/>
      </c>
    </row>
    <row r="6721" spans="1:14">
      <c r="A6721" s="6">
        <v>2025</v>
      </c>
      <c r="B6721" s="6">
        <v>10</v>
      </c>
      <c r="C6721" s="6" t="s">
        <v>69</v>
      </c>
      <c r="D6721" s="6" t="s">
        <v>1093</v>
      </c>
      <c r="E6721" s="6" t="s">
        <v>438</v>
      </c>
      <c r="F6721" s="6" t="str">
        <f>IF($M6721="PADD I","PADD 1",IF($M6721="PADD II","PADD 2",IF($M6721="PADD III","PADD 3",IF($M6721="PADD IV","PADD 4",IF($M6721="PADD V","PADD 5","")))))</f>
        <v>PADD 2</v>
      </c>
      <c r="G6721" s="6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6" t="s">
        <v>44</v>
      </c>
      <c r="I6721" s="6" t="s">
        <v>514</v>
      </c>
      <c r="J6721" s="6" t="s">
        <v>394</v>
      </c>
      <c r="K6721" s="10">
        <v>1.935</v>
      </c>
      <c r="L6721" s="10">
        <v>4.3</v>
      </c>
      <c r="M6721" s="6" t="s">
        <v>425</v>
      </c>
      <c r="N6721" s="6">
        <f>IF(OR($G6721="FCC",$G6721="Hydrocracker",$G6721="Reformer"),IF(COUNTIFS($D:$D,$D6721,$A:$A,$A6721,$B:$B,$B6721,$G:$G,"CDU",$J:$J,"PLANNED")&gt;0,"tied","standalone"),"")</f>
        <v/>
      </c>
    </row>
    <row r="6722" spans="1:14">
      <c r="A6722" s="6">
        <v>2025</v>
      </c>
      <c r="B6722" s="6">
        <v>10</v>
      </c>
      <c r="C6722" s="6" t="s">
        <v>69</v>
      </c>
      <c r="D6722" s="6" t="s">
        <v>52</v>
      </c>
      <c r="E6722" s="6" t="s">
        <v>441</v>
      </c>
      <c r="F6722" s="6" t="str">
        <f>IF($M6722="PADD I","PADD 1",IF($M6722="PADD II","PADD 2",IF($M6722="PADD III","PADD 3",IF($M6722="PADD IV","PADD 4",IF($M6722="PADD V","PADD 5","")))))</f>
        <v>PADD 5</v>
      </c>
      <c r="G6722" s="6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6" t="s">
        <v>44</v>
      </c>
      <c r="I6722" s="6" t="s">
        <v>1388</v>
      </c>
      <c r="J6722" s="6" t="s">
        <v>394</v>
      </c>
      <c r="K6722" s="10">
        <v>1.914</v>
      </c>
      <c r="L6722" s="10">
        <v>6.6</v>
      </c>
      <c r="M6722" s="6" t="s">
        <v>436</v>
      </c>
      <c r="N6722" s="6">
        <f>IF(OR($G6722="FCC",$G6722="Hydrocracker",$G6722="Reformer"),IF(COUNTIFS($D:$D,$D6722,$A:$A,$A6722,$B:$B,$B6722,$G:$G,"CDU",$J:$J,"PLANNED")&gt;0,"tied","standalone"),"")</f>
        <v/>
      </c>
    </row>
    <row r="6723" spans="1:14">
      <c r="A6723" s="6">
        <v>2025</v>
      </c>
      <c r="B6723" s="6">
        <v>10</v>
      </c>
      <c r="C6723" s="6" t="s">
        <v>69</v>
      </c>
      <c r="D6723" s="6" t="s">
        <v>592</v>
      </c>
      <c r="E6723" s="6" t="s">
        <v>593</v>
      </c>
      <c r="F6723" s="6" t="str">
        <f>IF($M6723="PADD I","PADD 1",IF($M6723="PADD II","PADD 2",IF($M6723="PADD III","PADD 3",IF($M6723="PADD IV","PADD 4",IF($M6723="PADD V","PADD 5","")))))</f>
        <v>PADD 2</v>
      </c>
      <c r="G6723" s="6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6" t="s">
        <v>471</v>
      </c>
      <c r="I6723" s="6" t="s">
        <v>1164</v>
      </c>
      <c r="J6723" s="6" t="s">
        <v>394</v>
      </c>
      <c r="K6723" s="10">
        <v>1.8</v>
      </c>
      <c r="L6723" s="10">
        <v>60</v>
      </c>
      <c r="M6723" s="6" t="s">
        <v>425</v>
      </c>
      <c r="N6723" s="6" t="str">
        <f>IF(OR($G6723="FCC",$G6723="Hydrocracker",$G6723="Reformer"),IF(COUNTIFS($D:$D,$D6723,$A:$A,$A6723,$B:$B,$B6723,$G:$G,"CDU",$J:$J,"PLANNED")&gt;0,"tied","standalone"),"")</f>
        <v>tied</v>
      </c>
    </row>
    <row r="6724" spans="1:14">
      <c r="A6724" s="6">
        <v>2025</v>
      </c>
      <c r="B6724" s="6">
        <v>10</v>
      </c>
      <c r="C6724" s="6" t="s">
        <v>69</v>
      </c>
      <c r="D6724" s="6" t="s">
        <v>550</v>
      </c>
      <c r="E6724" s="6" t="s">
        <v>438</v>
      </c>
      <c r="F6724" s="6" t="str">
        <f>IF($M6724="PADD I","PADD 1",IF($M6724="PADD II","PADD 2",IF($M6724="PADD III","PADD 3",IF($M6724="PADD IV","PADD 4",IF($M6724="PADD V","PADD 5","")))))</f>
        <v>PADD 2</v>
      </c>
      <c r="G6724" s="6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6" t="s">
        <v>426</v>
      </c>
      <c r="I6724" s="6" t="s">
        <v>106</v>
      </c>
      <c r="J6724" s="6" t="s">
        <v>394</v>
      </c>
      <c r="K6724" s="10">
        <v>1.56</v>
      </c>
      <c r="L6724" s="10">
        <v>26</v>
      </c>
      <c r="M6724" s="6" t="s">
        <v>425</v>
      </c>
      <c r="N6724" s="6" t="str">
        <f>IF(OR($G6724="FCC",$G6724="Hydrocracker",$G6724="Reformer"),IF(COUNTIFS($D:$D,$D6724,$A:$A,$A6724,$B:$B,$B6724,$G:$G,"CDU",$J:$J,"PLANNED")&gt;0,"tied","standalone"),"")</f>
        <v>standalone</v>
      </c>
    </row>
    <row r="6725" spans="1:14">
      <c r="A6725" s="6">
        <v>2025</v>
      </c>
      <c r="B6725" s="6">
        <v>10</v>
      </c>
      <c r="C6725" s="6" t="s">
        <v>69</v>
      </c>
      <c r="D6725" s="6" t="s">
        <v>458</v>
      </c>
      <c r="E6725" s="6" t="s">
        <v>459</v>
      </c>
      <c r="F6725" s="6" t="str">
        <f>IF($M6725="PADD I","PADD 1",IF($M6725="PADD II","PADD 2",IF($M6725="PADD III","PADD 3",IF($M6725="PADD IV","PADD 4",IF($M6725="PADD V","PADD 5","")))))</f>
        <v>PADD 3</v>
      </c>
      <c r="G6725" s="6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6" t="s">
        <v>428</v>
      </c>
      <c r="I6725" s="6" t="s">
        <v>556</v>
      </c>
      <c r="J6725" s="6" t="s">
        <v>394</v>
      </c>
      <c r="K6725" s="10">
        <v>1.56</v>
      </c>
      <c r="L6725" s="10">
        <v>52</v>
      </c>
      <c r="M6725" s="6" t="s">
        <v>421</v>
      </c>
      <c r="N6725" s="6">
        <f>IF(OR($G6725="FCC",$G6725="Hydrocracker",$G6725="Reformer"),IF(COUNTIFS($D:$D,$D6725,$A:$A,$A6725,$B:$B,$B6725,$G:$G,"CDU",$J:$J,"PLANNED")&gt;0,"tied","standalone"),"")</f>
        <v/>
      </c>
    </row>
    <row r="6726" spans="1:14">
      <c r="A6726" s="6">
        <v>2025</v>
      </c>
      <c r="B6726" s="6">
        <v>10</v>
      </c>
      <c r="C6726" s="6" t="s">
        <v>69</v>
      </c>
      <c r="D6726" s="6" t="s">
        <v>660</v>
      </c>
      <c r="E6726" s="6" t="s">
        <v>661</v>
      </c>
      <c r="F6726" s="6" t="str">
        <f>IF($M6726="PADD I","PADD 1",IF($M6726="PADD II","PADD 2",IF($M6726="PADD III","PADD 3",IF($M6726="PADD IV","PADD 4",IF($M6726="PADD V","PADD 5","")))))</f>
        <v>PADD 2</v>
      </c>
      <c r="G6726" s="6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6" t="s">
        <v>485</v>
      </c>
      <c r="I6726" s="6" t="s">
        <v>491</v>
      </c>
      <c r="J6726" s="6" t="s">
        <v>394</v>
      </c>
      <c r="K6726" s="10">
        <v>1.56</v>
      </c>
      <c r="L6726" s="10">
        <v>26</v>
      </c>
      <c r="M6726" s="6" t="s">
        <v>425</v>
      </c>
      <c r="N6726" s="6">
        <f>IF(OR($G6726="FCC",$G6726="Hydrocracker",$G6726="Reformer"),IF(COUNTIFS($D:$D,$D6726,$A:$A,$A6726,$B:$B,$B6726,$G:$G,"CDU",$J:$J,"PLANNED")&gt;0,"tied","standalone"),"")</f>
        <v/>
      </c>
    </row>
    <row r="6727" spans="1:14">
      <c r="A6727" s="6">
        <v>2025</v>
      </c>
      <c r="B6727" s="6">
        <v>10</v>
      </c>
      <c r="C6727" s="6" t="s">
        <v>69</v>
      </c>
      <c r="D6727" s="6" t="s">
        <v>921</v>
      </c>
      <c r="E6727" s="6" t="s">
        <v>922</v>
      </c>
      <c r="F6727" s="6" t="str">
        <f>IF($M6727="PADD I","PADD 1",IF($M6727="PADD II","PADD 2",IF($M6727="PADD III","PADD 3",IF($M6727="PADD IV","PADD 4",IF($M6727="PADD V","PADD 5","")))))</f>
        <v>PADD 4</v>
      </c>
      <c r="G6727" s="6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6" t="s">
        <v>39</v>
      </c>
      <c r="I6727" s="6" t="s">
        <v>82</v>
      </c>
      <c r="J6727" s="6" t="s">
        <v>398</v>
      </c>
      <c r="K6727" s="10">
        <v>1.53</v>
      </c>
      <c r="L6727" s="10">
        <v>3.4</v>
      </c>
      <c r="M6727" s="6" t="s">
        <v>480</v>
      </c>
      <c r="N6727" s="6">
        <f>IF(OR($G6727="FCC",$G6727="Hydrocracker",$G6727="Reformer"),IF(COUNTIFS($D:$D,$D6727,$A:$A,$A6727,$B:$B,$B6727,$G:$G,"CDU",$J:$J,"PLANNED")&gt;0,"tied","standalone"),"")</f>
        <v/>
      </c>
    </row>
    <row r="6728" spans="1:14">
      <c r="A6728" s="6">
        <v>2025</v>
      </c>
      <c r="B6728" s="6">
        <v>10</v>
      </c>
      <c r="C6728" s="6" t="s">
        <v>69</v>
      </c>
      <c r="D6728" s="6" t="s">
        <v>812</v>
      </c>
      <c r="E6728" s="6" t="s">
        <v>813</v>
      </c>
      <c r="F6728" s="6" t="str">
        <f>IF($M6728="PADD I","PADD 1",IF($M6728="PADD II","PADD 2",IF($M6728="PADD III","PADD 3",IF($M6728="PADD IV","PADD 4",IF($M6728="PADD V","PADD 5","")))))</f>
        <v>PADD 2</v>
      </c>
      <c r="G6728" s="6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6" t="s">
        <v>428</v>
      </c>
      <c r="I6728" s="6" t="s">
        <v>862</v>
      </c>
      <c r="J6728" s="6" t="s">
        <v>394</v>
      </c>
      <c r="K6728" s="10">
        <v>1.5</v>
      </c>
      <c r="L6728" s="10">
        <v>15</v>
      </c>
      <c r="M6728" s="6" t="s">
        <v>425</v>
      </c>
      <c r="N6728" s="6">
        <f>IF(OR($G6728="FCC",$G6728="Hydrocracker",$G6728="Reformer"),IF(COUNTIFS($D:$D,$D6728,$A:$A,$A6728,$B:$B,$B6728,$G:$G,"CDU",$J:$J,"PLANNED")&gt;0,"tied","standalone"),"")</f>
        <v/>
      </c>
    </row>
    <row r="6729" spans="1:14">
      <c r="A6729" s="6">
        <v>2025</v>
      </c>
      <c r="B6729" s="6">
        <v>10</v>
      </c>
      <c r="C6729" s="6" t="s">
        <v>69</v>
      </c>
      <c r="D6729" s="6" t="s">
        <v>851</v>
      </c>
      <c r="E6729" s="6" t="s">
        <v>829</v>
      </c>
      <c r="F6729" s="6" t="str">
        <f>IF($M6729="PADD I","PADD 1",IF($M6729="PADD II","PADD 2",IF($M6729="PADD III","PADD 3",IF($M6729="PADD IV","PADD 4",IF($M6729="PADD V","PADD 5","")))))</f>
        <v>PADD 2</v>
      </c>
      <c r="G6729" s="6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6" t="s">
        <v>510</v>
      </c>
      <c r="I6729" s="6" t="s">
        <v>511</v>
      </c>
      <c r="J6729" s="6" t="s">
        <v>398</v>
      </c>
      <c r="K6729" s="10">
        <v>1.38</v>
      </c>
      <c r="L6729" s="10">
        <v>6</v>
      </c>
      <c r="M6729" s="6" t="s">
        <v>425</v>
      </c>
      <c r="N6729" s="6">
        <f>IF(OR($G6729="FCC",$G6729="Hydrocracker",$G6729="Reformer"),IF(COUNTIFS($D:$D,$D6729,$A:$A,$A6729,$B:$B,$B6729,$G:$G,"CDU",$J:$J,"PLANNED")&gt;0,"tied","standalone"),"")</f>
        <v/>
      </c>
    </row>
    <row r="6730" spans="1:14">
      <c r="A6730" s="6">
        <v>2025</v>
      </c>
      <c r="B6730" s="6">
        <v>10</v>
      </c>
      <c r="C6730" s="6" t="s">
        <v>69</v>
      </c>
      <c r="D6730" s="6" t="s">
        <v>921</v>
      </c>
      <c r="E6730" s="6" t="s">
        <v>922</v>
      </c>
      <c r="F6730" s="6" t="str">
        <f>IF($M6730="PADD I","PADD 1",IF($M6730="PADD II","PADD 2",IF($M6730="PADD III","PADD 3",IF($M6730="PADD IV","PADD 4",IF($M6730="PADD V","PADD 5","")))))</f>
        <v>PADD 4</v>
      </c>
      <c r="G6730" s="6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6" t="s">
        <v>44</v>
      </c>
      <c r="I6730" s="6" t="s">
        <v>923</v>
      </c>
      <c r="J6730" s="6" t="s">
        <v>398</v>
      </c>
      <c r="K6730" s="10">
        <v>1.35</v>
      </c>
      <c r="L6730" s="10">
        <v>3</v>
      </c>
      <c r="M6730" s="6" t="s">
        <v>480</v>
      </c>
      <c r="N6730" s="6">
        <f>IF(OR($G6730="FCC",$G6730="Hydrocracker",$G6730="Reformer"),IF(COUNTIFS($D:$D,$D6730,$A:$A,$A6730,$B:$B,$B6730,$G:$G,"CDU",$J:$J,"PLANNED")&gt;0,"tied","standalone"),"")</f>
        <v/>
      </c>
    </row>
    <row r="6731" spans="1:14">
      <c r="A6731" s="6">
        <v>2025</v>
      </c>
      <c r="B6731" s="6">
        <v>10</v>
      </c>
      <c r="C6731" s="6" t="s">
        <v>69</v>
      </c>
      <c r="D6731" s="6" t="s">
        <v>921</v>
      </c>
      <c r="E6731" s="6" t="s">
        <v>922</v>
      </c>
      <c r="F6731" s="6" t="str">
        <f>IF($M6731="PADD I","PADD 1",IF($M6731="PADD II","PADD 2",IF($M6731="PADD III","PADD 3",IF($M6731="PADD IV","PADD 4",IF($M6731="PADD V","PADD 5","")))))</f>
        <v>PADD 4</v>
      </c>
      <c r="G6731" s="6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6" t="s">
        <v>471</v>
      </c>
      <c r="I6731" s="6" t="s">
        <v>15</v>
      </c>
      <c r="J6731" s="6" t="s">
        <v>398</v>
      </c>
      <c r="K6731" s="10">
        <v>1.35</v>
      </c>
      <c r="L6731" s="10">
        <v>3</v>
      </c>
      <c r="M6731" s="6" t="s">
        <v>480</v>
      </c>
      <c r="N6731" s="6" t="str">
        <f>IF(OR($G6731="FCC",$G6731="Hydrocracker",$G6731="Reformer"),IF(COUNTIFS($D:$D,$D6731,$A:$A,$A6731,$B:$B,$B6731,$G:$G,"CDU",$J:$J,"PLANNED")&gt;0,"tied","standalone"),"")</f>
        <v>tied</v>
      </c>
    </row>
    <row r="6732" spans="1:14">
      <c r="A6732" s="6">
        <v>2025</v>
      </c>
      <c r="B6732" s="6">
        <v>10</v>
      </c>
      <c r="C6732" s="6" t="s">
        <v>69</v>
      </c>
      <c r="D6732" s="6" t="s">
        <v>518</v>
      </c>
      <c r="E6732" s="6" t="s">
        <v>419</v>
      </c>
      <c r="F6732" s="6" t="str">
        <f>IF($M6732="PADD I","PADD 1",IF($M6732="PADD II","PADD 2",IF($M6732="PADD III","PADD 3",IF($M6732="PADD IV","PADD 4",IF($M6732="PADD V","PADD 5","")))))</f>
        <v>PADD 3</v>
      </c>
      <c r="G6732" s="6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6" t="s">
        <v>471</v>
      </c>
      <c r="I6732" s="6" t="s">
        <v>685</v>
      </c>
      <c r="J6732" s="6" t="s">
        <v>394</v>
      </c>
      <c r="K6732" s="10">
        <v>1.33</v>
      </c>
      <c r="L6732" s="10">
        <v>7</v>
      </c>
      <c r="M6732" s="6" t="s">
        <v>421</v>
      </c>
      <c r="N6732" s="6" t="str">
        <f>IF(OR($G6732="FCC",$G6732="Hydrocracker",$G6732="Reformer"),IF(COUNTIFS($D:$D,$D6732,$A:$A,$A6732,$B:$B,$B6732,$G:$G,"CDU",$J:$J,"PLANNED")&gt;0,"tied","standalone"),"")</f>
        <v>standalone</v>
      </c>
    </row>
    <row r="6733" spans="1:14">
      <c r="A6733" s="6">
        <v>2025</v>
      </c>
      <c r="B6733" s="6">
        <v>10</v>
      </c>
      <c r="C6733" s="6" t="s">
        <v>69</v>
      </c>
      <c r="D6733" s="6" t="s">
        <v>512</v>
      </c>
      <c r="E6733" s="6" t="s">
        <v>488</v>
      </c>
      <c r="F6733" s="6" t="str">
        <f>IF($M6733="PADD I","PADD 1",IF($M6733="PADD II","PADD 2",IF($M6733="PADD III","PADD 3",IF($M6733="PADD IV","PADD 4",IF($M6733="PADD V","PADD 5","")))))</f>
        <v>PADD 4</v>
      </c>
      <c r="G6733" s="6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6" t="s">
        <v>428</v>
      </c>
      <c r="I6733" s="6" t="s">
        <v>605</v>
      </c>
      <c r="J6733" s="6" t="s">
        <v>394</v>
      </c>
      <c r="K6733" s="10">
        <v>1.3</v>
      </c>
      <c r="L6733" s="10">
        <v>10</v>
      </c>
      <c r="M6733" s="6" t="s">
        <v>480</v>
      </c>
      <c r="N6733" s="6">
        <f>IF(OR($G6733="FCC",$G6733="Hydrocracker",$G6733="Reformer"),IF(COUNTIFS($D:$D,$D6733,$A:$A,$A6733,$B:$B,$B6733,$G:$G,"CDU",$J:$J,"PLANNED")&gt;0,"tied","standalone"),"")</f>
        <v/>
      </c>
    </row>
    <row r="6734" spans="1:14">
      <c r="A6734" s="6">
        <v>2025</v>
      </c>
      <c r="B6734" s="6">
        <v>10</v>
      </c>
      <c r="C6734" s="6" t="s">
        <v>69</v>
      </c>
      <c r="D6734" s="6" t="s">
        <v>487</v>
      </c>
      <c r="E6734" s="6" t="s">
        <v>488</v>
      </c>
      <c r="F6734" s="6" t="str">
        <f>IF($M6734="PADD I","PADD 1",IF($M6734="PADD II","PADD 2",IF($M6734="PADD III","PADD 3",IF($M6734="PADD IV","PADD 4",IF($M6734="PADD V","PADD 5","")))))</f>
        <v>PADD 4</v>
      </c>
      <c r="G6734" s="6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6" t="s">
        <v>44</v>
      </c>
      <c r="I6734" s="6" t="s">
        <v>543</v>
      </c>
      <c r="J6734" s="6" t="s">
        <v>394</v>
      </c>
      <c r="K6734" s="10">
        <v>1.26</v>
      </c>
      <c r="L6734" s="10">
        <v>21</v>
      </c>
      <c r="M6734" s="6" t="s">
        <v>480</v>
      </c>
      <c r="N6734" s="6">
        <f>IF(OR($G6734="FCC",$G6734="Hydrocracker",$G6734="Reformer"),IF(COUNTIFS($D:$D,$D6734,$A:$A,$A6734,$B:$B,$B6734,$G:$G,"CDU",$J:$J,"PLANNED")&gt;0,"tied","standalone"),"")</f>
        <v/>
      </c>
    </row>
    <row r="6735" spans="1:14">
      <c r="A6735" s="6">
        <v>2025</v>
      </c>
      <c r="B6735" s="6">
        <v>10</v>
      </c>
      <c r="C6735" s="6" t="s">
        <v>69</v>
      </c>
      <c r="D6735" s="6" t="s">
        <v>377</v>
      </c>
      <c r="E6735" s="6" t="s">
        <v>466</v>
      </c>
      <c r="F6735" s="6" t="str">
        <f>IF($M6735="PADD I","PADD 1",IF($M6735="PADD II","PADD 2",IF($M6735="PADD III","PADD 3",IF($M6735="PADD IV","PADD 4",IF($M6735="PADD V","PADD 5","")))))</f>
        <v>PADD 2</v>
      </c>
      <c r="G6735" s="6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6" t="s">
        <v>485</v>
      </c>
      <c r="I6735" s="6" t="s">
        <v>1109</v>
      </c>
      <c r="J6735" s="6" t="s">
        <v>398</v>
      </c>
      <c r="K6735" s="10">
        <v>1.254</v>
      </c>
      <c r="L6735" s="10">
        <v>12.54</v>
      </c>
      <c r="M6735" s="6" t="s">
        <v>425</v>
      </c>
      <c r="N6735" s="6">
        <f>IF(OR($G6735="FCC",$G6735="Hydrocracker",$G6735="Reformer"),IF(COUNTIFS($D:$D,$D6735,$A:$A,$A6735,$B:$B,$B6735,$G:$G,"CDU",$J:$J,"PLANNED")&gt;0,"tied","standalone"),"")</f>
        <v/>
      </c>
    </row>
    <row r="6736" spans="1:14">
      <c r="A6736" s="6">
        <v>2025</v>
      </c>
      <c r="B6736" s="6">
        <v>10</v>
      </c>
      <c r="C6736" s="6" t="s">
        <v>69</v>
      </c>
      <c r="D6736" s="6" t="s">
        <v>550</v>
      </c>
      <c r="E6736" s="6" t="s">
        <v>438</v>
      </c>
      <c r="F6736" s="6" t="str">
        <f>IF($M6736="PADD I","PADD 1",IF($M6736="PADD II","PADD 2",IF($M6736="PADD III","PADD 3",IF($M6736="PADD IV","PADD 4",IF($M6736="PADD V","PADD 5","")))))</f>
        <v>PADD 2</v>
      </c>
      <c r="G6736" s="6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6" t="s">
        <v>44</v>
      </c>
      <c r="I6736" s="6" t="s">
        <v>570</v>
      </c>
      <c r="J6736" s="6" t="s">
        <v>394</v>
      </c>
      <c r="K6736" s="10">
        <v>1.2</v>
      </c>
      <c r="L6736" s="10">
        <v>20</v>
      </c>
      <c r="M6736" s="6" t="s">
        <v>425</v>
      </c>
      <c r="N6736" s="6">
        <f>IF(OR($G6736="FCC",$G6736="Hydrocracker",$G6736="Reformer"),IF(COUNTIFS($D:$D,$D6736,$A:$A,$A6736,$B:$B,$B6736,$G:$G,"CDU",$J:$J,"PLANNED")&gt;0,"tied","standalone"),"")</f>
        <v/>
      </c>
    </row>
    <row r="6737" spans="1:14">
      <c r="A6737" s="6">
        <v>2025</v>
      </c>
      <c r="B6737" s="6">
        <v>10</v>
      </c>
      <c r="C6737" s="6" t="s">
        <v>69</v>
      </c>
      <c r="D6737" s="6" t="s">
        <v>550</v>
      </c>
      <c r="E6737" s="6" t="s">
        <v>438</v>
      </c>
      <c r="F6737" s="6" t="str">
        <f>IF($M6737="PADD I","PADD 1",IF($M6737="PADD II","PADD 2",IF($M6737="PADD III","PADD 3",IF($M6737="PADD IV","PADD 4",IF($M6737="PADD V","PADD 5","")))))</f>
        <v>PADD 2</v>
      </c>
      <c r="G6737" s="6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6" t="s">
        <v>44</v>
      </c>
      <c r="I6737" s="6" t="s">
        <v>551</v>
      </c>
      <c r="J6737" s="6" t="s">
        <v>394</v>
      </c>
      <c r="K6737" s="10">
        <v>1.2</v>
      </c>
      <c r="L6737" s="10">
        <v>20</v>
      </c>
      <c r="M6737" s="6" t="s">
        <v>425</v>
      </c>
      <c r="N6737" s="6">
        <f>IF(OR($G6737="FCC",$G6737="Hydrocracker",$G6737="Reformer"),IF(COUNTIFS($D:$D,$D6737,$A:$A,$A6737,$B:$B,$B6737,$G:$G,"CDU",$J:$J,"PLANNED")&gt;0,"tied","standalone"),"")</f>
        <v/>
      </c>
    </row>
    <row r="6738" spans="1:14">
      <c r="A6738" s="6">
        <v>2025</v>
      </c>
      <c r="B6738" s="6">
        <v>10</v>
      </c>
      <c r="C6738" s="6" t="s">
        <v>69</v>
      </c>
      <c r="D6738" s="6" t="s">
        <v>592</v>
      </c>
      <c r="E6738" s="6" t="s">
        <v>593</v>
      </c>
      <c r="F6738" s="6" t="str">
        <f>IF($M6738="PADD I","PADD 1",IF($M6738="PADD II","PADD 2",IF($M6738="PADD III","PADD 3",IF($M6738="PADD IV","PADD 4",IF($M6738="PADD V","PADD 5","")))))</f>
        <v>PADD 2</v>
      </c>
      <c r="G6738" s="6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6" t="s">
        <v>44</v>
      </c>
      <c r="I6738" s="6" t="s">
        <v>965</v>
      </c>
      <c r="J6738" s="6" t="s">
        <v>394</v>
      </c>
      <c r="K6738" s="10">
        <v>1.2</v>
      </c>
      <c r="L6738" s="10">
        <v>40</v>
      </c>
      <c r="M6738" s="6" t="s">
        <v>425</v>
      </c>
      <c r="N6738" s="6">
        <f>IF(OR($G6738="FCC",$G6738="Hydrocracker",$G6738="Reformer"),IF(COUNTIFS($D:$D,$D6738,$A:$A,$A6738,$B:$B,$B6738,$G:$G,"CDU",$J:$J,"PLANNED")&gt;0,"tied","standalone"),"")</f>
        <v/>
      </c>
    </row>
    <row r="6739" spans="1:14">
      <c r="A6739" s="6">
        <v>2025</v>
      </c>
      <c r="B6739" s="6">
        <v>10</v>
      </c>
      <c r="C6739" s="6" t="s">
        <v>69</v>
      </c>
      <c r="D6739" s="6" t="s">
        <v>680</v>
      </c>
      <c r="E6739" s="6" t="s">
        <v>541</v>
      </c>
      <c r="F6739" s="6" t="str">
        <f>IF($M6739="PADD I","PADD 1",IF($M6739="PADD II","PADD 2",IF($M6739="PADD III","PADD 3",IF($M6739="PADD IV","PADD 4",IF($M6739="PADD V","PADD 5","")))))</f>
        <v>PADD 3</v>
      </c>
      <c r="G6739" s="6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6" t="s">
        <v>44</v>
      </c>
      <c r="I6739" s="6" t="s">
        <v>514</v>
      </c>
      <c r="J6739" s="6" t="s">
        <v>394</v>
      </c>
      <c r="K6739" s="10">
        <v>1.2</v>
      </c>
      <c r="L6739" s="10">
        <v>12</v>
      </c>
      <c r="M6739" s="6" t="s">
        <v>421</v>
      </c>
      <c r="N6739" s="6">
        <f>IF(OR($G6739="FCC",$G6739="Hydrocracker",$G6739="Reformer"),IF(COUNTIFS($D:$D,$D6739,$A:$A,$A6739,$B:$B,$B6739,$G:$G,"CDU",$J:$J,"PLANNED")&gt;0,"tied","standalone"),"")</f>
        <v/>
      </c>
    </row>
    <row r="6740" spans="1:14">
      <c r="A6740" s="6">
        <v>2025</v>
      </c>
      <c r="B6740" s="6">
        <v>10</v>
      </c>
      <c r="C6740" s="6" t="s">
        <v>69</v>
      </c>
      <c r="D6740" s="6" t="s">
        <v>52</v>
      </c>
      <c r="E6740" s="6" t="s">
        <v>441</v>
      </c>
      <c r="F6740" s="6" t="str">
        <f>IF($M6740="PADD I","PADD 1",IF($M6740="PADD II","PADD 2",IF($M6740="PADD III","PADD 3",IF($M6740="PADD IV","PADD 4",IF($M6740="PADD V","PADD 5","")))))</f>
        <v>PADD 5</v>
      </c>
      <c r="G6740" s="6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6" t="s">
        <v>44</v>
      </c>
      <c r="I6740" s="6" t="s">
        <v>1257</v>
      </c>
      <c r="J6740" s="6" t="s">
        <v>394</v>
      </c>
      <c r="K6740" s="10">
        <v>1.1484</v>
      </c>
      <c r="L6740" s="10">
        <v>3.96</v>
      </c>
      <c r="M6740" s="6" t="s">
        <v>436</v>
      </c>
      <c r="N6740" s="6">
        <f>IF(OR($G6740="FCC",$G6740="Hydrocracker",$G6740="Reformer"),IF(COUNTIFS($D:$D,$D6740,$A:$A,$A6740,$B:$B,$B6740,$G:$G,"CDU",$J:$J,"PLANNED")&gt;0,"tied","standalone"),"")</f>
        <v/>
      </c>
    </row>
    <row r="6741" spans="1:14">
      <c r="A6741" s="6">
        <v>2025</v>
      </c>
      <c r="B6741" s="6">
        <v>10</v>
      </c>
      <c r="C6741" s="6" t="s">
        <v>69</v>
      </c>
      <c r="D6741" s="6" t="s">
        <v>550</v>
      </c>
      <c r="E6741" s="6" t="s">
        <v>438</v>
      </c>
      <c r="F6741" s="6" t="str">
        <f>IF($M6741="PADD I","PADD 1",IF($M6741="PADD II","PADD 2",IF($M6741="PADD III","PADD 3",IF($M6741="PADD IV","PADD 4",IF($M6741="PADD V","PADD 5","")))))</f>
        <v>PADD 2</v>
      </c>
      <c r="G6741" s="6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6" t="s">
        <v>471</v>
      </c>
      <c r="I6741" s="6" t="s">
        <v>589</v>
      </c>
      <c r="J6741" s="6" t="s">
        <v>394</v>
      </c>
      <c r="K6741" s="10">
        <v>1.14</v>
      </c>
      <c r="L6741" s="10">
        <v>19</v>
      </c>
      <c r="M6741" s="6" t="s">
        <v>425</v>
      </c>
      <c r="N6741" s="6" t="str">
        <f>IF(OR($G6741="FCC",$G6741="Hydrocracker",$G6741="Reformer"),IF(COUNTIFS($D:$D,$D6741,$A:$A,$A6741,$B:$B,$B6741,$G:$G,"CDU",$J:$J,"PLANNED")&gt;0,"tied","standalone"),"")</f>
        <v>standalone</v>
      </c>
    </row>
    <row r="6742" spans="1:14">
      <c r="A6742" s="6">
        <v>2025</v>
      </c>
      <c r="B6742" s="6">
        <v>10</v>
      </c>
      <c r="C6742" s="6" t="s">
        <v>69</v>
      </c>
      <c r="D6742" s="6" t="s">
        <v>592</v>
      </c>
      <c r="E6742" s="6" t="s">
        <v>593</v>
      </c>
      <c r="F6742" s="6" t="str">
        <f>IF($M6742="PADD I","PADD 1",IF($M6742="PADD II","PADD 2",IF($M6742="PADD III","PADD 3",IF($M6742="PADD IV","PADD 4",IF($M6742="PADD V","PADD 5","")))))</f>
        <v>PADD 2</v>
      </c>
      <c r="G6742" s="6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6" t="s">
        <v>44</v>
      </c>
      <c r="I6742" s="6" t="s">
        <v>1056</v>
      </c>
      <c r="J6742" s="6" t="s">
        <v>394</v>
      </c>
      <c r="K6742" s="10">
        <v>1.08</v>
      </c>
      <c r="L6742" s="10">
        <v>36</v>
      </c>
      <c r="M6742" s="6" t="s">
        <v>425</v>
      </c>
      <c r="N6742" s="6">
        <f>IF(OR($G6742="FCC",$G6742="Hydrocracker",$G6742="Reformer"),IF(COUNTIFS($D:$D,$D6742,$A:$A,$A6742,$B:$B,$B6742,$G:$G,"CDU",$J:$J,"PLANNED")&gt;0,"tied","standalone"),"")</f>
        <v/>
      </c>
    </row>
    <row r="6743" spans="1:14">
      <c r="A6743" s="6">
        <v>2025</v>
      </c>
      <c r="B6743" s="6">
        <v>10</v>
      </c>
      <c r="C6743" s="6" t="s">
        <v>69</v>
      </c>
      <c r="D6743" s="6" t="s">
        <v>849</v>
      </c>
      <c r="E6743" s="6" t="s">
        <v>441</v>
      </c>
      <c r="F6743" s="6" t="str">
        <f>IF($M6743="PADD I","PADD 1",IF($M6743="PADD II","PADD 2",IF($M6743="PADD III","PADD 3",IF($M6743="PADD IV","PADD 4",IF($M6743="PADD V","PADD 5","")))))</f>
        <v>PADD 4</v>
      </c>
      <c r="G6743" s="6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6" t="s">
        <v>485</v>
      </c>
      <c r="I6743" s="6" t="s">
        <v>1238</v>
      </c>
      <c r="J6743" s="6" t="s">
        <v>394</v>
      </c>
      <c r="K6743" s="10">
        <v>1</v>
      </c>
      <c r="L6743" s="10">
        <v>10</v>
      </c>
      <c r="M6743" s="6" t="s">
        <v>480</v>
      </c>
      <c r="N6743" s="6">
        <f>IF(OR($G6743="FCC",$G6743="Hydrocracker",$G6743="Reformer"),IF(COUNTIFS($D:$D,$D6743,$A:$A,$A6743,$B:$B,$B6743,$G:$G,"CDU",$J:$J,"PLANNED")&gt;0,"tied","standalone"),"")</f>
        <v/>
      </c>
    </row>
    <row r="6744" spans="1:14">
      <c r="A6744" s="6">
        <v>2025</v>
      </c>
      <c r="B6744" s="6">
        <v>10</v>
      </c>
      <c r="C6744" s="6" t="s">
        <v>69</v>
      </c>
      <c r="D6744" s="6" t="s">
        <v>550</v>
      </c>
      <c r="E6744" s="6" t="s">
        <v>438</v>
      </c>
      <c r="F6744" s="6" t="str">
        <f>IF($M6744="PADD I","PADD 1",IF($M6744="PADD II","PADD 2",IF($M6744="PADD III","PADD 3",IF($M6744="PADD IV","PADD 4",IF($M6744="PADD V","PADD 5","")))))</f>
        <v>PADD 2</v>
      </c>
      <c r="G6744" s="6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6" t="s">
        <v>510</v>
      </c>
      <c r="I6744" s="6" t="s">
        <v>666</v>
      </c>
      <c r="J6744" s="6" t="s">
        <v>394</v>
      </c>
      <c r="K6744" s="10">
        <v>0.96</v>
      </c>
      <c r="L6744" s="10">
        <v>6</v>
      </c>
      <c r="M6744" s="6" t="s">
        <v>425</v>
      </c>
      <c r="N6744" s="6">
        <f>IF(OR($G6744="FCC",$G6744="Hydrocracker",$G6744="Reformer"),IF(COUNTIFS($D:$D,$D6744,$A:$A,$A6744,$B:$B,$B6744,$G:$G,"CDU",$J:$J,"PLANNED")&gt;0,"tied","standalone"),"")</f>
        <v/>
      </c>
    </row>
    <row r="6745" spans="1:14">
      <c r="A6745" s="6">
        <v>2025</v>
      </c>
      <c r="B6745" s="6">
        <v>10</v>
      </c>
      <c r="C6745" s="6" t="s">
        <v>69</v>
      </c>
      <c r="D6745" s="6" t="s">
        <v>592</v>
      </c>
      <c r="E6745" s="6" t="s">
        <v>593</v>
      </c>
      <c r="F6745" s="6" t="str">
        <f>IF($M6745="PADD I","PADD 1",IF($M6745="PADD II","PADD 2",IF($M6745="PADD III","PADD 3",IF($M6745="PADD IV","PADD 4",IF($M6745="PADD V","PADD 5","")))))</f>
        <v>PADD 2</v>
      </c>
      <c r="G6745" s="6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6" t="s">
        <v>618</v>
      </c>
      <c r="I6745" s="6" t="s">
        <v>654</v>
      </c>
      <c r="J6745" s="6" t="s">
        <v>394</v>
      </c>
      <c r="K6745" s="10">
        <v>0.837</v>
      </c>
      <c r="L6745" s="10">
        <v>27.9</v>
      </c>
      <c r="M6745" s="6" t="s">
        <v>425</v>
      </c>
      <c r="N6745" s="6">
        <f>IF(OR($G6745="FCC",$G6745="Hydrocracker",$G6745="Reformer"),IF(COUNTIFS($D:$D,$D6745,$A:$A,$A6745,$B:$B,$B6745,$G:$G,"CDU",$J:$J,"PLANNED")&gt;0,"tied","standalone"),"")</f>
        <v/>
      </c>
    </row>
    <row r="6746" spans="1:14">
      <c r="A6746" s="6">
        <v>2025</v>
      </c>
      <c r="B6746" s="6">
        <v>10</v>
      </c>
      <c r="C6746" s="6" t="s">
        <v>69</v>
      </c>
      <c r="D6746" s="6" t="s">
        <v>592</v>
      </c>
      <c r="E6746" s="6" t="s">
        <v>593</v>
      </c>
      <c r="F6746" s="6" t="str">
        <f>IF($M6746="PADD I","PADD 1",IF($M6746="PADD II","PADD 2",IF($M6746="PADD III","PADD 3",IF($M6746="PADD IV","PADD 4",IF($M6746="PADD V","PADD 5","")))))</f>
        <v>PADD 2</v>
      </c>
      <c r="G6746" s="6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6" t="s">
        <v>44</v>
      </c>
      <c r="I6746" s="6" t="s">
        <v>1162</v>
      </c>
      <c r="J6746" s="6" t="s">
        <v>394</v>
      </c>
      <c r="K6746" s="10">
        <v>0.729</v>
      </c>
      <c r="L6746" s="10">
        <v>24.3</v>
      </c>
      <c r="M6746" s="6" t="s">
        <v>425</v>
      </c>
      <c r="N6746" s="6">
        <f>IF(OR($G6746="FCC",$G6746="Hydrocracker",$G6746="Reformer"),IF(COUNTIFS($D:$D,$D6746,$A:$A,$A6746,$B:$B,$B6746,$G:$G,"CDU",$J:$J,"PLANNED")&gt;0,"tied","standalone"),"")</f>
        <v/>
      </c>
    </row>
    <row r="6747" spans="1:14">
      <c r="A6747" s="6">
        <v>2025</v>
      </c>
      <c r="B6747" s="6">
        <v>10</v>
      </c>
      <c r="C6747" s="6" t="s">
        <v>69</v>
      </c>
      <c r="D6747" s="6" t="s">
        <v>518</v>
      </c>
      <c r="E6747" s="6" t="s">
        <v>419</v>
      </c>
      <c r="F6747" s="6" t="str">
        <f>IF($M6747="PADD I","PADD 1",IF($M6747="PADD II","PADD 2",IF($M6747="PADD III","PADD 3",IF($M6747="PADD IV","PADD 4",IF($M6747="PADD V","PADD 5","")))))</f>
        <v>PADD 3</v>
      </c>
      <c r="G6747" s="6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6" t="s">
        <v>471</v>
      </c>
      <c r="I6747" s="6" t="s">
        <v>685</v>
      </c>
      <c r="J6747" s="6" t="s">
        <v>394</v>
      </c>
      <c r="K6747" s="10">
        <v>0.7</v>
      </c>
      <c r="L6747" s="10">
        <v>7</v>
      </c>
      <c r="M6747" s="6" t="s">
        <v>421</v>
      </c>
      <c r="N6747" s="6" t="str">
        <f>IF(OR($G6747="FCC",$G6747="Hydrocracker",$G6747="Reformer"),IF(COUNTIFS($D:$D,$D6747,$A:$A,$A6747,$B:$B,$B6747,$G:$G,"CDU",$J:$J,"PLANNED")&gt;0,"tied","standalone"),"")</f>
        <v>standalone</v>
      </c>
    </row>
    <row r="6748" spans="1:14">
      <c r="A6748" s="6">
        <v>2025</v>
      </c>
      <c r="B6748" s="6">
        <v>10</v>
      </c>
      <c r="C6748" s="6" t="s">
        <v>69</v>
      </c>
      <c r="D6748" s="6" t="s">
        <v>828</v>
      </c>
      <c r="E6748" s="6" t="s">
        <v>829</v>
      </c>
      <c r="F6748" s="6" t="str">
        <f>IF($M6748="PADD I","PADD 1",IF($M6748="PADD II","PADD 2",IF($M6748="PADD III","PADD 3",IF($M6748="PADD IV","PADD 4",IF($M6748="PADD V","PADD 5","")))))</f>
        <v>PADD 3</v>
      </c>
      <c r="G6748" s="6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6" t="s">
        <v>428</v>
      </c>
      <c r="I6748" s="6" t="s">
        <v>847</v>
      </c>
      <c r="J6748" s="6" t="s">
        <v>394</v>
      </c>
      <c r="K6748" s="10">
        <v>0.6899999999999999</v>
      </c>
      <c r="L6748" s="10">
        <v>23</v>
      </c>
      <c r="M6748" s="6" t="s">
        <v>421</v>
      </c>
      <c r="N6748" s="6">
        <f>IF(OR($G6748="FCC",$G6748="Hydrocracker",$G6748="Reformer"),IF(COUNTIFS($D:$D,$D6748,$A:$A,$A6748,$B:$B,$B6748,$G:$G,"CDU",$J:$J,"PLANNED")&gt;0,"tied","standalone"),"")</f>
        <v/>
      </c>
    </row>
    <row r="6749" spans="1:14">
      <c r="A6749" s="6">
        <v>2025</v>
      </c>
      <c r="B6749" s="6">
        <v>10</v>
      </c>
      <c r="C6749" s="6" t="s">
        <v>69</v>
      </c>
      <c r="D6749" s="6" t="s">
        <v>1380</v>
      </c>
      <c r="E6749" s="6" t="s">
        <v>1381</v>
      </c>
      <c r="F6749" s="6" t="str">
        <f>IF($M6749="PADD I","PADD 1",IF($M6749="PADD II","PADD 2",IF($M6749="PADD III","PADD 3",IF($M6749="PADD IV","PADD 4",IF($M6749="PADD V","PADD 5","")))))</f>
        <v>PADD 4</v>
      </c>
      <c r="G6749" s="6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6" t="s">
        <v>44</v>
      </c>
      <c r="I6749" s="6" t="s">
        <v>1382</v>
      </c>
      <c r="J6749" s="6" t="s">
        <v>398</v>
      </c>
      <c r="K6749" s="10">
        <v>0.63</v>
      </c>
      <c r="L6749" s="10">
        <v>1.5</v>
      </c>
      <c r="M6749" s="6" t="s">
        <v>480</v>
      </c>
      <c r="N6749" s="6">
        <f>IF(OR($G6749="FCC",$G6749="Hydrocracker",$G6749="Reformer"),IF(COUNTIFS($D:$D,$D6749,$A:$A,$A6749,$B:$B,$B6749,$G:$G,"CDU",$J:$J,"PLANNED")&gt;0,"tied","standalone"),"")</f>
        <v/>
      </c>
    </row>
    <row r="6750" spans="1:14">
      <c r="A6750" s="6">
        <v>2025</v>
      </c>
      <c r="B6750" s="6">
        <v>10</v>
      </c>
      <c r="C6750" s="6" t="s">
        <v>69</v>
      </c>
      <c r="D6750" s="6" t="s">
        <v>772</v>
      </c>
      <c r="E6750" s="6" t="s">
        <v>502</v>
      </c>
      <c r="F6750" s="6" t="str">
        <f>IF($M6750="PADD I","PADD 1",IF($M6750="PADD II","PADD 2",IF($M6750="PADD III","PADD 3",IF($M6750="PADD IV","PADD 4",IF($M6750="PADD V","PADD 5","")))))</f>
        <v>PADD 4</v>
      </c>
      <c r="G6750" s="6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6" t="s">
        <v>426</v>
      </c>
      <c r="I6750" s="6" t="s">
        <v>1156</v>
      </c>
      <c r="J6750" s="6" t="s">
        <v>398</v>
      </c>
      <c r="K6750" s="10">
        <v>0.54</v>
      </c>
      <c r="L6750" s="10">
        <v>9</v>
      </c>
      <c r="M6750" s="6" t="s">
        <v>480</v>
      </c>
      <c r="N6750" s="6" t="str">
        <f>IF(OR($G6750="FCC",$G6750="Hydrocracker",$G6750="Reformer"),IF(COUNTIFS($D:$D,$D6750,$A:$A,$A6750,$B:$B,$B6750,$G:$G,"CDU",$J:$J,"PLANNED")&gt;0,"tied","standalone"),"")</f>
        <v>standalone</v>
      </c>
    </row>
    <row r="6751" spans="1:14">
      <c r="A6751" s="6">
        <v>2025</v>
      </c>
      <c r="B6751" s="6">
        <v>10</v>
      </c>
      <c r="C6751" s="6" t="s">
        <v>69</v>
      </c>
      <c r="D6751" s="6" t="s">
        <v>375</v>
      </c>
      <c r="E6751" s="6" t="s">
        <v>435</v>
      </c>
      <c r="F6751" s="6" t="str">
        <f>IF($M6751="PADD I","PADD 1",IF($M6751="PADD II","PADD 2",IF($M6751="PADD III","PADD 3",IF($M6751="PADD IV","PADD 4",IF($M6751="PADD V","PADD 5","")))))</f>
        <v>PADD 5</v>
      </c>
      <c r="G6751" s="6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6" t="s">
        <v>618</v>
      </c>
      <c r="I6751" s="6" t="s">
        <v>654</v>
      </c>
      <c r="J6751" s="6" t="s">
        <v>394</v>
      </c>
      <c r="K6751" s="10">
        <v>0.53</v>
      </c>
      <c r="L6751" s="10">
        <v>0.53</v>
      </c>
      <c r="M6751" s="6" t="s">
        <v>436</v>
      </c>
      <c r="N6751" s="6">
        <f>IF(OR($G6751="FCC",$G6751="Hydrocracker",$G6751="Reformer"),IF(COUNTIFS($D:$D,$D6751,$A:$A,$A6751,$B:$B,$B6751,$G:$G,"CDU",$J:$J,"PLANNED")&gt;0,"tied","standalone"),"")</f>
        <v/>
      </c>
    </row>
    <row r="6752" spans="1:14">
      <c r="A6752" s="6">
        <v>2025</v>
      </c>
      <c r="B6752" s="6">
        <v>10</v>
      </c>
      <c r="C6752" s="6" t="s">
        <v>69</v>
      </c>
      <c r="D6752" s="6" t="s">
        <v>928</v>
      </c>
      <c r="E6752" s="6" t="s">
        <v>502</v>
      </c>
      <c r="F6752" s="6" t="str">
        <f>IF($M6752="PADD I","PADD 1",IF($M6752="PADD II","PADD 2",IF($M6752="PADD III","PADD 3",IF($M6752="PADD IV","PADD 4",IF($M6752="PADD V","PADD 5","")))))</f>
        <v>PADD 2</v>
      </c>
      <c r="G6752" s="6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6" t="s">
        <v>485</v>
      </c>
      <c r="I6752" s="6" t="s">
        <v>491</v>
      </c>
      <c r="J6752" s="6" t="s">
        <v>394</v>
      </c>
      <c r="K6752" s="10">
        <v>0.51</v>
      </c>
      <c r="L6752" s="10">
        <v>8.5</v>
      </c>
      <c r="M6752" s="6" t="s">
        <v>425</v>
      </c>
      <c r="N6752" s="6">
        <f>IF(OR($G6752="FCC",$G6752="Hydrocracker",$G6752="Reformer"),IF(COUNTIFS($D:$D,$D6752,$A:$A,$A6752,$B:$B,$B6752,$G:$G,"CDU",$J:$J,"PLANNED")&gt;0,"tied","standalone"),"")</f>
        <v/>
      </c>
    </row>
    <row r="6753" spans="1:14">
      <c r="A6753" s="6">
        <v>2025</v>
      </c>
      <c r="B6753" s="6">
        <v>10</v>
      </c>
      <c r="C6753" s="6" t="s">
        <v>69</v>
      </c>
      <c r="D6753" s="6" t="s">
        <v>730</v>
      </c>
      <c r="E6753" s="6" t="s">
        <v>731</v>
      </c>
      <c r="F6753" s="6" t="str">
        <f>IF($M6753="PADD I","PADD 1",IF($M6753="PADD II","PADD 2",IF($M6753="PADD III","PADD 3",IF($M6753="PADD IV","PADD 4",IF($M6753="PADD V","PADD 5","")))))</f>
        <v>PADD 3</v>
      </c>
      <c r="G6753" s="6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6" t="s">
        <v>494</v>
      </c>
      <c r="I6753" s="6" t="s">
        <v>757</v>
      </c>
      <c r="J6753" s="6" t="s">
        <v>394</v>
      </c>
      <c r="K6753" s="10">
        <v>0.45</v>
      </c>
      <c r="L6753" s="10">
        <v>15</v>
      </c>
      <c r="M6753" s="6" t="s">
        <v>421</v>
      </c>
      <c r="N6753" s="6" t="str">
        <f>IF(OR($G6753="FCC",$G6753="Hydrocracker",$G6753="Reformer"),IF(COUNTIFS($D:$D,$D6753,$A:$A,$A6753,$B:$B,$B6753,$G:$G,"CDU",$J:$J,"PLANNED")&gt;0,"tied","standalone"),"")</f>
        <v>standalone</v>
      </c>
    </row>
    <row r="6754" spans="1:14">
      <c r="A6754" s="6">
        <v>2025</v>
      </c>
      <c r="B6754" s="6">
        <v>10</v>
      </c>
      <c r="C6754" s="6" t="s">
        <v>69</v>
      </c>
      <c r="D6754" s="6" t="s">
        <v>921</v>
      </c>
      <c r="E6754" s="6" t="s">
        <v>922</v>
      </c>
      <c r="F6754" s="6" t="str">
        <f>IF($M6754="PADD I","PADD 1",IF($M6754="PADD II","PADD 2",IF($M6754="PADD III","PADD 3",IF($M6754="PADD IV","PADD 4",IF($M6754="PADD V","PADD 5","")))))</f>
        <v>PADD 4</v>
      </c>
      <c r="G6754" s="6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6" t="s">
        <v>618</v>
      </c>
      <c r="I6754" s="6" t="s">
        <v>1252</v>
      </c>
      <c r="J6754" s="6" t="s">
        <v>398</v>
      </c>
      <c r="K6754" s="10">
        <v>0.45</v>
      </c>
      <c r="L6754" s="10">
        <v>1</v>
      </c>
      <c r="M6754" s="6" t="s">
        <v>480</v>
      </c>
      <c r="N6754" s="6">
        <f>IF(OR($G6754="FCC",$G6754="Hydrocracker",$G6754="Reformer"),IF(COUNTIFS($D:$D,$D6754,$A:$A,$A6754,$B:$B,$B6754,$G:$G,"CDU",$J:$J,"PLANNED")&gt;0,"tied","standalone"),"")</f>
        <v/>
      </c>
    </row>
    <row r="6755" spans="1:14">
      <c r="A6755" s="6">
        <v>2025</v>
      </c>
      <c r="B6755" s="6">
        <v>10</v>
      </c>
      <c r="C6755" s="6" t="s">
        <v>69</v>
      </c>
      <c r="D6755" s="6" t="s">
        <v>501</v>
      </c>
      <c r="E6755" s="6" t="s">
        <v>502</v>
      </c>
      <c r="F6755" s="6" t="str">
        <f>IF($M6755="PADD I","PADD 1",IF($M6755="PADD II","PADD 2",IF($M6755="PADD III","PADD 3",IF($M6755="PADD IV","PADD 4",IF($M6755="PADD V","PADD 5","")))))</f>
        <v>PADD 2</v>
      </c>
      <c r="G6755" s="6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6" t="s">
        <v>510</v>
      </c>
      <c r="I6755" s="6" t="s">
        <v>511</v>
      </c>
      <c r="J6755" s="6" t="s">
        <v>394</v>
      </c>
      <c r="K6755" s="10">
        <v>0.39</v>
      </c>
      <c r="L6755" s="10">
        <v>3</v>
      </c>
      <c r="M6755" s="6" t="s">
        <v>425</v>
      </c>
      <c r="N6755" s="6">
        <f>IF(OR($G6755="FCC",$G6755="Hydrocracker",$G6755="Reformer"),IF(COUNTIFS($D:$D,$D6755,$A:$A,$A6755,$B:$B,$B6755,$G:$G,"CDU",$J:$J,"PLANNED")&gt;0,"tied","standalone"),"")</f>
        <v/>
      </c>
    </row>
    <row r="6756" spans="1:14">
      <c r="A6756" s="6">
        <v>2025</v>
      </c>
      <c r="B6756" s="6">
        <v>10</v>
      </c>
      <c r="C6756" s="6" t="s">
        <v>69</v>
      </c>
      <c r="D6756" s="6" t="s">
        <v>49</v>
      </c>
      <c r="E6756" s="6" t="s">
        <v>438</v>
      </c>
      <c r="F6756" s="6" t="str">
        <f>IF($M6756="PADD I","PADD 1",IF($M6756="PADD II","PADD 2",IF($M6756="PADD III","PADD 3",IF($M6756="PADD IV","PADD 4",IF($M6756="PADD V","PADD 5","")))))</f>
        <v>PADD 2</v>
      </c>
      <c r="G6756" s="6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6" t="s">
        <v>485</v>
      </c>
      <c r="I6756" s="6" t="s">
        <v>681</v>
      </c>
      <c r="J6756" s="6" t="s">
        <v>394</v>
      </c>
      <c r="K6756" s="10">
        <v>0.36</v>
      </c>
      <c r="L6756" s="10">
        <v>12</v>
      </c>
      <c r="M6756" s="6" t="s">
        <v>425</v>
      </c>
      <c r="N6756" s="6">
        <f>IF(OR($G6756="FCC",$G6756="Hydrocracker",$G6756="Reformer"),IF(COUNTIFS($D:$D,$D6756,$A:$A,$A6756,$B:$B,$B6756,$G:$G,"CDU",$J:$J,"PLANNED")&gt;0,"tied","standalone"),"")</f>
        <v/>
      </c>
    </row>
    <row r="6757" spans="1:14">
      <c r="A6757" s="6">
        <v>2025</v>
      </c>
      <c r="B6757" s="6">
        <v>11</v>
      </c>
      <c r="C6757" s="6" t="s">
        <v>70</v>
      </c>
      <c r="D6757" s="6" t="s">
        <v>445</v>
      </c>
      <c r="E6757" s="6" t="s">
        <v>446</v>
      </c>
      <c r="F6757" s="6" t="str">
        <f>IF($M6757="PADD I","PADD 1",IF($M6757="PADD II","PADD 2",IF($M6757="PADD III","PADD 3",IF($M6757="PADD IV","PADD 4",IF($M6757="PADD V","PADD 5","")))))</f>
        <v>PADD 3</v>
      </c>
      <c r="G6757" s="6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6" t="s">
        <v>39</v>
      </c>
      <c r="I6757" s="6" t="s">
        <v>447</v>
      </c>
      <c r="J6757" s="6" t="s">
        <v>398</v>
      </c>
      <c r="K6757" s="10">
        <v>170.1</v>
      </c>
      <c r="L6757" s="10">
        <v>270</v>
      </c>
      <c r="M6757" s="6" t="s">
        <v>421</v>
      </c>
      <c r="N6757" s="6">
        <f>IF(OR($G6757="FCC",$G6757="Hydrocracker",$G6757="Reformer"),IF(COUNTIFS($D:$D,$D6757,$A:$A,$A6757,$B:$B,$B6757,$G:$G,"CDU",$J:$J,"PLANNED")&gt;0,"tied","standalone"),"")</f>
        <v/>
      </c>
    </row>
    <row r="6758" spans="1:14">
      <c r="A6758" s="6">
        <v>2025</v>
      </c>
      <c r="B6758" s="6">
        <v>11</v>
      </c>
      <c r="C6758" s="6" t="s">
        <v>70</v>
      </c>
      <c r="D6758" s="6" t="s">
        <v>662</v>
      </c>
      <c r="E6758" s="6" t="s">
        <v>466</v>
      </c>
      <c r="F6758" s="6" t="str">
        <f>IF($M6758="PADD I","PADD 1",IF($M6758="PADD II","PADD 2",IF($M6758="PADD III","PADD 3",IF($M6758="PADD IV","PADD 4",IF($M6758="PADD V","PADD 5","")))))</f>
        <v>PADD 3</v>
      </c>
      <c r="G6758" s="6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6" t="s">
        <v>39</v>
      </c>
      <c r="I6758" s="6" t="s">
        <v>82</v>
      </c>
      <c r="J6758" s="6" t="s">
        <v>398</v>
      </c>
      <c r="K6758" s="10">
        <v>165</v>
      </c>
      <c r="L6758" s="10">
        <v>165</v>
      </c>
      <c r="M6758" s="6" t="s">
        <v>421</v>
      </c>
      <c r="N6758" s="6">
        <f>IF(OR($G6758="FCC",$G6758="Hydrocracker",$G6758="Reformer"),IF(COUNTIFS($D:$D,$D6758,$A:$A,$A6758,$B:$B,$B6758,$G:$G,"CDU",$J:$J,"PLANNED")&gt;0,"tied","standalone"),"")</f>
        <v/>
      </c>
    </row>
    <row r="6759" spans="1:14">
      <c r="A6759" s="6">
        <v>2025</v>
      </c>
      <c r="B6759" s="6">
        <v>11</v>
      </c>
      <c r="C6759" s="6" t="s">
        <v>70</v>
      </c>
      <c r="D6759" s="6" t="s">
        <v>662</v>
      </c>
      <c r="E6759" s="6" t="s">
        <v>466</v>
      </c>
      <c r="F6759" s="6" t="str">
        <f>IF($M6759="PADD I","PADD 1",IF($M6759="PADD II","PADD 2",IF($M6759="PADD III","PADD 3",IF($M6759="PADD IV","PADD 4",IF($M6759="PADD V","PADD 5","")))))</f>
        <v>PADD 3</v>
      </c>
      <c r="G6759" s="6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6" t="s">
        <v>39</v>
      </c>
      <c r="I6759" s="6" t="s">
        <v>82</v>
      </c>
      <c r="J6759" s="6" t="s">
        <v>394</v>
      </c>
      <c r="K6759" s="10">
        <v>139.2</v>
      </c>
      <c r="L6759" s="10">
        <v>174</v>
      </c>
      <c r="M6759" s="6" t="s">
        <v>421</v>
      </c>
      <c r="N6759" s="6">
        <f>IF(OR($G6759="FCC",$G6759="Hydrocracker",$G6759="Reformer"),IF(COUNTIFS($D:$D,$D6759,$A:$A,$A6759,$B:$B,$B6759,$G:$G,"CDU",$J:$J,"PLANNED")&gt;0,"tied","standalone"),"")</f>
        <v/>
      </c>
    </row>
    <row r="6760" spans="1:14">
      <c r="A6760" s="6">
        <v>2025</v>
      </c>
      <c r="B6760" s="6">
        <v>11</v>
      </c>
      <c r="C6760" s="6" t="s">
        <v>70</v>
      </c>
      <c r="D6760" s="6" t="s">
        <v>458</v>
      </c>
      <c r="E6760" s="6" t="s">
        <v>459</v>
      </c>
      <c r="F6760" s="6" t="str">
        <f>IF($M6760="PADD I","PADD 1",IF($M6760="PADD II","PADD 2",IF($M6760="PADD III","PADD 3",IF($M6760="PADD IV","PADD 4",IF($M6760="PADD V","PADD 5","")))))</f>
        <v>PADD 3</v>
      </c>
      <c r="G6760" s="6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6" t="s">
        <v>39</v>
      </c>
      <c r="I6760" s="6" t="s">
        <v>460</v>
      </c>
      <c r="J6760" s="6" t="s">
        <v>398</v>
      </c>
      <c r="K6760" s="10">
        <v>120</v>
      </c>
      <c r="L6760" s="10">
        <v>150</v>
      </c>
      <c r="M6760" s="6" t="s">
        <v>421</v>
      </c>
      <c r="N6760" s="6">
        <f>IF(OR($G6760="FCC",$G6760="Hydrocracker",$G6760="Reformer"),IF(COUNTIFS($D:$D,$D6760,$A:$A,$A6760,$B:$B,$B6760,$G:$G,"CDU",$J:$J,"PLANNED")&gt;0,"tied","standalone"),"")</f>
        <v/>
      </c>
    </row>
    <row r="6761" spans="1:14">
      <c r="A6761" s="6">
        <v>2025</v>
      </c>
      <c r="B6761" s="6">
        <v>11</v>
      </c>
      <c r="C6761" s="6" t="s">
        <v>70</v>
      </c>
      <c r="D6761" s="6" t="s">
        <v>52</v>
      </c>
      <c r="E6761" s="6" t="s">
        <v>441</v>
      </c>
      <c r="F6761" s="6" t="str">
        <f>IF($M6761="PADD I","PADD 1",IF($M6761="PADD II","PADD 2",IF($M6761="PADD III","PADD 3",IF($M6761="PADD IV","PADD 4",IF($M6761="PADD V","PADD 5","")))))</f>
        <v>PADD 5</v>
      </c>
      <c r="G6761" s="6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6" t="s">
        <v>39</v>
      </c>
      <c r="I6761" s="6" t="s">
        <v>136</v>
      </c>
      <c r="J6761" s="6" t="s">
        <v>394</v>
      </c>
      <c r="K6761" s="10">
        <v>90</v>
      </c>
      <c r="L6761" s="10">
        <v>90</v>
      </c>
      <c r="M6761" s="6" t="s">
        <v>436</v>
      </c>
      <c r="N6761" s="6">
        <f>IF(OR($G6761="FCC",$G6761="Hydrocracker",$G6761="Reformer"),IF(COUNTIFS($D:$D,$D6761,$A:$A,$A6761,$B:$B,$B6761,$G:$G,"CDU",$J:$J,"PLANNED")&gt;0,"tied","standalone"),"")</f>
        <v/>
      </c>
    </row>
    <row r="6762" spans="1:14">
      <c r="A6762" s="6">
        <v>2025</v>
      </c>
      <c r="B6762" s="6">
        <v>11</v>
      </c>
      <c r="C6762" s="6" t="s">
        <v>70</v>
      </c>
      <c r="D6762" s="6" t="s">
        <v>507</v>
      </c>
      <c r="E6762" s="6" t="s">
        <v>438</v>
      </c>
      <c r="F6762" s="6" t="str">
        <f>IF($M6762="PADD I","PADD 1",IF($M6762="PADD II","PADD 2",IF($M6762="PADD III","PADD 3",IF($M6762="PADD IV","PADD 4",IF($M6762="PADD V","PADD 5","")))))</f>
        <v>PADD 5</v>
      </c>
      <c r="G6762" s="6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6" t="s">
        <v>44</v>
      </c>
      <c r="I6762" s="6" t="s">
        <v>1123</v>
      </c>
      <c r="J6762" s="6" t="s">
        <v>398</v>
      </c>
      <c r="K6762" s="10">
        <v>87.15000000000001</v>
      </c>
      <c r="L6762" s="10">
        <v>105</v>
      </c>
      <c r="M6762" s="6" t="s">
        <v>436</v>
      </c>
      <c r="N6762" s="6">
        <f>IF(OR($G6762="FCC",$G6762="Hydrocracker",$G6762="Reformer"),IF(COUNTIFS($D:$D,$D6762,$A:$A,$A6762,$B:$B,$B6762,$G:$G,"CDU",$J:$J,"PLANNED")&gt;0,"tied","standalone"),"")</f>
        <v/>
      </c>
    </row>
    <row r="6763" spans="1:14">
      <c r="A6763" s="6">
        <v>2025</v>
      </c>
      <c r="B6763" s="6">
        <v>11</v>
      </c>
      <c r="C6763" s="6" t="s">
        <v>70</v>
      </c>
      <c r="D6763" s="6" t="s">
        <v>507</v>
      </c>
      <c r="E6763" s="6" t="s">
        <v>438</v>
      </c>
      <c r="F6763" s="6" t="str">
        <f>IF($M6763="PADD I","PADD 1",IF($M6763="PADD II","PADD 2",IF($M6763="PADD III","PADD 3",IF($M6763="PADD IV","PADD 4",IF($M6763="PADD V","PADD 5","")))))</f>
        <v>PADD 5</v>
      </c>
      <c r="G6763" s="6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6" t="s">
        <v>426</v>
      </c>
      <c r="I6763" s="6" t="s">
        <v>106</v>
      </c>
      <c r="J6763" s="6" t="s">
        <v>398</v>
      </c>
      <c r="K6763" s="10">
        <v>86.31999999999999</v>
      </c>
      <c r="L6763" s="10">
        <v>104</v>
      </c>
      <c r="M6763" s="6" t="s">
        <v>436</v>
      </c>
      <c r="N6763" s="6" t="str">
        <f>IF(OR($G6763="FCC",$G6763="Hydrocracker",$G6763="Reformer"),IF(COUNTIFS($D:$D,$D6763,$A:$A,$A6763,$B:$B,$B6763,$G:$G,"CDU",$J:$J,"PLANNED")&gt;0,"tied","standalone"),"")</f>
        <v>standalone</v>
      </c>
    </row>
    <row r="6764" spans="1:14">
      <c r="A6764" s="6">
        <v>2025</v>
      </c>
      <c r="B6764" s="6">
        <v>11</v>
      </c>
      <c r="C6764" s="6" t="s">
        <v>70</v>
      </c>
      <c r="D6764" s="6" t="s">
        <v>662</v>
      </c>
      <c r="E6764" s="6" t="s">
        <v>466</v>
      </c>
      <c r="F6764" s="6" t="str">
        <f>IF($M6764="PADD I","PADD 1",IF($M6764="PADD II","PADD 2",IF($M6764="PADD III","PADD 3",IF($M6764="PADD IV","PADD 4",IF($M6764="PADD V","PADD 5","")))))</f>
        <v>PADD 3</v>
      </c>
      <c r="G6764" s="6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6" t="s">
        <v>428</v>
      </c>
      <c r="I6764" s="6" t="s">
        <v>481</v>
      </c>
      <c r="J6764" s="6" t="s">
        <v>398</v>
      </c>
      <c r="K6764" s="10">
        <v>80</v>
      </c>
      <c r="L6764" s="10">
        <v>80</v>
      </c>
      <c r="M6764" s="6" t="s">
        <v>421</v>
      </c>
      <c r="N6764" s="6">
        <f>IF(OR($G6764="FCC",$G6764="Hydrocracker",$G6764="Reformer"),IF(COUNTIFS($D:$D,$D6764,$A:$A,$A6764,$B:$B,$B6764,$G:$G,"CDU",$J:$J,"PLANNED")&gt;0,"tied","standalone"),"")</f>
        <v/>
      </c>
    </row>
    <row r="6765" spans="1:14">
      <c r="A6765" s="6">
        <v>2025</v>
      </c>
      <c r="B6765" s="6">
        <v>11</v>
      </c>
      <c r="C6765" s="6" t="s">
        <v>70</v>
      </c>
      <c r="D6765" s="6" t="s">
        <v>375</v>
      </c>
      <c r="E6765" s="6" t="s">
        <v>435</v>
      </c>
      <c r="F6765" s="6" t="str">
        <f>IF($M6765="PADD I","PADD 1",IF($M6765="PADD II","PADD 2",IF($M6765="PADD III","PADD 3",IF($M6765="PADD IV","PADD 4",IF($M6765="PADD V","PADD 5","")))))</f>
        <v>PADD 5</v>
      </c>
      <c r="G6765" s="6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6" t="s">
        <v>44</v>
      </c>
      <c r="I6765" s="6" t="s">
        <v>1335</v>
      </c>
      <c r="J6765" s="6" t="s">
        <v>394</v>
      </c>
      <c r="K6765" s="10">
        <v>77.5</v>
      </c>
      <c r="L6765" s="10">
        <v>77.5</v>
      </c>
      <c r="M6765" s="6" t="s">
        <v>436</v>
      </c>
      <c r="N6765" s="6">
        <f>IF(OR($G6765="FCC",$G6765="Hydrocracker",$G6765="Reformer"),IF(COUNTIFS($D:$D,$D6765,$A:$A,$A6765,$B:$B,$B6765,$G:$G,"CDU",$J:$J,"PLANNED")&gt;0,"tied","standalone"),"")</f>
        <v/>
      </c>
    </row>
    <row r="6766" spans="1:14">
      <c r="A6766" s="6">
        <v>2025</v>
      </c>
      <c r="B6766" s="6">
        <v>11</v>
      </c>
      <c r="C6766" s="6" t="s">
        <v>70</v>
      </c>
      <c r="D6766" s="6" t="s">
        <v>445</v>
      </c>
      <c r="E6766" s="6" t="s">
        <v>446</v>
      </c>
      <c r="F6766" s="6" t="str">
        <f>IF($M6766="PADD I","PADD 1",IF($M6766="PADD II","PADD 2",IF($M6766="PADD III","PADD 3",IF($M6766="PADD IV","PADD 4",IF($M6766="PADD V","PADD 5","")))))</f>
        <v>PADD 3</v>
      </c>
      <c r="G6766" s="6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6" t="s">
        <v>428</v>
      </c>
      <c r="I6766" s="6" t="s">
        <v>524</v>
      </c>
      <c r="J6766" s="6" t="s">
        <v>398</v>
      </c>
      <c r="K6766" s="10">
        <v>72.45</v>
      </c>
      <c r="L6766" s="10">
        <v>115</v>
      </c>
      <c r="M6766" s="6" t="s">
        <v>421</v>
      </c>
      <c r="N6766" s="6">
        <f>IF(OR($G6766="FCC",$G6766="Hydrocracker",$G6766="Reformer"),IF(COUNTIFS($D:$D,$D6766,$A:$A,$A6766,$B:$B,$B6766,$G:$G,"CDU",$J:$J,"PLANNED")&gt;0,"tied","standalone"),"")</f>
        <v/>
      </c>
    </row>
    <row r="6767" spans="1:14">
      <c r="A6767" s="6">
        <v>2025</v>
      </c>
      <c r="B6767" s="6">
        <v>11</v>
      </c>
      <c r="C6767" s="6" t="s">
        <v>70</v>
      </c>
      <c r="D6767" s="6" t="s">
        <v>375</v>
      </c>
      <c r="E6767" s="6" t="s">
        <v>435</v>
      </c>
      <c r="F6767" s="6" t="str">
        <f>IF($M6767="PADD I","PADD 1",IF($M6767="PADD II","PADD 2",IF($M6767="PADD III","PADD 3",IF($M6767="PADD IV","PADD 4",IF($M6767="PADD V","PADD 5","")))))</f>
        <v>PADD 5</v>
      </c>
      <c r="G6767" s="6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6" t="s">
        <v>426</v>
      </c>
      <c r="I6767" s="6" t="s">
        <v>554</v>
      </c>
      <c r="J6767" s="6" t="s">
        <v>394</v>
      </c>
      <c r="K6767" s="10">
        <v>70</v>
      </c>
      <c r="L6767" s="10">
        <v>70</v>
      </c>
      <c r="M6767" s="6" t="s">
        <v>436</v>
      </c>
      <c r="N6767" s="6" t="str">
        <f>IF(OR($G6767="FCC",$G6767="Hydrocracker",$G6767="Reformer"),IF(COUNTIFS($D:$D,$D6767,$A:$A,$A6767,$B:$B,$B6767,$G:$G,"CDU",$J:$J,"PLANNED")&gt;0,"tied","standalone"),"")</f>
        <v>standalone</v>
      </c>
    </row>
    <row r="6768" spans="1:14">
      <c r="A6768" s="6">
        <v>2025</v>
      </c>
      <c r="B6768" s="6">
        <v>11</v>
      </c>
      <c r="C6768" s="6" t="s">
        <v>70</v>
      </c>
      <c r="D6768" s="6" t="s">
        <v>662</v>
      </c>
      <c r="E6768" s="6" t="s">
        <v>466</v>
      </c>
      <c r="F6768" s="6" t="str">
        <f>IF($M6768="PADD I","PADD 1",IF($M6768="PADD II","PADD 2",IF($M6768="PADD III","PADD 3",IF($M6768="PADD IV","PADD 4",IF($M6768="PADD V","PADD 5","")))))</f>
        <v>PADD 3</v>
      </c>
      <c r="G6768" s="6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6" t="s">
        <v>428</v>
      </c>
      <c r="I6768" s="6" t="s">
        <v>481</v>
      </c>
      <c r="J6768" s="6" t="s">
        <v>394</v>
      </c>
      <c r="K6768" s="10">
        <v>68.23999999999999</v>
      </c>
      <c r="L6768" s="10">
        <v>85.3</v>
      </c>
      <c r="M6768" s="6" t="s">
        <v>421</v>
      </c>
      <c r="N6768" s="6">
        <f>IF(OR($G6768="FCC",$G6768="Hydrocracker",$G6768="Reformer"),IF(COUNTIFS($D:$D,$D6768,$A:$A,$A6768,$B:$B,$B6768,$G:$G,"CDU",$J:$J,"PLANNED")&gt;0,"tied","standalone"),"")</f>
        <v/>
      </c>
    </row>
    <row r="6769" spans="1:14">
      <c r="A6769" s="6">
        <v>2025</v>
      </c>
      <c r="B6769" s="6">
        <v>11</v>
      </c>
      <c r="C6769" s="6" t="s">
        <v>70</v>
      </c>
      <c r="D6769" s="6" t="s">
        <v>384</v>
      </c>
      <c r="E6769" s="6" t="s">
        <v>419</v>
      </c>
      <c r="F6769" s="6" t="str">
        <f>IF($M6769="PADD I","PADD 1",IF($M6769="PADD II","PADD 2",IF($M6769="PADD III","PADD 3",IF($M6769="PADD IV","PADD 4",IF($M6769="PADD V","PADD 5","")))))</f>
        <v>PADD 3</v>
      </c>
      <c r="G6769" s="6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6" t="s">
        <v>426</v>
      </c>
      <c r="I6769" s="6" t="s">
        <v>142</v>
      </c>
      <c r="J6769" s="6" t="s">
        <v>398</v>
      </c>
      <c r="K6769" s="10">
        <v>64.73999999999999</v>
      </c>
      <c r="L6769" s="10">
        <v>78</v>
      </c>
      <c r="M6769" s="6" t="s">
        <v>421</v>
      </c>
      <c r="N6769" s="6" t="str">
        <f>IF(OR($G6769="FCC",$G6769="Hydrocracker",$G6769="Reformer"),IF(COUNTIFS($D:$D,$D6769,$A:$A,$A6769,$B:$B,$B6769,$G:$G,"CDU",$J:$J,"PLANNED")&gt;0,"tied","standalone"),"")</f>
        <v>standalone</v>
      </c>
    </row>
    <row r="6770" spans="1:14">
      <c r="A6770" s="6">
        <v>2025</v>
      </c>
      <c r="B6770" s="6">
        <v>11</v>
      </c>
      <c r="C6770" s="6" t="s">
        <v>70</v>
      </c>
      <c r="D6770" s="6" t="s">
        <v>378</v>
      </c>
      <c r="E6770" s="6" t="s">
        <v>477</v>
      </c>
      <c r="F6770" s="6" t="str">
        <f>IF($M6770="PADD I","PADD 1",IF($M6770="PADD II","PADD 2",IF($M6770="PADD III","PADD 3",IF($M6770="PADD IV","PADD 4",IF($M6770="PADD V","PADD 5","")))))</f>
        <v>PADD 3</v>
      </c>
      <c r="G6770" s="6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6" t="s">
        <v>39</v>
      </c>
      <c r="I6770" s="6" t="s">
        <v>379</v>
      </c>
      <c r="J6770" s="6" t="s">
        <v>398</v>
      </c>
      <c r="K6770" s="10">
        <v>64.31999999999999</v>
      </c>
      <c r="L6770" s="10">
        <v>96</v>
      </c>
      <c r="M6770" s="6" t="s">
        <v>421</v>
      </c>
      <c r="N6770" s="6">
        <f>IF(OR($G6770="FCC",$G6770="Hydrocracker",$G6770="Reformer"),IF(COUNTIFS($D:$D,$D6770,$A:$A,$A6770,$B:$B,$B6770,$G:$G,"CDU",$J:$J,"PLANNED")&gt;0,"tied","standalone"),"")</f>
        <v/>
      </c>
    </row>
    <row r="6771" spans="1:14">
      <c r="A6771" s="6">
        <v>2025</v>
      </c>
      <c r="B6771" s="6">
        <v>11</v>
      </c>
      <c r="C6771" s="6" t="s">
        <v>70</v>
      </c>
      <c r="D6771" s="6" t="s">
        <v>445</v>
      </c>
      <c r="E6771" s="6" t="s">
        <v>446</v>
      </c>
      <c r="F6771" s="6" t="str">
        <f>IF($M6771="PADD I","PADD 1",IF($M6771="PADD II","PADD 2",IF($M6771="PADD III","PADD 3",IF($M6771="PADD IV","PADD 4",IF($M6771="PADD V","PADD 5","")))))</f>
        <v>PADD 3</v>
      </c>
      <c r="G6771" s="6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6" t="s">
        <v>485</v>
      </c>
      <c r="I6771" s="6" t="s">
        <v>491</v>
      </c>
      <c r="J6771" s="6" t="s">
        <v>398</v>
      </c>
      <c r="K6771" s="10">
        <v>57.96</v>
      </c>
      <c r="L6771" s="10">
        <v>92</v>
      </c>
      <c r="M6771" s="6" t="s">
        <v>421</v>
      </c>
      <c r="N6771" s="6">
        <f>IF(OR($G6771="FCC",$G6771="Hydrocracker",$G6771="Reformer"),IF(COUNTIFS($D:$D,$D6771,$A:$A,$A6771,$B:$B,$B6771,$G:$G,"CDU",$J:$J,"PLANNED")&gt;0,"tied","standalone"),"")</f>
        <v/>
      </c>
    </row>
    <row r="6772" spans="1:14">
      <c r="A6772" s="6">
        <v>2025</v>
      </c>
      <c r="B6772" s="6">
        <v>11</v>
      </c>
      <c r="C6772" s="6" t="s">
        <v>70</v>
      </c>
      <c r="D6772" s="6" t="s">
        <v>375</v>
      </c>
      <c r="E6772" s="6" t="s">
        <v>435</v>
      </c>
      <c r="F6772" s="6" t="str">
        <f>IF($M6772="PADD I","PADD 1",IF($M6772="PADD II","PADD 2",IF($M6772="PADD III","PADD 3",IF($M6772="PADD IV","PADD 4",IF($M6772="PADD V","PADD 5","")))))</f>
        <v>PADD 5</v>
      </c>
      <c r="G6772" s="6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6" t="s">
        <v>39</v>
      </c>
      <c r="I6772" s="6" t="s">
        <v>94</v>
      </c>
      <c r="J6772" s="6" t="s">
        <v>394</v>
      </c>
      <c r="K6772" s="10">
        <v>54.25</v>
      </c>
      <c r="L6772" s="10">
        <v>54.25</v>
      </c>
      <c r="M6772" s="6" t="s">
        <v>436</v>
      </c>
      <c r="N6772" s="6">
        <f>IF(OR($G6772="FCC",$G6772="Hydrocracker",$G6772="Reformer"),IF(COUNTIFS($D:$D,$D6772,$A:$A,$A6772,$B:$B,$B6772,$G:$G,"CDU",$J:$J,"PLANNED")&gt;0,"tied","standalone"),"")</f>
        <v/>
      </c>
    </row>
    <row r="6773" spans="1:14">
      <c r="A6773" s="6">
        <v>2025</v>
      </c>
      <c r="B6773" s="6">
        <v>11</v>
      </c>
      <c r="C6773" s="6" t="s">
        <v>70</v>
      </c>
      <c r="D6773" s="6" t="s">
        <v>597</v>
      </c>
      <c r="E6773" s="6" t="s">
        <v>441</v>
      </c>
      <c r="F6773" s="6" t="str">
        <f>IF($M6773="PADD I","PADD 1",IF($M6773="PADD II","PADD 2",IF($M6773="PADD III","PADD 3",IF($M6773="PADD IV","PADD 4",IF($M6773="PADD V","PADD 5","")))))</f>
        <v>PADD 5</v>
      </c>
      <c r="G6773" s="6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6" t="s">
        <v>426</v>
      </c>
      <c r="I6773" s="6" t="s">
        <v>106</v>
      </c>
      <c r="J6773" s="6" t="s">
        <v>394</v>
      </c>
      <c r="K6773" s="10">
        <v>53.6</v>
      </c>
      <c r="L6773" s="10">
        <v>80</v>
      </c>
      <c r="M6773" s="6" t="s">
        <v>436</v>
      </c>
      <c r="N6773" s="6" t="str">
        <f>IF(OR($G6773="FCC",$G6773="Hydrocracker",$G6773="Reformer"),IF(COUNTIFS($D:$D,$D6773,$A:$A,$A6773,$B:$B,$B6773,$G:$G,"CDU",$J:$J,"PLANNED")&gt;0,"tied","standalone"),"")</f>
        <v>standalone</v>
      </c>
    </row>
    <row r="6774" spans="1:14">
      <c r="A6774" s="6">
        <v>2025</v>
      </c>
      <c r="B6774" s="6">
        <v>11</v>
      </c>
      <c r="C6774" s="6" t="s">
        <v>70</v>
      </c>
      <c r="D6774" s="6" t="s">
        <v>592</v>
      </c>
      <c r="E6774" s="6" t="s">
        <v>593</v>
      </c>
      <c r="F6774" s="6" t="str">
        <f>IF($M6774="PADD I","PADD 1",IF($M6774="PADD II","PADD 2",IF($M6774="PADD III","PADD 3",IF($M6774="PADD IV","PADD 4",IF($M6774="PADD V","PADD 5","")))))</f>
        <v>PADD 2</v>
      </c>
      <c r="G6774" s="6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6" t="s">
        <v>426</v>
      </c>
      <c r="I6774" s="6" t="s">
        <v>1163</v>
      </c>
      <c r="J6774" s="6" t="s">
        <v>398</v>
      </c>
      <c r="K6774" s="10">
        <v>52</v>
      </c>
      <c r="L6774" s="10">
        <v>65</v>
      </c>
      <c r="M6774" s="6" t="s">
        <v>425</v>
      </c>
      <c r="N6774" s="6" t="str">
        <f>IF(OR($G6774="FCC",$G6774="Hydrocracker",$G6774="Reformer"),IF(COUNTIFS($D:$D,$D6774,$A:$A,$A6774,$B:$B,$B6774,$G:$G,"CDU",$J:$J,"PLANNED")&gt;0,"tied","standalone"),"")</f>
        <v>tied</v>
      </c>
    </row>
    <row r="6775" spans="1:14">
      <c r="A6775" s="6">
        <v>2025</v>
      </c>
      <c r="B6775" s="6">
        <v>11</v>
      </c>
      <c r="C6775" s="6" t="s">
        <v>70</v>
      </c>
      <c r="D6775" s="6" t="s">
        <v>458</v>
      </c>
      <c r="E6775" s="6" t="s">
        <v>459</v>
      </c>
      <c r="F6775" s="6" t="str">
        <f>IF($M6775="PADD I","PADD 1",IF($M6775="PADD II","PADD 2",IF($M6775="PADD III","PADD 3",IF($M6775="PADD IV","PADD 4",IF($M6775="PADD V","PADD 5","")))))</f>
        <v>PADD 3</v>
      </c>
      <c r="G6775" s="6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6" t="s">
        <v>485</v>
      </c>
      <c r="I6775" s="6" t="s">
        <v>509</v>
      </c>
      <c r="J6775" s="6" t="s">
        <v>398</v>
      </c>
      <c r="K6775" s="10">
        <v>48</v>
      </c>
      <c r="L6775" s="10">
        <v>60</v>
      </c>
      <c r="M6775" s="6" t="s">
        <v>421</v>
      </c>
      <c r="N6775" s="6">
        <f>IF(OR($G6775="FCC",$G6775="Hydrocracker",$G6775="Reformer"),IF(COUNTIFS($D:$D,$D6775,$A:$A,$A6775,$B:$B,$B6775,$G:$G,"CDU",$J:$J,"PLANNED")&gt;0,"tied","standalone"),"")</f>
        <v/>
      </c>
    </row>
    <row r="6776" spans="1:14">
      <c r="A6776" s="6">
        <v>2025</v>
      </c>
      <c r="B6776" s="6">
        <v>11</v>
      </c>
      <c r="C6776" s="6" t="s">
        <v>70</v>
      </c>
      <c r="D6776" s="6" t="s">
        <v>458</v>
      </c>
      <c r="E6776" s="6" t="s">
        <v>459</v>
      </c>
      <c r="F6776" s="6" t="str">
        <f>IF($M6776="PADD I","PADD 1",IF($M6776="PADD II","PADD 2",IF($M6776="PADD III","PADD 3",IF($M6776="PADD IV","PADD 4",IF($M6776="PADD V","PADD 5","")))))</f>
        <v>PADD 3</v>
      </c>
      <c r="G6776" s="6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6" t="s">
        <v>428</v>
      </c>
      <c r="I6776" s="6" t="s">
        <v>539</v>
      </c>
      <c r="J6776" s="6" t="s">
        <v>398</v>
      </c>
      <c r="K6776" s="10">
        <v>48</v>
      </c>
      <c r="L6776" s="10">
        <v>60</v>
      </c>
      <c r="M6776" s="6" t="s">
        <v>421</v>
      </c>
      <c r="N6776" s="6">
        <f>IF(OR($G6776="FCC",$G6776="Hydrocracker",$G6776="Reformer"),IF(COUNTIFS($D:$D,$D6776,$A:$A,$A6776,$B:$B,$B6776,$G:$G,"CDU",$J:$J,"PLANNED")&gt;0,"tied","standalone"),"")</f>
        <v/>
      </c>
    </row>
    <row r="6777" spans="1:14">
      <c r="A6777" s="6">
        <v>2025</v>
      </c>
      <c r="B6777" s="6">
        <v>11</v>
      </c>
      <c r="C6777" s="6" t="s">
        <v>70</v>
      </c>
      <c r="D6777" s="6" t="s">
        <v>52</v>
      </c>
      <c r="E6777" s="6" t="s">
        <v>441</v>
      </c>
      <c r="F6777" s="6" t="str">
        <f>IF($M6777="PADD I","PADD 1",IF($M6777="PADD II","PADD 2",IF($M6777="PADD III","PADD 3",IF($M6777="PADD IV","PADD 4",IF($M6777="PADD V","PADD 5","")))))</f>
        <v>PADD 5</v>
      </c>
      <c r="G6777" s="6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6" t="s">
        <v>471</v>
      </c>
      <c r="I6777" s="6" t="s">
        <v>589</v>
      </c>
      <c r="J6777" s="6" t="s">
        <v>394</v>
      </c>
      <c r="K6777" s="10">
        <v>48</v>
      </c>
      <c r="L6777" s="10">
        <v>60</v>
      </c>
      <c r="M6777" s="6" t="s">
        <v>436</v>
      </c>
      <c r="N6777" s="6" t="str">
        <f>IF(OR($G6777="FCC",$G6777="Hydrocracker",$G6777="Reformer"),IF(COUNTIFS($D:$D,$D6777,$A:$A,$A6777,$B:$B,$B6777,$G:$G,"CDU",$J:$J,"PLANNED")&gt;0,"tied","standalone"),"")</f>
        <v>standalone</v>
      </c>
    </row>
    <row r="6778" spans="1:14">
      <c r="A6778" s="6">
        <v>2025</v>
      </c>
      <c r="B6778" s="6">
        <v>11</v>
      </c>
      <c r="C6778" s="6" t="s">
        <v>70</v>
      </c>
      <c r="D6778" s="6" t="s">
        <v>445</v>
      </c>
      <c r="E6778" s="6" t="s">
        <v>446</v>
      </c>
      <c r="F6778" s="6" t="str">
        <f>IF($M6778="PADD I","PADD 1",IF($M6778="PADD II","PADD 2",IF($M6778="PADD III","PADD 3",IF($M6778="PADD IV","PADD 4",IF($M6778="PADD V","PADD 5","")))))</f>
        <v>PADD 3</v>
      </c>
      <c r="G6778" s="6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6" t="s">
        <v>44</v>
      </c>
      <c r="I6778" s="6" t="s">
        <v>549</v>
      </c>
      <c r="J6778" s="6" t="s">
        <v>398</v>
      </c>
      <c r="K6778" s="10">
        <v>45.36</v>
      </c>
      <c r="L6778" s="10">
        <v>72</v>
      </c>
      <c r="M6778" s="6" t="s">
        <v>421</v>
      </c>
      <c r="N6778" s="6">
        <f>IF(OR($G6778="FCC",$G6778="Hydrocracker",$G6778="Reformer"),IF(COUNTIFS($D:$D,$D6778,$A:$A,$A6778,$B:$B,$B6778,$G:$G,"CDU",$J:$J,"PLANNED")&gt;0,"tied","standalone"),"")</f>
        <v/>
      </c>
    </row>
    <row r="6779" spans="1:14">
      <c r="A6779" s="6">
        <v>2025</v>
      </c>
      <c r="B6779" s="6">
        <v>11</v>
      </c>
      <c r="C6779" s="6" t="s">
        <v>70</v>
      </c>
      <c r="D6779" s="6" t="s">
        <v>445</v>
      </c>
      <c r="E6779" s="6" t="s">
        <v>446</v>
      </c>
      <c r="F6779" s="6" t="str">
        <f>IF($M6779="PADD I","PADD 1",IF($M6779="PADD II","PADD 2",IF($M6779="PADD III","PADD 3",IF($M6779="PADD IV","PADD 4",IF($M6779="PADD V","PADD 5","")))))</f>
        <v>PADD 3</v>
      </c>
      <c r="G6779" s="6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6" t="s">
        <v>494</v>
      </c>
      <c r="I6779" s="6" t="s">
        <v>562</v>
      </c>
      <c r="J6779" s="6" t="s">
        <v>398</v>
      </c>
      <c r="K6779" s="10">
        <v>44.1</v>
      </c>
      <c r="L6779" s="10">
        <v>70</v>
      </c>
      <c r="M6779" s="6" t="s">
        <v>421</v>
      </c>
      <c r="N6779" s="6" t="str">
        <f>IF(OR($G6779="FCC",$G6779="Hydrocracker",$G6779="Reformer"),IF(COUNTIFS($D:$D,$D6779,$A:$A,$A6779,$B:$B,$B6779,$G:$G,"CDU",$J:$J,"PLANNED")&gt;0,"tied","standalone"),"")</f>
        <v>tied</v>
      </c>
    </row>
    <row r="6780" spans="1:14">
      <c r="A6780" s="6">
        <v>2025</v>
      </c>
      <c r="B6780" s="6">
        <v>11</v>
      </c>
      <c r="C6780" s="6" t="s">
        <v>70</v>
      </c>
      <c r="D6780" s="6" t="s">
        <v>662</v>
      </c>
      <c r="E6780" s="6" t="s">
        <v>466</v>
      </c>
      <c r="F6780" s="6" t="str">
        <f>IF($M6780="PADD I","PADD 1",IF($M6780="PADD II","PADD 2",IF($M6780="PADD III","PADD 3",IF($M6780="PADD IV","PADD 4",IF($M6780="PADD V","PADD 5","")))))</f>
        <v>PADD 3</v>
      </c>
      <c r="G6780" s="6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6" t="s">
        <v>485</v>
      </c>
      <c r="I6780" s="6" t="s">
        <v>491</v>
      </c>
      <c r="J6780" s="6" t="s">
        <v>394</v>
      </c>
      <c r="K6780" s="10">
        <v>44</v>
      </c>
      <c r="L6780" s="10">
        <v>44</v>
      </c>
      <c r="M6780" s="6" t="s">
        <v>421</v>
      </c>
      <c r="N6780" s="6">
        <f>IF(OR($G6780="FCC",$G6780="Hydrocracker",$G6780="Reformer"),IF(COUNTIFS($D:$D,$D6780,$A:$A,$A6780,$B:$B,$B6780,$G:$G,"CDU",$J:$J,"PLANNED")&gt;0,"tied","standalone"),"")</f>
        <v/>
      </c>
    </row>
    <row r="6781" spans="1:14">
      <c r="A6781" s="6">
        <v>2025</v>
      </c>
      <c r="B6781" s="6">
        <v>11</v>
      </c>
      <c r="C6781" s="6" t="s">
        <v>70</v>
      </c>
      <c r="D6781" s="6" t="s">
        <v>375</v>
      </c>
      <c r="E6781" s="6" t="s">
        <v>435</v>
      </c>
      <c r="F6781" s="6" t="str">
        <f>IF($M6781="PADD I","PADD 1",IF($M6781="PADD II","PADD 2",IF($M6781="PADD III","PADD 3",IF($M6781="PADD IV","PADD 4",IF($M6781="PADD V","PADD 5","")))))</f>
        <v>PADD 5</v>
      </c>
      <c r="G6781" s="6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6" t="s">
        <v>494</v>
      </c>
      <c r="I6781" s="6" t="s">
        <v>548</v>
      </c>
      <c r="J6781" s="6" t="s">
        <v>394</v>
      </c>
      <c r="K6781" s="10">
        <v>42</v>
      </c>
      <c r="L6781" s="10">
        <v>42</v>
      </c>
      <c r="M6781" s="6" t="s">
        <v>436</v>
      </c>
      <c r="N6781" s="6" t="str">
        <f>IF(OR($G6781="FCC",$G6781="Hydrocracker",$G6781="Reformer"),IF(COUNTIFS($D:$D,$D6781,$A:$A,$A6781,$B:$B,$B6781,$G:$G,"CDU",$J:$J,"PLANNED")&gt;0,"tied","standalone"),"")</f>
        <v>standalone</v>
      </c>
    </row>
    <row r="6782" spans="1:14">
      <c r="A6782" s="6">
        <v>2025</v>
      </c>
      <c r="B6782" s="6">
        <v>11</v>
      </c>
      <c r="C6782" s="6" t="s">
        <v>70</v>
      </c>
      <c r="D6782" s="6" t="s">
        <v>458</v>
      </c>
      <c r="E6782" s="6" t="s">
        <v>459</v>
      </c>
      <c r="F6782" s="6" t="str">
        <f>IF($M6782="PADD I","PADD 1",IF($M6782="PADD II","PADD 2",IF($M6782="PADD III","PADD 3",IF($M6782="PADD IV","PADD 4",IF($M6782="PADD V","PADD 5","")))))</f>
        <v>PADD 3</v>
      </c>
      <c r="G6782" s="6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6" t="s">
        <v>428</v>
      </c>
      <c r="I6782" s="6" t="s">
        <v>556</v>
      </c>
      <c r="J6782" s="6" t="s">
        <v>398</v>
      </c>
      <c r="K6782" s="10">
        <v>40.8</v>
      </c>
      <c r="L6782" s="10">
        <v>51</v>
      </c>
      <c r="M6782" s="6" t="s">
        <v>421</v>
      </c>
      <c r="N6782" s="6">
        <f>IF(OR($G6782="FCC",$G6782="Hydrocracker",$G6782="Reformer"),IF(COUNTIFS($D:$D,$D6782,$A:$A,$A6782,$B:$B,$B6782,$G:$G,"CDU",$J:$J,"PLANNED")&gt;0,"tied","standalone"),"")</f>
        <v/>
      </c>
    </row>
    <row r="6783" spans="1:14">
      <c r="A6783" s="6">
        <v>2025</v>
      </c>
      <c r="B6783" s="6">
        <v>11</v>
      </c>
      <c r="C6783" s="6" t="s">
        <v>70</v>
      </c>
      <c r="D6783" s="6" t="s">
        <v>371</v>
      </c>
      <c r="E6783" s="6" t="s">
        <v>419</v>
      </c>
      <c r="F6783" s="6" t="str">
        <f>IF($M6783="PADD I","PADD 1",IF($M6783="PADD II","PADD 2",IF($M6783="PADD III","PADD 3",IF($M6783="PADD IV","PADD 4",IF($M6783="PADD V","PADD 5","")))))</f>
        <v>PADD 2</v>
      </c>
      <c r="G6783" s="6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6" t="s">
        <v>471</v>
      </c>
      <c r="I6783" s="6" t="s">
        <v>735</v>
      </c>
      <c r="J6783" s="6" t="s">
        <v>398</v>
      </c>
      <c r="K6783" s="10">
        <v>38.5</v>
      </c>
      <c r="L6783" s="10">
        <v>50</v>
      </c>
      <c r="M6783" s="6" t="s">
        <v>425</v>
      </c>
      <c r="N6783" s="6" t="str">
        <f>IF(OR($G6783="FCC",$G6783="Hydrocracker",$G6783="Reformer"),IF(COUNTIFS($D:$D,$D6783,$A:$A,$A6783,$B:$B,$B6783,$G:$G,"CDU",$J:$J,"PLANNED")&gt;0,"tied","standalone"),"")</f>
        <v>standalone</v>
      </c>
    </row>
    <row r="6784" spans="1:14">
      <c r="A6784" s="6">
        <v>2025</v>
      </c>
      <c r="B6784" s="6">
        <v>11</v>
      </c>
      <c r="C6784" s="6" t="s">
        <v>70</v>
      </c>
      <c r="D6784" s="6" t="s">
        <v>52</v>
      </c>
      <c r="E6784" s="6" t="s">
        <v>441</v>
      </c>
      <c r="F6784" s="6" t="str">
        <f>IF($M6784="PADD I","PADD 1",IF($M6784="PADD II","PADD 2",IF($M6784="PADD III","PADD 3",IF($M6784="PADD IV","PADD 4",IF($M6784="PADD V","PADD 5","")))))</f>
        <v>PADD 5</v>
      </c>
      <c r="G6784" s="6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6" t="s">
        <v>428</v>
      </c>
      <c r="I6784" s="6" t="s">
        <v>1085</v>
      </c>
      <c r="J6784" s="6" t="s">
        <v>394</v>
      </c>
      <c r="K6784" s="10">
        <v>37.52</v>
      </c>
      <c r="L6784" s="10">
        <v>56</v>
      </c>
      <c r="M6784" s="6" t="s">
        <v>436</v>
      </c>
      <c r="N6784" s="6">
        <f>IF(OR($G6784="FCC",$G6784="Hydrocracker",$G6784="Reformer"),IF(COUNTIFS($D:$D,$D6784,$A:$A,$A6784,$B:$B,$B6784,$G:$G,"CDU",$J:$J,"PLANNED")&gt;0,"tied","standalone"),"")</f>
        <v/>
      </c>
    </row>
    <row r="6785" spans="1:14">
      <c r="A6785" s="6">
        <v>2025</v>
      </c>
      <c r="B6785" s="6">
        <v>11</v>
      </c>
      <c r="C6785" s="6" t="s">
        <v>70</v>
      </c>
      <c r="D6785" s="6" t="s">
        <v>458</v>
      </c>
      <c r="E6785" s="6" t="s">
        <v>459</v>
      </c>
      <c r="F6785" s="6" t="str">
        <f>IF($M6785="PADD I","PADD 1",IF($M6785="PADD II","PADD 2",IF($M6785="PADD III","PADD 3",IF($M6785="PADD IV","PADD 4",IF($M6785="PADD V","PADD 5","")))))</f>
        <v>PADD 3</v>
      </c>
      <c r="G6785" s="6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6" t="s">
        <v>39</v>
      </c>
      <c r="I6785" s="6" t="s">
        <v>572</v>
      </c>
      <c r="J6785" s="6" t="s">
        <v>398</v>
      </c>
      <c r="K6785" s="10">
        <v>32</v>
      </c>
      <c r="L6785" s="10">
        <v>40</v>
      </c>
      <c r="M6785" s="6" t="s">
        <v>421</v>
      </c>
      <c r="N6785" s="6">
        <f>IF(OR($G6785="FCC",$G6785="Hydrocracker",$G6785="Reformer"),IF(COUNTIFS($D:$D,$D6785,$A:$A,$A6785,$B:$B,$B6785,$G:$G,"CDU",$J:$J,"PLANNED")&gt;0,"tied","standalone"),"")</f>
        <v/>
      </c>
    </row>
    <row r="6786" spans="1:14">
      <c r="A6786" s="6">
        <v>2025</v>
      </c>
      <c r="B6786" s="6">
        <v>11</v>
      </c>
      <c r="C6786" s="6" t="s">
        <v>70</v>
      </c>
      <c r="D6786" s="6" t="s">
        <v>375</v>
      </c>
      <c r="E6786" s="6" t="s">
        <v>435</v>
      </c>
      <c r="F6786" s="6" t="str">
        <f>IF($M6786="PADD I","PADD 1",IF($M6786="PADD II","PADD 2",IF($M6786="PADD III","PADD 3",IF($M6786="PADD IV","PADD 4",IF($M6786="PADD V","PADD 5","")))))</f>
        <v>PADD 5</v>
      </c>
      <c r="G6786" s="6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6" t="s">
        <v>428</v>
      </c>
      <c r="I6786" s="6" t="s">
        <v>481</v>
      </c>
      <c r="J6786" s="6" t="s">
        <v>394</v>
      </c>
      <c r="K6786" s="10">
        <v>31.5</v>
      </c>
      <c r="L6786" s="10">
        <v>31.5</v>
      </c>
      <c r="M6786" s="6" t="s">
        <v>436</v>
      </c>
      <c r="N6786" s="6">
        <f>IF(OR($G6786="FCC",$G6786="Hydrocracker",$G6786="Reformer"),IF(COUNTIFS($D:$D,$D6786,$A:$A,$A6786,$B:$B,$B6786,$G:$G,"CDU",$J:$J,"PLANNED")&gt;0,"tied","standalone"),"")</f>
        <v/>
      </c>
    </row>
    <row r="6787" spans="1:14">
      <c r="A6787" s="6">
        <v>2025</v>
      </c>
      <c r="B6787" s="6">
        <v>11</v>
      </c>
      <c r="C6787" s="6" t="s">
        <v>70</v>
      </c>
      <c r="D6787" s="6" t="s">
        <v>445</v>
      </c>
      <c r="E6787" s="6" t="s">
        <v>446</v>
      </c>
      <c r="F6787" s="6" t="str">
        <f>IF($M6787="PADD I","PADD 1",IF($M6787="PADD II","PADD 2",IF($M6787="PADD III","PADD 3",IF($M6787="PADD IV","PADD 4",IF($M6787="PADD V","PADD 5","")))))</f>
        <v>PADD 3</v>
      </c>
      <c r="G6787" s="6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6" t="s">
        <v>471</v>
      </c>
      <c r="I6787" s="6" t="s">
        <v>590</v>
      </c>
      <c r="J6787" s="6" t="s">
        <v>394</v>
      </c>
      <c r="K6787" s="10">
        <v>31.5</v>
      </c>
      <c r="L6787" s="10">
        <v>45</v>
      </c>
      <c r="M6787" s="6" t="s">
        <v>421</v>
      </c>
      <c r="N6787" s="6" t="str">
        <f>IF(OR($G6787="FCC",$G6787="Hydrocracker",$G6787="Reformer"),IF(COUNTIFS($D:$D,$D6787,$A:$A,$A6787,$B:$B,$B6787,$G:$G,"CDU",$J:$J,"PLANNED")&gt;0,"tied","standalone"),"")</f>
        <v>tied</v>
      </c>
    </row>
    <row r="6788" spans="1:14">
      <c r="A6788" s="6">
        <v>2025</v>
      </c>
      <c r="B6788" s="6">
        <v>11</v>
      </c>
      <c r="C6788" s="6" t="s">
        <v>70</v>
      </c>
      <c r="D6788" s="6" t="s">
        <v>1189</v>
      </c>
      <c r="E6788" s="6" t="s">
        <v>502</v>
      </c>
      <c r="F6788" s="6" t="str">
        <f>IF($M6788="PADD I","PADD 1",IF($M6788="PADD II","PADD 2",IF($M6788="PADD III","PADD 3",IF($M6788="PADD IV","PADD 4",IF($M6788="PADD V","PADD 5","")))))</f>
        <v>PADD 5</v>
      </c>
      <c r="G6788" s="6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6" t="s">
        <v>44</v>
      </c>
      <c r="I6788" s="6" t="s">
        <v>980</v>
      </c>
      <c r="J6788" s="6" t="s">
        <v>394</v>
      </c>
      <c r="K6788" s="10">
        <v>31.185</v>
      </c>
      <c r="L6788" s="10">
        <v>49.5</v>
      </c>
      <c r="M6788" s="6" t="s">
        <v>436</v>
      </c>
      <c r="N6788" s="6">
        <f>IF(OR($G6788="FCC",$G6788="Hydrocracker",$G6788="Reformer"),IF(COUNTIFS($D:$D,$D6788,$A:$A,$A6788,$B:$B,$B6788,$G:$G,"CDU",$J:$J,"PLANNED")&gt;0,"tied","standalone"),"")</f>
        <v/>
      </c>
    </row>
    <row r="6789" spans="1:14">
      <c r="A6789" s="6">
        <v>2025</v>
      </c>
      <c r="B6789" s="6">
        <v>11</v>
      </c>
      <c r="C6789" s="6" t="s">
        <v>70</v>
      </c>
      <c r="D6789" s="6" t="s">
        <v>696</v>
      </c>
      <c r="E6789" s="6" t="s">
        <v>455</v>
      </c>
      <c r="F6789" s="6" t="str">
        <f>IF($M6789="PADD I","PADD 1",IF($M6789="PADD II","PADD 2",IF($M6789="PADD III","PADD 3",IF($M6789="PADD IV","PADD 4",IF($M6789="PADD V","PADD 5","")))))</f>
        <v>PADD 3</v>
      </c>
      <c r="G6789" s="6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6" t="s">
        <v>44</v>
      </c>
      <c r="I6789" s="6" t="s">
        <v>893</v>
      </c>
      <c r="J6789" s="6" t="s">
        <v>394</v>
      </c>
      <c r="K6789" s="10">
        <v>30</v>
      </c>
      <c r="L6789" s="10">
        <v>30</v>
      </c>
      <c r="M6789" s="6" t="s">
        <v>421</v>
      </c>
      <c r="N6789" s="6">
        <f>IF(OR($G6789="FCC",$G6789="Hydrocracker",$G6789="Reformer"),IF(COUNTIFS($D:$D,$D6789,$A:$A,$A6789,$B:$B,$B6789,$G:$G,"CDU",$J:$J,"PLANNED")&gt;0,"tied","standalone"),"")</f>
        <v/>
      </c>
    </row>
    <row r="6790" spans="1:14">
      <c r="A6790" s="6">
        <v>2025</v>
      </c>
      <c r="B6790" s="6">
        <v>11</v>
      </c>
      <c r="C6790" s="6" t="s">
        <v>70</v>
      </c>
      <c r="D6790" s="6" t="s">
        <v>592</v>
      </c>
      <c r="E6790" s="6" t="s">
        <v>593</v>
      </c>
      <c r="F6790" s="6" t="str">
        <f>IF($M6790="PADD I","PADD 1",IF($M6790="PADD II","PADD 2",IF($M6790="PADD III","PADD 3",IF($M6790="PADD IV","PADD 4",IF($M6790="PADD V","PADD 5","")))))</f>
        <v>PADD 2</v>
      </c>
      <c r="G6790" s="6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6" t="s">
        <v>39</v>
      </c>
      <c r="I6790" s="6" t="s">
        <v>1165</v>
      </c>
      <c r="J6790" s="6" t="s">
        <v>398</v>
      </c>
      <c r="K6790" s="10">
        <v>29.7</v>
      </c>
      <c r="L6790" s="10">
        <v>90</v>
      </c>
      <c r="M6790" s="6" t="s">
        <v>425</v>
      </c>
      <c r="N6790" s="6">
        <f>IF(OR($G6790="FCC",$G6790="Hydrocracker",$G6790="Reformer"),IF(COUNTIFS($D:$D,$D6790,$A:$A,$A6790,$B:$B,$B6790,$G:$G,"CDU",$J:$J,"PLANNED")&gt;0,"tied","standalone"),"")</f>
        <v/>
      </c>
    </row>
    <row r="6791" spans="1:14">
      <c r="A6791" s="6">
        <v>2025</v>
      </c>
      <c r="B6791" s="6">
        <v>11</v>
      </c>
      <c r="C6791" s="6" t="s">
        <v>70</v>
      </c>
      <c r="D6791" s="6" t="s">
        <v>1113</v>
      </c>
      <c r="E6791" s="6" t="s">
        <v>438</v>
      </c>
      <c r="F6791" s="6" t="str">
        <f>IF($M6791="PADD I","PADD 1",IF($M6791="PADD II","PADD 2",IF($M6791="PADD III","PADD 3",IF($M6791="PADD IV","PADD 4",IF($M6791="PADD V","PADD 5","")))))</f>
        <v>PADD 2</v>
      </c>
      <c r="G6791" s="6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6" t="s">
        <v>39</v>
      </c>
      <c r="I6791" s="6" t="s">
        <v>82</v>
      </c>
      <c r="J6791" s="6" t="s">
        <v>394</v>
      </c>
      <c r="K6791" s="10">
        <v>29.4</v>
      </c>
      <c r="L6791" s="10">
        <v>147</v>
      </c>
      <c r="M6791" s="6" t="s">
        <v>425</v>
      </c>
      <c r="N6791" s="6">
        <f>IF(OR($G6791="FCC",$G6791="Hydrocracker",$G6791="Reformer"),IF(COUNTIFS($D:$D,$D6791,$A:$A,$A6791,$B:$B,$B6791,$G:$G,"CDU",$J:$J,"PLANNED")&gt;0,"tied","standalone"),"")</f>
        <v/>
      </c>
    </row>
    <row r="6792" spans="1:14">
      <c r="A6792" s="6">
        <v>2025</v>
      </c>
      <c r="B6792" s="6">
        <v>11</v>
      </c>
      <c r="C6792" s="6" t="s">
        <v>70</v>
      </c>
      <c r="D6792" s="6" t="s">
        <v>52</v>
      </c>
      <c r="E6792" s="6" t="s">
        <v>441</v>
      </c>
      <c r="F6792" s="6" t="str">
        <f>IF($M6792="PADD I","PADD 1",IF($M6792="PADD II","PADD 2",IF($M6792="PADD III","PADD 3",IF($M6792="PADD IV","PADD 4",IF($M6792="PADD V","PADD 5","")))))</f>
        <v>PADD 5</v>
      </c>
      <c r="G6792" s="6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6" t="s">
        <v>426</v>
      </c>
      <c r="I6792" s="6" t="s">
        <v>106</v>
      </c>
      <c r="J6792" s="6" t="s">
        <v>394</v>
      </c>
      <c r="K6792" s="10">
        <v>29.2</v>
      </c>
      <c r="L6792" s="10">
        <v>73</v>
      </c>
      <c r="M6792" s="6" t="s">
        <v>436</v>
      </c>
      <c r="N6792" s="6" t="str">
        <f>IF(OR($G6792="FCC",$G6792="Hydrocracker",$G6792="Reformer"),IF(COUNTIFS($D:$D,$D6792,$A:$A,$A6792,$B:$B,$B6792,$G:$G,"CDU",$J:$J,"PLANNED")&gt;0,"tied","standalone"),"")</f>
        <v>standalone</v>
      </c>
    </row>
    <row r="6793" spans="1:14">
      <c r="A6793" s="6">
        <v>2025</v>
      </c>
      <c r="B6793" s="6">
        <v>11</v>
      </c>
      <c r="C6793" s="6" t="s">
        <v>70</v>
      </c>
      <c r="D6793" s="6" t="s">
        <v>445</v>
      </c>
      <c r="E6793" s="6" t="s">
        <v>446</v>
      </c>
      <c r="F6793" s="6" t="str">
        <f>IF($M6793="PADD I","PADD 1",IF($M6793="PADD II","PADD 2",IF($M6793="PADD III","PADD 3",IF($M6793="PADD IV","PADD 4",IF($M6793="PADD V","PADD 5","")))))</f>
        <v>PADD 3</v>
      </c>
      <c r="G6793" s="6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6" t="s">
        <v>471</v>
      </c>
      <c r="I6793" s="6" t="s">
        <v>588</v>
      </c>
      <c r="J6793" s="6" t="s">
        <v>398</v>
      </c>
      <c r="K6793" s="10">
        <v>28.917</v>
      </c>
      <c r="L6793" s="10">
        <v>45.9</v>
      </c>
      <c r="M6793" s="6" t="s">
        <v>421</v>
      </c>
      <c r="N6793" s="6" t="str">
        <f>IF(OR($G6793="FCC",$G6793="Hydrocracker",$G6793="Reformer"),IF(COUNTIFS($D:$D,$D6793,$A:$A,$A6793,$B:$B,$B6793,$G:$G,"CDU",$J:$J,"PLANNED")&gt;0,"tied","standalone"),"")</f>
        <v>tied</v>
      </c>
    </row>
    <row r="6794" spans="1:14">
      <c r="A6794" s="6">
        <v>2025</v>
      </c>
      <c r="B6794" s="6">
        <v>11</v>
      </c>
      <c r="C6794" s="6" t="s">
        <v>70</v>
      </c>
      <c r="D6794" s="6" t="s">
        <v>613</v>
      </c>
      <c r="E6794" s="6" t="s">
        <v>446</v>
      </c>
      <c r="F6794" s="6" t="str">
        <f>IF($M6794="PADD I","PADD 1",IF($M6794="PADD II","PADD 2",IF($M6794="PADD III","PADD 3",IF($M6794="PADD IV","PADD 4",IF($M6794="PADD V","PADD 5","")))))</f>
        <v>PADD 3</v>
      </c>
      <c r="G6794" s="6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6" t="s">
        <v>44</v>
      </c>
      <c r="I6794" s="6" t="s">
        <v>614</v>
      </c>
      <c r="J6794" s="6" t="s">
        <v>394</v>
      </c>
      <c r="K6794" s="10">
        <v>27.403</v>
      </c>
      <c r="L6794" s="10">
        <v>40.9</v>
      </c>
      <c r="M6794" s="6" t="s">
        <v>421</v>
      </c>
      <c r="N6794" s="6">
        <f>IF(OR($G6794="FCC",$G6794="Hydrocracker",$G6794="Reformer"),IF(COUNTIFS($D:$D,$D6794,$A:$A,$A6794,$B:$B,$B6794,$G:$G,"CDU",$J:$J,"PLANNED")&gt;0,"tied","standalone"),"")</f>
        <v/>
      </c>
    </row>
    <row r="6795" spans="1:14">
      <c r="A6795" s="6">
        <v>2025</v>
      </c>
      <c r="B6795" s="6">
        <v>11</v>
      </c>
      <c r="C6795" s="6" t="s">
        <v>70</v>
      </c>
      <c r="D6795" s="6" t="s">
        <v>445</v>
      </c>
      <c r="E6795" s="6" t="s">
        <v>446</v>
      </c>
      <c r="F6795" s="6" t="str">
        <f>IF($M6795="PADD I","PADD 1",IF($M6795="PADD II","PADD 2",IF($M6795="PADD III","PADD 3",IF($M6795="PADD IV","PADD 4",IF($M6795="PADD V","PADD 5","")))))</f>
        <v>PADD 3</v>
      </c>
      <c r="G6795" s="6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6" t="s">
        <v>44</v>
      </c>
      <c r="I6795" s="6" t="s">
        <v>601</v>
      </c>
      <c r="J6795" s="6" t="s">
        <v>398</v>
      </c>
      <c r="K6795" s="10">
        <v>25.767</v>
      </c>
      <c r="L6795" s="10">
        <v>40.9</v>
      </c>
      <c r="M6795" s="6" t="s">
        <v>421</v>
      </c>
      <c r="N6795" s="6">
        <f>IF(OR($G6795="FCC",$G6795="Hydrocracker",$G6795="Reformer"),IF(COUNTIFS($D:$D,$D6795,$A:$A,$A6795,$B:$B,$B6795,$G:$G,"CDU",$J:$J,"PLANNED")&gt;0,"tied","standalone"),"")</f>
        <v/>
      </c>
    </row>
    <row r="6796" spans="1:14">
      <c r="A6796" s="6">
        <v>2025</v>
      </c>
      <c r="B6796" s="6">
        <v>11</v>
      </c>
      <c r="C6796" s="6" t="s">
        <v>70</v>
      </c>
      <c r="D6796" s="6" t="s">
        <v>662</v>
      </c>
      <c r="E6796" s="6" t="s">
        <v>466</v>
      </c>
      <c r="F6796" s="6" t="str">
        <f>IF($M6796="PADD I","PADD 1",IF($M6796="PADD II","PADD 2",IF($M6796="PADD III","PADD 3",IF($M6796="PADD IV","PADD 4",IF($M6796="PADD V","PADD 5","")))))</f>
        <v>PADD 3</v>
      </c>
      <c r="G6796" s="6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6" t="s">
        <v>44</v>
      </c>
      <c r="I6796" s="6" t="s">
        <v>508</v>
      </c>
      <c r="J6796" s="6" t="s">
        <v>398</v>
      </c>
      <c r="K6796" s="10">
        <v>25.2</v>
      </c>
      <c r="L6796" s="10">
        <v>40</v>
      </c>
      <c r="M6796" s="6" t="s">
        <v>421</v>
      </c>
      <c r="N6796" s="6">
        <f>IF(OR($G6796="FCC",$G6796="Hydrocracker",$G6796="Reformer"),IF(COUNTIFS($D:$D,$D6796,$A:$A,$A6796,$B:$B,$B6796,$G:$G,"CDU",$J:$J,"PLANNED")&gt;0,"tied","standalone"),"")</f>
        <v/>
      </c>
    </row>
    <row r="6797" spans="1:14">
      <c r="A6797" s="6">
        <v>2025</v>
      </c>
      <c r="B6797" s="6">
        <v>11</v>
      </c>
      <c r="C6797" s="6" t="s">
        <v>70</v>
      </c>
      <c r="D6797" s="6" t="s">
        <v>720</v>
      </c>
      <c r="E6797" s="6" t="s">
        <v>455</v>
      </c>
      <c r="F6797" s="6" t="str">
        <f>IF($M6797="PADD I","PADD 1",IF($M6797="PADD II","PADD 2",IF($M6797="PADD III","PADD 3",IF($M6797="PADD IV","PADD 4",IF($M6797="PADD V","PADD 5","")))))</f>
        <v>PADD 2</v>
      </c>
      <c r="G6797" s="6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6" t="s">
        <v>39</v>
      </c>
      <c r="I6797" s="6" t="s">
        <v>108</v>
      </c>
      <c r="J6797" s="6" t="s">
        <v>394</v>
      </c>
      <c r="K6797" s="10">
        <v>24.15</v>
      </c>
      <c r="L6797" s="10">
        <v>105</v>
      </c>
      <c r="M6797" s="6" t="s">
        <v>425</v>
      </c>
      <c r="N6797" s="6">
        <f>IF(OR($G6797="FCC",$G6797="Hydrocracker",$G6797="Reformer"),IF(COUNTIFS($D:$D,$D6797,$A:$A,$A6797,$B:$B,$B6797,$G:$G,"CDU",$J:$J,"PLANNED")&gt;0,"tied","standalone"),"")</f>
        <v/>
      </c>
    </row>
    <row r="6798" spans="1:14">
      <c r="A6798" s="6">
        <v>2025</v>
      </c>
      <c r="B6798" s="6">
        <v>11</v>
      </c>
      <c r="C6798" s="6" t="s">
        <v>70</v>
      </c>
      <c r="D6798" s="6" t="s">
        <v>458</v>
      </c>
      <c r="E6798" s="6" t="s">
        <v>459</v>
      </c>
      <c r="F6798" s="6" t="str">
        <f>IF($M6798="PADD I","PADD 1",IF($M6798="PADD II","PADD 2",IF($M6798="PADD III","PADD 3",IF($M6798="PADD IV","PADD 4",IF($M6798="PADD V","PADD 5","")))))</f>
        <v>PADD 3</v>
      </c>
      <c r="G6798" s="6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6" t="s">
        <v>44</v>
      </c>
      <c r="I6798" s="6" t="s">
        <v>553</v>
      </c>
      <c r="J6798" s="6" t="s">
        <v>398</v>
      </c>
      <c r="K6798" s="10">
        <v>24</v>
      </c>
      <c r="L6798" s="10">
        <v>30</v>
      </c>
      <c r="M6798" s="6" t="s">
        <v>421</v>
      </c>
      <c r="N6798" s="6">
        <f>IF(OR($G6798="FCC",$G6798="Hydrocracker",$G6798="Reformer"),IF(COUNTIFS($D:$D,$D6798,$A:$A,$A6798,$B:$B,$B6798,$G:$G,"CDU",$J:$J,"PLANNED")&gt;0,"tied","standalone"),"")</f>
        <v/>
      </c>
    </row>
    <row r="6799" spans="1:14">
      <c r="A6799" s="6">
        <v>2025</v>
      </c>
      <c r="B6799" s="6">
        <v>11</v>
      </c>
      <c r="C6799" s="6" t="s">
        <v>70</v>
      </c>
      <c r="D6799" s="6" t="s">
        <v>1088</v>
      </c>
      <c r="E6799" s="6" t="s">
        <v>1089</v>
      </c>
      <c r="F6799" s="6" t="str">
        <f>IF($M6799="PADD I","PADD 1",IF($M6799="PADD II","PADD 2",IF($M6799="PADD III","PADD 3",IF($M6799="PADD IV","PADD 4",IF($M6799="PADD V","PADD 5","")))))</f>
        <v>PADD 2</v>
      </c>
      <c r="G6799" s="6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6" t="s">
        <v>39</v>
      </c>
      <c r="I6799" s="6" t="s">
        <v>1090</v>
      </c>
      <c r="J6799" s="6" t="s">
        <v>398</v>
      </c>
      <c r="K6799" s="10">
        <v>21.85</v>
      </c>
      <c r="L6799" s="10">
        <v>95</v>
      </c>
      <c r="M6799" s="6" t="s">
        <v>425</v>
      </c>
      <c r="N6799" s="6">
        <f>IF(OR($G6799="FCC",$G6799="Hydrocracker",$G6799="Reformer"),IF(COUNTIFS($D:$D,$D6799,$A:$A,$A6799,$B:$B,$B6799,$G:$G,"CDU",$J:$J,"PLANNED")&gt;0,"tied","standalone"),"")</f>
        <v/>
      </c>
    </row>
    <row r="6800" spans="1:14">
      <c r="A6800" s="6">
        <v>2025</v>
      </c>
      <c r="B6800" s="6">
        <v>11</v>
      </c>
      <c r="C6800" s="6" t="s">
        <v>70</v>
      </c>
      <c r="D6800" s="6" t="s">
        <v>689</v>
      </c>
      <c r="E6800" s="6" t="s">
        <v>502</v>
      </c>
      <c r="F6800" s="6" t="str">
        <f>IF($M6800="PADD I","PADD 1",IF($M6800="PADD II","PADD 2",IF($M6800="PADD III","PADD 3",IF($M6800="PADD IV","PADD 4",IF($M6800="PADD V","PADD 5","")))))</f>
        <v>PADD 5</v>
      </c>
      <c r="G6800" s="6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6" t="s">
        <v>39</v>
      </c>
      <c r="I6800" s="6" t="s">
        <v>690</v>
      </c>
      <c r="J6800" s="6" t="s">
        <v>398</v>
      </c>
      <c r="K6800" s="10">
        <v>21.6</v>
      </c>
      <c r="L6800" s="10">
        <v>72</v>
      </c>
      <c r="M6800" s="6" t="s">
        <v>436</v>
      </c>
      <c r="N6800" s="6">
        <f>IF(OR($G6800="FCC",$G6800="Hydrocracker",$G6800="Reformer"),IF(COUNTIFS($D:$D,$D6800,$A:$A,$A6800,$B:$B,$B6800,$G:$G,"CDU",$J:$J,"PLANNED")&gt;0,"tied","standalone"),"")</f>
        <v/>
      </c>
    </row>
    <row r="6801" spans="1:14">
      <c r="A6801" s="6">
        <v>2025</v>
      </c>
      <c r="B6801" s="6">
        <v>11</v>
      </c>
      <c r="C6801" s="6" t="s">
        <v>70</v>
      </c>
      <c r="D6801" s="6" t="s">
        <v>507</v>
      </c>
      <c r="E6801" s="6" t="s">
        <v>438</v>
      </c>
      <c r="F6801" s="6" t="str">
        <f>IF($M6801="PADD I","PADD 1",IF($M6801="PADD II","PADD 2",IF($M6801="PADD III","PADD 3",IF($M6801="PADD IV","PADD 4",IF($M6801="PADD V","PADD 5","")))))</f>
        <v>PADD 5</v>
      </c>
      <c r="G6801" s="6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6" t="s">
        <v>44</v>
      </c>
      <c r="I6801" s="6" t="s">
        <v>1143</v>
      </c>
      <c r="J6801" s="6" t="s">
        <v>398</v>
      </c>
      <c r="K6801" s="10">
        <v>20.75</v>
      </c>
      <c r="L6801" s="10">
        <v>25</v>
      </c>
      <c r="M6801" s="6" t="s">
        <v>436</v>
      </c>
      <c r="N6801" s="6">
        <f>IF(OR($G6801="FCC",$G6801="Hydrocracker",$G6801="Reformer"),IF(COUNTIFS($D:$D,$D6801,$A:$A,$A6801,$B:$B,$B6801,$G:$G,"CDU",$J:$J,"PLANNED")&gt;0,"tied","standalone"),"")</f>
        <v/>
      </c>
    </row>
    <row r="6802" spans="1:14">
      <c r="A6802" s="6">
        <v>2025</v>
      </c>
      <c r="B6802" s="6">
        <v>11</v>
      </c>
      <c r="C6802" s="6" t="s">
        <v>70</v>
      </c>
      <c r="D6802" s="6" t="s">
        <v>597</v>
      </c>
      <c r="E6802" s="6" t="s">
        <v>441</v>
      </c>
      <c r="F6802" s="6" t="str">
        <f>IF($M6802="PADD I","PADD 1",IF($M6802="PADD II","PADD 2",IF($M6802="PADD III","PADD 3",IF($M6802="PADD IV","PADD 4",IF($M6802="PADD V","PADD 5","")))))</f>
        <v>PADD 5</v>
      </c>
      <c r="G6802" s="6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6" t="s">
        <v>44</v>
      </c>
      <c r="I6802" s="6" t="s">
        <v>106</v>
      </c>
      <c r="J6802" s="6" t="s">
        <v>394</v>
      </c>
      <c r="K6802" s="10">
        <v>19.5</v>
      </c>
      <c r="L6802" s="10">
        <v>65</v>
      </c>
      <c r="M6802" s="6" t="s">
        <v>436</v>
      </c>
      <c r="N6802" s="6">
        <f>IF(OR($G6802="FCC",$G6802="Hydrocracker",$G6802="Reformer"),IF(COUNTIFS($D:$D,$D6802,$A:$A,$A6802,$B:$B,$B6802,$G:$G,"CDU",$J:$J,"PLANNED")&gt;0,"tied","standalone"),"")</f>
        <v/>
      </c>
    </row>
    <row r="6803" spans="1:14">
      <c r="A6803" s="6">
        <v>2025</v>
      </c>
      <c r="B6803" s="6">
        <v>11</v>
      </c>
      <c r="C6803" s="6" t="s">
        <v>70</v>
      </c>
      <c r="D6803" s="6" t="s">
        <v>458</v>
      </c>
      <c r="E6803" s="6" t="s">
        <v>459</v>
      </c>
      <c r="F6803" s="6" t="str">
        <f>IF($M6803="PADD I","PADD 1",IF($M6803="PADD II","PADD 2",IF($M6803="PADD III","PADD 3",IF($M6803="PADD IV","PADD 4",IF($M6803="PADD V","PADD 5","")))))</f>
        <v>PADD 3</v>
      </c>
      <c r="G6803" s="6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6" t="s">
        <v>44</v>
      </c>
      <c r="I6803" s="6" t="s">
        <v>567</v>
      </c>
      <c r="J6803" s="6" t="s">
        <v>398</v>
      </c>
      <c r="K6803" s="10">
        <v>19.2</v>
      </c>
      <c r="L6803" s="10">
        <v>24</v>
      </c>
      <c r="M6803" s="6" t="s">
        <v>421</v>
      </c>
      <c r="N6803" s="6">
        <f>IF(OR($G6803="FCC",$G6803="Hydrocracker",$G6803="Reformer"),IF(COUNTIFS($D:$D,$D6803,$A:$A,$A6803,$B:$B,$B6803,$G:$G,"CDU",$J:$J,"PLANNED")&gt;0,"tied","standalone"),"")</f>
        <v/>
      </c>
    </row>
    <row r="6804" spans="1:14">
      <c r="A6804" s="6">
        <v>2025</v>
      </c>
      <c r="B6804" s="6">
        <v>11</v>
      </c>
      <c r="C6804" s="6" t="s">
        <v>70</v>
      </c>
      <c r="D6804" s="6" t="s">
        <v>445</v>
      </c>
      <c r="E6804" s="6" t="s">
        <v>446</v>
      </c>
      <c r="F6804" s="6" t="str">
        <f>IF($M6804="PADD I","PADD 1",IF($M6804="PADD II","PADD 2",IF($M6804="PADD III","PADD 3",IF($M6804="PADD IV","PADD 4",IF($M6804="PADD V","PADD 5","")))))</f>
        <v>PADD 3</v>
      </c>
      <c r="G6804" s="6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6" t="s">
        <v>471</v>
      </c>
      <c r="I6804" s="6" t="s">
        <v>590</v>
      </c>
      <c r="J6804" s="6" t="s">
        <v>398</v>
      </c>
      <c r="K6804" s="10">
        <v>18.9</v>
      </c>
      <c r="L6804" s="10">
        <v>30</v>
      </c>
      <c r="M6804" s="6" t="s">
        <v>421</v>
      </c>
      <c r="N6804" s="6" t="str">
        <f>IF(OR($G6804="FCC",$G6804="Hydrocracker",$G6804="Reformer"),IF(COUNTIFS($D:$D,$D6804,$A:$A,$A6804,$B:$B,$B6804,$G:$G,"CDU",$J:$J,"PLANNED")&gt;0,"tied","standalone"),"")</f>
        <v>tied</v>
      </c>
    </row>
    <row r="6805" spans="1:14">
      <c r="A6805" s="6">
        <v>2025</v>
      </c>
      <c r="B6805" s="6">
        <v>11</v>
      </c>
      <c r="C6805" s="6" t="s">
        <v>70</v>
      </c>
      <c r="D6805" s="6" t="s">
        <v>689</v>
      </c>
      <c r="E6805" s="6" t="s">
        <v>502</v>
      </c>
      <c r="F6805" s="6" t="str">
        <f>IF($M6805="PADD I","PADD 1",IF($M6805="PADD II","PADD 2",IF($M6805="PADD III","PADD 3",IF($M6805="PADD IV","PADD 4",IF($M6805="PADD V","PADD 5","")))))</f>
        <v>PADD 5</v>
      </c>
      <c r="G6805" s="6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6" t="s">
        <v>44</v>
      </c>
      <c r="I6805" s="6" t="s">
        <v>1378</v>
      </c>
      <c r="J6805" s="6" t="s">
        <v>398</v>
      </c>
      <c r="K6805" s="10">
        <v>18</v>
      </c>
      <c r="L6805" s="10">
        <v>60</v>
      </c>
      <c r="M6805" s="6" t="s">
        <v>436</v>
      </c>
      <c r="N6805" s="6">
        <f>IF(OR($G6805="FCC",$G6805="Hydrocracker",$G6805="Reformer"),IF(COUNTIFS($D:$D,$D6805,$A:$A,$A6805,$B:$B,$B6805,$G:$G,"CDU",$J:$J,"PLANNED")&gt;0,"tied","standalone"),"")</f>
        <v/>
      </c>
    </row>
    <row r="6806" spans="1:14">
      <c r="A6806" s="6">
        <v>2025</v>
      </c>
      <c r="B6806" s="6">
        <v>11</v>
      </c>
      <c r="C6806" s="6" t="s">
        <v>70</v>
      </c>
      <c r="D6806" s="6" t="s">
        <v>375</v>
      </c>
      <c r="E6806" s="6" t="s">
        <v>435</v>
      </c>
      <c r="F6806" s="6" t="str">
        <f>IF($M6806="PADD I","PADD 1",IF($M6806="PADD II","PADD 2",IF($M6806="PADD III","PADD 3",IF($M6806="PADD IV","PADD 4",IF($M6806="PADD V","PADD 5","")))))</f>
        <v>PADD 5</v>
      </c>
      <c r="G6806" s="6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6" t="s">
        <v>44</v>
      </c>
      <c r="I6806" s="6" t="s">
        <v>1224</v>
      </c>
      <c r="J6806" s="6" t="s">
        <v>394</v>
      </c>
      <c r="K6806" s="10">
        <v>17.57</v>
      </c>
      <c r="L6806" s="10">
        <v>17.57</v>
      </c>
      <c r="M6806" s="6" t="s">
        <v>436</v>
      </c>
      <c r="N6806" s="6">
        <f>IF(OR($G6806="FCC",$G6806="Hydrocracker",$G6806="Reformer"),IF(COUNTIFS($D:$D,$D6806,$A:$A,$A6806,$B:$B,$B6806,$G:$G,"CDU",$J:$J,"PLANNED")&gt;0,"tied","standalone"),"")</f>
        <v/>
      </c>
    </row>
    <row r="6807" spans="1:14">
      <c r="A6807" s="6">
        <v>2025</v>
      </c>
      <c r="B6807" s="6">
        <v>11</v>
      </c>
      <c r="C6807" s="6" t="s">
        <v>70</v>
      </c>
      <c r="D6807" s="6" t="s">
        <v>507</v>
      </c>
      <c r="E6807" s="6" t="s">
        <v>438</v>
      </c>
      <c r="F6807" s="6" t="str">
        <f>IF($M6807="PADD I","PADD 1",IF($M6807="PADD II","PADD 2",IF($M6807="PADD III","PADD 3",IF($M6807="PADD IV","PADD 4",IF($M6807="PADD V","PADD 5","")))))</f>
        <v>PADD 5</v>
      </c>
      <c r="G6807" s="6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6" t="s">
        <v>471</v>
      </c>
      <c r="I6807" s="6" t="s">
        <v>607</v>
      </c>
      <c r="J6807" s="6" t="s">
        <v>398</v>
      </c>
      <c r="K6807" s="10">
        <v>16.6</v>
      </c>
      <c r="L6807" s="10">
        <v>20</v>
      </c>
      <c r="M6807" s="6" t="s">
        <v>436</v>
      </c>
      <c r="N6807" s="6" t="str">
        <f>IF(OR($G6807="FCC",$G6807="Hydrocracker",$G6807="Reformer"),IF(COUNTIFS($D:$D,$D6807,$A:$A,$A6807,$B:$B,$B6807,$G:$G,"CDU",$J:$J,"PLANNED")&gt;0,"tied","standalone"),"")</f>
        <v>standalone</v>
      </c>
    </row>
    <row r="6808" spans="1:14">
      <c r="A6808" s="6">
        <v>2025</v>
      </c>
      <c r="B6808" s="6">
        <v>11</v>
      </c>
      <c r="C6808" s="6" t="s">
        <v>70</v>
      </c>
      <c r="D6808" s="6" t="s">
        <v>1110</v>
      </c>
      <c r="E6808" s="6" t="s">
        <v>1089</v>
      </c>
      <c r="F6808" s="6" t="str">
        <f>IF($M6808="PADD I","PADD 1",IF($M6808="PADD II","PADD 2",IF($M6808="PADD III","PADD 3",IF($M6808="PADD IV","PADD 4",IF($M6808="PADD V","PADD 5","")))))</f>
        <v>PADD 2</v>
      </c>
      <c r="G6808" s="6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6" t="s">
        <v>44</v>
      </c>
      <c r="I6808" s="6" t="s">
        <v>1230</v>
      </c>
      <c r="J6808" s="6" t="s">
        <v>398</v>
      </c>
      <c r="K6808" s="10">
        <v>16.33</v>
      </c>
      <c r="L6808" s="10">
        <v>71</v>
      </c>
      <c r="M6808" s="6" t="s">
        <v>425</v>
      </c>
      <c r="N6808" s="6">
        <f>IF(OR($G6808="FCC",$G6808="Hydrocracker",$G6808="Reformer"),IF(COUNTIFS($D:$D,$D6808,$A:$A,$A6808,$B:$B,$B6808,$G:$G,"CDU",$J:$J,"PLANNED")&gt;0,"tied","standalone"),"")</f>
        <v/>
      </c>
    </row>
    <row r="6809" spans="1:14">
      <c r="A6809" s="6">
        <v>2025</v>
      </c>
      <c r="B6809" s="6">
        <v>11</v>
      </c>
      <c r="C6809" s="6" t="s">
        <v>70</v>
      </c>
      <c r="D6809" s="6" t="s">
        <v>597</v>
      </c>
      <c r="E6809" s="6" t="s">
        <v>441</v>
      </c>
      <c r="F6809" s="6" t="str">
        <f>IF($M6809="PADD I","PADD 1",IF($M6809="PADD II","PADD 2",IF($M6809="PADD III","PADD 3",IF($M6809="PADD IV","PADD 4",IF($M6809="PADD V","PADD 5","")))))</f>
        <v>PADD 5</v>
      </c>
      <c r="G6809" s="6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6" t="s">
        <v>510</v>
      </c>
      <c r="I6809" s="6" t="s">
        <v>511</v>
      </c>
      <c r="J6809" s="6" t="s">
        <v>394</v>
      </c>
      <c r="K6809" s="10">
        <v>16</v>
      </c>
      <c r="L6809" s="10">
        <v>20</v>
      </c>
      <c r="M6809" s="6" t="s">
        <v>436</v>
      </c>
      <c r="N6809" s="6">
        <f>IF(OR($G6809="FCC",$G6809="Hydrocracker",$G6809="Reformer"),IF(COUNTIFS($D:$D,$D6809,$A:$A,$A6809,$B:$B,$B6809,$G:$G,"CDU",$J:$J,"PLANNED")&gt;0,"tied","standalone"),"")</f>
        <v/>
      </c>
    </row>
    <row r="6810" spans="1:14">
      <c r="A6810" s="6">
        <v>2025</v>
      </c>
      <c r="B6810" s="6">
        <v>11</v>
      </c>
      <c r="C6810" s="6" t="s">
        <v>70</v>
      </c>
      <c r="D6810" s="6" t="s">
        <v>720</v>
      </c>
      <c r="E6810" s="6" t="s">
        <v>455</v>
      </c>
      <c r="F6810" s="6" t="str">
        <f>IF($M6810="PADD I","PADD 1",IF($M6810="PADD II","PADD 2",IF($M6810="PADD III","PADD 3",IF($M6810="PADD IV","PADD 4",IF($M6810="PADD V","PADD 5","")))))</f>
        <v>PADD 2</v>
      </c>
      <c r="G6810" s="6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6" t="s">
        <v>426</v>
      </c>
      <c r="I6810" s="6" t="s">
        <v>106</v>
      </c>
      <c r="J6810" s="6" t="s">
        <v>398</v>
      </c>
      <c r="K6810" s="10">
        <v>14.95</v>
      </c>
      <c r="L6810" s="10">
        <v>65</v>
      </c>
      <c r="M6810" s="6" t="s">
        <v>425</v>
      </c>
      <c r="N6810" s="6" t="str">
        <f>IF(OR($G6810="FCC",$G6810="Hydrocracker",$G6810="Reformer"),IF(COUNTIFS($D:$D,$D6810,$A:$A,$A6810,$B:$B,$B6810,$G:$G,"CDU",$J:$J,"PLANNED")&gt;0,"tied","standalone"),"")</f>
        <v>standalone</v>
      </c>
    </row>
    <row r="6811" spans="1:14">
      <c r="A6811" s="6">
        <v>2025</v>
      </c>
      <c r="B6811" s="6">
        <v>11</v>
      </c>
      <c r="C6811" s="6" t="s">
        <v>70</v>
      </c>
      <c r="D6811" s="6" t="s">
        <v>561</v>
      </c>
      <c r="E6811" s="6" t="s">
        <v>455</v>
      </c>
      <c r="F6811" s="6" t="str">
        <f>IF($M6811="PADD I","PADD 1",IF($M6811="PADD II","PADD 2",IF($M6811="PADD III","PADD 3",IF($M6811="PADD IV","PADD 4",IF($M6811="PADD V","PADD 5","")))))</f>
        <v>PADD 3</v>
      </c>
      <c r="G6811" s="6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6" t="s">
        <v>39</v>
      </c>
      <c r="I6811" s="6" t="s">
        <v>113</v>
      </c>
      <c r="J6811" s="6" t="s">
        <v>394</v>
      </c>
      <c r="K6811" s="10">
        <v>14.95</v>
      </c>
      <c r="L6811" s="10">
        <v>115</v>
      </c>
      <c r="M6811" s="6" t="s">
        <v>421</v>
      </c>
      <c r="N6811" s="6">
        <f>IF(OR($G6811="FCC",$G6811="Hydrocracker",$G6811="Reformer"),IF(COUNTIFS($D:$D,$D6811,$A:$A,$A6811,$B:$B,$B6811,$G:$G,"CDU",$J:$J,"PLANNED")&gt;0,"tied","standalone"),"")</f>
        <v/>
      </c>
    </row>
    <row r="6812" spans="1:14">
      <c r="A6812" s="6">
        <v>2025</v>
      </c>
      <c r="B6812" s="6">
        <v>11</v>
      </c>
      <c r="C6812" s="6" t="s">
        <v>70</v>
      </c>
      <c r="D6812" s="6" t="s">
        <v>1113</v>
      </c>
      <c r="E6812" s="6" t="s">
        <v>438</v>
      </c>
      <c r="F6812" s="6" t="str">
        <f>IF($M6812="PADD I","PADD 1",IF($M6812="PADD II","PADD 2",IF($M6812="PADD III","PADD 3",IF($M6812="PADD IV","PADD 4",IF($M6812="PADD V","PADD 5","")))))</f>
        <v>PADD 2</v>
      </c>
      <c r="G6812" s="6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6" t="s">
        <v>44</v>
      </c>
      <c r="I6812" s="6" t="s">
        <v>543</v>
      </c>
      <c r="J6812" s="6" t="s">
        <v>394</v>
      </c>
      <c r="K6812" s="10">
        <v>14.62</v>
      </c>
      <c r="L6812" s="10">
        <v>34</v>
      </c>
      <c r="M6812" s="6" t="s">
        <v>425</v>
      </c>
      <c r="N6812" s="6">
        <f>IF(OR($G6812="FCC",$G6812="Hydrocracker",$G6812="Reformer"),IF(COUNTIFS($D:$D,$D6812,$A:$A,$A6812,$B:$B,$B6812,$G:$G,"CDU",$J:$J,"PLANNED")&gt;0,"tied","standalone"),"")</f>
        <v/>
      </c>
    </row>
    <row r="6813" spans="1:14">
      <c r="A6813" s="6">
        <v>2025</v>
      </c>
      <c r="B6813" s="6">
        <v>11</v>
      </c>
      <c r="C6813" s="6" t="s">
        <v>70</v>
      </c>
      <c r="D6813" s="6" t="s">
        <v>662</v>
      </c>
      <c r="E6813" s="6" t="s">
        <v>466</v>
      </c>
      <c r="F6813" s="6" t="str">
        <f>IF($M6813="PADD I","PADD 1",IF($M6813="PADD II","PADD 2",IF($M6813="PADD III","PADD 3",IF($M6813="PADD IV","PADD 4",IF($M6813="PADD V","PADD 5","")))))</f>
        <v>PADD 3</v>
      </c>
      <c r="G6813" s="6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6" t="s">
        <v>471</v>
      </c>
      <c r="I6813" s="6" t="s">
        <v>805</v>
      </c>
      <c r="J6813" s="6" t="s">
        <v>394</v>
      </c>
      <c r="K6813" s="10">
        <v>14.1</v>
      </c>
      <c r="L6813" s="10">
        <v>30</v>
      </c>
      <c r="M6813" s="6" t="s">
        <v>421</v>
      </c>
      <c r="N6813" s="6" t="str">
        <f>IF(OR($G6813="FCC",$G6813="Hydrocracker",$G6813="Reformer"),IF(COUNTIFS($D:$D,$D6813,$A:$A,$A6813,$B:$B,$B6813,$G:$G,"CDU",$J:$J,"PLANNED")&gt;0,"tied","standalone"),"")</f>
        <v>tied</v>
      </c>
    </row>
    <row r="6814" spans="1:14">
      <c r="A6814" s="6">
        <v>2025</v>
      </c>
      <c r="B6814" s="6">
        <v>11</v>
      </c>
      <c r="C6814" s="6" t="s">
        <v>70</v>
      </c>
      <c r="D6814" s="6" t="s">
        <v>52</v>
      </c>
      <c r="E6814" s="6" t="s">
        <v>441</v>
      </c>
      <c r="F6814" s="6" t="str">
        <f>IF($M6814="PADD I","PADD 1",IF($M6814="PADD II","PADD 2",IF($M6814="PADD III","PADD 3",IF($M6814="PADD IV","PADD 4",IF($M6814="PADD V","PADD 5","")))))</f>
        <v>PADD 5</v>
      </c>
      <c r="G6814" s="6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6" t="s">
        <v>44</v>
      </c>
      <c r="I6814" s="6" t="s">
        <v>909</v>
      </c>
      <c r="J6814" s="6" t="s">
        <v>394</v>
      </c>
      <c r="K6814" s="10">
        <v>14</v>
      </c>
      <c r="L6814" s="10">
        <v>35</v>
      </c>
      <c r="M6814" s="6" t="s">
        <v>436</v>
      </c>
      <c r="N6814" s="6">
        <f>IF(OR($G6814="FCC",$G6814="Hydrocracker",$G6814="Reformer"),IF(COUNTIFS($D:$D,$D6814,$A:$A,$A6814,$B:$B,$B6814,$G:$G,"CDU",$J:$J,"PLANNED")&gt;0,"tied","standalone"),"")</f>
        <v/>
      </c>
    </row>
    <row r="6815" spans="1:14">
      <c r="A6815" s="6">
        <v>2025</v>
      </c>
      <c r="B6815" s="6">
        <v>11</v>
      </c>
      <c r="C6815" s="6" t="s">
        <v>70</v>
      </c>
      <c r="D6815" s="6" t="s">
        <v>730</v>
      </c>
      <c r="E6815" s="6" t="s">
        <v>731</v>
      </c>
      <c r="F6815" s="6" t="str">
        <f>IF($M6815="PADD I","PADD 1",IF($M6815="PADD II","PADD 2",IF($M6815="PADD III","PADD 3",IF($M6815="PADD IV","PADD 4",IF($M6815="PADD V","PADD 5","")))))</f>
        <v>PADD 3</v>
      </c>
      <c r="G6815" s="6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6" t="s">
        <v>494</v>
      </c>
      <c r="I6815" s="6" t="s">
        <v>757</v>
      </c>
      <c r="J6815" s="6" t="s">
        <v>394</v>
      </c>
      <c r="K6815" s="10">
        <v>13.95</v>
      </c>
      <c r="L6815" s="10">
        <v>15</v>
      </c>
      <c r="M6815" s="6" t="s">
        <v>421</v>
      </c>
      <c r="N6815" s="6" t="str">
        <f>IF(OR($G6815="FCC",$G6815="Hydrocracker",$G6815="Reformer"),IF(COUNTIFS($D:$D,$D6815,$A:$A,$A6815,$B:$B,$B6815,$G:$G,"CDU",$J:$J,"PLANNED")&gt;0,"tied","standalone"),"")</f>
        <v>standalone</v>
      </c>
    </row>
    <row r="6816" spans="1:14">
      <c r="A6816" s="6">
        <v>2025</v>
      </c>
      <c r="B6816" s="6">
        <v>11</v>
      </c>
      <c r="C6816" s="6" t="s">
        <v>70</v>
      </c>
      <c r="D6816" s="6" t="s">
        <v>373</v>
      </c>
      <c r="E6816" s="6" t="s">
        <v>438</v>
      </c>
      <c r="F6816" s="6" t="str">
        <f>IF($M6816="PADD I","PADD 1",IF($M6816="PADD II","PADD 2",IF($M6816="PADD III","PADD 3",IF($M6816="PADD IV","PADD 4",IF($M6816="PADD V","PADD 5","")))))</f>
        <v>PADD 3</v>
      </c>
      <c r="G6816" s="6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6" t="s">
        <v>426</v>
      </c>
      <c r="I6816" s="6" t="s">
        <v>994</v>
      </c>
      <c r="J6816" s="6" t="s">
        <v>394</v>
      </c>
      <c r="K6816" s="10">
        <v>13.6</v>
      </c>
      <c r="L6816" s="10">
        <v>136</v>
      </c>
      <c r="M6816" s="6" t="s">
        <v>421</v>
      </c>
      <c r="N6816" s="6" t="str">
        <f>IF(OR($G6816="FCC",$G6816="Hydrocracker",$G6816="Reformer"),IF(COUNTIFS($D:$D,$D6816,$A:$A,$A6816,$B:$B,$B6816,$G:$G,"CDU",$J:$J,"PLANNED")&gt;0,"tied","standalone"),"")</f>
        <v>standalone</v>
      </c>
    </row>
    <row r="6817" spans="1:14">
      <c r="A6817" s="6">
        <v>2025</v>
      </c>
      <c r="B6817" s="6">
        <v>11</v>
      </c>
      <c r="C6817" s="6" t="s">
        <v>70</v>
      </c>
      <c r="D6817" s="6" t="s">
        <v>576</v>
      </c>
      <c r="E6817" s="6" t="s">
        <v>455</v>
      </c>
      <c r="F6817" s="6" t="str">
        <f>IF($M6817="PADD I","PADD 1",IF($M6817="PADD II","PADD 2",IF($M6817="PADD III","PADD 3",IF($M6817="PADD IV","PADD 4",IF($M6817="PADD V","PADD 5","")))))</f>
        <v>PADD 3</v>
      </c>
      <c r="G6817" s="6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6" t="s">
        <v>494</v>
      </c>
      <c r="I6817" s="6" t="s">
        <v>577</v>
      </c>
      <c r="J6817" s="6" t="s">
        <v>398</v>
      </c>
      <c r="K6817" s="10">
        <v>13.11</v>
      </c>
      <c r="L6817" s="10">
        <v>57</v>
      </c>
      <c r="M6817" s="6" t="s">
        <v>421</v>
      </c>
      <c r="N6817" s="6" t="str">
        <f>IF(OR($G6817="FCC",$G6817="Hydrocracker",$G6817="Reformer"),IF(COUNTIFS($D:$D,$D6817,$A:$A,$A6817,$B:$B,$B6817,$G:$G,"CDU",$J:$J,"PLANNED")&gt;0,"tied","standalone"),"")</f>
        <v>standalone</v>
      </c>
    </row>
    <row r="6818" spans="1:14">
      <c r="A6818" s="6">
        <v>2025</v>
      </c>
      <c r="B6818" s="6">
        <v>11</v>
      </c>
      <c r="C6818" s="6" t="s">
        <v>70</v>
      </c>
      <c r="D6818" s="6" t="s">
        <v>853</v>
      </c>
      <c r="E6818" s="6" t="s">
        <v>438</v>
      </c>
      <c r="F6818" s="6" t="str">
        <f>IF($M6818="PADD I","PADD 1",IF($M6818="PADD II","PADD 2",IF($M6818="PADD III","PADD 3",IF($M6818="PADD IV","PADD 4",IF($M6818="PADD V","PADD 5","")))))</f>
        <v>PADD 2</v>
      </c>
      <c r="G6818" s="6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6" t="s">
        <v>44</v>
      </c>
      <c r="I6818" s="6" t="s">
        <v>968</v>
      </c>
      <c r="J6818" s="6" t="s">
        <v>394</v>
      </c>
      <c r="K6818" s="10">
        <v>11.84</v>
      </c>
      <c r="L6818" s="10">
        <v>32</v>
      </c>
      <c r="M6818" s="6" t="s">
        <v>425</v>
      </c>
      <c r="N6818" s="6">
        <f>IF(OR($G6818="FCC",$G6818="Hydrocracker",$G6818="Reformer"),IF(COUNTIFS($D:$D,$D6818,$A:$A,$A6818,$B:$B,$B6818,$G:$G,"CDU",$J:$J,"PLANNED")&gt;0,"tied","standalone"),"")</f>
        <v/>
      </c>
    </row>
    <row r="6819" spans="1:14">
      <c r="A6819" s="6">
        <v>2025</v>
      </c>
      <c r="B6819" s="6">
        <v>11</v>
      </c>
      <c r="C6819" s="6" t="s">
        <v>70</v>
      </c>
      <c r="D6819" s="6" t="s">
        <v>437</v>
      </c>
      <c r="E6819" s="6" t="s">
        <v>438</v>
      </c>
      <c r="F6819" s="6" t="str">
        <f>IF($M6819="PADD I","PADD 1",IF($M6819="PADD II","PADD 2",IF($M6819="PADD III","PADD 3",IF($M6819="PADD IV","PADD 4",IF($M6819="PADD V","PADD 5","")))))</f>
        <v>PADD 3</v>
      </c>
      <c r="G6819" s="6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6" t="s">
        <v>631</v>
      </c>
      <c r="I6819" s="6" t="s">
        <v>918</v>
      </c>
      <c r="J6819" s="6" t="s">
        <v>394</v>
      </c>
      <c r="K6819" s="10">
        <v>11.2</v>
      </c>
      <c r="L6819" s="10">
        <v>16</v>
      </c>
      <c r="M6819" s="6" t="s">
        <v>421</v>
      </c>
      <c r="N6819" s="6" t="str">
        <f>IF(OR($G6819="FCC",$G6819="Hydrocracker",$G6819="Reformer"),IF(COUNTIFS($D:$D,$D6819,$A:$A,$A6819,$B:$B,$B6819,$G:$G,"CDU",$J:$J,"PLANNED")&gt;0,"tied","standalone"),"")</f>
        <v>standalone</v>
      </c>
    </row>
    <row r="6820" spans="1:14">
      <c r="A6820" s="6">
        <v>2025</v>
      </c>
      <c r="B6820" s="6">
        <v>11</v>
      </c>
      <c r="C6820" s="6" t="s">
        <v>70</v>
      </c>
      <c r="D6820" s="6" t="s">
        <v>1113</v>
      </c>
      <c r="E6820" s="6" t="s">
        <v>438</v>
      </c>
      <c r="F6820" s="6" t="str">
        <f>IF($M6820="PADD I","PADD 1",IF($M6820="PADD II","PADD 2",IF($M6820="PADD III","PADD 3",IF($M6820="PADD IV","PADD 4",IF($M6820="PADD V","PADD 5","")))))</f>
        <v>PADD 2</v>
      </c>
      <c r="G6820" s="6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6" t="s">
        <v>428</v>
      </c>
      <c r="I6820" s="6" t="s">
        <v>481</v>
      </c>
      <c r="J6820" s="6" t="s">
        <v>394</v>
      </c>
      <c r="K6820" s="10">
        <v>11</v>
      </c>
      <c r="L6820" s="10">
        <v>55</v>
      </c>
      <c r="M6820" s="6" t="s">
        <v>425</v>
      </c>
      <c r="N6820" s="6">
        <f>IF(OR($G6820="FCC",$G6820="Hydrocracker",$G6820="Reformer"),IF(COUNTIFS($D:$D,$D6820,$A:$A,$A6820,$B:$B,$B6820,$G:$G,"CDU",$J:$J,"PLANNED")&gt;0,"tied","standalone"),"")</f>
        <v/>
      </c>
    </row>
    <row r="6821" spans="1:14">
      <c r="A6821" s="6">
        <v>2025</v>
      </c>
      <c r="B6821" s="6">
        <v>11</v>
      </c>
      <c r="C6821" s="6" t="s">
        <v>70</v>
      </c>
      <c r="D6821" s="6" t="s">
        <v>507</v>
      </c>
      <c r="E6821" s="6" t="s">
        <v>438</v>
      </c>
      <c r="F6821" s="6" t="str">
        <f>IF($M6821="PADD I","PADD 1",IF($M6821="PADD II","PADD 2",IF($M6821="PADD III","PADD 3",IF($M6821="PADD IV","PADD 4",IF($M6821="PADD V","PADD 5","")))))</f>
        <v>PADD 5</v>
      </c>
      <c r="G6821" s="6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6" t="s">
        <v>510</v>
      </c>
      <c r="I6821" s="6" t="s">
        <v>511</v>
      </c>
      <c r="J6821" s="6" t="s">
        <v>398</v>
      </c>
      <c r="K6821" s="10">
        <v>10.79</v>
      </c>
      <c r="L6821" s="10">
        <v>13</v>
      </c>
      <c r="M6821" s="6" t="s">
        <v>436</v>
      </c>
      <c r="N6821" s="6">
        <f>IF(OR($G6821="FCC",$G6821="Hydrocracker",$G6821="Reformer"),IF(COUNTIFS($D:$D,$D6821,$A:$A,$A6821,$B:$B,$B6821,$G:$G,"CDU",$J:$J,"PLANNED")&gt;0,"tied","standalone"),"")</f>
        <v/>
      </c>
    </row>
    <row r="6822" spans="1:14">
      <c r="A6822" s="6">
        <v>2025</v>
      </c>
      <c r="B6822" s="6">
        <v>11</v>
      </c>
      <c r="C6822" s="6" t="s">
        <v>70</v>
      </c>
      <c r="D6822" s="6" t="s">
        <v>375</v>
      </c>
      <c r="E6822" s="6" t="s">
        <v>435</v>
      </c>
      <c r="F6822" s="6" t="str">
        <f>IF($M6822="PADD I","PADD 1",IF($M6822="PADD II","PADD 2",IF($M6822="PADD III","PADD 3",IF($M6822="PADD IV","PADD 4",IF($M6822="PADD V","PADD 5","")))))</f>
        <v>PADD 5</v>
      </c>
      <c r="G6822" s="6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6" t="s">
        <v>471</v>
      </c>
      <c r="I6822" s="6" t="s">
        <v>15</v>
      </c>
      <c r="J6822" s="6" t="s">
        <v>394</v>
      </c>
      <c r="K6822" s="10">
        <v>10.33</v>
      </c>
      <c r="L6822" s="10">
        <v>10.33</v>
      </c>
      <c r="M6822" s="6" t="s">
        <v>436</v>
      </c>
      <c r="N6822" s="6" t="str">
        <f>IF(OR($G6822="FCC",$G6822="Hydrocracker",$G6822="Reformer"),IF(COUNTIFS($D:$D,$D6822,$A:$A,$A6822,$B:$B,$B6822,$G:$G,"CDU",$J:$J,"PLANNED")&gt;0,"tied","standalone"),"")</f>
        <v>standalone</v>
      </c>
    </row>
    <row r="6823" spans="1:14">
      <c r="A6823" s="6">
        <v>2025</v>
      </c>
      <c r="B6823" s="6">
        <v>11</v>
      </c>
      <c r="C6823" s="6" t="s">
        <v>70</v>
      </c>
      <c r="D6823" s="6" t="s">
        <v>689</v>
      </c>
      <c r="E6823" s="6" t="s">
        <v>502</v>
      </c>
      <c r="F6823" s="6" t="str">
        <f>IF($M6823="PADD I","PADD 1",IF($M6823="PADD II","PADD 2",IF($M6823="PADD III","PADD 3",IF($M6823="PADD IV","PADD 4",IF($M6823="PADD V","PADD 5","")))))</f>
        <v>PADD 5</v>
      </c>
      <c r="G6823" s="6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6" t="s">
        <v>44</v>
      </c>
      <c r="I6823" s="6" t="s">
        <v>1383</v>
      </c>
      <c r="J6823" s="6" t="s">
        <v>398</v>
      </c>
      <c r="K6823" s="10">
        <v>9.9</v>
      </c>
      <c r="L6823" s="10">
        <v>33</v>
      </c>
      <c r="M6823" s="6" t="s">
        <v>436</v>
      </c>
      <c r="N6823" s="6">
        <f>IF(OR($G6823="FCC",$G6823="Hydrocracker",$G6823="Reformer"),IF(COUNTIFS($D:$D,$D6823,$A:$A,$A6823,$B:$B,$B6823,$G:$G,"CDU",$J:$J,"PLANNED")&gt;0,"tied","standalone"),"")</f>
        <v/>
      </c>
    </row>
    <row r="6824" spans="1:14">
      <c r="A6824" s="6">
        <v>2025</v>
      </c>
      <c r="B6824" s="6">
        <v>11</v>
      </c>
      <c r="C6824" s="6" t="s">
        <v>70</v>
      </c>
      <c r="D6824" s="6" t="s">
        <v>689</v>
      </c>
      <c r="E6824" s="6" t="s">
        <v>502</v>
      </c>
      <c r="F6824" s="6" t="str">
        <f>IF($M6824="PADD I","PADD 1",IF($M6824="PADD II","PADD 2",IF($M6824="PADD III","PADD 3",IF($M6824="PADD IV","PADD 4",IF($M6824="PADD V","PADD 5","")))))</f>
        <v>PADD 5</v>
      </c>
      <c r="G6824" s="6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6" t="s">
        <v>428</v>
      </c>
      <c r="I6824" s="6" t="s">
        <v>429</v>
      </c>
      <c r="J6824" s="6" t="s">
        <v>398</v>
      </c>
      <c r="K6824" s="10">
        <v>9.869999999999999</v>
      </c>
      <c r="L6824" s="10">
        <v>32.9</v>
      </c>
      <c r="M6824" s="6" t="s">
        <v>436</v>
      </c>
      <c r="N6824" s="6">
        <f>IF(OR($G6824="FCC",$G6824="Hydrocracker",$G6824="Reformer"),IF(COUNTIFS($D:$D,$D6824,$A:$A,$A6824,$B:$B,$B6824,$G:$G,"CDU",$J:$J,"PLANNED")&gt;0,"tied","standalone"),"")</f>
        <v/>
      </c>
    </row>
    <row r="6825" spans="1:14">
      <c r="A6825" s="6">
        <v>2025</v>
      </c>
      <c r="B6825" s="6">
        <v>11</v>
      </c>
      <c r="C6825" s="6" t="s">
        <v>70</v>
      </c>
      <c r="D6825" s="6" t="s">
        <v>375</v>
      </c>
      <c r="E6825" s="6" t="s">
        <v>435</v>
      </c>
      <c r="F6825" s="6" t="str">
        <f>IF($M6825="PADD I","PADD 1",IF($M6825="PADD II","PADD 2",IF($M6825="PADD III","PADD 3",IF($M6825="PADD IV","PADD 4",IF($M6825="PADD V","PADD 5","")))))</f>
        <v>PADD 5</v>
      </c>
      <c r="G6825" s="6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6" t="s">
        <v>44</v>
      </c>
      <c r="I6825" s="6" t="s">
        <v>551</v>
      </c>
      <c r="J6825" s="6" t="s">
        <v>394</v>
      </c>
      <c r="K6825" s="10">
        <v>9.800000000000001</v>
      </c>
      <c r="L6825" s="10">
        <v>9.800000000000001</v>
      </c>
      <c r="M6825" s="6" t="s">
        <v>436</v>
      </c>
      <c r="N6825" s="6">
        <f>IF(OR($G6825="FCC",$G6825="Hydrocracker",$G6825="Reformer"),IF(COUNTIFS($D:$D,$D6825,$A:$A,$A6825,$B:$B,$B6825,$G:$G,"CDU",$J:$J,"PLANNED")&gt;0,"tied","standalone"),"")</f>
        <v/>
      </c>
    </row>
    <row r="6826" spans="1:14">
      <c r="A6826" s="6">
        <v>2025</v>
      </c>
      <c r="B6826" s="6">
        <v>11</v>
      </c>
      <c r="C6826" s="6" t="s">
        <v>70</v>
      </c>
      <c r="D6826" s="6" t="s">
        <v>52</v>
      </c>
      <c r="E6826" s="6" t="s">
        <v>441</v>
      </c>
      <c r="F6826" s="6" t="str">
        <f>IF($M6826="PADD I","PADD 1",IF($M6826="PADD II","PADD 2",IF($M6826="PADD III","PADD 3",IF($M6826="PADD IV","PADD 4",IF($M6826="PADD V","PADD 5","")))))</f>
        <v>PADD 5</v>
      </c>
      <c r="G6826" s="6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6" t="s">
        <v>428</v>
      </c>
      <c r="I6826" s="6" t="s">
        <v>1085</v>
      </c>
      <c r="J6826" s="6" t="s">
        <v>394</v>
      </c>
      <c r="K6826" s="10">
        <v>9.579499999999999</v>
      </c>
      <c r="L6826" s="10">
        <v>56.35</v>
      </c>
      <c r="M6826" s="6" t="s">
        <v>436</v>
      </c>
      <c r="N6826" s="6">
        <f>IF(OR($G6826="FCC",$G6826="Hydrocracker",$G6826="Reformer"),IF(COUNTIFS($D:$D,$D6826,$A:$A,$A6826,$B:$B,$B6826,$G:$G,"CDU",$J:$J,"PLANNED")&gt;0,"tied","standalone"),"")</f>
        <v/>
      </c>
    </row>
    <row r="6827" spans="1:14">
      <c r="A6827" s="6">
        <v>2025</v>
      </c>
      <c r="B6827" s="6">
        <v>11</v>
      </c>
      <c r="C6827" s="6" t="s">
        <v>70</v>
      </c>
      <c r="D6827" s="6" t="s">
        <v>375</v>
      </c>
      <c r="E6827" s="6" t="s">
        <v>435</v>
      </c>
      <c r="F6827" s="6" t="str">
        <f>IF($M6827="PADD I","PADD 1",IF($M6827="PADD II","PADD 2",IF($M6827="PADD III","PADD 3",IF($M6827="PADD IV","PADD 4",IF($M6827="PADD V","PADD 5","")))))</f>
        <v>PADD 5</v>
      </c>
      <c r="G6827" s="6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6" t="s">
        <v>44</v>
      </c>
      <c r="I6827" s="6" t="s">
        <v>1233</v>
      </c>
      <c r="J6827" s="6" t="s">
        <v>394</v>
      </c>
      <c r="K6827" s="10">
        <v>9.1</v>
      </c>
      <c r="L6827" s="10">
        <v>9.1</v>
      </c>
      <c r="M6827" s="6" t="s">
        <v>436</v>
      </c>
      <c r="N6827" s="6">
        <f>IF(OR($G6827="FCC",$G6827="Hydrocracker",$G6827="Reformer"),IF(COUNTIFS($D:$D,$D6827,$A:$A,$A6827,$B:$B,$B6827,$G:$G,"CDU",$J:$J,"PLANNED")&gt;0,"tied","standalone"),"")</f>
        <v/>
      </c>
    </row>
    <row r="6828" spans="1:14">
      <c r="A6828" s="6">
        <v>2025</v>
      </c>
      <c r="B6828" s="6">
        <v>11</v>
      </c>
      <c r="C6828" s="6" t="s">
        <v>70</v>
      </c>
      <c r="D6828" s="6" t="s">
        <v>518</v>
      </c>
      <c r="E6828" s="6" t="s">
        <v>419</v>
      </c>
      <c r="F6828" s="6" t="str">
        <f>IF($M6828="PADD I","PADD 1",IF($M6828="PADD II","PADD 2",IF($M6828="PADD III","PADD 3",IF($M6828="PADD IV","PADD 4",IF($M6828="PADD V","PADD 5","")))))</f>
        <v>PADD 3</v>
      </c>
      <c r="G6828" s="6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6" t="s">
        <v>426</v>
      </c>
      <c r="I6828" s="6" t="s">
        <v>523</v>
      </c>
      <c r="J6828" s="6" t="s">
        <v>398</v>
      </c>
      <c r="K6828" s="10">
        <v>8.1</v>
      </c>
      <c r="L6828" s="10">
        <v>30</v>
      </c>
      <c r="M6828" s="6" t="s">
        <v>421</v>
      </c>
      <c r="N6828" s="6" t="str">
        <f>IF(OR($G6828="FCC",$G6828="Hydrocracker",$G6828="Reformer"),IF(COUNTIFS($D:$D,$D6828,$A:$A,$A6828,$B:$B,$B6828,$G:$G,"CDU",$J:$J,"PLANNED")&gt;0,"tied","standalone"),"")</f>
        <v>standalone</v>
      </c>
    </row>
    <row r="6829" spans="1:14">
      <c r="A6829" s="6">
        <v>2025</v>
      </c>
      <c r="B6829" s="6">
        <v>11</v>
      </c>
      <c r="C6829" s="6" t="s">
        <v>70</v>
      </c>
      <c r="D6829" s="6" t="s">
        <v>1088</v>
      </c>
      <c r="E6829" s="6" t="s">
        <v>1089</v>
      </c>
      <c r="F6829" s="6" t="str">
        <f>IF($M6829="PADD I","PADD 1",IF($M6829="PADD II","PADD 2",IF($M6829="PADD III","PADD 3",IF($M6829="PADD IV","PADD 4",IF($M6829="PADD V","PADD 5","")))))</f>
        <v>PADD 2</v>
      </c>
      <c r="G6829" s="6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6" t="s">
        <v>39</v>
      </c>
      <c r="I6829" s="6" t="s">
        <v>967</v>
      </c>
      <c r="J6829" s="6" t="s">
        <v>398</v>
      </c>
      <c r="K6829" s="10">
        <v>8.050000000000001</v>
      </c>
      <c r="L6829" s="10">
        <v>35</v>
      </c>
      <c r="M6829" s="6" t="s">
        <v>425</v>
      </c>
      <c r="N6829" s="6">
        <f>IF(OR($G6829="FCC",$G6829="Hydrocracker",$G6829="Reformer"),IF(COUNTIFS($D:$D,$D6829,$A:$A,$A6829,$B:$B,$B6829,$G:$G,"CDU",$J:$J,"PLANNED")&gt;0,"tied","standalone"),"")</f>
        <v/>
      </c>
    </row>
    <row r="6830" spans="1:14">
      <c r="A6830" s="6">
        <v>2025</v>
      </c>
      <c r="B6830" s="6">
        <v>11</v>
      </c>
      <c r="C6830" s="6" t="s">
        <v>70</v>
      </c>
      <c r="D6830" s="6" t="s">
        <v>375</v>
      </c>
      <c r="E6830" s="6" t="s">
        <v>435</v>
      </c>
      <c r="F6830" s="6" t="str">
        <f>IF($M6830="PADD I","PADD 1",IF($M6830="PADD II","PADD 2",IF($M6830="PADD III","PADD 3",IF($M6830="PADD IV","PADD 4",IF($M6830="PADD V","PADD 5","")))))</f>
        <v>PADD 5</v>
      </c>
      <c r="G6830" s="6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6" t="s">
        <v>485</v>
      </c>
      <c r="I6830" s="6" t="s">
        <v>491</v>
      </c>
      <c r="J6830" s="6" t="s">
        <v>394</v>
      </c>
      <c r="K6830" s="10">
        <v>7.7</v>
      </c>
      <c r="L6830" s="10">
        <v>7.7</v>
      </c>
      <c r="M6830" s="6" t="s">
        <v>436</v>
      </c>
      <c r="N6830" s="6">
        <f>IF(OR($G6830="FCC",$G6830="Hydrocracker",$G6830="Reformer"),IF(COUNTIFS($D:$D,$D6830,$A:$A,$A6830,$B:$B,$B6830,$G:$G,"CDU",$J:$J,"PLANNED")&gt;0,"tied","standalone"),"")</f>
        <v/>
      </c>
    </row>
    <row r="6831" spans="1:14">
      <c r="A6831" s="6">
        <v>2025</v>
      </c>
      <c r="B6831" s="6">
        <v>11</v>
      </c>
      <c r="C6831" s="6" t="s">
        <v>70</v>
      </c>
      <c r="D6831" s="6" t="s">
        <v>576</v>
      </c>
      <c r="E6831" s="6" t="s">
        <v>455</v>
      </c>
      <c r="F6831" s="6" t="str">
        <f>IF($M6831="PADD I","PADD 1",IF($M6831="PADD II","PADD 2",IF($M6831="PADD III","PADD 3",IF($M6831="PADD IV","PADD 4",IF($M6831="PADD V","PADD 5","")))))</f>
        <v>PADD 3</v>
      </c>
      <c r="G6831" s="6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6" t="s">
        <v>494</v>
      </c>
      <c r="I6831" s="6" t="s">
        <v>400</v>
      </c>
      <c r="J6831" s="6" t="s">
        <v>394</v>
      </c>
      <c r="K6831" s="10">
        <v>7.41</v>
      </c>
      <c r="L6831" s="10">
        <v>57</v>
      </c>
      <c r="M6831" s="6" t="s">
        <v>421</v>
      </c>
      <c r="N6831" s="6" t="str">
        <f>IF(OR($G6831="FCC",$G6831="Hydrocracker",$G6831="Reformer"),IF(COUNTIFS($D:$D,$D6831,$A:$A,$A6831,$B:$B,$B6831,$G:$G,"CDU",$J:$J,"PLANNED")&gt;0,"tied","standalone"),"")</f>
        <v>standalone</v>
      </c>
    </row>
    <row r="6832" spans="1:14">
      <c r="A6832" s="6">
        <v>2025</v>
      </c>
      <c r="B6832" s="6">
        <v>11</v>
      </c>
      <c r="C6832" s="6" t="s">
        <v>70</v>
      </c>
      <c r="D6832" s="6" t="s">
        <v>375</v>
      </c>
      <c r="E6832" s="6" t="s">
        <v>435</v>
      </c>
      <c r="F6832" s="6" t="str">
        <f>IF($M6832="PADD I","PADD 1",IF($M6832="PADD II","PADD 2",IF($M6832="PADD III","PADD 3",IF($M6832="PADD IV","PADD 4",IF($M6832="PADD V","PADD 5","")))))</f>
        <v>PADD 5</v>
      </c>
      <c r="G6832" s="6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6" t="s">
        <v>485</v>
      </c>
      <c r="I6832" s="6" t="s">
        <v>863</v>
      </c>
      <c r="J6832" s="6" t="s">
        <v>394</v>
      </c>
      <c r="K6832" s="10">
        <v>7.32</v>
      </c>
      <c r="L6832" s="10">
        <v>7.32</v>
      </c>
      <c r="M6832" s="6" t="s">
        <v>436</v>
      </c>
      <c r="N6832" s="6">
        <f>IF(OR($G6832="FCC",$G6832="Hydrocracker",$G6832="Reformer"),IF(COUNTIFS($D:$D,$D6832,$A:$A,$A6832,$B:$B,$B6832,$G:$G,"CDU",$J:$J,"PLANNED")&gt;0,"tied","standalone"),"")</f>
        <v/>
      </c>
    </row>
    <row r="6833" spans="1:14">
      <c r="A6833" s="6">
        <v>2025</v>
      </c>
      <c r="B6833" s="6">
        <v>11</v>
      </c>
      <c r="C6833" s="6" t="s">
        <v>70</v>
      </c>
      <c r="D6833" s="6" t="s">
        <v>901</v>
      </c>
      <c r="E6833" s="6" t="s">
        <v>902</v>
      </c>
      <c r="F6833" s="6" t="str">
        <f>IF($M6833="PADD I","PADD 1",IF($M6833="PADD II","PADD 2",IF($M6833="PADD III","PADD 3",IF($M6833="PADD IV","PADD 4",IF($M6833="PADD V","PADD 5","")))))</f>
        <v>PADD 3</v>
      </c>
      <c r="G6833" s="6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6" t="s">
        <v>39</v>
      </c>
      <c r="I6833" s="6" t="s">
        <v>904</v>
      </c>
      <c r="J6833" s="6" t="s">
        <v>394</v>
      </c>
      <c r="K6833" s="10">
        <v>7.3</v>
      </c>
      <c r="L6833" s="10">
        <v>73</v>
      </c>
      <c r="M6833" s="6" t="s">
        <v>421</v>
      </c>
      <c r="N6833" s="6">
        <f>IF(OR($G6833="FCC",$G6833="Hydrocracker",$G6833="Reformer"),IF(COUNTIFS($D:$D,$D6833,$A:$A,$A6833,$B:$B,$B6833,$G:$G,"CDU",$J:$J,"PLANNED")&gt;0,"tied","standalone"),"")</f>
        <v/>
      </c>
    </row>
    <row r="6834" spans="1:14">
      <c r="A6834" s="6">
        <v>2025</v>
      </c>
      <c r="B6834" s="6">
        <v>11</v>
      </c>
      <c r="C6834" s="6" t="s">
        <v>70</v>
      </c>
      <c r="D6834" s="6" t="s">
        <v>689</v>
      </c>
      <c r="E6834" s="6" t="s">
        <v>502</v>
      </c>
      <c r="F6834" s="6" t="str">
        <f>IF($M6834="PADD I","PADD 1",IF($M6834="PADD II","PADD 2",IF($M6834="PADD III","PADD 3",IF($M6834="PADD IV","PADD 4",IF($M6834="PADD V","PADD 5","")))))</f>
        <v>PADD 5</v>
      </c>
      <c r="G6834" s="6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6" t="s">
        <v>485</v>
      </c>
      <c r="I6834" s="6" t="s">
        <v>1146</v>
      </c>
      <c r="J6834" s="6" t="s">
        <v>398</v>
      </c>
      <c r="K6834" s="10">
        <v>7.2</v>
      </c>
      <c r="L6834" s="10">
        <v>24</v>
      </c>
      <c r="M6834" s="6" t="s">
        <v>436</v>
      </c>
      <c r="N6834" s="6">
        <f>IF(OR($G6834="FCC",$G6834="Hydrocracker",$G6834="Reformer"),IF(COUNTIFS($D:$D,$D6834,$A:$A,$A6834,$B:$B,$B6834,$G:$G,"CDU",$J:$J,"PLANNED")&gt;0,"tied","standalone"),"")</f>
        <v/>
      </c>
    </row>
    <row r="6835" spans="1:14">
      <c r="A6835" s="6">
        <v>2025</v>
      </c>
      <c r="B6835" s="6">
        <v>11</v>
      </c>
      <c r="C6835" s="6" t="s">
        <v>70</v>
      </c>
      <c r="D6835" s="6" t="s">
        <v>422</v>
      </c>
      <c r="E6835" s="6" t="s">
        <v>423</v>
      </c>
      <c r="F6835" s="6" t="str">
        <f>IF($M6835="PADD I","PADD 1",IF($M6835="PADD II","PADD 2",IF($M6835="PADD III","PADD 3",IF($M6835="PADD IV","PADD 4",IF($M6835="PADD V","PADD 5","")))))</f>
        <v>PADD 2</v>
      </c>
      <c r="G6835" s="6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6" t="s">
        <v>485</v>
      </c>
      <c r="I6835" s="6" t="s">
        <v>517</v>
      </c>
      <c r="J6835" s="6" t="s">
        <v>398</v>
      </c>
      <c r="K6835" s="10">
        <v>6.9</v>
      </c>
      <c r="L6835" s="10">
        <v>30</v>
      </c>
      <c r="M6835" s="6" t="s">
        <v>425</v>
      </c>
      <c r="N6835" s="6">
        <f>IF(OR($G6835="FCC",$G6835="Hydrocracker",$G6835="Reformer"),IF(COUNTIFS($D:$D,$D6835,$A:$A,$A6835,$B:$B,$B6835,$G:$G,"CDU",$J:$J,"PLANNED")&gt;0,"tied","standalone"),"")</f>
        <v/>
      </c>
    </row>
    <row r="6836" spans="1:14">
      <c r="A6836" s="6">
        <v>2025</v>
      </c>
      <c r="B6836" s="6">
        <v>11</v>
      </c>
      <c r="C6836" s="6" t="s">
        <v>70</v>
      </c>
      <c r="D6836" s="6" t="s">
        <v>45</v>
      </c>
      <c r="E6836" s="6" t="s">
        <v>1389</v>
      </c>
      <c r="F6836" s="6" t="str">
        <f>IF($M6836="PADD I","PADD 1",IF($M6836="PADD II","PADD 2",IF($M6836="PADD III","PADD 3",IF($M6836="PADD IV","PADD 4",IF($M6836="PADD V","PADD 5","")))))</f>
        <v>PADD 5</v>
      </c>
      <c r="G6836" s="6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6" t="s">
        <v>428</v>
      </c>
      <c r="I6836" s="6" t="s">
        <v>1390</v>
      </c>
      <c r="J6836" s="6" t="s">
        <v>394</v>
      </c>
      <c r="K6836" s="10">
        <v>6.8</v>
      </c>
      <c r="L6836" s="10">
        <v>40</v>
      </c>
      <c r="M6836" s="6" t="s">
        <v>436</v>
      </c>
      <c r="N6836" s="6">
        <f>IF(OR($G6836="FCC",$G6836="Hydrocracker",$G6836="Reformer"),IF(COUNTIFS($D:$D,$D6836,$A:$A,$A6836,$B:$B,$B6836,$G:$G,"CDU",$J:$J,"PLANNED")&gt;0,"tied","standalone"),"")</f>
        <v/>
      </c>
    </row>
    <row r="6837" spans="1:14">
      <c r="A6837" s="6">
        <v>2025</v>
      </c>
      <c r="B6837" s="6">
        <v>11</v>
      </c>
      <c r="C6837" s="6" t="s">
        <v>70</v>
      </c>
      <c r="D6837" s="6" t="s">
        <v>764</v>
      </c>
      <c r="E6837" s="6" t="s">
        <v>455</v>
      </c>
      <c r="F6837" s="6" t="str">
        <f>IF($M6837="PADD I","PADD 1",IF($M6837="PADD II","PADD 2",IF($M6837="PADD III","PADD 3",IF($M6837="PADD IV","PADD 4",IF($M6837="PADD V","PADD 5","")))))</f>
        <v>PADD 3</v>
      </c>
      <c r="G6837" s="6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6" t="s">
        <v>494</v>
      </c>
      <c r="I6837" s="6" t="s">
        <v>14</v>
      </c>
      <c r="J6837" s="6" t="s">
        <v>394</v>
      </c>
      <c r="K6837" s="10">
        <v>6.785</v>
      </c>
      <c r="L6837" s="10">
        <v>29.5</v>
      </c>
      <c r="M6837" s="6" t="s">
        <v>421</v>
      </c>
      <c r="N6837" s="6" t="str">
        <f>IF(OR($G6837="FCC",$G6837="Hydrocracker",$G6837="Reformer"),IF(COUNTIFS($D:$D,$D6837,$A:$A,$A6837,$B:$B,$B6837,$G:$G,"CDU",$J:$J,"PLANNED")&gt;0,"tied","standalone"),"")</f>
        <v>standalone</v>
      </c>
    </row>
    <row r="6838" spans="1:14">
      <c r="A6838" s="6">
        <v>2025</v>
      </c>
      <c r="B6838" s="6">
        <v>11</v>
      </c>
      <c r="C6838" s="6" t="s">
        <v>70</v>
      </c>
      <c r="D6838" s="6" t="s">
        <v>613</v>
      </c>
      <c r="E6838" s="6" t="s">
        <v>446</v>
      </c>
      <c r="F6838" s="6" t="str">
        <f>IF($M6838="PADD I","PADD 1",IF($M6838="PADD II","PADD 2",IF($M6838="PADD III","PADD 3",IF($M6838="PADD IV","PADD 4",IF($M6838="PADD V","PADD 5","")))))</f>
        <v>PADD 3</v>
      </c>
      <c r="G6838" s="6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6" t="s">
        <v>44</v>
      </c>
      <c r="I6838" s="6" t="s">
        <v>499</v>
      </c>
      <c r="J6838" s="6" t="s">
        <v>394</v>
      </c>
      <c r="K6838" s="10">
        <v>6.545</v>
      </c>
      <c r="L6838" s="10">
        <v>38.5</v>
      </c>
      <c r="M6838" s="6" t="s">
        <v>421</v>
      </c>
      <c r="N6838" s="6">
        <f>IF(OR($G6838="FCC",$G6838="Hydrocracker",$G6838="Reformer"),IF(COUNTIFS($D:$D,$D6838,$A:$A,$A6838,$B:$B,$B6838,$G:$G,"CDU",$J:$J,"PLANNED")&gt;0,"tied","standalone"),"")</f>
        <v/>
      </c>
    </row>
    <row r="6839" spans="1:14">
      <c r="A6839" s="6">
        <v>2025</v>
      </c>
      <c r="B6839" s="6">
        <v>11</v>
      </c>
      <c r="C6839" s="6" t="s">
        <v>70</v>
      </c>
      <c r="D6839" s="6" t="s">
        <v>518</v>
      </c>
      <c r="E6839" s="6" t="s">
        <v>419</v>
      </c>
      <c r="F6839" s="6" t="str">
        <f>IF($M6839="PADD I","PADD 1",IF($M6839="PADD II","PADD 2",IF($M6839="PADD III","PADD 3",IF($M6839="PADD IV","PADD 4",IF($M6839="PADD V","PADD 5","")))))</f>
        <v>PADD 3</v>
      </c>
      <c r="G6839" s="6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6" t="s">
        <v>44</v>
      </c>
      <c r="I6839" s="6" t="s">
        <v>1080</v>
      </c>
      <c r="J6839" s="6" t="s">
        <v>398</v>
      </c>
      <c r="K6839" s="10">
        <v>5.4</v>
      </c>
      <c r="L6839" s="10">
        <v>20</v>
      </c>
      <c r="M6839" s="6" t="s">
        <v>421</v>
      </c>
      <c r="N6839" s="6">
        <f>IF(OR($G6839="FCC",$G6839="Hydrocracker",$G6839="Reformer"),IF(COUNTIFS($D:$D,$D6839,$A:$A,$A6839,$B:$B,$B6839,$G:$G,"CDU",$J:$J,"PLANNED")&gt;0,"tied","standalone"),"")</f>
        <v/>
      </c>
    </row>
    <row r="6840" spans="1:14">
      <c r="A6840" s="6">
        <v>2025</v>
      </c>
      <c r="B6840" s="6">
        <v>11</v>
      </c>
      <c r="C6840" s="6" t="s">
        <v>70</v>
      </c>
      <c r="D6840" s="6" t="s">
        <v>52</v>
      </c>
      <c r="E6840" s="6" t="s">
        <v>441</v>
      </c>
      <c r="F6840" s="6" t="str">
        <f>IF($M6840="PADD I","PADD 1",IF($M6840="PADD II","PADD 2",IF($M6840="PADD III","PADD 3",IF($M6840="PADD IV","PADD 4",IF($M6840="PADD V","PADD 5","")))))</f>
        <v>PADD 5</v>
      </c>
      <c r="G6840" s="6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6" t="s">
        <v>39</v>
      </c>
      <c r="I6840" s="6" t="s">
        <v>136</v>
      </c>
      <c r="J6840" s="6" t="s">
        <v>394</v>
      </c>
      <c r="K6840" s="10">
        <v>5.355</v>
      </c>
      <c r="L6840" s="10">
        <v>31.5</v>
      </c>
      <c r="M6840" s="6" t="s">
        <v>436</v>
      </c>
      <c r="N6840" s="6">
        <f>IF(OR($G6840="FCC",$G6840="Hydrocracker",$G6840="Reformer"),IF(COUNTIFS($D:$D,$D6840,$A:$A,$A6840,$B:$B,$B6840,$G:$G,"CDU",$J:$J,"PLANNED")&gt;0,"tied","standalone"),"")</f>
        <v/>
      </c>
    </row>
    <row r="6841" spans="1:14">
      <c r="A6841" s="6">
        <v>2025</v>
      </c>
      <c r="B6841" s="6">
        <v>11</v>
      </c>
      <c r="C6841" s="6" t="s">
        <v>70</v>
      </c>
      <c r="D6841" s="6" t="s">
        <v>395</v>
      </c>
      <c r="E6841" s="6" t="s">
        <v>433</v>
      </c>
      <c r="F6841" s="6" t="str">
        <f>IF($M6841="PADD I","PADD 1",IF($M6841="PADD II","PADD 2",IF($M6841="PADD III","PADD 3",IF($M6841="PADD IV","PADD 4",IF($M6841="PADD V","PADD 5","")))))</f>
        <v>PADD 2</v>
      </c>
      <c r="G6841" s="6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6" t="s">
        <v>494</v>
      </c>
      <c r="I6841" s="6" t="s">
        <v>513</v>
      </c>
      <c r="J6841" s="6" t="s">
        <v>394</v>
      </c>
      <c r="K6841" s="10">
        <v>5.2</v>
      </c>
      <c r="L6841" s="10">
        <v>52</v>
      </c>
      <c r="M6841" s="6" t="s">
        <v>425</v>
      </c>
      <c r="N6841" s="6" t="str">
        <f>IF(OR($G6841="FCC",$G6841="Hydrocracker",$G6841="Reformer"),IF(COUNTIFS($D:$D,$D6841,$A:$A,$A6841,$B:$B,$B6841,$G:$G,"CDU",$J:$J,"PLANNED")&gt;0,"tied","standalone"),"")</f>
        <v>standalone</v>
      </c>
    </row>
    <row r="6842" spans="1:14">
      <c r="A6842" s="6">
        <v>2025</v>
      </c>
      <c r="B6842" s="6">
        <v>11</v>
      </c>
      <c r="C6842" s="6" t="s">
        <v>70</v>
      </c>
      <c r="D6842" s="6" t="s">
        <v>689</v>
      </c>
      <c r="E6842" s="6" t="s">
        <v>502</v>
      </c>
      <c r="F6842" s="6" t="str">
        <f>IF($M6842="PADD I","PADD 1",IF($M6842="PADD II","PADD 2",IF($M6842="PADD III","PADD 3",IF($M6842="PADD IV","PADD 4",IF($M6842="PADD V","PADD 5","")))))</f>
        <v>PADD 5</v>
      </c>
      <c r="G6842" s="6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6" t="s">
        <v>471</v>
      </c>
      <c r="I6842" s="6" t="s">
        <v>956</v>
      </c>
      <c r="J6842" s="6" t="s">
        <v>398</v>
      </c>
      <c r="K6842" s="10">
        <v>5.1</v>
      </c>
      <c r="L6842" s="10">
        <v>17</v>
      </c>
      <c r="M6842" s="6" t="s">
        <v>436</v>
      </c>
      <c r="N6842" s="6" t="str">
        <f>IF(OR($G6842="FCC",$G6842="Hydrocracker",$G6842="Reformer"),IF(COUNTIFS($D:$D,$D6842,$A:$A,$A6842,$B:$B,$B6842,$G:$G,"CDU",$J:$J,"PLANNED")&gt;0,"tied","standalone"),"")</f>
        <v>standalone</v>
      </c>
    </row>
    <row r="6843" spans="1:14">
      <c r="A6843" s="6">
        <v>2025</v>
      </c>
      <c r="B6843" s="6">
        <v>11</v>
      </c>
      <c r="C6843" s="6" t="s">
        <v>70</v>
      </c>
      <c r="D6843" s="6" t="s">
        <v>613</v>
      </c>
      <c r="E6843" s="6" t="s">
        <v>446</v>
      </c>
      <c r="F6843" s="6" t="str">
        <f>IF($M6843="PADD I","PADD 1",IF($M6843="PADD II","PADD 2",IF($M6843="PADD III","PADD 3",IF($M6843="PADD IV","PADD 4",IF($M6843="PADD V","PADD 5","")))))</f>
        <v>PADD 3</v>
      </c>
      <c r="G6843" s="6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6" t="s">
        <v>44</v>
      </c>
      <c r="I6843" s="6" t="s">
        <v>499</v>
      </c>
      <c r="J6843" s="6" t="s">
        <v>394</v>
      </c>
      <c r="K6843" s="10">
        <v>5.005</v>
      </c>
      <c r="L6843" s="10">
        <v>38.5</v>
      </c>
      <c r="M6843" s="6" t="s">
        <v>421</v>
      </c>
      <c r="N6843" s="6">
        <f>IF(OR($G6843="FCC",$G6843="Hydrocracker",$G6843="Reformer"),IF(COUNTIFS($D:$D,$D6843,$A:$A,$A6843,$B:$B,$B6843,$G:$G,"CDU",$J:$J,"PLANNED")&gt;0,"tied","standalone"),"")</f>
        <v/>
      </c>
    </row>
    <row r="6844" spans="1:14">
      <c r="A6844" s="6">
        <v>2025</v>
      </c>
      <c r="B6844" s="6">
        <v>11</v>
      </c>
      <c r="C6844" s="6" t="s">
        <v>70</v>
      </c>
      <c r="D6844" s="6" t="s">
        <v>1088</v>
      </c>
      <c r="E6844" s="6" t="s">
        <v>1089</v>
      </c>
      <c r="F6844" s="6" t="str">
        <f>IF($M6844="PADD I","PADD 1",IF($M6844="PADD II","PADD 2",IF($M6844="PADD III","PADD 3",IF($M6844="PADD IV","PADD 4",IF($M6844="PADD V","PADD 5","")))))</f>
        <v>PADD 2</v>
      </c>
      <c r="G6844" s="6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6" t="s">
        <v>471</v>
      </c>
      <c r="I6844" s="6" t="s">
        <v>1096</v>
      </c>
      <c r="J6844" s="6" t="s">
        <v>398</v>
      </c>
      <c r="K6844" s="10">
        <v>4.6</v>
      </c>
      <c r="L6844" s="10">
        <v>20</v>
      </c>
      <c r="M6844" s="6" t="s">
        <v>425</v>
      </c>
      <c r="N6844" s="6" t="str">
        <f>IF(OR($G6844="FCC",$G6844="Hydrocracker",$G6844="Reformer"),IF(COUNTIFS($D:$D,$D6844,$A:$A,$A6844,$B:$B,$B6844,$G:$G,"CDU",$J:$J,"PLANNED")&gt;0,"tied","standalone"),"")</f>
        <v>tied</v>
      </c>
    </row>
    <row r="6845" spans="1:14">
      <c r="A6845" s="6">
        <v>2025</v>
      </c>
      <c r="B6845" s="6">
        <v>11</v>
      </c>
      <c r="C6845" s="6" t="s">
        <v>70</v>
      </c>
      <c r="D6845" s="6" t="s">
        <v>689</v>
      </c>
      <c r="E6845" s="6" t="s">
        <v>502</v>
      </c>
      <c r="F6845" s="6" t="str">
        <f>IF($M6845="PADD I","PADD 1",IF($M6845="PADD II","PADD 2",IF($M6845="PADD III","PADD 3",IF($M6845="PADD IV","PADD 4",IF($M6845="PADD V","PADD 5","")))))</f>
        <v>PADD 5</v>
      </c>
      <c r="G6845" s="6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6" t="s">
        <v>39</v>
      </c>
      <c r="I6845" s="6" t="s">
        <v>690</v>
      </c>
      <c r="J6845" s="6" t="s">
        <v>394</v>
      </c>
      <c r="K6845" s="10">
        <v>4.47</v>
      </c>
      <c r="L6845" s="10">
        <v>149</v>
      </c>
      <c r="M6845" s="6" t="s">
        <v>436</v>
      </c>
      <c r="N6845" s="6">
        <f>IF(OR($G6845="FCC",$G6845="Hydrocracker",$G6845="Reformer"),IF(COUNTIFS($D:$D,$D6845,$A:$A,$A6845,$B:$B,$B6845,$G:$G,"CDU",$J:$J,"PLANNED")&gt;0,"tied","standalone"),"")</f>
        <v/>
      </c>
    </row>
    <row r="6846" spans="1:14">
      <c r="A6846" s="6">
        <v>2025</v>
      </c>
      <c r="B6846" s="6">
        <v>11</v>
      </c>
      <c r="C6846" s="6" t="s">
        <v>70</v>
      </c>
      <c r="D6846" s="6" t="s">
        <v>1113</v>
      </c>
      <c r="E6846" s="6" t="s">
        <v>438</v>
      </c>
      <c r="F6846" s="6" t="str">
        <f>IF($M6846="PADD I","PADD 1",IF($M6846="PADD II","PADD 2",IF($M6846="PADD III","PADD 3",IF($M6846="PADD IV","PADD 4",IF($M6846="PADD V","PADD 5","")))))</f>
        <v>PADD 2</v>
      </c>
      <c r="G6846" s="6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6" t="s">
        <v>39</v>
      </c>
      <c r="I6846" s="6" t="s">
        <v>82</v>
      </c>
      <c r="J6846" s="6" t="s">
        <v>394</v>
      </c>
      <c r="K6846" s="10">
        <v>4.41</v>
      </c>
      <c r="L6846" s="10">
        <v>147</v>
      </c>
      <c r="M6846" s="6" t="s">
        <v>425</v>
      </c>
      <c r="N6846" s="6">
        <f>IF(OR($G6846="FCC",$G6846="Hydrocracker",$G6846="Reformer"),IF(COUNTIFS($D:$D,$D6846,$A:$A,$A6846,$B:$B,$B6846,$G:$G,"CDU",$J:$J,"PLANNED")&gt;0,"tied","standalone"),"")</f>
        <v/>
      </c>
    </row>
    <row r="6847" spans="1:14">
      <c r="A6847" s="6">
        <v>2025</v>
      </c>
      <c r="B6847" s="6">
        <v>11</v>
      </c>
      <c r="C6847" s="6" t="s">
        <v>70</v>
      </c>
      <c r="D6847" s="6" t="s">
        <v>375</v>
      </c>
      <c r="E6847" s="6" t="s">
        <v>435</v>
      </c>
      <c r="F6847" s="6" t="str">
        <f>IF($M6847="PADD I","PADD 1",IF($M6847="PADD II","PADD 2",IF($M6847="PADD III","PADD 3",IF($M6847="PADD IV","PADD 4",IF($M6847="PADD V","PADD 5","")))))</f>
        <v>PADD 5</v>
      </c>
      <c r="G6847" s="6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6" t="s">
        <v>510</v>
      </c>
      <c r="I6847" s="6" t="s">
        <v>1338</v>
      </c>
      <c r="J6847" s="6" t="s">
        <v>394</v>
      </c>
      <c r="K6847" s="10">
        <v>4.2</v>
      </c>
      <c r="L6847" s="10">
        <v>4.2</v>
      </c>
      <c r="M6847" s="6" t="s">
        <v>436</v>
      </c>
      <c r="N6847" s="6">
        <f>IF(OR($G6847="FCC",$G6847="Hydrocracker",$G6847="Reformer"),IF(COUNTIFS($D:$D,$D6847,$A:$A,$A6847,$B:$B,$B6847,$G:$G,"CDU",$J:$J,"PLANNED")&gt;0,"tied","standalone"),"")</f>
        <v/>
      </c>
    </row>
    <row r="6848" spans="1:14">
      <c r="A6848" s="6">
        <v>2025</v>
      </c>
      <c r="B6848" s="6">
        <v>11</v>
      </c>
      <c r="C6848" s="6" t="s">
        <v>70</v>
      </c>
      <c r="D6848" s="6" t="s">
        <v>52</v>
      </c>
      <c r="E6848" s="6" t="s">
        <v>441</v>
      </c>
      <c r="F6848" s="6" t="str">
        <f>IF($M6848="PADD I","PADD 1",IF($M6848="PADD II","PADD 2",IF($M6848="PADD III","PADD 3",IF($M6848="PADD IV","PADD 4",IF($M6848="PADD V","PADD 5","")))))</f>
        <v>PADD 5</v>
      </c>
      <c r="G6848" s="6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6" t="s">
        <v>44</v>
      </c>
      <c r="I6848" s="6" t="s">
        <v>1217</v>
      </c>
      <c r="J6848" s="6" t="s">
        <v>394</v>
      </c>
      <c r="K6848" s="10">
        <v>4.165</v>
      </c>
      <c r="L6848" s="10">
        <v>24.5</v>
      </c>
      <c r="M6848" s="6" t="s">
        <v>436</v>
      </c>
      <c r="N6848" s="6">
        <f>IF(OR($G6848="FCC",$G6848="Hydrocracker",$G6848="Reformer"),IF(COUNTIFS($D:$D,$D6848,$A:$A,$A6848,$B:$B,$B6848,$G:$G,"CDU",$J:$J,"PLANNED")&gt;0,"tied","standalone"),"")</f>
        <v/>
      </c>
    </row>
    <row r="6849" spans="1:14">
      <c r="A6849" s="6">
        <v>2025</v>
      </c>
      <c r="B6849" s="6">
        <v>11</v>
      </c>
      <c r="C6849" s="6" t="s">
        <v>70</v>
      </c>
      <c r="D6849" s="6" t="s">
        <v>1088</v>
      </c>
      <c r="E6849" s="6" t="s">
        <v>1089</v>
      </c>
      <c r="F6849" s="6" t="str">
        <f>IF($M6849="PADD I","PADD 1",IF($M6849="PADD II","PADD 2",IF($M6849="PADD III","PADD 3",IF($M6849="PADD IV","PADD 4",IF($M6849="PADD V","PADD 5","")))))</f>
        <v>PADD 2</v>
      </c>
      <c r="G6849" s="6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6" t="s">
        <v>44</v>
      </c>
      <c r="I6849" s="6" t="s">
        <v>1247</v>
      </c>
      <c r="J6849" s="6" t="s">
        <v>398</v>
      </c>
      <c r="K6849" s="10">
        <v>4.14</v>
      </c>
      <c r="L6849" s="10">
        <v>18</v>
      </c>
      <c r="M6849" s="6" t="s">
        <v>425</v>
      </c>
      <c r="N6849" s="6">
        <f>IF(OR($G6849="FCC",$G6849="Hydrocracker",$G6849="Reformer"),IF(COUNTIFS($D:$D,$D6849,$A:$A,$A6849,$B:$B,$B6849,$G:$G,"CDU",$J:$J,"PLANNED")&gt;0,"tied","standalone"),"")</f>
        <v/>
      </c>
    </row>
    <row r="6850" spans="1:14">
      <c r="A6850" s="6">
        <v>2025</v>
      </c>
      <c r="B6850" s="6">
        <v>11</v>
      </c>
      <c r="C6850" s="6" t="s">
        <v>70</v>
      </c>
      <c r="D6850" s="6" t="s">
        <v>849</v>
      </c>
      <c r="E6850" s="6" t="s">
        <v>441</v>
      </c>
      <c r="F6850" s="6" t="str">
        <f>IF($M6850="PADD I","PADD 1",IF($M6850="PADD II","PADD 2",IF($M6850="PADD III","PADD 3",IF($M6850="PADD IV","PADD 4",IF($M6850="PADD V","PADD 5","")))))</f>
        <v>PADD 4</v>
      </c>
      <c r="G6850" s="6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6" t="s">
        <v>44</v>
      </c>
      <c r="I6850" s="6" t="s">
        <v>1117</v>
      </c>
      <c r="J6850" s="6" t="s">
        <v>398</v>
      </c>
      <c r="K6850" s="10">
        <v>4.05</v>
      </c>
      <c r="L6850" s="10">
        <v>15</v>
      </c>
      <c r="M6850" s="6" t="s">
        <v>480</v>
      </c>
      <c r="N6850" s="6">
        <f>IF(OR($G6850="FCC",$G6850="Hydrocracker",$G6850="Reformer"),IF(COUNTIFS($D:$D,$D6850,$A:$A,$A6850,$B:$B,$B6850,$G:$G,"CDU",$J:$J,"PLANNED")&gt;0,"tied","standalone"),"")</f>
        <v/>
      </c>
    </row>
    <row r="6851" spans="1:14">
      <c r="A6851" s="6">
        <v>2025</v>
      </c>
      <c r="B6851" s="6">
        <v>11</v>
      </c>
      <c r="C6851" s="6" t="s">
        <v>70</v>
      </c>
      <c r="D6851" s="6" t="s">
        <v>52</v>
      </c>
      <c r="E6851" s="6" t="s">
        <v>441</v>
      </c>
      <c r="F6851" s="6" t="str">
        <f>IF($M6851="PADD I","PADD 1",IF($M6851="PADD II","PADD 2",IF($M6851="PADD III","PADD 3",IF($M6851="PADD IV","PADD 4",IF($M6851="PADD V","PADD 5","")))))</f>
        <v>PADD 5</v>
      </c>
      <c r="G6851" s="6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6" t="s">
        <v>44</v>
      </c>
      <c r="I6851" s="6" t="s">
        <v>1280</v>
      </c>
      <c r="J6851" s="6" t="s">
        <v>394</v>
      </c>
      <c r="K6851" s="10">
        <v>4.046</v>
      </c>
      <c r="L6851" s="10">
        <v>23.8</v>
      </c>
      <c r="M6851" s="6" t="s">
        <v>436</v>
      </c>
      <c r="N6851" s="6">
        <f>IF(OR($G6851="FCC",$G6851="Hydrocracker",$G6851="Reformer"),IF(COUNTIFS($D:$D,$D6851,$A:$A,$A6851,$B:$B,$B6851,$G:$G,"CDU",$J:$J,"PLANNED")&gt;0,"tied","standalone"),"")</f>
        <v/>
      </c>
    </row>
    <row r="6852" spans="1:14">
      <c r="A6852" s="6">
        <v>2025</v>
      </c>
      <c r="B6852" s="6">
        <v>11</v>
      </c>
      <c r="C6852" s="6" t="s">
        <v>70</v>
      </c>
      <c r="D6852" s="6" t="s">
        <v>458</v>
      </c>
      <c r="E6852" s="6" t="s">
        <v>459</v>
      </c>
      <c r="F6852" s="6" t="str">
        <f>IF($M6852="PADD I","PADD 1",IF($M6852="PADD II","PADD 2",IF($M6852="PADD III","PADD 3",IF($M6852="PADD IV","PADD 4",IF($M6852="PADD V","PADD 5","")))))</f>
        <v>PADD 3</v>
      </c>
      <c r="G6852" s="6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6" t="s">
        <v>510</v>
      </c>
      <c r="I6852" s="6" t="s">
        <v>656</v>
      </c>
      <c r="J6852" s="6" t="s">
        <v>398</v>
      </c>
      <c r="K6852" s="10">
        <v>4</v>
      </c>
      <c r="L6852" s="10">
        <v>5</v>
      </c>
      <c r="M6852" s="6" t="s">
        <v>421</v>
      </c>
      <c r="N6852" s="6">
        <f>IF(OR($G6852="FCC",$G6852="Hydrocracker",$G6852="Reformer"),IF(COUNTIFS($D:$D,$D6852,$A:$A,$A6852,$B:$B,$B6852,$G:$G,"CDU",$J:$J,"PLANNED")&gt;0,"tied","standalone"),"")</f>
        <v/>
      </c>
    </row>
    <row r="6853" spans="1:14">
      <c r="A6853" s="6">
        <v>2025</v>
      </c>
      <c r="B6853" s="6">
        <v>11</v>
      </c>
      <c r="C6853" s="6" t="s">
        <v>70</v>
      </c>
      <c r="D6853" s="6" t="s">
        <v>764</v>
      </c>
      <c r="E6853" s="6" t="s">
        <v>455</v>
      </c>
      <c r="F6853" s="6" t="str">
        <f>IF($M6853="PADD I","PADD 1",IF($M6853="PADD II","PADD 2",IF($M6853="PADD III","PADD 3",IF($M6853="PADD IV","PADD 4",IF($M6853="PADD V","PADD 5","")))))</f>
        <v>PADD 3</v>
      </c>
      <c r="G6853" s="6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6" t="s">
        <v>426</v>
      </c>
      <c r="I6853" s="6" t="s">
        <v>106</v>
      </c>
      <c r="J6853" s="6" t="s">
        <v>394</v>
      </c>
      <c r="K6853" s="10">
        <v>3.8129</v>
      </c>
      <c r="L6853" s="10">
        <v>54.47</v>
      </c>
      <c r="M6853" s="6" t="s">
        <v>421</v>
      </c>
      <c r="N6853" s="6" t="str">
        <f>IF(OR($G6853="FCC",$G6853="Hydrocracker",$G6853="Reformer"),IF(COUNTIFS($D:$D,$D6853,$A:$A,$A6853,$B:$B,$B6853,$G:$G,"CDU",$J:$J,"PLANNED")&gt;0,"tied","standalone"),"")</f>
        <v>standalone</v>
      </c>
    </row>
    <row r="6854" spans="1:14">
      <c r="A6854" s="6">
        <v>2025</v>
      </c>
      <c r="B6854" s="6">
        <v>11</v>
      </c>
      <c r="C6854" s="6" t="s">
        <v>70</v>
      </c>
      <c r="D6854" s="6" t="s">
        <v>518</v>
      </c>
      <c r="E6854" s="6" t="s">
        <v>419</v>
      </c>
      <c r="F6854" s="6" t="str">
        <f>IF($M6854="PADD I","PADD 1",IF($M6854="PADD II","PADD 2",IF($M6854="PADD III","PADD 3",IF($M6854="PADD IV","PADD 4",IF($M6854="PADD V","PADD 5","")))))</f>
        <v>PADD 3</v>
      </c>
      <c r="G6854" s="6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6" t="s">
        <v>510</v>
      </c>
      <c r="I6854" s="6" t="s">
        <v>940</v>
      </c>
      <c r="J6854" s="6" t="s">
        <v>398</v>
      </c>
      <c r="K6854" s="10">
        <v>3.78</v>
      </c>
      <c r="L6854" s="10">
        <v>14</v>
      </c>
      <c r="M6854" s="6" t="s">
        <v>421</v>
      </c>
      <c r="N6854" s="6">
        <f>IF(OR($G6854="FCC",$G6854="Hydrocracker",$G6854="Reformer"),IF(COUNTIFS($D:$D,$D6854,$A:$A,$A6854,$B:$B,$B6854,$G:$G,"CDU",$J:$J,"PLANNED")&gt;0,"tied","standalone"),"")</f>
        <v/>
      </c>
    </row>
    <row r="6855" spans="1:14">
      <c r="A6855" s="6">
        <v>2025</v>
      </c>
      <c r="B6855" s="6">
        <v>11</v>
      </c>
      <c r="C6855" s="6" t="s">
        <v>70</v>
      </c>
      <c r="D6855" s="6" t="s">
        <v>689</v>
      </c>
      <c r="E6855" s="6" t="s">
        <v>502</v>
      </c>
      <c r="F6855" s="6" t="str">
        <f>IF($M6855="PADD I","PADD 1",IF($M6855="PADD II","PADD 2",IF($M6855="PADD III","PADD 3",IF($M6855="PADD IV","PADD 4",IF($M6855="PADD V","PADD 5","")))))</f>
        <v>PADD 5</v>
      </c>
      <c r="G6855" s="6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6" t="s">
        <v>618</v>
      </c>
      <c r="I6855" s="6" t="s">
        <v>763</v>
      </c>
      <c r="J6855" s="6" t="s">
        <v>398</v>
      </c>
      <c r="K6855" s="10">
        <v>3.6</v>
      </c>
      <c r="L6855" s="10">
        <v>12</v>
      </c>
      <c r="M6855" s="6" t="s">
        <v>436</v>
      </c>
      <c r="N6855" s="6">
        <f>IF(OR($G6855="FCC",$G6855="Hydrocracker",$G6855="Reformer"),IF(COUNTIFS($D:$D,$D6855,$A:$A,$A6855,$B:$B,$B6855,$G:$G,"CDU",$J:$J,"PLANNED")&gt;0,"tied","standalone"),"")</f>
        <v/>
      </c>
    </row>
    <row r="6856" spans="1:14">
      <c r="A6856" s="6">
        <v>2025</v>
      </c>
      <c r="B6856" s="6">
        <v>11</v>
      </c>
      <c r="C6856" s="6" t="s">
        <v>70</v>
      </c>
      <c r="D6856" s="6" t="s">
        <v>849</v>
      </c>
      <c r="E6856" s="6" t="s">
        <v>441</v>
      </c>
      <c r="F6856" s="6" t="str">
        <f>IF($M6856="PADD I","PADD 1",IF($M6856="PADD II","PADD 2",IF($M6856="PADD III","PADD 3",IF($M6856="PADD IV","PADD 4",IF($M6856="PADD V","PADD 5","")))))</f>
        <v>PADD 4</v>
      </c>
      <c r="G6856" s="6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6" t="s">
        <v>426</v>
      </c>
      <c r="I6856" s="6" t="s">
        <v>850</v>
      </c>
      <c r="J6856" s="6" t="s">
        <v>398</v>
      </c>
      <c r="K6856" s="10">
        <v>3.51</v>
      </c>
      <c r="L6856" s="10">
        <v>13</v>
      </c>
      <c r="M6856" s="6" t="s">
        <v>480</v>
      </c>
      <c r="N6856" s="6" t="str">
        <f>IF(OR($G6856="FCC",$G6856="Hydrocracker",$G6856="Reformer"),IF(COUNTIFS($D:$D,$D6856,$A:$A,$A6856,$B:$B,$B6856,$G:$G,"CDU",$J:$J,"PLANNED")&gt;0,"tied","standalone"),"")</f>
        <v>standalone</v>
      </c>
    </row>
    <row r="6857" spans="1:14">
      <c r="A6857" s="6">
        <v>2025</v>
      </c>
      <c r="B6857" s="6">
        <v>11</v>
      </c>
      <c r="C6857" s="6" t="s">
        <v>70</v>
      </c>
      <c r="D6857" s="6" t="s">
        <v>581</v>
      </c>
      <c r="E6857" s="6" t="s">
        <v>582</v>
      </c>
      <c r="F6857" s="6" t="str">
        <f>IF($M6857="PADD I","PADD 1",IF($M6857="PADD II","PADD 2",IF($M6857="PADD III","PADD 3",IF($M6857="PADD IV","PADD 4",IF($M6857="PADD V","PADD 5","")))))</f>
        <v>PADD 5</v>
      </c>
      <c r="G6857" s="6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6" t="s">
        <v>485</v>
      </c>
      <c r="I6857" s="6" t="s">
        <v>664</v>
      </c>
      <c r="J6857" s="6" t="s">
        <v>394</v>
      </c>
      <c r="K6857" s="10">
        <v>3.51</v>
      </c>
      <c r="L6857" s="10">
        <v>27</v>
      </c>
      <c r="M6857" s="6" t="s">
        <v>436</v>
      </c>
      <c r="N6857" s="6">
        <f>IF(OR($G6857="FCC",$G6857="Hydrocracker",$G6857="Reformer"),IF(COUNTIFS($D:$D,$D6857,$A:$A,$A6857,$B:$B,$B6857,$G:$G,"CDU",$J:$J,"PLANNED")&gt;0,"tied","standalone"),"")</f>
        <v/>
      </c>
    </row>
    <row r="6858" spans="1:14">
      <c r="A6858" s="6">
        <v>2025</v>
      </c>
      <c r="B6858" s="6">
        <v>11</v>
      </c>
      <c r="C6858" s="6" t="s">
        <v>70</v>
      </c>
      <c r="D6858" s="6" t="s">
        <v>1113</v>
      </c>
      <c r="E6858" s="6" t="s">
        <v>438</v>
      </c>
      <c r="F6858" s="6" t="str">
        <f>IF($M6858="PADD I","PADD 1",IF($M6858="PADD II","PADD 2",IF($M6858="PADD III","PADD 3",IF($M6858="PADD IV","PADD 4",IF($M6858="PADD V","PADD 5","")))))</f>
        <v>PADD 2</v>
      </c>
      <c r="G6858" s="6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6" t="s">
        <v>426</v>
      </c>
      <c r="I6858" s="6" t="s">
        <v>106</v>
      </c>
      <c r="J6858" s="6" t="s">
        <v>394</v>
      </c>
      <c r="K6858" s="10">
        <v>3.5</v>
      </c>
      <c r="L6858" s="10">
        <v>35</v>
      </c>
      <c r="M6858" s="6" t="s">
        <v>425</v>
      </c>
      <c r="N6858" s="6" t="str">
        <f>IF(OR($G6858="FCC",$G6858="Hydrocracker",$G6858="Reformer"),IF(COUNTIFS($D:$D,$D6858,$A:$A,$A6858,$B:$B,$B6858,$G:$G,"CDU",$J:$J,"PLANNED")&gt;0,"tied","standalone"),"")</f>
        <v>standalone</v>
      </c>
    </row>
    <row r="6859" spans="1:14">
      <c r="A6859" s="6">
        <v>2025</v>
      </c>
      <c r="B6859" s="6">
        <v>11</v>
      </c>
      <c r="C6859" s="6" t="s">
        <v>70</v>
      </c>
      <c r="D6859" s="6" t="s">
        <v>772</v>
      </c>
      <c r="E6859" s="6" t="s">
        <v>502</v>
      </c>
      <c r="F6859" s="6" t="str">
        <f>IF($M6859="PADD I","PADD 1",IF($M6859="PADD II","PADD 2",IF($M6859="PADD III","PADD 3",IF($M6859="PADD IV","PADD 4",IF($M6859="PADD V","PADD 5","")))))</f>
        <v>PADD 4</v>
      </c>
      <c r="G6859" s="6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6" t="s">
        <v>39</v>
      </c>
      <c r="I6859" s="6" t="s">
        <v>82</v>
      </c>
      <c r="J6859" s="6" t="s">
        <v>394</v>
      </c>
      <c r="K6859" s="10">
        <v>3.45</v>
      </c>
      <c r="L6859" s="10">
        <v>15</v>
      </c>
      <c r="M6859" s="6" t="s">
        <v>480</v>
      </c>
      <c r="N6859" s="6">
        <f>IF(OR($G6859="FCC",$G6859="Hydrocracker",$G6859="Reformer"),IF(COUNTIFS($D:$D,$D6859,$A:$A,$A6859,$B:$B,$B6859,$G:$G,"CDU",$J:$J,"PLANNED")&gt;0,"tied","standalone"),"")</f>
        <v/>
      </c>
    </row>
    <row r="6860" spans="1:14">
      <c r="A6860" s="6">
        <v>2025</v>
      </c>
      <c r="B6860" s="6">
        <v>11</v>
      </c>
      <c r="C6860" s="6" t="s">
        <v>70</v>
      </c>
      <c r="D6860" s="6" t="s">
        <v>484</v>
      </c>
      <c r="E6860" s="6" t="s">
        <v>438</v>
      </c>
      <c r="F6860" s="6" t="str">
        <f>IF($M6860="PADD I","PADD 1",IF($M6860="PADD II","PADD 2",IF($M6860="PADD III","PADD 3",IF($M6860="PADD IV","PADD 4",IF($M6860="PADD V","PADD 5","")))))</f>
        <v>PADD 5</v>
      </c>
      <c r="G6860" s="6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6" t="s">
        <v>494</v>
      </c>
      <c r="I6860" s="6" t="s">
        <v>14</v>
      </c>
      <c r="J6860" s="6" t="s">
        <v>394</v>
      </c>
      <c r="K6860" s="10">
        <v>3.2</v>
      </c>
      <c r="L6860" s="10">
        <v>32</v>
      </c>
      <c r="M6860" s="6" t="s">
        <v>436</v>
      </c>
      <c r="N6860" s="6" t="str">
        <f>IF(OR($G6860="FCC",$G6860="Hydrocracker",$G6860="Reformer"),IF(COUNTIFS($D:$D,$D6860,$A:$A,$A6860,$B:$B,$B6860,$G:$G,"CDU",$J:$J,"PLANNED")&gt;0,"tied","standalone"),"")</f>
        <v>standalone</v>
      </c>
    </row>
    <row r="6861" spans="1:14">
      <c r="A6861" s="6">
        <v>2025</v>
      </c>
      <c r="B6861" s="6">
        <v>11</v>
      </c>
      <c r="C6861" s="6" t="s">
        <v>70</v>
      </c>
      <c r="D6861" s="6" t="s">
        <v>1273</v>
      </c>
      <c r="E6861" s="6" t="s">
        <v>1089</v>
      </c>
      <c r="F6861" s="6" t="str">
        <f>IF($M6861="PADD I","PADD 1",IF($M6861="PADD II","PADD 2",IF($M6861="PADD III","PADD 3",IF($M6861="PADD IV","PADD 4",IF($M6861="PADD V","PADD 5","")))))</f>
        <v>PADD 2</v>
      </c>
      <c r="G6861" s="6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6" t="s">
        <v>471</v>
      </c>
      <c r="I6861" s="6" t="s">
        <v>15</v>
      </c>
      <c r="J6861" s="6" t="s">
        <v>394</v>
      </c>
      <c r="K6861" s="10">
        <v>3.0525</v>
      </c>
      <c r="L6861" s="10">
        <v>8.25</v>
      </c>
      <c r="M6861" s="6" t="s">
        <v>425</v>
      </c>
      <c r="N6861" s="6" t="str">
        <f>IF(OR($G6861="FCC",$G6861="Hydrocracker",$G6861="Reformer"),IF(COUNTIFS($D:$D,$D6861,$A:$A,$A6861,$B:$B,$B6861,$G:$G,"CDU",$J:$J,"PLANNED")&gt;0,"tied","standalone"),"")</f>
        <v>standalone</v>
      </c>
    </row>
    <row r="6862" spans="1:14">
      <c r="A6862" s="6">
        <v>2025</v>
      </c>
      <c r="B6862" s="6">
        <v>11</v>
      </c>
      <c r="C6862" s="6" t="s">
        <v>70</v>
      </c>
      <c r="D6862" s="6" t="s">
        <v>1113</v>
      </c>
      <c r="E6862" s="6" t="s">
        <v>438</v>
      </c>
      <c r="F6862" s="6" t="str">
        <f>IF($M6862="PADD I","PADD 1",IF($M6862="PADD II","PADD 2",IF($M6862="PADD III","PADD 3",IF($M6862="PADD IV","PADD 4",IF($M6862="PADD V","PADD 5","")))))</f>
        <v>PADD 2</v>
      </c>
      <c r="G6862" s="6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6" t="s">
        <v>44</v>
      </c>
      <c r="I6862" s="6" t="s">
        <v>739</v>
      </c>
      <c r="J6862" s="6" t="s">
        <v>394</v>
      </c>
      <c r="K6862" s="10">
        <v>3.01</v>
      </c>
      <c r="L6862" s="10">
        <v>7</v>
      </c>
      <c r="M6862" s="6" t="s">
        <v>425</v>
      </c>
      <c r="N6862" s="6">
        <f>IF(OR($G6862="FCC",$G6862="Hydrocracker",$G6862="Reformer"),IF(COUNTIFS($D:$D,$D6862,$A:$A,$A6862,$B:$B,$B6862,$G:$G,"CDU",$J:$J,"PLANNED")&gt;0,"tied","standalone"),"")</f>
        <v/>
      </c>
    </row>
    <row r="6863" spans="1:14">
      <c r="A6863" s="6">
        <v>2025</v>
      </c>
      <c r="B6863" s="6">
        <v>11</v>
      </c>
      <c r="C6863" s="6" t="s">
        <v>70</v>
      </c>
      <c r="D6863" s="6" t="s">
        <v>395</v>
      </c>
      <c r="E6863" s="6" t="s">
        <v>433</v>
      </c>
      <c r="F6863" s="6" t="str">
        <f>IF($M6863="PADD I","PADD 1",IF($M6863="PADD II","PADD 2",IF($M6863="PADD III","PADD 3",IF($M6863="PADD IV","PADD 4",IF($M6863="PADD V","PADD 5","")))))</f>
        <v>PADD 2</v>
      </c>
      <c r="G6863" s="6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6" t="s">
        <v>471</v>
      </c>
      <c r="I6863" s="6" t="s">
        <v>521</v>
      </c>
      <c r="J6863" s="6" t="s">
        <v>394</v>
      </c>
      <c r="K6863" s="10">
        <v>3</v>
      </c>
      <c r="L6863" s="10">
        <v>30</v>
      </c>
      <c r="M6863" s="6" t="s">
        <v>425</v>
      </c>
      <c r="N6863" s="6" t="str">
        <f>IF(OR($G6863="FCC",$G6863="Hydrocracker",$G6863="Reformer"),IF(COUNTIFS($D:$D,$D6863,$A:$A,$A6863,$B:$B,$B6863,$G:$G,"CDU",$J:$J,"PLANNED")&gt;0,"tied","standalone"),"")</f>
        <v>standalone</v>
      </c>
    </row>
    <row r="6864" spans="1:14">
      <c r="A6864" s="6">
        <v>2025</v>
      </c>
      <c r="B6864" s="6">
        <v>11</v>
      </c>
      <c r="C6864" s="6" t="s">
        <v>70</v>
      </c>
      <c r="D6864" s="6" t="s">
        <v>1113</v>
      </c>
      <c r="E6864" s="6" t="s">
        <v>438</v>
      </c>
      <c r="F6864" s="6" t="str">
        <f>IF($M6864="PADD I","PADD 1",IF($M6864="PADD II","PADD 2",IF($M6864="PADD III","PADD 3",IF($M6864="PADD IV","PADD 4",IF($M6864="PADD V","PADD 5","")))))</f>
        <v>PADD 2</v>
      </c>
      <c r="G6864" s="6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6" t="s">
        <v>485</v>
      </c>
      <c r="I6864" s="6" t="s">
        <v>491</v>
      </c>
      <c r="J6864" s="6" t="s">
        <v>394</v>
      </c>
      <c r="K6864" s="10">
        <v>2.8</v>
      </c>
      <c r="L6864" s="10">
        <v>28</v>
      </c>
      <c r="M6864" s="6" t="s">
        <v>425</v>
      </c>
      <c r="N6864" s="6">
        <f>IF(OR($G6864="FCC",$G6864="Hydrocracker",$G6864="Reformer"),IF(COUNTIFS($D:$D,$D6864,$A:$A,$A6864,$B:$B,$B6864,$G:$G,"CDU",$J:$J,"PLANNED")&gt;0,"tied","standalone"),"")</f>
        <v/>
      </c>
    </row>
    <row r="6865" spans="1:14">
      <c r="A6865" s="6">
        <v>2025</v>
      </c>
      <c r="B6865" s="6">
        <v>11</v>
      </c>
      <c r="C6865" s="6" t="s">
        <v>70</v>
      </c>
      <c r="D6865" s="6" t="s">
        <v>928</v>
      </c>
      <c r="E6865" s="6" t="s">
        <v>502</v>
      </c>
      <c r="F6865" s="6" t="str">
        <f>IF($M6865="PADD I","PADD 1",IF($M6865="PADD II","PADD 2",IF($M6865="PADD III","PADD 3",IF($M6865="PADD IV","PADD 4",IF($M6865="PADD V","PADD 5","")))))</f>
        <v>PADD 2</v>
      </c>
      <c r="G6865" s="6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6" t="s">
        <v>39</v>
      </c>
      <c r="I6865" s="6" t="s">
        <v>929</v>
      </c>
      <c r="J6865" s="6" t="s">
        <v>394</v>
      </c>
      <c r="K6865" s="10">
        <v>2.7306</v>
      </c>
      <c r="L6865" s="10">
        <v>91.02</v>
      </c>
      <c r="M6865" s="6" t="s">
        <v>425</v>
      </c>
      <c r="N6865" s="6">
        <f>IF(OR($G6865="FCC",$G6865="Hydrocracker",$G6865="Reformer"),IF(COUNTIFS($D:$D,$D6865,$A:$A,$A6865,$B:$B,$B6865,$G:$G,"CDU",$J:$J,"PLANNED")&gt;0,"tied","standalone"),"")</f>
        <v/>
      </c>
    </row>
    <row r="6866" spans="1:14">
      <c r="A6866" s="6">
        <v>2025</v>
      </c>
      <c r="B6866" s="6">
        <v>11</v>
      </c>
      <c r="C6866" s="6" t="s">
        <v>70</v>
      </c>
      <c r="D6866" s="6" t="s">
        <v>52</v>
      </c>
      <c r="E6866" s="6" t="s">
        <v>441</v>
      </c>
      <c r="F6866" s="6" t="str">
        <f>IF($M6866="PADD I","PADD 1",IF($M6866="PADD II","PADD 2",IF($M6866="PADD III","PADD 3",IF($M6866="PADD IV","PADD 4",IF($M6866="PADD V","PADD 5","")))))</f>
        <v>PADD 5</v>
      </c>
      <c r="G6866" s="6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6" t="s">
        <v>44</v>
      </c>
      <c r="I6866" s="6" t="s">
        <v>909</v>
      </c>
      <c r="J6866" s="6" t="s">
        <v>394</v>
      </c>
      <c r="K6866" s="10">
        <v>2.38</v>
      </c>
      <c r="L6866" s="10">
        <v>14</v>
      </c>
      <c r="M6866" s="6" t="s">
        <v>436</v>
      </c>
      <c r="N6866" s="6">
        <f>IF(OR($G6866="FCC",$G6866="Hydrocracker",$G6866="Reformer"),IF(COUNTIFS($D:$D,$D6866,$A:$A,$A6866,$B:$B,$B6866,$G:$G,"CDU",$J:$J,"PLANNED")&gt;0,"tied","standalone"),"")</f>
        <v/>
      </c>
    </row>
    <row r="6867" spans="1:14">
      <c r="A6867" s="6">
        <v>2025</v>
      </c>
      <c r="B6867" s="6">
        <v>11</v>
      </c>
      <c r="C6867" s="6" t="s">
        <v>70</v>
      </c>
      <c r="D6867" s="6" t="s">
        <v>849</v>
      </c>
      <c r="E6867" s="6" t="s">
        <v>441</v>
      </c>
      <c r="F6867" s="6" t="str">
        <f>IF($M6867="PADD I","PADD 1",IF($M6867="PADD II","PADD 2",IF($M6867="PADD III","PADD 3",IF($M6867="PADD IV","PADD 4",IF($M6867="PADD V","PADD 5","")))))</f>
        <v>PADD 4</v>
      </c>
      <c r="G6867" s="6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6" t="s">
        <v>471</v>
      </c>
      <c r="I6867" s="6" t="s">
        <v>1385</v>
      </c>
      <c r="J6867" s="6" t="s">
        <v>398</v>
      </c>
      <c r="K6867" s="10">
        <v>2.16</v>
      </c>
      <c r="L6867" s="10">
        <v>8</v>
      </c>
      <c r="M6867" s="6" t="s">
        <v>480</v>
      </c>
      <c r="N6867" s="6" t="str">
        <f>IF(OR($G6867="FCC",$G6867="Hydrocracker",$G6867="Reformer"),IF(COUNTIFS($D:$D,$D6867,$A:$A,$A6867,$B:$B,$B6867,$G:$G,"CDU",$J:$J,"PLANNED")&gt;0,"tied","standalone"),"")</f>
        <v>standalone</v>
      </c>
    </row>
    <row r="6868" spans="1:14">
      <c r="A6868" s="6">
        <v>2025</v>
      </c>
      <c r="B6868" s="6">
        <v>11</v>
      </c>
      <c r="C6868" s="6" t="s">
        <v>70</v>
      </c>
      <c r="D6868" s="6" t="s">
        <v>1113</v>
      </c>
      <c r="E6868" s="6" t="s">
        <v>438</v>
      </c>
      <c r="F6868" s="6" t="str">
        <f>IF($M6868="PADD I","PADD 1",IF($M6868="PADD II","PADD 2",IF($M6868="PADD III","PADD 3",IF($M6868="PADD IV","PADD 4",IF($M6868="PADD V","PADD 5","")))))</f>
        <v>PADD 2</v>
      </c>
      <c r="G6868" s="6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6" t="s">
        <v>471</v>
      </c>
      <c r="I6868" s="6" t="s">
        <v>1119</v>
      </c>
      <c r="J6868" s="6" t="s">
        <v>394</v>
      </c>
      <c r="K6868" s="10">
        <v>2.15</v>
      </c>
      <c r="L6868" s="10">
        <v>21.5</v>
      </c>
      <c r="M6868" s="6" t="s">
        <v>425</v>
      </c>
      <c r="N6868" s="6" t="str">
        <f>IF(OR($G6868="FCC",$G6868="Hydrocracker",$G6868="Reformer"),IF(COUNTIFS($D:$D,$D6868,$A:$A,$A6868,$B:$B,$B6868,$G:$G,"CDU",$J:$J,"PLANNED")&gt;0,"tied","standalone"),"")</f>
        <v>standalone</v>
      </c>
    </row>
    <row r="6869" spans="1:14">
      <c r="A6869" s="6">
        <v>2025</v>
      </c>
      <c r="B6869" s="6">
        <v>11</v>
      </c>
      <c r="C6869" s="6" t="s">
        <v>70</v>
      </c>
      <c r="D6869" s="6" t="s">
        <v>41</v>
      </c>
      <c r="E6869" s="6" t="s">
        <v>786</v>
      </c>
      <c r="F6869" s="6" t="str">
        <f>IF($M6869="PADD I","PADD 1",IF($M6869="PADD II","PADD 2",IF($M6869="PADD III","PADD 3",IF($M6869="PADD IV","PADD 4",IF($M6869="PADD V","PADD 5","")))))</f>
        <v>PADD 1</v>
      </c>
      <c r="G6869" s="6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6" t="s">
        <v>426</v>
      </c>
      <c r="I6869" s="6" t="s">
        <v>787</v>
      </c>
      <c r="J6869" s="6" t="s">
        <v>394</v>
      </c>
      <c r="K6869" s="10">
        <v>2.04</v>
      </c>
      <c r="L6869" s="10">
        <v>68</v>
      </c>
      <c r="M6869" s="6" t="s">
        <v>463</v>
      </c>
      <c r="N6869" s="6" t="str">
        <f>IF(OR($G6869="FCC",$G6869="Hydrocracker",$G6869="Reformer"),IF(COUNTIFS($D:$D,$D6869,$A:$A,$A6869,$B:$B,$B6869,$G:$G,"CDU",$J:$J,"PLANNED")&gt;0,"tied","standalone"),"")</f>
        <v>standalone</v>
      </c>
    </row>
    <row r="6870" spans="1:14">
      <c r="A6870" s="6">
        <v>2025</v>
      </c>
      <c r="B6870" s="6">
        <v>11</v>
      </c>
      <c r="C6870" s="6" t="s">
        <v>70</v>
      </c>
      <c r="D6870" s="6" t="s">
        <v>689</v>
      </c>
      <c r="E6870" s="6" t="s">
        <v>502</v>
      </c>
      <c r="F6870" s="6" t="str">
        <f>IF($M6870="PADD I","PADD 1",IF($M6870="PADD II","PADD 2",IF($M6870="PADD III","PADD 3",IF($M6870="PADD IV","PADD 4",IF($M6870="PADD V","PADD 5","")))))</f>
        <v>PADD 5</v>
      </c>
      <c r="G6870" s="6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6" t="s">
        <v>428</v>
      </c>
      <c r="I6870" s="6" t="s">
        <v>429</v>
      </c>
      <c r="J6870" s="6" t="s">
        <v>394</v>
      </c>
      <c r="K6870" s="10">
        <v>1.965</v>
      </c>
      <c r="L6870" s="10">
        <v>65.5</v>
      </c>
      <c r="M6870" s="6" t="s">
        <v>436</v>
      </c>
      <c r="N6870" s="6">
        <f>IF(OR($G6870="FCC",$G6870="Hydrocracker",$G6870="Reformer"),IF(COUNTIFS($D:$D,$D6870,$A:$A,$A6870,$B:$B,$B6870,$G:$G,"CDU",$J:$J,"PLANNED")&gt;0,"tied","standalone"),"")</f>
        <v/>
      </c>
    </row>
    <row r="6871" spans="1:14">
      <c r="A6871" s="6">
        <v>2025</v>
      </c>
      <c r="B6871" s="6">
        <v>11</v>
      </c>
      <c r="C6871" s="6" t="s">
        <v>70</v>
      </c>
      <c r="D6871" s="6" t="s">
        <v>901</v>
      </c>
      <c r="E6871" s="6" t="s">
        <v>902</v>
      </c>
      <c r="F6871" s="6" t="str">
        <f>IF($M6871="PADD I","PADD 1",IF($M6871="PADD II","PADD 2",IF($M6871="PADD III","PADD 3",IF($M6871="PADD IV","PADD 4",IF($M6871="PADD V","PADD 5","")))))</f>
        <v>PADD 3</v>
      </c>
      <c r="G6871" s="6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6" t="s">
        <v>39</v>
      </c>
      <c r="I6871" s="6" t="s">
        <v>903</v>
      </c>
      <c r="J6871" s="6" t="s">
        <v>394</v>
      </c>
      <c r="K6871" s="10">
        <v>1.92</v>
      </c>
      <c r="L6871" s="10">
        <v>64</v>
      </c>
      <c r="M6871" s="6" t="s">
        <v>421</v>
      </c>
      <c r="N6871" s="6">
        <f>IF(OR($G6871="FCC",$G6871="Hydrocracker",$G6871="Reformer"),IF(COUNTIFS($D:$D,$D6871,$A:$A,$A6871,$B:$B,$B6871,$G:$G,"CDU",$J:$J,"PLANNED")&gt;0,"tied","standalone"),"")</f>
        <v/>
      </c>
    </row>
    <row r="6872" spans="1:14">
      <c r="A6872" s="6">
        <v>2025</v>
      </c>
      <c r="B6872" s="6">
        <v>11</v>
      </c>
      <c r="C6872" s="6" t="s">
        <v>70</v>
      </c>
      <c r="D6872" s="6" t="s">
        <v>662</v>
      </c>
      <c r="E6872" s="6" t="s">
        <v>466</v>
      </c>
      <c r="F6872" s="6" t="str">
        <f>IF($M6872="PADD I","PADD 1",IF($M6872="PADD II","PADD 2",IF($M6872="PADD III","PADD 3",IF($M6872="PADD IV","PADD 4",IF($M6872="PADD V","PADD 5","")))))</f>
        <v>PADD 3</v>
      </c>
      <c r="G6872" s="6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6" t="s">
        <v>426</v>
      </c>
      <c r="I6872" s="6" t="s">
        <v>856</v>
      </c>
      <c r="J6872" s="6" t="s">
        <v>394</v>
      </c>
      <c r="K6872" s="10">
        <v>1.69</v>
      </c>
      <c r="L6872" s="10">
        <v>13</v>
      </c>
      <c r="M6872" s="6" t="s">
        <v>421</v>
      </c>
      <c r="N6872" s="6" t="str">
        <f>IF(OR($G6872="FCC",$G6872="Hydrocracker",$G6872="Reformer"),IF(COUNTIFS($D:$D,$D6872,$A:$A,$A6872,$B:$B,$B6872,$G:$G,"CDU",$J:$J,"PLANNED")&gt;0,"tied","standalone"),"")</f>
        <v>tied</v>
      </c>
    </row>
    <row r="6873" spans="1:14">
      <c r="A6873" s="6">
        <v>2025</v>
      </c>
      <c r="B6873" s="6">
        <v>11</v>
      </c>
      <c r="C6873" s="6" t="s">
        <v>70</v>
      </c>
      <c r="D6873" s="6" t="s">
        <v>851</v>
      </c>
      <c r="E6873" s="6" t="s">
        <v>829</v>
      </c>
      <c r="F6873" s="6" t="str">
        <f>IF($M6873="PADD I","PADD 1",IF($M6873="PADD II","PADD 2",IF($M6873="PADD III","PADD 3",IF($M6873="PADD IV","PADD 4",IF($M6873="PADD V","PADD 5","")))))</f>
        <v>PADD 2</v>
      </c>
      <c r="G6873" s="6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6" t="s">
        <v>485</v>
      </c>
      <c r="I6873" s="6" t="s">
        <v>852</v>
      </c>
      <c r="J6873" s="6" t="s">
        <v>394</v>
      </c>
      <c r="K6873" s="10">
        <v>1.68</v>
      </c>
      <c r="L6873" s="10">
        <v>24</v>
      </c>
      <c r="M6873" s="6" t="s">
        <v>425</v>
      </c>
      <c r="N6873" s="6">
        <f>IF(OR($G6873="FCC",$G6873="Hydrocracker",$G6873="Reformer"),IF(COUNTIFS($D:$D,$D6873,$A:$A,$A6873,$B:$B,$B6873,$G:$G,"CDU",$J:$J,"PLANNED")&gt;0,"tied","standalone"),"")</f>
        <v/>
      </c>
    </row>
    <row r="6874" spans="1:14">
      <c r="A6874" s="6">
        <v>2025</v>
      </c>
      <c r="B6874" s="6">
        <v>11</v>
      </c>
      <c r="C6874" s="6" t="s">
        <v>70</v>
      </c>
      <c r="D6874" s="6" t="s">
        <v>851</v>
      </c>
      <c r="E6874" s="6" t="s">
        <v>829</v>
      </c>
      <c r="F6874" s="6" t="str">
        <f>IF($M6874="PADD I","PADD 1",IF($M6874="PADD II","PADD 2",IF($M6874="PADD III","PADD 3",IF($M6874="PADD IV","PADD 4",IF($M6874="PADD V","PADD 5","")))))</f>
        <v>PADD 2</v>
      </c>
      <c r="G6874" s="6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6" t="s">
        <v>485</v>
      </c>
      <c r="I6874" s="6" t="s">
        <v>944</v>
      </c>
      <c r="J6874" s="6" t="s">
        <v>394</v>
      </c>
      <c r="K6874" s="10">
        <v>1.68</v>
      </c>
      <c r="L6874" s="10">
        <v>24</v>
      </c>
      <c r="M6874" s="6" t="s">
        <v>425</v>
      </c>
      <c r="N6874" s="6">
        <f>IF(OR($G6874="FCC",$G6874="Hydrocracker",$G6874="Reformer"),IF(COUNTIFS($D:$D,$D6874,$A:$A,$A6874,$B:$B,$B6874,$G:$G,"CDU",$J:$J,"PLANNED")&gt;0,"tied","standalone"),"")</f>
        <v/>
      </c>
    </row>
    <row r="6875" spans="1:14">
      <c r="A6875" s="6">
        <v>2025</v>
      </c>
      <c r="B6875" s="6">
        <v>11</v>
      </c>
      <c r="C6875" s="6" t="s">
        <v>70</v>
      </c>
      <c r="D6875" s="6" t="s">
        <v>1113</v>
      </c>
      <c r="E6875" s="6" t="s">
        <v>438</v>
      </c>
      <c r="F6875" s="6" t="str">
        <f>IF($M6875="PADD I","PADD 1",IF($M6875="PADD II","PADD 2",IF($M6875="PADD III","PADD 3",IF($M6875="PADD IV","PADD 4",IF($M6875="PADD V","PADD 5","")))))</f>
        <v>PADD 2</v>
      </c>
      <c r="G6875" s="6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6" t="s">
        <v>428</v>
      </c>
      <c r="I6875" s="6" t="s">
        <v>481</v>
      </c>
      <c r="J6875" s="6" t="s">
        <v>394</v>
      </c>
      <c r="K6875" s="10">
        <v>1.65</v>
      </c>
      <c r="L6875" s="10">
        <v>55</v>
      </c>
      <c r="M6875" s="6" t="s">
        <v>425</v>
      </c>
      <c r="N6875" s="6">
        <f>IF(OR($G6875="FCC",$G6875="Hydrocracker",$G6875="Reformer"),IF(COUNTIFS($D:$D,$D6875,$A:$A,$A6875,$B:$B,$B6875,$G:$G,"CDU",$J:$J,"PLANNED")&gt;0,"tied","standalone"),"")</f>
        <v/>
      </c>
    </row>
    <row r="6876" spans="1:14">
      <c r="A6876" s="6">
        <v>2025</v>
      </c>
      <c r="B6876" s="6">
        <v>11</v>
      </c>
      <c r="C6876" s="6" t="s">
        <v>70</v>
      </c>
      <c r="D6876" s="6" t="s">
        <v>1202</v>
      </c>
      <c r="E6876" s="6" t="s">
        <v>502</v>
      </c>
      <c r="F6876" s="6" t="str">
        <f>IF($M6876="PADD I","PADD 1",IF($M6876="PADD II","PADD 2",IF($M6876="PADD III","PADD 3",IF($M6876="PADD IV","PADD 4",IF($M6876="PADD V","PADD 5","")))))</f>
        <v>PADD 4</v>
      </c>
      <c r="G6876" s="6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6" t="s">
        <v>44</v>
      </c>
      <c r="I6876" s="6" t="s">
        <v>543</v>
      </c>
      <c r="J6876" s="6" t="s">
        <v>394</v>
      </c>
      <c r="K6876" s="10">
        <v>1.625</v>
      </c>
      <c r="L6876" s="10">
        <v>12.5</v>
      </c>
      <c r="M6876" s="6" t="s">
        <v>480</v>
      </c>
      <c r="N6876" s="6">
        <f>IF(OR($G6876="FCC",$G6876="Hydrocracker",$G6876="Reformer"),IF(COUNTIFS($D:$D,$D6876,$A:$A,$A6876,$B:$B,$B6876,$G:$G,"CDU",$J:$J,"PLANNED")&gt;0,"tied","standalone"),"")</f>
        <v/>
      </c>
    </row>
    <row r="6877" spans="1:14">
      <c r="A6877" s="6">
        <v>2025</v>
      </c>
      <c r="B6877" s="6">
        <v>11</v>
      </c>
      <c r="C6877" s="6" t="s">
        <v>70</v>
      </c>
      <c r="D6877" s="6" t="s">
        <v>49</v>
      </c>
      <c r="E6877" s="6" t="s">
        <v>438</v>
      </c>
      <c r="F6877" s="6" t="str">
        <f>IF($M6877="PADD I","PADD 1",IF($M6877="PADD II","PADD 2",IF($M6877="PADD III","PADD 3",IF($M6877="PADD IV","PADD 4",IF($M6877="PADD V","PADD 5","")))))</f>
        <v>PADD 2</v>
      </c>
      <c r="G6877" s="6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6" t="s">
        <v>485</v>
      </c>
      <c r="I6877" s="6" t="s">
        <v>681</v>
      </c>
      <c r="J6877" s="6" t="s">
        <v>394</v>
      </c>
      <c r="K6877" s="10">
        <v>1.56</v>
      </c>
      <c r="L6877" s="10">
        <v>12</v>
      </c>
      <c r="M6877" s="6" t="s">
        <v>425</v>
      </c>
      <c r="N6877" s="6">
        <f>IF(OR($G6877="FCC",$G6877="Hydrocracker",$G6877="Reformer"),IF(COUNTIFS($D:$D,$D6877,$A:$A,$A6877,$B:$B,$B6877,$G:$G,"CDU",$J:$J,"PLANNED")&gt;0,"tied","standalone"),"")</f>
        <v/>
      </c>
    </row>
    <row r="6878" spans="1:14">
      <c r="A6878" s="6">
        <v>2025</v>
      </c>
      <c r="B6878" s="6">
        <v>11</v>
      </c>
      <c r="C6878" s="6" t="s">
        <v>70</v>
      </c>
      <c r="D6878" s="6" t="s">
        <v>812</v>
      </c>
      <c r="E6878" s="6" t="s">
        <v>813</v>
      </c>
      <c r="F6878" s="6" t="str">
        <f>IF($M6878="PADD I","PADD 1",IF($M6878="PADD II","PADD 2",IF($M6878="PADD III","PADD 3",IF($M6878="PADD IV","PADD 4",IF($M6878="PADD V","PADD 5","")))))</f>
        <v>PADD 2</v>
      </c>
      <c r="G6878" s="6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6" t="s">
        <v>428</v>
      </c>
      <c r="I6878" s="6" t="s">
        <v>862</v>
      </c>
      <c r="J6878" s="6" t="s">
        <v>394</v>
      </c>
      <c r="K6878" s="10">
        <v>1.5</v>
      </c>
      <c r="L6878" s="10">
        <v>15</v>
      </c>
      <c r="M6878" s="6" t="s">
        <v>425</v>
      </c>
      <c r="N6878" s="6">
        <f>IF(OR($G6878="FCC",$G6878="Hydrocracker",$G6878="Reformer"),IF(COUNTIFS($D:$D,$D6878,$A:$A,$A6878,$B:$B,$B6878,$G:$G,"CDU",$J:$J,"PLANNED")&gt;0,"tied","standalone"),"")</f>
        <v/>
      </c>
    </row>
    <row r="6879" spans="1:14">
      <c r="A6879" s="6">
        <v>2025</v>
      </c>
      <c r="B6879" s="6">
        <v>11</v>
      </c>
      <c r="C6879" s="6" t="s">
        <v>70</v>
      </c>
      <c r="D6879" s="6" t="s">
        <v>487</v>
      </c>
      <c r="E6879" s="6" t="s">
        <v>488</v>
      </c>
      <c r="F6879" s="6" t="str">
        <f>IF($M6879="PADD I","PADD 1",IF($M6879="PADD II","PADD 2",IF($M6879="PADD III","PADD 3",IF($M6879="PADD IV","PADD 4",IF($M6879="PADD V","PADD 5","")))))</f>
        <v>PADD 4</v>
      </c>
      <c r="G6879" s="6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6" t="s">
        <v>44</v>
      </c>
      <c r="I6879" s="6" t="s">
        <v>543</v>
      </c>
      <c r="J6879" s="6" t="s">
        <v>394</v>
      </c>
      <c r="K6879" s="10">
        <v>1.47</v>
      </c>
      <c r="L6879" s="10">
        <v>21</v>
      </c>
      <c r="M6879" s="6" t="s">
        <v>480</v>
      </c>
      <c r="N6879" s="6">
        <f>IF(OR($G6879="FCC",$G6879="Hydrocracker",$G6879="Reformer"),IF(COUNTIFS($D:$D,$D6879,$A:$A,$A6879,$B:$B,$B6879,$G:$G,"CDU",$J:$J,"PLANNED")&gt;0,"tied","standalone"),"")</f>
        <v/>
      </c>
    </row>
    <row r="6880" spans="1:14">
      <c r="A6880" s="6">
        <v>2025</v>
      </c>
      <c r="B6880" s="6">
        <v>11</v>
      </c>
      <c r="C6880" s="6" t="s">
        <v>70</v>
      </c>
      <c r="D6880" s="6" t="s">
        <v>437</v>
      </c>
      <c r="E6880" s="6" t="s">
        <v>438</v>
      </c>
      <c r="F6880" s="6" t="str">
        <f>IF($M6880="PADD I","PADD 1",IF($M6880="PADD II","PADD 2",IF($M6880="PADD III","PADD 3",IF($M6880="PADD IV","PADD 4",IF($M6880="PADD V","PADD 5","")))))</f>
        <v>PADD 3</v>
      </c>
      <c r="G6880" s="6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6" t="s">
        <v>426</v>
      </c>
      <c r="I6880" s="6" t="s">
        <v>522</v>
      </c>
      <c r="J6880" s="6" t="s">
        <v>394</v>
      </c>
      <c r="K6880" s="10">
        <v>1.32</v>
      </c>
      <c r="L6880" s="10">
        <v>44</v>
      </c>
      <c r="M6880" s="6" t="s">
        <v>421</v>
      </c>
      <c r="N6880" s="6" t="str">
        <f>IF(OR($G6880="FCC",$G6880="Hydrocracker",$G6880="Reformer"),IF(COUNTIFS($D:$D,$D6880,$A:$A,$A6880,$B:$B,$B6880,$G:$G,"CDU",$J:$J,"PLANNED")&gt;0,"tied","standalone"),"")</f>
        <v>standalone</v>
      </c>
    </row>
    <row r="6881" spans="1:14">
      <c r="A6881" s="6">
        <v>2025</v>
      </c>
      <c r="B6881" s="6">
        <v>11</v>
      </c>
      <c r="C6881" s="6" t="s">
        <v>70</v>
      </c>
      <c r="D6881" s="6" t="s">
        <v>422</v>
      </c>
      <c r="E6881" s="6" t="s">
        <v>423</v>
      </c>
      <c r="F6881" s="6" t="str">
        <f>IF($M6881="PADD I","PADD 1",IF($M6881="PADD II","PADD 2",IF($M6881="PADD III","PADD 3",IF($M6881="PADD IV","PADD 4",IF($M6881="PADD V","PADD 5","")))))</f>
        <v>PADD 2</v>
      </c>
      <c r="G6881" s="6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6" t="s">
        <v>485</v>
      </c>
      <c r="I6881" s="6" t="s">
        <v>634</v>
      </c>
      <c r="J6881" s="6" t="s">
        <v>394</v>
      </c>
      <c r="K6881" s="10">
        <v>1.275</v>
      </c>
      <c r="L6881" s="10">
        <v>7.5</v>
      </c>
      <c r="M6881" s="6" t="s">
        <v>425</v>
      </c>
      <c r="N6881" s="6">
        <f>IF(OR($G6881="FCC",$G6881="Hydrocracker",$G6881="Reformer"),IF(COUNTIFS($D:$D,$D6881,$A:$A,$A6881,$B:$B,$B6881,$G:$G,"CDU",$J:$J,"PLANNED")&gt;0,"tied","standalone"),"")</f>
        <v/>
      </c>
    </row>
    <row r="6882" spans="1:14">
      <c r="A6882" s="6">
        <v>2025</v>
      </c>
      <c r="B6882" s="6">
        <v>11</v>
      </c>
      <c r="C6882" s="6" t="s">
        <v>70</v>
      </c>
      <c r="D6882" s="6" t="s">
        <v>52</v>
      </c>
      <c r="E6882" s="6" t="s">
        <v>441</v>
      </c>
      <c r="F6882" s="6" t="str">
        <f>IF($M6882="PADD I","PADD 1",IF($M6882="PADD II","PADD 2",IF($M6882="PADD III","PADD 3",IF($M6882="PADD IV","PADD 4",IF($M6882="PADD V","PADD 5","")))))</f>
        <v>PADD 5</v>
      </c>
      <c r="G6882" s="6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6" t="s">
        <v>44</v>
      </c>
      <c r="I6882" s="6" t="s">
        <v>1387</v>
      </c>
      <c r="J6882" s="6" t="s">
        <v>394</v>
      </c>
      <c r="K6882" s="10">
        <v>1.2495</v>
      </c>
      <c r="L6882" s="10">
        <v>7.35</v>
      </c>
      <c r="M6882" s="6" t="s">
        <v>436</v>
      </c>
      <c r="N6882" s="6">
        <f>IF(OR($G6882="FCC",$G6882="Hydrocracker",$G6882="Reformer"),IF(COUNTIFS($D:$D,$D6882,$A:$A,$A6882,$B:$B,$B6882,$G:$G,"CDU",$J:$J,"PLANNED")&gt;0,"tied","standalone"),"")</f>
        <v/>
      </c>
    </row>
    <row r="6883" spans="1:14">
      <c r="A6883" s="6">
        <v>2025</v>
      </c>
      <c r="B6883" s="6">
        <v>11</v>
      </c>
      <c r="C6883" s="6" t="s">
        <v>70</v>
      </c>
      <c r="D6883" s="6" t="s">
        <v>52</v>
      </c>
      <c r="E6883" s="6" t="s">
        <v>441</v>
      </c>
      <c r="F6883" s="6" t="str">
        <f>IF($M6883="PADD I","PADD 1",IF($M6883="PADD II","PADD 2",IF($M6883="PADD III","PADD 3",IF($M6883="PADD IV","PADD 4",IF($M6883="PADD V","PADD 5","")))))</f>
        <v>PADD 5</v>
      </c>
      <c r="G6883" s="6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6" t="s">
        <v>44</v>
      </c>
      <c r="I6883" s="6" t="s">
        <v>1388</v>
      </c>
      <c r="J6883" s="6" t="s">
        <v>394</v>
      </c>
      <c r="K6883" s="10">
        <v>1.19</v>
      </c>
      <c r="L6883" s="10">
        <v>7</v>
      </c>
      <c r="M6883" s="6" t="s">
        <v>436</v>
      </c>
      <c r="N6883" s="6">
        <f>IF(OR($G6883="FCC",$G6883="Hydrocracker",$G6883="Reformer"),IF(COUNTIFS($D:$D,$D6883,$A:$A,$A6883,$B:$B,$B6883,$G:$G,"CDU",$J:$J,"PLANNED")&gt;0,"tied","standalone"),"")</f>
        <v/>
      </c>
    </row>
    <row r="6884" spans="1:14">
      <c r="A6884" s="6">
        <v>2025</v>
      </c>
      <c r="B6884" s="6">
        <v>11</v>
      </c>
      <c r="C6884" s="6" t="s">
        <v>70</v>
      </c>
      <c r="D6884" s="6" t="s">
        <v>613</v>
      </c>
      <c r="E6884" s="6" t="s">
        <v>446</v>
      </c>
      <c r="F6884" s="6" t="str">
        <f>IF($M6884="PADD I","PADD 1",IF($M6884="PADD II","PADD 2",IF($M6884="PADD III","PADD 3",IF($M6884="PADD IV","PADD 4",IF($M6884="PADD V","PADD 5","")))))</f>
        <v>PADD 3</v>
      </c>
      <c r="G6884" s="6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6" t="s">
        <v>44</v>
      </c>
      <c r="I6884" s="6" t="s">
        <v>499</v>
      </c>
      <c r="J6884" s="6" t="s">
        <v>394</v>
      </c>
      <c r="K6884" s="10">
        <v>1.155</v>
      </c>
      <c r="L6884" s="10">
        <v>38.5</v>
      </c>
      <c r="M6884" s="6" t="s">
        <v>421</v>
      </c>
      <c r="N6884" s="6">
        <f>IF(OR($G6884="FCC",$G6884="Hydrocracker",$G6884="Reformer"),IF(COUNTIFS($D:$D,$D6884,$A:$A,$A6884,$B:$B,$B6884,$G:$G,"CDU",$J:$J,"PLANNED")&gt;0,"tied","standalone"),"")</f>
        <v/>
      </c>
    </row>
    <row r="6885" spans="1:14">
      <c r="A6885" s="6">
        <v>2025</v>
      </c>
      <c r="B6885" s="6">
        <v>11</v>
      </c>
      <c r="C6885" s="6" t="s">
        <v>70</v>
      </c>
      <c r="D6885" s="6" t="s">
        <v>901</v>
      </c>
      <c r="E6885" s="6" t="s">
        <v>902</v>
      </c>
      <c r="F6885" s="6" t="str">
        <f>IF($M6885="PADD I","PADD 1",IF($M6885="PADD II","PADD 2",IF($M6885="PADD III","PADD 3",IF($M6885="PADD IV","PADD 4",IF($M6885="PADD V","PADD 5","")))))</f>
        <v>PADD 3</v>
      </c>
      <c r="G6885" s="6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6" t="s">
        <v>428</v>
      </c>
      <c r="I6885" s="6" t="s">
        <v>910</v>
      </c>
      <c r="J6885" s="6" t="s">
        <v>394</v>
      </c>
      <c r="K6885" s="10">
        <v>1.08</v>
      </c>
      <c r="L6885" s="10">
        <v>36</v>
      </c>
      <c r="M6885" s="6" t="s">
        <v>421</v>
      </c>
      <c r="N6885" s="6">
        <f>IF(OR($G6885="FCC",$G6885="Hydrocracker",$G6885="Reformer"),IF(COUNTIFS($D:$D,$D6885,$A:$A,$A6885,$B:$B,$B6885,$G:$G,"CDU",$J:$J,"PLANNED")&gt;0,"tied","standalone"),"")</f>
        <v/>
      </c>
    </row>
    <row r="6886" spans="1:14">
      <c r="A6886" s="6">
        <v>2025</v>
      </c>
      <c r="B6886" s="6">
        <v>11</v>
      </c>
      <c r="C6886" s="6" t="s">
        <v>70</v>
      </c>
      <c r="D6886" s="6" t="s">
        <v>806</v>
      </c>
      <c r="E6886" s="6" t="s">
        <v>807</v>
      </c>
      <c r="F6886" s="6" t="str">
        <f>IF($M6886="PADD I","PADD 1",IF($M6886="PADD II","PADD 2",IF($M6886="PADD III","PADD 3",IF($M6886="PADD IV","PADD 4",IF($M6886="PADD V","PADD 5","")))))</f>
        <v>PADD 3</v>
      </c>
      <c r="G6886" s="6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6" t="s">
        <v>39</v>
      </c>
      <c r="I6886" s="6" t="s">
        <v>82</v>
      </c>
      <c r="J6886" s="6" t="s">
        <v>394</v>
      </c>
      <c r="K6886" s="10">
        <v>1.05</v>
      </c>
      <c r="L6886" s="10">
        <v>15</v>
      </c>
      <c r="M6886" s="6" t="s">
        <v>421</v>
      </c>
      <c r="N6886" s="6">
        <f>IF(OR($G6886="FCC",$G6886="Hydrocracker",$G6886="Reformer"),IF(COUNTIFS($D:$D,$D6886,$A:$A,$A6886,$B:$B,$B6886,$G:$G,"CDU",$J:$J,"PLANNED")&gt;0,"tied","standalone"),"")</f>
        <v/>
      </c>
    </row>
    <row r="6887" spans="1:14">
      <c r="A6887" s="6">
        <v>2025</v>
      </c>
      <c r="B6887" s="6">
        <v>11</v>
      </c>
      <c r="C6887" s="6" t="s">
        <v>70</v>
      </c>
      <c r="D6887" s="6" t="s">
        <v>928</v>
      </c>
      <c r="E6887" s="6" t="s">
        <v>502</v>
      </c>
      <c r="F6887" s="6" t="str">
        <f>IF($M6887="PADD I","PADD 1",IF($M6887="PADD II","PADD 2",IF($M6887="PADD III","PADD 3",IF($M6887="PADD IV","PADD 4",IF($M6887="PADD V","PADD 5","")))))</f>
        <v>PADD 2</v>
      </c>
      <c r="G6887" s="6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6" t="s">
        <v>428</v>
      </c>
      <c r="I6887" s="6" t="s">
        <v>586</v>
      </c>
      <c r="J6887" s="6" t="s">
        <v>394</v>
      </c>
      <c r="K6887" s="10">
        <v>0.9</v>
      </c>
      <c r="L6887" s="10">
        <v>30</v>
      </c>
      <c r="M6887" s="6" t="s">
        <v>425</v>
      </c>
      <c r="N6887" s="6">
        <f>IF(OR($G6887="FCC",$G6887="Hydrocracker",$G6887="Reformer"),IF(COUNTIFS($D:$D,$D6887,$A:$A,$A6887,$B:$B,$B6887,$G:$G,"CDU",$J:$J,"PLANNED")&gt;0,"tied","standalone"),"")</f>
        <v/>
      </c>
    </row>
    <row r="6888" spans="1:14">
      <c r="A6888" s="6">
        <v>2025</v>
      </c>
      <c r="B6888" s="6">
        <v>11</v>
      </c>
      <c r="C6888" s="6" t="s">
        <v>70</v>
      </c>
      <c r="D6888" s="6" t="s">
        <v>445</v>
      </c>
      <c r="E6888" s="6" t="s">
        <v>446</v>
      </c>
      <c r="F6888" s="6" t="str">
        <f>IF($M6888="PADD I","PADD 1",IF($M6888="PADD II","PADD 2",IF($M6888="PADD III","PADD 3",IF($M6888="PADD IV","PADD 4",IF($M6888="PADD V","PADD 5","")))))</f>
        <v>PADD 3</v>
      </c>
      <c r="G6888" s="6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6" t="s">
        <v>471</v>
      </c>
      <c r="I6888" s="6" t="s">
        <v>590</v>
      </c>
      <c r="J6888" s="6" t="s">
        <v>394</v>
      </c>
      <c r="K6888" s="10">
        <v>0.9</v>
      </c>
      <c r="L6888" s="10">
        <v>30</v>
      </c>
      <c r="M6888" s="6" t="s">
        <v>421</v>
      </c>
      <c r="N6888" s="6" t="str">
        <f>IF(OR($G6888="FCC",$G6888="Hydrocracker",$G6888="Reformer"),IF(COUNTIFS($D:$D,$D6888,$A:$A,$A6888,$B:$B,$B6888,$G:$G,"CDU",$J:$J,"PLANNED")&gt;0,"tied","standalone"),"")</f>
        <v>tied</v>
      </c>
    </row>
    <row r="6889" spans="1:14">
      <c r="A6889" s="6">
        <v>2025</v>
      </c>
      <c r="B6889" s="6">
        <v>11</v>
      </c>
      <c r="C6889" s="6" t="s">
        <v>70</v>
      </c>
      <c r="D6889" s="6" t="s">
        <v>52</v>
      </c>
      <c r="E6889" s="6" t="s">
        <v>441</v>
      </c>
      <c r="F6889" s="6" t="str">
        <f>IF($M6889="PADD I","PADD 1",IF($M6889="PADD II","PADD 2",IF($M6889="PADD III","PADD 3",IF($M6889="PADD IV","PADD 4",IF($M6889="PADD V","PADD 5","")))))</f>
        <v>PADD 5</v>
      </c>
      <c r="G6889" s="6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6" t="s">
        <v>44</v>
      </c>
      <c r="I6889" s="6" t="s">
        <v>1257</v>
      </c>
      <c r="J6889" s="6" t="s">
        <v>394</v>
      </c>
      <c r="K6889" s="10">
        <v>0.714</v>
      </c>
      <c r="L6889" s="10">
        <v>4.2</v>
      </c>
      <c r="M6889" s="6" t="s">
        <v>436</v>
      </c>
      <c r="N6889" s="6">
        <f>IF(OR($G6889="FCC",$G6889="Hydrocracker",$G6889="Reformer"),IF(COUNTIFS($D:$D,$D6889,$A:$A,$A6889,$B:$B,$B6889,$G:$G,"CDU",$J:$J,"PLANNED")&gt;0,"tied","standalone"),"")</f>
        <v/>
      </c>
    </row>
    <row r="6890" spans="1:14">
      <c r="A6890" s="6">
        <v>2025</v>
      </c>
      <c r="B6890" s="6">
        <v>11</v>
      </c>
      <c r="C6890" s="6" t="s">
        <v>70</v>
      </c>
      <c r="D6890" s="6" t="s">
        <v>772</v>
      </c>
      <c r="E6890" s="6" t="s">
        <v>502</v>
      </c>
      <c r="F6890" s="6" t="str">
        <f>IF($M6890="PADD I","PADD 1",IF($M6890="PADD II","PADD 2",IF($M6890="PADD III","PADD 3",IF($M6890="PADD IV","PADD 4",IF($M6890="PADD V","PADD 5","")))))</f>
        <v>PADD 4</v>
      </c>
      <c r="G6890" s="6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6" t="s">
        <v>426</v>
      </c>
      <c r="I6890" s="6" t="s">
        <v>1156</v>
      </c>
      <c r="J6890" s="6" t="s">
        <v>398</v>
      </c>
      <c r="K6890" s="10">
        <v>0.63</v>
      </c>
      <c r="L6890" s="10">
        <v>9</v>
      </c>
      <c r="M6890" s="6" t="s">
        <v>480</v>
      </c>
      <c r="N6890" s="6" t="str">
        <f>IF(OR($G6890="FCC",$G6890="Hydrocracker",$G6890="Reformer"),IF(COUNTIFS($D:$D,$D6890,$A:$A,$A6890,$B:$B,$B6890,$G:$G,"CDU",$J:$J,"PLANNED")&gt;0,"tied","standalone"),"")</f>
        <v>standalone</v>
      </c>
    </row>
    <row r="6891" spans="1:14">
      <c r="A6891" s="6">
        <v>2025</v>
      </c>
      <c r="B6891" s="6">
        <v>11</v>
      </c>
      <c r="C6891" s="6" t="s">
        <v>70</v>
      </c>
      <c r="D6891" s="6" t="s">
        <v>375</v>
      </c>
      <c r="E6891" s="6" t="s">
        <v>435</v>
      </c>
      <c r="F6891" s="6" t="str">
        <f>IF($M6891="PADD I","PADD 1",IF($M6891="PADD II","PADD 2",IF($M6891="PADD III","PADD 3",IF($M6891="PADD IV","PADD 4",IF($M6891="PADD V","PADD 5","")))))</f>
        <v>PADD 5</v>
      </c>
      <c r="G6891" s="6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6" t="s">
        <v>618</v>
      </c>
      <c r="I6891" s="6" t="s">
        <v>654</v>
      </c>
      <c r="J6891" s="6" t="s">
        <v>394</v>
      </c>
      <c r="K6891" s="10">
        <v>0.53</v>
      </c>
      <c r="L6891" s="10">
        <v>0.53</v>
      </c>
      <c r="M6891" s="6" t="s">
        <v>436</v>
      </c>
      <c r="N6891" s="6">
        <f>IF(OR($G6891="FCC",$G6891="Hydrocracker",$G6891="Reformer"),IF(COUNTIFS($D:$D,$D6891,$A:$A,$A6891,$B:$B,$B6891,$G:$G,"CDU",$J:$J,"PLANNED")&gt;0,"tied","standalone"),"")</f>
        <v/>
      </c>
    </row>
    <row r="6892" spans="1:14">
      <c r="A6892" s="6">
        <v>2025</v>
      </c>
      <c r="B6892" s="6">
        <v>11</v>
      </c>
      <c r="C6892" s="6" t="s">
        <v>70</v>
      </c>
      <c r="D6892" s="6" t="s">
        <v>806</v>
      </c>
      <c r="E6892" s="6" t="s">
        <v>807</v>
      </c>
      <c r="F6892" s="6" t="str">
        <f>IF($M6892="PADD I","PADD 1",IF($M6892="PADD II","PADD 2",IF($M6892="PADD III","PADD 3",IF($M6892="PADD IV","PADD 4",IF($M6892="PADD V","PADD 5","")))))</f>
        <v>PADD 3</v>
      </c>
      <c r="G6892" s="6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6" t="s">
        <v>39</v>
      </c>
      <c r="I6892" s="6" t="s">
        <v>82</v>
      </c>
      <c r="J6892" s="6" t="s">
        <v>394</v>
      </c>
      <c r="K6892" s="10">
        <v>0.45</v>
      </c>
      <c r="L6892" s="10">
        <v>15</v>
      </c>
      <c r="M6892" s="6" t="s">
        <v>421</v>
      </c>
      <c r="N6892" s="6">
        <f>IF(OR($G6892="FCC",$G6892="Hydrocracker",$G6892="Reformer"),IF(COUNTIFS($D:$D,$D6892,$A:$A,$A6892,$B:$B,$B6892,$G:$G,"CDU",$J:$J,"PLANNED")&gt;0,"tied","standalone"),"")</f>
        <v/>
      </c>
    </row>
    <row r="6893" spans="1:14">
      <c r="A6893" s="6">
        <v>2025</v>
      </c>
      <c r="B6893" s="6">
        <v>11</v>
      </c>
      <c r="C6893" s="6" t="s">
        <v>70</v>
      </c>
      <c r="D6893" s="6" t="s">
        <v>720</v>
      </c>
      <c r="E6893" s="6" t="s">
        <v>455</v>
      </c>
      <c r="F6893" s="6" t="str">
        <f>IF($M6893="PADD I","PADD 1",IF($M6893="PADD II","PADD 2",IF($M6893="PADD III","PADD 3",IF($M6893="PADD IV","PADD 4",IF($M6893="PADD V","PADD 5","")))))</f>
        <v>PADD 2</v>
      </c>
      <c r="G6893" s="6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6" t="s">
        <v>510</v>
      </c>
      <c r="I6893" s="6" t="s">
        <v>666</v>
      </c>
      <c r="J6893" s="6" t="s">
        <v>398</v>
      </c>
      <c r="K6893" s="10">
        <v>0.36</v>
      </c>
      <c r="L6893" s="10">
        <v>12</v>
      </c>
      <c r="M6893" s="6" t="s">
        <v>425</v>
      </c>
      <c r="N6893" s="6">
        <f>IF(OR($G6893="FCC",$G6893="Hydrocracker",$G6893="Reformer"),IF(COUNTIFS($D:$D,$D6893,$A:$A,$A6893,$B:$B,$B6893,$G:$G,"CDU",$J:$J,"PLANNED")&gt;0,"tied","standalone"),"")</f>
        <v/>
      </c>
    </row>
    <row r="6894" spans="1:14">
      <c r="A6894" s="6">
        <v>2025</v>
      </c>
      <c r="B6894" s="6">
        <v>11</v>
      </c>
      <c r="C6894" s="6" t="s">
        <v>70</v>
      </c>
      <c r="D6894" s="6" t="s">
        <v>49</v>
      </c>
      <c r="E6894" s="6" t="s">
        <v>438</v>
      </c>
      <c r="F6894" s="6" t="str">
        <f>IF($M6894="PADD I","PADD 1",IF($M6894="PADD II","PADD 2",IF($M6894="PADD III","PADD 3",IF($M6894="PADD IV","PADD 4",IF($M6894="PADD V","PADD 5","")))))</f>
        <v>PADD 2</v>
      </c>
      <c r="G6894" s="6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6" t="s">
        <v>485</v>
      </c>
      <c r="I6894" s="6" t="s">
        <v>681</v>
      </c>
      <c r="J6894" s="6" t="s">
        <v>394</v>
      </c>
      <c r="K6894" s="10">
        <v>0.36</v>
      </c>
      <c r="L6894" s="10">
        <v>12</v>
      </c>
      <c r="M6894" s="6" t="s">
        <v>425</v>
      </c>
      <c r="N6894" s="6">
        <f>IF(OR($G6894="FCC",$G6894="Hydrocracker",$G6894="Reformer"),IF(COUNTIFS($D:$D,$D6894,$A:$A,$A6894,$B:$B,$B6894,$G:$G,"CDU",$J:$J,"PLANNED")&gt;0,"tied","standalone"),"")</f>
        <v/>
      </c>
    </row>
    <row r="6895" spans="1:14">
      <c r="A6895" s="6">
        <v>2025</v>
      </c>
      <c r="B6895" s="6">
        <v>12</v>
      </c>
      <c r="C6895" s="6" t="s">
        <v>71</v>
      </c>
      <c r="D6895" s="6" t="s">
        <v>52</v>
      </c>
      <c r="E6895" s="6" t="s">
        <v>441</v>
      </c>
      <c r="F6895" s="6" t="str">
        <f>IF($M6895="PADD I","PADD 1",IF($M6895="PADD II","PADD 2",IF($M6895="PADD III","PADD 3",IF($M6895="PADD IV","PADD 4",IF($M6895="PADD V","PADD 5","")))))</f>
        <v>PADD 5</v>
      </c>
      <c r="G6895" s="6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6" t="s">
        <v>39</v>
      </c>
      <c r="I6895" s="6" t="s">
        <v>136</v>
      </c>
      <c r="J6895" s="6" t="s">
        <v>394</v>
      </c>
      <c r="K6895" s="10">
        <v>90</v>
      </c>
      <c r="L6895" s="10">
        <v>90</v>
      </c>
      <c r="M6895" s="6" t="s">
        <v>436</v>
      </c>
      <c r="N6895" s="6">
        <f>IF(OR($G6895="FCC",$G6895="Hydrocracker",$G6895="Reformer"),IF(COUNTIFS($D:$D,$D6895,$A:$A,$A6895,$B:$B,$B6895,$G:$G,"CDU",$J:$J,"PLANNED")&gt;0,"tied","standalone"),"")</f>
        <v/>
      </c>
    </row>
    <row r="6896" spans="1:14">
      <c r="A6896" s="6">
        <v>2025</v>
      </c>
      <c r="B6896" s="6">
        <v>12</v>
      </c>
      <c r="C6896" s="6" t="s">
        <v>71</v>
      </c>
      <c r="D6896" s="6" t="s">
        <v>375</v>
      </c>
      <c r="E6896" s="6" t="s">
        <v>435</v>
      </c>
      <c r="F6896" s="6" t="str">
        <f>IF($M6896="PADD I","PADD 1",IF($M6896="PADD II","PADD 2",IF($M6896="PADD III","PADD 3",IF($M6896="PADD IV","PADD 4",IF($M6896="PADD V","PADD 5","")))))</f>
        <v>PADD 5</v>
      </c>
      <c r="G6896" s="6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6" t="s">
        <v>44</v>
      </c>
      <c r="I6896" s="6" t="s">
        <v>1335</v>
      </c>
      <c r="J6896" s="6" t="s">
        <v>394</v>
      </c>
      <c r="K6896" s="10">
        <v>77.5</v>
      </c>
      <c r="L6896" s="10">
        <v>77.5</v>
      </c>
      <c r="M6896" s="6" t="s">
        <v>436</v>
      </c>
      <c r="N6896" s="6">
        <f>IF(OR($G6896="FCC",$G6896="Hydrocracker",$G6896="Reformer"),IF(COUNTIFS($D:$D,$D6896,$A:$A,$A6896,$B:$B,$B6896,$G:$G,"CDU",$J:$J,"PLANNED")&gt;0,"tied","standalone"),"")</f>
        <v/>
      </c>
    </row>
    <row r="6897" spans="1:14">
      <c r="A6897" s="6">
        <v>2025</v>
      </c>
      <c r="B6897" s="6">
        <v>12</v>
      </c>
      <c r="C6897" s="6" t="s">
        <v>71</v>
      </c>
      <c r="D6897" s="6" t="s">
        <v>375</v>
      </c>
      <c r="E6897" s="6" t="s">
        <v>435</v>
      </c>
      <c r="F6897" s="6" t="str">
        <f>IF($M6897="PADD I","PADD 1",IF($M6897="PADD II","PADD 2",IF($M6897="PADD III","PADD 3",IF($M6897="PADD IV","PADD 4",IF($M6897="PADD V","PADD 5","")))))</f>
        <v>PADD 5</v>
      </c>
      <c r="G6897" s="6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6" t="s">
        <v>426</v>
      </c>
      <c r="I6897" s="6" t="s">
        <v>554</v>
      </c>
      <c r="J6897" s="6" t="s">
        <v>394</v>
      </c>
      <c r="K6897" s="10">
        <v>70</v>
      </c>
      <c r="L6897" s="10">
        <v>70</v>
      </c>
      <c r="M6897" s="6" t="s">
        <v>436</v>
      </c>
      <c r="N6897" s="6" t="str">
        <f>IF(OR($G6897="FCC",$G6897="Hydrocracker",$G6897="Reformer"),IF(COUNTIFS($D:$D,$D6897,$A:$A,$A6897,$B:$B,$B6897,$G:$G,"CDU",$J:$J,"PLANNED")&gt;0,"tied","standalone"),"")</f>
        <v>standalone</v>
      </c>
    </row>
    <row r="6898" spans="1:14">
      <c r="A6898" s="6">
        <v>2025</v>
      </c>
      <c r="B6898" s="6">
        <v>12</v>
      </c>
      <c r="C6898" s="6" t="s">
        <v>71</v>
      </c>
      <c r="D6898" s="6" t="s">
        <v>52</v>
      </c>
      <c r="E6898" s="6" t="s">
        <v>441</v>
      </c>
      <c r="F6898" s="6" t="str">
        <f>IF($M6898="PADD I","PADD 1",IF($M6898="PADD II","PADD 2",IF($M6898="PADD III","PADD 3",IF($M6898="PADD IV","PADD 4",IF($M6898="PADD V","PADD 5","")))))</f>
        <v>PADD 5</v>
      </c>
      <c r="G6898" s="6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6" t="s">
        <v>428</v>
      </c>
      <c r="I6898" s="6" t="s">
        <v>1085</v>
      </c>
      <c r="J6898" s="6" t="s">
        <v>394</v>
      </c>
      <c r="K6898" s="10">
        <v>56.35</v>
      </c>
      <c r="L6898" s="10">
        <v>56.35</v>
      </c>
      <c r="M6898" s="6" t="s">
        <v>436</v>
      </c>
      <c r="N6898" s="6">
        <f>IF(OR($G6898="FCC",$G6898="Hydrocracker",$G6898="Reformer"),IF(COUNTIFS($D:$D,$D6898,$A:$A,$A6898,$B:$B,$B6898,$G:$G,"CDU",$J:$J,"PLANNED")&gt;0,"tied","standalone"),"")</f>
        <v/>
      </c>
    </row>
    <row r="6899" spans="1:14">
      <c r="A6899" s="6">
        <v>2025</v>
      </c>
      <c r="B6899" s="6">
        <v>12</v>
      </c>
      <c r="C6899" s="6" t="s">
        <v>71</v>
      </c>
      <c r="D6899" s="6" t="s">
        <v>375</v>
      </c>
      <c r="E6899" s="6" t="s">
        <v>435</v>
      </c>
      <c r="F6899" s="6" t="str">
        <f>IF($M6899="PADD I","PADD 1",IF($M6899="PADD II","PADD 2",IF($M6899="PADD III","PADD 3",IF($M6899="PADD IV","PADD 4",IF($M6899="PADD V","PADD 5","")))))</f>
        <v>PADD 5</v>
      </c>
      <c r="G6899" s="6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6" t="s">
        <v>39</v>
      </c>
      <c r="I6899" s="6" t="s">
        <v>94</v>
      </c>
      <c r="J6899" s="6" t="s">
        <v>394</v>
      </c>
      <c r="K6899" s="10">
        <v>54.25</v>
      </c>
      <c r="L6899" s="10">
        <v>54.25</v>
      </c>
      <c r="M6899" s="6" t="s">
        <v>436</v>
      </c>
      <c r="N6899" s="6">
        <f>IF(OR($G6899="FCC",$G6899="Hydrocracker",$G6899="Reformer"),IF(COUNTIFS($D:$D,$D6899,$A:$A,$A6899,$B:$B,$B6899,$G:$G,"CDU",$J:$J,"PLANNED")&gt;0,"tied","standalone"),"")</f>
        <v/>
      </c>
    </row>
    <row r="6900" spans="1:14">
      <c r="A6900" s="6">
        <v>2025</v>
      </c>
      <c r="B6900" s="6">
        <v>12</v>
      </c>
      <c r="C6900" s="6" t="s">
        <v>71</v>
      </c>
      <c r="D6900" s="6" t="s">
        <v>378</v>
      </c>
      <c r="E6900" s="6" t="s">
        <v>477</v>
      </c>
      <c r="F6900" s="6" t="str">
        <f>IF($M6900="PADD I","PADD 1",IF($M6900="PADD II","PADD 2",IF($M6900="PADD III","PADD 3",IF($M6900="PADD IV","PADD 4",IF($M6900="PADD V","PADD 5","")))))</f>
        <v>PADD 3</v>
      </c>
      <c r="G6900" s="6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6" t="s">
        <v>39</v>
      </c>
      <c r="I6900" s="6" t="s">
        <v>379</v>
      </c>
      <c r="J6900" s="6" t="s">
        <v>398</v>
      </c>
      <c r="K6900" s="10">
        <v>46.08</v>
      </c>
      <c r="L6900" s="10">
        <v>96</v>
      </c>
      <c r="M6900" s="6" t="s">
        <v>421</v>
      </c>
      <c r="N6900" s="6">
        <f>IF(OR($G6900="FCC",$G6900="Hydrocracker",$G6900="Reformer"),IF(COUNTIFS($D:$D,$D6900,$A:$A,$A6900,$B:$B,$B6900,$G:$G,"CDU",$J:$J,"PLANNED")&gt;0,"tied","standalone"),"")</f>
        <v/>
      </c>
    </row>
    <row r="6901" spans="1:14">
      <c r="A6901" s="6">
        <v>2025</v>
      </c>
      <c r="B6901" s="6">
        <v>12</v>
      </c>
      <c r="C6901" s="6" t="s">
        <v>71</v>
      </c>
      <c r="D6901" s="6" t="s">
        <v>375</v>
      </c>
      <c r="E6901" s="6" t="s">
        <v>435</v>
      </c>
      <c r="F6901" s="6" t="str">
        <f>IF($M6901="PADD I","PADD 1",IF($M6901="PADD II","PADD 2",IF($M6901="PADD III","PADD 3",IF($M6901="PADD IV","PADD 4",IF($M6901="PADD V","PADD 5","")))))</f>
        <v>PADD 5</v>
      </c>
      <c r="G6901" s="6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6" t="s">
        <v>494</v>
      </c>
      <c r="I6901" s="6" t="s">
        <v>548</v>
      </c>
      <c r="J6901" s="6" t="s">
        <v>394</v>
      </c>
      <c r="K6901" s="10">
        <v>42</v>
      </c>
      <c r="L6901" s="10">
        <v>42</v>
      </c>
      <c r="M6901" s="6" t="s">
        <v>436</v>
      </c>
      <c r="N6901" s="6" t="str">
        <f>IF(OR($G6901="FCC",$G6901="Hydrocracker",$G6901="Reformer"),IF(COUNTIFS($D:$D,$D6901,$A:$A,$A6901,$B:$B,$B6901,$G:$G,"CDU",$J:$J,"PLANNED")&gt;0,"tied","standalone"),"")</f>
        <v>standalone</v>
      </c>
    </row>
    <row r="6902" spans="1:14">
      <c r="A6902" s="6">
        <v>2025</v>
      </c>
      <c r="B6902" s="6">
        <v>12</v>
      </c>
      <c r="C6902" s="6" t="s">
        <v>71</v>
      </c>
      <c r="D6902" s="6" t="s">
        <v>1113</v>
      </c>
      <c r="E6902" s="6" t="s">
        <v>438</v>
      </c>
      <c r="F6902" s="6" t="str">
        <f>IF($M6902="PADD I","PADD 1",IF($M6902="PADD II","PADD 2",IF($M6902="PADD III","PADD 3",IF($M6902="PADD IV","PADD 4",IF($M6902="PADD V","PADD 5","")))))</f>
        <v>PADD 2</v>
      </c>
      <c r="G6902" s="6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6" t="s">
        <v>44</v>
      </c>
      <c r="I6902" s="6" t="s">
        <v>543</v>
      </c>
      <c r="J6902" s="6" t="s">
        <v>394</v>
      </c>
      <c r="K6902" s="10">
        <v>34</v>
      </c>
      <c r="L6902" s="10">
        <v>34</v>
      </c>
      <c r="M6902" s="6" t="s">
        <v>425</v>
      </c>
      <c r="N6902" s="6">
        <f>IF(OR($G6902="FCC",$G6902="Hydrocracker",$G6902="Reformer"),IF(COUNTIFS($D:$D,$D6902,$A:$A,$A6902,$B:$B,$B6902,$G:$G,"CDU",$J:$J,"PLANNED")&gt;0,"tied","standalone"),"")</f>
        <v/>
      </c>
    </row>
    <row r="6903" spans="1:14">
      <c r="A6903" s="6">
        <v>2025</v>
      </c>
      <c r="B6903" s="6">
        <v>12</v>
      </c>
      <c r="C6903" s="6" t="s">
        <v>71</v>
      </c>
      <c r="D6903" s="6" t="s">
        <v>52</v>
      </c>
      <c r="E6903" s="6" t="s">
        <v>441</v>
      </c>
      <c r="F6903" s="6" t="str">
        <f>IF($M6903="PADD I","PADD 1",IF($M6903="PADD II","PADD 2",IF($M6903="PADD III","PADD 3",IF($M6903="PADD IV","PADD 4",IF($M6903="PADD V","PADD 5","")))))</f>
        <v>PADD 5</v>
      </c>
      <c r="G6903" s="6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6" t="s">
        <v>39</v>
      </c>
      <c r="I6903" s="6" t="s">
        <v>136</v>
      </c>
      <c r="J6903" s="6" t="s">
        <v>394</v>
      </c>
      <c r="K6903" s="10">
        <v>31.5</v>
      </c>
      <c r="L6903" s="10">
        <v>31.5</v>
      </c>
      <c r="M6903" s="6" t="s">
        <v>436</v>
      </c>
      <c r="N6903" s="6">
        <f>IF(OR($G6903="FCC",$G6903="Hydrocracker",$G6903="Reformer"),IF(COUNTIFS($D:$D,$D6903,$A:$A,$A6903,$B:$B,$B6903,$G:$G,"CDU",$J:$J,"PLANNED")&gt;0,"tied","standalone"),"")</f>
        <v/>
      </c>
    </row>
    <row r="6904" spans="1:14">
      <c r="A6904" s="6">
        <v>2025</v>
      </c>
      <c r="B6904" s="6">
        <v>12</v>
      </c>
      <c r="C6904" s="6" t="s">
        <v>71</v>
      </c>
      <c r="D6904" s="6" t="s">
        <v>375</v>
      </c>
      <c r="E6904" s="6" t="s">
        <v>435</v>
      </c>
      <c r="F6904" s="6" t="str">
        <f>IF($M6904="PADD I","PADD 1",IF($M6904="PADD II","PADD 2",IF($M6904="PADD III","PADD 3",IF($M6904="PADD IV","PADD 4",IF($M6904="PADD V","PADD 5","")))))</f>
        <v>PADD 5</v>
      </c>
      <c r="G6904" s="6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6" t="s">
        <v>428</v>
      </c>
      <c r="I6904" s="6" t="s">
        <v>481</v>
      </c>
      <c r="J6904" s="6" t="s">
        <v>394</v>
      </c>
      <c r="K6904" s="10">
        <v>31.5</v>
      </c>
      <c r="L6904" s="10">
        <v>31.5</v>
      </c>
      <c r="M6904" s="6" t="s">
        <v>436</v>
      </c>
      <c r="N6904" s="6">
        <f>IF(OR($G6904="FCC",$G6904="Hydrocracker",$G6904="Reformer"),IF(COUNTIFS($D:$D,$D6904,$A:$A,$A6904,$B:$B,$B6904,$G:$G,"CDU",$J:$J,"PLANNED")&gt;0,"tied","standalone"),"")</f>
        <v/>
      </c>
    </row>
    <row r="6905" spans="1:14">
      <c r="A6905" s="6">
        <v>2025</v>
      </c>
      <c r="B6905" s="6">
        <v>12</v>
      </c>
      <c r="C6905" s="6" t="s">
        <v>71</v>
      </c>
      <c r="D6905" s="6" t="s">
        <v>52</v>
      </c>
      <c r="E6905" s="6" t="s">
        <v>441</v>
      </c>
      <c r="F6905" s="6" t="str">
        <f>IF($M6905="PADD I","PADD 1",IF($M6905="PADD II","PADD 2",IF($M6905="PADD III","PADD 3",IF($M6905="PADD IV","PADD 4",IF($M6905="PADD V","PADD 5","")))))</f>
        <v>PADD 5</v>
      </c>
      <c r="G6905" s="6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6" t="s">
        <v>44</v>
      </c>
      <c r="I6905" s="6" t="s">
        <v>1217</v>
      </c>
      <c r="J6905" s="6" t="s">
        <v>394</v>
      </c>
      <c r="K6905" s="10">
        <v>24.5</v>
      </c>
      <c r="L6905" s="10">
        <v>24.5</v>
      </c>
      <c r="M6905" s="6" t="s">
        <v>436</v>
      </c>
      <c r="N6905" s="6">
        <f>IF(OR($G6905="FCC",$G6905="Hydrocracker",$G6905="Reformer"),IF(COUNTIFS($D:$D,$D6905,$A:$A,$A6905,$B:$B,$B6905,$G:$G,"CDU",$J:$J,"PLANNED")&gt;0,"tied","standalone"),"")</f>
        <v/>
      </c>
    </row>
    <row r="6906" spans="1:14">
      <c r="A6906" s="6">
        <v>2025</v>
      </c>
      <c r="B6906" s="6">
        <v>12</v>
      </c>
      <c r="C6906" s="6" t="s">
        <v>71</v>
      </c>
      <c r="D6906" s="6" t="s">
        <v>52</v>
      </c>
      <c r="E6906" s="6" t="s">
        <v>441</v>
      </c>
      <c r="F6906" s="6" t="str">
        <f>IF($M6906="PADD I","PADD 1",IF($M6906="PADD II","PADD 2",IF($M6906="PADD III","PADD 3",IF($M6906="PADD IV","PADD 4",IF($M6906="PADD V","PADD 5","")))))</f>
        <v>PADD 5</v>
      </c>
      <c r="G6906" s="6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6" t="s">
        <v>44</v>
      </c>
      <c r="I6906" s="6" t="s">
        <v>1280</v>
      </c>
      <c r="J6906" s="6" t="s">
        <v>394</v>
      </c>
      <c r="K6906" s="10">
        <v>23.8</v>
      </c>
      <c r="L6906" s="10">
        <v>23.8</v>
      </c>
      <c r="M6906" s="6" t="s">
        <v>436</v>
      </c>
      <c r="N6906" s="6">
        <f>IF(OR($G6906="FCC",$G6906="Hydrocracker",$G6906="Reformer"),IF(COUNTIFS($D:$D,$D6906,$A:$A,$A6906,$B:$B,$B6906,$G:$G,"CDU",$J:$J,"PLANNED")&gt;0,"tied","standalone"),"")</f>
        <v/>
      </c>
    </row>
    <row r="6907" spans="1:14">
      <c r="A6907" s="6">
        <v>2025</v>
      </c>
      <c r="B6907" s="6">
        <v>12</v>
      </c>
      <c r="C6907" s="6" t="s">
        <v>71</v>
      </c>
      <c r="D6907" s="6" t="s">
        <v>576</v>
      </c>
      <c r="E6907" s="6" t="s">
        <v>455</v>
      </c>
      <c r="F6907" s="6" t="str">
        <f>IF($M6907="PADD I","PADD 1",IF($M6907="PADD II","PADD 2",IF($M6907="PADD III","PADD 3",IF($M6907="PADD IV","PADD 4",IF($M6907="PADD V","PADD 5","")))))</f>
        <v>PADD 3</v>
      </c>
      <c r="G6907" s="6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6" t="s">
        <v>494</v>
      </c>
      <c r="I6907" s="6" t="s">
        <v>400</v>
      </c>
      <c r="J6907" s="6" t="s">
        <v>394</v>
      </c>
      <c r="K6907" s="10">
        <v>22.23</v>
      </c>
      <c r="L6907" s="10">
        <v>57</v>
      </c>
      <c r="M6907" s="6" t="s">
        <v>421</v>
      </c>
      <c r="N6907" s="6" t="str">
        <f>IF(OR($G6907="FCC",$G6907="Hydrocracker",$G6907="Reformer"),IF(COUNTIFS($D:$D,$D6907,$A:$A,$A6907,$B:$B,$B6907,$G:$G,"CDU",$J:$J,"PLANNED")&gt;0,"tied","standalone"),"")</f>
        <v>standalone</v>
      </c>
    </row>
    <row r="6908" spans="1:14">
      <c r="A6908" s="6">
        <v>2025</v>
      </c>
      <c r="B6908" s="6">
        <v>12</v>
      </c>
      <c r="C6908" s="6" t="s">
        <v>71</v>
      </c>
      <c r="D6908" s="6" t="s">
        <v>375</v>
      </c>
      <c r="E6908" s="6" t="s">
        <v>435</v>
      </c>
      <c r="F6908" s="6" t="str">
        <f>IF($M6908="PADD I","PADD 1",IF($M6908="PADD II","PADD 2",IF($M6908="PADD III","PADD 3",IF($M6908="PADD IV","PADD 4",IF($M6908="PADD V","PADD 5","")))))</f>
        <v>PADD 5</v>
      </c>
      <c r="G6908" s="6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6" t="s">
        <v>44</v>
      </c>
      <c r="I6908" s="6" t="s">
        <v>1224</v>
      </c>
      <c r="J6908" s="6" t="s">
        <v>394</v>
      </c>
      <c r="K6908" s="10">
        <v>17.57</v>
      </c>
      <c r="L6908" s="10">
        <v>17.57</v>
      </c>
      <c r="M6908" s="6" t="s">
        <v>436</v>
      </c>
      <c r="N6908" s="6">
        <f>IF(OR($G6908="FCC",$G6908="Hydrocracker",$G6908="Reformer"),IF(COUNTIFS($D:$D,$D6908,$A:$A,$A6908,$B:$B,$B6908,$G:$G,"CDU",$J:$J,"PLANNED")&gt;0,"tied","standalone"),"")</f>
        <v/>
      </c>
    </row>
    <row r="6909" spans="1:14">
      <c r="A6909" s="6">
        <v>2025</v>
      </c>
      <c r="B6909" s="6">
        <v>12</v>
      </c>
      <c r="C6909" s="6" t="s">
        <v>71</v>
      </c>
      <c r="D6909" s="6" t="s">
        <v>662</v>
      </c>
      <c r="E6909" s="6" t="s">
        <v>466</v>
      </c>
      <c r="F6909" s="6" t="str">
        <f>IF($M6909="PADD I","PADD 1",IF($M6909="PADD II","PADD 2",IF($M6909="PADD III","PADD 3",IF($M6909="PADD IV","PADD 4",IF($M6909="PADD V","PADD 5","")))))</f>
        <v>PADD 3</v>
      </c>
      <c r="G6909" s="6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6" t="s">
        <v>39</v>
      </c>
      <c r="I6909" s="6" t="s">
        <v>82</v>
      </c>
      <c r="J6909" s="6" t="s">
        <v>394</v>
      </c>
      <c r="K6909" s="10">
        <v>17.4</v>
      </c>
      <c r="L6909" s="10">
        <v>174</v>
      </c>
      <c r="M6909" s="6" t="s">
        <v>421</v>
      </c>
      <c r="N6909" s="6">
        <f>IF(OR($G6909="FCC",$G6909="Hydrocracker",$G6909="Reformer"),IF(COUNTIFS($D:$D,$D6909,$A:$A,$A6909,$B:$B,$B6909,$G:$G,"CDU",$J:$J,"PLANNED")&gt;0,"tied","standalone"),"")</f>
        <v/>
      </c>
    </row>
    <row r="6910" spans="1:14">
      <c r="A6910" s="6">
        <v>2025</v>
      </c>
      <c r="B6910" s="6">
        <v>12</v>
      </c>
      <c r="C6910" s="6" t="s">
        <v>71</v>
      </c>
      <c r="D6910" s="6" t="s">
        <v>662</v>
      </c>
      <c r="E6910" s="6" t="s">
        <v>466</v>
      </c>
      <c r="F6910" s="6" t="str">
        <f>IF($M6910="PADD I","PADD 1",IF($M6910="PADD II","PADD 2",IF($M6910="PADD III","PADD 3",IF($M6910="PADD IV","PADD 4",IF($M6910="PADD V","PADD 5","")))))</f>
        <v>PADD 3</v>
      </c>
      <c r="G6910" s="6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6" t="s">
        <v>39</v>
      </c>
      <c r="I6910" s="6" t="s">
        <v>82</v>
      </c>
      <c r="J6910" s="6" t="s">
        <v>398</v>
      </c>
      <c r="K6910" s="10">
        <v>16.5</v>
      </c>
      <c r="L6910" s="10">
        <v>165</v>
      </c>
      <c r="M6910" s="6" t="s">
        <v>421</v>
      </c>
      <c r="N6910" s="6">
        <f>IF(OR($G6910="FCC",$G6910="Hydrocracker",$G6910="Reformer"),IF(COUNTIFS($D:$D,$D6910,$A:$A,$A6910,$B:$B,$B6910,$G:$G,"CDU",$J:$J,"PLANNED")&gt;0,"tied","standalone"),"")</f>
        <v/>
      </c>
    </row>
    <row r="6911" spans="1:14">
      <c r="A6911" s="6">
        <v>2025</v>
      </c>
      <c r="B6911" s="6">
        <v>12</v>
      </c>
      <c r="C6911" s="6" t="s">
        <v>71</v>
      </c>
      <c r="D6911" s="6" t="s">
        <v>49</v>
      </c>
      <c r="E6911" s="6" t="s">
        <v>438</v>
      </c>
      <c r="F6911" s="6" t="str">
        <f>IF($M6911="PADD I","PADD 1",IF($M6911="PADD II","PADD 2",IF($M6911="PADD III","PADD 3",IF($M6911="PADD IV","PADD 4",IF($M6911="PADD V","PADD 5","")))))</f>
        <v>PADD 2</v>
      </c>
      <c r="G6911" s="6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6" t="s">
        <v>39</v>
      </c>
      <c r="I6911" s="6" t="s">
        <v>770</v>
      </c>
      <c r="J6911" s="6" t="s">
        <v>394</v>
      </c>
      <c r="K6911" s="10">
        <v>15.96</v>
      </c>
      <c r="L6911" s="10">
        <v>266</v>
      </c>
      <c r="M6911" s="6" t="s">
        <v>425</v>
      </c>
      <c r="N6911" s="6">
        <f>IF(OR($G6911="FCC",$G6911="Hydrocracker",$G6911="Reformer"),IF(COUNTIFS($D:$D,$D6911,$A:$A,$A6911,$B:$B,$B6911,$G:$G,"CDU",$J:$J,"PLANNED")&gt;0,"tied","standalone"),"")</f>
        <v/>
      </c>
    </row>
    <row r="6912" spans="1:14">
      <c r="A6912" s="6">
        <v>2025</v>
      </c>
      <c r="B6912" s="6">
        <v>12</v>
      </c>
      <c r="C6912" s="6" t="s">
        <v>71</v>
      </c>
      <c r="D6912" s="6" t="s">
        <v>49</v>
      </c>
      <c r="E6912" s="6" t="s">
        <v>438</v>
      </c>
      <c r="F6912" s="6" t="str">
        <f>IF($M6912="PADD I","PADD 1",IF($M6912="PADD II","PADD 2",IF($M6912="PADD III","PADD 3",IF($M6912="PADD IV","PADD 4",IF($M6912="PADD V","PADD 5","")))))</f>
        <v>PADD 2</v>
      </c>
      <c r="G6912" s="6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6" t="s">
        <v>39</v>
      </c>
      <c r="I6912" s="6" t="s">
        <v>770</v>
      </c>
      <c r="J6912" s="6" t="s">
        <v>394</v>
      </c>
      <c r="K6912" s="10">
        <v>15.96</v>
      </c>
      <c r="L6912" s="10">
        <v>266</v>
      </c>
      <c r="M6912" s="6" t="s">
        <v>425</v>
      </c>
      <c r="N6912" s="6">
        <f>IF(OR($G6912="FCC",$G6912="Hydrocracker",$G6912="Reformer"),IF(COUNTIFS($D:$D,$D6912,$A:$A,$A6912,$B:$B,$B6912,$G:$G,"CDU",$J:$J,"PLANNED")&gt;0,"tied","standalone"),"")</f>
        <v/>
      </c>
    </row>
    <row r="6913" spans="1:14">
      <c r="A6913" s="6">
        <v>2025</v>
      </c>
      <c r="B6913" s="6">
        <v>12</v>
      </c>
      <c r="C6913" s="6" t="s">
        <v>71</v>
      </c>
      <c r="D6913" s="6" t="s">
        <v>52</v>
      </c>
      <c r="E6913" s="6" t="s">
        <v>441</v>
      </c>
      <c r="F6913" s="6" t="str">
        <f>IF($M6913="PADD I","PADD 1",IF($M6913="PADD II","PADD 2",IF($M6913="PADD III","PADD 3",IF($M6913="PADD IV","PADD 4",IF($M6913="PADD V","PADD 5","")))))</f>
        <v>PADD 5</v>
      </c>
      <c r="G6913" s="6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6" t="s">
        <v>44</v>
      </c>
      <c r="I6913" s="6" t="s">
        <v>909</v>
      </c>
      <c r="J6913" s="6" t="s">
        <v>394</v>
      </c>
      <c r="K6913" s="10">
        <v>14</v>
      </c>
      <c r="L6913" s="10">
        <v>14</v>
      </c>
      <c r="M6913" s="6" t="s">
        <v>436</v>
      </c>
      <c r="N6913" s="6">
        <f>IF(OR($G6913="FCC",$G6913="Hydrocracker",$G6913="Reformer"),IF(COUNTIFS($D:$D,$D6913,$A:$A,$A6913,$B:$B,$B6913,$G:$G,"CDU",$J:$J,"PLANNED")&gt;0,"tied","standalone"),"")</f>
        <v/>
      </c>
    </row>
    <row r="6914" spans="1:14">
      <c r="A6914" s="6">
        <v>2025</v>
      </c>
      <c r="B6914" s="6">
        <v>12</v>
      </c>
      <c r="C6914" s="6" t="s">
        <v>71</v>
      </c>
      <c r="D6914" s="6" t="s">
        <v>820</v>
      </c>
      <c r="E6914" s="6" t="s">
        <v>710</v>
      </c>
      <c r="F6914" s="6" t="str">
        <f>IF($M6914="PADD I","PADD 1",IF($M6914="PADD II","PADD 2",IF($M6914="PADD III","PADD 3",IF($M6914="PADD IV","PADD 4",IF($M6914="PADD V","PADD 5","")))))</f>
        <v>PADD 3</v>
      </c>
      <c r="G6914" s="6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6" t="s">
        <v>485</v>
      </c>
      <c r="I6914" s="6" t="s">
        <v>491</v>
      </c>
      <c r="J6914" s="6" t="s">
        <v>394</v>
      </c>
      <c r="K6914" s="10">
        <v>13.44</v>
      </c>
      <c r="L6914" s="10">
        <v>32</v>
      </c>
      <c r="M6914" s="6" t="s">
        <v>421</v>
      </c>
      <c r="N6914" s="6">
        <f>IF(OR($G6914="FCC",$G6914="Hydrocracker",$G6914="Reformer"),IF(COUNTIFS($D:$D,$D6914,$A:$A,$A6914,$B:$B,$B6914,$G:$G,"CDU",$J:$J,"PLANNED")&gt;0,"tied","standalone"),"")</f>
        <v/>
      </c>
    </row>
    <row r="6915" spans="1:14">
      <c r="A6915" s="6">
        <v>2025</v>
      </c>
      <c r="B6915" s="6">
        <v>12</v>
      </c>
      <c r="C6915" s="6" t="s">
        <v>71</v>
      </c>
      <c r="D6915" s="6" t="s">
        <v>581</v>
      </c>
      <c r="E6915" s="6" t="s">
        <v>582</v>
      </c>
      <c r="F6915" s="6" t="str">
        <f>IF($M6915="PADD I","PADD 1",IF($M6915="PADD II","PADD 2",IF($M6915="PADD III","PADD 3",IF($M6915="PADD IV","PADD 4",IF($M6915="PADD V","PADD 5","")))))</f>
        <v>PADD 5</v>
      </c>
      <c r="G6915" s="6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6" t="s">
        <v>485</v>
      </c>
      <c r="I6915" s="6" t="s">
        <v>664</v>
      </c>
      <c r="J6915" s="6" t="s">
        <v>394</v>
      </c>
      <c r="K6915" s="10">
        <v>12.15</v>
      </c>
      <c r="L6915" s="10">
        <v>27</v>
      </c>
      <c r="M6915" s="6" t="s">
        <v>436</v>
      </c>
      <c r="N6915" s="6">
        <f>IF(OR($G6915="FCC",$G6915="Hydrocracker",$G6915="Reformer"),IF(COUNTIFS($D:$D,$D6915,$A:$A,$A6915,$B:$B,$B6915,$G:$G,"CDU",$J:$J,"PLANNED")&gt;0,"tied","standalone"),"")</f>
        <v/>
      </c>
    </row>
    <row r="6916" spans="1:14">
      <c r="A6916" s="6">
        <v>2025</v>
      </c>
      <c r="B6916" s="6">
        <v>12</v>
      </c>
      <c r="C6916" s="6" t="s">
        <v>71</v>
      </c>
      <c r="D6916" s="6" t="s">
        <v>375</v>
      </c>
      <c r="E6916" s="6" t="s">
        <v>435</v>
      </c>
      <c r="F6916" s="6" t="str">
        <f>IF($M6916="PADD I","PADD 1",IF($M6916="PADD II","PADD 2",IF($M6916="PADD III","PADD 3",IF($M6916="PADD IV","PADD 4",IF($M6916="PADD V","PADD 5","")))))</f>
        <v>PADD 5</v>
      </c>
      <c r="G6916" s="6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6" t="s">
        <v>471</v>
      </c>
      <c r="I6916" s="6" t="s">
        <v>15</v>
      </c>
      <c r="J6916" s="6" t="s">
        <v>394</v>
      </c>
      <c r="K6916" s="10">
        <v>10.33</v>
      </c>
      <c r="L6916" s="10">
        <v>10.33</v>
      </c>
      <c r="M6916" s="6" t="s">
        <v>436</v>
      </c>
      <c r="N6916" s="6" t="str">
        <f>IF(OR($G6916="FCC",$G6916="Hydrocracker",$G6916="Reformer"),IF(COUNTIFS($D:$D,$D6916,$A:$A,$A6916,$B:$B,$B6916,$G:$G,"CDU",$J:$J,"PLANNED")&gt;0,"tied","standalone"),"")</f>
        <v>standalone</v>
      </c>
    </row>
    <row r="6917" spans="1:14">
      <c r="A6917" s="6">
        <v>2025</v>
      </c>
      <c r="B6917" s="6">
        <v>12</v>
      </c>
      <c r="C6917" s="6" t="s">
        <v>71</v>
      </c>
      <c r="D6917" s="6" t="s">
        <v>375</v>
      </c>
      <c r="E6917" s="6" t="s">
        <v>435</v>
      </c>
      <c r="F6917" s="6" t="str">
        <f>IF($M6917="PADD I","PADD 1",IF($M6917="PADD II","PADD 2",IF($M6917="PADD III","PADD 3",IF($M6917="PADD IV","PADD 4",IF($M6917="PADD V","PADD 5","")))))</f>
        <v>PADD 5</v>
      </c>
      <c r="G6917" s="6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6" t="s">
        <v>44</v>
      </c>
      <c r="I6917" s="6" t="s">
        <v>551</v>
      </c>
      <c r="J6917" s="6" t="s">
        <v>394</v>
      </c>
      <c r="K6917" s="10">
        <v>9.800000000000001</v>
      </c>
      <c r="L6917" s="10">
        <v>9.800000000000001</v>
      </c>
      <c r="M6917" s="6" t="s">
        <v>436</v>
      </c>
      <c r="N6917" s="6">
        <f>IF(OR($G6917="FCC",$G6917="Hydrocracker",$G6917="Reformer"),IF(COUNTIFS($D:$D,$D6917,$A:$A,$A6917,$B:$B,$B6917,$G:$G,"CDU",$J:$J,"PLANNED")&gt;0,"tied","standalone"),"")</f>
        <v/>
      </c>
    </row>
    <row r="6918" spans="1:14">
      <c r="A6918" s="6">
        <v>2025</v>
      </c>
      <c r="B6918" s="6">
        <v>12</v>
      </c>
      <c r="C6918" s="6" t="s">
        <v>71</v>
      </c>
      <c r="D6918" s="6" t="s">
        <v>375</v>
      </c>
      <c r="E6918" s="6" t="s">
        <v>435</v>
      </c>
      <c r="F6918" s="6" t="str">
        <f>IF($M6918="PADD I","PADD 1",IF($M6918="PADD II","PADD 2",IF($M6918="PADD III","PADD 3",IF($M6918="PADD IV","PADD 4",IF($M6918="PADD V","PADD 5","")))))</f>
        <v>PADD 5</v>
      </c>
      <c r="G6918" s="6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6" t="s">
        <v>44</v>
      </c>
      <c r="I6918" s="6" t="s">
        <v>1233</v>
      </c>
      <c r="J6918" s="6" t="s">
        <v>394</v>
      </c>
      <c r="K6918" s="10">
        <v>9.1</v>
      </c>
      <c r="L6918" s="10">
        <v>9.1</v>
      </c>
      <c r="M6918" s="6" t="s">
        <v>436</v>
      </c>
      <c r="N6918" s="6">
        <f>IF(OR($G6918="FCC",$G6918="Hydrocracker",$G6918="Reformer"),IF(COUNTIFS($D:$D,$D6918,$A:$A,$A6918,$B:$B,$B6918,$G:$G,"CDU",$J:$J,"PLANNED")&gt;0,"tied","standalone"),"")</f>
        <v/>
      </c>
    </row>
    <row r="6919" spans="1:14">
      <c r="A6919" s="6">
        <v>2025</v>
      </c>
      <c r="B6919" s="6">
        <v>12</v>
      </c>
      <c r="C6919" s="6" t="s">
        <v>71</v>
      </c>
      <c r="D6919" s="6" t="s">
        <v>370</v>
      </c>
      <c r="E6919" s="6" t="s">
        <v>431</v>
      </c>
      <c r="F6919" s="6" t="str">
        <f>IF($M6919="PADD I","PADD 1",IF($M6919="PADD II","PADD 2",IF($M6919="PADD III","PADD 3",IF($M6919="PADD IV","PADD 4",IF($M6919="PADD V","PADD 5","")))))</f>
        <v>PADD 2</v>
      </c>
      <c r="G6919" s="6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6" t="s">
        <v>39</v>
      </c>
      <c r="I6919" s="6" t="s">
        <v>82</v>
      </c>
      <c r="J6919" s="6" t="s">
        <v>394</v>
      </c>
      <c r="K6919" s="10">
        <v>8.699999999999999</v>
      </c>
      <c r="L6919" s="10">
        <v>30</v>
      </c>
      <c r="M6919" s="6" t="s">
        <v>425</v>
      </c>
      <c r="N6919" s="6">
        <f>IF(OR($G6919="FCC",$G6919="Hydrocracker",$G6919="Reformer"),IF(COUNTIFS($D:$D,$D6919,$A:$A,$A6919,$B:$B,$B6919,$G:$G,"CDU",$J:$J,"PLANNED")&gt;0,"tied","standalone"),"")</f>
        <v/>
      </c>
    </row>
    <row r="6920" spans="1:14">
      <c r="A6920" s="6">
        <v>2025</v>
      </c>
      <c r="B6920" s="6">
        <v>12</v>
      </c>
      <c r="C6920" s="6" t="s">
        <v>71</v>
      </c>
      <c r="D6920" s="6" t="s">
        <v>662</v>
      </c>
      <c r="E6920" s="6" t="s">
        <v>466</v>
      </c>
      <c r="F6920" s="6" t="str">
        <f>IF($M6920="PADD I","PADD 1",IF($M6920="PADD II","PADD 2",IF($M6920="PADD III","PADD 3",IF($M6920="PADD IV","PADD 4",IF($M6920="PADD V","PADD 5","")))))</f>
        <v>PADD 3</v>
      </c>
      <c r="G6920" s="6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6" t="s">
        <v>428</v>
      </c>
      <c r="I6920" s="6" t="s">
        <v>481</v>
      </c>
      <c r="J6920" s="6" t="s">
        <v>394</v>
      </c>
      <c r="K6920" s="10">
        <v>8.529999999999999</v>
      </c>
      <c r="L6920" s="10">
        <v>85.3</v>
      </c>
      <c r="M6920" s="6" t="s">
        <v>421</v>
      </c>
      <c r="N6920" s="6">
        <f>IF(OR($G6920="FCC",$G6920="Hydrocracker",$G6920="Reformer"),IF(COUNTIFS($D:$D,$D6920,$A:$A,$A6920,$B:$B,$B6920,$G:$G,"CDU",$J:$J,"PLANNED")&gt;0,"tied","standalone"),"")</f>
        <v/>
      </c>
    </row>
    <row r="6921" spans="1:14">
      <c r="A6921" s="6">
        <v>2025</v>
      </c>
      <c r="B6921" s="6">
        <v>12</v>
      </c>
      <c r="C6921" s="6" t="s">
        <v>71</v>
      </c>
      <c r="D6921" s="6" t="s">
        <v>662</v>
      </c>
      <c r="E6921" s="6" t="s">
        <v>466</v>
      </c>
      <c r="F6921" s="6" t="str">
        <f>IF($M6921="PADD I","PADD 1",IF($M6921="PADD II","PADD 2",IF($M6921="PADD III","PADD 3",IF($M6921="PADD IV","PADD 4",IF($M6921="PADD V","PADD 5","")))))</f>
        <v>PADD 3</v>
      </c>
      <c r="G6921" s="6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6" t="s">
        <v>428</v>
      </c>
      <c r="I6921" s="6" t="s">
        <v>481</v>
      </c>
      <c r="J6921" s="6" t="s">
        <v>398</v>
      </c>
      <c r="K6921" s="10">
        <v>8</v>
      </c>
      <c r="L6921" s="10">
        <v>80</v>
      </c>
      <c r="M6921" s="6" t="s">
        <v>421</v>
      </c>
      <c r="N6921" s="6">
        <f>IF(OR($G6921="FCC",$G6921="Hydrocracker",$G6921="Reformer"),IF(COUNTIFS($D:$D,$D6921,$A:$A,$A6921,$B:$B,$B6921,$G:$G,"CDU",$J:$J,"PLANNED")&gt;0,"tied","standalone"),"")</f>
        <v/>
      </c>
    </row>
    <row r="6922" spans="1:14">
      <c r="A6922" s="6">
        <v>2025</v>
      </c>
      <c r="B6922" s="6">
        <v>12</v>
      </c>
      <c r="C6922" s="6" t="s">
        <v>71</v>
      </c>
      <c r="D6922" s="6" t="s">
        <v>806</v>
      </c>
      <c r="E6922" s="6" t="s">
        <v>807</v>
      </c>
      <c r="F6922" s="6" t="str">
        <f>IF($M6922="PADD I","PADD 1",IF($M6922="PADD II","PADD 2",IF($M6922="PADD III","PADD 3",IF($M6922="PADD IV","PADD 4",IF($M6922="PADD V","PADD 5","")))))</f>
        <v>PADD 3</v>
      </c>
      <c r="G6922" s="6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6" t="s">
        <v>39</v>
      </c>
      <c r="I6922" s="6" t="s">
        <v>82</v>
      </c>
      <c r="J6922" s="6" t="s">
        <v>394</v>
      </c>
      <c r="K6922" s="10">
        <v>7.8</v>
      </c>
      <c r="L6922" s="10">
        <v>15</v>
      </c>
      <c r="M6922" s="6" t="s">
        <v>421</v>
      </c>
      <c r="N6922" s="6">
        <f>IF(OR($G6922="FCC",$G6922="Hydrocracker",$G6922="Reformer"),IF(COUNTIFS($D:$D,$D6922,$A:$A,$A6922,$B:$B,$B6922,$G:$G,"CDU",$J:$J,"PLANNED")&gt;0,"tied","standalone"),"")</f>
        <v/>
      </c>
    </row>
    <row r="6923" spans="1:14">
      <c r="A6923" s="6">
        <v>2025</v>
      </c>
      <c r="B6923" s="6">
        <v>12</v>
      </c>
      <c r="C6923" s="6" t="s">
        <v>71</v>
      </c>
      <c r="D6923" s="6" t="s">
        <v>375</v>
      </c>
      <c r="E6923" s="6" t="s">
        <v>435</v>
      </c>
      <c r="F6923" s="6" t="str">
        <f>IF($M6923="PADD I","PADD 1",IF($M6923="PADD II","PADD 2",IF($M6923="PADD III","PADD 3",IF($M6923="PADD IV","PADD 4",IF($M6923="PADD V","PADD 5","")))))</f>
        <v>PADD 5</v>
      </c>
      <c r="G6923" s="6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6" t="s">
        <v>485</v>
      </c>
      <c r="I6923" s="6" t="s">
        <v>491</v>
      </c>
      <c r="J6923" s="6" t="s">
        <v>394</v>
      </c>
      <c r="K6923" s="10">
        <v>7.7</v>
      </c>
      <c r="L6923" s="10">
        <v>7.7</v>
      </c>
      <c r="M6923" s="6" t="s">
        <v>436</v>
      </c>
      <c r="N6923" s="6">
        <f>IF(OR($G6923="FCC",$G6923="Hydrocracker",$G6923="Reformer"),IF(COUNTIFS($D:$D,$D6923,$A:$A,$A6923,$B:$B,$B6923,$G:$G,"CDU",$J:$J,"PLANNED")&gt;0,"tied","standalone"),"")</f>
        <v/>
      </c>
    </row>
    <row r="6924" spans="1:14">
      <c r="A6924" s="6">
        <v>2025</v>
      </c>
      <c r="B6924" s="6">
        <v>12</v>
      </c>
      <c r="C6924" s="6" t="s">
        <v>71</v>
      </c>
      <c r="D6924" s="6" t="s">
        <v>52</v>
      </c>
      <c r="E6924" s="6" t="s">
        <v>441</v>
      </c>
      <c r="F6924" s="6" t="str">
        <f>IF($M6924="PADD I","PADD 1",IF($M6924="PADD II","PADD 2",IF($M6924="PADD III","PADD 3",IF($M6924="PADD IV","PADD 4",IF($M6924="PADD V","PADD 5","")))))</f>
        <v>PADD 5</v>
      </c>
      <c r="G6924" s="6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6" t="s">
        <v>44</v>
      </c>
      <c r="I6924" s="6" t="s">
        <v>1387</v>
      </c>
      <c r="J6924" s="6" t="s">
        <v>394</v>
      </c>
      <c r="K6924" s="10">
        <v>7.35</v>
      </c>
      <c r="L6924" s="10">
        <v>7.35</v>
      </c>
      <c r="M6924" s="6" t="s">
        <v>436</v>
      </c>
      <c r="N6924" s="6">
        <f>IF(OR($G6924="FCC",$G6924="Hydrocracker",$G6924="Reformer"),IF(COUNTIFS($D:$D,$D6924,$A:$A,$A6924,$B:$B,$B6924,$G:$G,"CDU",$J:$J,"PLANNED")&gt;0,"tied","standalone"),"")</f>
        <v/>
      </c>
    </row>
    <row r="6925" spans="1:14">
      <c r="A6925" s="6">
        <v>2025</v>
      </c>
      <c r="B6925" s="6">
        <v>12</v>
      </c>
      <c r="C6925" s="6" t="s">
        <v>71</v>
      </c>
      <c r="D6925" s="6" t="s">
        <v>375</v>
      </c>
      <c r="E6925" s="6" t="s">
        <v>435</v>
      </c>
      <c r="F6925" s="6" t="str">
        <f>IF($M6925="PADD I","PADD 1",IF($M6925="PADD II","PADD 2",IF($M6925="PADD III","PADD 3",IF($M6925="PADD IV","PADD 4",IF($M6925="PADD V","PADD 5","")))))</f>
        <v>PADD 5</v>
      </c>
      <c r="G6925" s="6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6" t="s">
        <v>485</v>
      </c>
      <c r="I6925" s="6" t="s">
        <v>863</v>
      </c>
      <c r="J6925" s="6" t="s">
        <v>394</v>
      </c>
      <c r="K6925" s="10">
        <v>7.32</v>
      </c>
      <c r="L6925" s="10">
        <v>7.32</v>
      </c>
      <c r="M6925" s="6" t="s">
        <v>436</v>
      </c>
      <c r="N6925" s="6">
        <f>IF(OR($G6925="FCC",$G6925="Hydrocracker",$G6925="Reformer"),IF(COUNTIFS($D:$D,$D6925,$A:$A,$A6925,$B:$B,$B6925,$G:$G,"CDU",$J:$J,"PLANNED")&gt;0,"tied","standalone"),"")</f>
        <v/>
      </c>
    </row>
    <row r="6926" spans="1:14">
      <c r="A6926" s="6">
        <v>2025</v>
      </c>
      <c r="B6926" s="6">
        <v>12</v>
      </c>
      <c r="C6926" s="6" t="s">
        <v>71</v>
      </c>
      <c r="D6926" s="6" t="s">
        <v>378</v>
      </c>
      <c r="E6926" s="6" t="s">
        <v>477</v>
      </c>
      <c r="F6926" s="6" t="str">
        <f>IF($M6926="PADD I","PADD 1",IF($M6926="PADD II","PADD 2",IF($M6926="PADD III","PADD 3",IF($M6926="PADD IV","PADD 4",IF($M6926="PADD V","PADD 5","")))))</f>
        <v>PADD 3</v>
      </c>
      <c r="G6926" s="6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6" t="s">
        <v>485</v>
      </c>
      <c r="I6926" s="6" t="s">
        <v>1298</v>
      </c>
      <c r="J6926" s="6" t="s">
        <v>398</v>
      </c>
      <c r="K6926" s="10">
        <v>7.2</v>
      </c>
      <c r="L6926" s="10">
        <v>15</v>
      </c>
      <c r="M6926" s="6" t="s">
        <v>421</v>
      </c>
      <c r="N6926" s="6">
        <f>IF(OR($G6926="FCC",$G6926="Hydrocracker",$G6926="Reformer"),IF(COUNTIFS($D:$D,$D6926,$A:$A,$A6926,$B:$B,$B6926,$G:$G,"CDU",$J:$J,"PLANNED")&gt;0,"tied","standalone"),"")</f>
        <v/>
      </c>
    </row>
    <row r="6927" spans="1:14">
      <c r="A6927" s="6">
        <v>2025</v>
      </c>
      <c r="B6927" s="6">
        <v>12</v>
      </c>
      <c r="C6927" s="6" t="s">
        <v>71</v>
      </c>
      <c r="D6927" s="6" t="s">
        <v>52</v>
      </c>
      <c r="E6927" s="6" t="s">
        <v>441</v>
      </c>
      <c r="F6927" s="6" t="str">
        <f>IF($M6927="PADD I","PADD 1",IF($M6927="PADD II","PADD 2",IF($M6927="PADD III","PADD 3",IF($M6927="PADD IV","PADD 4",IF($M6927="PADD V","PADD 5","")))))</f>
        <v>PADD 5</v>
      </c>
      <c r="G6927" s="6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6" t="s">
        <v>44</v>
      </c>
      <c r="I6927" s="6" t="s">
        <v>1388</v>
      </c>
      <c r="J6927" s="6" t="s">
        <v>394</v>
      </c>
      <c r="K6927" s="10">
        <v>7</v>
      </c>
      <c r="L6927" s="10">
        <v>7</v>
      </c>
      <c r="M6927" s="6" t="s">
        <v>436</v>
      </c>
      <c r="N6927" s="6">
        <f>IF(OR($G6927="FCC",$G6927="Hydrocracker",$G6927="Reformer"),IF(COUNTIFS($D:$D,$D6927,$A:$A,$A6927,$B:$B,$B6927,$G:$G,"CDU",$J:$J,"PLANNED")&gt;0,"tied","standalone"),"")</f>
        <v/>
      </c>
    </row>
    <row r="6928" spans="1:14">
      <c r="A6928" s="6">
        <v>2025</v>
      </c>
      <c r="B6928" s="6">
        <v>12</v>
      </c>
      <c r="C6928" s="6" t="s">
        <v>71</v>
      </c>
      <c r="D6928" s="6" t="s">
        <v>395</v>
      </c>
      <c r="E6928" s="6" t="s">
        <v>433</v>
      </c>
      <c r="F6928" s="6" t="str">
        <f>IF($M6928="PADD I","PADD 1",IF($M6928="PADD II","PADD 2",IF($M6928="PADD III","PADD 3",IF($M6928="PADD IV","PADD 4",IF($M6928="PADD V","PADD 5","")))))</f>
        <v>PADD 2</v>
      </c>
      <c r="G6928" s="6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6" t="s">
        <v>494</v>
      </c>
      <c r="I6928" s="6" t="s">
        <v>513</v>
      </c>
      <c r="J6928" s="6" t="s">
        <v>394</v>
      </c>
      <c r="K6928" s="10">
        <v>6.76</v>
      </c>
      <c r="L6928" s="10">
        <v>52</v>
      </c>
      <c r="M6928" s="6" t="s">
        <v>425</v>
      </c>
      <c r="N6928" s="6" t="str">
        <f>IF(OR($G6928="FCC",$G6928="Hydrocracker",$G6928="Reformer"),IF(COUNTIFS($D:$D,$D6928,$A:$A,$A6928,$B:$B,$B6928,$G:$G,"CDU",$J:$J,"PLANNED")&gt;0,"tied","standalone"),"")</f>
        <v>standalone</v>
      </c>
    </row>
    <row r="6929" spans="1:14">
      <c r="A6929" s="6">
        <v>2025</v>
      </c>
      <c r="B6929" s="6">
        <v>12</v>
      </c>
      <c r="C6929" s="6" t="s">
        <v>71</v>
      </c>
      <c r="D6929" s="6" t="s">
        <v>662</v>
      </c>
      <c r="E6929" s="6" t="s">
        <v>466</v>
      </c>
      <c r="F6929" s="6" t="str">
        <f>IF($M6929="PADD I","PADD 1",IF($M6929="PADD II","PADD 2",IF($M6929="PADD III","PADD 3",IF($M6929="PADD IV","PADD 4",IF($M6929="PADD V","PADD 5","")))))</f>
        <v>PADD 3</v>
      </c>
      <c r="G6929" s="6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6" t="s">
        <v>485</v>
      </c>
      <c r="I6929" s="6" t="s">
        <v>491</v>
      </c>
      <c r="J6929" s="6" t="s">
        <v>394</v>
      </c>
      <c r="K6929" s="10">
        <v>5.72</v>
      </c>
      <c r="L6929" s="10">
        <v>44</v>
      </c>
      <c r="M6929" s="6" t="s">
        <v>421</v>
      </c>
      <c r="N6929" s="6">
        <f>IF(OR($G6929="FCC",$G6929="Hydrocracker",$G6929="Reformer"),IF(COUNTIFS($D:$D,$D6929,$A:$A,$A6929,$B:$B,$B6929,$G:$G,"CDU",$J:$J,"PLANNED")&gt;0,"tied","standalone"),"")</f>
        <v/>
      </c>
    </row>
    <row r="6930" spans="1:14">
      <c r="A6930" s="6">
        <v>2025</v>
      </c>
      <c r="B6930" s="6">
        <v>12</v>
      </c>
      <c r="C6930" s="6" t="s">
        <v>71</v>
      </c>
      <c r="D6930" s="6" t="s">
        <v>820</v>
      </c>
      <c r="E6930" s="6" t="s">
        <v>710</v>
      </c>
      <c r="F6930" s="6" t="str">
        <f>IF($M6930="PADD I","PADD 1",IF($M6930="PADD II","PADD 2",IF($M6930="PADD III","PADD 3",IF($M6930="PADD IV","PADD 4",IF($M6930="PADD V","PADD 5","")))))</f>
        <v>PADD 3</v>
      </c>
      <c r="G6930" s="6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6" t="s">
        <v>39</v>
      </c>
      <c r="I6930" s="6" t="s">
        <v>821</v>
      </c>
      <c r="J6930" s="6" t="s">
        <v>394</v>
      </c>
      <c r="K6930" s="10">
        <v>5.7</v>
      </c>
      <c r="L6930" s="10">
        <v>30</v>
      </c>
      <c r="M6930" s="6" t="s">
        <v>421</v>
      </c>
      <c r="N6930" s="6">
        <f>IF(OR($G6930="FCC",$G6930="Hydrocracker",$G6930="Reformer"),IF(COUNTIFS($D:$D,$D6930,$A:$A,$A6930,$B:$B,$B6930,$G:$G,"CDU",$J:$J,"PLANNED")&gt;0,"tied","standalone"),"")</f>
        <v/>
      </c>
    </row>
    <row r="6931" spans="1:14">
      <c r="A6931" s="6">
        <v>2025</v>
      </c>
      <c r="B6931" s="6">
        <v>12</v>
      </c>
      <c r="C6931" s="6" t="s">
        <v>71</v>
      </c>
      <c r="D6931" s="6" t="s">
        <v>662</v>
      </c>
      <c r="E6931" s="6" t="s">
        <v>466</v>
      </c>
      <c r="F6931" s="6" t="str">
        <f>IF($M6931="PADD I","PADD 1",IF($M6931="PADD II","PADD 2",IF($M6931="PADD III","PADD 3",IF($M6931="PADD IV","PADD 4",IF($M6931="PADD V","PADD 5","")))))</f>
        <v>PADD 3</v>
      </c>
      <c r="G6931" s="6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6" t="s">
        <v>471</v>
      </c>
      <c r="I6931" s="6" t="s">
        <v>805</v>
      </c>
      <c r="J6931" s="6" t="s">
        <v>394</v>
      </c>
      <c r="K6931" s="10">
        <v>5.7</v>
      </c>
      <c r="L6931" s="10">
        <v>30</v>
      </c>
      <c r="M6931" s="6" t="s">
        <v>421</v>
      </c>
      <c r="N6931" s="6" t="str">
        <f>IF(OR($G6931="FCC",$G6931="Hydrocracker",$G6931="Reformer"),IF(COUNTIFS($D:$D,$D6931,$A:$A,$A6931,$B:$B,$B6931,$G:$G,"CDU",$J:$J,"PLANNED")&gt;0,"tied","standalone"),"")</f>
        <v>tied</v>
      </c>
    </row>
    <row r="6932" spans="1:14">
      <c r="A6932" s="6">
        <v>2025</v>
      </c>
      <c r="B6932" s="6">
        <v>12</v>
      </c>
      <c r="C6932" s="6" t="s">
        <v>71</v>
      </c>
      <c r="D6932" s="6" t="s">
        <v>507</v>
      </c>
      <c r="E6932" s="6" t="s">
        <v>438</v>
      </c>
      <c r="F6932" s="6" t="str">
        <f>IF($M6932="PADD I","PADD 1",IF($M6932="PADD II","PADD 2",IF($M6932="PADD III","PADD 3",IF($M6932="PADD IV","PADD 4",IF($M6932="PADD V","PADD 5","")))))</f>
        <v>PADD 5</v>
      </c>
      <c r="G6932" s="6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6" t="s">
        <v>494</v>
      </c>
      <c r="I6932" s="6" t="s">
        <v>14</v>
      </c>
      <c r="J6932" s="6" t="s">
        <v>394</v>
      </c>
      <c r="K6932" s="10">
        <v>5.5</v>
      </c>
      <c r="L6932" s="10">
        <v>55</v>
      </c>
      <c r="M6932" s="6" t="s">
        <v>436</v>
      </c>
      <c r="N6932" s="6" t="str">
        <f>IF(OR($G6932="FCC",$G6932="Hydrocracker",$G6932="Reformer"),IF(COUNTIFS($D:$D,$D6932,$A:$A,$A6932,$B:$B,$B6932,$G:$G,"CDU",$J:$J,"PLANNED")&gt;0,"tied","standalone"),"")</f>
        <v>standalone</v>
      </c>
    </row>
    <row r="6933" spans="1:14">
      <c r="A6933" s="6">
        <v>2025</v>
      </c>
      <c r="B6933" s="6">
        <v>12</v>
      </c>
      <c r="C6933" s="6" t="s">
        <v>71</v>
      </c>
      <c r="D6933" s="6" t="s">
        <v>849</v>
      </c>
      <c r="E6933" s="6" t="s">
        <v>441</v>
      </c>
      <c r="F6933" s="6" t="str">
        <f>IF($M6933="PADD I","PADD 1",IF($M6933="PADD II","PADD 2",IF($M6933="PADD III","PADD 3",IF($M6933="PADD IV","PADD 4",IF($M6933="PADD V","PADD 5","")))))</f>
        <v>PADD 4</v>
      </c>
      <c r="G6933" s="6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6" t="s">
        <v>44</v>
      </c>
      <c r="I6933" s="6" t="s">
        <v>1114</v>
      </c>
      <c r="J6933" s="6" t="s">
        <v>394</v>
      </c>
      <c r="K6933" s="10">
        <v>5.187</v>
      </c>
      <c r="L6933" s="10">
        <v>13.3</v>
      </c>
      <c r="M6933" s="6" t="s">
        <v>480</v>
      </c>
      <c r="N6933" s="6">
        <f>IF(OR($G6933="FCC",$G6933="Hydrocracker",$G6933="Reformer"),IF(COUNTIFS($D:$D,$D6933,$A:$A,$A6933,$B:$B,$B6933,$G:$G,"CDU",$J:$J,"PLANNED")&gt;0,"tied","standalone"),"")</f>
        <v/>
      </c>
    </row>
    <row r="6934" spans="1:14">
      <c r="A6934" s="6">
        <v>2025</v>
      </c>
      <c r="B6934" s="6">
        <v>12</v>
      </c>
      <c r="C6934" s="6" t="s">
        <v>71</v>
      </c>
      <c r="D6934" s="6" t="s">
        <v>49</v>
      </c>
      <c r="E6934" s="6" t="s">
        <v>438</v>
      </c>
      <c r="F6934" s="6" t="str">
        <f>IF($M6934="PADD I","PADD 1",IF($M6934="PADD II","PADD 2",IF($M6934="PADD III","PADD 3",IF($M6934="PADD IV","PADD 4",IF($M6934="PADD V","PADD 5","")))))</f>
        <v>PADD 2</v>
      </c>
      <c r="G6934" s="6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6" t="s">
        <v>44</v>
      </c>
      <c r="I6934" s="6" t="s">
        <v>746</v>
      </c>
      <c r="J6934" s="6" t="s">
        <v>394</v>
      </c>
      <c r="K6934" s="10">
        <v>5.01</v>
      </c>
      <c r="L6934" s="10">
        <v>83.5</v>
      </c>
      <c r="M6934" s="6" t="s">
        <v>425</v>
      </c>
      <c r="N6934" s="6">
        <f>IF(OR($G6934="FCC",$G6934="Hydrocracker",$G6934="Reformer"),IF(COUNTIFS($D:$D,$D6934,$A:$A,$A6934,$B:$B,$B6934,$G:$G,"CDU",$J:$J,"PLANNED")&gt;0,"tied","standalone"),"")</f>
        <v/>
      </c>
    </row>
    <row r="6935" spans="1:14">
      <c r="A6935" s="6">
        <v>2025</v>
      </c>
      <c r="B6935" s="6">
        <v>12</v>
      </c>
      <c r="C6935" s="6" t="s">
        <v>71</v>
      </c>
      <c r="D6935" s="6" t="s">
        <v>49</v>
      </c>
      <c r="E6935" s="6" t="s">
        <v>438</v>
      </c>
      <c r="F6935" s="6" t="str">
        <f>IF($M6935="PADD I","PADD 1",IF($M6935="PADD II","PADD 2",IF($M6935="PADD III","PADD 3",IF($M6935="PADD IV","PADD 4",IF($M6935="PADD V","PADD 5","")))))</f>
        <v>PADD 2</v>
      </c>
      <c r="G6935" s="6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6" t="s">
        <v>428</v>
      </c>
      <c r="I6935" s="6" t="s">
        <v>481</v>
      </c>
      <c r="J6935" s="6" t="s">
        <v>394</v>
      </c>
      <c r="K6935" s="10">
        <v>4.56</v>
      </c>
      <c r="L6935" s="10">
        <v>76</v>
      </c>
      <c r="M6935" s="6" t="s">
        <v>425</v>
      </c>
      <c r="N6935" s="6">
        <f>IF(OR($G6935="FCC",$G6935="Hydrocracker",$G6935="Reformer"),IF(COUNTIFS($D:$D,$D6935,$A:$A,$A6935,$B:$B,$B6935,$G:$G,"CDU",$J:$J,"PLANNED")&gt;0,"tied","standalone"),"")</f>
        <v/>
      </c>
    </row>
    <row r="6936" spans="1:14">
      <c r="A6936" s="6">
        <v>2025</v>
      </c>
      <c r="B6936" s="6">
        <v>12</v>
      </c>
      <c r="C6936" s="6" t="s">
        <v>71</v>
      </c>
      <c r="D6936" s="6" t="s">
        <v>49</v>
      </c>
      <c r="E6936" s="6" t="s">
        <v>438</v>
      </c>
      <c r="F6936" s="6" t="str">
        <f>IF($M6936="PADD I","PADD 1",IF($M6936="PADD II","PADD 2",IF($M6936="PADD III","PADD 3",IF($M6936="PADD IV","PADD 4",IF($M6936="PADD V","PADD 5","")))))</f>
        <v>PADD 2</v>
      </c>
      <c r="G6936" s="6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6" t="s">
        <v>428</v>
      </c>
      <c r="I6936" s="6" t="s">
        <v>481</v>
      </c>
      <c r="J6936" s="6" t="s">
        <v>394</v>
      </c>
      <c r="K6936" s="10">
        <v>4.56</v>
      </c>
      <c r="L6936" s="10">
        <v>76</v>
      </c>
      <c r="M6936" s="6" t="s">
        <v>425</v>
      </c>
      <c r="N6936" s="6">
        <f>IF(OR($G6936="FCC",$G6936="Hydrocracker",$G6936="Reformer"),IF(COUNTIFS($D:$D,$D6936,$A:$A,$A6936,$B:$B,$B6936,$G:$G,"CDU",$J:$J,"PLANNED")&gt;0,"tied","standalone"),"")</f>
        <v/>
      </c>
    </row>
    <row r="6937" spans="1:14">
      <c r="A6937" s="6">
        <v>2025</v>
      </c>
      <c r="B6937" s="6">
        <v>12</v>
      </c>
      <c r="C6937" s="6" t="s">
        <v>71</v>
      </c>
      <c r="D6937" s="6" t="s">
        <v>484</v>
      </c>
      <c r="E6937" s="6" t="s">
        <v>438</v>
      </c>
      <c r="F6937" s="6" t="str">
        <f>IF($M6937="PADD I","PADD 1",IF($M6937="PADD II","PADD 2",IF($M6937="PADD III","PADD 3",IF($M6937="PADD IV","PADD 4",IF($M6937="PADD V","PADD 5","")))))</f>
        <v>PADD 5</v>
      </c>
      <c r="G6937" s="6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6" t="s">
        <v>471</v>
      </c>
      <c r="I6937" s="6" t="s">
        <v>721</v>
      </c>
      <c r="J6937" s="6" t="s">
        <v>394</v>
      </c>
      <c r="K6937" s="10">
        <v>4.35</v>
      </c>
      <c r="L6937" s="10">
        <v>15</v>
      </c>
      <c r="M6937" s="6" t="s">
        <v>436</v>
      </c>
      <c r="N6937" s="6" t="str">
        <f>IF(OR($G6937="FCC",$G6937="Hydrocracker",$G6937="Reformer"),IF(COUNTIFS($D:$D,$D6937,$A:$A,$A6937,$B:$B,$B6937,$G:$G,"CDU",$J:$J,"PLANNED")&gt;0,"tied","standalone"),"")</f>
        <v>standalone</v>
      </c>
    </row>
    <row r="6938" spans="1:14">
      <c r="A6938" s="6">
        <v>2025</v>
      </c>
      <c r="B6938" s="6">
        <v>12</v>
      </c>
      <c r="C6938" s="6" t="s">
        <v>71</v>
      </c>
      <c r="D6938" s="6" t="s">
        <v>375</v>
      </c>
      <c r="E6938" s="6" t="s">
        <v>435</v>
      </c>
      <c r="F6938" s="6" t="str">
        <f>IF($M6938="PADD I","PADD 1",IF($M6938="PADD II","PADD 2",IF($M6938="PADD III","PADD 3",IF($M6938="PADD IV","PADD 4",IF($M6938="PADD V","PADD 5","")))))</f>
        <v>PADD 5</v>
      </c>
      <c r="G6938" s="6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6" t="s">
        <v>510</v>
      </c>
      <c r="I6938" s="6" t="s">
        <v>1338</v>
      </c>
      <c r="J6938" s="6" t="s">
        <v>394</v>
      </c>
      <c r="K6938" s="10">
        <v>4.2</v>
      </c>
      <c r="L6938" s="10">
        <v>4.2</v>
      </c>
      <c r="M6938" s="6" t="s">
        <v>436</v>
      </c>
      <c r="N6938" s="6">
        <f>IF(OR($G6938="FCC",$G6938="Hydrocracker",$G6938="Reformer"),IF(COUNTIFS($D:$D,$D6938,$A:$A,$A6938,$B:$B,$B6938,$G:$G,"CDU",$J:$J,"PLANNED")&gt;0,"tied","standalone"),"")</f>
        <v/>
      </c>
    </row>
    <row r="6939" spans="1:14">
      <c r="A6939" s="6">
        <v>2025</v>
      </c>
      <c r="B6939" s="6">
        <v>12</v>
      </c>
      <c r="C6939" s="6" t="s">
        <v>71</v>
      </c>
      <c r="D6939" s="6" t="s">
        <v>52</v>
      </c>
      <c r="E6939" s="6" t="s">
        <v>441</v>
      </c>
      <c r="F6939" s="6" t="str">
        <f>IF($M6939="PADD I","PADD 1",IF($M6939="PADD II","PADD 2",IF($M6939="PADD III","PADD 3",IF($M6939="PADD IV","PADD 4",IF($M6939="PADD V","PADD 5","")))))</f>
        <v>PADD 5</v>
      </c>
      <c r="G6939" s="6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6" t="s">
        <v>44</v>
      </c>
      <c r="I6939" s="6" t="s">
        <v>1257</v>
      </c>
      <c r="J6939" s="6" t="s">
        <v>394</v>
      </c>
      <c r="K6939" s="10">
        <v>4.2</v>
      </c>
      <c r="L6939" s="10">
        <v>4.2</v>
      </c>
      <c r="M6939" s="6" t="s">
        <v>436</v>
      </c>
      <c r="N6939" s="6">
        <f>IF(OR($G6939="FCC",$G6939="Hydrocracker",$G6939="Reformer"),IF(COUNTIFS($D:$D,$D6939,$A:$A,$A6939,$B:$B,$B6939,$G:$G,"CDU",$J:$J,"PLANNED")&gt;0,"tied","standalone"),"")</f>
        <v/>
      </c>
    </row>
    <row r="6940" spans="1:14">
      <c r="A6940" s="6">
        <v>2025</v>
      </c>
      <c r="B6940" s="6">
        <v>12</v>
      </c>
      <c r="C6940" s="6" t="s">
        <v>71</v>
      </c>
      <c r="D6940" s="6" t="s">
        <v>484</v>
      </c>
      <c r="E6940" s="6" t="s">
        <v>438</v>
      </c>
      <c r="F6940" s="6" t="str">
        <f>IF($M6940="PADD I","PADD 1",IF($M6940="PADD II","PADD 2",IF($M6940="PADD III","PADD 3",IF($M6940="PADD IV","PADD 4",IF($M6940="PADD V","PADD 5","")))))</f>
        <v>PADD 5</v>
      </c>
      <c r="G6940" s="6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6" t="s">
        <v>485</v>
      </c>
      <c r="I6940" s="6" t="s">
        <v>486</v>
      </c>
      <c r="J6940" s="6" t="s">
        <v>394</v>
      </c>
      <c r="K6940" s="10">
        <v>4.2</v>
      </c>
      <c r="L6940" s="10">
        <v>42</v>
      </c>
      <c r="M6940" s="6" t="s">
        <v>436</v>
      </c>
      <c r="N6940" s="6">
        <f>IF(OR($G6940="FCC",$G6940="Hydrocracker",$G6940="Reformer"),IF(COUNTIFS($D:$D,$D6940,$A:$A,$A6940,$B:$B,$B6940,$G:$G,"CDU",$J:$J,"PLANNED")&gt;0,"tied","standalone"),"")</f>
        <v/>
      </c>
    </row>
    <row r="6941" spans="1:14">
      <c r="A6941" s="6">
        <v>2025</v>
      </c>
      <c r="B6941" s="6">
        <v>12</v>
      </c>
      <c r="C6941" s="6" t="s">
        <v>71</v>
      </c>
      <c r="D6941" s="6" t="s">
        <v>440</v>
      </c>
      <c r="E6941" s="6" t="s">
        <v>441</v>
      </c>
      <c r="F6941" s="6" t="str">
        <f>IF($M6941="PADD I","PADD 1",IF($M6941="PADD II","PADD 2",IF($M6941="PADD III","PADD 3",IF($M6941="PADD IV","PADD 4",IF($M6941="PADD V","PADD 5","")))))</f>
        <v>PADD 3</v>
      </c>
      <c r="G6941" s="6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6" t="s">
        <v>494</v>
      </c>
      <c r="I6941" s="6" t="s">
        <v>1349</v>
      </c>
      <c r="J6941" s="6" t="s">
        <v>398</v>
      </c>
      <c r="K6941" s="10">
        <v>3.84</v>
      </c>
      <c r="L6941" s="10">
        <v>24</v>
      </c>
      <c r="M6941" s="6" t="s">
        <v>421</v>
      </c>
      <c r="N6941" s="6" t="str">
        <f>IF(OR($G6941="FCC",$G6941="Hydrocracker",$G6941="Reformer"),IF(COUNTIFS($D:$D,$D6941,$A:$A,$A6941,$B:$B,$B6941,$G:$G,"CDU",$J:$J,"PLANNED")&gt;0,"tied","standalone"),"")</f>
        <v>standalone</v>
      </c>
    </row>
    <row r="6942" spans="1:14">
      <c r="A6942" s="6">
        <v>2025</v>
      </c>
      <c r="B6942" s="6">
        <v>12</v>
      </c>
      <c r="C6942" s="6" t="s">
        <v>71</v>
      </c>
      <c r="D6942" s="6" t="s">
        <v>49</v>
      </c>
      <c r="E6942" s="6" t="s">
        <v>438</v>
      </c>
      <c r="F6942" s="6" t="str">
        <f>IF($M6942="PADD I","PADD 1",IF($M6942="PADD II","PADD 2",IF($M6942="PADD III","PADD 3",IF($M6942="PADD IV","PADD 4",IF($M6942="PADD V","PADD 5","")))))</f>
        <v>PADD 2</v>
      </c>
      <c r="G6942" s="6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6" t="s">
        <v>44</v>
      </c>
      <c r="I6942" s="6" t="s">
        <v>811</v>
      </c>
      <c r="J6942" s="6" t="s">
        <v>394</v>
      </c>
      <c r="K6942" s="10">
        <v>3.84</v>
      </c>
      <c r="L6942" s="10">
        <v>24</v>
      </c>
      <c r="M6942" s="6" t="s">
        <v>425</v>
      </c>
      <c r="N6942" s="6">
        <f>IF(OR($G6942="FCC",$G6942="Hydrocracker",$G6942="Reformer"),IF(COUNTIFS($D:$D,$D6942,$A:$A,$A6942,$B:$B,$B6942,$G:$G,"CDU",$J:$J,"PLANNED")&gt;0,"tied","standalone"),"")</f>
        <v/>
      </c>
    </row>
    <row r="6943" spans="1:14">
      <c r="A6943" s="6">
        <v>2025</v>
      </c>
      <c r="B6943" s="6">
        <v>12</v>
      </c>
      <c r="C6943" s="6" t="s">
        <v>71</v>
      </c>
      <c r="D6943" s="6" t="s">
        <v>849</v>
      </c>
      <c r="E6943" s="6" t="s">
        <v>441</v>
      </c>
      <c r="F6943" s="6" t="str">
        <f>IF($M6943="PADD I","PADD 1",IF($M6943="PADD II","PADD 2",IF($M6943="PADD III","PADD 3",IF($M6943="PADD IV","PADD 4",IF($M6943="PADD V","PADD 5","")))))</f>
        <v>PADD 4</v>
      </c>
      <c r="G6943" s="6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6" t="s">
        <v>39</v>
      </c>
      <c r="I6943" s="6" t="s">
        <v>1154</v>
      </c>
      <c r="J6943" s="6" t="s">
        <v>394</v>
      </c>
      <c r="K6943" s="10">
        <v>3.456</v>
      </c>
      <c r="L6943" s="10">
        <v>57.6</v>
      </c>
      <c r="M6943" s="6" t="s">
        <v>480</v>
      </c>
      <c r="N6943" s="6">
        <f>IF(OR($G6943="FCC",$G6943="Hydrocracker",$G6943="Reformer"),IF(COUNTIFS($D:$D,$D6943,$A:$A,$A6943,$B:$B,$B6943,$G:$G,"CDU",$J:$J,"PLANNED")&gt;0,"tied","standalone"),"")</f>
        <v/>
      </c>
    </row>
    <row r="6944" spans="1:14">
      <c r="A6944" s="6">
        <v>2025</v>
      </c>
      <c r="B6944" s="6">
        <v>12</v>
      </c>
      <c r="C6944" s="6" t="s">
        <v>71</v>
      </c>
      <c r="D6944" s="6" t="s">
        <v>49</v>
      </c>
      <c r="E6944" s="6" t="s">
        <v>438</v>
      </c>
      <c r="F6944" s="6" t="str">
        <f>IF($M6944="PADD I","PADD 1",IF($M6944="PADD II","PADD 2",IF($M6944="PADD III","PADD 3",IF($M6944="PADD IV","PADD 4",IF($M6944="PADD V","PADD 5","")))))</f>
        <v>PADD 2</v>
      </c>
      <c r="G6944" s="6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6" t="s">
        <v>426</v>
      </c>
      <c r="I6944" s="6" t="s">
        <v>106</v>
      </c>
      <c r="J6944" s="6" t="s">
        <v>394</v>
      </c>
      <c r="K6944" s="10">
        <v>3.27</v>
      </c>
      <c r="L6944" s="10">
        <v>54.5</v>
      </c>
      <c r="M6944" s="6" t="s">
        <v>425</v>
      </c>
      <c r="N6944" s="6" t="str">
        <f>IF(OR($G6944="FCC",$G6944="Hydrocracker",$G6944="Reformer"),IF(COUNTIFS($D:$D,$D6944,$A:$A,$A6944,$B:$B,$B6944,$G:$G,"CDU",$J:$J,"PLANNED")&gt;0,"tied","standalone"),"")</f>
        <v>standalone</v>
      </c>
    </row>
    <row r="6945" spans="1:14">
      <c r="A6945" s="6">
        <v>2025</v>
      </c>
      <c r="B6945" s="6">
        <v>12</v>
      </c>
      <c r="C6945" s="6" t="s">
        <v>71</v>
      </c>
      <c r="D6945" s="6" t="s">
        <v>49</v>
      </c>
      <c r="E6945" s="6" t="s">
        <v>438</v>
      </c>
      <c r="F6945" s="6" t="str">
        <f>IF($M6945="PADD I","PADD 1",IF($M6945="PADD II","PADD 2",IF($M6945="PADD III","PADD 3",IF($M6945="PADD IV","PADD 4",IF($M6945="PADD V","PADD 5","")))))</f>
        <v>PADD 2</v>
      </c>
      <c r="G6945" s="6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6" t="s">
        <v>485</v>
      </c>
      <c r="I6945" s="6" t="s">
        <v>804</v>
      </c>
      <c r="J6945" s="6" t="s">
        <v>394</v>
      </c>
      <c r="K6945" s="10">
        <v>2.96</v>
      </c>
      <c r="L6945" s="10">
        <v>18.5</v>
      </c>
      <c r="M6945" s="6" t="s">
        <v>425</v>
      </c>
      <c r="N6945" s="6">
        <f>IF(OR($G6945="FCC",$G6945="Hydrocracker",$G6945="Reformer"),IF(COUNTIFS($D:$D,$D6945,$A:$A,$A6945,$B:$B,$B6945,$G:$G,"CDU",$J:$J,"PLANNED")&gt;0,"tied","standalone"),"")</f>
        <v/>
      </c>
    </row>
    <row r="6946" spans="1:14">
      <c r="A6946" s="6">
        <v>2025</v>
      </c>
      <c r="B6946" s="6">
        <v>12</v>
      </c>
      <c r="C6946" s="6" t="s">
        <v>71</v>
      </c>
      <c r="D6946" s="6" t="s">
        <v>512</v>
      </c>
      <c r="E6946" s="6" t="s">
        <v>488</v>
      </c>
      <c r="F6946" s="6" t="str">
        <f>IF($M6946="PADD I","PADD 1",IF($M6946="PADD II","PADD 2",IF($M6946="PADD III","PADD 3",IF($M6946="PADD IV","PADD 4",IF($M6946="PADD V","PADD 5","")))))</f>
        <v>PADD 4</v>
      </c>
      <c r="G6946" s="6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6" t="s">
        <v>426</v>
      </c>
      <c r="I6946" s="6" t="s">
        <v>106</v>
      </c>
      <c r="J6946" s="6" t="s">
        <v>394</v>
      </c>
      <c r="K6946" s="10">
        <v>2.691</v>
      </c>
      <c r="L6946" s="10">
        <v>20.7</v>
      </c>
      <c r="M6946" s="6" t="s">
        <v>480</v>
      </c>
      <c r="N6946" s="6" t="str">
        <f>IF(OR($G6946="FCC",$G6946="Hydrocracker",$G6946="Reformer"),IF(COUNTIFS($D:$D,$D6946,$A:$A,$A6946,$B:$B,$B6946,$G:$G,"CDU",$J:$J,"PLANNED")&gt;0,"tied","standalone"),"")</f>
        <v>standalone</v>
      </c>
    </row>
    <row r="6947" spans="1:14">
      <c r="A6947" s="6">
        <v>2025</v>
      </c>
      <c r="B6947" s="6">
        <v>12</v>
      </c>
      <c r="C6947" s="6" t="s">
        <v>71</v>
      </c>
      <c r="D6947" s="6" t="s">
        <v>49</v>
      </c>
      <c r="E6947" s="6" t="s">
        <v>438</v>
      </c>
      <c r="F6947" s="6" t="str">
        <f>IF($M6947="PADD I","PADD 1",IF($M6947="PADD II","PADD 2",IF($M6947="PADD III","PADD 3",IF($M6947="PADD IV","PADD 4",IF($M6947="PADD V","PADD 5","")))))</f>
        <v>PADD 2</v>
      </c>
      <c r="G6947" s="6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6" t="s">
        <v>494</v>
      </c>
      <c r="I6947" s="6" t="s">
        <v>808</v>
      </c>
      <c r="J6947" s="6" t="s">
        <v>394</v>
      </c>
      <c r="K6947" s="10">
        <v>2.64</v>
      </c>
      <c r="L6947" s="10">
        <v>44</v>
      </c>
      <c r="M6947" s="6" t="s">
        <v>425</v>
      </c>
      <c r="N6947" s="6" t="str">
        <f>IF(OR($G6947="FCC",$G6947="Hydrocracker",$G6947="Reformer"),IF(COUNTIFS($D:$D,$D6947,$A:$A,$A6947,$B:$B,$B6947,$G:$G,"CDU",$J:$J,"PLANNED")&gt;0,"tied","standalone"),"")</f>
        <v>standalone</v>
      </c>
    </row>
    <row r="6948" spans="1:14">
      <c r="A6948" s="6">
        <v>2025</v>
      </c>
      <c r="B6948" s="6">
        <v>12</v>
      </c>
      <c r="C6948" s="6" t="s">
        <v>71</v>
      </c>
      <c r="D6948" s="6" t="s">
        <v>49</v>
      </c>
      <c r="E6948" s="6" t="s">
        <v>438</v>
      </c>
      <c r="F6948" s="6" t="str">
        <f>IF($M6948="PADD I","PADD 1",IF($M6948="PADD II","PADD 2",IF($M6948="PADD III","PADD 3",IF($M6948="PADD IV","PADD 4",IF($M6948="PADD V","PADD 5","")))))</f>
        <v>PADD 2</v>
      </c>
      <c r="G6948" s="6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6" t="s">
        <v>471</v>
      </c>
      <c r="I6948" s="6" t="s">
        <v>771</v>
      </c>
      <c r="J6948" s="6" t="s">
        <v>394</v>
      </c>
      <c r="K6948" s="10">
        <v>2.58</v>
      </c>
      <c r="L6948" s="10">
        <v>43</v>
      </c>
      <c r="M6948" s="6" t="s">
        <v>425</v>
      </c>
      <c r="N6948" s="6" t="str">
        <f>IF(OR($G6948="FCC",$G6948="Hydrocracker",$G6948="Reformer"),IF(COUNTIFS($D:$D,$D6948,$A:$A,$A6948,$B:$B,$B6948,$G:$G,"CDU",$J:$J,"PLANNED")&gt;0,"tied","standalone"),"")</f>
        <v>standalone</v>
      </c>
    </row>
    <row r="6949" spans="1:14">
      <c r="A6949" s="6">
        <v>2025</v>
      </c>
      <c r="B6949" s="6">
        <v>12</v>
      </c>
      <c r="C6949" s="6" t="s">
        <v>71</v>
      </c>
      <c r="D6949" s="6" t="s">
        <v>49</v>
      </c>
      <c r="E6949" s="6" t="s">
        <v>438</v>
      </c>
      <c r="F6949" s="6" t="str">
        <f>IF($M6949="PADD I","PADD 1",IF($M6949="PADD II","PADD 2",IF($M6949="PADD III","PADD 3",IF($M6949="PADD IV","PADD 4",IF($M6949="PADD V","PADD 5","")))))</f>
        <v>PADD 2</v>
      </c>
      <c r="G6949" s="6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6" t="s">
        <v>44</v>
      </c>
      <c r="I6949" s="6" t="s">
        <v>791</v>
      </c>
      <c r="J6949" s="6" t="s">
        <v>394</v>
      </c>
      <c r="K6949" s="10">
        <v>2.49</v>
      </c>
      <c r="L6949" s="10">
        <v>41.5</v>
      </c>
      <c r="M6949" s="6" t="s">
        <v>425</v>
      </c>
      <c r="N6949" s="6">
        <f>IF(OR($G6949="FCC",$G6949="Hydrocracker",$G6949="Reformer"),IF(COUNTIFS($D:$D,$D6949,$A:$A,$A6949,$B:$B,$B6949,$G:$G,"CDU",$J:$J,"PLANNED")&gt;0,"tied","standalone"),"")</f>
        <v/>
      </c>
    </row>
    <row r="6950" spans="1:14">
      <c r="A6950" s="6">
        <v>2025</v>
      </c>
      <c r="B6950" s="6">
        <v>12</v>
      </c>
      <c r="C6950" s="6" t="s">
        <v>71</v>
      </c>
      <c r="D6950" s="6" t="s">
        <v>613</v>
      </c>
      <c r="E6950" s="6" t="s">
        <v>446</v>
      </c>
      <c r="F6950" s="6" t="str">
        <f>IF($M6950="PADD I","PADD 1",IF($M6950="PADD II","PADD 2",IF($M6950="PADD III","PADD 3",IF($M6950="PADD IV","PADD 4",IF($M6950="PADD V","PADD 5","")))))</f>
        <v>PADD 3</v>
      </c>
      <c r="G6950" s="6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6" t="s">
        <v>44</v>
      </c>
      <c r="I6950" s="6" t="s">
        <v>614</v>
      </c>
      <c r="J6950" s="6" t="s">
        <v>394</v>
      </c>
      <c r="K6950" s="10">
        <v>2.454</v>
      </c>
      <c r="L6950" s="10">
        <v>40.9</v>
      </c>
      <c r="M6950" s="6" t="s">
        <v>421</v>
      </c>
      <c r="N6950" s="6">
        <f>IF(OR($G6950="FCC",$G6950="Hydrocracker",$G6950="Reformer"),IF(COUNTIFS($D:$D,$D6950,$A:$A,$A6950,$B:$B,$B6950,$G:$G,"CDU",$J:$J,"PLANNED")&gt;0,"tied","standalone"),"")</f>
        <v/>
      </c>
    </row>
    <row r="6951" spans="1:14">
      <c r="A6951" s="6">
        <v>2025</v>
      </c>
      <c r="B6951" s="6">
        <v>12</v>
      </c>
      <c r="C6951" s="6" t="s">
        <v>71</v>
      </c>
      <c r="D6951" s="6" t="s">
        <v>1113</v>
      </c>
      <c r="E6951" s="6" t="s">
        <v>438</v>
      </c>
      <c r="F6951" s="6" t="str">
        <f>IF($M6951="PADD I","PADD 1",IF($M6951="PADD II","PADD 2",IF($M6951="PADD III","PADD 3",IF($M6951="PADD IV","PADD 4",IF($M6951="PADD V","PADD 5","")))))</f>
        <v>PADD 2</v>
      </c>
      <c r="G6951" s="6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6" t="s">
        <v>44</v>
      </c>
      <c r="I6951" s="6" t="s">
        <v>739</v>
      </c>
      <c r="J6951" s="6" t="s">
        <v>394</v>
      </c>
      <c r="K6951" s="10">
        <v>2.45</v>
      </c>
      <c r="L6951" s="10">
        <v>7</v>
      </c>
      <c r="M6951" s="6" t="s">
        <v>425</v>
      </c>
      <c r="N6951" s="6">
        <f>IF(OR($G6951="FCC",$G6951="Hydrocracker",$G6951="Reformer"),IF(COUNTIFS($D:$D,$D6951,$A:$A,$A6951,$B:$B,$B6951,$G:$G,"CDU",$J:$J,"PLANNED")&gt;0,"tied","standalone"),"")</f>
        <v/>
      </c>
    </row>
    <row r="6952" spans="1:14">
      <c r="A6952" s="6">
        <v>2025</v>
      </c>
      <c r="B6952" s="6">
        <v>12</v>
      </c>
      <c r="C6952" s="6" t="s">
        <v>71</v>
      </c>
      <c r="D6952" s="6" t="s">
        <v>851</v>
      </c>
      <c r="E6952" s="6" t="s">
        <v>829</v>
      </c>
      <c r="F6952" s="6" t="str">
        <f>IF($M6952="PADD I","PADD 1",IF($M6952="PADD II","PADD 2",IF($M6952="PADD III","PADD 3",IF($M6952="PADD IV","PADD 4",IF($M6952="PADD V","PADD 5","")))))</f>
        <v>PADD 2</v>
      </c>
      <c r="G6952" s="6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6" t="s">
        <v>485</v>
      </c>
      <c r="I6952" s="6" t="s">
        <v>1229</v>
      </c>
      <c r="J6952" s="6" t="s">
        <v>394</v>
      </c>
      <c r="K6952" s="10">
        <v>2.4</v>
      </c>
      <c r="L6952" s="10">
        <v>24</v>
      </c>
      <c r="M6952" s="6" t="s">
        <v>425</v>
      </c>
      <c r="N6952" s="6">
        <f>IF(OR($G6952="FCC",$G6952="Hydrocracker",$G6952="Reformer"),IF(COUNTIFS($D:$D,$D6952,$A:$A,$A6952,$B:$B,$B6952,$G:$G,"CDU",$J:$J,"PLANNED")&gt;0,"tied","standalone"),"")</f>
        <v/>
      </c>
    </row>
    <row r="6953" spans="1:14">
      <c r="A6953" s="6">
        <v>2025</v>
      </c>
      <c r="B6953" s="6">
        <v>12</v>
      </c>
      <c r="C6953" s="6" t="s">
        <v>71</v>
      </c>
      <c r="D6953" s="6" t="s">
        <v>550</v>
      </c>
      <c r="E6953" s="6" t="s">
        <v>438</v>
      </c>
      <c r="F6953" s="6" t="str">
        <f>IF($M6953="PADD I","PADD 1",IF($M6953="PADD II","PADD 2",IF($M6953="PADD III","PADD 3",IF($M6953="PADD IV","PADD 4",IF($M6953="PADD V","PADD 5","")))))</f>
        <v>PADD 2</v>
      </c>
      <c r="G6953" s="6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6" t="s">
        <v>44</v>
      </c>
      <c r="I6953" s="6" t="s">
        <v>551</v>
      </c>
      <c r="J6953" s="6" t="s">
        <v>394</v>
      </c>
      <c r="K6953" s="10">
        <v>1.83</v>
      </c>
      <c r="L6953" s="10">
        <v>30.5</v>
      </c>
      <c r="M6953" s="6" t="s">
        <v>425</v>
      </c>
      <c r="N6953" s="6">
        <f>IF(OR($G6953="FCC",$G6953="Hydrocracker",$G6953="Reformer"),IF(COUNTIFS($D:$D,$D6953,$A:$A,$A6953,$B:$B,$B6953,$G:$G,"CDU",$J:$J,"PLANNED")&gt;0,"tied","standalone"),"")</f>
        <v/>
      </c>
    </row>
    <row r="6954" spans="1:14">
      <c r="A6954" s="6">
        <v>2025</v>
      </c>
      <c r="B6954" s="6">
        <v>12</v>
      </c>
      <c r="C6954" s="6" t="s">
        <v>71</v>
      </c>
      <c r="D6954" s="6" t="s">
        <v>696</v>
      </c>
      <c r="E6954" s="6" t="s">
        <v>455</v>
      </c>
      <c r="F6954" s="6" t="str">
        <f>IF($M6954="PADD I","PADD 1",IF($M6954="PADD II","PADD 2",IF($M6954="PADD III","PADD 3",IF($M6954="PADD IV","PADD 4",IF($M6954="PADD V","PADD 5","")))))</f>
        <v>PADD 3</v>
      </c>
      <c r="G6954" s="6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6" t="s">
        <v>44</v>
      </c>
      <c r="I6954" s="6" t="s">
        <v>893</v>
      </c>
      <c r="J6954" s="6" t="s">
        <v>394</v>
      </c>
      <c r="K6954" s="10">
        <v>1.8</v>
      </c>
      <c r="L6954" s="10">
        <v>30</v>
      </c>
      <c r="M6954" s="6" t="s">
        <v>421</v>
      </c>
      <c r="N6954" s="6">
        <f>IF(OR($G6954="FCC",$G6954="Hydrocracker",$G6954="Reformer"),IF(COUNTIFS($D:$D,$D6954,$A:$A,$A6954,$B:$B,$B6954,$G:$G,"CDU",$J:$J,"PLANNED")&gt;0,"tied","standalone"),"")</f>
        <v/>
      </c>
    </row>
    <row r="6955" spans="1:14">
      <c r="A6955" s="6">
        <v>2025</v>
      </c>
      <c r="B6955" s="6">
        <v>12</v>
      </c>
      <c r="C6955" s="6" t="s">
        <v>71</v>
      </c>
      <c r="D6955" s="6" t="s">
        <v>849</v>
      </c>
      <c r="E6955" s="6" t="s">
        <v>441</v>
      </c>
      <c r="F6955" s="6" t="str">
        <f>IF($M6955="PADD I","PADD 1",IF($M6955="PADD II","PADD 2",IF($M6955="PADD III","PADD 3",IF($M6955="PADD IV","PADD 4",IF($M6955="PADD V","PADD 5","")))))</f>
        <v>PADD 4</v>
      </c>
      <c r="G6955" s="6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6" t="s">
        <v>428</v>
      </c>
      <c r="I6955" s="6" t="s">
        <v>429</v>
      </c>
      <c r="J6955" s="6" t="s">
        <v>394</v>
      </c>
      <c r="K6955" s="10">
        <v>1.65</v>
      </c>
      <c r="L6955" s="10">
        <v>27.5</v>
      </c>
      <c r="M6955" s="6" t="s">
        <v>480</v>
      </c>
      <c r="N6955" s="6">
        <f>IF(OR($G6955="FCC",$G6955="Hydrocracker",$G6955="Reformer"),IF(COUNTIFS($D:$D,$D6955,$A:$A,$A6955,$B:$B,$B6955,$G:$G,"CDU",$J:$J,"PLANNED")&gt;0,"tied","standalone"),"")</f>
        <v/>
      </c>
    </row>
    <row r="6956" spans="1:14">
      <c r="A6956" s="6">
        <v>2025</v>
      </c>
      <c r="B6956" s="6">
        <v>12</v>
      </c>
      <c r="C6956" s="6" t="s">
        <v>71</v>
      </c>
      <c r="D6956" s="6" t="s">
        <v>49</v>
      </c>
      <c r="E6956" s="6" t="s">
        <v>438</v>
      </c>
      <c r="F6956" s="6" t="str">
        <f>IF($M6956="PADD I","PADD 1",IF($M6956="PADD II","PADD 2",IF($M6956="PADD III","PADD 3",IF($M6956="PADD IV","PADD 4",IF($M6956="PADD V","PADD 5","")))))</f>
        <v>PADD 2</v>
      </c>
      <c r="G6956" s="6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6" t="s">
        <v>44</v>
      </c>
      <c r="I6956" s="6" t="s">
        <v>811</v>
      </c>
      <c r="J6956" s="6" t="s">
        <v>394</v>
      </c>
      <c r="K6956" s="10">
        <v>1.44</v>
      </c>
      <c r="L6956" s="10">
        <v>24</v>
      </c>
      <c r="M6956" s="6" t="s">
        <v>425</v>
      </c>
      <c r="N6956" s="6">
        <f>IF(OR($G6956="FCC",$G6956="Hydrocracker",$G6956="Reformer"),IF(COUNTIFS($D:$D,$D6956,$A:$A,$A6956,$B:$B,$B6956,$G:$G,"CDU",$J:$J,"PLANNED")&gt;0,"tied","standalone"),"")</f>
        <v/>
      </c>
    </row>
    <row r="6957" spans="1:14">
      <c r="A6957" s="6">
        <v>2025</v>
      </c>
      <c r="B6957" s="6">
        <v>12</v>
      </c>
      <c r="C6957" s="6" t="s">
        <v>71</v>
      </c>
      <c r="D6957" s="6" t="s">
        <v>49</v>
      </c>
      <c r="E6957" s="6" t="s">
        <v>438</v>
      </c>
      <c r="F6957" s="6" t="str">
        <f>IF($M6957="PADD I","PADD 1",IF($M6957="PADD II","PADD 2",IF($M6957="PADD III","PADD 3",IF($M6957="PADD IV","PADD 4",IF($M6957="PADD V","PADD 5","")))))</f>
        <v>PADD 2</v>
      </c>
      <c r="G6957" s="6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6" t="s">
        <v>494</v>
      </c>
      <c r="I6957" s="6" t="s">
        <v>808</v>
      </c>
      <c r="J6957" s="6" t="s">
        <v>394</v>
      </c>
      <c r="K6957" s="10">
        <v>1.32</v>
      </c>
      <c r="L6957" s="10">
        <v>44</v>
      </c>
      <c r="M6957" s="6" t="s">
        <v>425</v>
      </c>
      <c r="N6957" s="6" t="str">
        <f>IF(OR($G6957="FCC",$G6957="Hydrocracker",$G6957="Reformer"),IF(COUNTIFS($D:$D,$D6957,$A:$A,$A6957,$B:$B,$B6957,$G:$G,"CDU",$J:$J,"PLANNED")&gt;0,"tied","standalone"),"")</f>
        <v>standalone</v>
      </c>
    </row>
    <row r="6958" spans="1:14">
      <c r="A6958" s="6">
        <v>2025</v>
      </c>
      <c r="B6958" s="6">
        <v>12</v>
      </c>
      <c r="C6958" s="6" t="s">
        <v>71</v>
      </c>
      <c r="D6958" s="6" t="s">
        <v>49</v>
      </c>
      <c r="E6958" s="6" t="s">
        <v>438</v>
      </c>
      <c r="F6958" s="6" t="str">
        <f>IF($M6958="PADD I","PADD 1",IF($M6958="PADD II","PADD 2",IF($M6958="PADD III","PADD 3",IF($M6958="PADD IV","PADD 4",IF($M6958="PADD V","PADD 5","")))))</f>
        <v>PADD 2</v>
      </c>
      <c r="G6958" s="6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6" t="s">
        <v>44</v>
      </c>
      <c r="I6958" s="6" t="s">
        <v>791</v>
      </c>
      <c r="J6958" s="6" t="s">
        <v>394</v>
      </c>
      <c r="K6958" s="10">
        <v>1.245</v>
      </c>
      <c r="L6958" s="10">
        <v>41.5</v>
      </c>
      <c r="M6958" s="6" t="s">
        <v>425</v>
      </c>
      <c r="N6958" s="6">
        <f>IF(OR($G6958="FCC",$G6958="Hydrocracker",$G6958="Reformer"),IF(COUNTIFS($D:$D,$D6958,$A:$A,$A6958,$B:$B,$B6958,$G:$G,"CDU",$J:$J,"PLANNED")&gt;0,"tied","standalone"),"")</f>
        <v/>
      </c>
    </row>
    <row r="6959" spans="1:14">
      <c r="A6959" s="6">
        <v>2025</v>
      </c>
      <c r="B6959" s="6">
        <v>12</v>
      </c>
      <c r="C6959" s="6" t="s">
        <v>71</v>
      </c>
      <c r="D6959" s="6" t="s">
        <v>49</v>
      </c>
      <c r="E6959" s="6" t="s">
        <v>438</v>
      </c>
      <c r="F6959" s="6" t="str">
        <f>IF($M6959="PADD I","PADD 1",IF($M6959="PADD II","PADD 2",IF($M6959="PADD III","PADD 3",IF($M6959="PADD IV","PADD 4",IF($M6959="PADD V","PADD 5","")))))</f>
        <v>PADD 2</v>
      </c>
      <c r="G6959" s="6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6" t="s">
        <v>471</v>
      </c>
      <c r="I6959" s="6" t="s">
        <v>771</v>
      </c>
      <c r="J6959" s="6" t="s">
        <v>394</v>
      </c>
      <c r="K6959" s="10">
        <v>1.17</v>
      </c>
      <c r="L6959" s="10">
        <v>39</v>
      </c>
      <c r="M6959" s="6" t="s">
        <v>425</v>
      </c>
      <c r="N6959" s="6" t="str">
        <f>IF(OR($G6959="FCC",$G6959="Hydrocracker",$G6959="Reformer"),IF(COUNTIFS($D:$D,$D6959,$A:$A,$A6959,$B:$B,$B6959,$G:$G,"CDU",$J:$J,"PLANNED")&gt;0,"tied","standalone"),"")</f>
        <v>standalone</v>
      </c>
    </row>
    <row r="6960" spans="1:14">
      <c r="A6960" s="6">
        <v>2025</v>
      </c>
      <c r="B6960" s="6">
        <v>12</v>
      </c>
      <c r="C6960" s="6" t="s">
        <v>71</v>
      </c>
      <c r="D6960" s="6" t="s">
        <v>682</v>
      </c>
      <c r="E6960" s="6" t="s">
        <v>683</v>
      </c>
      <c r="F6960" s="6" t="str">
        <f>IF($M6960="PADD I","PADD 1",IF($M6960="PADD II","PADD 2",IF($M6960="PADD III","PADD 3",IF($M6960="PADD IV","PADD 4",IF($M6960="PADD V","PADD 5","")))))</f>
        <v>PADD 4</v>
      </c>
      <c r="G6960" s="6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6" t="s">
        <v>471</v>
      </c>
      <c r="I6960" s="6" t="s">
        <v>1120</v>
      </c>
      <c r="J6960" s="6" t="s">
        <v>394</v>
      </c>
      <c r="K6960" s="10">
        <v>1.105</v>
      </c>
      <c r="L6960" s="10">
        <v>8.5</v>
      </c>
      <c r="M6960" s="6" t="s">
        <v>480</v>
      </c>
      <c r="N6960" s="6" t="str">
        <f>IF(OR($G6960="FCC",$G6960="Hydrocracker",$G6960="Reformer"),IF(COUNTIFS($D:$D,$D6960,$A:$A,$A6960,$B:$B,$B6960,$G:$G,"CDU",$J:$J,"PLANNED")&gt;0,"tied","standalone"),"")</f>
        <v>standalone</v>
      </c>
    </row>
    <row r="6961" spans="1:14">
      <c r="A6961" s="6">
        <v>2025</v>
      </c>
      <c r="B6961" s="6">
        <v>12</v>
      </c>
      <c r="C6961" s="6" t="s">
        <v>71</v>
      </c>
      <c r="D6961" s="6" t="s">
        <v>49</v>
      </c>
      <c r="E6961" s="6" t="s">
        <v>438</v>
      </c>
      <c r="F6961" s="6" t="str">
        <f>IF($M6961="PADD I","PADD 1",IF($M6961="PADD II","PADD 2",IF($M6961="PADD III","PADD 3",IF($M6961="PADD IV","PADD 4",IF($M6961="PADD V","PADD 5","")))))</f>
        <v>PADD 2</v>
      </c>
      <c r="G6961" s="6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6" t="s">
        <v>687</v>
      </c>
      <c r="I6961" s="6" t="s">
        <v>654</v>
      </c>
      <c r="J6961" s="6" t="s">
        <v>394</v>
      </c>
      <c r="K6961" s="10">
        <v>0.96</v>
      </c>
      <c r="L6961" s="10">
        <v>16</v>
      </c>
      <c r="M6961" s="6" t="s">
        <v>425</v>
      </c>
      <c r="N6961" s="6">
        <f>IF(OR($G6961="FCC",$G6961="Hydrocracker",$G6961="Reformer"),IF(COUNTIFS($D:$D,$D6961,$A:$A,$A6961,$B:$B,$B6961,$G:$G,"CDU",$J:$J,"PLANNED")&gt;0,"tied","standalone"),"")</f>
        <v/>
      </c>
    </row>
    <row r="6962" spans="1:14">
      <c r="A6962" s="6">
        <v>2025</v>
      </c>
      <c r="B6962" s="6">
        <v>12</v>
      </c>
      <c r="C6962" s="6" t="s">
        <v>71</v>
      </c>
      <c r="D6962" s="6" t="s">
        <v>49</v>
      </c>
      <c r="E6962" s="6" t="s">
        <v>438</v>
      </c>
      <c r="F6962" s="6" t="str">
        <f>IF($M6962="PADD I","PADD 1",IF($M6962="PADD II","PADD 2",IF($M6962="PADD III","PADD 3",IF($M6962="PADD IV","PADD 4",IF($M6962="PADD V","PADD 5","")))))</f>
        <v>PADD 2</v>
      </c>
      <c r="G6962" s="6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6" t="s">
        <v>510</v>
      </c>
      <c r="I6962" s="6" t="s">
        <v>666</v>
      </c>
      <c r="J6962" s="6" t="s">
        <v>394</v>
      </c>
      <c r="K6962" s="10">
        <v>0.75</v>
      </c>
      <c r="L6962" s="10">
        <v>12.5</v>
      </c>
      <c r="M6962" s="6" t="s">
        <v>425</v>
      </c>
      <c r="N6962" s="6">
        <f>IF(OR($G6962="FCC",$G6962="Hydrocracker",$G6962="Reformer"),IF(COUNTIFS($D:$D,$D6962,$A:$A,$A6962,$B:$B,$B6962,$G:$G,"CDU",$J:$J,"PLANNED")&gt;0,"tied","standalone"),"")</f>
        <v/>
      </c>
    </row>
    <row r="6963" spans="1:14">
      <c r="A6963" s="6">
        <v>2025</v>
      </c>
      <c r="B6963" s="6">
        <v>12</v>
      </c>
      <c r="C6963" s="6" t="s">
        <v>71</v>
      </c>
      <c r="D6963" s="6" t="s">
        <v>49</v>
      </c>
      <c r="E6963" s="6" t="s">
        <v>438</v>
      </c>
      <c r="F6963" s="6" t="str">
        <f>IF($M6963="PADD I","PADD 1",IF($M6963="PADD II","PADD 2",IF($M6963="PADD III","PADD 3",IF($M6963="PADD IV","PADD 4",IF($M6963="PADD V","PADD 5","")))))</f>
        <v>PADD 2</v>
      </c>
      <c r="G6963" s="6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6" t="s">
        <v>485</v>
      </c>
      <c r="I6963" s="6" t="s">
        <v>681</v>
      </c>
      <c r="J6963" s="6" t="s">
        <v>394</v>
      </c>
      <c r="K6963" s="10">
        <v>0.72</v>
      </c>
      <c r="L6963" s="10">
        <v>12</v>
      </c>
      <c r="M6963" s="6" t="s">
        <v>425</v>
      </c>
      <c r="N6963" s="6">
        <f>IF(OR($G6963="FCC",$G6963="Hydrocracker",$G6963="Reformer"),IF(COUNTIFS($D:$D,$D6963,$A:$A,$A6963,$B:$B,$B6963,$G:$G,"CDU",$J:$J,"PLANNED")&gt;0,"tied","standalone"),"")</f>
        <v/>
      </c>
    </row>
    <row r="6964" spans="1:14">
      <c r="A6964" s="6">
        <v>2025</v>
      </c>
      <c r="B6964" s="6">
        <v>12</v>
      </c>
      <c r="C6964" s="6" t="s">
        <v>71</v>
      </c>
      <c r="D6964" s="6" t="s">
        <v>49</v>
      </c>
      <c r="E6964" s="6" t="s">
        <v>438</v>
      </c>
      <c r="F6964" s="6" t="str">
        <f>IF($M6964="PADD I","PADD 1",IF($M6964="PADD II","PADD 2",IF($M6964="PADD III","PADD 3",IF($M6964="PADD IV","PADD 4",IF($M6964="PADD V","PADD 5","")))))</f>
        <v>PADD 2</v>
      </c>
      <c r="G6964" s="6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6" t="s">
        <v>44</v>
      </c>
      <c r="I6964" s="6" t="s">
        <v>811</v>
      </c>
      <c r="J6964" s="6" t="s">
        <v>394</v>
      </c>
      <c r="K6964" s="10">
        <v>0.72</v>
      </c>
      <c r="L6964" s="10">
        <v>24</v>
      </c>
      <c r="M6964" s="6" t="s">
        <v>425</v>
      </c>
      <c r="N6964" s="6">
        <f>IF(OR($G6964="FCC",$G6964="Hydrocracker",$G6964="Reformer"),IF(COUNTIFS($D:$D,$D6964,$A:$A,$A6964,$B:$B,$B6964,$G:$G,"CDU",$J:$J,"PLANNED")&gt;0,"tied","standalone"),"")</f>
        <v/>
      </c>
    </row>
    <row r="6965" spans="1:14">
      <c r="A6965" s="6">
        <v>2025</v>
      </c>
      <c r="B6965" s="6">
        <v>12</v>
      </c>
      <c r="C6965" s="6" t="s">
        <v>71</v>
      </c>
      <c r="D6965" s="6" t="s">
        <v>550</v>
      </c>
      <c r="E6965" s="6" t="s">
        <v>438</v>
      </c>
      <c r="F6965" s="6" t="str">
        <f>IF($M6965="PADD I","PADD 1",IF($M6965="PADD II","PADD 2",IF($M6965="PADD III","PADD 3",IF($M6965="PADD IV","PADD 4",IF($M6965="PADD V","PADD 5","")))))</f>
        <v>PADD 2</v>
      </c>
      <c r="G6965" s="6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6" t="s">
        <v>44</v>
      </c>
      <c r="I6965" s="6" t="s">
        <v>570</v>
      </c>
      <c r="J6965" s="6" t="s">
        <v>394</v>
      </c>
      <c r="K6965" s="10">
        <v>0.705</v>
      </c>
      <c r="L6965" s="10">
        <v>23.5</v>
      </c>
      <c r="M6965" s="6" t="s">
        <v>425</v>
      </c>
      <c r="N6965" s="6">
        <f>IF(OR($G6965="FCC",$G6965="Hydrocracker",$G6965="Reformer"),IF(COUNTIFS($D:$D,$D6965,$A:$A,$A6965,$B:$B,$B6965,$G:$G,"CDU",$J:$J,"PLANNED")&gt;0,"tied","standalone"),"")</f>
        <v/>
      </c>
    </row>
    <row r="6966" spans="1:14">
      <c r="A6966" s="6">
        <v>2025</v>
      </c>
      <c r="B6966" s="6">
        <v>12</v>
      </c>
      <c r="C6966" s="6" t="s">
        <v>71</v>
      </c>
      <c r="D6966" s="6" t="s">
        <v>375</v>
      </c>
      <c r="E6966" s="6" t="s">
        <v>435</v>
      </c>
      <c r="F6966" s="6" t="str">
        <f>IF($M6966="PADD I","PADD 1",IF($M6966="PADD II","PADD 2",IF($M6966="PADD III","PADD 3",IF($M6966="PADD IV","PADD 4",IF($M6966="PADD V","PADD 5","")))))</f>
        <v>PADD 5</v>
      </c>
      <c r="G6966" s="6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6" t="s">
        <v>618</v>
      </c>
      <c r="I6966" s="6" t="s">
        <v>654</v>
      </c>
      <c r="J6966" s="6" t="s">
        <v>394</v>
      </c>
      <c r="K6966" s="10">
        <v>0.53</v>
      </c>
      <c r="L6966" s="10">
        <v>0.53</v>
      </c>
      <c r="M6966" s="6" t="s">
        <v>436</v>
      </c>
      <c r="N6966" s="6">
        <f>IF(OR($G6966="FCC",$G6966="Hydrocracker",$G6966="Reformer"),IF(COUNTIFS($D:$D,$D6966,$A:$A,$A6966,$B:$B,$B6966,$G:$G,"CDU",$J:$J,"PLANNED")&gt;0,"tied","standalone"),"")</f>
        <v/>
      </c>
    </row>
    <row r="6967" spans="1:14">
      <c r="A6967" s="6">
        <v>2025</v>
      </c>
      <c r="B6967" s="6">
        <v>12</v>
      </c>
      <c r="C6967" s="6" t="s">
        <v>71</v>
      </c>
      <c r="D6967" s="6" t="s">
        <v>928</v>
      </c>
      <c r="E6967" s="6" t="s">
        <v>502</v>
      </c>
      <c r="F6967" s="6" t="str">
        <f>IF($M6967="PADD I","PADD 1",IF($M6967="PADD II","PADD 2",IF($M6967="PADD III","PADD 3",IF($M6967="PADD IV","PADD 4",IF($M6967="PADD V","PADD 5","")))))</f>
        <v>PADD 2</v>
      </c>
      <c r="G6967" s="6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6" t="s">
        <v>485</v>
      </c>
      <c r="I6967" s="6" t="s">
        <v>491</v>
      </c>
      <c r="J6967" s="6" t="s">
        <v>394</v>
      </c>
      <c r="K6967" s="10">
        <v>0.51</v>
      </c>
      <c r="L6967" s="10">
        <v>8.5</v>
      </c>
      <c r="M6967" s="6" t="s">
        <v>425</v>
      </c>
      <c r="N6967" s="6">
        <f>IF(OR($G6967="FCC",$G6967="Hydrocracker",$G6967="Reformer"),IF(COUNTIFS($D:$D,$D6967,$A:$A,$A6967,$B:$B,$B6967,$G:$G,"CDU",$J:$J,"PLANNED")&gt;0,"tied","standalone"),"")</f>
        <v/>
      </c>
    </row>
    <row r="6968" spans="1:14">
      <c r="A6968" s="6">
        <v>2025</v>
      </c>
      <c r="B6968" s="6">
        <v>12</v>
      </c>
      <c r="C6968" s="6" t="s">
        <v>71</v>
      </c>
      <c r="D6968" s="6" t="s">
        <v>49</v>
      </c>
      <c r="E6968" s="6" t="s">
        <v>438</v>
      </c>
      <c r="F6968" s="6" t="str">
        <f>IF($M6968="PADD I","PADD 1",IF($M6968="PADD II","PADD 2",IF($M6968="PADD III","PADD 3",IF($M6968="PADD IV","PADD 4",IF($M6968="PADD V","PADD 5","")))))</f>
        <v>PADD 2</v>
      </c>
      <c r="G6968" s="6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6" t="s">
        <v>485</v>
      </c>
      <c r="I6968" s="6" t="s">
        <v>681</v>
      </c>
      <c r="J6968" s="6" t="s">
        <v>394</v>
      </c>
      <c r="K6968" s="10">
        <v>0.36</v>
      </c>
      <c r="L6968" s="10">
        <v>12</v>
      </c>
      <c r="M6968" s="6" t="s">
        <v>425</v>
      </c>
      <c r="N6968" s="6">
        <f>IF(OR($G6968="FCC",$G6968="Hydrocracker",$G6968="Reformer"),IF(COUNTIFS($D:$D,$D6968,$A:$A,$A6968,$B:$B,$B6968,$G:$G,"CDU",$J:$J,"PLANNED")&gt;0,"tied","standalone"),"")</f>
        <v/>
      </c>
    </row>
    <row r="6969" spans="1:14">
      <c r="A6969" s="6">
        <v>2025</v>
      </c>
      <c r="B6969" s="6">
        <v>12</v>
      </c>
      <c r="C6969" s="6" t="s">
        <v>71</v>
      </c>
      <c r="D6969" s="6" t="s">
        <v>712</v>
      </c>
      <c r="E6969" s="6" t="s">
        <v>602</v>
      </c>
      <c r="F6969" s="6" t="str">
        <f>IF($M6969="PADD I","PADD 1",IF($M6969="PADD II","PADD 2",IF($M6969="PADD III","PADD 3",IF($M6969="PADD IV","PADD 4",IF($M6969="PADD V","PADD 5","")))))</f>
        <v>PADD 3</v>
      </c>
      <c r="G6969" s="6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6" t="s">
        <v>510</v>
      </c>
      <c r="I6969" s="6" t="s">
        <v>666</v>
      </c>
      <c r="J6969" s="6" t="s">
        <v>394</v>
      </c>
      <c r="K6969" s="10">
        <v>0.3</v>
      </c>
      <c r="L6969" s="10">
        <v>5</v>
      </c>
      <c r="M6969" s="6" t="s">
        <v>421</v>
      </c>
      <c r="N6969" s="6">
        <f>IF(OR($G6969="FCC",$G6969="Hydrocracker",$G6969="Reformer"),IF(COUNTIFS($D:$D,$D6969,$A:$A,$A6969,$B:$B,$B6969,$G:$G,"CDU",$J:$J,"PLANNED")&gt;0,"tied","standalone"),"")</f>
        <v/>
      </c>
    </row>
    <row r="6970" spans="1:14">
      <c r="A6970" s="6">
        <v>2026</v>
      </c>
      <c r="B6970" s="6">
        <v>1</v>
      </c>
      <c r="C6970" s="6" t="s">
        <v>60</v>
      </c>
      <c r="D6970" s="6" t="s">
        <v>437</v>
      </c>
      <c r="E6970" s="6" t="s">
        <v>438</v>
      </c>
      <c r="F6970" s="6" t="str">
        <f>IF($M6970="PADD I","PADD 1",IF($M6970="PADD II","PADD 2",IF($M6970="PADD III","PADD 3",IF($M6970="PADD IV","PADD 4",IF($M6970="PADD V","PADD 5","")))))</f>
        <v>PADD 3</v>
      </c>
      <c r="G6970" s="6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6" t="s">
        <v>426</v>
      </c>
      <c r="I6970" s="6" t="s">
        <v>522</v>
      </c>
      <c r="J6970" s="6" t="s">
        <v>398</v>
      </c>
      <c r="K6970" s="10">
        <v>95.2</v>
      </c>
      <c r="L6970" s="10">
        <v>140</v>
      </c>
      <c r="M6970" s="6" t="s">
        <v>421</v>
      </c>
      <c r="N6970" s="6" t="str">
        <f>IF(OR($G6970="FCC",$G6970="Hydrocracker",$G6970="Reformer"),IF(COUNTIFS($D:$D,$D6970,$A:$A,$A6970,$B:$B,$B6970,$G:$G,"CDU",$J:$J,"PLANNED")&gt;0,"tied","standalone"),"")</f>
        <v>tied</v>
      </c>
    </row>
    <row r="6971" spans="1:14">
      <c r="A6971" s="6">
        <v>2026</v>
      </c>
      <c r="B6971" s="6">
        <v>1</v>
      </c>
      <c r="C6971" s="6" t="s">
        <v>60</v>
      </c>
      <c r="D6971" s="6" t="s">
        <v>375</v>
      </c>
      <c r="E6971" s="6" t="s">
        <v>435</v>
      </c>
      <c r="F6971" s="6" t="str">
        <f>IF($M6971="PADD I","PADD 1",IF($M6971="PADD II","PADD 2",IF($M6971="PADD III","PADD 3",IF($M6971="PADD IV","PADD 4",IF($M6971="PADD V","PADD 5","")))))</f>
        <v>PADD 5</v>
      </c>
      <c r="G6971" s="6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6" t="s">
        <v>426</v>
      </c>
      <c r="I6971" s="6" t="s">
        <v>554</v>
      </c>
      <c r="J6971" s="6" t="s">
        <v>394</v>
      </c>
      <c r="K6971" s="10">
        <v>70</v>
      </c>
      <c r="L6971" s="10">
        <v>70</v>
      </c>
      <c r="M6971" s="6" t="s">
        <v>436</v>
      </c>
      <c r="N6971" s="6" t="str">
        <f>IF(OR($G6971="FCC",$G6971="Hydrocracker",$G6971="Reformer"),IF(COUNTIFS($D:$D,$D6971,$A:$A,$A6971,$B:$B,$B6971,$G:$G,"CDU",$J:$J,"PLANNED")&gt;0,"tied","standalone"),"")</f>
        <v>standalone</v>
      </c>
    </row>
    <row r="6972" spans="1:14">
      <c r="A6972" s="6">
        <v>2026</v>
      </c>
      <c r="B6972" s="6">
        <v>1</v>
      </c>
      <c r="C6972" s="6" t="s">
        <v>60</v>
      </c>
      <c r="D6972" s="6" t="s">
        <v>597</v>
      </c>
      <c r="E6972" s="6" t="s">
        <v>441</v>
      </c>
      <c r="F6972" s="6" t="str">
        <f>IF($M6972="PADD I","PADD 1",IF($M6972="PADD II","PADD 2",IF($M6972="PADD III","PADD 3",IF($M6972="PADD IV","PADD 4",IF($M6972="PADD V","PADD 5","")))))</f>
        <v>PADD 5</v>
      </c>
      <c r="G6972" s="6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6" t="s">
        <v>44</v>
      </c>
      <c r="I6972" s="6" t="s">
        <v>980</v>
      </c>
      <c r="J6972" s="6" t="s">
        <v>398</v>
      </c>
      <c r="K6972" s="10">
        <v>62.4</v>
      </c>
      <c r="L6972" s="10">
        <v>96</v>
      </c>
      <c r="M6972" s="6" t="s">
        <v>436</v>
      </c>
      <c r="N6972" s="6">
        <f>IF(OR($G6972="FCC",$G6972="Hydrocracker",$G6972="Reformer"),IF(COUNTIFS($D:$D,$D6972,$A:$A,$A6972,$B:$B,$B6972,$G:$G,"CDU",$J:$J,"PLANNED")&gt;0,"tied","standalone"),"")</f>
        <v/>
      </c>
    </row>
    <row r="6973" spans="1:14">
      <c r="A6973" s="6">
        <v>2026</v>
      </c>
      <c r="B6973" s="6">
        <v>1</v>
      </c>
      <c r="C6973" s="6" t="s">
        <v>60</v>
      </c>
      <c r="D6973" s="6" t="s">
        <v>375</v>
      </c>
      <c r="E6973" s="6" t="s">
        <v>435</v>
      </c>
      <c r="F6973" s="6" t="str">
        <f>IF($M6973="PADD I","PADD 1",IF($M6973="PADD II","PADD 2",IF($M6973="PADD III","PADD 3",IF($M6973="PADD IV","PADD 4",IF($M6973="PADD V","PADD 5","")))))</f>
        <v>PADD 5</v>
      </c>
      <c r="G6973" s="6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6" t="s">
        <v>39</v>
      </c>
      <c r="I6973" s="6" t="s">
        <v>94</v>
      </c>
      <c r="J6973" s="6" t="s">
        <v>394</v>
      </c>
      <c r="K6973" s="10">
        <v>60</v>
      </c>
      <c r="L6973" s="10">
        <v>60</v>
      </c>
      <c r="M6973" s="6" t="s">
        <v>436</v>
      </c>
      <c r="N6973" s="6">
        <f>IF(OR($G6973="FCC",$G6973="Hydrocracker",$G6973="Reformer"),IF(COUNTIFS($D:$D,$D6973,$A:$A,$A6973,$B:$B,$B6973,$G:$G,"CDU",$J:$J,"PLANNED")&gt;0,"tied","standalone"),"")</f>
        <v/>
      </c>
    </row>
    <row r="6974" spans="1:14">
      <c r="A6974" s="6">
        <v>2026</v>
      </c>
      <c r="B6974" s="6">
        <v>1</v>
      </c>
      <c r="C6974" s="6" t="s">
        <v>60</v>
      </c>
      <c r="D6974" s="6" t="s">
        <v>52</v>
      </c>
      <c r="E6974" s="6" t="s">
        <v>441</v>
      </c>
      <c r="F6974" s="6" t="str">
        <f>IF($M6974="PADD I","PADD 1",IF($M6974="PADD II","PADD 2",IF($M6974="PADD III","PADD 3",IF($M6974="PADD IV","PADD 4",IF($M6974="PADD V","PADD 5","")))))</f>
        <v>PADD 5</v>
      </c>
      <c r="G6974" s="6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6" t="s">
        <v>428</v>
      </c>
      <c r="I6974" s="6" t="s">
        <v>1085</v>
      </c>
      <c r="J6974" s="6" t="s">
        <v>394</v>
      </c>
      <c r="K6974" s="10">
        <v>56.35</v>
      </c>
      <c r="L6974" s="10">
        <v>56.35</v>
      </c>
      <c r="M6974" s="6" t="s">
        <v>436</v>
      </c>
      <c r="N6974" s="6">
        <f>IF(OR($G6974="FCC",$G6974="Hydrocracker",$G6974="Reformer"),IF(COUNTIFS($D:$D,$D6974,$A:$A,$A6974,$B:$B,$B6974,$G:$G,"CDU",$J:$J,"PLANNED")&gt;0,"tied","standalone"),"")</f>
        <v/>
      </c>
    </row>
    <row r="6975" spans="1:14">
      <c r="A6975" s="6">
        <v>2026</v>
      </c>
      <c r="B6975" s="6">
        <v>1</v>
      </c>
      <c r="C6975" s="6" t="s">
        <v>60</v>
      </c>
      <c r="D6975" s="6" t="s">
        <v>373</v>
      </c>
      <c r="E6975" s="6" t="s">
        <v>438</v>
      </c>
      <c r="F6975" s="6" t="str">
        <f>IF($M6975="PADD I","PADD 1",IF($M6975="PADD II","PADD 2",IF($M6975="PADD III","PADD 3",IF($M6975="PADD IV","PADD 4",IF($M6975="PADD V","PADD 5","")))))</f>
        <v>PADD 3</v>
      </c>
      <c r="G6975" s="6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6" t="s">
        <v>39</v>
      </c>
      <c r="I6975" s="6" t="s">
        <v>100</v>
      </c>
      <c r="J6975" s="6" t="s">
        <v>398</v>
      </c>
      <c r="K6975" s="10">
        <v>55</v>
      </c>
      <c r="L6975" s="10">
        <v>100</v>
      </c>
      <c r="M6975" s="6" t="s">
        <v>421</v>
      </c>
      <c r="N6975" s="6">
        <f>IF(OR($G6975="FCC",$G6975="Hydrocracker",$G6975="Reformer"),IF(COUNTIFS($D:$D,$D6975,$A:$A,$A6975,$B:$B,$B6975,$G:$G,"CDU",$J:$J,"PLANNED")&gt;0,"tied","standalone"),"")</f>
        <v/>
      </c>
    </row>
    <row r="6976" spans="1:14">
      <c r="A6976" s="6">
        <v>2026</v>
      </c>
      <c r="B6976" s="6">
        <v>1</v>
      </c>
      <c r="C6976" s="6" t="s">
        <v>60</v>
      </c>
      <c r="D6976" s="6" t="s">
        <v>518</v>
      </c>
      <c r="E6976" s="6" t="s">
        <v>419</v>
      </c>
      <c r="F6976" s="6" t="str">
        <f>IF($M6976="PADD I","PADD 1",IF($M6976="PADD II","PADD 2",IF($M6976="PADD III","PADD 3",IF($M6976="PADD IV","PADD 4",IF($M6976="PADD V","PADD 5","")))))</f>
        <v>PADD 3</v>
      </c>
      <c r="G6976" s="6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6" t="s">
        <v>44</v>
      </c>
      <c r="I6976" s="6" t="s">
        <v>899</v>
      </c>
      <c r="J6976" s="6" t="s">
        <v>398</v>
      </c>
      <c r="K6976" s="10">
        <v>49.64</v>
      </c>
      <c r="L6976" s="10">
        <v>73</v>
      </c>
      <c r="M6976" s="6" t="s">
        <v>421</v>
      </c>
      <c r="N6976" s="6">
        <f>IF(OR($G6976="FCC",$G6976="Hydrocracker",$G6976="Reformer"),IF(COUNTIFS($D:$D,$D6976,$A:$A,$A6976,$B:$B,$B6976,$G:$G,"CDU",$J:$J,"PLANNED")&gt;0,"tied","standalone"),"")</f>
        <v/>
      </c>
    </row>
    <row r="6977" spans="1:14">
      <c r="A6977" s="6">
        <v>2026</v>
      </c>
      <c r="B6977" s="6">
        <v>1</v>
      </c>
      <c r="C6977" s="6" t="s">
        <v>60</v>
      </c>
      <c r="D6977" s="6" t="s">
        <v>373</v>
      </c>
      <c r="E6977" s="6" t="s">
        <v>438</v>
      </c>
      <c r="F6977" s="6" t="str">
        <f>IF($M6977="PADD I","PADD 1",IF($M6977="PADD II","PADD 2",IF($M6977="PADD III","PADD 3",IF($M6977="PADD IV","PADD 4",IF($M6977="PADD V","PADD 5","")))))</f>
        <v>PADD 3</v>
      </c>
      <c r="G6977" s="6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6" t="s">
        <v>428</v>
      </c>
      <c r="I6977" s="6" t="s">
        <v>1142</v>
      </c>
      <c r="J6977" s="6" t="s">
        <v>398</v>
      </c>
      <c r="K6977" s="10">
        <v>48.125</v>
      </c>
      <c r="L6977" s="10">
        <v>137.5</v>
      </c>
      <c r="M6977" s="6" t="s">
        <v>421</v>
      </c>
      <c r="N6977" s="6">
        <f>IF(OR($G6977="FCC",$G6977="Hydrocracker",$G6977="Reformer"),IF(COUNTIFS($D:$D,$D6977,$A:$A,$A6977,$B:$B,$B6977,$G:$G,"CDU",$J:$J,"PLANNED")&gt;0,"tied","standalone"),"")</f>
        <v/>
      </c>
    </row>
    <row r="6978" spans="1:14">
      <c r="A6978" s="6">
        <v>2026</v>
      </c>
      <c r="B6978" s="6">
        <v>1</v>
      </c>
      <c r="C6978" s="6" t="s">
        <v>60</v>
      </c>
      <c r="D6978" s="6" t="s">
        <v>597</v>
      </c>
      <c r="E6978" s="6" t="s">
        <v>441</v>
      </c>
      <c r="F6978" s="6" t="str">
        <f>IF($M6978="PADD I","PADD 1",IF($M6978="PADD II","PADD 2",IF($M6978="PADD III","PADD 3",IF($M6978="PADD IV","PADD 4",IF($M6978="PADD V","PADD 5","")))))</f>
        <v>PADD 5</v>
      </c>
      <c r="G6978" s="6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6" t="s">
        <v>44</v>
      </c>
      <c r="I6978" s="6" t="s">
        <v>979</v>
      </c>
      <c r="J6978" s="6" t="s">
        <v>398</v>
      </c>
      <c r="K6978" s="10">
        <v>46.008</v>
      </c>
      <c r="L6978" s="10">
        <v>64.8</v>
      </c>
      <c r="M6978" s="6" t="s">
        <v>436</v>
      </c>
      <c r="N6978" s="6">
        <f>IF(OR($G6978="FCC",$G6978="Hydrocracker",$G6978="Reformer"),IF(COUNTIFS($D:$D,$D6978,$A:$A,$A6978,$B:$B,$B6978,$G:$G,"CDU",$J:$J,"PLANNED")&gt;0,"tied","standalone"),"")</f>
        <v/>
      </c>
    </row>
    <row r="6979" spans="1:14">
      <c r="A6979" s="6">
        <v>2026</v>
      </c>
      <c r="B6979" s="6">
        <v>1</v>
      </c>
      <c r="C6979" s="6" t="s">
        <v>60</v>
      </c>
      <c r="D6979" s="6" t="s">
        <v>798</v>
      </c>
      <c r="E6979" s="6" t="s">
        <v>438</v>
      </c>
      <c r="F6979" s="6" t="str">
        <f>IF($M6979="PADD I","PADD 1",IF($M6979="PADD II","PADD 2",IF($M6979="PADD III","PADD 3",IF($M6979="PADD IV","PADD 4",IF($M6979="PADD V","PADD 5","")))))</f>
        <v>PADD 3</v>
      </c>
      <c r="G6979" s="6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6" t="s">
        <v>39</v>
      </c>
      <c r="I6979" s="6" t="s">
        <v>799</v>
      </c>
      <c r="J6979" s="6" t="s">
        <v>398</v>
      </c>
      <c r="K6979" s="10">
        <v>43.12</v>
      </c>
      <c r="L6979" s="10">
        <v>56</v>
      </c>
      <c r="M6979" s="6" t="s">
        <v>421</v>
      </c>
      <c r="N6979" s="6">
        <f>IF(OR($G6979="FCC",$G6979="Hydrocracker",$G6979="Reformer"),IF(COUNTIFS($D:$D,$D6979,$A:$A,$A6979,$B:$B,$B6979,$G:$G,"CDU",$J:$J,"PLANNED")&gt;0,"tied","standalone"),"")</f>
        <v/>
      </c>
    </row>
    <row r="6980" spans="1:14">
      <c r="A6980" s="6">
        <v>2026</v>
      </c>
      <c r="B6980" s="6">
        <v>1</v>
      </c>
      <c r="C6980" s="6" t="s">
        <v>60</v>
      </c>
      <c r="D6980" s="6" t="s">
        <v>822</v>
      </c>
      <c r="E6980" s="6" t="s">
        <v>455</v>
      </c>
      <c r="F6980" s="6" t="str">
        <f>IF($M6980="PADD I","PADD 1",IF($M6980="PADD II","PADD 2",IF($M6980="PADD III","PADD 3",IF($M6980="PADD IV","PADD 4",IF($M6980="PADD V","PADD 5","")))))</f>
        <v>PADD 3</v>
      </c>
      <c r="G6980" s="6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6" t="s">
        <v>39</v>
      </c>
      <c r="I6980" s="6" t="s">
        <v>1360</v>
      </c>
      <c r="J6980" s="6" t="s">
        <v>398</v>
      </c>
      <c r="K6980" s="10">
        <v>43.05</v>
      </c>
      <c r="L6980" s="10">
        <v>102.5</v>
      </c>
      <c r="M6980" s="6" t="s">
        <v>421</v>
      </c>
      <c r="N6980" s="6">
        <f>IF(OR($G6980="FCC",$G6980="Hydrocracker",$G6980="Reformer"),IF(COUNTIFS($D:$D,$D6980,$A:$A,$A6980,$B:$B,$B6980,$G:$G,"CDU",$J:$J,"PLANNED")&gt;0,"tied","standalone"),"")</f>
        <v/>
      </c>
    </row>
    <row r="6981" spans="1:14">
      <c r="A6981" s="6">
        <v>2026</v>
      </c>
      <c r="B6981" s="6">
        <v>1</v>
      </c>
      <c r="C6981" s="6" t="s">
        <v>60</v>
      </c>
      <c r="D6981" s="6" t="s">
        <v>561</v>
      </c>
      <c r="E6981" s="6" t="s">
        <v>455</v>
      </c>
      <c r="F6981" s="6" t="str">
        <f>IF($M6981="PADD I","PADD 1",IF($M6981="PADD II","PADD 2",IF($M6981="PADD III","PADD 3",IF($M6981="PADD IV","PADD 4",IF($M6981="PADD V","PADD 5","")))))</f>
        <v>PADD 3</v>
      </c>
      <c r="G6981" s="6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6" t="s">
        <v>426</v>
      </c>
      <c r="I6981" s="6" t="s">
        <v>106</v>
      </c>
      <c r="J6981" s="6" t="s">
        <v>398</v>
      </c>
      <c r="K6981" s="10">
        <v>39.65</v>
      </c>
      <c r="L6981" s="10">
        <v>65</v>
      </c>
      <c r="M6981" s="6" t="s">
        <v>421</v>
      </c>
      <c r="N6981" s="6" t="str">
        <f>IF(OR($G6981="FCC",$G6981="Hydrocracker",$G6981="Reformer"),IF(COUNTIFS($D:$D,$D6981,$A:$A,$A6981,$B:$B,$B6981,$G:$G,"CDU",$J:$J,"PLANNED")&gt;0,"tied","standalone"),"")</f>
        <v>standalone</v>
      </c>
    </row>
    <row r="6982" spans="1:14">
      <c r="A6982" s="6">
        <v>2026</v>
      </c>
      <c r="B6982" s="6">
        <v>1</v>
      </c>
      <c r="C6982" s="6" t="s">
        <v>60</v>
      </c>
      <c r="D6982" s="6" t="s">
        <v>43</v>
      </c>
      <c r="E6982" s="6" t="s">
        <v>455</v>
      </c>
      <c r="F6982" s="6" t="str">
        <f>IF($M6982="PADD I","PADD 1",IF($M6982="PADD II","PADD 2",IF($M6982="PADD III","PADD 3",IF($M6982="PADD IV","PADD 4",IF($M6982="PADD V","PADD 5","")))))</f>
        <v>PADD 3</v>
      </c>
      <c r="G6982" s="6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6" t="s">
        <v>39</v>
      </c>
      <c r="I6982" s="6" t="s">
        <v>1391</v>
      </c>
      <c r="J6982" s="6" t="s">
        <v>398</v>
      </c>
      <c r="K6982" s="10">
        <v>37.44</v>
      </c>
      <c r="L6982" s="10">
        <v>72</v>
      </c>
      <c r="M6982" s="6" t="s">
        <v>421</v>
      </c>
      <c r="N6982" s="6">
        <f>IF(OR($G6982="FCC",$G6982="Hydrocracker",$G6982="Reformer"),IF(COUNTIFS($D:$D,$D6982,$A:$A,$A6982,$B:$B,$B6982,$G:$G,"CDU",$J:$J,"PLANNED")&gt;0,"tied","standalone"),"")</f>
        <v/>
      </c>
    </row>
    <row r="6983" spans="1:14">
      <c r="A6983" s="6">
        <v>2026</v>
      </c>
      <c r="B6983" s="6">
        <v>1</v>
      </c>
      <c r="C6983" s="6" t="s">
        <v>60</v>
      </c>
      <c r="D6983" s="6" t="s">
        <v>43</v>
      </c>
      <c r="E6983" s="6" t="s">
        <v>455</v>
      </c>
      <c r="F6983" s="6" t="str">
        <f>IF($M6983="PADD I","PADD 1",IF($M6983="PADD II","PADD 2",IF($M6983="PADD III","PADD 3",IF($M6983="PADD IV","PADD 4",IF($M6983="PADD V","PADD 5","")))))</f>
        <v>PADD 3</v>
      </c>
      <c r="G6983" s="6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6" t="s">
        <v>428</v>
      </c>
      <c r="I6983" s="6" t="s">
        <v>1392</v>
      </c>
      <c r="J6983" s="6" t="s">
        <v>398</v>
      </c>
      <c r="K6983" s="10">
        <v>36.4</v>
      </c>
      <c r="L6983" s="10">
        <v>70</v>
      </c>
      <c r="M6983" s="6" t="s">
        <v>421</v>
      </c>
      <c r="N6983" s="6">
        <f>IF(OR($G6983="FCC",$G6983="Hydrocracker",$G6983="Reformer"),IF(COUNTIFS($D:$D,$D6983,$A:$A,$A6983,$B:$B,$B6983,$G:$G,"CDU",$J:$J,"PLANNED")&gt;0,"tied","standalone"),"")</f>
        <v/>
      </c>
    </row>
    <row r="6984" spans="1:14">
      <c r="A6984" s="6">
        <v>2026</v>
      </c>
      <c r="B6984" s="6">
        <v>1</v>
      </c>
      <c r="C6984" s="6" t="s">
        <v>60</v>
      </c>
      <c r="D6984" s="6" t="s">
        <v>838</v>
      </c>
      <c r="E6984" s="6" t="s">
        <v>455</v>
      </c>
      <c r="F6984" s="6" t="str">
        <f>IF($M6984="PADD I","PADD 1",IF($M6984="PADD II","PADD 2",IF($M6984="PADD III","PADD 3",IF($M6984="PADD IV","PADD 4",IF($M6984="PADD V","PADD 5","")))))</f>
        <v>PADD 3</v>
      </c>
      <c r="G6984" s="6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6" t="s">
        <v>428</v>
      </c>
      <c r="I6984" s="6" t="s">
        <v>862</v>
      </c>
      <c r="J6984" s="6" t="s">
        <v>394</v>
      </c>
      <c r="K6984" s="10">
        <v>35.5</v>
      </c>
      <c r="L6984" s="10">
        <v>50</v>
      </c>
      <c r="M6984" s="6" t="s">
        <v>421</v>
      </c>
      <c r="N6984" s="6">
        <f>IF(OR($G6984="FCC",$G6984="Hydrocracker",$G6984="Reformer"),IF(COUNTIFS($D:$D,$D6984,$A:$A,$A6984,$B:$B,$B6984,$G:$G,"CDU",$J:$J,"PLANNED")&gt;0,"tied","standalone"),"")</f>
        <v/>
      </c>
    </row>
    <row r="6985" spans="1:14">
      <c r="A6985" s="6">
        <v>2026</v>
      </c>
      <c r="B6985" s="6">
        <v>1</v>
      </c>
      <c r="C6985" s="6" t="s">
        <v>60</v>
      </c>
      <c r="D6985" s="6" t="s">
        <v>518</v>
      </c>
      <c r="E6985" s="6" t="s">
        <v>419</v>
      </c>
      <c r="F6985" s="6" t="str">
        <f>IF($M6985="PADD I","PADD 1",IF($M6985="PADD II","PADD 2",IF($M6985="PADD III","PADD 3",IF($M6985="PADD IV","PADD 4",IF($M6985="PADD V","PADD 5","")))))</f>
        <v>PADD 3</v>
      </c>
      <c r="G6985" s="6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6" t="s">
        <v>44</v>
      </c>
      <c r="I6985" s="6" t="s">
        <v>532</v>
      </c>
      <c r="J6985" s="6" t="s">
        <v>398</v>
      </c>
      <c r="K6985" s="10">
        <v>34</v>
      </c>
      <c r="L6985" s="10">
        <v>50</v>
      </c>
      <c r="M6985" s="6" t="s">
        <v>421</v>
      </c>
      <c r="N6985" s="6">
        <f>IF(OR($G6985="FCC",$G6985="Hydrocracker",$G6985="Reformer"),IF(COUNTIFS($D:$D,$D6985,$A:$A,$A6985,$B:$B,$B6985,$G:$G,"CDU",$J:$J,"PLANNED")&gt;0,"tied","standalone"),"")</f>
        <v/>
      </c>
    </row>
    <row r="6986" spans="1:14">
      <c r="A6986" s="6">
        <v>2026</v>
      </c>
      <c r="B6986" s="6">
        <v>1</v>
      </c>
      <c r="C6986" s="6" t="s">
        <v>60</v>
      </c>
      <c r="D6986" s="6" t="s">
        <v>1113</v>
      </c>
      <c r="E6986" s="6" t="s">
        <v>438</v>
      </c>
      <c r="F6986" s="6" t="str">
        <f>IF($M6986="PADD I","PADD 1",IF($M6986="PADD II","PADD 2",IF($M6986="PADD III","PADD 3",IF($M6986="PADD IV","PADD 4",IF($M6986="PADD V","PADD 5","")))))</f>
        <v>PADD 2</v>
      </c>
      <c r="G6986" s="6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6" t="s">
        <v>44</v>
      </c>
      <c r="I6986" s="6" t="s">
        <v>543</v>
      </c>
      <c r="J6986" s="6" t="s">
        <v>394</v>
      </c>
      <c r="K6986" s="10">
        <v>34</v>
      </c>
      <c r="L6986" s="10">
        <v>34</v>
      </c>
      <c r="M6986" s="6" t="s">
        <v>425</v>
      </c>
      <c r="N6986" s="6">
        <f>IF(OR($G6986="FCC",$G6986="Hydrocracker",$G6986="Reformer"),IF(COUNTIFS($D:$D,$D6986,$A:$A,$A6986,$B:$B,$B6986,$G:$G,"CDU",$J:$J,"PLANNED")&gt;0,"tied","standalone"),"")</f>
        <v/>
      </c>
    </row>
    <row r="6987" spans="1:14">
      <c r="A6987" s="6">
        <v>2026</v>
      </c>
      <c r="B6987" s="6">
        <v>1</v>
      </c>
      <c r="C6987" s="6" t="s">
        <v>60</v>
      </c>
      <c r="D6987" s="6" t="s">
        <v>838</v>
      </c>
      <c r="E6987" s="6" t="s">
        <v>455</v>
      </c>
      <c r="F6987" s="6" t="str">
        <f>IF($M6987="PADD I","PADD 1",IF($M6987="PADD II","PADD 2",IF($M6987="PADD III","PADD 3",IF($M6987="PADD IV","PADD 4",IF($M6987="PADD V","PADD 5","")))))</f>
        <v>PADD 3</v>
      </c>
      <c r="G6987" s="6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6" t="s">
        <v>494</v>
      </c>
      <c r="I6987" s="6" t="s">
        <v>881</v>
      </c>
      <c r="J6987" s="6" t="s">
        <v>398</v>
      </c>
      <c r="K6987" s="10">
        <v>33.55</v>
      </c>
      <c r="L6987" s="10">
        <v>55</v>
      </c>
      <c r="M6987" s="6" t="s">
        <v>421</v>
      </c>
      <c r="N6987" s="6" t="str">
        <f>IF(OR($G6987="FCC",$G6987="Hydrocracker",$G6987="Reformer"),IF(COUNTIFS($D:$D,$D6987,$A:$A,$A6987,$B:$B,$B6987,$G:$G,"CDU",$J:$J,"PLANNED")&gt;0,"tied","standalone"),"")</f>
        <v>standalone</v>
      </c>
    </row>
    <row r="6988" spans="1:14">
      <c r="A6988" s="6">
        <v>2026</v>
      </c>
      <c r="B6988" s="6">
        <v>1</v>
      </c>
      <c r="C6988" s="6" t="s">
        <v>60</v>
      </c>
      <c r="D6988" s="6" t="s">
        <v>828</v>
      </c>
      <c r="E6988" s="6" t="s">
        <v>829</v>
      </c>
      <c r="F6988" s="6" t="str">
        <f>IF($M6988="PADD I","PADD 1",IF($M6988="PADD II","PADD 2",IF($M6988="PADD III","PADD 3",IF($M6988="PADD IV","PADD 4",IF($M6988="PADD V","PADD 5","")))))</f>
        <v>PADD 3</v>
      </c>
      <c r="G6988" s="6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6" t="s">
        <v>426</v>
      </c>
      <c r="I6988" s="6" t="s">
        <v>856</v>
      </c>
      <c r="J6988" s="6" t="s">
        <v>398</v>
      </c>
      <c r="K6988" s="10">
        <v>31.9</v>
      </c>
      <c r="L6988" s="10">
        <v>55</v>
      </c>
      <c r="M6988" s="6" t="s">
        <v>421</v>
      </c>
      <c r="N6988" s="6" t="str">
        <f>IF(OR($G6988="FCC",$G6988="Hydrocracker",$G6988="Reformer"),IF(COUNTIFS($D:$D,$D6988,$A:$A,$A6988,$B:$B,$B6988,$G:$G,"CDU",$J:$J,"PLANNED")&gt;0,"tied","standalone"),"")</f>
        <v>tied</v>
      </c>
    </row>
    <row r="6989" spans="1:14">
      <c r="A6989" s="6">
        <v>2026</v>
      </c>
      <c r="B6989" s="6">
        <v>1</v>
      </c>
      <c r="C6989" s="6" t="s">
        <v>60</v>
      </c>
      <c r="D6989" s="6" t="s">
        <v>375</v>
      </c>
      <c r="E6989" s="6" t="s">
        <v>435</v>
      </c>
      <c r="F6989" s="6" t="str">
        <f>IF($M6989="PADD I","PADD 1",IF($M6989="PADD II","PADD 2",IF($M6989="PADD III","PADD 3",IF($M6989="PADD IV","PADD 4",IF($M6989="PADD V","PADD 5","")))))</f>
        <v>PADD 5</v>
      </c>
      <c r="G6989" s="6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6" t="s">
        <v>428</v>
      </c>
      <c r="I6989" s="6" t="s">
        <v>481</v>
      </c>
      <c r="J6989" s="6" t="s">
        <v>394</v>
      </c>
      <c r="K6989" s="10">
        <v>31.5</v>
      </c>
      <c r="L6989" s="10">
        <v>31.5</v>
      </c>
      <c r="M6989" s="6" t="s">
        <v>436</v>
      </c>
      <c r="N6989" s="6">
        <f>IF(OR($G6989="FCC",$G6989="Hydrocracker",$G6989="Reformer"),IF(COUNTIFS($D:$D,$D6989,$A:$A,$A6989,$B:$B,$B6989,$G:$G,"CDU",$J:$J,"PLANNED")&gt;0,"tied","standalone"),"")</f>
        <v/>
      </c>
    </row>
    <row r="6990" spans="1:14">
      <c r="A6990" s="6">
        <v>2026</v>
      </c>
      <c r="B6990" s="6">
        <v>1</v>
      </c>
      <c r="C6990" s="6" t="s">
        <v>60</v>
      </c>
      <c r="D6990" s="6" t="s">
        <v>828</v>
      </c>
      <c r="E6990" s="6" t="s">
        <v>829</v>
      </c>
      <c r="F6990" s="6" t="str">
        <f>IF($M6990="PADD I","PADD 1",IF($M6990="PADD II","PADD 2",IF($M6990="PADD III","PADD 3",IF($M6990="PADD IV","PADD 4",IF($M6990="PADD V","PADD 5","")))))</f>
        <v>PADD 3</v>
      </c>
      <c r="G6990" s="6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6" t="s">
        <v>39</v>
      </c>
      <c r="I6990" s="6" t="s">
        <v>855</v>
      </c>
      <c r="J6990" s="6" t="s">
        <v>398</v>
      </c>
      <c r="K6990" s="10">
        <v>30.16</v>
      </c>
      <c r="L6990" s="10">
        <v>58</v>
      </c>
      <c r="M6990" s="6" t="s">
        <v>421</v>
      </c>
      <c r="N6990" s="6">
        <f>IF(OR($G6990="FCC",$G6990="Hydrocracker",$G6990="Reformer"),IF(COUNTIFS($D:$D,$D6990,$A:$A,$A6990,$B:$B,$B6990,$G:$G,"CDU",$J:$J,"PLANNED")&gt;0,"tied","standalone"),"")</f>
        <v/>
      </c>
    </row>
    <row r="6991" spans="1:14">
      <c r="A6991" s="6">
        <v>2026</v>
      </c>
      <c r="B6991" s="6">
        <v>1</v>
      </c>
      <c r="C6991" s="6" t="s">
        <v>60</v>
      </c>
      <c r="D6991" s="6" t="s">
        <v>43</v>
      </c>
      <c r="E6991" s="6" t="s">
        <v>455</v>
      </c>
      <c r="F6991" s="6" t="str">
        <f>IF($M6991="PADD I","PADD 1",IF($M6991="PADD II","PADD 2",IF($M6991="PADD III","PADD 3",IF($M6991="PADD IV","PADD 4",IF($M6991="PADD V","PADD 5","")))))</f>
        <v>PADD 3</v>
      </c>
      <c r="G6991" s="6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6" t="s">
        <v>39</v>
      </c>
      <c r="I6991" s="6" t="s">
        <v>1393</v>
      </c>
      <c r="J6991" s="6" t="s">
        <v>398</v>
      </c>
      <c r="K6991" s="10">
        <v>27.56</v>
      </c>
      <c r="L6991" s="10">
        <v>53</v>
      </c>
      <c r="M6991" s="6" t="s">
        <v>421</v>
      </c>
      <c r="N6991" s="6">
        <f>IF(OR($G6991="FCC",$G6991="Hydrocracker",$G6991="Reformer"),IF(COUNTIFS($D:$D,$D6991,$A:$A,$A6991,$B:$B,$B6991,$G:$G,"CDU",$J:$J,"PLANNED")&gt;0,"tied","standalone"),"")</f>
        <v/>
      </c>
    </row>
    <row r="6992" spans="1:14">
      <c r="A6992" s="6">
        <v>2026</v>
      </c>
      <c r="B6992" s="6">
        <v>1</v>
      </c>
      <c r="C6992" s="6" t="s">
        <v>60</v>
      </c>
      <c r="D6992" s="6" t="s">
        <v>52</v>
      </c>
      <c r="E6992" s="6" t="s">
        <v>441</v>
      </c>
      <c r="F6992" s="6" t="str">
        <f>IF($M6992="PADD I","PADD 1",IF($M6992="PADD II","PADD 2",IF($M6992="PADD III","PADD 3",IF($M6992="PADD IV","PADD 4",IF($M6992="PADD V","PADD 5","")))))</f>
        <v>PADD 5</v>
      </c>
      <c r="G6992" s="6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6" t="s">
        <v>44</v>
      </c>
      <c r="I6992" s="6" t="s">
        <v>1217</v>
      </c>
      <c r="J6992" s="6" t="s">
        <v>394</v>
      </c>
      <c r="K6992" s="10">
        <v>24.5</v>
      </c>
      <c r="L6992" s="10">
        <v>24.5</v>
      </c>
      <c r="M6992" s="6" t="s">
        <v>436</v>
      </c>
      <c r="N6992" s="6">
        <f>IF(OR($G6992="FCC",$G6992="Hydrocracker",$G6992="Reformer"),IF(COUNTIFS($D:$D,$D6992,$A:$A,$A6992,$B:$B,$B6992,$G:$G,"CDU",$J:$J,"PLANNED")&gt;0,"tied","standalone"),"")</f>
        <v/>
      </c>
    </row>
    <row r="6993" spans="1:14">
      <c r="A6993" s="6">
        <v>2026</v>
      </c>
      <c r="B6993" s="6">
        <v>1</v>
      </c>
      <c r="C6993" s="6" t="s">
        <v>60</v>
      </c>
      <c r="D6993" s="6" t="s">
        <v>52</v>
      </c>
      <c r="E6993" s="6" t="s">
        <v>441</v>
      </c>
      <c r="F6993" s="6" t="str">
        <f>IF($M6993="PADD I","PADD 1",IF($M6993="PADD II","PADD 2",IF($M6993="PADD III","PADD 3",IF($M6993="PADD IV","PADD 4",IF($M6993="PADD V","PADD 5","")))))</f>
        <v>PADD 5</v>
      </c>
      <c r="G6993" s="6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6" t="s">
        <v>44</v>
      </c>
      <c r="I6993" s="6" t="s">
        <v>1280</v>
      </c>
      <c r="J6993" s="6" t="s">
        <v>394</v>
      </c>
      <c r="K6993" s="10">
        <v>23.8</v>
      </c>
      <c r="L6993" s="10">
        <v>23.8</v>
      </c>
      <c r="M6993" s="6" t="s">
        <v>436</v>
      </c>
      <c r="N6993" s="6">
        <f>IF(OR($G6993="FCC",$G6993="Hydrocracker",$G6993="Reformer"),IF(COUNTIFS($D:$D,$D6993,$A:$A,$A6993,$B:$B,$B6993,$G:$G,"CDU",$J:$J,"PLANNED")&gt;0,"tied","standalone"),"")</f>
        <v/>
      </c>
    </row>
    <row r="6994" spans="1:14">
      <c r="A6994" s="6">
        <v>2026</v>
      </c>
      <c r="B6994" s="6">
        <v>1</v>
      </c>
      <c r="C6994" s="6" t="s">
        <v>60</v>
      </c>
      <c r="D6994" s="6" t="s">
        <v>43</v>
      </c>
      <c r="E6994" s="6" t="s">
        <v>455</v>
      </c>
      <c r="F6994" s="6" t="str">
        <f>IF($M6994="PADD I","PADD 1",IF($M6994="PADD II","PADD 2",IF($M6994="PADD III","PADD 3",IF($M6994="PADD IV","PADD 4",IF($M6994="PADD V","PADD 5","")))))</f>
        <v>PADD 3</v>
      </c>
      <c r="G6994" s="6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6" t="s">
        <v>428</v>
      </c>
      <c r="I6994" s="6" t="s">
        <v>1394</v>
      </c>
      <c r="J6994" s="6" t="s">
        <v>398</v>
      </c>
      <c r="K6994" s="10">
        <v>23.4</v>
      </c>
      <c r="L6994" s="10">
        <v>45</v>
      </c>
      <c r="M6994" s="6" t="s">
        <v>421</v>
      </c>
      <c r="N6994" s="6">
        <f>IF(OR($G6994="FCC",$G6994="Hydrocracker",$G6994="Reformer"),IF(COUNTIFS($D:$D,$D6994,$A:$A,$A6994,$B:$B,$B6994,$G:$G,"CDU",$J:$J,"PLANNED")&gt;0,"tied","standalone"),"")</f>
        <v/>
      </c>
    </row>
    <row r="6995" spans="1:14">
      <c r="A6995" s="6">
        <v>2026</v>
      </c>
      <c r="B6995" s="6">
        <v>1</v>
      </c>
      <c r="C6995" s="6" t="s">
        <v>60</v>
      </c>
      <c r="D6995" s="6" t="s">
        <v>437</v>
      </c>
      <c r="E6995" s="6" t="s">
        <v>438</v>
      </c>
      <c r="F6995" s="6" t="str">
        <f>IF($M6995="PADD I","PADD 1",IF($M6995="PADD II","PADD 2",IF($M6995="PADD III","PADD 3",IF($M6995="PADD IV","PADD 4",IF($M6995="PADD V","PADD 5","")))))</f>
        <v>PADD 3</v>
      </c>
      <c r="G6995" s="6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6" t="s">
        <v>510</v>
      </c>
      <c r="I6995" s="6" t="s">
        <v>1395</v>
      </c>
      <c r="J6995" s="6" t="s">
        <v>398</v>
      </c>
      <c r="K6995" s="10">
        <v>23.31</v>
      </c>
      <c r="L6995" s="10">
        <v>31.5</v>
      </c>
      <c r="M6995" s="6" t="s">
        <v>421</v>
      </c>
      <c r="N6995" s="6">
        <f>IF(OR($G6995="FCC",$G6995="Hydrocracker",$G6995="Reformer"),IF(COUNTIFS($D:$D,$D6995,$A:$A,$A6995,$B:$B,$B6995,$G:$G,"CDU",$J:$J,"PLANNED")&gt;0,"tied","standalone"),"")</f>
        <v/>
      </c>
    </row>
    <row r="6996" spans="1:14">
      <c r="A6996" s="6">
        <v>2026</v>
      </c>
      <c r="B6996" s="6">
        <v>1</v>
      </c>
      <c r="C6996" s="6" t="s">
        <v>60</v>
      </c>
      <c r="D6996" s="6" t="s">
        <v>518</v>
      </c>
      <c r="E6996" s="6" t="s">
        <v>419</v>
      </c>
      <c r="F6996" s="6" t="str">
        <f>IF($M6996="PADD I","PADD 1",IF($M6996="PADD II","PADD 2",IF($M6996="PADD III","PADD 3",IF($M6996="PADD IV","PADD 4",IF($M6996="PADD V","PADD 5","")))))</f>
        <v>PADD 3</v>
      </c>
      <c r="G6996" s="6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6" t="s">
        <v>44</v>
      </c>
      <c r="I6996" s="6" t="s">
        <v>1078</v>
      </c>
      <c r="J6996" s="6" t="s">
        <v>398</v>
      </c>
      <c r="K6996" s="10">
        <v>23.12</v>
      </c>
      <c r="L6996" s="10">
        <v>34</v>
      </c>
      <c r="M6996" s="6" t="s">
        <v>421</v>
      </c>
      <c r="N6996" s="6">
        <f>IF(OR($G6996="FCC",$G6996="Hydrocracker",$G6996="Reformer"),IF(COUNTIFS($D:$D,$D6996,$A:$A,$A6996,$B:$B,$B6996,$G:$G,"CDU",$J:$J,"PLANNED")&gt;0,"tied","standalone"),"")</f>
        <v/>
      </c>
    </row>
    <row r="6997" spans="1:14">
      <c r="A6997" s="6">
        <v>2026</v>
      </c>
      <c r="B6997" s="6">
        <v>1</v>
      </c>
      <c r="C6997" s="6" t="s">
        <v>60</v>
      </c>
      <c r="D6997" s="6" t="s">
        <v>820</v>
      </c>
      <c r="E6997" s="6" t="s">
        <v>710</v>
      </c>
      <c r="F6997" s="6" t="str">
        <f>IF($M6997="PADD I","PADD 1",IF($M6997="PADD II","PADD 2",IF($M6997="PADD III","PADD 3",IF($M6997="PADD IV","PADD 4",IF($M6997="PADD V","PADD 5","")))))</f>
        <v>PADD 3</v>
      </c>
      <c r="G6997" s="6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6" t="s">
        <v>39</v>
      </c>
      <c r="I6997" s="6" t="s">
        <v>821</v>
      </c>
      <c r="J6997" s="6" t="s">
        <v>394</v>
      </c>
      <c r="K6997" s="10">
        <v>22.05</v>
      </c>
      <c r="L6997" s="10">
        <v>63</v>
      </c>
      <c r="M6997" s="6" t="s">
        <v>421</v>
      </c>
      <c r="N6997" s="6">
        <f>IF(OR($G6997="FCC",$G6997="Hydrocracker",$G6997="Reformer"),IF(COUNTIFS($D:$D,$D6997,$A:$A,$A6997,$B:$B,$B6997,$G:$G,"CDU",$J:$J,"PLANNED")&gt;0,"tied","standalone"),"")</f>
        <v/>
      </c>
    </row>
    <row r="6998" spans="1:14">
      <c r="A6998" s="6">
        <v>2026</v>
      </c>
      <c r="B6998" s="6">
        <v>1</v>
      </c>
      <c r="C6998" s="6" t="s">
        <v>60</v>
      </c>
      <c r="D6998" s="6" t="s">
        <v>1113</v>
      </c>
      <c r="E6998" s="6" t="s">
        <v>438</v>
      </c>
      <c r="F6998" s="6" t="str">
        <f>IF($M6998="PADD I","PADD 1",IF($M6998="PADD II","PADD 2",IF($M6998="PADD III","PADD 3",IF($M6998="PADD IV","PADD 4",IF($M6998="PADD V","PADD 5","")))))</f>
        <v>PADD 2</v>
      </c>
      <c r="G6998" s="6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6" t="s">
        <v>39</v>
      </c>
      <c r="I6998" s="6" t="s">
        <v>82</v>
      </c>
      <c r="J6998" s="6" t="s">
        <v>394</v>
      </c>
      <c r="K6998" s="10">
        <v>21.6</v>
      </c>
      <c r="L6998" s="10">
        <v>135</v>
      </c>
      <c r="M6998" s="6" t="s">
        <v>425</v>
      </c>
      <c r="N6998" s="6">
        <f>IF(OR($G6998="FCC",$G6998="Hydrocracker",$G6998="Reformer"),IF(COUNTIFS($D:$D,$D6998,$A:$A,$A6998,$B:$B,$B6998,$G:$G,"CDU",$J:$J,"PLANNED")&gt;0,"tied","standalone"),"")</f>
        <v/>
      </c>
    </row>
    <row r="6999" spans="1:14">
      <c r="A6999" s="6">
        <v>2026</v>
      </c>
      <c r="B6999" s="6">
        <v>1</v>
      </c>
      <c r="C6999" s="6" t="s">
        <v>60</v>
      </c>
      <c r="D6999" s="6" t="s">
        <v>984</v>
      </c>
      <c r="E6999" s="6" t="s">
        <v>438</v>
      </c>
      <c r="F6999" s="6" t="str">
        <f>IF($M6999="PADD I","PADD 1",IF($M6999="PADD II","PADD 2",IF($M6999="PADD III","PADD 3",IF($M6999="PADD IV","PADD 4",IF($M6999="PADD V","PADD 5","")))))</f>
        <v>PADD 3</v>
      </c>
      <c r="G6999" s="6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6" t="s">
        <v>44</v>
      </c>
      <c r="I6999" s="6" t="s">
        <v>508</v>
      </c>
      <c r="J6999" s="6" t="s">
        <v>398</v>
      </c>
      <c r="K6999" s="10">
        <v>21</v>
      </c>
      <c r="L6999" s="10">
        <v>25</v>
      </c>
      <c r="M6999" s="6" t="s">
        <v>421</v>
      </c>
      <c r="N6999" s="6">
        <f>IF(OR($G6999="FCC",$G6999="Hydrocracker",$G6999="Reformer"),IF(COUNTIFS($D:$D,$D6999,$A:$A,$A6999,$B:$B,$B6999,$G:$G,"CDU",$J:$J,"PLANNED")&gt;0,"tied","standalone"),"")</f>
        <v/>
      </c>
    </row>
    <row r="7000" spans="1:14">
      <c r="A7000" s="6">
        <v>2026</v>
      </c>
      <c r="B7000" s="6">
        <v>1</v>
      </c>
      <c r="C7000" s="6" t="s">
        <v>60</v>
      </c>
      <c r="D7000" s="6" t="s">
        <v>437</v>
      </c>
      <c r="E7000" s="6" t="s">
        <v>438</v>
      </c>
      <c r="F7000" s="6" t="str">
        <f>IF($M7000="PADD I","PADD 1",IF($M7000="PADD II","PADD 2",IF($M7000="PADD III","PADD 3",IF($M7000="PADD IV","PADD 4",IF($M7000="PADD V","PADD 5","")))))</f>
        <v>PADD 3</v>
      </c>
      <c r="G7000" s="6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6" t="s">
        <v>39</v>
      </c>
      <c r="I7000" s="6" t="s">
        <v>439</v>
      </c>
      <c r="J7000" s="6" t="s">
        <v>398</v>
      </c>
      <c r="K7000" s="10">
        <v>20.4</v>
      </c>
      <c r="L7000" s="10">
        <v>30</v>
      </c>
      <c r="M7000" s="6" t="s">
        <v>421</v>
      </c>
      <c r="N7000" s="6">
        <f>IF(OR($G7000="FCC",$G7000="Hydrocracker",$G7000="Reformer"),IF(COUNTIFS($D:$D,$D7000,$A:$A,$A7000,$B:$B,$B7000,$G:$G,"CDU",$J:$J,"PLANNED")&gt;0,"tied","standalone"),"")</f>
        <v/>
      </c>
    </row>
    <row r="7001" spans="1:14">
      <c r="A7001" s="6">
        <v>2026</v>
      </c>
      <c r="B7001" s="6">
        <v>1</v>
      </c>
      <c r="C7001" s="6" t="s">
        <v>60</v>
      </c>
      <c r="D7001" s="6" t="s">
        <v>576</v>
      </c>
      <c r="E7001" s="6" t="s">
        <v>455</v>
      </c>
      <c r="F7001" s="6" t="str">
        <f>IF($M7001="PADD I","PADD 1",IF($M7001="PADD II","PADD 2",IF($M7001="PADD III","PADD 3",IF($M7001="PADD IV","PADD 4",IF($M7001="PADD V","PADD 5","")))))</f>
        <v>PADD 3</v>
      </c>
      <c r="G7001" s="6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6" t="s">
        <v>44</v>
      </c>
      <c r="I7001" s="6" t="s">
        <v>1126</v>
      </c>
      <c r="J7001" s="6" t="s">
        <v>398</v>
      </c>
      <c r="K7001" s="10">
        <v>19.74</v>
      </c>
      <c r="L7001" s="10">
        <v>47</v>
      </c>
      <c r="M7001" s="6" t="s">
        <v>421</v>
      </c>
      <c r="N7001" s="6">
        <f>IF(OR($G7001="FCC",$G7001="Hydrocracker",$G7001="Reformer"),IF(COUNTIFS($D:$D,$D7001,$A:$A,$A7001,$B:$B,$B7001,$G:$G,"CDU",$J:$J,"PLANNED")&gt;0,"tied","standalone"),"")</f>
        <v/>
      </c>
    </row>
    <row r="7002" spans="1:14">
      <c r="A7002" s="6">
        <v>2026</v>
      </c>
      <c r="B7002" s="6">
        <v>1</v>
      </c>
      <c r="C7002" s="6" t="s">
        <v>60</v>
      </c>
      <c r="D7002" s="6" t="s">
        <v>581</v>
      </c>
      <c r="E7002" s="6" t="s">
        <v>582</v>
      </c>
      <c r="F7002" s="6" t="str">
        <f>IF($M7002="PADD I","PADD 1",IF($M7002="PADD II","PADD 2",IF($M7002="PADD III","PADD 3",IF($M7002="PADD IV","PADD 4",IF($M7002="PADD V","PADD 5","")))))</f>
        <v>PADD 5</v>
      </c>
      <c r="G7002" s="6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6" t="s">
        <v>485</v>
      </c>
      <c r="I7002" s="6" t="s">
        <v>664</v>
      </c>
      <c r="J7002" s="6" t="s">
        <v>398</v>
      </c>
      <c r="K7002" s="10">
        <v>19.17</v>
      </c>
      <c r="L7002" s="10">
        <v>27</v>
      </c>
      <c r="M7002" s="6" t="s">
        <v>436</v>
      </c>
      <c r="N7002" s="6">
        <f>IF(OR($G7002="FCC",$G7002="Hydrocracker",$G7002="Reformer"),IF(COUNTIFS($D:$D,$D7002,$A:$A,$A7002,$B:$B,$B7002,$G:$G,"CDU",$J:$J,"PLANNED")&gt;0,"tied","standalone"),"")</f>
        <v/>
      </c>
    </row>
    <row r="7003" spans="1:14">
      <c r="A7003" s="6">
        <v>2026</v>
      </c>
      <c r="B7003" s="6">
        <v>1</v>
      </c>
      <c r="C7003" s="6" t="s">
        <v>60</v>
      </c>
      <c r="D7003" s="6" t="s">
        <v>726</v>
      </c>
      <c r="E7003" s="6" t="s">
        <v>727</v>
      </c>
      <c r="F7003" s="6" t="str">
        <f>IF($M7003="PADD I","PADD 1",IF($M7003="PADD II","PADD 2",IF($M7003="PADD III","PADD 3",IF($M7003="PADD IV","PADD 4",IF($M7003="PADD V","PADD 5","")))))</f>
        <v>PADD 1</v>
      </c>
      <c r="G7003" s="6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6" t="s">
        <v>39</v>
      </c>
      <c r="I7003" s="6" t="s">
        <v>728</v>
      </c>
      <c r="J7003" s="6" t="s">
        <v>394</v>
      </c>
      <c r="K7003" s="10">
        <v>17.6</v>
      </c>
      <c r="L7003" s="10">
        <v>110</v>
      </c>
      <c r="M7003" s="6" t="s">
        <v>463</v>
      </c>
      <c r="N7003" s="6">
        <f>IF(OR($G7003="FCC",$G7003="Hydrocracker",$G7003="Reformer"),IF(COUNTIFS($D:$D,$D7003,$A:$A,$A7003,$B:$B,$B7003,$G:$G,"CDU",$J:$J,"PLANNED")&gt;0,"tied","standalone"),"")</f>
        <v/>
      </c>
    </row>
    <row r="7004" spans="1:14">
      <c r="A7004" s="6">
        <v>2026</v>
      </c>
      <c r="B7004" s="6">
        <v>1</v>
      </c>
      <c r="C7004" s="6" t="s">
        <v>60</v>
      </c>
      <c r="D7004" s="6" t="s">
        <v>507</v>
      </c>
      <c r="E7004" s="6" t="s">
        <v>438</v>
      </c>
      <c r="F7004" s="6" t="str">
        <f>IF($M7004="PADD I","PADD 1",IF($M7004="PADD II","PADD 2",IF($M7004="PADD III","PADD 3",IF($M7004="PADD IV","PADD 4",IF($M7004="PADD V","PADD 5","")))))</f>
        <v>PADD 5</v>
      </c>
      <c r="G7004" s="6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6" t="s">
        <v>471</v>
      </c>
      <c r="I7004" s="6" t="s">
        <v>607</v>
      </c>
      <c r="J7004" s="6" t="s">
        <v>398</v>
      </c>
      <c r="K7004" s="10">
        <v>17.4</v>
      </c>
      <c r="L7004" s="10">
        <v>20</v>
      </c>
      <c r="M7004" s="6" t="s">
        <v>436</v>
      </c>
      <c r="N7004" s="6" t="str">
        <f>IF(OR($G7004="FCC",$G7004="Hydrocracker",$G7004="Reformer"),IF(COUNTIFS($D:$D,$D7004,$A:$A,$A7004,$B:$B,$B7004,$G:$G,"CDU",$J:$J,"PLANNED")&gt;0,"tied","standalone"),"")</f>
        <v>standalone</v>
      </c>
    </row>
    <row r="7005" spans="1:14">
      <c r="A7005" s="6">
        <v>2026</v>
      </c>
      <c r="B7005" s="6">
        <v>1</v>
      </c>
      <c r="C7005" s="6" t="s">
        <v>60</v>
      </c>
      <c r="D7005" s="6" t="s">
        <v>592</v>
      </c>
      <c r="E7005" s="6" t="s">
        <v>593</v>
      </c>
      <c r="F7005" s="6" t="str">
        <f>IF($M7005="PADD I","PADD 1",IF($M7005="PADD II","PADD 2",IF($M7005="PADD III","PADD 3",IF($M7005="PADD IV","PADD 4",IF($M7005="PADD V","PADD 5","")))))</f>
        <v>PADD 2</v>
      </c>
      <c r="G7005" s="6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6" t="s">
        <v>39</v>
      </c>
      <c r="I7005" s="6" t="s">
        <v>1165</v>
      </c>
      <c r="J7005" s="6" t="s">
        <v>394</v>
      </c>
      <c r="K7005" s="10">
        <v>17.1</v>
      </c>
      <c r="L7005" s="10">
        <v>90</v>
      </c>
      <c r="M7005" s="6" t="s">
        <v>425</v>
      </c>
      <c r="N7005" s="6">
        <f>IF(OR($G7005="FCC",$G7005="Hydrocracker",$G7005="Reformer"),IF(COUNTIFS($D:$D,$D7005,$A:$A,$A7005,$B:$B,$B7005,$G:$G,"CDU",$J:$J,"PLANNED")&gt;0,"tied","standalone"),"")</f>
        <v/>
      </c>
    </row>
    <row r="7006" spans="1:14">
      <c r="A7006" s="6">
        <v>2026</v>
      </c>
      <c r="B7006" s="6">
        <v>1</v>
      </c>
      <c r="C7006" s="6" t="s">
        <v>60</v>
      </c>
      <c r="D7006" s="6" t="s">
        <v>561</v>
      </c>
      <c r="E7006" s="6" t="s">
        <v>455</v>
      </c>
      <c r="F7006" s="6" t="str">
        <f>IF($M7006="PADD I","PADD 1",IF($M7006="PADD II","PADD 2",IF($M7006="PADD III","PADD 3",IF($M7006="PADD IV","PADD 4",IF($M7006="PADD V","PADD 5","")))))</f>
        <v>PADD 3</v>
      </c>
      <c r="G7006" s="6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6" t="s">
        <v>44</v>
      </c>
      <c r="I7006" s="6" t="s">
        <v>1396</v>
      </c>
      <c r="J7006" s="6" t="s">
        <v>398</v>
      </c>
      <c r="K7006" s="10">
        <v>16.25</v>
      </c>
      <c r="L7006" s="10">
        <v>25</v>
      </c>
      <c r="M7006" s="6" t="s">
        <v>421</v>
      </c>
      <c r="N7006" s="6">
        <f>IF(OR($G7006="FCC",$G7006="Hydrocracker",$G7006="Reformer"),IF(COUNTIFS($D:$D,$D7006,$A:$A,$A7006,$B:$B,$B7006,$G:$G,"CDU",$J:$J,"PLANNED")&gt;0,"tied","standalone"),"")</f>
        <v/>
      </c>
    </row>
    <row r="7007" spans="1:14">
      <c r="A7007" s="6">
        <v>2026</v>
      </c>
      <c r="B7007" s="6">
        <v>1</v>
      </c>
      <c r="C7007" s="6" t="s">
        <v>60</v>
      </c>
      <c r="D7007" s="6" t="s">
        <v>1054</v>
      </c>
      <c r="E7007" s="6" t="s">
        <v>431</v>
      </c>
      <c r="F7007" s="6" t="str">
        <f>IF($M7007="PADD I","PADD 1",IF($M7007="PADD II","PADD 2",IF($M7007="PADD III","PADD 3",IF($M7007="PADD IV","PADD 4",IF($M7007="PADD V","PADD 5","")))))</f>
        <v>PADD 3</v>
      </c>
      <c r="G7007" s="6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6" t="s">
        <v>428</v>
      </c>
      <c r="I7007" s="6" t="s">
        <v>836</v>
      </c>
      <c r="J7007" s="6" t="s">
        <v>394</v>
      </c>
      <c r="K7007" s="10">
        <v>16.1</v>
      </c>
      <c r="L7007" s="10">
        <v>161</v>
      </c>
      <c r="M7007" s="6" t="s">
        <v>421</v>
      </c>
      <c r="N7007" s="6">
        <f>IF(OR($G7007="FCC",$G7007="Hydrocracker",$G7007="Reformer"),IF(COUNTIFS($D:$D,$D7007,$A:$A,$A7007,$B:$B,$B7007,$G:$G,"CDU",$J:$J,"PLANNED")&gt;0,"tied","standalone"),"")</f>
        <v/>
      </c>
    </row>
    <row r="7008" spans="1:14">
      <c r="A7008" s="6">
        <v>2026</v>
      </c>
      <c r="B7008" s="6">
        <v>1</v>
      </c>
      <c r="C7008" s="6" t="s">
        <v>60</v>
      </c>
      <c r="D7008" s="6" t="s">
        <v>518</v>
      </c>
      <c r="E7008" s="6" t="s">
        <v>419</v>
      </c>
      <c r="F7008" s="6" t="str">
        <f>IF($M7008="PADD I","PADD 1",IF($M7008="PADD II","PADD 2",IF($M7008="PADD III","PADD 3",IF($M7008="PADD IV","PADD 4",IF($M7008="PADD V","PADD 5","")))))</f>
        <v>PADD 3</v>
      </c>
      <c r="G7008" s="6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6" t="s">
        <v>471</v>
      </c>
      <c r="I7008" s="6" t="s">
        <v>908</v>
      </c>
      <c r="J7008" s="6" t="s">
        <v>398</v>
      </c>
      <c r="K7008" s="10">
        <v>15.4</v>
      </c>
      <c r="L7008" s="10">
        <v>20</v>
      </c>
      <c r="M7008" s="6" t="s">
        <v>421</v>
      </c>
      <c r="N7008" s="6" t="str">
        <f>IF(OR($G7008="FCC",$G7008="Hydrocracker",$G7008="Reformer"),IF(COUNTIFS($D:$D,$D7008,$A:$A,$A7008,$B:$B,$B7008,$G:$G,"CDU",$J:$J,"PLANNED")&gt;0,"tied","standalone"),"")</f>
        <v>standalone</v>
      </c>
    </row>
    <row r="7009" spans="1:14">
      <c r="A7009" s="6">
        <v>2026</v>
      </c>
      <c r="B7009" s="6">
        <v>1</v>
      </c>
      <c r="C7009" s="6" t="s">
        <v>60</v>
      </c>
      <c r="D7009" s="6" t="s">
        <v>581</v>
      </c>
      <c r="E7009" s="6" t="s">
        <v>582</v>
      </c>
      <c r="F7009" s="6" t="str">
        <f>IF($M7009="PADD I","PADD 1",IF($M7009="PADD II","PADD 2",IF($M7009="PADD III","PADD 3",IF($M7009="PADD IV","PADD 4",IF($M7009="PADD V","PADD 5","")))))</f>
        <v>PADD 5</v>
      </c>
      <c r="G7009" s="6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6" t="s">
        <v>510</v>
      </c>
      <c r="I7009" s="6" t="s">
        <v>666</v>
      </c>
      <c r="J7009" s="6" t="s">
        <v>398</v>
      </c>
      <c r="K7009" s="10">
        <v>14.79</v>
      </c>
      <c r="L7009" s="10">
        <v>25.5</v>
      </c>
      <c r="M7009" s="6" t="s">
        <v>436</v>
      </c>
      <c r="N7009" s="6">
        <f>IF(OR($G7009="FCC",$G7009="Hydrocracker",$G7009="Reformer"),IF(COUNTIFS($D:$D,$D7009,$A:$A,$A7009,$B:$B,$B7009,$G:$G,"CDU",$J:$J,"PLANNED")&gt;0,"tied","standalone"),"")</f>
        <v/>
      </c>
    </row>
    <row r="7010" spans="1:14">
      <c r="A7010" s="6">
        <v>2026</v>
      </c>
      <c r="B7010" s="6">
        <v>1</v>
      </c>
      <c r="C7010" s="6" t="s">
        <v>60</v>
      </c>
      <c r="D7010" s="6" t="s">
        <v>518</v>
      </c>
      <c r="E7010" s="6" t="s">
        <v>419</v>
      </c>
      <c r="F7010" s="6" t="str">
        <f>IF($M7010="PADD I","PADD 1",IF($M7010="PADD II","PADD 2",IF($M7010="PADD III","PADD 3",IF($M7010="PADD IV","PADD 4",IF($M7010="PADD V","PADD 5","")))))</f>
        <v>PADD 3</v>
      </c>
      <c r="G7010" s="6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6" t="s">
        <v>426</v>
      </c>
      <c r="I7010" s="6" t="s">
        <v>519</v>
      </c>
      <c r="J7010" s="6" t="s">
        <v>394</v>
      </c>
      <c r="K7010" s="10">
        <v>14.4</v>
      </c>
      <c r="L7010" s="10">
        <v>30</v>
      </c>
      <c r="M7010" s="6" t="s">
        <v>421</v>
      </c>
      <c r="N7010" s="6" t="str">
        <f>IF(OR($G7010="FCC",$G7010="Hydrocracker",$G7010="Reformer"),IF(COUNTIFS($D:$D,$D7010,$A:$A,$A7010,$B:$B,$B7010,$G:$G,"CDU",$J:$J,"PLANNED")&gt;0,"tied","standalone"),"")</f>
        <v>standalone</v>
      </c>
    </row>
    <row r="7011" spans="1:14">
      <c r="A7011" s="6">
        <v>2026</v>
      </c>
      <c r="B7011" s="6">
        <v>1</v>
      </c>
      <c r="C7011" s="6" t="s">
        <v>60</v>
      </c>
      <c r="D7011" s="6" t="s">
        <v>984</v>
      </c>
      <c r="E7011" s="6" t="s">
        <v>438</v>
      </c>
      <c r="F7011" s="6" t="str">
        <f>IF($M7011="PADD I","PADD 1",IF($M7011="PADD II","PADD 2",IF($M7011="PADD III","PADD 3",IF($M7011="PADD IV","PADD 4",IF($M7011="PADD V","PADD 5","")))))</f>
        <v>PADD 3</v>
      </c>
      <c r="G7011" s="6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6" t="s">
        <v>428</v>
      </c>
      <c r="I7011" s="6" t="s">
        <v>1014</v>
      </c>
      <c r="J7011" s="6" t="s">
        <v>398</v>
      </c>
      <c r="K7011" s="10">
        <v>14.28</v>
      </c>
      <c r="L7011" s="10">
        <v>17</v>
      </c>
      <c r="M7011" s="6" t="s">
        <v>421</v>
      </c>
      <c r="N7011" s="6">
        <f>IF(OR($G7011="FCC",$G7011="Hydrocracker",$G7011="Reformer"),IF(COUNTIFS($D:$D,$D7011,$A:$A,$A7011,$B:$B,$B7011,$G:$G,"CDU",$J:$J,"PLANNED")&gt;0,"tied","standalone"),"")</f>
        <v/>
      </c>
    </row>
    <row r="7012" spans="1:14">
      <c r="A7012" s="6">
        <v>2026</v>
      </c>
      <c r="B7012" s="6">
        <v>1</v>
      </c>
      <c r="C7012" s="6" t="s">
        <v>60</v>
      </c>
      <c r="D7012" s="6" t="s">
        <v>561</v>
      </c>
      <c r="E7012" s="6" t="s">
        <v>455</v>
      </c>
      <c r="F7012" s="6" t="str">
        <f>IF($M7012="PADD I","PADD 1",IF($M7012="PADD II","PADD 2",IF($M7012="PADD III","PADD 3",IF($M7012="PADD IV","PADD 4",IF($M7012="PADD V","PADD 5","")))))</f>
        <v>PADD 3</v>
      </c>
      <c r="G7012" s="6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6" t="s">
        <v>510</v>
      </c>
      <c r="I7012" s="6" t="s">
        <v>511</v>
      </c>
      <c r="J7012" s="6" t="s">
        <v>398</v>
      </c>
      <c r="K7012" s="10">
        <v>14.2564</v>
      </c>
      <c r="L7012" s="10">
        <v>24.58</v>
      </c>
      <c r="M7012" s="6" t="s">
        <v>421</v>
      </c>
      <c r="N7012" s="6">
        <f>IF(OR($G7012="FCC",$G7012="Hydrocracker",$G7012="Reformer"),IF(COUNTIFS($D:$D,$D7012,$A:$A,$A7012,$B:$B,$B7012,$G:$G,"CDU",$J:$J,"PLANNED")&gt;0,"tied","standalone"),"")</f>
        <v/>
      </c>
    </row>
    <row r="7013" spans="1:14">
      <c r="A7013" s="6">
        <v>2026</v>
      </c>
      <c r="B7013" s="6">
        <v>1</v>
      </c>
      <c r="C7013" s="6" t="s">
        <v>60</v>
      </c>
      <c r="D7013" s="6" t="s">
        <v>52</v>
      </c>
      <c r="E7013" s="6" t="s">
        <v>441</v>
      </c>
      <c r="F7013" s="6" t="str">
        <f>IF($M7013="PADD I","PADD 1",IF($M7013="PADD II","PADD 2",IF($M7013="PADD III","PADD 3",IF($M7013="PADD IV","PADD 4",IF($M7013="PADD V","PADD 5","")))))</f>
        <v>PADD 5</v>
      </c>
      <c r="G7013" s="6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6" t="s">
        <v>44</v>
      </c>
      <c r="I7013" s="6" t="s">
        <v>909</v>
      </c>
      <c r="J7013" s="6" t="s">
        <v>394</v>
      </c>
      <c r="K7013" s="10">
        <v>14</v>
      </c>
      <c r="L7013" s="10">
        <v>14</v>
      </c>
      <c r="M7013" s="6" t="s">
        <v>436</v>
      </c>
      <c r="N7013" s="6">
        <f>IF(OR($G7013="FCC",$G7013="Hydrocracker",$G7013="Reformer"),IF(COUNTIFS($D:$D,$D7013,$A:$A,$A7013,$B:$B,$B7013,$G:$G,"CDU",$J:$J,"PLANNED")&gt;0,"tied","standalone"),"")</f>
        <v/>
      </c>
    </row>
    <row r="7014" spans="1:14">
      <c r="A7014" s="6">
        <v>2026</v>
      </c>
      <c r="B7014" s="6">
        <v>1</v>
      </c>
      <c r="C7014" s="6" t="s">
        <v>60</v>
      </c>
      <c r="D7014" s="6" t="s">
        <v>395</v>
      </c>
      <c r="E7014" s="6" t="s">
        <v>433</v>
      </c>
      <c r="F7014" s="6" t="str">
        <f>IF($M7014="PADD I","PADD 1",IF($M7014="PADD II","PADD 2",IF($M7014="PADD III","PADD 3",IF($M7014="PADD IV","PADD 4",IF($M7014="PADD V","PADD 5","")))))</f>
        <v>PADD 2</v>
      </c>
      <c r="G7014" s="6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6" t="s">
        <v>471</v>
      </c>
      <c r="I7014" s="6" t="s">
        <v>521</v>
      </c>
      <c r="J7014" s="6" t="s">
        <v>394</v>
      </c>
      <c r="K7014" s="10">
        <v>13.5</v>
      </c>
      <c r="L7014" s="10">
        <v>30</v>
      </c>
      <c r="M7014" s="6" t="s">
        <v>425</v>
      </c>
      <c r="N7014" s="6" t="str">
        <f>IF(OR($G7014="FCC",$G7014="Hydrocracker",$G7014="Reformer"),IF(COUNTIFS($D:$D,$D7014,$A:$A,$A7014,$B:$B,$B7014,$G:$G,"CDU",$J:$J,"PLANNED")&gt;0,"tied","standalone"),"")</f>
        <v>standalone</v>
      </c>
    </row>
    <row r="7015" spans="1:14">
      <c r="A7015" s="6">
        <v>2026</v>
      </c>
      <c r="B7015" s="6">
        <v>1</v>
      </c>
      <c r="C7015" s="6" t="s">
        <v>60</v>
      </c>
      <c r="D7015" s="6" t="s">
        <v>828</v>
      </c>
      <c r="E7015" s="6" t="s">
        <v>829</v>
      </c>
      <c r="F7015" s="6" t="str">
        <f>IF($M7015="PADD I","PADD 1",IF($M7015="PADD II","PADD 2",IF($M7015="PADD III","PADD 3",IF($M7015="PADD IV","PADD 4",IF($M7015="PADD V","PADD 5","")))))</f>
        <v>PADD 3</v>
      </c>
      <c r="G7015" s="6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6" t="s">
        <v>428</v>
      </c>
      <c r="I7015" s="6" t="s">
        <v>847</v>
      </c>
      <c r="J7015" s="6" t="s">
        <v>394</v>
      </c>
      <c r="K7015" s="10">
        <v>11.96</v>
      </c>
      <c r="L7015" s="10">
        <v>23</v>
      </c>
      <c r="M7015" s="6" t="s">
        <v>421</v>
      </c>
      <c r="N7015" s="6">
        <f>IF(OR($G7015="FCC",$G7015="Hydrocracker",$G7015="Reformer"),IF(COUNTIFS($D:$D,$D7015,$A:$A,$A7015,$B:$B,$B7015,$G:$G,"CDU",$J:$J,"PLANNED")&gt;0,"tied","standalone"),"")</f>
        <v/>
      </c>
    </row>
    <row r="7016" spans="1:14">
      <c r="A7016" s="6">
        <v>2026</v>
      </c>
      <c r="B7016" s="6">
        <v>1</v>
      </c>
      <c r="C7016" s="6" t="s">
        <v>60</v>
      </c>
      <c r="D7016" s="6" t="s">
        <v>725</v>
      </c>
      <c r="E7016" s="6" t="s">
        <v>502</v>
      </c>
      <c r="F7016" s="6" t="str">
        <f>IF($M7016="PADD I","PADD 1",IF($M7016="PADD II","PADD 2",IF($M7016="PADD III","PADD 3",IF($M7016="PADD IV","PADD 4",IF($M7016="PADD V","PADD 5","")))))</f>
        <v>PADD 2</v>
      </c>
      <c r="G7016" s="6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6" t="s">
        <v>44</v>
      </c>
      <c r="I7016" s="6" t="s">
        <v>1192</v>
      </c>
      <c r="J7016" s="6" t="s">
        <v>394</v>
      </c>
      <c r="K7016" s="10">
        <v>11.7</v>
      </c>
      <c r="L7016" s="10">
        <v>45</v>
      </c>
      <c r="M7016" s="6" t="s">
        <v>425</v>
      </c>
      <c r="N7016" s="6">
        <f>IF(OR($G7016="FCC",$G7016="Hydrocracker",$G7016="Reformer"),IF(COUNTIFS($D:$D,$D7016,$A:$A,$A7016,$B:$B,$B7016,$G:$G,"CDU",$J:$J,"PLANNED")&gt;0,"tied","standalone"),"")</f>
        <v/>
      </c>
    </row>
    <row r="7017" spans="1:14">
      <c r="A7017" s="6">
        <v>2026</v>
      </c>
      <c r="B7017" s="6">
        <v>1</v>
      </c>
      <c r="C7017" s="6" t="s">
        <v>60</v>
      </c>
      <c r="D7017" s="6" t="s">
        <v>597</v>
      </c>
      <c r="E7017" s="6" t="s">
        <v>441</v>
      </c>
      <c r="F7017" s="6" t="str">
        <f>IF($M7017="PADD I","PADD 1",IF($M7017="PADD II","PADD 2",IF($M7017="PADD III","PADD 3",IF($M7017="PADD IV","PADD 4",IF($M7017="PADD V","PADD 5","")))))</f>
        <v>PADD 5</v>
      </c>
      <c r="G7017" s="6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6" t="s">
        <v>471</v>
      </c>
      <c r="I7017" s="6" t="s">
        <v>1099</v>
      </c>
      <c r="J7017" s="6" t="s">
        <v>394</v>
      </c>
      <c r="K7017" s="10">
        <v>11.6</v>
      </c>
      <c r="L7017" s="10">
        <v>40</v>
      </c>
      <c r="M7017" s="6" t="s">
        <v>436</v>
      </c>
      <c r="N7017" s="6" t="str">
        <f>IF(OR($G7017="FCC",$G7017="Hydrocracker",$G7017="Reformer"),IF(COUNTIFS($D:$D,$D7017,$A:$A,$A7017,$B:$B,$B7017,$G:$G,"CDU",$J:$J,"PLANNED")&gt;0,"tied","standalone"),"")</f>
        <v>standalone</v>
      </c>
    </row>
    <row r="7018" spans="1:14">
      <c r="A7018" s="6">
        <v>2026</v>
      </c>
      <c r="B7018" s="6">
        <v>1</v>
      </c>
      <c r="C7018" s="6" t="s">
        <v>60</v>
      </c>
      <c r="D7018" s="6" t="s">
        <v>730</v>
      </c>
      <c r="E7018" s="6" t="s">
        <v>731</v>
      </c>
      <c r="F7018" s="6" t="str">
        <f>IF($M7018="PADD I","PADD 1",IF($M7018="PADD II","PADD 2",IF($M7018="PADD III","PADD 3",IF($M7018="PADD IV","PADD 4",IF($M7018="PADD V","PADD 5","")))))</f>
        <v>PADD 3</v>
      </c>
      <c r="G7018" s="6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6" t="s">
        <v>39</v>
      </c>
      <c r="I7018" s="6" t="s">
        <v>82</v>
      </c>
      <c r="J7018" s="6" t="s">
        <v>394</v>
      </c>
      <c r="K7018" s="10">
        <v>11.5</v>
      </c>
      <c r="L7018" s="10">
        <v>50</v>
      </c>
      <c r="M7018" s="6" t="s">
        <v>421</v>
      </c>
      <c r="N7018" s="6">
        <f>IF(OR($G7018="FCC",$G7018="Hydrocracker",$G7018="Reformer"),IF(COUNTIFS($D:$D,$D7018,$A:$A,$A7018,$B:$B,$B7018,$G:$G,"CDU",$J:$J,"PLANNED")&gt;0,"tied","standalone"),"")</f>
        <v/>
      </c>
    </row>
    <row r="7019" spans="1:14">
      <c r="A7019" s="6">
        <v>2026</v>
      </c>
      <c r="B7019" s="6">
        <v>1</v>
      </c>
      <c r="C7019" s="6" t="s">
        <v>60</v>
      </c>
      <c r="D7019" s="6" t="s">
        <v>51</v>
      </c>
      <c r="E7019" s="6" t="s">
        <v>431</v>
      </c>
      <c r="F7019" s="6" t="str">
        <f>IF($M7019="PADD I","PADD 1",IF($M7019="PADD II","PADD 2",IF($M7019="PADD III","PADD 3",IF($M7019="PADD IV","PADD 4",IF($M7019="PADD V","PADD 5","")))))</f>
        <v>PADD 3</v>
      </c>
      <c r="G7019" s="6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6" t="s">
        <v>39</v>
      </c>
      <c r="I7019" s="6" t="s">
        <v>390</v>
      </c>
      <c r="J7019" s="6" t="s">
        <v>394</v>
      </c>
      <c r="K7019" s="10">
        <v>11.5</v>
      </c>
      <c r="L7019" s="10">
        <v>115</v>
      </c>
      <c r="M7019" s="6" t="s">
        <v>421</v>
      </c>
      <c r="N7019" s="6">
        <f>IF(OR($G7019="FCC",$G7019="Hydrocracker",$G7019="Reformer"),IF(COUNTIFS($D:$D,$D7019,$A:$A,$A7019,$B:$B,$B7019,$G:$G,"CDU",$J:$J,"PLANNED")&gt;0,"tied","standalone"),"")</f>
        <v/>
      </c>
    </row>
    <row r="7020" spans="1:14">
      <c r="A7020" s="6">
        <v>2026</v>
      </c>
      <c r="B7020" s="6">
        <v>1</v>
      </c>
      <c r="C7020" s="6" t="s">
        <v>60</v>
      </c>
      <c r="D7020" s="6" t="s">
        <v>678</v>
      </c>
      <c r="E7020" s="6" t="s">
        <v>438</v>
      </c>
      <c r="F7020" s="6" t="str">
        <f>IF($M7020="PADD I","PADD 1",IF($M7020="PADD II","PADD 2",IF($M7020="PADD III","PADD 3",IF($M7020="PADD IV","PADD 4",IF($M7020="PADD V","PADD 5","")))))</f>
        <v>PADD 3</v>
      </c>
      <c r="G7020" s="6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6" t="s">
        <v>426</v>
      </c>
      <c r="I7020" s="6" t="s">
        <v>106</v>
      </c>
      <c r="J7020" s="6" t="s">
        <v>394</v>
      </c>
      <c r="K7020" s="10">
        <v>11.4</v>
      </c>
      <c r="L7020" s="10">
        <v>60</v>
      </c>
      <c r="M7020" s="6" t="s">
        <v>421</v>
      </c>
      <c r="N7020" s="6" t="str">
        <f>IF(OR($G7020="FCC",$G7020="Hydrocracker",$G7020="Reformer"),IF(COUNTIFS($D:$D,$D7020,$A:$A,$A7020,$B:$B,$B7020,$G:$G,"CDU",$J:$J,"PLANNED")&gt;0,"tied","standalone"),"")</f>
        <v>standalone</v>
      </c>
    </row>
    <row r="7021" spans="1:14">
      <c r="A7021" s="6">
        <v>2026</v>
      </c>
      <c r="B7021" s="6">
        <v>1</v>
      </c>
      <c r="C7021" s="6" t="s">
        <v>60</v>
      </c>
      <c r="D7021" s="6" t="s">
        <v>581</v>
      </c>
      <c r="E7021" s="6" t="s">
        <v>582</v>
      </c>
      <c r="F7021" s="6" t="str">
        <f>IF($M7021="PADD I","PADD 1",IF($M7021="PADD II","PADD 2",IF($M7021="PADD III","PADD 3",IF($M7021="PADD IV","PADD 4",IF($M7021="PADD V","PADD 5","")))))</f>
        <v>PADD 5</v>
      </c>
      <c r="G7021" s="6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6" t="s">
        <v>44</v>
      </c>
      <c r="I7021" s="6" t="s">
        <v>668</v>
      </c>
      <c r="J7021" s="6" t="s">
        <v>398</v>
      </c>
      <c r="K7021" s="10">
        <v>11</v>
      </c>
      <c r="L7021" s="10">
        <v>20</v>
      </c>
      <c r="M7021" s="6" t="s">
        <v>436</v>
      </c>
      <c r="N7021" s="6">
        <f>IF(OR($G7021="FCC",$G7021="Hydrocracker",$G7021="Reformer"),IF(COUNTIFS($D:$D,$D7021,$A:$A,$A7021,$B:$B,$B7021,$G:$G,"CDU",$J:$J,"PLANNED")&gt;0,"tied","standalone"),"")</f>
        <v/>
      </c>
    </row>
    <row r="7022" spans="1:14">
      <c r="A7022" s="6">
        <v>2026</v>
      </c>
      <c r="B7022" s="6">
        <v>1</v>
      </c>
      <c r="C7022" s="6" t="s">
        <v>60</v>
      </c>
      <c r="D7022" s="6" t="s">
        <v>576</v>
      </c>
      <c r="E7022" s="6" t="s">
        <v>455</v>
      </c>
      <c r="F7022" s="6" t="str">
        <f>IF($M7022="PADD I","PADD 1",IF($M7022="PADD II","PADD 2",IF($M7022="PADD III","PADD 3",IF($M7022="PADD IV","PADD 4",IF($M7022="PADD V","PADD 5","")))))</f>
        <v>PADD 3</v>
      </c>
      <c r="G7022" s="6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6" t="s">
        <v>494</v>
      </c>
      <c r="I7022" s="6" t="s">
        <v>400</v>
      </c>
      <c r="J7022" s="6" t="s">
        <v>398</v>
      </c>
      <c r="K7022" s="10">
        <v>10.83</v>
      </c>
      <c r="L7022" s="10">
        <v>57</v>
      </c>
      <c r="M7022" s="6" t="s">
        <v>421</v>
      </c>
      <c r="N7022" s="6" t="str">
        <f>IF(OR($G7022="FCC",$G7022="Hydrocracker",$G7022="Reformer"),IF(COUNTIFS($D:$D,$D7022,$A:$A,$A7022,$B:$B,$B7022,$G:$G,"CDU",$J:$J,"PLANNED")&gt;0,"tied","standalone"),"")</f>
        <v>tied</v>
      </c>
    </row>
    <row r="7023" spans="1:14">
      <c r="A7023" s="6">
        <v>2026</v>
      </c>
      <c r="B7023" s="6">
        <v>1</v>
      </c>
      <c r="C7023" s="6" t="s">
        <v>60</v>
      </c>
      <c r="D7023" s="6" t="s">
        <v>534</v>
      </c>
      <c r="E7023" s="6" t="s">
        <v>459</v>
      </c>
      <c r="F7023" s="6" t="str">
        <f>IF($M7023="PADD I","PADD 1",IF($M7023="PADD II","PADD 2",IF($M7023="PADD III","PADD 3",IF($M7023="PADD IV","PADD 4",IF($M7023="PADD V","PADD 5","")))))</f>
        <v>PADD 3</v>
      </c>
      <c r="G7023" s="6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6" t="s">
        <v>44</v>
      </c>
      <c r="I7023" s="6" t="s">
        <v>535</v>
      </c>
      <c r="J7023" s="6" t="s">
        <v>394</v>
      </c>
      <c r="K7023" s="10">
        <v>10.56</v>
      </c>
      <c r="L7023" s="10">
        <v>66</v>
      </c>
      <c r="M7023" s="6" t="s">
        <v>421</v>
      </c>
      <c r="N7023" s="6">
        <f>IF(OR($G7023="FCC",$G7023="Hydrocracker",$G7023="Reformer"),IF(COUNTIFS($D:$D,$D7023,$A:$A,$A7023,$B:$B,$B7023,$G:$G,"CDU",$J:$J,"PLANNED")&gt;0,"tied","standalone"),"")</f>
        <v/>
      </c>
    </row>
    <row r="7024" spans="1:14">
      <c r="A7024" s="6">
        <v>2026</v>
      </c>
      <c r="B7024" s="6">
        <v>1</v>
      </c>
      <c r="C7024" s="6" t="s">
        <v>60</v>
      </c>
      <c r="D7024" s="6" t="s">
        <v>380</v>
      </c>
      <c r="E7024" s="6" t="s">
        <v>423</v>
      </c>
      <c r="F7024" s="6" t="str">
        <f>IF($M7024="PADD I","PADD 1",IF($M7024="PADD II","PADD 2",IF($M7024="PADD III","PADD 3",IF($M7024="PADD IV","PADD 4",IF($M7024="PADD V","PADD 5","")))))</f>
        <v>PADD 2</v>
      </c>
      <c r="G7024" s="6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6" t="s">
        <v>39</v>
      </c>
      <c r="I7024" s="6" t="s">
        <v>381</v>
      </c>
      <c r="J7024" s="6" t="s">
        <v>394</v>
      </c>
      <c r="K7024" s="10">
        <v>10.32</v>
      </c>
      <c r="L7024" s="10">
        <v>172</v>
      </c>
      <c r="M7024" s="6" t="s">
        <v>425</v>
      </c>
      <c r="N7024" s="6">
        <f>IF(OR($G7024="FCC",$G7024="Hydrocracker",$G7024="Reformer"),IF(COUNTIFS($D:$D,$D7024,$A:$A,$A7024,$B:$B,$B7024,$G:$G,"CDU",$J:$J,"PLANNED")&gt;0,"tied","standalone"),"")</f>
        <v/>
      </c>
    </row>
    <row r="7025" spans="1:14">
      <c r="A7025" s="6">
        <v>2026</v>
      </c>
      <c r="B7025" s="6">
        <v>1</v>
      </c>
      <c r="C7025" s="6" t="s">
        <v>60</v>
      </c>
      <c r="D7025" s="6" t="s">
        <v>798</v>
      </c>
      <c r="E7025" s="6" t="s">
        <v>438</v>
      </c>
      <c r="F7025" s="6" t="str">
        <f>IF($M7025="PADD I","PADD 1",IF($M7025="PADD II","PADD 2",IF($M7025="PADD III","PADD 3",IF($M7025="PADD IV","PADD 4",IF($M7025="PADD V","PADD 5","")))))</f>
        <v>PADD 3</v>
      </c>
      <c r="G7025" s="6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6" t="s">
        <v>471</v>
      </c>
      <c r="I7025" s="6" t="s">
        <v>814</v>
      </c>
      <c r="J7025" s="6" t="s">
        <v>398</v>
      </c>
      <c r="K7025" s="10">
        <v>10.2</v>
      </c>
      <c r="L7025" s="10">
        <v>15</v>
      </c>
      <c r="M7025" s="6" t="s">
        <v>421</v>
      </c>
      <c r="N7025" s="6" t="str">
        <f>IF(OR($G7025="FCC",$G7025="Hydrocracker",$G7025="Reformer"),IF(COUNTIFS($D:$D,$D7025,$A:$A,$A7025,$B:$B,$B7025,$G:$G,"CDU",$J:$J,"PLANNED")&gt;0,"tied","standalone"),"")</f>
        <v>tied</v>
      </c>
    </row>
    <row r="7026" spans="1:14">
      <c r="A7026" s="6">
        <v>2026</v>
      </c>
      <c r="B7026" s="6">
        <v>1</v>
      </c>
      <c r="C7026" s="6" t="s">
        <v>60</v>
      </c>
      <c r="D7026" s="6" t="s">
        <v>51</v>
      </c>
      <c r="E7026" s="6" t="s">
        <v>431</v>
      </c>
      <c r="F7026" s="6" t="str">
        <f>IF($M7026="PADD I","PADD 1",IF($M7026="PADD II","PADD 2",IF($M7026="PADD III","PADD 3",IF($M7026="PADD IV","PADD 4",IF($M7026="PADD V","PADD 5","")))))</f>
        <v>PADD 3</v>
      </c>
      <c r="G7026" s="6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6" t="s">
        <v>39</v>
      </c>
      <c r="I7026" s="6" t="s">
        <v>390</v>
      </c>
      <c r="J7026" s="6" t="s">
        <v>398</v>
      </c>
      <c r="K7026" s="10">
        <v>9.5</v>
      </c>
      <c r="L7026" s="10">
        <v>95</v>
      </c>
      <c r="M7026" s="6" t="s">
        <v>421</v>
      </c>
      <c r="N7026" s="6">
        <f>IF(OR($G7026="FCC",$G7026="Hydrocracker",$G7026="Reformer"),IF(COUNTIFS($D:$D,$D7026,$A:$A,$A7026,$B:$B,$B7026,$G:$G,"CDU",$J:$J,"PLANNED")&gt;0,"tied","standalone"),"")</f>
        <v/>
      </c>
    </row>
    <row r="7027" spans="1:14">
      <c r="A7027" s="6">
        <v>2026</v>
      </c>
      <c r="B7027" s="6">
        <v>1</v>
      </c>
      <c r="C7027" s="6" t="s">
        <v>60</v>
      </c>
      <c r="D7027" s="6" t="s">
        <v>576</v>
      </c>
      <c r="E7027" s="6" t="s">
        <v>455</v>
      </c>
      <c r="F7027" s="6" t="str">
        <f>IF($M7027="PADD I","PADD 1",IF($M7027="PADD II","PADD 2",IF($M7027="PADD III","PADD 3",IF($M7027="PADD IV","PADD 4",IF($M7027="PADD V","PADD 5","")))))</f>
        <v>PADD 3</v>
      </c>
      <c r="G7027" s="6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6" t="s">
        <v>39</v>
      </c>
      <c r="I7027" s="6" t="s">
        <v>399</v>
      </c>
      <c r="J7027" s="6" t="s">
        <v>398</v>
      </c>
      <c r="K7027" s="10">
        <v>9.5</v>
      </c>
      <c r="L7027" s="10">
        <v>50</v>
      </c>
      <c r="M7027" s="6" t="s">
        <v>421</v>
      </c>
      <c r="N7027" s="6">
        <f>IF(OR($G7027="FCC",$G7027="Hydrocracker",$G7027="Reformer"),IF(COUNTIFS($D:$D,$D7027,$A:$A,$A7027,$B:$B,$B7027,$G:$G,"CDU",$J:$J,"PLANNED")&gt;0,"tied","standalone"),"")</f>
        <v/>
      </c>
    </row>
    <row r="7028" spans="1:14">
      <c r="A7028" s="6">
        <v>2026</v>
      </c>
      <c r="B7028" s="6">
        <v>1</v>
      </c>
      <c r="C7028" s="6" t="s">
        <v>60</v>
      </c>
      <c r="D7028" s="6" t="s">
        <v>1325</v>
      </c>
      <c r="E7028" s="6" t="s">
        <v>1326</v>
      </c>
      <c r="F7028" s="6" t="str">
        <f>IF($M7028="PADD I","PADD 1",IF($M7028="PADD II","PADD 2",IF($M7028="PADD III","PADD 3",IF($M7028="PADD IV","PADD 4",IF($M7028="PADD V","PADD 5","")))))</f>
        <v>PADD 3</v>
      </c>
      <c r="G7028" s="6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6" t="s">
        <v>39</v>
      </c>
      <c r="I7028" s="6" t="s">
        <v>82</v>
      </c>
      <c r="J7028" s="6" t="s">
        <v>398</v>
      </c>
      <c r="K7028" s="10">
        <v>9</v>
      </c>
      <c r="L7028" s="10">
        <v>20</v>
      </c>
      <c r="M7028" s="6" t="s">
        <v>421</v>
      </c>
      <c r="N7028" s="6">
        <f>IF(OR($G7028="FCC",$G7028="Hydrocracker",$G7028="Reformer"),IF(COUNTIFS($D:$D,$D7028,$A:$A,$A7028,$B:$B,$B7028,$G:$G,"CDU",$J:$J,"PLANNED")&gt;0,"tied","standalone"),"")</f>
        <v/>
      </c>
    </row>
    <row r="7029" spans="1:14">
      <c r="A7029" s="6">
        <v>2026</v>
      </c>
      <c r="B7029" s="6">
        <v>1</v>
      </c>
      <c r="C7029" s="6" t="s">
        <v>60</v>
      </c>
      <c r="D7029" s="6" t="s">
        <v>41</v>
      </c>
      <c r="E7029" s="6" t="s">
        <v>786</v>
      </c>
      <c r="F7029" s="6" t="str">
        <f>IF($M7029="PADD I","PADD 1",IF($M7029="PADD II","PADD 2",IF($M7029="PADD III","PADD 3",IF($M7029="PADD IV","PADD 4",IF($M7029="PADD V","PADD 5","")))))</f>
        <v>PADD 1</v>
      </c>
      <c r="G7029" s="6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6" t="s">
        <v>426</v>
      </c>
      <c r="I7029" s="6" t="s">
        <v>787</v>
      </c>
      <c r="J7029" s="6" t="s">
        <v>394</v>
      </c>
      <c r="K7029" s="10">
        <v>8.84</v>
      </c>
      <c r="L7029" s="10">
        <v>68</v>
      </c>
      <c r="M7029" s="6" t="s">
        <v>463</v>
      </c>
      <c r="N7029" s="6" t="str">
        <f>IF(OR($G7029="FCC",$G7029="Hydrocracker",$G7029="Reformer"),IF(COUNTIFS($D:$D,$D7029,$A:$A,$A7029,$B:$B,$B7029,$G:$G,"CDU",$J:$J,"PLANNED")&gt;0,"tied","standalone"),"")</f>
        <v>standalone</v>
      </c>
    </row>
    <row r="7030" spans="1:14">
      <c r="A7030" s="6">
        <v>2026</v>
      </c>
      <c r="B7030" s="6">
        <v>1</v>
      </c>
      <c r="C7030" s="6" t="s">
        <v>60</v>
      </c>
      <c r="D7030" s="6" t="s">
        <v>51</v>
      </c>
      <c r="E7030" s="6" t="s">
        <v>431</v>
      </c>
      <c r="F7030" s="6" t="str">
        <f>IF($M7030="PADD I","PADD 1",IF($M7030="PADD II","PADD 2",IF($M7030="PADD III","PADD 3",IF($M7030="PADD IV","PADD 4",IF($M7030="PADD V","PADD 5","")))))</f>
        <v>PADD 3</v>
      </c>
      <c r="G7030" s="6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6" t="s">
        <v>44</v>
      </c>
      <c r="I7030" s="6" t="s">
        <v>1379</v>
      </c>
      <c r="J7030" s="6" t="s">
        <v>398</v>
      </c>
      <c r="K7030" s="10">
        <v>8.800000000000001</v>
      </c>
      <c r="L7030" s="10">
        <v>55</v>
      </c>
      <c r="M7030" s="6" t="s">
        <v>421</v>
      </c>
      <c r="N7030" s="6">
        <f>IF(OR($G7030="FCC",$G7030="Hydrocracker",$G7030="Reformer"),IF(COUNTIFS($D:$D,$D7030,$A:$A,$A7030,$B:$B,$B7030,$G:$G,"CDU",$J:$J,"PLANNED")&gt;0,"tied","standalone"),"")</f>
        <v/>
      </c>
    </row>
    <row r="7031" spans="1:14">
      <c r="A7031" s="6">
        <v>2026</v>
      </c>
      <c r="B7031" s="6">
        <v>1</v>
      </c>
      <c r="C7031" s="6" t="s">
        <v>60</v>
      </c>
      <c r="D7031" s="6" t="s">
        <v>984</v>
      </c>
      <c r="E7031" s="6" t="s">
        <v>438</v>
      </c>
      <c r="F7031" s="6" t="str">
        <f>IF($M7031="PADD I","PADD 1",IF($M7031="PADD II","PADD 2",IF($M7031="PADD III","PADD 3",IF($M7031="PADD IV","PADD 4",IF($M7031="PADD V","PADD 5","")))))</f>
        <v>PADD 3</v>
      </c>
      <c r="G7031" s="6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6" t="s">
        <v>510</v>
      </c>
      <c r="I7031" s="6" t="s">
        <v>511</v>
      </c>
      <c r="J7031" s="6" t="s">
        <v>398</v>
      </c>
      <c r="K7031" s="10">
        <v>8.4</v>
      </c>
      <c r="L7031" s="10">
        <v>10</v>
      </c>
      <c r="M7031" s="6" t="s">
        <v>421</v>
      </c>
      <c r="N7031" s="6">
        <f>IF(OR($G7031="FCC",$G7031="Hydrocracker",$G7031="Reformer"),IF(COUNTIFS($D:$D,$D7031,$A:$A,$A7031,$B:$B,$B7031,$G:$G,"CDU",$J:$J,"PLANNED")&gt;0,"tied","standalone"),"")</f>
        <v/>
      </c>
    </row>
    <row r="7032" spans="1:14">
      <c r="A7032" s="6">
        <v>2026</v>
      </c>
      <c r="B7032" s="6">
        <v>1</v>
      </c>
      <c r="C7032" s="6" t="s">
        <v>60</v>
      </c>
      <c r="D7032" s="6" t="s">
        <v>465</v>
      </c>
      <c r="E7032" s="6" t="s">
        <v>466</v>
      </c>
      <c r="F7032" s="6" t="str">
        <f>IF($M7032="PADD I","PADD 1",IF($M7032="PADD II","PADD 2",IF($M7032="PADD III","PADD 3",IF($M7032="PADD IV","PADD 4",IF($M7032="PADD V","PADD 5","")))))</f>
        <v>PADD 3</v>
      </c>
      <c r="G7032" s="6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6" t="s">
        <v>471</v>
      </c>
      <c r="I7032" s="6" t="s">
        <v>504</v>
      </c>
      <c r="J7032" s="6" t="s">
        <v>394</v>
      </c>
      <c r="K7032" s="10">
        <v>8.32</v>
      </c>
      <c r="L7032" s="10">
        <v>52</v>
      </c>
      <c r="M7032" s="6" t="s">
        <v>421</v>
      </c>
      <c r="N7032" s="6" t="str">
        <f>IF(OR($G7032="FCC",$G7032="Hydrocracker",$G7032="Reformer"),IF(COUNTIFS($D:$D,$D7032,$A:$A,$A7032,$B:$B,$B7032,$G:$G,"CDU",$J:$J,"PLANNED")&gt;0,"tied","standalone"),"")</f>
        <v>standalone</v>
      </c>
    </row>
    <row r="7033" spans="1:14">
      <c r="A7033" s="6">
        <v>2026</v>
      </c>
      <c r="B7033" s="6">
        <v>1</v>
      </c>
      <c r="C7033" s="6" t="s">
        <v>60</v>
      </c>
      <c r="D7033" s="6" t="s">
        <v>540</v>
      </c>
      <c r="E7033" s="6" t="s">
        <v>541</v>
      </c>
      <c r="F7033" s="6" t="str">
        <f>IF($M7033="PADD I","PADD 1",IF($M7033="PADD II","PADD 2",IF($M7033="PADD III","PADD 3",IF($M7033="PADD IV","PADD 4",IF($M7033="PADD V","PADD 5","")))))</f>
        <v>PADD 3</v>
      </c>
      <c r="G7033" s="6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6" t="s">
        <v>39</v>
      </c>
      <c r="I7033" s="6" t="s">
        <v>1130</v>
      </c>
      <c r="J7033" s="6" t="s">
        <v>394</v>
      </c>
      <c r="K7033" s="10">
        <v>7.8</v>
      </c>
      <c r="L7033" s="10">
        <v>60</v>
      </c>
      <c r="M7033" s="6" t="s">
        <v>421</v>
      </c>
      <c r="N7033" s="6">
        <f>IF(OR($G7033="FCC",$G7033="Hydrocracker",$G7033="Reformer"),IF(COUNTIFS($D:$D,$D7033,$A:$A,$A7033,$B:$B,$B7033,$G:$G,"CDU",$J:$J,"PLANNED")&gt;0,"tied","standalone"),"")</f>
        <v/>
      </c>
    </row>
    <row r="7034" spans="1:14">
      <c r="A7034" s="6">
        <v>2026</v>
      </c>
      <c r="B7034" s="6">
        <v>1</v>
      </c>
      <c r="C7034" s="6" t="s">
        <v>60</v>
      </c>
      <c r="D7034" s="6" t="s">
        <v>437</v>
      </c>
      <c r="E7034" s="6" t="s">
        <v>438</v>
      </c>
      <c r="F7034" s="6" t="str">
        <f>IF($M7034="PADD I","PADD 1",IF($M7034="PADD II","PADD 2",IF($M7034="PADD III","PADD 3",IF($M7034="PADD IV","PADD 4",IF($M7034="PADD V","PADD 5","")))))</f>
        <v>PADD 3</v>
      </c>
      <c r="G7034" s="6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6" t="s">
        <v>471</v>
      </c>
      <c r="I7034" s="6" t="s">
        <v>493</v>
      </c>
      <c r="J7034" s="6" t="s">
        <v>394</v>
      </c>
      <c r="K7034" s="10">
        <v>7.75</v>
      </c>
      <c r="L7034" s="10">
        <v>77.5</v>
      </c>
      <c r="M7034" s="6" t="s">
        <v>421</v>
      </c>
      <c r="N7034" s="6" t="str">
        <f>IF(OR($G7034="FCC",$G7034="Hydrocracker",$G7034="Reformer"),IF(COUNTIFS($D:$D,$D7034,$A:$A,$A7034,$B:$B,$B7034,$G:$G,"CDU",$J:$J,"PLANNED")&gt;0,"tied","standalone"),"")</f>
        <v>tied</v>
      </c>
    </row>
    <row r="7035" spans="1:14">
      <c r="A7035" s="6">
        <v>2026</v>
      </c>
      <c r="B7035" s="6">
        <v>1</v>
      </c>
      <c r="C7035" s="6" t="s">
        <v>60</v>
      </c>
      <c r="D7035" s="6" t="s">
        <v>764</v>
      </c>
      <c r="E7035" s="6" t="s">
        <v>455</v>
      </c>
      <c r="F7035" s="6" t="str">
        <f>IF($M7035="PADD I","PADD 1",IF($M7035="PADD II","PADD 2",IF($M7035="PADD III","PADD 3",IF($M7035="PADD IV","PADD 4",IF($M7035="PADD V","PADD 5","")))))</f>
        <v>PADD 3</v>
      </c>
      <c r="G7035" s="6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6" t="s">
        <v>426</v>
      </c>
      <c r="I7035" s="6" t="s">
        <v>106</v>
      </c>
      <c r="J7035" s="6" t="s">
        <v>394</v>
      </c>
      <c r="K7035" s="10">
        <v>7.6</v>
      </c>
      <c r="L7035" s="10">
        <v>76</v>
      </c>
      <c r="M7035" s="6" t="s">
        <v>421</v>
      </c>
      <c r="N7035" s="6" t="str">
        <f>IF(OR($G7035="FCC",$G7035="Hydrocracker",$G7035="Reformer"),IF(COUNTIFS($D:$D,$D7035,$A:$A,$A7035,$B:$B,$B7035,$G:$G,"CDU",$J:$J,"PLANNED")&gt;0,"tied","standalone"),"")</f>
        <v>standalone</v>
      </c>
    </row>
    <row r="7036" spans="1:14">
      <c r="A7036" s="6">
        <v>2026</v>
      </c>
      <c r="B7036" s="6">
        <v>1</v>
      </c>
      <c r="C7036" s="6" t="s">
        <v>60</v>
      </c>
      <c r="D7036" s="6" t="s">
        <v>576</v>
      </c>
      <c r="E7036" s="6" t="s">
        <v>455</v>
      </c>
      <c r="F7036" s="6" t="str">
        <f>IF($M7036="PADD I","PADD 1",IF($M7036="PADD II","PADD 2",IF($M7036="PADD III","PADD 3",IF($M7036="PADD IV","PADD 4",IF($M7036="PADD V","PADD 5","")))))</f>
        <v>PADD 3</v>
      </c>
      <c r="G7036" s="6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6" t="s">
        <v>426</v>
      </c>
      <c r="I7036" s="6" t="s">
        <v>393</v>
      </c>
      <c r="J7036" s="6" t="s">
        <v>394</v>
      </c>
      <c r="K7036" s="10">
        <v>7.5</v>
      </c>
      <c r="L7036" s="10">
        <v>75</v>
      </c>
      <c r="M7036" s="6" t="s">
        <v>421</v>
      </c>
      <c r="N7036" s="6" t="str">
        <f>IF(OR($G7036="FCC",$G7036="Hydrocracker",$G7036="Reformer"),IF(COUNTIFS($D:$D,$D7036,$A:$A,$A7036,$B:$B,$B7036,$G:$G,"CDU",$J:$J,"PLANNED")&gt;0,"tied","standalone"),"")</f>
        <v>tied</v>
      </c>
    </row>
    <row r="7037" spans="1:14">
      <c r="A7037" s="6">
        <v>2026</v>
      </c>
      <c r="B7037" s="6">
        <v>1</v>
      </c>
      <c r="C7037" s="6" t="s">
        <v>60</v>
      </c>
      <c r="D7037" s="6" t="s">
        <v>52</v>
      </c>
      <c r="E7037" s="6" t="s">
        <v>441</v>
      </c>
      <c r="F7037" s="6" t="str">
        <f>IF($M7037="PADD I","PADD 1",IF($M7037="PADD II","PADD 2",IF($M7037="PADD III","PADD 3",IF($M7037="PADD IV","PADD 4",IF($M7037="PADD V","PADD 5","")))))</f>
        <v>PADD 5</v>
      </c>
      <c r="G7037" s="6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6" t="s">
        <v>44</v>
      </c>
      <c r="I7037" s="6" t="s">
        <v>1387</v>
      </c>
      <c r="J7037" s="6" t="s">
        <v>394</v>
      </c>
      <c r="K7037" s="10">
        <v>7.35</v>
      </c>
      <c r="L7037" s="10">
        <v>7.35</v>
      </c>
      <c r="M7037" s="6" t="s">
        <v>436</v>
      </c>
      <c r="N7037" s="6">
        <f>IF(OR($G7037="FCC",$G7037="Hydrocracker",$G7037="Reformer"),IF(COUNTIFS($D:$D,$D7037,$A:$A,$A7037,$B:$B,$B7037,$G:$G,"CDU",$J:$J,"PLANNED")&gt;0,"tied","standalone"),"")</f>
        <v/>
      </c>
    </row>
    <row r="7038" spans="1:14">
      <c r="A7038" s="6">
        <v>2026</v>
      </c>
      <c r="B7038" s="6">
        <v>1</v>
      </c>
      <c r="C7038" s="6" t="s">
        <v>60</v>
      </c>
      <c r="D7038" s="6" t="s">
        <v>52</v>
      </c>
      <c r="E7038" s="6" t="s">
        <v>441</v>
      </c>
      <c r="F7038" s="6" t="str">
        <f>IF($M7038="PADD I","PADD 1",IF($M7038="PADD II","PADD 2",IF($M7038="PADD III","PADD 3",IF($M7038="PADD IV","PADD 4",IF($M7038="PADD V","PADD 5","")))))</f>
        <v>PADD 5</v>
      </c>
      <c r="G7038" s="6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6" t="s">
        <v>44</v>
      </c>
      <c r="I7038" s="6" t="s">
        <v>1388</v>
      </c>
      <c r="J7038" s="6" t="s">
        <v>394</v>
      </c>
      <c r="K7038" s="10">
        <v>7</v>
      </c>
      <c r="L7038" s="10">
        <v>7</v>
      </c>
      <c r="M7038" s="6" t="s">
        <v>436</v>
      </c>
      <c r="N7038" s="6">
        <f>IF(OR($G7038="FCC",$G7038="Hydrocracker",$G7038="Reformer"),IF(COUNTIFS($D:$D,$D7038,$A:$A,$A7038,$B:$B,$B7038,$G:$G,"CDU",$J:$J,"PLANNED")&gt;0,"tied","standalone"),"")</f>
        <v/>
      </c>
    </row>
    <row r="7039" spans="1:14">
      <c r="A7039" s="6">
        <v>2026</v>
      </c>
      <c r="B7039" s="6">
        <v>1</v>
      </c>
      <c r="C7039" s="6" t="s">
        <v>60</v>
      </c>
      <c r="D7039" s="6" t="s">
        <v>507</v>
      </c>
      <c r="E7039" s="6" t="s">
        <v>438</v>
      </c>
      <c r="F7039" s="6" t="str">
        <f>IF($M7039="PADD I","PADD 1",IF($M7039="PADD II","PADD 2",IF($M7039="PADD III","PADD 3",IF($M7039="PADD IV","PADD 4",IF($M7039="PADD V","PADD 5","")))))</f>
        <v>PADD 5</v>
      </c>
      <c r="G7039" s="6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6" t="s">
        <v>426</v>
      </c>
      <c r="I7039" s="6" t="s">
        <v>106</v>
      </c>
      <c r="J7039" s="6" t="s">
        <v>394</v>
      </c>
      <c r="K7039" s="10">
        <v>6.24</v>
      </c>
      <c r="L7039" s="10">
        <v>104</v>
      </c>
      <c r="M7039" s="6" t="s">
        <v>436</v>
      </c>
      <c r="N7039" s="6" t="str">
        <f>IF(OR($G7039="FCC",$G7039="Hydrocracker",$G7039="Reformer"),IF(COUNTIFS($D:$D,$D7039,$A:$A,$A7039,$B:$B,$B7039,$G:$G,"CDU",$J:$J,"PLANNED")&gt;0,"tied","standalone"),"")</f>
        <v>standalone</v>
      </c>
    </row>
    <row r="7040" spans="1:14">
      <c r="A7040" s="6">
        <v>2026</v>
      </c>
      <c r="B7040" s="6">
        <v>1</v>
      </c>
      <c r="C7040" s="6" t="s">
        <v>60</v>
      </c>
      <c r="D7040" s="6" t="s">
        <v>1113</v>
      </c>
      <c r="E7040" s="6" t="s">
        <v>438</v>
      </c>
      <c r="F7040" s="6" t="str">
        <f>IF($M7040="PADD I","PADD 1",IF($M7040="PADD II","PADD 2",IF($M7040="PADD III","PADD 3",IF($M7040="PADD IV","PADD 4",IF($M7040="PADD V","PADD 5","")))))</f>
        <v>PADD 2</v>
      </c>
      <c r="G7040" s="6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6" t="s">
        <v>428</v>
      </c>
      <c r="I7040" s="6" t="s">
        <v>481</v>
      </c>
      <c r="J7040" s="6" t="s">
        <v>394</v>
      </c>
      <c r="K7040" s="10">
        <v>6.08</v>
      </c>
      <c r="L7040" s="10">
        <v>38</v>
      </c>
      <c r="M7040" s="6" t="s">
        <v>425</v>
      </c>
      <c r="N7040" s="6">
        <f>IF(OR($G7040="FCC",$G7040="Hydrocracker",$G7040="Reformer"),IF(COUNTIFS($D:$D,$D7040,$A:$A,$A7040,$B:$B,$B7040,$G:$G,"CDU",$J:$J,"PLANNED")&gt;0,"tied","standalone"),"")</f>
        <v/>
      </c>
    </row>
    <row r="7041" spans="1:14">
      <c r="A7041" s="6">
        <v>2026</v>
      </c>
      <c r="B7041" s="6">
        <v>1</v>
      </c>
      <c r="C7041" s="6" t="s">
        <v>60</v>
      </c>
      <c r="D7041" s="6" t="s">
        <v>576</v>
      </c>
      <c r="E7041" s="6" t="s">
        <v>455</v>
      </c>
      <c r="F7041" s="6" t="str">
        <f>IF($M7041="PADD I","PADD 1",IF($M7041="PADD II","PADD 2",IF($M7041="PADD III","PADD 3",IF($M7041="PADD IV","PADD 4",IF($M7041="PADD V","PADD 5","")))))</f>
        <v>PADD 3</v>
      </c>
      <c r="G7041" s="6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6" t="s">
        <v>39</v>
      </c>
      <c r="I7041" s="6" t="s">
        <v>691</v>
      </c>
      <c r="J7041" s="6" t="s">
        <v>394</v>
      </c>
      <c r="K7041" s="10">
        <v>5.46</v>
      </c>
      <c r="L7041" s="10">
        <v>42</v>
      </c>
      <c r="M7041" s="6" t="s">
        <v>421</v>
      </c>
      <c r="N7041" s="6">
        <f>IF(OR($G7041="FCC",$G7041="Hydrocracker",$G7041="Reformer"),IF(COUNTIFS($D:$D,$D7041,$A:$A,$A7041,$B:$B,$B7041,$G:$G,"CDU",$J:$J,"PLANNED")&gt;0,"tied","standalone"),"")</f>
        <v/>
      </c>
    </row>
    <row r="7042" spans="1:14">
      <c r="A7042" s="6">
        <v>2026</v>
      </c>
      <c r="B7042" s="6">
        <v>1</v>
      </c>
      <c r="C7042" s="6" t="s">
        <v>60</v>
      </c>
      <c r="D7042" s="6" t="s">
        <v>1010</v>
      </c>
      <c r="E7042" s="6" t="s">
        <v>931</v>
      </c>
      <c r="F7042" s="6" t="str">
        <f>IF($M7042="PADD I","PADD 1",IF($M7042="PADD II","PADD 2",IF($M7042="PADD III","PADD 3",IF($M7042="PADD IV","PADD 4",IF($M7042="PADD V","PADD 5","")))))</f>
        <v>PADD 3</v>
      </c>
      <c r="G7042" s="6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6" t="s">
        <v>39</v>
      </c>
      <c r="I7042" s="6" t="s">
        <v>1097</v>
      </c>
      <c r="J7042" s="6" t="s">
        <v>394</v>
      </c>
      <c r="K7042" s="10">
        <v>5.28</v>
      </c>
      <c r="L7042" s="10">
        <v>33</v>
      </c>
      <c r="M7042" s="6" t="s">
        <v>421</v>
      </c>
      <c r="N7042" s="6">
        <f>IF(OR($G7042="FCC",$G7042="Hydrocracker",$G7042="Reformer"),IF(COUNTIFS($D:$D,$D7042,$A:$A,$A7042,$B:$B,$B7042,$G:$G,"CDU",$J:$J,"PLANNED")&gt;0,"tied","standalone"),"")</f>
        <v/>
      </c>
    </row>
    <row r="7043" spans="1:14">
      <c r="A7043" s="6">
        <v>2026</v>
      </c>
      <c r="B7043" s="6">
        <v>1</v>
      </c>
      <c r="C7043" s="6" t="s">
        <v>60</v>
      </c>
      <c r="D7043" s="6" t="s">
        <v>382</v>
      </c>
      <c r="E7043" s="6" t="s">
        <v>431</v>
      </c>
      <c r="F7043" s="6" t="str">
        <f>IF($M7043="PADD I","PADD 1",IF($M7043="PADD II","PADD 2",IF($M7043="PADD III","PADD 3",IF($M7043="PADD IV","PADD 4",IF($M7043="PADD V","PADD 5","")))))</f>
        <v>PADD 3</v>
      </c>
      <c r="G7043" s="6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6" t="s">
        <v>39</v>
      </c>
      <c r="I7043" s="6" t="s">
        <v>587</v>
      </c>
      <c r="J7043" s="6" t="s">
        <v>394</v>
      </c>
      <c r="K7043" s="10">
        <v>5.2</v>
      </c>
      <c r="L7043" s="10">
        <v>40</v>
      </c>
      <c r="M7043" s="6" t="s">
        <v>421</v>
      </c>
      <c r="N7043" s="6">
        <f>IF(OR($G7043="FCC",$G7043="Hydrocracker",$G7043="Reformer"),IF(COUNTIFS($D:$D,$D7043,$A:$A,$A7043,$B:$B,$B7043,$G:$G,"CDU",$J:$J,"PLANNED")&gt;0,"tied","standalone"),"")</f>
        <v/>
      </c>
    </row>
    <row r="7044" spans="1:14">
      <c r="A7044" s="6">
        <v>2026</v>
      </c>
      <c r="B7044" s="6">
        <v>1</v>
      </c>
      <c r="C7044" s="6" t="s">
        <v>60</v>
      </c>
      <c r="D7044" s="6" t="s">
        <v>696</v>
      </c>
      <c r="E7044" s="6" t="s">
        <v>455</v>
      </c>
      <c r="F7044" s="6" t="str">
        <f>IF($M7044="PADD I","PADD 1",IF($M7044="PADD II","PADD 2",IF($M7044="PADD III","PADD 3",IF($M7044="PADD IV","PADD 4",IF($M7044="PADD V","PADD 5","")))))</f>
        <v>PADD 3</v>
      </c>
      <c r="G7044" s="6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6" t="s">
        <v>39</v>
      </c>
      <c r="I7044" s="6" t="s">
        <v>127</v>
      </c>
      <c r="J7044" s="6" t="s">
        <v>394</v>
      </c>
      <c r="K7044" s="10">
        <v>5.2</v>
      </c>
      <c r="L7044" s="10">
        <v>40</v>
      </c>
      <c r="M7044" s="6" t="s">
        <v>421</v>
      </c>
      <c r="N7044" s="6">
        <f>IF(OR($G7044="FCC",$G7044="Hydrocracker",$G7044="Reformer"),IF(COUNTIFS($D:$D,$D7044,$A:$A,$A7044,$B:$B,$B7044,$G:$G,"CDU",$J:$J,"PLANNED")&gt;0,"tied","standalone"),"")</f>
        <v/>
      </c>
    </row>
    <row r="7045" spans="1:14">
      <c r="A7045" s="6">
        <v>2026</v>
      </c>
      <c r="B7045" s="6">
        <v>1</v>
      </c>
      <c r="C7045" s="6" t="s">
        <v>60</v>
      </c>
      <c r="D7045" s="6" t="s">
        <v>518</v>
      </c>
      <c r="E7045" s="6" t="s">
        <v>419</v>
      </c>
      <c r="F7045" s="6" t="str">
        <f>IF($M7045="PADD I","PADD 1",IF($M7045="PADD II","PADD 2",IF($M7045="PADD III","PADD 3",IF($M7045="PADD IV","PADD 4",IF($M7045="PADD V","PADD 5","")))))</f>
        <v>PADD 3</v>
      </c>
      <c r="G7045" s="6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6" t="s">
        <v>39</v>
      </c>
      <c r="I7045" s="6" t="s">
        <v>611</v>
      </c>
      <c r="J7045" s="6" t="s">
        <v>394</v>
      </c>
      <c r="K7045" s="10">
        <v>5.2</v>
      </c>
      <c r="L7045" s="10">
        <v>40</v>
      </c>
      <c r="M7045" s="6" t="s">
        <v>421</v>
      </c>
      <c r="N7045" s="6">
        <f>IF(OR($G7045="FCC",$G7045="Hydrocracker",$G7045="Reformer"),IF(COUNTIFS($D:$D,$D7045,$A:$A,$A7045,$B:$B,$B7045,$G:$G,"CDU",$J:$J,"PLANNED")&gt;0,"tied","standalone"),"")</f>
        <v/>
      </c>
    </row>
    <row r="7046" spans="1:14">
      <c r="A7046" s="6">
        <v>2026</v>
      </c>
      <c r="B7046" s="6">
        <v>1</v>
      </c>
      <c r="C7046" s="6" t="s">
        <v>60</v>
      </c>
      <c r="D7046" s="6" t="s">
        <v>51</v>
      </c>
      <c r="E7046" s="6" t="s">
        <v>431</v>
      </c>
      <c r="F7046" s="6" t="str">
        <f>IF($M7046="PADD I","PADD 1",IF($M7046="PADD II","PADD 2",IF($M7046="PADD III","PADD 3",IF($M7046="PADD IV","PADD 4",IF($M7046="PADD V","PADD 5","")))))</f>
        <v>PADD 3</v>
      </c>
      <c r="G7046" s="6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6" t="s">
        <v>485</v>
      </c>
      <c r="I7046" s="6" t="s">
        <v>1322</v>
      </c>
      <c r="J7046" s="6" t="s">
        <v>398</v>
      </c>
      <c r="K7046" s="10">
        <v>5.15</v>
      </c>
      <c r="L7046" s="10">
        <v>51.5</v>
      </c>
      <c r="M7046" s="6" t="s">
        <v>421</v>
      </c>
      <c r="N7046" s="6">
        <f>IF(OR($G7046="FCC",$G7046="Hydrocracker",$G7046="Reformer"),IF(COUNTIFS($D:$D,$D7046,$A:$A,$A7046,$B:$B,$B7046,$G:$G,"CDU",$J:$J,"PLANNED")&gt;0,"tied","standalone"),"")</f>
        <v/>
      </c>
    </row>
    <row r="7047" spans="1:14">
      <c r="A7047" s="6">
        <v>2026</v>
      </c>
      <c r="B7047" s="6">
        <v>1</v>
      </c>
      <c r="C7047" s="6" t="s">
        <v>60</v>
      </c>
      <c r="D7047" s="6" t="s">
        <v>626</v>
      </c>
      <c r="E7047" s="6" t="s">
        <v>419</v>
      </c>
      <c r="F7047" s="6" t="str">
        <f>IF($M7047="PADD I","PADD 1",IF($M7047="PADD II","PADD 2",IF($M7047="PADD III","PADD 3",IF($M7047="PADD IV","PADD 4",IF($M7047="PADD V","PADD 5","")))))</f>
        <v>PADD 3</v>
      </c>
      <c r="G7047" s="6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6" t="s">
        <v>618</v>
      </c>
      <c r="I7047" s="6" t="s">
        <v>654</v>
      </c>
      <c r="J7047" s="6" t="s">
        <v>394</v>
      </c>
      <c r="K7047" s="10">
        <v>4.75</v>
      </c>
      <c r="L7047" s="10">
        <v>25</v>
      </c>
      <c r="M7047" s="6" t="s">
        <v>421</v>
      </c>
      <c r="N7047" s="6">
        <f>IF(OR($G7047="FCC",$G7047="Hydrocracker",$G7047="Reformer"),IF(COUNTIFS($D:$D,$D7047,$A:$A,$A7047,$B:$B,$B7047,$G:$G,"CDU",$J:$J,"PLANNED")&gt;0,"tied","standalone"),"")</f>
        <v/>
      </c>
    </row>
    <row r="7048" spans="1:14">
      <c r="A7048" s="6">
        <v>2026</v>
      </c>
      <c r="B7048" s="6">
        <v>1</v>
      </c>
      <c r="C7048" s="6" t="s">
        <v>60</v>
      </c>
      <c r="D7048" s="6" t="s">
        <v>712</v>
      </c>
      <c r="E7048" s="6" t="s">
        <v>602</v>
      </c>
      <c r="F7048" s="6" t="str">
        <f>IF($M7048="PADD I","PADD 1",IF($M7048="PADD II","PADD 2",IF($M7048="PADD III","PADD 3",IF($M7048="PADD IV","PADD 4",IF($M7048="PADD V","PADD 5","")))))</f>
        <v>PADD 3</v>
      </c>
      <c r="G7048" s="6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6" t="s">
        <v>510</v>
      </c>
      <c r="I7048" s="6" t="s">
        <v>666</v>
      </c>
      <c r="J7048" s="6" t="s">
        <v>394</v>
      </c>
      <c r="K7048" s="10">
        <v>4.7</v>
      </c>
      <c r="L7048" s="10">
        <v>5</v>
      </c>
      <c r="M7048" s="6" t="s">
        <v>421</v>
      </c>
      <c r="N7048" s="6">
        <f>IF(OR($G7048="FCC",$G7048="Hydrocracker",$G7048="Reformer"),IF(COUNTIFS($D:$D,$D7048,$A:$A,$A7048,$B:$B,$B7048,$G:$G,"CDU",$J:$J,"PLANNED")&gt;0,"tied","standalone"),"")</f>
        <v/>
      </c>
    </row>
    <row r="7049" spans="1:14">
      <c r="A7049" s="6">
        <v>2026</v>
      </c>
      <c r="B7049" s="6">
        <v>1</v>
      </c>
      <c r="C7049" s="6" t="s">
        <v>60</v>
      </c>
      <c r="D7049" s="6" t="s">
        <v>445</v>
      </c>
      <c r="E7049" s="6" t="s">
        <v>446</v>
      </c>
      <c r="F7049" s="6" t="str">
        <f>IF($M7049="PADD I","PADD 1",IF($M7049="PADD II","PADD 2",IF($M7049="PADD III","PADD 3",IF($M7049="PADD IV","PADD 4",IF($M7049="PADD V","PADD 5","")))))</f>
        <v>PADD 3</v>
      </c>
      <c r="G7049" s="6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6" t="s">
        <v>39</v>
      </c>
      <c r="I7049" s="6" t="s">
        <v>560</v>
      </c>
      <c r="J7049" s="6" t="s">
        <v>394</v>
      </c>
      <c r="K7049" s="10">
        <v>4.42</v>
      </c>
      <c r="L7049" s="10">
        <v>34</v>
      </c>
      <c r="M7049" s="6" t="s">
        <v>421</v>
      </c>
      <c r="N7049" s="6">
        <f>IF(OR($G7049="FCC",$G7049="Hydrocracker",$G7049="Reformer"),IF(COUNTIFS($D:$D,$D7049,$A:$A,$A7049,$B:$B,$B7049,$G:$G,"CDU",$J:$J,"PLANNED")&gt;0,"tied","standalone"),"")</f>
        <v/>
      </c>
    </row>
    <row r="7050" spans="1:14">
      <c r="A7050" s="6">
        <v>2026</v>
      </c>
      <c r="B7050" s="6">
        <v>1</v>
      </c>
      <c r="C7050" s="6" t="s">
        <v>60</v>
      </c>
      <c r="D7050" s="6" t="s">
        <v>1010</v>
      </c>
      <c r="E7050" s="6" t="s">
        <v>931</v>
      </c>
      <c r="F7050" s="6" t="str">
        <f>IF($M7050="PADD I","PADD 1",IF($M7050="PADD II","PADD 2",IF($M7050="PADD III","PADD 3",IF($M7050="PADD IV","PADD 4",IF($M7050="PADD V","PADD 5","")))))</f>
        <v>PADD 3</v>
      </c>
      <c r="G7050" s="6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6" t="s">
        <v>39</v>
      </c>
      <c r="I7050" s="6" t="s">
        <v>424</v>
      </c>
      <c r="J7050" s="6" t="s">
        <v>394</v>
      </c>
      <c r="K7050" s="10">
        <v>4.32</v>
      </c>
      <c r="L7050" s="10">
        <v>27</v>
      </c>
      <c r="M7050" s="6" t="s">
        <v>421</v>
      </c>
      <c r="N7050" s="6">
        <f>IF(OR($G7050="FCC",$G7050="Hydrocracker",$G7050="Reformer"),IF(COUNTIFS($D:$D,$D7050,$A:$A,$A7050,$B:$B,$B7050,$G:$G,"CDU",$J:$J,"PLANNED")&gt;0,"tied","standalone"),"")</f>
        <v/>
      </c>
    </row>
    <row r="7051" spans="1:14">
      <c r="A7051" s="6">
        <v>2026</v>
      </c>
      <c r="B7051" s="6">
        <v>1</v>
      </c>
      <c r="C7051" s="6" t="s">
        <v>60</v>
      </c>
      <c r="D7051" s="6" t="s">
        <v>52</v>
      </c>
      <c r="E7051" s="6" t="s">
        <v>441</v>
      </c>
      <c r="F7051" s="6" t="str">
        <f>IF($M7051="PADD I","PADD 1",IF($M7051="PADD II","PADD 2",IF($M7051="PADD III","PADD 3",IF($M7051="PADD IV","PADD 4",IF($M7051="PADD V","PADD 5","")))))</f>
        <v>PADD 5</v>
      </c>
      <c r="G7051" s="6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6" t="s">
        <v>44</v>
      </c>
      <c r="I7051" s="6" t="s">
        <v>1257</v>
      </c>
      <c r="J7051" s="6" t="s">
        <v>394</v>
      </c>
      <c r="K7051" s="10">
        <v>4.2</v>
      </c>
      <c r="L7051" s="10">
        <v>4.2</v>
      </c>
      <c r="M7051" s="6" t="s">
        <v>436</v>
      </c>
      <c r="N7051" s="6">
        <f>IF(OR($G7051="FCC",$G7051="Hydrocracker",$G7051="Reformer"),IF(COUNTIFS($D:$D,$D7051,$A:$A,$A7051,$B:$B,$B7051,$G:$G,"CDU",$J:$J,"PLANNED")&gt;0,"tied","standalone"),"")</f>
        <v/>
      </c>
    </row>
    <row r="7052" spans="1:14">
      <c r="A7052" s="6">
        <v>2026</v>
      </c>
      <c r="B7052" s="6">
        <v>1</v>
      </c>
      <c r="C7052" s="6" t="s">
        <v>60</v>
      </c>
      <c r="D7052" s="6" t="s">
        <v>380</v>
      </c>
      <c r="E7052" s="6" t="s">
        <v>423</v>
      </c>
      <c r="F7052" s="6" t="str">
        <f>IF($M7052="PADD I","PADD 1",IF($M7052="PADD II","PADD 2",IF($M7052="PADD III","PADD 3",IF($M7052="PADD IV","PADD 4",IF($M7052="PADD V","PADD 5","")))))</f>
        <v>PADD 2</v>
      </c>
      <c r="G7052" s="6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6" t="s">
        <v>44</v>
      </c>
      <c r="I7052" s="6" t="s">
        <v>960</v>
      </c>
      <c r="J7052" s="6" t="s">
        <v>394</v>
      </c>
      <c r="K7052" s="10">
        <v>3.78</v>
      </c>
      <c r="L7052" s="10">
        <v>63</v>
      </c>
      <c r="M7052" s="6" t="s">
        <v>425</v>
      </c>
      <c r="N7052" s="6">
        <f>IF(OR($G7052="FCC",$G7052="Hydrocracker",$G7052="Reformer"),IF(COUNTIFS($D:$D,$D7052,$A:$A,$A7052,$B:$B,$B7052,$G:$G,"CDU",$J:$J,"PLANNED")&gt;0,"tied","standalone"),"")</f>
        <v/>
      </c>
    </row>
    <row r="7053" spans="1:14">
      <c r="A7053" s="6">
        <v>2026</v>
      </c>
      <c r="B7053" s="6">
        <v>1</v>
      </c>
      <c r="C7053" s="6" t="s">
        <v>60</v>
      </c>
      <c r="D7053" s="6" t="s">
        <v>1110</v>
      </c>
      <c r="E7053" s="6" t="s">
        <v>1089</v>
      </c>
      <c r="F7053" s="6" t="str">
        <f>IF($M7053="PADD I","PADD 1",IF($M7053="PADD II","PADD 2",IF($M7053="PADD III","PADD 3",IF($M7053="PADD IV","PADD 4",IF($M7053="PADD V","PADD 5","")))))</f>
        <v>PADD 2</v>
      </c>
      <c r="G7053" s="6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6" t="s">
        <v>39</v>
      </c>
      <c r="I7053" s="6" t="s">
        <v>456</v>
      </c>
      <c r="J7053" s="6" t="s">
        <v>394</v>
      </c>
      <c r="K7053" s="10">
        <v>3.7</v>
      </c>
      <c r="L7053" s="10">
        <v>37</v>
      </c>
      <c r="M7053" s="6" t="s">
        <v>425</v>
      </c>
      <c r="N7053" s="6">
        <f>IF(OR($G7053="FCC",$G7053="Hydrocracker",$G7053="Reformer"),IF(COUNTIFS($D:$D,$D7053,$A:$A,$A7053,$B:$B,$B7053,$G:$G,"CDU",$J:$J,"PLANNED")&gt;0,"tied","standalone"),"")</f>
        <v/>
      </c>
    </row>
    <row r="7054" spans="1:14">
      <c r="A7054" s="6">
        <v>2026</v>
      </c>
      <c r="B7054" s="6">
        <v>1</v>
      </c>
      <c r="C7054" s="6" t="s">
        <v>60</v>
      </c>
      <c r="D7054" s="6" t="s">
        <v>465</v>
      </c>
      <c r="E7054" s="6" t="s">
        <v>466</v>
      </c>
      <c r="F7054" s="6" t="str">
        <f>IF($M7054="PADD I","PADD 1",IF($M7054="PADD II","PADD 2",IF($M7054="PADD III","PADD 3",IF($M7054="PADD IV","PADD 4",IF($M7054="PADD V","PADD 5","")))))</f>
        <v>PADD 3</v>
      </c>
      <c r="G7054" s="6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6" t="s">
        <v>39</v>
      </c>
      <c r="I7054" s="6" t="s">
        <v>134</v>
      </c>
      <c r="J7054" s="6" t="s">
        <v>394</v>
      </c>
      <c r="K7054" s="10">
        <v>3.64</v>
      </c>
      <c r="L7054" s="10">
        <v>28</v>
      </c>
      <c r="M7054" s="6" t="s">
        <v>421</v>
      </c>
      <c r="N7054" s="6">
        <f>IF(OR($G7054="FCC",$G7054="Hydrocracker",$G7054="Reformer"),IF(COUNTIFS($D:$D,$D7054,$A:$A,$A7054,$B:$B,$B7054,$G:$G,"CDU",$J:$J,"PLANNED")&gt;0,"tied","standalone"),"")</f>
        <v/>
      </c>
    </row>
    <row r="7055" spans="1:14">
      <c r="A7055" s="6">
        <v>2026</v>
      </c>
      <c r="B7055" s="6">
        <v>1</v>
      </c>
      <c r="C7055" s="6" t="s">
        <v>60</v>
      </c>
      <c r="D7055" s="6" t="s">
        <v>371</v>
      </c>
      <c r="E7055" s="6" t="s">
        <v>419</v>
      </c>
      <c r="F7055" s="6" t="str">
        <f>IF($M7055="PADD I","PADD 1",IF($M7055="PADD II","PADD 2",IF($M7055="PADD III","PADD 3",IF($M7055="PADD IV","PADD 4",IF($M7055="PADD V","PADD 5","")))))</f>
        <v>PADD 2</v>
      </c>
      <c r="G7055" s="6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6" t="s">
        <v>39</v>
      </c>
      <c r="I7055" s="6" t="s">
        <v>571</v>
      </c>
      <c r="J7055" s="6" t="s">
        <v>394</v>
      </c>
      <c r="K7055" s="10">
        <v>3.51</v>
      </c>
      <c r="L7055" s="10">
        <v>27</v>
      </c>
      <c r="M7055" s="6" t="s">
        <v>425</v>
      </c>
      <c r="N7055" s="6">
        <f>IF(OR($G7055="FCC",$G7055="Hydrocracker",$G7055="Reformer"),IF(COUNTIFS($D:$D,$D7055,$A:$A,$A7055,$B:$B,$B7055,$G:$G,"CDU",$J:$J,"PLANNED")&gt;0,"tied","standalone"),"")</f>
        <v/>
      </c>
    </row>
    <row r="7056" spans="1:14">
      <c r="A7056" s="6">
        <v>2026</v>
      </c>
      <c r="B7056" s="6">
        <v>1</v>
      </c>
      <c r="C7056" s="6" t="s">
        <v>60</v>
      </c>
      <c r="D7056" s="6" t="s">
        <v>764</v>
      </c>
      <c r="E7056" s="6" t="s">
        <v>455</v>
      </c>
      <c r="F7056" s="6" t="str">
        <f>IF($M7056="PADD I","PADD 1",IF($M7056="PADD II","PADD 2",IF($M7056="PADD III","PADD 3",IF($M7056="PADD IV","PADD 4",IF($M7056="PADD V","PADD 5","")))))</f>
        <v>PADD 3</v>
      </c>
      <c r="G7056" s="6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6" t="s">
        <v>44</v>
      </c>
      <c r="I7056" s="6" t="s">
        <v>508</v>
      </c>
      <c r="J7056" s="6" t="s">
        <v>394</v>
      </c>
      <c r="K7056" s="10">
        <v>3.4</v>
      </c>
      <c r="L7056" s="10">
        <v>34</v>
      </c>
      <c r="M7056" s="6" t="s">
        <v>421</v>
      </c>
      <c r="N7056" s="6">
        <f>IF(OR($G7056="FCC",$G7056="Hydrocracker",$G7056="Reformer"),IF(COUNTIFS($D:$D,$D7056,$A:$A,$A7056,$B:$B,$B7056,$G:$G,"CDU",$J:$J,"PLANNED")&gt;0,"tied","standalone"),"")</f>
        <v/>
      </c>
    </row>
    <row r="7057" spans="1:14">
      <c r="A7057" s="6">
        <v>2026</v>
      </c>
      <c r="B7057" s="6">
        <v>1</v>
      </c>
      <c r="C7057" s="6" t="s">
        <v>60</v>
      </c>
      <c r="D7057" s="6" t="s">
        <v>458</v>
      </c>
      <c r="E7057" s="6" t="s">
        <v>459</v>
      </c>
      <c r="F7057" s="6" t="str">
        <f>IF($M7057="PADD I","PADD 1",IF($M7057="PADD II","PADD 2",IF($M7057="PADD III","PADD 3",IF($M7057="PADD IV","PADD 4",IF($M7057="PADD V","PADD 5","")))))</f>
        <v>PADD 3</v>
      </c>
      <c r="G7057" s="6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6" t="s">
        <v>39</v>
      </c>
      <c r="I7057" s="6" t="s">
        <v>460</v>
      </c>
      <c r="J7057" s="6" t="s">
        <v>394</v>
      </c>
      <c r="K7057" s="10">
        <v>3.25</v>
      </c>
      <c r="L7057" s="10">
        <v>25</v>
      </c>
      <c r="M7057" s="6" t="s">
        <v>421</v>
      </c>
      <c r="N7057" s="6">
        <f>IF(OR($G7057="FCC",$G7057="Hydrocracker",$G7057="Reformer"),IF(COUNTIFS($D:$D,$D7057,$A:$A,$A7057,$B:$B,$B7057,$G:$G,"CDU",$J:$J,"PLANNED")&gt;0,"tied","standalone"),"")</f>
        <v/>
      </c>
    </row>
    <row r="7058" spans="1:14">
      <c r="A7058" s="6">
        <v>2026</v>
      </c>
      <c r="B7058" s="6">
        <v>1</v>
      </c>
      <c r="C7058" s="6" t="s">
        <v>60</v>
      </c>
      <c r="D7058" s="6" t="s">
        <v>430</v>
      </c>
      <c r="E7058" s="6" t="s">
        <v>431</v>
      </c>
      <c r="F7058" s="6" t="str">
        <f>IF($M7058="PADD I","PADD 1",IF($M7058="PADD II","PADD 2",IF($M7058="PADD III","PADD 3",IF($M7058="PADD IV","PADD 4",IF($M7058="PADD V","PADD 5","")))))</f>
        <v>PADD 3</v>
      </c>
      <c r="G7058" s="6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6" t="s">
        <v>39</v>
      </c>
      <c r="I7058" s="6" t="s">
        <v>432</v>
      </c>
      <c r="J7058" s="6" t="s">
        <v>394</v>
      </c>
      <c r="K7058" s="10">
        <v>3.25</v>
      </c>
      <c r="L7058" s="10">
        <v>25</v>
      </c>
      <c r="M7058" s="6" t="s">
        <v>421</v>
      </c>
      <c r="N7058" s="6">
        <f>IF(OR($G7058="FCC",$G7058="Hydrocracker",$G7058="Reformer"),IF(COUNTIFS($D:$D,$D7058,$A:$A,$A7058,$B:$B,$B7058,$G:$G,"CDU",$J:$J,"PLANNED")&gt;0,"tied","standalone"),"")</f>
        <v/>
      </c>
    </row>
    <row r="7059" spans="1:14">
      <c r="A7059" s="6">
        <v>2026</v>
      </c>
      <c r="B7059" s="6">
        <v>1</v>
      </c>
      <c r="C7059" s="6" t="s">
        <v>60</v>
      </c>
      <c r="D7059" s="6" t="s">
        <v>373</v>
      </c>
      <c r="E7059" s="6" t="s">
        <v>438</v>
      </c>
      <c r="F7059" s="6" t="str">
        <f>IF($M7059="PADD I","PADD 1",IF($M7059="PADD II","PADD 2",IF($M7059="PADD III","PADD 3",IF($M7059="PADD IV","PADD 4",IF($M7059="PADD V","PADD 5","")))))</f>
        <v>PADD 3</v>
      </c>
      <c r="G7059" s="6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6" t="s">
        <v>39</v>
      </c>
      <c r="I7059" s="6" t="s">
        <v>97</v>
      </c>
      <c r="J7059" s="6" t="s">
        <v>394</v>
      </c>
      <c r="K7059" s="10">
        <v>3.25</v>
      </c>
      <c r="L7059" s="10">
        <v>25</v>
      </c>
      <c r="M7059" s="6" t="s">
        <v>421</v>
      </c>
      <c r="N7059" s="6">
        <f>IF(OR($G7059="FCC",$G7059="Hydrocracker",$G7059="Reformer"),IF(COUNTIFS($D:$D,$D7059,$A:$A,$A7059,$B:$B,$B7059,$G:$G,"CDU",$J:$J,"PLANNED")&gt;0,"tied","standalone"),"")</f>
        <v/>
      </c>
    </row>
    <row r="7060" spans="1:14">
      <c r="A7060" s="6">
        <v>2026</v>
      </c>
      <c r="B7060" s="6">
        <v>1</v>
      </c>
      <c r="C7060" s="6" t="s">
        <v>60</v>
      </c>
      <c r="D7060" s="6" t="s">
        <v>824</v>
      </c>
      <c r="E7060" s="6" t="s">
        <v>825</v>
      </c>
      <c r="F7060" s="6" t="str">
        <f>IF($M7060="PADD I","PADD 1",IF($M7060="PADD II","PADD 2",IF($M7060="PADD III","PADD 3",IF($M7060="PADD IV","PADD 4",IF($M7060="PADD V","PADD 5","")))))</f>
        <v>PADD 1</v>
      </c>
      <c r="G7060" s="6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6" t="s">
        <v>44</v>
      </c>
      <c r="I7060" s="6" t="s">
        <v>1203</v>
      </c>
      <c r="J7060" s="6" t="s">
        <v>398</v>
      </c>
      <c r="K7060" s="10">
        <v>3.22</v>
      </c>
      <c r="L7060" s="10">
        <v>14</v>
      </c>
      <c r="M7060" s="6" t="s">
        <v>463</v>
      </c>
      <c r="N7060" s="6">
        <f>IF(OR($G7060="FCC",$G7060="Hydrocracker",$G7060="Reformer"),IF(COUNTIFS($D:$D,$D7060,$A:$A,$A7060,$B:$B,$B7060,$G:$G,"CDU",$J:$J,"PLANNED")&gt;0,"tied","standalone"),"")</f>
        <v/>
      </c>
    </row>
    <row r="7061" spans="1:14">
      <c r="A7061" s="6">
        <v>2026</v>
      </c>
      <c r="B7061" s="6">
        <v>1</v>
      </c>
      <c r="C7061" s="6" t="s">
        <v>60</v>
      </c>
      <c r="D7061" s="6" t="s">
        <v>380</v>
      </c>
      <c r="E7061" s="6" t="s">
        <v>423</v>
      </c>
      <c r="F7061" s="6" t="str">
        <f>IF($M7061="PADD I","PADD 1",IF($M7061="PADD II","PADD 2",IF($M7061="PADD III","PADD 3",IF($M7061="PADD IV","PADD 4",IF($M7061="PADD V","PADD 5","")))))</f>
        <v>PADD 2</v>
      </c>
      <c r="G7061" s="6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6" t="s">
        <v>428</v>
      </c>
      <c r="I7061" s="6" t="s">
        <v>481</v>
      </c>
      <c r="J7061" s="6" t="s">
        <v>394</v>
      </c>
      <c r="K7061" s="10">
        <v>3.12</v>
      </c>
      <c r="L7061" s="10">
        <v>52</v>
      </c>
      <c r="M7061" s="6" t="s">
        <v>425</v>
      </c>
      <c r="N7061" s="6">
        <f>IF(OR($G7061="FCC",$G7061="Hydrocracker",$G7061="Reformer"),IF(COUNTIFS($D:$D,$D7061,$A:$A,$A7061,$B:$B,$B7061,$G:$G,"CDU",$J:$J,"PLANNED")&gt;0,"tied","standalone"),"")</f>
        <v/>
      </c>
    </row>
    <row r="7062" spans="1:14">
      <c r="A7062" s="6">
        <v>2026</v>
      </c>
      <c r="B7062" s="6">
        <v>1</v>
      </c>
      <c r="C7062" s="6" t="s">
        <v>60</v>
      </c>
      <c r="D7062" s="6" t="s">
        <v>561</v>
      </c>
      <c r="E7062" s="6" t="s">
        <v>455</v>
      </c>
      <c r="F7062" s="6" t="str">
        <f>IF($M7062="PADD I","PADD 1",IF($M7062="PADD II","PADD 2",IF($M7062="PADD III","PADD 3",IF($M7062="PADD IV","PADD 4",IF($M7062="PADD V","PADD 5","")))))</f>
        <v>PADD 3</v>
      </c>
      <c r="G7062" s="6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6" t="s">
        <v>494</v>
      </c>
      <c r="I7062" s="6" t="s">
        <v>14</v>
      </c>
      <c r="J7062" s="6" t="s">
        <v>394</v>
      </c>
      <c r="K7062" s="10">
        <v>3</v>
      </c>
      <c r="L7062" s="10">
        <v>50</v>
      </c>
      <c r="M7062" s="6" t="s">
        <v>421</v>
      </c>
      <c r="N7062" s="6" t="str">
        <f>IF(OR($G7062="FCC",$G7062="Hydrocracker",$G7062="Reformer"),IF(COUNTIFS($D:$D,$D7062,$A:$A,$A7062,$B:$B,$B7062,$G:$G,"CDU",$J:$J,"PLANNED")&gt;0,"tied","standalone"),"")</f>
        <v>standalone</v>
      </c>
    </row>
    <row r="7063" spans="1:14">
      <c r="A7063" s="6">
        <v>2026</v>
      </c>
      <c r="B7063" s="6">
        <v>1</v>
      </c>
      <c r="C7063" s="6" t="s">
        <v>60</v>
      </c>
      <c r="D7063" s="6" t="s">
        <v>665</v>
      </c>
      <c r="E7063" s="6" t="s">
        <v>455</v>
      </c>
      <c r="F7063" s="6" t="str">
        <f>IF($M7063="PADD I","PADD 1",IF($M7063="PADD II","PADD 2",IF($M7063="PADD III","PADD 3",IF($M7063="PADD IV","PADD 4",IF($M7063="PADD V","PADD 5","")))))</f>
        <v>PADD 5</v>
      </c>
      <c r="G7063" s="6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6" t="s">
        <v>428</v>
      </c>
      <c r="I7063" s="6" t="s">
        <v>481</v>
      </c>
      <c r="J7063" s="6" t="s">
        <v>398</v>
      </c>
      <c r="K7063" s="10">
        <v>2.7885</v>
      </c>
      <c r="L7063" s="10">
        <v>21.45</v>
      </c>
      <c r="M7063" s="6" t="s">
        <v>436</v>
      </c>
      <c r="N7063" s="6">
        <f>IF(OR($G7063="FCC",$G7063="Hydrocracker",$G7063="Reformer"),IF(COUNTIFS($D:$D,$D7063,$A:$A,$A7063,$B:$B,$B7063,$G:$G,"CDU",$J:$J,"PLANNED")&gt;0,"tied","standalone"),"")</f>
        <v/>
      </c>
    </row>
    <row r="7064" spans="1:14">
      <c r="A7064" s="6">
        <v>2026</v>
      </c>
      <c r="B7064" s="6">
        <v>1</v>
      </c>
      <c r="C7064" s="6" t="s">
        <v>60</v>
      </c>
      <c r="D7064" s="6" t="s">
        <v>41</v>
      </c>
      <c r="E7064" s="6" t="s">
        <v>786</v>
      </c>
      <c r="F7064" s="6" t="str">
        <f>IF($M7064="PADD I","PADD 1",IF($M7064="PADD II","PADD 2",IF($M7064="PADD III","PADD 3",IF($M7064="PADD IV","PADD 4",IF($M7064="PADD V","PADD 5","")))))</f>
        <v>PADD 1</v>
      </c>
      <c r="G7064" s="6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6" t="s">
        <v>428</v>
      </c>
      <c r="I7064" s="6" t="s">
        <v>1059</v>
      </c>
      <c r="J7064" s="6" t="s">
        <v>394</v>
      </c>
      <c r="K7064" s="10">
        <v>2.6</v>
      </c>
      <c r="L7064" s="10">
        <v>26</v>
      </c>
      <c r="M7064" s="6" t="s">
        <v>463</v>
      </c>
      <c r="N7064" s="6">
        <f>IF(OR($G7064="FCC",$G7064="Hydrocracker",$G7064="Reformer"),IF(COUNTIFS($D:$D,$D7064,$A:$A,$A7064,$B:$B,$B7064,$G:$G,"CDU",$J:$J,"PLANNED")&gt;0,"tied","standalone"),"")</f>
        <v/>
      </c>
    </row>
    <row r="7065" spans="1:14">
      <c r="A7065" s="6">
        <v>2026</v>
      </c>
      <c r="B7065" s="6">
        <v>1</v>
      </c>
      <c r="C7065" s="6" t="s">
        <v>60</v>
      </c>
      <c r="D7065" s="6" t="s">
        <v>1010</v>
      </c>
      <c r="E7065" s="6" t="s">
        <v>931</v>
      </c>
      <c r="F7065" s="6" t="str">
        <f>IF($M7065="PADD I","PADD 1",IF($M7065="PADD II","PADD 2",IF($M7065="PADD III","PADD 3",IF($M7065="PADD IV","PADD 4",IF($M7065="PADD V","PADD 5","")))))</f>
        <v>PADD 3</v>
      </c>
      <c r="G7065" s="6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6" t="s">
        <v>44</v>
      </c>
      <c r="I7065" s="6" t="s">
        <v>1105</v>
      </c>
      <c r="J7065" s="6" t="s">
        <v>394</v>
      </c>
      <c r="K7065" s="10">
        <v>2.56</v>
      </c>
      <c r="L7065" s="10">
        <v>16</v>
      </c>
      <c r="M7065" s="6" t="s">
        <v>421</v>
      </c>
      <c r="N7065" s="6">
        <f>IF(OR($G7065="FCC",$G7065="Hydrocracker",$G7065="Reformer"),IF(COUNTIFS($D:$D,$D7065,$A:$A,$A7065,$B:$B,$B7065,$G:$G,"CDU",$J:$J,"PLANNED")&gt;0,"tied","standalone"),"")</f>
        <v/>
      </c>
    </row>
    <row r="7066" spans="1:14">
      <c r="A7066" s="6">
        <v>2026</v>
      </c>
      <c r="B7066" s="6">
        <v>1</v>
      </c>
      <c r="C7066" s="6" t="s">
        <v>60</v>
      </c>
      <c r="D7066" s="6" t="s">
        <v>725</v>
      </c>
      <c r="E7066" s="6" t="s">
        <v>502</v>
      </c>
      <c r="F7066" s="6" t="str">
        <f>IF($M7066="PADD I","PADD 1",IF($M7066="PADD II","PADD 2",IF($M7066="PADD III","PADD 3",IF($M7066="PADD IV","PADD 4",IF($M7066="PADD V","PADD 5","")))))</f>
        <v>PADD 2</v>
      </c>
      <c r="G7066" s="6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6" t="s">
        <v>39</v>
      </c>
      <c r="I7066" s="6" t="s">
        <v>82</v>
      </c>
      <c r="J7066" s="6" t="s">
        <v>394</v>
      </c>
      <c r="K7066" s="10">
        <v>2.56</v>
      </c>
      <c r="L7066" s="10">
        <v>16</v>
      </c>
      <c r="M7066" s="6" t="s">
        <v>425</v>
      </c>
      <c r="N7066" s="6">
        <f>IF(OR($G7066="FCC",$G7066="Hydrocracker",$G7066="Reformer"),IF(COUNTIFS($D:$D,$D7066,$A:$A,$A7066,$B:$B,$B7066,$G:$G,"CDU",$J:$J,"PLANNED")&gt;0,"tied","standalone"),"")</f>
        <v/>
      </c>
    </row>
    <row r="7067" spans="1:14">
      <c r="A7067" s="6">
        <v>2026</v>
      </c>
      <c r="B7067" s="6">
        <v>1</v>
      </c>
      <c r="C7067" s="6" t="s">
        <v>60</v>
      </c>
      <c r="D7067" s="6" t="s">
        <v>380</v>
      </c>
      <c r="E7067" s="6" t="s">
        <v>423</v>
      </c>
      <c r="F7067" s="6" t="str">
        <f>IF($M7067="PADD I","PADD 1",IF($M7067="PADD II","PADD 2",IF($M7067="PADD III","PADD 3",IF($M7067="PADD IV","PADD 4",IF($M7067="PADD V","PADD 5","")))))</f>
        <v>PADD 2</v>
      </c>
      <c r="G7067" s="6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6" t="s">
        <v>426</v>
      </c>
      <c r="I7067" s="6" t="s">
        <v>106</v>
      </c>
      <c r="J7067" s="6" t="s">
        <v>394</v>
      </c>
      <c r="K7067" s="10">
        <v>2.4</v>
      </c>
      <c r="L7067" s="10">
        <v>40</v>
      </c>
      <c r="M7067" s="6" t="s">
        <v>425</v>
      </c>
      <c r="N7067" s="6" t="str">
        <f>IF(OR($G7067="FCC",$G7067="Hydrocracker",$G7067="Reformer"),IF(COUNTIFS($D:$D,$D7067,$A:$A,$A7067,$B:$B,$B7067,$G:$G,"CDU",$J:$J,"PLANNED")&gt;0,"tied","standalone"),"")</f>
        <v>standalone</v>
      </c>
    </row>
    <row r="7068" spans="1:14">
      <c r="A7068" s="6">
        <v>2026</v>
      </c>
      <c r="B7068" s="6">
        <v>1</v>
      </c>
      <c r="C7068" s="6" t="s">
        <v>60</v>
      </c>
      <c r="D7068" s="6" t="s">
        <v>380</v>
      </c>
      <c r="E7068" s="6" t="s">
        <v>423</v>
      </c>
      <c r="F7068" s="6" t="str">
        <f>IF($M7068="PADD I","PADD 1",IF($M7068="PADD II","PADD 2",IF($M7068="PADD III","PADD 3",IF($M7068="PADD IV","PADD 4",IF($M7068="PADD V","PADD 5","")))))</f>
        <v>PADD 2</v>
      </c>
      <c r="G7068" s="6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6" t="s">
        <v>471</v>
      </c>
      <c r="I7068" s="6" t="s">
        <v>966</v>
      </c>
      <c r="J7068" s="6" t="s">
        <v>394</v>
      </c>
      <c r="K7068" s="10">
        <v>2.4</v>
      </c>
      <c r="L7068" s="10">
        <v>40</v>
      </c>
      <c r="M7068" s="6" t="s">
        <v>425</v>
      </c>
      <c r="N7068" s="6" t="str">
        <f>IF(OR($G7068="FCC",$G7068="Hydrocracker",$G7068="Reformer"),IF(COUNTIFS($D:$D,$D7068,$A:$A,$A7068,$B:$B,$B7068,$G:$G,"CDU",$J:$J,"PLANNED")&gt;0,"tied","standalone"),"")</f>
        <v>standalone</v>
      </c>
    </row>
    <row r="7069" spans="1:14">
      <c r="A7069" s="6">
        <v>2026</v>
      </c>
      <c r="B7069" s="6">
        <v>1</v>
      </c>
      <c r="C7069" s="6" t="s">
        <v>60</v>
      </c>
      <c r="D7069" s="6" t="s">
        <v>384</v>
      </c>
      <c r="E7069" s="6" t="s">
        <v>419</v>
      </c>
      <c r="F7069" s="6" t="str">
        <f>IF($M7069="PADD I","PADD 1",IF($M7069="PADD II","PADD 2",IF($M7069="PADD III","PADD 3",IF($M7069="PADD IV","PADD 4",IF($M7069="PADD V","PADD 5","")))))</f>
        <v>PADD 3</v>
      </c>
      <c r="G7069" s="6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6" t="s">
        <v>39</v>
      </c>
      <c r="I7069" s="6" t="s">
        <v>779</v>
      </c>
      <c r="J7069" s="6" t="s">
        <v>394</v>
      </c>
      <c r="K7069" s="10">
        <v>2.4</v>
      </c>
      <c r="L7069" s="10">
        <v>24</v>
      </c>
      <c r="M7069" s="6" t="s">
        <v>421</v>
      </c>
      <c r="N7069" s="6">
        <f>IF(OR($G7069="FCC",$G7069="Hydrocracker",$G7069="Reformer"),IF(COUNTIFS($D:$D,$D7069,$A:$A,$A7069,$B:$B,$B7069,$G:$G,"CDU",$J:$J,"PLANNED")&gt;0,"tied","standalone"),"")</f>
        <v/>
      </c>
    </row>
    <row r="7070" spans="1:14">
      <c r="A7070" s="6">
        <v>2026</v>
      </c>
      <c r="B7070" s="6">
        <v>1</v>
      </c>
      <c r="C7070" s="6" t="s">
        <v>60</v>
      </c>
      <c r="D7070" s="6" t="s">
        <v>597</v>
      </c>
      <c r="E7070" s="6" t="s">
        <v>441</v>
      </c>
      <c r="F7070" s="6" t="str">
        <f>IF($M7070="PADD I","PADD 1",IF($M7070="PADD II","PADD 2",IF($M7070="PADD III","PADD 3",IF($M7070="PADD IV","PADD 4",IF($M7070="PADD V","PADD 5","")))))</f>
        <v>PADD 5</v>
      </c>
      <c r="G7070" s="6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6" t="s">
        <v>471</v>
      </c>
      <c r="I7070" s="6" t="s">
        <v>1099</v>
      </c>
      <c r="J7070" s="6" t="s">
        <v>394</v>
      </c>
      <c r="K7070" s="10">
        <v>2.4</v>
      </c>
      <c r="L7070" s="10">
        <v>40</v>
      </c>
      <c r="M7070" s="6" t="s">
        <v>436</v>
      </c>
      <c r="N7070" s="6" t="str">
        <f>IF(OR($G7070="FCC",$G7070="Hydrocracker",$G7070="Reformer"),IF(COUNTIFS($D:$D,$D7070,$A:$A,$A7070,$B:$B,$B7070,$G:$G,"CDU",$J:$J,"PLANNED")&gt;0,"tied","standalone"),"")</f>
        <v>standalone</v>
      </c>
    </row>
    <row r="7071" spans="1:14">
      <c r="A7071" s="6">
        <v>2026</v>
      </c>
      <c r="B7071" s="6">
        <v>1</v>
      </c>
      <c r="C7071" s="6" t="s">
        <v>60</v>
      </c>
      <c r="D7071" s="6" t="s">
        <v>1325</v>
      </c>
      <c r="E7071" s="6" t="s">
        <v>1326</v>
      </c>
      <c r="F7071" s="6" t="str">
        <f>IF($M7071="PADD I","PADD 1",IF($M7071="PADD II","PADD 2",IF($M7071="PADD III","PADD 3",IF($M7071="PADD IV","PADD 4",IF($M7071="PADD V","PADD 5","")))))</f>
        <v>PADD 3</v>
      </c>
      <c r="G7071" s="6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6" t="s">
        <v>44</v>
      </c>
      <c r="I7071" s="6" t="s">
        <v>834</v>
      </c>
      <c r="J7071" s="6" t="s">
        <v>398</v>
      </c>
      <c r="K7071" s="10">
        <v>2.25</v>
      </c>
      <c r="L7071" s="10">
        <v>5</v>
      </c>
      <c r="M7071" s="6" t="s">
        <v>421</v>
      </c>
      <c r="N7071" s="6">
        <f>IF(OR($G7071="FCC",$G7071="Hydrocracker",$G7071="Reformer"),IF(COUNTIFS($D:$D,$D7071,$A:$A,$A7071,$B:$B,$B7071,$G:$G,"CDU",$J:$J,"PLANNED")&gt;0,"tied","standalone"),"")</f>
        <v/>
      </c>
    </row>
    <row r="7072" spans="1:14">
      <c r="A7072" s="6">
        <v>2026</v>
      </c>
      <c r="B7072" s="6">
        <v>1</v>
      </c>
      <c r="C7072" s="6" t="s">
        <v>60</v>
      </c>
      <c r="D7072" s="6" t="s">
        <v>1325</v>
      </c>
      <c r="E7072" s="6" t="s">
        <v>1326</v>
      </c>
      <c r="F7072" s="6" t="str">
        <f>IF($M7072="PADD I","PADD 1",IF($M7072="PADD II","PADD 2",IF($M7072="PADD III","PADD 3",IF($M7072="PADD IV","PADD 4",IF($M7072="PADD V","PADD 5","")))))</f>
        <v>PADD 3</v>
      </c>
      <c r="G7072" s="6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6" t="s">
        <v>618</v>
      </c>
      <c r="I7072" s="6" t="s">
        <v>763</v>
      </c>
      <c r="J7072" s="6" t="s">
        <v>398</v>
      </c>
      <c r="K7072" s="10">
        <v>2.25</v>
      </c>
      <c r="L7072" s="10">
        <v>5</v>
      </c>
      <c r="M7072" s="6" t="s">
        <v>421</v>
      </c>
      <c r="N7072" s="6">
        <f>IF(OR($G7072="FCC",$G7072="Hydrocracker",$G7072="Reformer"),IF(COUNTIFS($D:$D,$D7072,$A:$A,$A7072,$B:$B,$B7072,$G:$G,"CDU",$J:$J,"PLANNED")&gt;0,"tied","standalone"),"")</f>
        <v/>
      </c>
    </row>
    <row r="7073" spans="1:14">
      <c r="A7073" s="6">
        <v>2026</v>
      </c>
      <c r="B7073" s="6">
        <v>1</v>
      </c>
      <c r="C7073" s="6" t="s">
        <v>60</v>
      </c>
      <c r="D7073" s="6" t="s">
        <v>1010</v>
      </c>
      <c r="E7073" s="6" t="s">
        <v>931</v>
      </c>
      <c r="F7073" s="6" t="str">
        <f>IF($M7073="PADD I","PADD 1",IF($M7073="PADD II","PADD 2",IF($M7073="PADD III","PADD 3",IF($M7073="PADD IV","PADD 4",IF($M7073="PADD V","PADD 5","")))))</f>
        <v>PADD 3</v>
      </c>
      <c r="G7073" s="6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6" t="s">
        <v>44</v>
      </c>
      <c r="I7073" s="6" t="s">
        <v>834</v>
      </c>
      <c r="J7073" s="6" t="s">
        <v>394</v>
      </c>
      <c r="K7073" s="10">
        <v>2.24</v>
      </c>
      <c r="L7073" s="10">
        <v>14</v>
      </c>
      <c r="M7073" s="6" t="s">
        <v>421</v>
      </c>
      <c r="N7073" s="6">
        <f>IF(OR($G7073="FCC",$G7073="Hydrocracker",$G7073="Reformer"),IF(COUNTIFS($D:$D,$D7073,$A:$A,$A7073,$B:$B,$B7073,$G:$G,"CDU",$J:$J,"PLANNED")&gt;0,"tied","standalone"),"")</f>
        <v/>
      </c>
    </row>
    <row r="7074" spans="1:14">
      <c r="A7074" s="6">
        <v>2026</v>
      </c>
      <c r="B7074" s="6">
        <v>1</v>
      </c>
      <c r="C7074" s="6" t="s">
        <v>60</v>
      </c>
      <c r="D7074" s="6" t="s">
        <v>812</v>
      </c>
      <c r="E7074" s="6" t="s">
        <v>813</v>
      </c>
      <c r="F7074" s="6" t="str">
        <f>IF($M7074="PADD I","PADD 1",IF($M7074="PADD II","PADD 2",IF($M7074="PADD III","PADD 3",IF($M7074="PADD IV","PADD 4",IF($M7074="PADD V","PADD 5","")))))</f>
        <v>PADD 2</v>
      </c>
      <c r="G7074" s="6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6" t="s">
        <v>39</v>
      </c>
      <c r="I7074" s="6" t="s">
        <v>379</v>
      </c>
      <c r="J7074" s="6" t="s">
        <v>394</v>
      </c>
      <c r="K7074" s="10">
        <v>2.24</v>
      </c>
      <c r="L7074" s="10">
        <v>14</v>
      </c>
      <c r="M7074" s="6" t="s">
        <v>425</v>
      </c>
      <c r="N7074" s="6">
        <f>IF(OR($G7074="FCC",$G7074="Hydrocracker",$G7074="Reformer"),IF(COUNTIFS($D:$D,$D7074,$A:$A,$A7074,$B:$B,$B7074,$G:$G,"CDU",$J:$J,"PLANNED")&gt;0,"tied","standalone"),"")</f>
        <v/>
      </c>
    </row>
    <row r="7075" spans="1:14">
      <c r="A7075" s="6">
        <v>2026</v>
      </c>
      <c r="B7075" s="6">
        <v>1</v>
      </c>
      <c r="C7075" s="6" t="s">
        <v>60</v>
      </c>
      <c r="D7075" s="6" t="s">
        <v>984</v>
      </c>
      <c r="E7075" s="6" t="s">
        <v>438</v>
      </c>
      <c r="F7075" s="6" t="str">
        <f>IF($M7075="PADD I","PADD 1",IF($M7075="PADD II","PADD 2",IF($M7075="PADD III","PADD 3",IF($M7075="PADD IV","PADD 4",IF($M7075="PADD V","PADD 5","")))))</f>
        <v>PADD 3</v>
      </c>
      <c r="G7075" s="6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6" t="s">
        <v>618</v>
      </c>
      <c r="I7075" s="6" t="s">
        <v>1026</v>
      </c>
      <c r="J7075" s="6" t="s">
        <v>398</v>
      </c>
      <c r="K7075" s="10">
        <v>2.1</v>
      </c>
      <c r="L7075" s="10">
        <v>2.5</v>
      </c>
      <c r="M7075" s="6" t="s">
        <v>421</v>
      </c>
      <c r="N7075" s="6">
        <f>IF(OR($G7075="FCC",$G7075="Hydrocracker",$G7075="Reformer"),IF(COUNTIFS($D:$D,$D7075,$A:$A,$A7075,$B:$B,$B7075,$G:$G,"CDU",$J:$J,"PLANNED")&gt;0,"tied","standalone"),"")</f>
        <v/>
      </c>
    </row>
    <row r="7076" spans="1:14">
      <c r="A7076" s="6">
        <v>2026</v>
      </c>
      <c r="B7076" s="6">
        <v>1</v>
      </c>
      <c r="C7076" s="6" t="s">
        <v>60</v>
      </c>
      <c r="D7076" s="6" t="s">
        <v>380</v>
      </c>
      <c r="E7076" s="6" t="s">
        <v>423</v>
      </c>
      <c r="F7076" s="6" t="str">
        <f>IF($M7076="PADD I","PADD 1",IF($M7076="PADD II","PADD 2",IF($M7076="PADD III","PADD 3",IF($M7076="PADD IV","PADD 4",IF($M7076="PADD V","PADD 5","")))))</f>
        <v>PADD 2</v>
      </c>
      <c r="G7076" s="6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6" t="s">
        <v>44</v>
      </c>
      <c r="I7076" s="6" t="s">
        <v>508</v>
      </c>
      <c r="J7076" s="6" t="s">
        <v>394</v>
      </c>
      <c r="K7076" s="10">
        <v>2.1</v>
      </c>
      <c r="L7076" s="10">
        <v>35</v>
      </c>
      <c r="M7076" s="6" t="s">
        <v>425</v>
      </c>
      <c r="N7076" s="6">
        <f>IF(OR($G7076="FCC",$G7076="Hydrocracker",$G7076="Reformer"),IF(COUNTIFS($D:$D,$D7076,$A:$A,$A7076,$B:$B,$B7076,$G:$G,"CDU",$J:$J,"PLANNED")&gt;0,"tied","standalone"),"")</f>
        <v/>
      </c>
    </row>
    <row r="7077" spans="1:14">
      <c r="A7077" s="6">
        <v>2026</v>
      </c>
      <c r="B7077" s="6">
        <v>1</v>
      </c>
      <c r="C7077" s="6" t="s">
        <v>60</v>
      </c>
      <c r="D7077" s="6" t="s">
        <v>660</v>
      </c>
      <c r="E7077" s="6" t="s">
        <v>661</v>
      </c>
      <c r="F7077" s="6" t="str">
        <f>IF($M7077="PADD I","PADD 1",IF($M7077="PADD II","PADD 2",IF($M7077="PADD III","PADD 3",IF($M7077="PADD IV","PADD 4",IF($M7077="PADD V","PADD 5","")))))</f>
        <v>PADD 2</v>
      </c>
      <c r="G7077" s="6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6" t="s">
        <v>39</v>
      </c>
      <c r="I7077" s="6" t="s">
        <v>381</v>
      </c>
      <c r="J7077" s="6" t="s">
        <v>394</v>
      </c>
      <c r="K7077" s="10">
        <v>2.08</v>
      </c>
      <c r="L7077" s="10">
        <v>13</v>
      </c>
      <c r="M7077" s="6" t="s">
        <v>425</v>
      </c>
      <c r="N7077" s="6">
        <f>IF(OR($G7077="FCC",$G7077="Hydrocracker",$G7077="Reformer"),IF(COUNTIFS($D:$D,$D7077,$A:$A,$A7077,$B:$B,$B7077,$G:$G,"CDU",$J:$J,"PLANNED")&gt;0,"tied","standalone"),"")</f>
        <v/>
      </c>
    </row>
    <row r="7078" spans="1:14">
      <c r="A7078" s="6">
        <v>2026</v>
      </c>
      <c r="B7078" s="6">
        <v>1</v>
      </c>
      <c r="C7078" s="6" t="s">
        <v>60</v>
      </c>
      <c r="D7078" s="6" t="s">
        <v>812</v>
      </c>
      <c r="E7078" s="6" t="s">
        <v>813</v>
      </c>
      <c r="F7078" s="6" t="str">
        <f>IF($M7078="PADD I","PADD 1",IF($M7078="PADD II","PADD 2",IF($M7078="PADD III","PADD 3",IF($M7078="PADD IV","PADD 4",IF($M7078="PADD V","PADD 5","")))))</f>
        <v>PADD 2</v>
      </c>
      <c r="G7078" s="6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6" t="s">
        <v>426</v>
      </c>
      <c r="I7078" s="6" t="s">
        <v>106</v>
      </c>
      <c r="J7078" s="6" t="s">
        <v>394</v>
      </c>
      <c r="K7078" s="10">
        <v>2.05</v>
      </c>
      <c r="L7078" s="10">
        <v>20.5</v>
      </c>
      <c r="M7078" s="6" t="s">
        <v>425</v>
      </c>
      <c r="N7078" s="6" t="str">
        <f>IF(OR($G7078="FCC",$G7078="Hydrocracker",$G7078="Reformer"),IF(COUNTIFS($D:$D,$D7078,$A:$A,$A7078,$B:$B,$B7078,$G:$G,"CDU",$J:$J,"PLANNED")&gt;0,"tied","standalone"),"")</f>
        <v>standalone</v>
      </c>
    </row>
    <row r="7079" spans="1:14">
      <c r="A7079" s="6">
        <v>2026</v>
      </c>
      <c r="B7079" s="6">
        <v>1</v>
      </c>
      <c r="C7079" s="6" t="s">
        <v>60</v>
      </c>
      <c r="D7079" s="6" t="s">
        <v>1325</v>
      </c>
      <c r="E7079" s="6" t="s">
        <v>1326</v>
      </c>
      <c r="F7079" s="6" t="str">
        <f>IF($M7079="PADD I","PADD 1",IF($M7079="PADD II","PADD 2",IF($M7079="PADD III","PADD 3",IF($M7079="PADD IV","PADD 4",IF($M7079="PADD V","PADD 5","")))))</f>
        <v>PADD 3</v>
      </c>
      <c r="G7079" s="6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6" t="s">
        <v>44</v>
      </c>
      <c r="I7079" s="6" t="s">
        <v>543</v>
      </c>
      <c r="J7079" s="6" t="s">
        <v>398</v>
      </c>
      <c r="K7079" s="10">
        <v>2.025</v>
      </c>
      <c r="L7079" s="10">
        <v>4.5</v>
      </c>
      <c r="M7079" s="6" t="s">
        <v>421</v>
      </c>
      <c r="N7079" s="6">
        <f>IF(OR($G7079="FCC",$G7079="Hydrocracker",$G7079="Reformer"),IF(COUNTIFS($D:$D,$D7079,$A:$A,$A7079,$B:$B,$B7079,$G:$G,"CDU",$J:$J,"PLANNED")&gt;0,"tied","standalone"),"")</f>
        <v/>
      </c>
    </row>
    <row r="7080" spans="1:14">
      <c r="A7080" s="6">
        <v>2026</v>
      </c>
      <c r="B7080" s="6">
        <v>1</v>
      </c>
      <c r="C7080" s="6" t="s">
        <v>60</v>
      </c>
      <c r="D7080" s="6" t="s">
        <v>437</v>
      </c>
      <c r="E7080" s="6" t="s">
        <v>438</v>
      </c>
      <c r="F7080" s="6" t="str">
        <f>IF($M7080="PADD I","PADD 1",IF($M7080="PADD II","PADD 2",IF($M7080="PADD III","PADD 3",IF($M7080="PADD IV","PADD 4",IF($M7080="PADD V","PADD 5","")))))</f>
        <v>PADD 3</v>
      </c>
      <c r="G7080" s="6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6" t="s">
        <v>471</v>
      </c>
      <c r="I7080" s="6" t="s">
        <v>633</v>
      </c>
      <c r="J7080" s="6" t="s">
        <v>394</v>
      </c>
      <c r="K7080" s="10">
        <v>1.95</v>
      </c>
      <c r="L7080" s="10">
        <v>65</v>
      </c>
      <c r="M7080" s="6" t="s">
        <v>421</v>
      </c>
      <c r="N7080" s="6" t="str">
        <f>IF(OR($G7080="FCC",$G7080="Hydrocracker",$G7080="Reformer"),IF(COUNTIFS($D:$D,$D7080,$A:$A,$A7080,$B:$B,$B7080,$G:$G,"CDU",$J:$J,"PLANNED")&gt;0,"tied","standalone"),"")</f>
        <v>tied</v>
      </c>
    </row>
    <row r="7081" spans="1:14">
      <c r="A7081" s="6">
        <v>2026</v>
      </c>
      <c r="B7081" s="6">
        <v>1</v>
      </c>
      <c r="C7081" s="6" t="s">
        <v>60</v>
      </c>
      <c r="D7081" s="6" t="s">
        <v>806</v>
      </c>
      <c r="E7081" s="6" t="s">
        <v>807</v>
      </c>
      <c r="F7081" s="6" t="str">
        <f>IF($M7081="PADD I","PADD 1",IF($M7081="PADD II","PADD 2",IF($M7081="PADD III","PADD 3",IF($M7081="PADD IV","PADD 4",IF($M7081="PADD V","PADD 5","")))))</f>
        <v>PADD 3</v>
      </c>
      <c r="G7081" s="6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6" t="s">
        <v>39</v>
      </c>
      <c r="I7081" s="6" t="s">
        <v>82</v>
      </c>
      <c r="J7081" s="6" t="s">
        <v>394</v>
      </c>
      <c r="K7081" s="10">
        <v>1.95</v>
      </c>
      <c r="L7081" s="10">
        <v>15</v>
      </c>
      <c r="M7081" s="6" t="s">
        <v>421</v>
      </c>
      <c r="N7081" s="6">
        <f>IF(OR($G7081="FCC",$G7081="Hydrocracker",$G7081="Reformer"),IF(COUNTIFS($D:$D,$D7081,$A:$A,$A7081,$B:$B,$B7081,$G:$G,"CDU",$J:$J,"PLANNED")&gt;0,"tied","standalone"),"")</f>
        <v/>
      </c>
    </row>
    <row r="7082" spans="1:14">
      <c r="A7082" s="6">
        <v>2026</v>
      </c>
      <c r="B7082" s="6">
        <v>1</v>
      </c>
      <c r="C7082" s="6" t="s">
        <v>60</v>
      </c>
      <c r="D7082" s="6" t="s">
        <v>665</v>
      </c>
      <c r="E7082" s="6" t="s">
        <v>455</v>
      </c>
      <c r="F7082" s="6" t="str">
        <f>IF($M7082="PADD I","PADD 1",IF($M7082="PADD II","PADD 2",IF($M7082="PADD III","PADD 3",IF($M7082="PADD IV","PADD 4",IF($M7082="PADD V","PADD 5","")))))</f>
        <v>PADD 5</v>
      </c>
      <c r="G7082" s="6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6" t="s">
        <v>44</v>
      </c>
      <c r="I7082" s="6" t="s">
        <v>1358</v>
      </c>
      <c r="J7082" s="6" t="s">
        <v>398</v>
      </c>
      <c r="K7082" s="10">
        <v>1.9305</v>
      </c>
      <c r="L7082" s="10">
        <v>14.85</v>
      </c>
      <c r="M7082" s="6" t="s">
        <v>436</v>
      </c>
      <c r="N7082" s="6">
        <f>IF(OR($G7082="FCC",$G7082="Hydrocracker",$G7082="Reformer"),IF(COUNTIFS($D:$D,$D7082,$A:$A,$A7082,$B:$B,$B7082,$G:$G,"CDU",$J:$J,"PLANNED")&gt;0,"tied","standalone"),"")</f>
        <v/>
      </c>
    </row>
    <row r="7083" spans="1:14">
      <c r="A7083" s="6">
        <v>2026</v>
      </c>
      <c r="B7083" s="6">
        <v>1</v>
      </c>
      <c r="C7083" s="6" t="s">
        <v>60</v>
      </c>
      <c r="D7083" s="6" t="s">
        <v>380</v>
      </c>
      <c r="E7083" s="6" t="s">
        <v>423</v>
      </c>
      <c r="F7083" s="6" t="str">
        <f>IF($M7083="PADD I","PADD 1",IF($M7083="PADD II","PADD 2",IF($M7083="PADD III","PADD 3",IF($M7083="PADD IV","PADD 4",IF($M7083="PADD V","PADD 5","")))))</f>
        <v>PADD 2</v>
      </c>
      <c r="G7083" s="6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6" t="s">
        <v>485</v>
      </c>
      <c r="I7083" s="6" t="s">
        <v>491</v>
      </c>
      <c r="J7083" s="6" t="s">
        <v>394</v>
      </c>
      <c r="K7083" s="10">
        <v>1.878</v>
      </c>
      <c r="L7083" s="10">
        <v>31.3</v>
      </c>
      <c r="M7083" s="6" t="s">
        <v>425</v>
      </c>
      <c r="N7083" s="6">
        <f>IF(OR($G7083="FCC",$G7083="Hydrocracker",$G7083="Reformer"),IF(COUNTIFS($D:$D,$D7083,$A:$A,$A7083,$B:$B,$B7083,$G:$G,"CDU",$J:$J,"PLANNED")&gt;0,"tied","standalone"),"")</f>
        <v/>
      </c>
    </row>
    <row r="7084" spans="1:14">
      <c r="A7084" s="6">
        <v>2026</v>
      </c>
      <c r="B7084" s="6">
        <v>1</v>
      </c>
      <c r="C7084" s="6" t="s">
        <v>60</v>
      </c>
      <c r="D7084" s="6" t="s">
        <v>380</v>
      </c>
      <c r="E7084" s="6" t="s">
        <v>423</v>
      </c>
      <c r="F7084" s="6" t="str">
        <f>IF($M7084="PADD I","PADD 1",IF($M7084="PADD II","PADD 2",IF($M7084="PADD III","PADD 3",IF($M7084="PADD IV","PADD 4",IF($M7084="PADD V","PADD 5","")))))</f>
        <v>PADD 2</v>
      </c>
      <c r="G7084" s="6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6" t="s">
        <v>44</v>
      </c>
      <c r="I7084" s="6" t="s">
        <v>970</v>
      </c>
      <c r="J7084" s="6" t="s">
        <v>394</v>
      </c>
      <c r="K7084" s="10">
        <v>1.8</v>
      </c>
      <c r="L7084" s="10">
        <v>30</v>
      </c>
      <c r="M7084" s="6" t="s">
        <v>425</v>
      </c>
      <c r="N7084" s="6">
        <f>IF(OR($G7084="FCC",$G7084="Hydrocracker",$G7084="Reformer"),IF(COUNTIFS($D:$D,$D7084,$A:$A,$A7084,$B:$B,$B7084,$G:$G,"CDU",$J:$J,"PLANNED")&gt;0,"tied","standalone"),"")</f>
        <v/>
      </c>
    </row>
    <row r="7085" spans="1:14">
      <c r="A7085" s="6">
        <v>2026</v>
      </c>
      <c r="B7085" s="6">
        <v>1</v>
      </c>
      <c r="C7085" s="6" t="s">
        <v>60</v>
      </c>
      <c r="D7085" s="6" t="s">
        <v>665</v>
      </c>
      <c r="E7085" s="6" t="s">
        <v>455</v>
      </c>
      <c r="F7085" s="6" t="str">
        <f>IF($M7085="PADD I","PADD 1",IF($M7085="PADD II","PADD 2",IF($M7085="PADD III","PADD 3",IF($M7085="PADD IV","PADD 4",IF($M7085="PADD V","PADD 5","")))))</f>
        <v>PADD 5</v>
      </c>
      <c r="G7085" s="6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6" t="s">
        <v>44</v>
      </c>
      <c r="I7085" s="6" t="s">
        <v>1288</v>
      </c>
      <c r="J7085" s="6" t="s">
        <v>398</v>
      </c>
      <c r="K7085" s="10">
        <v>1.7589</v>
      </c>
      <c r="L7085" s="10">
        <v>13.53</v>
      </c>
      <c r="M7085" s="6" t="s">
        <v>436</v>
      </c>
      <c r="N7085" s="6">
        <f>IF(OR($G7085="FCC",$G7085="Hydrocracker",$G7085="Reformer"),IF(COUNTIFS($D:$D,$D7085,$A:$A,$A7085,$B:$B,$B7085,$G:$G,"CDU",$J:$J,"PLANNED")&gt;0,"tied","standalone"),"")</f>
        <v/>
      </c>
    </row>
    <row r="7086" spans="1:14">
      <c r="A7086" s="6">
        <v>2026</v>
      </c>
      <c r="B7086" s="6">
        <v>1</v>
      </c>
      <c r="C7086" s="6" t="s">
        <v>60</v>
      </c>
      <c r="D7086" s="6" t="s">
        <v>812</v>
      </c>
      <c r="E7086" s="6" t="s">
        <v>813</v>
      </c>
      <c r="F7086" s="6" t="str">
        <f>IF($M7086="PADD I","PADD 1",IF($M7086="PADD II","PADD 2",IF($M7086="PADD III","PADD 3",IF($M7086="PADD IV","PADD 4",IF($M7086="PADD V","PADD 5","")))))</f>
        <v>PADD 2</v>
      </c>
      <c r="G7086" s="6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6" t="s">
        <v>44</v>
      </c>
      <c r="I7086" s="6" t="s">
        <v>508</v>
      </c>
      <c r="J7086" s="6" t="s">
        <v>394</v>
      </c>
      <c r="K7086" s="10">
        <v>1.69</v>
      </c>
      <c r="L7086" s="10">
        <v>13</v>
      </c>
      <c r="M7086" s="6" t="s">
        <v>425</v>
      </c>
      <c r="N7086" s="6">
        <f>IF(OR($G7086="FCC",$G7086="Hydrocracker",$G7086="Reformer"),IF(COUNTIFS($D:$D,$D7086,$A:$A,$A7086,$B:$B,$B7086,$G:$G,"CDU",$J:$J,"PLANNED")&gt;0,"tied","standalone"),"")</f>
        <v/>
      </c>
    </row>
    <row r="7087" spans="1:14">
      <c r="A7087" s="6">
        <v>2026</v>
      </c>
      <c r="B7087" s="6">
        <v>1</v>
      </c>
      <c r="C7087" s="6" t="s">
        <v>60</v>
      </c>
      <c r="D7087" s="6" t="s">
        <v>928</v>
      </c>
      <c r="E7087" s="6" t="s">
        <v>502</v>
      </c>
      <c r="F7087" s="6" t="str">
        <f>IF($M7087="PADD I","PADD 1",IF($M7087="PADD II","PADD 2",IF($M7087="PADD III","PADD 3",IF($M7087="PADD IV","PADD 4",IF($M7087="PADD V","PADD 5","")))))</f>
        <v>PADD 2</v>
      </c>
      <c r="G7087" s="6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6" t="s">
        <v>485</v>
      </c>
      <c r="I7087" s="6" t="s">
        <v>491</v>
      </c>
      <c r="J7087" s="6" t="s">
        <v>394</v>
      </c>
      <c r="K7087" s="10">
        <v>1.615</v>
      </c>
      <c r="L7087" s="10">
        <v>8.5</v>
      </c>
      <c r="M7087" s="6" t="s">
        <v>425</v>
      </c>
      <c r="N7087" s="6">
        <f>IF(OR($G7087="FCC",$G7087="Hydrocracker",$G7087="Reformer"),IF(COUNTIFS($D:$D,$D7087,$A:$A,$A7087,$B:$B,$B7087,$G:$G,"CDU",$J:$J,"PLANNED")&gt;0,"tied","standalone"),"")</f>
        <v/>
      </c>
    </row>
    <row r="7088" spans="1:14">
      <c r="A7088" s="6">
        <v>2026</v>
      </c>
      <c r="B7088" s="6">
        <v>1</v>
      </c>
      <c r="C7088" s="6" t="s">
        <v>60</v>
      </c>
      <c r="D7088" s="6" t="s">
        <v>1113</v>
      </c>
      <c r="E7088" s="6" t="s">
        <v>438</v>
      </c>
      <c r="F7088" s="6" t="str">
        <f>IF($M7088="PADD I","PADD 1",IF($M7088="PADD II","PADD 2",IF($M7088="PADD III","PADD 3",IF($M7088="PADD IV","PADD 4",IF($M7088="PADD V","PADD 5","")))))</f>
        <v>PADD 2</v>
      </c>
      <c r="G7088" s="6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6" t="s">
        <v>44</v>
      </c>
      <c r="I7088" s="6" t="s">
        <v>1122</v>
      </c>
      <c r="J7088" s="6" t="s">
        <v>394</v>
      </c>
      <c r="K7088" s="10">
        <v>1.61</v>
      </c>
      <c r="L7088" s="10">
        <v>7</v>
      </c>
      <c r="M7088" s="6" t="s">
        <v>425</v>
      </c>
      <c r="N7088" s="6">
        <f>IF(OR($G7088="FCC",$G7088="Hydrocracker",$G7088="Reformer"),IF(COUNTIFS($D:$D,$D7088,$A:$A,$A7088,$B:$B,$B7088,$G:$G,"CDU",$J:$J,"PLANNED")&gt;0,"tied","standalone"),"")</f>
        <v/>
      </c>
    </row>
    <row r="7089" spans="1:14">
      <c r="A7089" s="6">
        <v>2026</v>
      </c>
      <c r="B7089" s="6">
        <v>1</v>
      </c>
      <c r="C7089" s="6" t="s">
        <v>60</v>
      </c>
      <c r="D7089" s="6" t="s">
        <v>534</v>
      </c>
      <c r="E7089" s="6" t="s">
        <v>459</v>
      </c>
      <c r="F7089" s="6" t="str">
        <f>IF($M7089="PADD I","PADD 1",IF($M7089="PADD II","PADD 2",IF($M7089="PADD III","PADD 3",IF($M7089="PADD IV","PADD 4",IF($M7089="PADD V","PADD 5","")))))</f>
        <v>PADD 3</v>
      </c>
      <c r="G7089" s="6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6" t="s">
        <v>44</v>
      </c>
      <c r="I7089" s="6" t="s">
        <v>543</v>
      </c>
      <c r="J7089" s="6" t="s">
        <v>394</v>
      </c>
      <c r="K7089" s="10">
        <v>1.6</v>
      </c>
      <c r="L7089" s="10">
        <v>10</v>
      </c>
      <c r="M7089" s="6" t="s">
        <v>421</v>
      </c>
      <c r="N7089" s="6">
        <f>IF(OR($G7089="FCC",$G7089="Hydrocracker",$G7089="Reformer"),IF(COUNTIFS($D:$D,$D7089,$A:$A,$A7089,$B:$B,$B7089,$G:$G,"CDU",$J:$J,"PLANNED")&gt;0,"tied","standalone"),"")</f>
        <v/>
      </c>
    </row>
    <row r="7090" spans="1:14">
      <c r="A7090" s="6">
        <v>2026</v>
      </c>
      <c r="B7090" s="6">
        <v>1</v>
      </c>
      <c r="C7090" s="6" t="s">
        <v>60</v>
      </c>
      <c r="D7090" s="6" t="s">
        <v>380</v>
      </c>
      <c r="E7090" s="6" t="s">
        <v>423</v>
      </c>
      <c r="F7090" s="6" t="str">
        <f>IF($M7090="PADD I","PADD 1",IF($M7090="PADD II","PADD 2",IF($M7090="PADD III","PADD 3",IF($M7090="PADD IV","PADD 4",IF($M7090="PADD V","PADD 5","")))))</f>
        <v>PADD 2</v>
      </c>
      <c r="G7090" s="6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6" t="s">
        <v>494</v>
      </c>
      <c r="I7090" s="6" t="s">
        <v>495</v>
      </c>
      <c r="J7090" s="6" t="s">
        <v>394</v>
      </c>
      <c r="K7090" s="10">
        <v>1.56</v>
      </c>
      <c r="L7090" s="10">
        <v>26</v>
      </c>
      <c r="M7090" s="6" t="s">
        <v>425</v>
      </c>
      <c r="N7090" s="6" t="str">
        <f>IF(OR($G7090="FCC",$G7090="Hydrocracker",$G7090="Reformer"),IF(COUNTIFS($D:$D,$D7090,$A:$A,$A7090,$B:$B,$B7090,$G:$G,"CDU",$J:$J,"PLANNED")&gt;0,"tied","standalone"),"")</f>
        <v>standalone</v>
      </c>
    </row>
    <row r="7091" spans="1:14">
      <c r="A7091" s="6">
        <v>2026</v>
      </c>
      <c r="B7091" s="6">
        <v>1</v>
      </c>
      <c r="C7091" s="6" t="s">
        <v>60</v>
      </c>
      <c r="D7091" s="6" t="s">
        <v>712</v>
      </c>
      <c r="E7091" s="6" t="s">
        <v>602</v>
      </c>
      <c r="F7091" s="6" t="str">
        <f>IF($M7091="PADD I","PADD 1",IF($M7091="PADD II","PADD 2",IF($M7091="PADD III","PADD 3",IF($M7091="PADD IV","PADD 4",IF($M7091="PADD V","PADD 5","")))))</f>
        <v>PADD 3</v>
      </c>
      <c r="G7091" s="6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6" t="s">
        <v>426</v>
      </c>
      <c r="I7091" s="6" t="s">
        <v>106</v>
      </c>
      <c r="J7091" s="6" t="s">
        <v>398</v>
      </c>
      <c r="K7091" s="10">
        <v>1.5</v>
      </c>
      <c r="L7091" s="10">
        <v>25</v>
      </c>
      <c r="M7091" s="6" t="s">
        <v>421</v>
      </c>
      <c r="N7091" s="6" t="str">
        <f>IF(OR($G7091="FCC",$G7091="Hydrocracker",$G7091="Reformer"),IF(COUNTIFS($D:$D,$D7091,$A:$A,$A7091,$B:$B,$B7091,$G:$G,"CDU",$J:$J,"PLANNED")&gt;0,"tied","standalone"),"")</f>
        <v>standalone</v>
      </c>
    </row>
    <row r="7092" spans="1:14">
      <c r="A7092" s="6">
        <v>2026</v>
      </c>
      <c r="B7092" s="6">
        <v>1</v>
      </c>
      <c r="C7092" s="6" t="s">
        <v>60</v>
      </c>
      <c r="D7092" s="6" t="s">
        <v>678</v>
      </c>
      <c r="E7092" s="6" t="s">
        <v>438</v>
      </c>
      <c r="F7092" s="6" t="str">
        <f>IF($M7092="PADD I","PADD 1",IF($M7092="PADD II","PADD 2",IF($M7092="PADD III","PADD 3",IF($M7092="PADD IV","PADD 4",IF($M7092="PADD V","PADD 5","")))))</f>
        <v>PADD 3</v>
      </c>
      <c r="G7092" s="6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6" t="s">
        <v>39</v>
      </c>
      <c r="I7092" s="6" t="s">
        <v>1098</v>
      </c>
      <c r="J7092" s="6" t="s">
        <v>394</v>
      </c>
      <c r="K7092" s="10">
        <v>1.44</v>
      </c>
      <c r="L7092" s="10">
        <v>9</v>
      </c>
      <c r="M7092" s="6" t="s">
        <v>421</v>
      </c>
      <c r="N7092" s="6">
        <f>IF(OR($G7092="FCC",$G7092="Hydrocracker",$G7092="Reformer"),IF(COUNTIFS($D:$D,$D7092,$A:$A,$A7092,$B:$B,$B7092,$G:$G,"CDU",$J:$J,"PLANNED")&gt;0,"tied","standalone"),"")</f>
        <v/>
      </c>
    </row>
    <row r="7093" spans="1:14">
      <c r="A7093" s="6">
        <v>2026</v>
      </c>
      <c r="B7093" s="6">
        <v>1</v>
      </c>
      <c r="C7093" s="6" t="s">
        <v>60</v>
      </c>
      <c r="D7093" s="6" t="s">
        <v>581</v>
      </c>
      <c r="E7093" s="6" t="s">
        <v>582</v>
      </c>
      <c r="F7093" s="6" t="str">
        <f>IF($M7093="PADD I","PADD 1",IF($M7093="PADD II","PADD 2",IF($M7093="PADD III","PADD 3",IF($M7093="PADD IV","PADD 4",IF($M7093="PADD V","PADD 5","")))))</f>
        <v>PADD 5</v>
      </c>
      <c r="G7093" s="6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6" t="s">
        <v>494</v>
      </c>
      <c r="I7093" s="6" t="s">
        <v>14</v>
      </c>
      <c r="J7093" s="6" t="s">
        <v>394</v>
      </c>
      <c r="K7093" s="10">
        <v>1.44</v>
      </c>
      <c r="L7093" s="10">
        <v>24</v>
      </c>
      <c r="M7093" s="6" t="s">
        <v>436</v>
      </c>
      <c r="N7093" s="6" t="str">
        <f>IF(OR($G7093="FCC",$G7093="Hydrocracker",$G7093="Reformer"),IF(COUNTIFS($D:$D,$D7093,$A:$A,$A7093,$B:$B,$B7093,$G:$G,"CDU",$J:$J,"PLANNED")&gt;0,"tied","standalone"),"")</f>
        <v>standalone</v>
      </c>
    </row>
    <row r="7094" spans="1:14">
      <c r="A7094" s="6">
        <v>2026</v>
      </c>
      <c r="B7094" s="6">
        <v>1</v>
      </c>
      <c r="C7094" s="6" t="s">
        <v>60</v>
      </c>
      <c r="D7094" s="6" t="s">
        <v>838</v>
      </c>
      <c r="E7094" s="6" t="s">
        <v>455</v>
      </c>
      <c r="F7094" s="6" t="str">
        <f>IF($M7094="PADD I","PADD 1",IF($M7094="PADD II","PADD 2",IF($M7094="PADD III","PADD 3",IF($M7094="PADD IV","PADD 4",IF($M7094="PADD V","PADD 5","")))))</f>
        <v>PADD 3</v>
      </c>
      <c r="G7094" s="6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6" t="s">
        <v>39</v>
      </c>
      <c r="I7094" s="6" t="s">
        <v>136</v>
      </c>
      <c r="J7094" s="6" t="s">
        <v>394</v>
      </c>
      <c r="K7094" s="10">
        <v>1.4</v>
      </c>
      <c r="L7094" s="10">
        <v>14</v>
      </c>
      <c r="M7094" s="6" t="s">
        <v>421</v>
      </c>
      <c r="N7094" s="6">
        <f>IF(OR($G7094="FCC",$G7094="Hydrocracker",$G7094="Reformer"),IF(COUNTIFS($D:$D,$D7094,$A:$A,$A7094,$B:$B,$B7094,$G:$G,"CDU",$J:$J,"PLANNED")&gt;0,"tied","standalone"),"")</f>
        <v/>
      </c>
    </row>
    <row r="7095" spans="1:14">
      <c r="A7095" s="6">
        <v>2026</v>
      </c>
      <c r="B7095" s="6">
        <v>1</v>
      </c>
      <c r="C7095" s="6" t="s">
        <v>60</v>
      </c>
      <c r="D7095" s="6" t="s">
        <v>1010</v>
      </c>
      <c r="E7095" s="6" t="s">
        <v>931</v>
      </c>
      <c r="F7095" s="6" t="str">
        <f>IF($M7095="PADD I","PADD 1",IF($M7095="PADD II","PADD 2",IF($M7095="PADD III","PADD 3",IF($M7095="PADD IV","PADD 4",IF($M7095="PADD V","PADD 5","")))))</f>
        <v>PADD 3</v>
      </c>
      <c r="G7095" s="6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6" t="s">
        <v>687</v>
      </c>
      <c r="I7095" s="6" t="s">
        <v>1397</v>
      </c>
      <c r="J7095" s="6" t="s">
        <v>394</v>
      </c>
      <c r="K7095" s="10">
        <v>1.376</v>
      </c>
      <c r="L7095" s="10">
        <v>8.6</v>
      </c>
      <c r="M7095" s="6" t="s">
        <v>421</v>
      </c>
      <c r="N7095" s="6">
        <f>IF(OR($G7095="FCC",$G7095="Hydrocracker",$G7095="Reformer"),IF(COUNTIFS($D:$D,$D7095,$A:$A,$A7095,$B:$B,$B7095,$G:$G,"CDU",$J:$J,"PLANNED")&gt;0,"tied","standalone"),"")</f>
        <v/>
      </c>
    </row>
    <row r="7096" spans="1:14">
      <c r="A7096" s="6">
        <v>2026</v>
      </c>
      <c r="B7096" s="6">
        <v>1</v>
      </c>
      <c r="C7096" s="6" t="s">
        <v>60</v>
      </c>
      <c r="D7096" s="6" t="s">
        <v>51</v>
      </c>
      <c r="E7096" s="6" t="s">
        <v>431</v>
      </c>
      <c r="F7096" s="6" t="str">
        <f>IF($M7096="PADD I","PADD 1",IF($M7096="PADD II","PADD 2",IF($M7096="PADD III","PADD 3",IF($M7096="PADD IV","PADD 4",IF($M7096="PADD V","PADD 5","")))))</f>
        <v>PADD 3</v>
      </c>
      <c r="G7096" s="6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6" t="s">
        <v>426</v>
      </c>
      <c r="I7096" s="6" t="s">
        <v>103</v>
      </c>
      <c r="J7096" s="6" t="s">
        <v>394</v>
      </c>
      <c r="K7096" s="10">
        <v>1.3</v>
      </c>
      <c r="L7096" s="10">
        <v>13</v>
      </c>
      <c r="M7096" s="6" t="s">
        <v>421</v>
      </c>
      <c r="N7096" s="6" t="str">
        <f>IF(OR($G7096="FCC",$G7096="Hydrocracker",$G7096="Reformer"),IF(COUNTIFS($D:$D,$D7096,$A:$A,$A7096,$B:$B,$B7096,$G:$G,"CDU",$J:$J,"PLANNED")&gt;0,"tied","standalone"),"")</f>
        <v>tied</v>
      </c>
    </row>
    <row r="7097" spans="1:14">
      <c r="A7097" s="6">
        <v>2026</v>
      </c>
      <c r="B7097" s="6">
        <v>1</v>
      </c>
      <c r="C7097" s="6" t="s">
        <v>60</v>
      </c>
      <c r="D7097" s="6" t="s">
        <v>430</v>
      </c>
      <c r="E7097" s="6" t="s">
        <v>431</v>
      </c>
      <c r="F7097" s="6" t="str">
        <f>IF($M7097="PADD I","PADD 1",IF($M7097="PADD II","PADD 2",IF($M7097="PADD III","PADD 3",IF($M7097="PADD IV","PADD 4",IF($M7097="PADD V","PADD 5","")))))</f>
        <v>PADD 3</v>
      </c>
      <c r="G7097" s="6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6" t="s">
        <v>485</v>
      </c>
      <c r="I7097" s="6" t="s">
        <v>527</v>
      </c>
      <c r="J7097" s="6" t="s">
        <v>394</v>
      </c>
      <c r="K7097" s="10">
        <v>1.3</v>
      </c>
      <c r="L7097" s="10">
        <v>10</v>
      </c>
      <c r="M7097" s="6" t="s">
        <v>421</v>
      </c>
      <c r="N7097" s="6">
        <f>IF(OR($G7097="FCC",$G7097="Hydrocracker",$G7097="Reformer"),IF(COUNTIFS($D:$D,$D7097,$A:$A,$A7097,$B:$B,$B7097,$G:$G,"CDU",$J:$J,"PLANNED")&gt;0,"tied","standalone"),"")</f>
        <v/>
      </c>
    </row>
    <row r="7098" spans="1:14">
      <c r="A7098" s="6">
        <v>2026</v>
      </c>
      <c r="B7098" s="6">
        <v>1</v>
      </c>
      <c r="C7098" s="6" t="s">
        <v>60</v>
      </c>
      <c r="D7098" s="6" t="s">
        <v>1010</v>
      </c>
      <c r="E7098" s="6" t="s">
        <v>931</v>
      </c>
      <c r="F7098" s="6" t="str">
        <f>IF($M7098="PADD I","PADD 1",IF($M7098="PADD II","PADD 2",IF($M7098="PADD III","PADD 3",IF($M7098="PADD IV","PADD 4",IF($M7098="PADD V","PADD 5","")))))</f>
        <v>PADD 3</v>
      </c>
      <c r="G7098" s="6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6" t="s">
        <v>44</v>
      </c>
      <c r="I7098" s="6" t="s">
        <v>1011</v>
      </c>
      <c r="J7098" s="6" t="s">
        <v>394</v>
      </c>
      <c r="K7098" s="10">
        <v>1.28</v>
      </c>
      <c r="L7098" s="10">
        <v>8</v>
      </c>
      <c r="M7098" s="6" t="s">
        <v>421</v>
      </c>
      <c r="N7098" s="6">
        <f>IF(OR($G7098="FCC",$G7098="Hydrocracker",$G7098="Reformer"),IF(COUNTIFS($D:$D,$D7098,$A:$A,$A7098,$B:$B,$B7098,$G:$G,"CDU",$J:$J,"PLANNED")&gt;0,"tied","standalone"),"")</f>
        <v/>
      </c>
    </row>
    <row r="7099" spans="1:14">
      <c r="A7099" s="6">
        <v>2026</v>
      </c>
      <c r="B7099" s="6">
        <v>1</v>
      </c>
      <c r="C7099" s="6" t="s">
        <v>60</v>
      </c>
      <c r="D7099" s="6" t="s">
        <v>789</v>
      </c>
      <c r="E7099" s="6" t="s">
        <v>455</v>
      </c>
      <c r="F7099" s="6" t="str">
        <f>IF($M7099="PADD I","PADD 1",IF($M7099="PADD II","PADD 2",IF($M7099="PADD III","PADD 3",IF($M7099="PADD IV","PADD 4",IF($M7099="PADD V","PADD 5","")))))</f>
        <v>PADD 2</v>
      </c>
      <c r="G7099" s="6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6" t="s">
        <v>39</v>
      </c>
      <c r="I7099" s="6" t="s">
        <v>134</v>
      </c>
      <c r="J7099" s="6" t="s">
        <v>394</v>
      </c>
      <c r="K7099" s="10">
        <v>1.28</v>
      </c>
      <c r="L7099" s="10">
        <v>8</v>
      </c>
      <c r="M7099" s="6" t="s">
        <v>425</v>
      </c>
      <c r="N7099" s="6">
        <f>IF(OR($G7099="FCC",$G7099="Hydrocracker",$G7099="Reformer"),IF(COUNTIFS($D:$D,$D7099,$A:$A,$A7099,$B:$B,$B7099,$G:$G,"CDU",$J:$J,"PLANNED")&gt;0,"tied","standalone"),"")</f>
        <v/>
      </c>
    </row>
    <row r="7100" spans="1:14">
      <c r="A7100" s="6">
        <v>2026</v>
      </c>
      <c r="B7100" s="6">
        <v>1</v>
      </c>
      <c r="C7100" s="6" t="s">
        <v>60</v>
      </c>
      <c r="D7100" s="6" t="s">
        <v>665</v>
      </c>
      <c r="E7100" s="6" t="s">
        <v>455</v>
      </c>
      <c r="F7100" s="6" t="str">
        <f>IF($M7100="PADD I","PADD 1",IF($M7100="PADD II","PADD 2",IF($M7100="PADD III","PADD 3",IF($M7100="PADD IV","PADD 4",IF($M7100="PADD V","PADD 5","")))))</f>
        <v>PADD 5</v>
      </c>
      <c r="G7100" s="6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6" t="s">
        <v>44</v>
      </c>
      <c r="I7100" s="6" t="s">
        <v>1359</v>
      </c>
      <c r="J7100" s="6" t="s">
        <v>398</v>
      </c>
      <c r="K7100" s="10">
        <v>1.2441</v>
      </c>
      <c r="L7100" s="10">
        <v>9.57</v>
      </c>
      <c r="M7100" s="6" t="s">
        <v>436</v>
      </c>
      <c r="N7100" s="6">
        <f>IF(OR($G7100="FCC",$G7100="Hydrocracker",$G7100="Reformer"),IF(COUNTIFS($D:$D,$D7100,$A:$A,$A7100,$B:$B,$B7100,$G:$G,"CDU",$J:$J,"PLANNED")&gt;0,"tied","standalone"),"")</f>
        <v/>
      </c>
    </row>
    <row r="7101" spans="1:14">
      <c r="A7101" s="6">
        <v>2026</v>
      </c>
      <c r="B7101" s="6">
        <v>1</v>
      </c>
      <c r="C7101" s="6" t="s">
        <v>60</v>
      </c>
      <c r="D7101" s="6" t="s">
        <v>380</v>
      </c>
      <c r="E7101" s="6" t="s">
        <v>423</v>
      </c>
      <c r="F7101" s="6" t="str">
        <f>IF($M7101="PADD I","PADD 1",IF($M7101="PADD II","PADD 2",IF($M7101="PADD III","PADD 3",IF($M7101="PADD IV","PADD 4",IF($M7101="PADD V","PADD 5","")))))</f>
        <v>PADD 2</v>
      </c>
      <c r="G7101" s="6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6" t="s">
        <v>44</v>
      </c>
      <c r="I7101" s="6" t="s">
        <v>975</v>
      </c>
      <c r="J7101" s="6" t="s">
        <v>394</v>
      </c>
      <c r="K7101" s="10">
        <v>1.2</v>
      </c>
      <c r="L7101" s="10">
        <v>20</v>
      </c>
      <c r="M7101" s="6" t="s">
        <v>425</v>
      </c>
      <c r="N7101" s="6">
        <f>IF(OR($G7101="FCC",$G7101="Hydrocracker",$G7101="Reformer"),IF(COUNTIFS($D:$D,$D7101,$A:$A,$A7101,$B:$B,$B7101,$G:$G,"CDU",$J:$J,"PLANNED")&gt;0,"tied","standalone"),"")</f>
        <v/>
      </c>
    </row>
    <row r="7102" spans="1:14">
      <c r="A7102" s="6">
        <v>2026</v>
      </c>
      <c r="B7102" s="6">
        <v>1</v>
      </c>
      <c r="C7102" s="6" t="s">
        <v>60</v>
      </c>
      <c r="D7102" s="6" t="s">
        <v>1325</v>
      </c>
      <c r="E7102" s="6" t="s">
        <v>1326</v>
      </c>
      <c r="F7102" s="6" t="str">
        <f>IF($M7102="PADD I","PADD 1",IF($M7102="PADD II","PADD 2",IF($M7102="PADD III","PADD 3",IF($M7102="PADD IV","PADD 4",IF($M7102="PADD V","PADD 5","")))))</f>
        <v>PADD 3</v>
      </c>
      <c r="G7102" s="6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6" t="s">
        <v>471</v>
      </c>
      <c r="I7102" s="6" t="s">
        <v>1332</v>
      </c>
      <c r="J7102" s="6" t="s">
        <v>398</v>
      </c>
      <c r="K7102" s="10">
        <v>1.125</v>
      </c>
      <c r="L7102" s="10">
        <v>2.5</v>
      </c>
      <c r="M7102" s="6" t="s">
        <v>421</v>
      </c>
      <c r="N7102" s="6" t="str">
        <f>IF(OR($G7102="FCC",$G7102="Hydrocracker",$G7102="Reformer"),IF(COUNTIFS($D:$D,$D7102,$A:$A,$A7102,$B:$B,$B7102,$G:$G,"CDU",$J:$J,"PLANNED")&gt;0,"tied","standalone"),"")</f>
        <v>tied</v>
      </c>
    </row>
    <row r="7103" spans="1:14">
      <c r="A7103" s="6">
        <v>2026</v>
      </c>
      <c r="B7103" s="6">
        <v>1</v>
      </c>
      <c r="C7103" s="6" t="s">
        <v>60</v>
      </c>
      <c r="D7103" s="6" t="s">
        <v>368</v>
      </c>
      <c r="E7103" s="6" t="s">
        <v>715</v>
      </c>
      <c r="F7103" s="6" t="str">
        <f>IF($M7103="PADD I","PADD 1",IF($M7103="PADD II","PADD 2",IF($M7103="PADD III","PADD 3",IF($M7103="PADD IV","PADD 4",IF($M7103="PADD V","PADD 5","")))))</f>
        <v>PADD 3</v>
      </c>
      <c r="G7103" s="6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6" t="s">
        <v>39</v>
      </c>
      <c r="I7103" s="6" t="s">
        <v>87</v>
      </c>
      <c r="J7103" s="6" t="s">
        <v>394</v>
      </c>
      <c r="K7103" s="10">
        <v>1.12</v>
      </c>
      <c r="L7103" s="10">
        <v>7</v>
      </c>
      <c r="M7103" s="6" t="s">
        <v>421</v>
      </c>
      <c r="N7103" s="6">
        <f>IF(OR($G7103="FCC",$G7103="Hydrocracker",$G7103="Reformer"),IF(COUNTIFS($D:$D,$D7103,$A:$A,$A7103,$B:$B,$B7103,$G:$G,"CDU",$J:$J,"PLANNED")&gt;0,"tied","standalone"),"")</f>
        <v/>
      </c>
    </row>
    <row r="7104" spans="1:14">
      <c r="A7104" s="6">
        <v>2026</v>
      </c>
      <c r="B7104" s="6">
        <v>1</v>
      </c>
      <c r="C7104" s="6" t="s">
        <v>60</v>
      </c>
      <c r="D7104" s="6" t="s">
        <v>1273</v>
      </c>
      <c r="E7104" s="6" t="s">
        <v>1089</v>
      </c>
      <c r="F7104" s="6" t="str">
        <f>IF($M7104="PADD I","PADD 1",IF($M7104="PADD II","PADD 2",IF($M7104="PADD III","PADD 3",IF($M7104="PADD IV","PADD 4",IF($M7104="PADD V","PADD 5","")))))</f>
        <v>PADD 2</v>
      </c>
      <c r="G7104" s="6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6" t="s">
        <v>471</v>
      </c>
      <c r="I7104" s="6" t="s">
        <v>15</v>
      </c>
      <c r="J7104" s="6" t="s">
        <v>394</v>
      </c>
      <c r="K7104" s="10">
        <v>1.0725</v>
      </c>
      <c r="L7104" s="10">
        <v>8.25</v>
      </c>
      <c r="M7104" s="6" t="s">
        <v>425</v>
      </c>
      <c r="N7104" s="6" t="str">
        <f>IF(OR($G7104="FCC",$G7104="Hydrocracker",$G7104="Reformer"),IF(COUNTIFS($D:$D,$D7104,$A:$A,$A7104,$B:$B,$B7104,$G:$G,"CDU",$J:$J,"PLANNED")&gt;0,"tied","standalone"),"")</f>
        <v>standalone</v>
      </c>
    </row>
    <row r="7105" spans="1:14">
      <c r="A7105" s="6">
        <v>2026</v>
      </c>
      <c r="B7105" s="6">
        <v>1</v>
      </c>
      <c r="C7105" s="6" t="s">
        <v>60</v>
      </c>
      <c r="D7105" s="6" t="s">
        <v>422</v>
      </c>
      <c r="E7105" s="6" t="s">
        <v>423</v>
      </c>
      <c r="F7105" s="6" t="str">
        <f>IF($M7105="PADD I","PADD 1",IF($M7105="PADD II","PADD 2",IF($M7105="PADD III","PADD 3",IF($M7105="PADD IV","PADD 4",IF($M7105="PADD V","PADD 5","")))))</f>
        <v>PADD 2</v>
      </c>
      <c r="G7105" s="6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6" t="s">
        <v>485</v>
      </c>
      <c r="I7105" s="6" t="s">
        <v>634</v>
      </c>
      <c r="J7105" s="6" t="s">
        <v>394</v>
      </c>
      <c r="K7105" s="10">
        <v>0.975</v>
      </c>
      <c r="L7105" s="10">
        <v>7.5</v>
      </c>
      <c r="M7105" s="6" t="s">
        <v>425</v>
      </c>
      <c r="N7105" s="6">
        <f>IF(OR($G7105="FCC",$G7105="Hydrocracker",$G7105="Reformer"),IF(COUNTIFS($D:$D,$D7105,$A:$A,$A7105,$B:$B,$B7105,$G:$G,"CDU",$J:$J,"PLANNED")&gt;0,"tied","standalone"),"")</f>
        <v/>
      </c>
    </row>
    <row r="7106" spans="1:14">
      <c r="A7106" s="6">
        <v>2026</v>
      </c>
      <c r="B7106" s="6">
        <v>1</v>
      </c>
      <c r="C7106" s="6" t="s">
        <v>60</v>
      </c>
      <c r="D7106" s="6" t="s">
        <v>764</v>
      </c>
      <c r="E7106" s="6" t="s">
        <v>455</v>
      </c>
      <c r="F7106" s="6" t="str">
        <f>IF($M7106="PADD I","PADD 1",IF($M7106="PADD II","PADD 2",IF($M7106="PADD III","PADD 3",IF($M7106="PADD IV","PADD 4",IF($M7106="PADD V","PADD 5","")))))</f>
        <v>PADD 3</v>
      </c>
      <c r="G7106" s="6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6" t="s">
        <v>510</v>
      </c>
      <c r="I7106" s="6" t="s">
        <v>511</v>
      </c>
      <c r="J7106" s="6" t="s">
        <v>394</v>
      </c>
      <c r="K7106" s="10">
        <v>0.95</v>
      </c>
      <c r="L7106" s="10">
        <v>9.5</v>
      </c>
      <c r="M7106" s="6" t="s">
        <v>421</v>
      </c>
      <c r="N7106" s="6">
        <f>IF(OR($G7106="FCC",$G7106="Hydrocracker",$G7106="Reformer"),IF(COUNTIFS($D:$D,$D7106,$A:$A,$A7106,$B:$B,$B7106,$G:$G,"CDU",$J:$J,"PLANNED")&gt;0,"tied","standalone"),"")</f>
        <v/>
      </c>
    </row>
    <row r="7107" spans="1:14">
      <c r="A7107" s="6">
        <v>2026</v>
      </c>
      <c r="B7107" s="6">
        <v>1</v>
      </c>
      <c r="C7107" s="6" t="s">
        <v>60</v>
      </c>
      <c r="D7107" s="6" t="s">
        <v>712</v>
      </c>
      <c r="E7107" s="6" t="s">
        <v>602</v>
      </c>
      <c r="F7107" s="6" t="str">
        <f>IF($M7107="PADD I","PADD 1",IF($M7107="PADD II","PADD 2",IF($M7107="PADD III","PADD 3",IF($M7107="PADD IV","PADD 4",IF($M7107="PADD V","PADD 5","")))))</f>
        <v>PADD 3</v>
      </c>
      <c r="G7107" s="6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6" t="s">
        <v>39</v>
      </c>
      <c r="I7107" s="6" t="s">
        <v>713</v>
      </c>
      <c r="J7107" s="6" t="s">
        <v>394</v>
      </c>
      <c r="K7107" s="10">
        <v>0.91</v>
      </c>
      <c r="L7107" s="10">
        <v>7</v>
      </c>
      <c r="M7107" s="6" t="s">
        <v>421</v>
      </c>
      <c r="N7107" s="6">
        <f>IF(OR($G7107="FCC",$G7107="Hydrocracker",$G7107="Reformer"),IF(COUNTIFS($D:$D,$D7107,$A:$A,$A7107,$B:$B,$B7107,$G:$G,"CDU",$J:$J,"PLANNED")&gt;0,"tied","standalone"),"")</f>
        <v/>
      </c>
    </row>
    <row r="7108" spans="1:14">
      <c r="A7108" s="6">
        <v>2026</v>
      </c>
      <c r="B7108" s="6">
        <v>1</v>
      </c>
      <c r="C7108" s="6" t="s">
        <v>60</v>
      </c>
      <c r="D7108" s="6" t="s">
        <v>1113</v>
      </c>
      <c r="E7108" s="6" t="s">
        <v>438</v>
      </c>
      <c r="F7108" s="6" t="str">
        <f>IF($M7108="PADD I","PADD 1",IF($M7108="PADD II","PADD 2",IF($M7108="PADD III","PADD 3",IF($M7108="PADD IV","PADD 4",IF($M7108="PADD V","PADD 5","")))))</f>
        <v>PADD 2</v>
      </c>
      <c r="G7108" s="6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6" t="s">
        <v>44</v>
      </c>
      <c r="I7108" s="6" t="s">
        <v>739</v>
      </c>
      <c r="J7108" s="6" t="s">
        <v>394</v>
      </c>
      <c r="K7108" s="10">
        <v>0.91</v>
      </c>
      <c r="L7108" s="10">
        <v>7</v>
      </c>
      <c r="M7108" s="6" t="s">
        <v>425</v>
      </c>
      <c r="N7108" s="6">
        <f>IF(OR($G7108="FCC",$G7108="Hydrocracker",$G7108="Reformer"),IF(COUNTIFS($D:$D,$D7108,$A:$A,$A7108,$B:$B,$B7108,$G:$G,"CDU",$J:$J,"PLANNED")&gt;0,"tied","standalone"),"")</f>
        <v/>
      </c>
    </row>
    <row r="7109" spans="1:14">
      <c r="A7109" s="6">
        <v>2026</v>
      </c>
      <c r="B7109" s="6">
        <v>1</v>
      </c>
      <c r="C7109" s="6" t="s">
        <v>60</v>
      </c>
      <c r="D7109" s="6" t="s">
        <v>1010</v>
      </c>
      <c r="E7109" s="6" t="s">
        <v>931</v>
      </c>
      <c r="F7109" s="6" t="str">
        <f>IF($M7109="PADD I","PADD 1",IF($M7109="PADD II","PADD 2",IF($M7109="PADD III","PADD 3",IF($M7109="PADD IV","PADD 4",IF($M7109="PADD V","PADD 5","")))))</f>
        <v>PADD 3</v>
      </c>
      <c r="G7109" s="6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6" t="s">
        <v>471</v>
      </c>
      <c r="I7109" s="6" t="s">
        <v>860</v>
      </c>
      <c r="J7109" s="6" t="s">
        <v>394</v>
      </c>
      <c r="K7109" s="10">
        <v>0.88</v>
      </c>
      <c r="L7109" s="10">
        <v>5.5</v>
      </c>
      <c r="M7109" s="6" t="s">
        <v>421</v>
      </c>
      <c r="N7109" s="6" t="str">
        <f>IF(OR($G7109="FCC",$G7109="Hydrocracker",$G7109="Reformer"),IF(COUNTIFS($D:$D,$D7109,$A:$A,$A7109,$B:$B,$B7109,$G:$G,"CDU",$J:$J,"PLANNED")&gt;0,"tied","standalone"),"")</f>
        <v>standalone</v>
      </c>
    </row>
    <row r="7110" spans="1:14">
      <c r="A7110" s="6">
        <v>2026</v>
      </c>
      <c r="B7110" s="6">
        <v>1</v>
      </c>
      <c r="C7110" s="6" t="s">
        <v>60</v>
      </c>
      <c r="D7110" s="6" t="s">
        <v>1010</v>
      </c>
      <c r="E7110" s="6" t="s">
        <v>931</v>
      </c>
      <c r="F7110" s="6" t="str">
        <f>IF($M7110="PADD I","PADD 1",IF($M7110="PADD II","PADD 2",IF($M7110="PADD III","PADD 3",IF($M7110="PADD IV","PADD 4",IF($M7110="PADD V","PADD 5","")))))</f>
        <v>PADD 3</v>
      </c>
      <c r="G7110" s="6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6" t="s">
        <v>471</v>
      </c>
      <c r="I7110" s="6" t="s">
        <v>1111</v>
      </c>
      <c r="J7110" s="6" t="s">
        <v>394</v>
      </c>
      <c r="K7110" s="10">
        <v>0.88</v>
      </c>
      <c r="L7110" s="10">
        <v>5.5</v>
      </c>
      <c r="M7110" s="6" t="s">
        <v>421</v>
      </c>
      <c r="N7110" s="6" t="str">
        <f>IF(OR($G7110="FCC",$G7110="Hydrocracker",$G7110="Reformer"),IF(COUNTIFS($D:$D,$D7110,$A:$A,$A7110,$B:$B,$B7110,$G:$G,"CDU",$J:$J,"PLANNED")&gt;0,"tied","standalone"),"")</f>
        <v>standalone</v>
      </c>
    </row>
    <row r="7111" spans="1:14">
      <c r="A7111" s="6">
        <v>2026</v>
      </c>
      <c r="B7111" s="6">
        <v>1</v>
      </c>
      <c r="C7111" s="6" t="s">
        <v>60</v>
      </c>
      <c r="D7111" s="6" t="s">
        <v>561</v>
      </c>
      <c r="E7111" s="6" t="s">
        <v>455</v>
      </c>
      <c r="F7111" s="6" t="str">
        <f>IF($M7111="PADD I","PADD 1",IF($M7111="PADD II","PADD 2",IF($M7111="PADD III","PADD 3",IF($M7111="PADD IV","PADD 4",IF($M7111="PADD V","PADD 5","")))))</f>
        <v>PADD 3</v>
      </c>
      <c r="G7111" s="6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6" t="s">
        <v>44</v>
      </c>
      <c r="I7111" s="6" t="s">
        <v>705</v>
      </c>
      <c r="J7111" s="6" t="s">
        <v>394</v>
      </c>
      <c r="K7111" s="10">
        <v>0.84</v>
      </c>
      <c r="L7111" s="10">
        <v>14</v>
      </c>
      <c r="M7111" s="6" t="s">
        <v>421</v>
      </c>
      <c r="N7111" s="6">
        <f>IF(OR($G7111="FCC",$G7111="Hydrocracker",$G7111="Reformer"),IF(COUNTIFS($D:$D,$D7111,$A:$A,$A7111,$B:$B,$B7111,$G:$G,"CDU",$J:$J,"PLANNED")&gt;0,"tied","standalone"),"")</f>
        <v/>
      </c>
    </row>
    <row r="7112" spans="1:14">
      <c r="A7112" s="6">
        <v>2026</v>
      </c>
      <c r="B7112" s="6">
        <v>1</v>
      </c>
      <c r="C7112" s="6" t="s">
        <v>60</v>
      </c>
      <c r="D7112" s="6" t="s">
        <v>370</v>
      </c>
      <c r="E7112" s="6" t="s">
        <v>431</v>
      </c>
      <c r="F7112" s="6" t="str">
        <f>IF($M7112="PADD I","PADD 1",IF($M7112="PADD II","PADD 2",IF($M7112="PADD III","PADD 3",IF($M7112="PADD IV","PADD 4",IF($M7112="PADD V","PADD 5","")))))</f>
        <v>PADD 2</v>
      </c>
      <c r="G7112" s="6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6" t="s">
        <v>39</v>
      </c>
      <c r="I7112" s="6" t="s">
        <v>82</v>
      </c>
      <c r="J7112" s="6" t="s">
        <v>394</v>
      </c>
      <c r="K7112" s="10">
        <v>0.8</v>
      </c>
      <c r="L7112" s="10">
        <v>5</v>
      </c>
      <c r="M7112" s="6" t="s">
        <v>425</v>
      </c>
      <c r="N7112" s="6">
        <f>IF(OR($G7112="FCC",$G7112="Hydrocracker",$G7112="Reformer"),IF(COUNTIFS($D:$D,$D7112,$A:$A,$A7112,$B:$B,$B7112,$G:$G,"CDU",$J:$J,"PLANNED")&gt;0,"tied","standalone"),"")</f>
        <v/>
      </c>
    </row>
    <row r="7113" spans="1:14">
      <c r="A7113" s="6">
        <v>2026</v>
      </c>
      <c r="B7113" s="6">
        <v>1</v>
      </c>
      <c r="C7113" s="6" t="s">
        <v>60</v>
      </c>
      <c r="D7113" s="6" t="s">
        <v>49</v>
      </c>
      <c r="E7113" s="6" t="s">
        <v>438</v>
      </c>
      <c r="F7113" s="6" t="str">
        <f>IF($M7113="PADD I","PADD 1",IF($M7113="PADD II","PADD 2",IF($M7113="PADD III","PADD 3",IF($M7113="PADD IV","PADD 4",IF($M7113="PADD V","PADD 5","")))))</f>
        <v>PADD 2</v>
      </c>
      <c r="G7113" s="6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6" t="s">
        <v>485</v>
      </c>
      <c r="I7113" s="6" t="s">
        <v>681</v>
      </c>
      <c r="J7113" s="6" t="s">
        <v>394</v>
      </c>
      <c r="K7113" s="10">
        <v>0.72</v>
      </c>
      <c r="L7113" s="10">
        <v>12</v>
      </c>
      <c r="M7113" s="6" t="s">
        <v>425</v>
      </c>
      <c r="N7113" s="6">
        <f>IF(OR($G7113="FCC",$G7113="Hydrocracker",$G7113="Reformer"),IF(COUNTIFS($D:$D,$D7113,$A:$A,$A7113,$B:$B,$B7113,$G:$G,"CDU",$J:$J,"PLANNED")&gt;0,"tied","standalone"),"")</f>
        <v/>
      </c>
    </row>
    <row r="7114" spans="1:14">
      <c r="A7114" s="6">
        <v>2026</v>
      </c>
      <c r="B7114" s="6">
        <v>1</v>
      </c>
      <c r="C7114" s="6" t="s">
        <v>60</v>
      </c>
      <c r="D7114" s="6" t="s">
        <v>937</v>
      </c>
      <c r="E7114" s="6" t="s">
        <v>455</v>
      </c>
      <c r="F7114" s="6" t="str">
        <f>IF($M7114="PADD I","PADD 1",IF($M7114="PADD II","PADD 2",IF($M7114="PADD III","PADD 3",IF($M7114="PADD IV","PADD 4",IF($M7114="PADD V","PADD 5","")))))</f>
        <v>PADD 3</v>
      </c>
      <c r="G7114" s="6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6" t="s">
        <v>39</v>
      </c>
      <c r="I7114" s="6" t="s">
        <v>132</v>
      </c>
      <c r="J7114" s="6" t="s">
        <v>394</v>
      </c>
      <c r="K7114" s="10">
        <v>0.65</v>
      </c>
      <c r="L7114" s="10">
        <v>5</v>
      </c>
      <c r="M7114" s="6" t="s">
        <v>421</v>
      </c>
      <c r="N7114" s="6">
        <f>IF(OR($G7114="FCC",$G7114="Hydrocracker",$G7114="Reformer"),IF(COUNTIFS($D:$D,$D7114,$A:$A,$A7114,$B:$B,$B7114,$G:$G,"CDU",$J:$J,"PLANNED")&gt;0,"tied","standalone"),"")</f>
        <v/>
      </c>
    </row>
    <row r="7115" spans="1:14">
      <c r="A7115" s="6">
        <v>2026</v>
      </c>
      <c r="B7115" s="6">
        <v>1</v>
      </c>
      <c r="C7115" s="6" t="s">
        <v>60</v>
      </c>
      <c r="D7115" s="6" t="s">
        <v>665</v>
      </c>
      <c r="E7115" s="6" t="s">
        <v>455</v>
      </c>
      <c r="F7115" s="6" t="str">
        <f>IF($M7115="PADD I","PADD 1",IF($M7115="PADD II","PADD 2",IF($M7115="PADD III","PADD 3",IF($M7115="PADD IV","PADD 4",IF($M7115="PADD V","PADD 5","")))))</f>
        <v>PADD 5</v>
      </c>
      <c r="G7115" s="6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6" t="s">
        <v>44</v>
      </c>
      <c r="I7115" s="6" t="s">
        <v>1361</v>
      </c>
      <c r="J7115" s="6" t="s">
        <v>398</v>
      </c>
      <c r="K7115" s="10">
        <v>0.5798</v>
      </c>
      <c r="L7115" s="10">
        <v>4.46</v>
      </c>
      <c r="M7115" s="6" t="s">
        <v>436</v>
      </c>
      <c r="N7115" s="6">
        <f>IF(OR($G7115="FCC",$G7115="Hydrocracker",$G7115="Reformer"),IF(COUNTIFS($D:$D,$D7115,$A:$A,$A7115,$B:$B,$B7115,$G:$G,"CDU",$J:$J,"PLANNED")&gt;0,"tied","standalone"),"")</f>
        <v/>
      </c>
    </row>
    <row r="7116" spans="1:14">
      <c r="A7116" s="6">
        <v>2026</v>
      </c>
      <c r="B7116" s="6">
        <v>1</v>
      </c>
      <c r="C7116" s="6" t="s">
        <v>60</v>
      </c>
      <c r="D7116" s="6" t="s">
        <v>1325</v>
      </c>
      <c r="E7116" s="6" t="s">
        <v>1326</v>
      </c>
      <c r="F7116" s="6" t="str">
        <f>IF($M7116="PADD I","PADD 1",IF($M7116="PADD II","PADD 2",IF($M7116="PADD III","PADD 3",IF($M7116="PADD IV","PADD 4",IF($M7116="PADD V","PADD 5","")))))</f>
        <v>PADD 3</v>
      </c>
      <c r="G7116" s="6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6" t="s">
        <v>471</v>
      </c>
      <c r="I7116" s="6" t="s">
        <v>1333</v>
      </c>
      <c r="J7116" s="6" t="s">
        <v>398</v>
      </c>
      <c r="K7116" s="10">
        <v>0.54</v>
      </c>
      <c r="L7116" s="10">
        <v>1.2</v>
      </c>
      <c r="M7116" s="6" t="s">
        <v>421</v>
      </c>
      <c r="N7116" s="6" t="str">
        <f>IF(OR($G7116="FCC",$G7116="Hydrocracker",$G7116="Reformer"),IF(COUNTIFS($D:$D,$D7116,$A:$A,$A7116,$B:$B,$B7116,$G:$G,"CDU",$J:$J,"PLANNED")&gt;0,"tied","standalone"),"")</f>
        <v>tied</v>
      </c>
    </row>
    <row r="7117" spans="1:14">
      <c r="A7117" s="6">
        <v>2026</v>
      </c>
      <c r="B7117" s="6">
        <v>1</v>
      </c>
      <c r="C7117" s="6" t="s">
        <v>60</v>
      </c>
      <c r="D7117" s="6" t="s">
        <v>824</v>
      </c>
      <c r="E7117" s="6" t="s">
        <v>825</v>
      </c>
      <c r="F7117" s="6" t="str">
        <f>IF($M7117="PADD I","PADD 1",IF($M7117="PADD II","PADD 2",IF($M7117="PADD III","PADD 3",IF($M7117="PADD IV","PADD 4",IF($M7117="PADD V","PADD 5","")))))</f>
        <v>PADD 1</v>
      </c>
      <c r="G7117" s="6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6" t="s">
        <v>494</v>
      </c>
      <c r="I7117" s="6" t="s">
        <v>14</v>
      </c>
      <c r="J7117" s="6" t="s">
        <v>394</v>
      </c>
      <c r="K7117" s="10">
        <v>0.54</v>
      </c>
      <c r="L7117" s="10">
        <v>18</v>
      </c>
      <c r="M7117" s="6" t="s">
        <v>463</v>
      </c>
      <c r="N7117" s="6" t="str">
        <f>IF(OR($G7117="FCC",$G7117="Hydrocracker",$G7117="Reformer"),IF(COUNTIFS($D:$D,$D7117,$A:$A,$A7117,$B:$B,$B7117,$G:$G,"CDU",$J:$J,"PLANNED")&gt;0,"tied","standalone"),"")</f>
        <v>standalone</v>
      </c>
    </row>
    <row r="7118" spans="1:14">
      <c r="A7118" s="6">
        <v>2026</v>
      </c>
      <c r="B7118" s="6">
        <v>1</v>
      </c>
      <c r="C7118" s="6" t="s">
        <v>60</v>
      </c>
      <c r="D7118" s="6" t="s">
        <v>665</v>
      </c>
      <c r="E7118" s="6" t="s">
        <v>455</v>
      </c>
      <c r="F7118" s="6" t="str">
        <f>IF($M7118="PADD I","PADD 1",IF($M7118="PADD II","PADD 2",IF($M7118="PADD III","PADD 3",IF($M7118="PADD IV","PADD 4",IF($M7118="PADD V","PADD 5","")))))</f>
        <v>PADD 5</v>
      </c>
      <c r="G7118" s="6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6" t="s">
        <v>44</v>
      </c>
      <c r="I7118" s="6" t="s">
        <v>1235</v>
      </c>
      <c r="J7118" s="6" t="s">
        <v>398</v>
      </c>
      <c r="K7118" s="10">
        <v>0.5148</v>
      </c>
      <c r="L7118" s="10">
        <v>3.96</v>
      </c>
      <c r="M7118" s="6" t="s">
        <v>436</v>
      </c>
      <c r="N7118" s="6">
        <f>IF(OR($G7118="FCC",$G7118="Hydrocracker",$G7118="Reformer"),IF(COUNTIFS($D:$D,$D7118,$A:$A,$A7118,$B:$B,$B7118,$G:$G,"CDU",$J:$J,"PLANNED")&gt;0,"tied","standalone"),"")</f>
        <v/>
      </c>
    </row>
    <row r="7119" spans="1:14">
      <c r="A7119" s="6">
        <v>2026</v>
      </c>
      <c r="B7119" s="6">
        <v>1</v>
      </c>
      <c r="C7119" s="6" t="s">
        <v>60</v>
      </c>
      <c r="D7119" s="6" t="s">
        <v>712</v>
      </c>
      <c r="E7119" s="6" t="s">
        <v>602</v>
      </c>
      <c r="F7119" s="6" t="str">
        <f>IF($M7119="PADD I","PADD 1",IF($M7119="PADD II","PADD 2",IF($M7119="PADD III","PADD 3",IF($M7119="PADD IV","PADD 4",IF($M7119="PADD V","PADD 5","")))))</f>
        <v>PADD 3</v>
      </c>
      <c r="G7119" s="6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6" t="s">
        <v>573</v>
      </c>
      <c r="I7119" s="6" t="s">
        <v>574</v>
      </c>
      <c r="J7119" s="6" t="s">
        <v>398</v>
      </c>
      <c r="K7119" s="10">
        <v>0.456</v>
      </c>
      <c r="L7119" s="10">
        <v>7.6</v>
      </c>
      <c r="M7119" s="6" t="s">
        <v>421</v>
      </c>
      <c r="N7119" s="6">
        <f>IF(OR($G7119="FCC",$G7119="Hydrocracker",$G7119="Reformer"),IF(COUNTIFS($D:$D,$D7119,$A:$A,$A7119,$B:$B,$B7119,$G:$G,"CDU",$J:$J,"PLANNED")&gt;0,"tied","standalone"),"")</f>
        <v/>
      </c>
    </row>
    <row r="7120" spans="1:14">
      <c r="A7120" s="6">
        <v>2026</v>
      </c>
      <c r="B7120" s="6">
        <v>1</v>
      </c>
      <c r="C7120" s="6" t="s">
        <v>60</v>
      </c>
      <c r="D7120" s="6" t="s">
        <v>764</v>
      </c>
      <c r="E7120" s="6" t="s">
        <v>455</v>
      </c>
      <c r="F7120" s="6" t="str">
        <f>IF($M7120="PADD I","PADD 1",IF($M7120="PADD II","PADD 2",IF($M7120="PADD III","PADD 3",IF($M7120="PADD IV","PADD 4",IF($M7120="PADD V","PADD 5","")))))</f>
        <v>PADD 3</v>
      </c>
      <c r="G7120" s="6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6" t="s">
        <v>39</v>
      </c>
      <c r="I7120" s="6" t="s">
        <v>132</v>
      </c>
      <c r="J7120" s="6" t="s">
        <v>394</v>
      </c>
      <c r="K7120" s="10">
        <v>0.39</v>
      </c>
      <c r="L7120" s="10">
        <v>3</v>
      </c>
      <c r="M7120" s="6" t="s">
        <v>421</v>
      </c>
      <c r="N7120" s="6">
        <f>IF(OR($G7120="FCC",$G7120="Hydrocracker",$G7120="Reformer"),IF(COUNTIFS($D:$D,$D7120,$A:$A,$A7120,$B:$B,$B7120,$G:$G,"CDU",$J:$J,"PLANNED")&gt;0,"tied","standalone"),"")</f>
        <v/>
      </c>
    </row>
    <row r="7121" spans="1:14">
      <c r="A7121" s="6">
        <v>2026</v>
      </c>
      <c r="B7121" s="6">
        <v>1</v>
      </c>
      <c r="C7121" s="6" t="s">
        <v>60</v>
      </c>
      <c r="D7121" s="6" t="s">
        <v>1398</v>
      </c>
      <c r="E7121" s="6" t="s">
        <v>455</v>
      </c>
      <c r="F7121" s="6" t="str">
        <f>IF($M7121="PADD I","PADD 1",IF($M7121="PADD II","PADD 2",IF($M7121="PADD III","PADD 3",IF($M7121="PADD IV","PADD 4",IF($M7121="PADD V","PADD 5","")))))</f>
        <v>PADD 5</v>
      </c>
      <c r="G7121" s="6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6" t="s">
        <v>428</v>
      </c>
      <c r="I7121" s="6" t="s">
        <v>481</v>
      </c>
      <c r="J7121" s="6" t="s">
        <v>398</v>
      </c>
      <c r="K7121" s="10">
        <v>0.3003</v>
      </c>
      <c r="L7121" s="10">
        <v>2.31</v>
      </c>
      <c r="M7121" s="6" t="s">
        <v>436</v>
      </c>
      <c r="N7121" s="6">
        <f>IF(OR($G7121="FCC",$G7121="Hydrocracker",$G7121="Reformer"),IF(COUNTIFS($D:$D,$D7121,$A:$A,$A7121,$B:$B,$B7121,$G:$G,"CDU",$J:$J,"PLANNED")&gt;0,"tied","standalone"),"")</f>
        <v/>
      </c>
    </row>
    <row r="7122" spans="1:14">
      <c r="A7122" s="6">
        <v>2026</v>
      </c>
      <c r="B7122" s="6">
        <v>2</v>
      </c>
      <c r="C7122" s="6" t="s">
        <v>61</v>
      </c>
      <c r="D7122" s="6" t="s">
        <v>1054</v>
      </c>
      <c r="E7122" s="6" t="s">
        <v>431</v>
      </c>
      <c r="F7122" s="6" t="str">
        <f>IF($M7122="PADD I","PADD 1",IF($M7122="PADD II","PADD 2",IF($M7122="PADD III","PADD 3",IF($M7122="PADD IV","PADD 4",IF($M7122="PADD V","PADD 5","")))))</f>
        <v>PADD 3</v>
      </c>
      <c r="G7122" s="6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6" t="s">
        <v>428</v>
      </c>
      <c r="I7122" s="6" t="s">
        <v>836</v>
      </c>
      <c r="J7122" s="6" t="s">
        <v>394</v>
      </c>
      <c r="K7122" s="10">
        <v>154.56</v>
      </c>
      <c r="L7122" s="10">
        <v>161</v>
      </c>
      <c r="M7122" s="6" t="s">
        <v>421</v>
      </c>
      <c r="N7122" s="6">
        <f>IF(OR($G7122="FCC",$G7122="Hydrocracker",$G7122="Reformer"),IF(COUNTIFS($D:$D,$D7122,$A:$A,$A7122,$B:$B,$B7122,$G:$G,"CDU",$J:$J,"PLANNED")&gt;0,"tied","standalone"),"")</f>
        <v/>
      </c>
    </row>
    <row r="7123" spans="1:14">
      <c r="A7123" s="6">
        <v>2026</v>
      </c>
      <c r="B7123" s="6">
        <v>2</v>
      </c>
      <c r="C7123" s="6" t="s">
        <v>61</v>
      </c>
      <c r="D7123" s="6" t="s">
        <v>437</v>
      </c>
      <c r="E7123" s="6" t="s">
        <v>438</v>
      </c>
      <c r="F7123" s="6" t="str">
        <f>IF($M7123="PADD I","PADD 1",IF($M7123="PADD II","PADD 2",IF($M7123="PADD III","PADD 3",IF($M7123="PADD IV","PADD 4",IF($M7123="PADD V","PADD 5","")))))</f>
        <v>PADD 3</v>
      </c>
      <c r="G7123" s="6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6" t="s">
        <v>426</v>
      </c>
      <c r="I7123" s="6" t="s">
        <v>522</v>
      </c>
      <c r="J7123" s="6" t="s">
        <v>398</v>
      </c>
      <c r="K7123" s="10">
        <v>140</v>
      </c>
      <c r="L7123" s="10">
        <v>140</v>
      </c>
      <c r="M7123" s="6" t="s">
        <v>421</v>
      </c>
      <c r="N7123" s="6" t="str">
        <f>IF(OR($G7123="FCC",$G7123="Hydrocracker",$G7123="Reformer"),IF(COUNTIFS($D:$D,$D7123,$A:$A,$A7123,$B:$B,$B7123,$G:$G,"CDU",$J:$J,"PLANNED")&gt;0,"tied","standalone"),"")</f>
        <v>tied</v>
      </c>
    </row>
    <row r="7124" spans="1:14">
      <c r="A7124" s="6">
        <v>2026</v>
      </c>
      <c r="B7124" s="6">
        <v>2</v>
      </c>
      <c r="C7124" s="6" t="s">
        <v>61</v>
      </c>
      <c r="D7124" s="6" t="s">
        <v>51</v>
      </c>
      <c r="E7124" s="6" t="s">
        <v>431</v>
      </c>
      <c r="F7124" s="6" t="str">
        <f>IF($M7124="PADD I","PADD 1",IF($M7124="PADD II","PADD 2",IF($M7124="PADD III","PADD 3",IF($M7124="PADD IV","PADD 4",IF($M7124="PADD V","PADD 5","")))))</f>
        <v>PADD 3</v>
      </c>
      <c r="G7124" s="6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6" t="s">
        <v>39</v>
      </c>
      <c r="I7124" s="6" t="s">
        <v>390</v>
      </c>
      <c r="J7124" s="6" t="s">
        <v>394</v>
      </c>
      <c r="K7124" s="10">
        <v>110.4</v>
      </c>
      <c r="L7124" s="10">
        <v>115</v>
      </c>
      <c r="M7124" s="6" t="s">
        <v>421</v>
      </c>
      <c r="N7124" s="6">
        <f>IF(OR($G7124="FCC",$G7124="Hydrocracker",$G7124="Reformer"),IF(COUNTIFS($D:$D,$D7124,$A:$A,$A7124,$B:$B,$B7124,$G:$G,"CDU",$J:$J,"PLANNED")&gt;0,"tied","standalone"),"")</f>
        <v/>
      </c>
    </row>
    <row r="7125" spans="1:14">
      <c r="A7125" s="6">
        <v>2026</v>
      </c>
      <c r="B7125" s="6">
        <v>2</v>
      </c>
      <c r="C7125" s="6" t="s">
        <v>61</v>
      </c>
      <c r="D7125" s="6" t="s">
        <v>51</v>
      </c>
      <c r="E7125" s="6" t="s">
        <v>431</v>
      </c>
      <c r="F7125" s="6" t="str">
        <f>IF($M7125="PADD I","PADD 1",IF($M7125="PADD II","PADD 2",IF($M7125="PADD III","PADD 3",IF($M7125="PADD IV","PADD 4",IF($M7125="PADD V","PADD 5","")))))</f>
        <v>PADD 3</v>
      </c>
      <c r="G7125" s="6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6" t="s">
        <v>39</v>
      </c>
      <c r="I7125" s="6" t="s">
        <v>390</v>
      </c>
      <c r="J7125" s="6" t="s">
        <v>398</v>
      </c>
      <c r="K7125" s="10">
        <v>81.7</v>
      </c>
      <c r="L7125" s="10">
        <v>95</v>
      </c>
      <c r="M7125" s="6" t="s">
        <v>421</v>
      </c>
      <c r="N7125" s="6">
        <f>IF(OR($G7125="FCC",$G7125="Hydrocracker",$G7125="Reformer"),IF(COUNTIFS($D:$D,$D7125,$A:$A,$A7125,$B:$B,$B7125,$G:$G,"CDU",$J:$J,"PLANNED")&gt;0,"tied","standalone"),"")</f>
        <v/>
      </c>
    </row>
    <row r="7126" spans="1:14">
      <c r="A7126" s="6">
        <v>2026</v>
      </c>
      <c r="B7126" s="6">
        <v>2</v>
      </c>
      <c r="C7126" s="6" t="s">
        <v>61</v>
      </c>
      <c r="D7126" s="6" t="s">
        <v>382</v>
      </c>
      <c r="E7126" s="6" t="s">
        <v>431</v>
      </c>
      <c r="F7126" s="6" t="str">
        <f>IF($M7126="PADD I","PADD 1",IF($M7126="PADD II","PADD 2",IF($M7126="PADD III","PADD 3",IF($M7126="PADD IV","PADD 4",IF($M7126="PADD V","PADD 5","")))))</f>
        <v>PADD 3</v>
      </c>
      <c r="G7126" s="6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6" t="s">
        <v>39</v>
      </c>
      <c r="I7126" s="6" t="s">
        <v>587</v>
      </c>
      <c r="J7126" s="6" t="s">
        <v>398</v>
      </c>
      <c r="K7126" s="10">
        <v>75.90000000000001</v>
      </c>
      <c r="L7126" s="10">
        <v>165</v>
      </c>
      <c r="M7126" s="6" t="s">
        <v>421</v>
      </c>
      <c r="N7126" s="6">
        <f>IF(OR($G7126="FCC",$G7126="Hydrocracker",$G7126="Reformer"),IF(COUNTIFS($D:$D,$D7126,$A:$A,$A7126,$B:$B,$B7126,$G:$G,"CDU",$J:$J,"PLANNED")&gt;0,"tied","standalone"),"")</f>
        <v/>
      </c>
    </row>
    <row r="7127" spans="1:14">
      <c r="A7127" s="6">
        <v>2026</v>
      </c>
      <c r="B7127" s="6">
        <v>2</v>
      </c>
      <c r="C7127" s="6" t="s">
        <v>61</v>
      </c>
      <c r="D7127" s="6" t="s">
        <v>43</v>
      </c>
      <c r="E7127" s="6" t="s">
        <v>455</v>
      </c>
      <c r="F7127" s="6" t="str">
        <f>IF($M7127="PADD I","PADD 1",IF($M7127="PADD II","PADD 2",IF($M7127="PADD III","PADD 3",IF($M7127="PADD IV","PADD 4",IF($M7127="PADD V","PADD 5","")))))</f>
        <v>PADD 3</v>
      </c>
      <c r="G7127" s="6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6" t="s">
        <v>39</v>
      </c>
      <c r="I7127" s="6" t="s">
        <v>1391</v>
      </c>
      <c r="J7127" s="6" t="s">
        <v>398</v>
      </c>
      <c r="K7127" s="10">
        <v>72</v>
      </c>
      <c r="L7127" s="10">
        <v>72</v>
      </c>
      <c r="M7127" s="6" t="s">
        <v>421</v>
      </c>
      <c r="N7127" s="6">
        <f>IF(OR($G7127="FCC",$G7127="Hydrocracker",$G7127="Reformer"),IF(COUNTIFS($D:$D,$D7127,$A:$A,$A7127,$B:$B,$B7127,$G:$G,"CDU",$J:$J,"PLANNED")&gt;0,"tied","standalone"),"")</f>
        <v/>
      </c>
    </row>
    <row r="7128" spans="1:14">
      <c r="A7128" s="6">
        <v>2026</v>
      </c>
      <c r="B7128" s="6">
        <v>2</v>
      </c>
      <c r="C7128" s="6" t="s">
        <v>61</v>
      </c>
      <c r="D7128" s="6" t="s">
        <v>373</v>
      </c>
      <c r="E7128" s="6" t="s">
        <v>438</v>
      </c>
      <c r="F7128" s="6" t="str">
        <f>IF($M7128="PADD I","PADD 1",IF($M7128="PADD II","PADD 2",IF($M7128="PADD III","PADD 3",IF($M7128="PADD IV","PADD 4",IF($M7128="PADD V","PADD 5","")))))</f>
        <v>PADD 3</v>
      </c>
      <c r="G7128" s="6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6" t="s">
        <v>39</v>
      </c>
      <c r="I7128" s="6" t="s">
        <v>100</v>
      </c>
      <c r="J7128" s="6" t="s">
        <v>398</v>
      </c>
      <c r="K7128" s="10">
        <v>71</v>
      </c>
      <c r="L7128" s="10">
        <v>100</v>
      </c>
      <c r="M7128" s="6" t="s">
        <v>421</v>
      </c>
      <c r="N7128" s="6">
        <f>IF(OR($G7128="FCC",$G7128="Hydrocracker",$G7128="Reformer"),IF(COUNTIFS($D:$D,$D7128,$A:$A,$A7128,$B:$B,$B7128,$G:$G,"CDU",$J:$J,"PLANNED")&gt;0,"tied","standalone"),"")</f>
        <v/>
      </c>
    </row>
    <row r="7129" spans="1:14">
      <c r="A7129" s="6">
        <v>2026</v>
      </c>
      <c r="B7129" s="6">
        <v>2</v>
      </c>
      <c r="C7129" s="6" t="s">
        <v>61</v>
      </c>
      <c r="D7129" s="6" t="s">
        <v>43</v>
      </c>
      <c r="E7129" s="6" t="s">
        <v>455</v>
      </c>
      <c r="F7129" s="6" t="str">
        <f>IF($M7129="PADD I","PADD 1",IF($M7129="PADD II","PADD 2",IF($M7129="PADD III","PADD 3",IF($M7129="PADD IV","PADD 4",IF($M7129="PADD V","PADD 5","")))))</f>
        <v>PADD 3</v>
      </c>
      <c r="G7129" s="6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6" t="s">
        <v>428</v>
      </c>
      <c r="I7129" s="6" t="s">
        <v>1392</v>
      </c>
      <c r="J7129" s="6" t="s">
        <v>398</v>
      </c>
      <c r="K7129" s="10">
        <v>70</v>
      </c>
      <c r="L7129" s="10">
        <v>70</v>
      </c>
      <c r="M7129" s="6" t="s">
        <v>421</v>
      </c>
      <c r="N7129" s="6">
        <f>IF(OR($G7129="FCC",$G7129="Hydrocracker",$G7129="Reformer"),IF(COUNTIFS($D:$D,$D7129,$A:$A,$A7129,$B:$B,$B7129,$G:$G,"CDU",$J:$J,"PLANNED")&gt;0,"tied","standalone"),"")</f>
        <v/>
      </c>
    </row>
    <row r="7130" spans="1:14">
      <c r="A7130" s="6">
        <v>2026</v>
      </c>
      <c r="B7130" s="6">
        <v>2</v>
      </c>
      <c r="C7130" s="6" t="s">
        <v>61</v>
      </c>
      <c r="D7130" s="6" t="s">
        <v>375</v>
      </c>
      <c r="E7130" s="6" t="s">
        <v>435</v>
      </c>
      <c r="F7130" s="6" t="str">
        <f>IF($M7130="PADD I","PADD 1",IF($M7130="PADD II","PADD 2",IF($M7130="PADD III","PADD 3",IF($M7130="PADD IV","PADD 4",IF($M7130="PADD V","PADD 5","")))))</f>
        <v>PADD 5</v>
      </c>
      <c r="G7130" s="6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6" t="s">
        <v>426</v>
      </c>
      <c r="I7130" s="6" t="s">
        <v>554</v>
      </c>
      <c r="J7130" s="6" t="s">
        <v>394</v>
      </c>
      <c r="K7130" s="10">
        <v>70</v>
      </c>
      <c r="L7130" s="10">
        <v>70</v>
      </c>
      <c r="M7130" s="6" t="s">
        <v>436</v>
      </c>
      <c r="N7130" s="6" t="str">
        <f>IF(OR($G7130="FCC",$G7130="Hydrocracker",$G7130="Reformer"),IF(COUNTIFS($D:$D,$D7130,$A:$A,$A7130,$B:$B,$B7130,$G:$G,"CDU",$J:$J,"PLANNED")&gt;0,"tied","standalone"),"")</f>
        <v>standalone</v>
      </c>
    </row>
    <row r="7131" spans="1:14">
      <c r="A7131" s="6">
        <v>2026</v>
      </c>
      <c r="B7131" s="6">
        <v>2</v>
      </c>
      <c r="C7131" s="6" t="s">
        <v>61</v>
      </c>
      <c r="D7131" s="6" t="s">
        <v>561</v>
      </c>
      <c r="E7131" s="6" t="s">
        <v>455</v>
      </c>
      <c r="F7131" s="6" t="str">
        <f>IF($M7131="PADD I","PADD 1",IF($M7131="PADD II","PADD 2",IF($M7131="PADD III","PADD 3",IF($M7131="PADD IV","PADD 4",IF($M7131="PADD V","PADD 5","")))))</f>
        <v>PADD 3</v>
      </c>
      <c r="G7131" s="6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6" t="s">
        <v>426</v>
      </c>
      <c r="I7131" s="6" t="s">
        <v>106</v>
      </c>
      <c r="J7131" s="6" t="s">
        <v>398</v>
      </c>
      <c r="K7131" s="10">
        <v>65</v>
      </c>
      <c r="L7131" s="10">
        <v>65</v>
      </c>
      <c r="M7131" s="6" t="s">
        <v>421</v>
      </c>
      <c r="N7131" s="6" t="str">
        <f>IF(OR($G7131="FCC",$G7131="Hydrocracker",$G7131="Reformer"),IF(COUNTIFS($D:$D,$D7131,$A:$A,$A7131,$B:$B,$B7131,$G:$G,"CDU",$J:$J,"PLANNED")&gt;0,"tied","standalone"),"")</f>
        <v>standalone</v>
      </c>
    </row>
    <row r="7132" spans="1:14">
      <c r="A7132" s="6">
        <v>2026</v>
      </c>
      <c r="B7132" s="6">
        <v>2</v>
      </c>
      <c r="C7132" s="6" t="s">
        <v>61</v>
      </c>
      <c r="D7132" s="6" t="s">
        <v>375</v>
      </c>
      <c r="E7132" s="6" t="s">
        <v>435</v>
      </c>
      <c r="F7132" s="6" t="str">
        <f>IF($M7132="PADD I","PADD 1",IF($M7132="PADD II","PADD 2",IF($M7132="PADD III","PADD 3",IF($M7132="PADD IV","PADD 4",IF($M7132="PADD V","PADD 5","")))))</f>
        <v>PADD 5</v>
      </c>
      <c r="G7132" s="6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6" t="s">
        <v>39</v>
      </c>
      <c r="I7132" s="6" t="s">
        <v>94</v>
      </c>
      <c r="J7132" s="6" t="s">
        <v>394</v>
      </c>
      <c r="K7132" s="10">
        <v>60</v>
      </c>
      <c r="L7132" s="10">
        <v>60</v>
      </c>
      <c r="M7132" s="6" t="s">
        <v>436</v>
      </c>
      <c r="N7132" s="6">
        <f>IF(OR($G7132="FCC",$G7132="Hydrocracker",$G7132="Reformer"),IF(COUNTIFS($D:$D,$D7132,$A:$A,$A7132,$B:$B,$B7132,$G:$G,"CDU",$J:$J,"PLANNED")&gt;0,"tied","standalone"),"")</f>
        <v/>
      </c>
    </row>
    <row r="7133" spans="1:14">
      <c r="A7133" s="6">
        <v>2026</v>
      </c>
      <c r="B7133" s="6">
        <v>2</v>
      </c>
      <c r="C7133" s="6" t="s">
        <v>61</v>
      </c>
      <c r="D7133" s="6" t="s">
        <v>712</v>
      </c>
      <c r="E7133" s="6" t="s">
        <v>602</v>
      </c>
      <c r="F7133" s="6" t="str">
        <f>IF($M7133="PADD I","PADD 1",IF($M7133="PADD II","PADD 2",IF($M7133="PADD III","PADD 3",IF($M7133="PADD IV","PADD 4",IF($M7133="PADD V","PADD 5","")))))</f>
        <v>PADD 3</v>
      </c>
      <c r="G7133" s="6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6" t="s">
        <v>39</v>
      </c>
      <c r="I7133" s="6" t="s">
        <v>713</v>
      </c>
      <c r="J7133" s="6" t="s">
        <v>398</v>
      </c>
      <c r="K7133" s="10">
        <v>59.86</v>
      </c>
      <c r="L7133" s="10">
        <v>73</v>
      </c>
      <c r="M7133" s="6" t="s">
        <v>421</v>
      </c>
      <c r="N7133" s="6">
        <f>IF(OR($G7133="FCC",$G7133="Hydrocracker",$G7133="Reformer"),IF(COUNTIFS($D:$D,$D7133,$A:$A,$A7133,$B:$B,$B7133,$G:$G,"CDU",$J:$J,"PLANNED")&gt;0,"tied","standalone"),"")</f>
        <v/>
      </c>
    </row>
    <row r="7134" spans="1:14">
      <c r="A7134" s="6">
        <v>2026</v>
      </c>
      <c r="B7134" s="6">
        <v>2</v>
      </c>
      <c r="C7134" s="6" t="s">
        <v>61</v>
      </c>
      <c r="D7134" s="6" t="s">
        <v>828</v>
      </c>
      <c r="E7134" s="6" t="s">
        <v>829</v>
      </c>
      <c r="F7134" s="6" t="str">
        <f>IF($M7134="PADD I","PADD 1",IF($M7134="PADD II","PADD 2",IF($M7134="PADD III","PADD 3",IF($M7134="PADD IV","PADD 4",IF($M7134="PADD V","PADD 5","")))))</f>
        <v>PADD 3</v>
      </c>
      <c r="G7134" s="6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6" t="s">
        <v>39</v>
      </c>
      <c r="I7134" s="6" t="s">
        <v>855</v>
      </c>
      <c r="J7134" s="6" t="s">
        <v>398</v>
      </c>
      <c r="K7134" s="10">
        <v>58</v>
      </c>
      <c r="L7134" s="10">
        <v>58</v>
      </c>
      <c r="M7134" s="6" t="s">
        <v>421</v>
      </c>
      <c r="N7134" s="6">
        <f>IF(OR($G7134="FCC",$G7134="Hydrocracker",$G7134="Reformer"),IF(COUNTIFS($D:$D,$D7134,$A:$A,$A7134,$B:$B,$B7134,$G:$G,"CDU",$J:$J,"PLANNED")&gt;0,"tied","standalone"),"")</f>
        <v/>
      </c>
    </row>
    <row r="7135" spans="1:14">
      <c r="A7135" s="6">
        <v>2026</v>
      </c>
      <c r="B7135" s="6">
        <v>2</v>
      </c>
      <c r="C7135" s="6" t="s">
        <v>61</v>
      </c>
      <c r="D7135" s="6" t="s">
        <v>437</v>
      </c>
      <c r="E7135" s="6" t="s">
        <v>438</v>
      </c>
      <c r="F7135" s="6" t="str">
        <f>IF($M7135="PADD I","PADD 1",IF($M7135="PADD II","PADD 2",IF($M7135="PADD III","PADD 3",IF($M7135="PADD IV","PADD 4",IF($M7135="PADD V","PADD 5","")))))</f>
        <v>PADD 3</v>
      </c>
      <c r="G7135" s="6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6" t="s">
        <v>44</v>
      </c>
      <c r="I7135" s="6" t="s">
        <v>1399</v>
      </c>
      <c r="J7135" s="6" t="s">
        <v>398</v>
      </c>
      <c r="K7135" s="10">
        <v>57.85</v>
      </c>
      <c r="L7135" s="10">
        <v>65</v>
      </c>
      <c r="M7135" s="6" t="s">
        <v>421</v>
      </c>
      <c r="N7135" s="6">
        <f>IF(OR($G7135="FCC",$G7135="Hydrocracker",$G7135="Reformer"),IF(COUNTIFS($D:$D,$D7135,$A:$A,$A7135,$B:$B,$B7135,$G:$G,"CDU",$J:$J,"PLANNED")&gt;0,"tied","standalone"),"")</f>
        <v/>
      </c>
    </row>
    <row r="7136" spans="1:14">
      <c r="A7136" s="6">
        <v>2026</v>
      </c>
      <c r="B7136" s="6">
        <v>2</v>
      </c>
      <c r="C7136" s="6" t="s">
        <v>61</v>
      </c>
      <c r="D7136" s="6" t="s">
        <v>370</v>
      </c>
      <c r="E7136" s="6" t="s">
        <v>431</v>
      </c>
      <c r="F7136" s="6" t="str">
        <f>IF($M7136="PADD I","PADD 1",IF($M7136="PADD II","PADD 2",IF($M7136="PADD III","PADD 3",IF($M7136="PADD IV","PADD 4",IF($M7136="PADD V","PADD 5","")))))</f>
        <v>PADD 2</v>
      </c>
      <c r="G7136" s="6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6" t="s">
        <v>39</v>
      </c>
      <c r="I7136" s="6" t="s">
        <v>82</v>
      </c>
      <c r="J7136" s="6" t="s">
        <v>394</v>
      </c>
      <c r="K7136" s="10">
        <v>57.5</v>
      </c>
      <c r="L7136" s="10">
        <v>115</v>
      </c>
      <c r="M7136" s="6" t="s">
        <v>425</v>
      </c>
      <c r="N7136" s="6">
        <f>IF(OR($G7136="FCC",$G7136="Hydrocracker",$G7136="Reformer"),IF(COUNTIFS($D:$D,$D7136,$A:$A,$A7136,$B:$B,$B7136,$G:$G,"CDU",$J:$J,"PLANNED")&gt;0,"tied","standalone"),"")</f>
        <v/>
      </c>
    </row>
    <row r="7137" spans="1:14">
      <c r="A7137" s="6">
        <v>2026</v>
      </c>
      <c r="B7137" s="6">
        <v>2</v>
      </c>
      <c r="C7137" s="6" t="s">
        <v>61</v>
      </c>
      <c r="D7137" s="6" t="s">
        <v>52</v>
      </c>
      <c r="E7137" s="6" t="s">
        <v>441</v>
      </c>
      <c r="F7137" s="6" t="str">
        <f>IF($M7137="PADD I","PADD 1",IF($M7137="PADD II","PADD 2",IF($M7137="PADD III","PADD 3",IF($M7137="PADD IV","PADD 4",IF($M7137="PADD V","PADD 5","")))))</f>
        <v>PADD 5</v>
      </c>
      <c r="G7137" s="6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6" t="s">
        <v>428</v>
      </c>
      <c r="I7137" s="6" t="s">
        <v>1085</v>
      </c>
      <c r="J7137" s="6" t="s">
        <v>394</v>
      </c>
      <c r="K7137" s="10">
        <v>56.35</v>
      </c>
      <c r="L7137" s="10">
        <v>56.35</v>
      </c>
      <c r="M7137" s="6" t="s">
        <v>436</v>
      </c>
      <c r="N7137" s="6">
        <f>IF(OR($G7137="FCC",$G7137="Hydrocracker",$G7137="Reformer"),IF(COUNTIFS($D:$D,$D7137,$A:$A,$A7137,$B:$B,$B7137,$G:$G,"CDU",$J:$J,"PLANNED")&gt;0,"tied","standalone"),"")</f>
        <v/>
      </c>
    </row>
    <row r="7138" spans="1:14">
      <c r="A7138" s="6">
        <v>2026</v>
      </c>
      <c r="B7138" s="6">
        <v>2</v>
      </c>
      <c r="C7138" s="6" t="s">
        <v>61</v>
      </c>
      <c r="D7138" s="6" t="s">
        <v>51</v>
      </c>
      <c r="E7138" s="6" t="s">
        <v>431</v>
      </c>
      <c r="F7138" s="6" t="str">
        <f>IF($M7138="PADD I","PADD 1",IF($M7138="PADD II","PADD 2",IF($M7138="PADD III","PADD 3",IF($M7138="PADD IV","PADD 4",IF($M7138="PADD V","PADD 5","")))))</f>
        <v>PADD 3</v>
      </c>
      <c r="G7138" s="6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6" t="s">
        <v>44</v>
      </c>
      <c r="I7138" s="6" t="s">
        <v>1379</v>
      </c>
      <c r="J7138" s="6" t="s">
        <v>398</v>
      </c>
      <c r="K7138" s="10">
        <v>55</v>
      </c>
      <c r="L7138" s="10">
        <v>55</v>
      </c>
      <c r="M7138" s="6" t="s">
        <v>421</v>
      </c>
      <c r="N7138" s="6">
        <f>IF(OR($G7138="FCC",$G7138="Hydrocracker",$G7138="Reformer"),IF(COUNTIFS($D:$D,$D7138,$A:$A,$A7138,$B:$B,$B7138,$G:$G,"CDU",$J:$J,"PLANNED")&gt;0,"tied","standalone"),"")</f>
        <v/>
      </c>
    </row>
    <row r="7139" spans="1:14">
      <c r="A7139" s="6">
        <v>2026</v>
      </c>
      <c r="B7139" s="6">
        <v>2</v>
      </c>
      <c r="C7139" s="6" t="s">
        <v>61</v>
      </c>
      <c r="D7139" s="6" t="s">
        <v>43</v>
      </c>
      <c r="E7139" s="6" t="s">
        <v>455</v>
      </c>
      <c r="F7139" s="6" t="str">
        <f>IF($M7139="PADD I","PADD 1",IF($M7139="PADD II","PADD 2",IF($M7139="PADD III","PADD 3",IF($M7139="PADD IV","PADD 4",IF($M7139="PADD V","PADD 5","")))))</f>
        <v>PADD 3</v>
      </c>
      <c r="G7139" s="6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6" t="s">
        <v>39</v>
      </c>
      <c r="I7139" s="6" t="s">
        <v>1393</v>
      </c>
      <c r="J7139" s="6" t="s">
        <v>398</v>
      </c>
      <c r="K7139" s="10">
        <v>53</v>
      </c>
      <c r="L7139" s="10">
        <v>53</v>
      </c>
      <c r="M7139" s="6" t="s">
        <v>421</v>
      </c>
      <c r="N7139" s="6">
        <f>IF(OR($G7139="FCC",$G7139="Hydrocracker",$G7139="Reformer"),IF(COUNTIFS($D:$D,$D7139,$A:$A,$A7139,$B:$B,$B7139,$G:$G,"CDU",$J:$J,"PLANNED")&gt;0,"tied","standalone"),"")</f>
        <v/>
      </c>
    </row>
    <row r="7140" spans="1:14">
      <c r="A7140" s="6">
        <v>2026</v>
      </c>
      <c r="B7140" s="6">
        <v>2</v>
      </c>
      <c r="C7140" s="6" t="s">
        <v>61</v>
      </c>
      <c r="D7140" s="6" t="s">
        <v>1110</v>
      </c>
      <c r="E7140" s="6" t="s">
        <v>1089</v>
      </c>
      <c r="F7140" s="6" t="str">
        <f>IF($M7140="PADD I","PADD 1",IF($M7140="PADD II","PADD 2",IF($M7140="PADD III","PADD 3",IF($M7140="PADD IV","PADD 4",IF($M7140="PADD V","PADD 5","")))))</f>
        <v>PADD 2</v>
      </c>
      <c r="G7140" s="6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6" t="s">
        <v>426</v>
      </c>
      <c r="I7140" s="6" t="s">
        <v>106</v>
      </c>
      <c r="J7140" s="6" t="s">
        <v>394</v>
      </c>
      <c r="K7140" s="10">
        <v>52.92</v>
      </c>
      <c r="L7140" s="10">
        <v>98</v>
      </c>
      <c r="M7140" s="6" t="s">
        <v>425</v>
      </c>
      <c r="N7140" s="6" t="str">
        <f>IF(OR($G7140="FCC",$G7140="Hydrocracker",$G7140="Reformer"),IF(COUNTIFS($D:$D,$D7140,$A:$A,$A7140,$B:$B,$B7140,$G:$G,"CDU",$J:$J,"PLANNED")&gt;0,"tied","standalone"),"")</f>
        <v>tied</v>
      </c>
    </row>
    <row r="7141" spans="1:14">
      <c r="A7141" s="6">
        <v>2026</v>
      </c>
      <c r="B7141" s="6">
        <v>2</v>
      </c>
      <c r="C7141" s="6" t="s">
        <v>61</v>
      </c>
      <c r="D7141" s="6" t="s">
        <v>465</v>
      </c>
      <c r="E7141" s="6" t="s">
        <v>466</v>
      </c>
      <c r="F7141" s="6" t="str">
        <f>IF($M7141="PADD I","PADD 1",IF($M7141="PADD II","PADD 2",IF($M7141="PADD III","PADD 3",IF($M7141="PADD IV","PADD 4",IF($M7141="PADD V","PADD 5","")))))</f>
        <v>PADD 3</v>
      </c>
      <c r="G7141" s="6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6" t="s">
        <v>471</v>
      </c>
      <c r="I7141" s="6" t="s">
        <v>504</v>
      </c>
      <c r="J7141" s="6" t="s">
        <v>394</v>
      </c>
      <c r="K7141" s="10">
        <v>52</v>
      </c>
      <c r="L7141" s="10">
        <v>52</v>
      </c>
      <c r="M7141" s="6" t="s">
        <v>421</v>
      </c>
      <c r="N7141" s="6" t="str">
        <f>IF(OR($G7141="FCC",$G7141="Hydrocracker",$G7141="Reformer"),IF(COUNTIFS($D:$D,$D7141,$A:$A,$A7141,$B:$B,$B7141,$G:$G,"CDU",$J:$J,"PLANNED")&gt;0,"tied","standalone"),"")</f>
        <v>standalone</v>
      </c>
    </row>
    <row r="7142" spans="1:14">
      <c r="A7142" s="6">
        <v>2026</v>
      </c>
      <c r="B7142" s="6">
        <v>2</v>
      </c>
      <c r="C7142" s="6" t="s">
        <v>61</v>
      </c>
      <c r="D7142" s="6" t="s">
        <v>51</v>
      </c>
      <c r="E7142" s="6" t="s">
        <v>431</v>
      </c>
      <c r="F7142" s="6" t="str">
        <f>IF($M7142="PADD I","PADD 1",IF($M7142="PADD II","PADD 2",IF($M7142="PADD III","PADD 3",IF($M7142="PADD IV","PADD 4",IF($M7142="PADD V","PADD 5","")))))</f>
        <v>PADD 3</v>
      </c>
      <c r="G7142" s="6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6" t="s">
        <v>485</v>
      </c>
      <c r="I7142" s="6" t="s">
        <v>1322</v>
      </c>
      <c r="J7142" s="6" t="s">
        <v>398</v>
      </c>
      <c r="K7142" s="10">
        <v>51.5</v>
      </c>
      <c r="L7142" s="10">
        <v>51.5</v>
      </c>
      <c r="M7142" s="6" t="s">
        <v>421</v>
      </c>
      <c r="N7142" s="6">
        <f>IF(OR($G7142="FCC",$G7142="Hydrocracker",$G7142="Reformer"),IF(COUNTIFS($D:$D,$D7142,$A:$A,$A7142,$B:$B,$B7142,$G:$G,"CDU",$J:$J,"PLANNED")&gt;0,"tied","standalone"),"")</f>
        <v/>
      </c>
    </row>
    <row r="7143" spans="1:14">
      <c r="A7143" s="6">
        <v>2026</v>
      </c>
      <c r="B7143" s="6">
        <v>2</v>
      </c>
      <c r="C7143" s="6" t="s">
        <v>61</v>
      </c>
      <c r="D7143" s="6" t="s">
        <v>1110</v>
      </c>
      <c r="E7143" s="6" t="s">
        <v>1089</v>
      </c>
      <c r="F7143" s="6" t="str">
        <f>IF($M7143="PADD I","PADD 1",IF($M7143="PADD II","PADD 2",IF($M7143="PADD III","PADD 3",IF($M7143="PADD IV","PADD 4",IF($M7143="PADD V","PADD 5","")))))</f>
        <v>PADD 2</v>
      </c>
      <c r="G7143" s="6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6" t="s">
        <v>428</v>
      </c>
      <c r="I7143" s="6" t="s">
        <v>481</v>
      </c>
      <c r="J7143" s="6" t="s">
        <v>394</v>
      </c>
      <c r="K7143" s="10">
        <v>51.3</v>
      </c>
      <c r="L7143" s="10">
        <v>95</v>
      </c>
      <c r="M7143" s="6" t="s">
        <v>425</v>
      </c>
      <c r="N7143" s="6">
        <f>IF(OR($G7143="FCC",$G7143="Hydrocracker",$G7143="Reformer"),IF(COUNTIFS($D:$D,$D7143,$A:$A,$A7143,$B:$B,$B7143,$G:$G,"CDU",$J:$J,"PLANNED")&gt;0,"tied","standalone"),"")</f>
        <v/>
      </c>
    </row>
    <row r="7144" spans="1:14">
      <c r="A7144" s="6">
        <v>2026</v>
      </c>
      <c r="B7144" s="6">
        <v>2</v>
      </c>
      <c r="C7144" s="6" t="s">
        <v>61</v>
      </c>
      <c r="D7144" s="6" t="s">
        <v>440</v>
      </c>
      <c r="E7144" s="6" t="s">
        <v>441</v>
      </c>
      <c r="F7144" s="6" t="str">
        <f>IF($M7144="PADD I","PADD 1",IF($M7144="PADD II","PADD 2",IF($M7144="PADD III","PADD 3",IF($M7144="PADD IV","PADD 4",IF($M7144="PADD V","PADD 5","")))))</f>
        <v>PADD 3</v>
      </c>
      <c r="G7144" s="6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6" t="s">
        <v>39</v>
      </c>
      <c r="I7144" s="6" t="s">
        <v>442</v>
      </c>
      <c r="J7144" s="6" t="s">
        <v>394</v>
      </c>
      <c r="K7144" s="10">
        <v>50.4</v>
      </c>
      <c r="L7144" s="10">
        <v>240</v>
      </c>
      <c r="M7144" s="6" t="s">
        <v>421</v>
      </c>
      <c r="N7144" s="6">
        <f>IF(OR($G7144="FCC",$G7144="Hydrocracker",$G7144="Reformer"),IF(COUNTIFS($D:$D,$D7144,$A:$A,$A7144,$B:$B,$B7144,$G:$G,"CDU",$J:$J,"PLANNED")&gt;0,"tied","standalone"),"")</f>
        <v/>
      </c>
    </row>
    <row r="7145" spans="1:14">
      <c r="A7145" s="6">
        <v>2026</v>
      </c>
      <c r="B7145" s="6">
        <v>2</v>
      </c>
      <c r="C7145" s="6" t="s">
        <v>61</v>
      </c>
      <c r="D7145" s="6" t="s">
        <v>789</v>
      </c>
      <c r="E7145" s="6" t="s">
        <v>455</v>
      </c>
      <c r="F7145" s="6" t="str">
        <f>IF($M7145="PADD I","PADD 1",IF($M7145="PADD II","PADD 2",IF($M7145="PADD III","PADD 3",IF($M7145="PADD IV","PADD 4",IF($M7145="PADD V","PADD 5","")))))</f>
        <v>PADD 2</v>
      </c>
      <c r="G7145" s="6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6" t="s">
        <v>39</v>
      </c>
      <c r="I7145" s="6" t="s">
        <v>134</v>
      </c>
      <c r="J7145" s="6" t="s">
        <v>394</v>
      </c>
      <c r="K7145" s="10">
        <v>49.41</v>
      </c>
      <c r="L7145" s="10">
        <v>91.5</v>
      </c>
      <c r="M7145" s="6" t="s">
        <v>425</v>
      </c>
      <c r="N7145" s="6">
        <f>IF(OR($G7145="FCC",$G7145="Hydrocracker",$G7145="Reformer"),IF(COUNTIFS($D:$D,$D7145,$A:$A,$A7145,$B:$B,$B7145,$G:$G,"CDU",$J:$J,"PLANNED")&gt;0,"tied","standalone"),"")</f>
        <v/>
      </c>
    </row>
    <row r="7146" spans="1:14">
      <c r="A7146" s="6">
        <v>2026</v>
      </c>
      <c r="B7146" s="6">
        <v>2</v>
      </c>
      <c r="C7146" s="6" t="s">
        <v>61</v>
      </c>
      <c r="D7146" s="6" t="s">
        <v>1110</v>
      </c>
      <c r="E7146" s="6" t="s">
        <v>1089</v>
      </c>
      <c r="F7146" s="6" t="str">
        <f>IF($M7146="PADD I","PADD 1",IF($M7146="PADD II","PADD 2",IF($M7146="PADD III","PADD 3",IF($M7146="PADD IV","PADD 4",IF($M7146="PADD V","PADD 5","")))))</f>
        <v>PADD 2</v>
      </c>
      <c r="G7146" s="6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6" t="s">
        <v>39</v>
      </c>
      <c r="I7146" s="6" t="s">
        <v>456</v>
      </c>
      <c r="J7146" s="6" t="s">
        <v>398</v>
      </c>
      <c r="K7146" s="10">
        <v>46.4</v>
      </c>
      <c r="L7146" s="10">
        <v>160</v>
      </c>
      <c r="M7146" s="6" t="s">
        <v>425</v>
      </c>
      <c r="N7146" s="6">
        <f>IF(OR($G7146="FCC",$G7146="Hydrocracker",$G7146="Reformer"),IF(COUNTIFS($D:$D,$D7146,$A:$A,$A7146,$B:$B,$B7146,$G:$G,"CDU",$J:$J,"PLANNED")&gt;0,"tied","standalone"),"")</f>
        <v/>
      </c>
    </row>
    <row r="7147" spans="1:14">
      <c r="A7147" s="6">
        <v>2026</v>
      </c>
      <c r="B7147" s="6">
        <v>2</v>
      </c>
      <c r="C7147" s="6" t="s">
        <v>61</v>
      </c>
      <c r="D7147" s="6" t="s">
        <v>828</v>
      </c>
      <c r="E7147" s="6" t="s">
        <v>829</v>
      </c>
      <c r="F7147" s="6" t="str">
        <f>IF($M7147="PADD I","PADD 1",IF($M7147="PADD II","PADD 2",IF($M7147="PADD III","PADD 3",IF($M7147="PADD IV","PADD 4",IF($M7147="PADD V","PADD 5","")))))</f>
        <v>PADD 3</v>
      </c>
      <c r="G7147" s="6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6" t="s">
        <v>426</v>
      </c>
      <c r="I7147" s="6" t="s">
        <v>856</v>
      </c>
      <c r="J7147" s="6" t="s">
        <v>398</v>
      </c>
      <c r="K7147" s="10">
        <v>45.1</v>
      </c>
      <c r="L7147" s="10">
        <v>55</v>
      </c>
      <c r="M7147" s="6" t="s">
        <v>421</v>
      </c>
      <c r="N7147" s="6" t="str">
        <f>IF(OR($G7147="FCC",$G7147="Hydrocracker",$G7147="Reformer"),IF(COUNTIFS($D:$D,$D7147,$A:$A,$A7147,$B:$B,$B7147,$G:$G,"CDU",$J:$J,"PLANNED")&gt;0,"tied","standalone"),"")</f>
        <v>tied</v>
      </c>
    </row>
    <row r="7148" spans="1:14">
      <c r="A7148" s="6">
        <v>2026</v>
      </c>
      <c r="B7148" s="6">
        <v>2</v>
      </c>
      <c r="C7148" s="6" t="s">
        <v>61</v>
      </c>
      <c r="D7148" s="6" t="s">
        <v>43</v>
      </c>
      <c r="E7148" s="6" t="s">
        <v>455</v>
      </c>
      <c r="F7148" s="6" t="str">
        <f>IF($M7148="PADD I","PADD 1",IF($M7148="PADD II","PADD 2",IF($M7148="PADD III","PADD 3",IF($M7148="PADD IV","PADD 4",IF($M7148="PADD V","PADD 5","")))))</f>
        <v>PADD 3</v>
      </c>
      <c r="G7148" s="6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6" t="s">
        <v>428</v>
      </c>
      <c r="I7148" s="6" t="s">
        <v>1394</v>
      </c>
      <c r="J7148" s="6" t="s">
        <v>398</v>
      </c>
      <c r="K7148" s="10">
        <v>45</v>
      </c>
      <c r="L7148" s="10">
        <v>45</v>
      </c>
      <c r="M7148" s="6" t="s">
        <v>421</v>
      </c>
      <c r="N7148" s="6">
        <f>IF(OR($G7148="FCC",$G7148="Hydrocracker",$G7148="Reformer"),IF(COUNTIFS($D:$D,$D7148,$A:$A,$A7148,$B:$B,$B7148,$G:$G,"CDU",$J:$J,"PLANNED")&gt;0,"tied","standalone"),"")</f>
        <v/>
      </c>
    </row>
    <row r="7149" spans="1:14">
      <c r="A7149" s="6">
        <v>2026</v>
      </c>
      <c r="B7149" s="6">
        <v>2</v>
      </c>
      <c r="C7149" s="6" t="s">
        <v>61</v>
      </c>
      <c r="D7149" s="6" t="s">
        <v>820</v>
      </c>
      <c r="E7149" s="6" t="s">
        <v>710</v>
      </c>
      <c r="F7149" s="6" t="str">
        <f>IF($M7149="PADD I","PADD 1",IF($M7149="PADD II","PADD 2",IF($M7149="PADD III","PADD 3",IF($M7149="PADD IV","PADD 4",IF($M7149="PADD V","PADD 5","")))))</f>
        <v>PADD 3</v>
      </c>
      <c r="G7149" s="6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6" t="s">
        <v>39</v>
      </c>
      <c r="I7149" s="6" t="s">
        <v>821</v>
      </c>
      <c r="J7149" s="6" t="s">
        <v>394</v>
      </c>
      <c r="K7149" s="10">
        <v>44.73</v>
      </c>
      <c r="L7149" s="10">
        <v>63</v>
      </c>
      <c r="M7149" s="6" t="s">
        <v>421</v>
      </c>
      <c r="N7149" s="6">
        <f>IF(OR($G7149="FCC",$G7149="Hydrocracker",$G7149="Reformer"),IF(COUNTIFS($D:$D,$D7149,$A:$A,$A7149,$B:$B,$B7149,$G:$G,"CDU",$J:$J,"PLANNED")&gt;0,"tied","standalone"),"")</f>
        <v/>
      </c>
    </row>
    <row r="7150" spans="1:14">
      <c r="A7150" s="6">
        <v>2026</v>
      </c>
      <c r="B7150" s="6">
        <v>2</v>
      </c>
      <c r="C7150" s="6" t="s">
        <v>61</v>
      </c>
      <c r="D7150" s="6" t="s">
        <v>373</v>
      </c>
      <c r="E7150" s="6" t="s">
        <v>438</v>
      </c>
      <c r="F7150" s="6" t="str">
        <f>IF($M7150="PADD I","PADD 1",IF($M7150="PADD II","PADD 2",IF($M7150="PADD III","PADD 3",IF($M7150="PADD IV","PADD 4",IF($M7150="PADD V","PADD 5","")))))</f>
        <v>PADD 3</v>
      </c>
      <c r="G7150" s="6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6" t="s">
        <v>428</v>
      </c>
      <c r="I7150" s="6" t="s">
        <v>1142</v>
      </c>
      <c r="J7150" s="6" t="s">
        <v>398</v>
      </c>
      <c r="K7150" s="10">
        <v>44</v>
      </c>
      <c r="L7150" s="10">
        <v>137.5</v>
      </c>
      <c r="M7150" s="6" t="s">
        <v>421</v>
      </c>
      <c r="N7150" s="6">
        <f>IF(OR($G7150="FCC",$G7150="Hydrocracker",$G7150="Reformer"),IF(COUNTIFS($D:$D,$D7150,$A:$A,$A7150,$B:$B,$B7150,$G:$G,"CDU",$J:$J,"PLANNED")&gt;0,"tied","standalone"),"")</f>
        <v/>
      </c>
    </row>
    <row r="7151" spans="1:14">
      <c r="A7151" s="6">
        <v>2026</v>
      </c>
      <c r="B7151" s="6">
        <v>2</v>
      </c>
      <c r="C7151" s="6" t="s">
        <v>61</v>
      </c>
      <c r="D7151" s="6" t="s">
        <v>370</v>
      </c>
      <c r="E7151" s="6" t="s">
        <v>431</v>
      </c>
      <c r="F7151" s="6" t="str">
        <f>IF($M7151="PADD I","PADD 1",IF($M7151="PADD II","PADD 2",IF($M7151="PADD III","PADD 3",IF($M7151="PADD IV","PADD 4",IF($M7151="PADD V","PADD 5","")))))</f>
        <v>PADD 2</v>
      </c>
      <c r="G7151" s="6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6" t="s">
        <v>44</v>
      </c>
      <c r="I7151" s="6" t="s">
        <v>1215</v>
      </c>
      <c r="J7151" s="6" t="s">
        <v>394</v>
      </c>
      <c r="K7151" s="10">
        <v>40</v>
      </c>
      <c r="L7151" s="10">
        <v>80</v>
      </c>
      <c r="M7151" s="6" t="s">
        <v>425</v>
      </c>
      <c r="N7151" s="6">
        <f>IF(OR($G7151="FCC",$G7151="Hydrocracker",$G7151="Reformer"),IF(COUNTIFS($D:$D,$D7151,$A:$A,$A7151,$B:$B,$B7151,$G:$G,"CDU",$J:$J,"PLANNED")&gt;0,"tied","standalone"),"")</f>
        <v/>
      </c>
    </row>
    <row r="7152" spans="1:14">
      <c r="A7152" s="6">
        <v>2026</v>
      </c>
      <c r="B7152" s="6">
        <v>2</v>
      </c>
      <c r="C7152" s="6" t="s">
        <v>61</v>
      </c>
      <c r="D7152" s="6" t="s">
        <v>430</v>
      </c>
      <c r="E7152" s="6" t="s">
        <v>431</v>
      </c>
      <c r="F7152" s="6" t="str">
        <f>IF($M7152="PADD I","PADD 1",IF($M7152="PADD II","PADD 2",IF($M7152="PADD III","PADD 3",IF($M7152="PADD IV","PADD 4",IF($M7152="PADD V","PADD 5","")))))</f>
        <v>PADD 3</v>
      </c>
      <c r="G7152" s="6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6" t="s">
        <v>39</v>
      </c>
      <c r="I7152" s="6" t="s">
        <v>896</v>
      </c>
      <c r="J7152" s="6" t="s">
        <v>398</v>
      </c>
      <c r="K7152" s="10">
        <v>39.1</v>
      </c>
      <c r="L7152" s="10">
        <v>85</v>
      </c>
      <c r="M7152" s="6" t="s">
        <v>421</v>
      </c>
      <c r="N7152" s="6">
        <f>IF(OR($G7152="FCC",$G7152="Hydrocracker",$G7152="Reformer"),IF(COUNTIFS($D:$D,$D7152,$A:$A,$A7152,$B:$B,$B7152,$G:$G,"CDU",$J:$J,"PLANNED")&gt;0,"tied","standalone"),"")</f>
        <v/>
      </c>
    </row>
    <row r="7153" spans="1:14">
      <c r="A7153" s="6">
        <v>2026</v>
      </c>
      <c r="B7153" s="6">
        <v>2</v>
      </c>
      <c r="C7153" s="6" t="s">
        <v>61</v>
      </c>
      <c r="D7153" s="6" t="s">
        <v>576</v>
      </c>
      <c r="E7153" s="6" t="s">
        <v>455</v>
      </c>
      <c r="F7153" s="6" t="str">
        <f>IF($M7153="PADD I","PADD 1",IF($M7153="PADD II","PADD 2",IF($M7153="PADD III","PADD 3",IF($M7153="PADD IV","PADD 4",IF($M7153="PADD V","PADD 5","")))))</f>
        <v>PADD 3</v>
      </c>
      <c r="G7153" s="6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6" t="s">
        <v>39</v>
      </c>
      <c r="I7153" s="6" t="s">
        <v>399</v>
      </c>
      <c r="J7153" s="6" t="s">
        <v>394</v>
      </c>
      <c r="K7153" s="10">
        <v>39</v>
      </c>
      <c r="L7153" s="10">
        <v>100</v>
      </c>
      <c r="M7153" s="6" t="s">
        <v>421</v>
      </c>
      <c r="N7153" s="6">
        <f>IF(OR($G7153="FCC",$G7153="Hydrocracker",$G7153="Reformer"),IF(COUNTIFS($D:$D,$D7153,$A:$A,$A7153,$B:$B,$B7153,$G:$G,"CDU",$J:$J,"PLANNED")&gt;0,"tied","standalone"),"")</f>
        <v/>
      </c>
    </row>
    <row r="7154" spans="1:14">
      <c r="A7154" s="6">
        <v>2026</v>
      </c>
      <c r="B7154" s="6">
        <v>2</v>
      </c>
      <c r="C7154" s="6" t="s">
        <v>61</v>
      </c>
      <c r="D7154" s="6" t="s">
        <v>597</v>
      </c>
      <c r="E7154" s="6" t="s">
        <v>441</v>
      </c>
      <c r="F7154" s="6" t="str">
        <f>IF($M7154="PADD I","PADD 1",IF($M7154="PADD II","PADD 2",IF($M7154="PADD III","PADD 3",IF($M7154="PADD IV","PADD 4",IF($M7154="PADD V","PADD 5","")))))</f>
        <v>PADD 5</v>
      </c>
      <c r="G7154" s="6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6" t="s">
        <v>471</v>
      </c>
      <c r="I7154" s="6" t="s">
        <v>1099</v>
      </c>
      <c r="J7154" s="6" t="s">
        <v>394</v>
      </c>
      <c r="K7154" s="10">
        <v>38.4</v>
      </c>
      <c r="L7154" s="10">
        <v>40</v>
      </c>
      <c r="M7154" s="6" t="s">
        <v>436</v>
      </c>
      <c r="N7154" s="6" t="str">
        <f>IF(OR($G7154="FCC",$G7154="Hydrocracker",$G7154="Reformer"),IF(COUNTIFS($D:$D,$D7154,$A:$A,$A7154,$B:$B,$B7154,$G:$G,"CDU",$J:$J,"PLANNED")&gt;0,"tied","standalone"),"")</f>
        <v>standalone</v>
      </c>
    </row>
    <row r="7155" spans="1:14">
      <c r="A7155" s="6">
        <v>2026</v>
      </c>
      <c r="B7155" s="6">
        <v>2</v>
      </c>
      <c r="C7155" s="6" t="s">
        <v>61</v>
      </c>
      <c r="D7155" s="6" t="s">
        <v>496</v>
      </c>
      <c r="E7155" s="6" t="s">
        <v>441</v>
      </c>
      <c r="F7155" s="6" t="str">
        <f>IF($M7155="PADD I","PADD 1",IF($M7155="PADD II","PADD 2",IF($M7155="PADD III","PADD 3",IF($M7155="PADD IV","PADD 4",IF($M7155="PADD V","PADD 5","")))))</f>
        <v>PADD 3</v>
      </c>
      <c r="G7155" s="6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6" t="s">
        <v>428</v>
      </c>
      <c r="I7155" s="6" t="s">
        <v>1091</v>
      </c>
      <c r="J7155" s="6" t="s">
        <v>394</v>
      </c>
      <c r="K7155" s="10">
        <v>35.26</v>
      </c>
      <c r="L7155" s="10">
        <v>41</v>
      </c>
      <c r="M7155" s="6" t="s">
        <v>421</v>
      </c>
      <c r="N7155" s="6">
        <f>IF(OR($G7155="FCC",$G7155="Hydrocracker",$G7155="Reformer"),IF(COUNTIFS($D:$D,$D7155,$A:$A,$A7155,$B:$B,$B7155,$G:$G,"CDU",$J:$J,"PLANNED")&gt;0,"tied","standalone"),"")</f>
        <v/>
      </c>
    </row>
    <row r="7156" spans="1:14">
      <c r="A7156" s="6">
        <v>2026</v>
      </c>
      <c r="B7156" s="6">
        <v>2</v>
      </c>
      <c r="C7156" s="6" t="s">
        <v>61</v>
      </c>
      <c r="D7156" s="6" t="s">
        <v>592</v>
      </c>
      <c r="E7156" s="6" t="s">
        <v>593</v>
      </c>
      <c r="F7156" s="6" t="str">
        <f>IF($M7156="PADD I","PADD 1",IF($M7156="PADD II","PADD 2",IF($M7156="PADD III","PADD 3",IF($M7156="PADD IV","PADD 4",IF($M7156="PADD V","PADD 5","")))))</f>
        <v>PADD 2</v>
      </c>
      <c r="G7156" s="6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6" t="s">
        <v>39</v>
      </c>
      <c r="I7156" s="6" t="s">
        <v>1165</v>
      </c>
      <c r="J7156" s="6" t="s">
        <v>394</v>
      </c>
      <c r="K7156" s="10">
        <v>35.1</v>
      </c>
      <c r="L7156" s="10">
        <v>90</v>
      </c>
      <c r="M7156" s="6" t="s">
        <v>425</v>
      </c>
      <c r="N7156" s="6">
        <f>IF(OR($G7156="FCC",$G7156="Hydrocracker",$G7156="Reformer"),IF(COUNTIFS($D:$D,$D7156,$A:$A,$A7156,$B:$B,$B7156,$G:$G,"CDU",$J:$J,"PLANNED")&gt;0,"tied","standalone"),"")</f>
        <v/>
      </c>
    </row>
    <row r="7157" spans="1:14">
      <c r="A7157" s="6">
        <v>2026</v>
      </c>
      <c r="B7157" s="6">
        <v>2</v>
      </c>
      <c r="C7157" s="6" t="s">
        <v>61</v>
      </c>
      <c r="D7157" s="6" t="s">
        <v>1113</v>
      </c>
      <c r="E7157" s="6" t="s">
        <v>438</v>
      </c>
      <c r="F7157" s="6" t="str">
        <f>IF($M7157="PADD I","PADD 1",IF($M7157="PADD II","PADD 2",IF($M7157="PADD III","PADD 3",IF($M7157="PADD IV","PADD 4",IF($M7157="PADD V","PADD 5","")))))</f>
        <v>PADD 2</v>
      </c>
      <c r="G7157" s="6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6" t="s">
        <v>44</v>
      </c>
      <c r="I7157" s="6" t="s">
        <v>543</v>
      </c>
      <c r="J7157" s="6" t="s">
        <v>394</v>
      </c>
      <c r="K7157" s="10">
        <v>34</v>
      </c>
      <c r="L7157" s="10">
        <v>34</v>
      </c>
      <c r="M7157" s="6" t="s">
        <v>425</v>
      </c>
      <c r="N7157" s="6">
        <f>IF(OR($G7157="FCC",$G7157="Hydrocracker",$G7157="Reformer"),IF(COUNTIFS($D:$D,$D7157,$A:$A,$A7157,$B:$B,$B7157,$G:$G,"CDU",$J:$J,"PLANNED")&gt;0,"tied","standalone"),"")</f>
        <v/>
      </c>
    </row>
    <row r="7158" spans="1:14">
      <c r="A7158" s="6">
        <v>2026</v>
      </c>
      <c r="B7158" s="6">
        <v>2</v>
      </c>
      <c r="C7158" s="6" t="s">
        <v>61</v>
      </c>
      <c r="D7158" s="6" t="s">
        <v>576</v>
      </c>
      <c r="E7158" s="6" t="s">
        <v>455</v>
      </c>
      <c r="F7158" s="6" t="str">
        <f>IF($M7158="PADD I","PADD 1",IF($M7158="PADD II","PADD 2",IF($M7158="PADD III","PADD 3",IF($M7158="PADD IV","PADD 4",IF($M7158="PADD V","PADD 5","")))))</f>
        <v>PADD 3</v>
      </c>
      <c r="G7158" s="6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6" t="s">
        <v>39</v>
      </c>
      <c r="I7158" s="6" t="s">
        <v>399</v>
      </c>
      <c r="J7158" s="6" t="s">
        <v>398</v>
      </c>
      <c r="K7158" s="10">
        <v>32</v>
      </c>
      <c r="L7158" s="10">
        <v>50</v>
      </c>
      <c r="M7158" s="6" t="s">
        <v>421</v>
      </c>
      <c r="N7158" s="6">
        <f>IF(OR($G7158="FCC",$G7158="Hydrocracker",$G7158="Reformer"),IF(COUNTIFS($D:$D,$D7158,$A:$A,$A7158,$B:$B,$B7158,$G:$G,"CDU",$J:$J,"PLANNED")&gt;0,"tied","standalone"),"")</f>
        <v/>
      </c>
    </row>
    <row r="7159" spans="1:14">
      <c r="A7159" s="6">
        <v>2026</v>
      </c>
      <c r="B7159" s="6">
        <v>2</v>
      </c>
      <c r="C7159" s="6" t="s">
        <v>61</v>
      </c>
      <c r="D7159" s="6" t="s">
        <v>437</v>
      </c>
      <c r="E7159" s="6" t="s">
        <v>438</v>
      </c>
      <c r="F7159" s="6" t="str">
        <f>IF($M7159="PADD I","PADD 1",IF($M7159="PADD II","PADD 2",IF($M7159="PADD III","PADD 3",IF($M7159="PADD IV","PADD 4",IF($M7159="PADD V","PADD 5","")))))</f>
        <v>PADD 3</v>
      </c>
      <c r="G7159" s="6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6" t="s">
        <v>510</v>
      </c>
      <c r="I7159" s="6" t="s">
        <v>1395</v>
      </c>
      <c r="J7159" s="6" t="s">
        <v>398</v>
      </c>
      <c r="K7159" s="10">
        <v>31.5</v>
      </c>
      <c r="L7159" s="10">
        <v>31.5</v>
      </c>
      <c r="M7159" s="6" t="s">
        <v>421</v>
      </c>
      <c r="N7159" s="6">
        <f>IF(OR($G7159="FCC",$G7159="Hydrocracker",$G7159="Reformer"),IF(COUNTIFS($D:$D,$D7159,$A:$A,$A7159,$B:$B,$B7159,$G:$G,"CDU",$J:$J,"PLANNED")&gt;0,"tied","standalone"),"")</f>
        <v/>
      </c>
    </row>
    <row r="7160" spans="1:14">
      <c r="A7160" s="6">
        <v>2026</v>
      </c>
      <c r="B7160" s="6">
        <v>2</v>
      </c>
      <c r="C7160" s="6" t="s">
        <v>61</v>
      </c>
      <c r="D7160" s="6" t="s">
        <v>375</v>
      </c>
      <c r="E7160" s="6" t="s">
        <v>435</v>
      </c>
      <c r="F7160" s="6" t="str">
        <f>IF($M7160="PADD I","PADD 1",IF($M7160="PADD II","PADD 2",IF($M7160="PADD III","PADD 3",IF($M7160="PADD IV","PADD 4",IF($M7160="PADD V","PADD 5","")))))</f>
        <v>PADD 5</v>
      </c>
      <c r="G7160" s="6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6" t="s">
        <v>428</v>
      </c>
      <c r="I7160" s="6" t="s">
        <v>481</v>
      </c>
      <c r="J7160" s="6" t="s">
        <v>394</v>
      </c>
      <c r="K7160" s="10">
        <v>31.5</v>
      </c>
      <c r="L7160" s="10">
        <v>31.5</v>
      </c>
      <c r="M7160" s="6" t="s">
        <v>436</v>
      </c>
      <c r="N7160" s="6">
        <f>IF(OR($G7160="FCC",$G7160="Hydrocracker",$G7160="Reformer"),IF(COUNTIFS($D:$D,$D7160,$A:$A,$A7160,$B:$B,$B7160,$G:$G,"CDU",$J:$J,"PLANNED")&gt;0,"tied","standalone"),"")</f>
        <v/>
      </c>
    </row>
    <row r="7161" spans="1:14">
      <c r="A7161" s="6">
        <v>2026</v>
      </c>
      <c r="B7161" s="6">
        <v>2</v>
      </c>
      <c r="C7161" s="6" t="s">
        <v>61</v>
      </c>
      <c r="D7161" s="6" t="s">
        <v>597</v>
      </c>
      <c r="E7161" s="6" t="s">
        <v>441</v>
      </c>
      <c r="F7161" s="6" t="str">
        <f>IF($M7161="PADD I","PADD 1",IF($M7161="PADD II","PADD 2",IF($M7161="PADD III","PADD 3",IF($M7161="PADD IV","PADD 4",IF($M7161="PADD V","PADD 5","")))))</f>
        <v>PADD 5</v>
      </c>
      <c r="G7161" s="6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6" t="s">
        <v>44</v>
      </c>
      <c r="I7161" s="6" t="s">
        <v>980</v>
      </c>
      <c r="J7161" s="6" t="s">
        <v>398</v>
      </c>
      <c r="K7161" s="10">
        <v>30.72</v>
      </c>
      <c r="L7161" s="10">
        <v>96</v>
      </c>
      <c r="M7161" s="6" t="s">
        <v>436</v>
      </c>
      <c r="N7161" s="6">
        <f>IF(OR($G7161="FCC",$G7161="Hydrocracker",$G7161="Reformer"),IF(COUNTIFS($D:$D,$D7161,$A:$A,$A7161,$B:$B,$B7161,$G:$G,"CDU",$J:$J,"PLANNED")&gt;0,"tied","standalone"),"")</f>
        <v/>
      </c>
    </row>
    <row r="7162" spans="1:14">
      <c r="A7162" s="6">
        <v>2026</v>
      </c>
      <c r="B7162" s="6">
        <v>2</v>
      </c>
      <c r="C7162" s="6" t="s">
        <v>61</v>
      </c>
      <c r="D7162" s="6" t="s">
        <v>437</v>
      </c>
      <c r="E7162" s="6" t="s">
        <v>438</v>
      </c>
      <c r="F7162" s="6" t="str">
        <f>IF($M7162="PADD I","PADD 1",IF($M7162="PADD II","PADD 2",IF($M7162="PADD III","PADD 3",IF($M7162="PADD IV","PADD 4",IF($M7162="PADD V","PADD 5","")))))</f>
        <v>PADD 3</v>
      </c>
      <c r="G7162" s="6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6" t="s">
        <v>39</v>
      </c>
      <c r="I7162" s="6" t="s">
        <v>439</v>
      </c>
      <c r="J7162" s="6" t="s">
        <v>398</v>
      </c>
      <c r="K7162" s="10">
        <v>30</v>
      </c>
      <c r="L7162" s="10">
        <v>30</v>
      </c>
      <c r="M7162" s="6" t="s">
        <v>421</v>
      </c>
      <c r="N7162" s="6">
        <f>IF(OR($G7162="FCC",$G7162="Hydrocracker",$G7162="Reformer"),IF(COUNTIFS($D:$D,$D7162,$A:$A,$A7162,$B:$B,$B7162,$G:$G,"CDU",$J:$J,"PLANNED")&gt;0,"tied","standalone"),"")</f>
        <v/>
      </c>
    </row>
    <row r="7163" spans="1:14">
      <c r="A7163" s="6">
        <v>2026</v>
      </c>
      <c r="B7163" s="6">
        <v>2</v>
      </c>
      <c r="C7163" s="6" t="s">
        <v>61</v>
      </c>
      <c r="D7163" s="6" t="s">
        <v>822</v>
      </c>
      <c r="E7163" s="6" t="s">
        <v>455</v>
      </c>
      <c r="F7163" s="6" t="str">
        <f>IF($M7163="PADD I","PADD 1",IF($M7163="PADD II","PADD 2",IF($M7163="PADD III","PADD 3",IF($M7163="PADD IV","PADD 4",IF($M7163="PADD V","PADD 5","")))))</f>
        <v>PADD 3</v>
      </c>
      <c r="G7163" s="6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6" t="s">
        <v>39</v>
      </c>
      <c r="I7163" s="6" t="s">
        <v>1360</v>
      </c>
      <c r="J7163" s="6" t="s">
        <v>398</v>
      </c>
      <c r="K7163" s="10">
        <v>29.725</v>
      </c>
      <c r="L7163" s="10">
        <v>102.5</v>
      </c>
      <c r="M7163" s="6" t="s">
        <v>421</v>
      </c>
      <c r="N7163" s="6">
        <f>IF(OR($G7163="FCC",$G7163="Hydrocracker",$G7163="Reformer"),IF(COUNTIFS($D:$D,$D7163,$A:$A,$A7163,$B:$B,$B7163,$G:$G,"CDU",$J:$J,"PLANNED")&gt;0,"tied","standalone"),"")</f>
        <v/>
      </c>
    </row>
    <row r="7164" spans="1:14">
      <c r="A7164" s="6">
        <v>2026</v>
      </c>
      <c r="B7164" s="6">
        <v>2</v>
      </c>
      <c r="C7164" s="6" t="s">
        <v>61</v>
      </c>
      <c r="D7164" s="6" t="s">
        <v>576</v>
      </c>
      <c r="E7164" s="6" t="s">
        <v>455</v>
      </c>
      <c r="F7164" s="6" t="str">
        <f>IF($M7164="PADD I","PADD 1",IF($M7164="PADD II","PADD 2",IF($M7164="PADD III","PADD 3",IF($M7164="PADD IV","PADD 4",IF($M7164="PADD V","PADD 5","")))))</f>
        <v>PADD 3</v>
      </c>
      <c r="G7164" s="6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6" t="s">
        <v>494</v>
      </c>
      <c r="I7164" s="6" t="s">
        <v>400</v>
      </c>
      <c r="J7164" s="6" t="s">
        <v>398</v>
      </c>
      <c r="K7164" s="10">
        <v>28.8</v>
      </c>
      <c r="L7164" s="10">
        <v>45</v>
      </c>
      <c r="M7164" s="6" t="s">
        <v>421</v>
      </c>
      <c r="N7164" s="6" t="str">
        <f>IF(OR($G7164="FCC",$G7164="Hydrocracker",$G7164="Reformer"),IF(COUNTIFS($D:$D,$D7164,$A:$A,$A7164,$B:$B,$B7164,$G:$G,"CDU",$J:$J,"PLANNED")&gt;0,"tied","standalone"),"")</f>
        <v>tied</v>
      </c>
    </row>
    <row r="7165" spans="1:14">
      <c r="A7165" s="6">
        <v>2026</v>
      </c>
      <c r="B7165" s="6">
        <v>2</v>
      </c>
      <c r="C7165" s="6" t="s">
        <v>61</v>
      </c>
      <c r="D7165" s="6" t="s">
        <v>1110</v>
      </c>
      <c r="E7165" s="6" t="s">
        <v>1089</v>
      </c>
      <c r="F7165" s="6" t="str">
        <f>IF($M7165="PADD I","PADD 1",IF($M7165="PADD II","PADD 2",IF($M7165="PADD III","PADD 3",IF($M7165="PADD IV","PADD 4",IF($M7165="PADD V","PADD 5","")))))</f>
        <v>PADD 2</v>
      </c>
      <c r="G7165" s="6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6" t="s">
        <v>426</v>
      </c>
      <c r="I7165" s="6" t="s">
        <v>106</v>
      </c>
      <c r="J7165" s="6" t="s">
        <v>398</v>
      </c>
      <c r="K7165" s="10">
        <v>28.42</v>
      </c>
      <c r="L7165" s="10">
        <v>98</v>
      </c>
      <c r="M7165" s="6" t="s">
        <v>425</v>
      </c>
      <c r="N7165" s="6" t="str">
        <f>IF(OR($G7165="FCC",$G7165="Hydrocracker",$G7165="Reformer"),IF(COUNTIFS($D:$D,$D7165,$A:$A,$A7165,$B:$B,$B7165,$G:$G,"CDU",$J:$J,"PLANNED")&gt;0,"tied","standalone"),"")</f>
        <v>tied</v>
      </c>
    </row>
    <row r="7166" spans="1:14">
      <c r="A7166" s="6">
        <v>2026</v>
      </c>
      <c r="B7166" s="6">
        <v>2</v>
      </c>
      <c r="C7166" s="6" t="s">
        <v>61</v>
      </c>
      <c r="D7166" s="6" t="s">
        <v>1208</v>
      </c>
      <c r="E7166" s="6" t="s">
        <v>774</v>
      </c>
      <c r="F7166" s="6" t="str">
        <f>IF($M7166="PADD I","PADD 1",IF($M7166="PADD II","PADD 2",IF($M7166="PADD III","PADD 3",IF($M7166="PADD IV","PADD 4",IF($M7166="PADD V","PADD 5","")))))</f>
        <v>PADD 5</v>
      </c>
      <c r="G7166" s="6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6" t="s">
        <v>39</v>
      </c>
      <c r="I7166" s="6" t="s">
        <v>82</v>
      </c>
      <c r="J7166" s="6" t="s">
        <v>398</v>
      </c>
      <c r="K7166" s="10">
        <v>26.88</v>
      </c>
      <c r="L7166" s="10">
        <v>42</v>
      </c>
      <c r="M7166" s="6" t="s">
        <v>436</v>
      </c>
      <c r="N7166" s="6">
        <f>IF(OR($G7166="FCC",$G7166="Hydrocracker",$G7166="Reformer"),IF(COUNTIFS($D:$D,$D7166,$A:$A,$A7166,$B:$B,$B7166,$G:$G,"CDU",$J:$J,"PLANNED")&gt;0,"tied","standalone"),"")</f>
        <v/>
      </c>
    </row>
    <row r="7167" spans="1:14">
      <c r="A7167" s="6">
        <v>2026</v>
      </c>
      <c r="B7167" s="6">
        <v>2</v>
      </c>
      <c r="C7167" s="6" t="s">
        <v>61</v>
      </c>
      <c r="D7167" s="6" t="s">
        <v>712</v>
      </c>
      <c r="E7167" s="6" t="s">
        <v>602</v>
      </c>
      <c r="F7167" s="6" t="str">
        <f>IF($M7167="PADD I","PADD 1",IF($M7167="PADD II","PADD 2",IF($M7167="PADD III","PADD 3",IF($M7167="PADD IV","PADD 4",IF($M7167="PADD V","PADD 5","")))))</f>
        <v>PADD 3</v>
      </c>
      <c r="G7167" s="6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6" t="s">
        <v>426</v>
      </c>
      <c r="I7167" s="6" t="s">
        <v>106</v>
      </c>
      <c r="J7167" s="6" t="s">
        <v>398</v>
      </c>
      <c r="K7167" s="10">
        <v>25</v>
      </c>
      <c r="L7167" s="10">
        <v>25</v>
      </c>
      <c r="M7167" s="6" t="s">
        <v>421</v>
      </c>
      <c r="N7167" s="6" t="str">
        <f>IF(OR($G7167="FCC",$G7167="Hydrocracker",$G7167="Reformer"),IF(COUNTIFS($D:$D,$D7167,$A:$A,$A7167,$B:$B,$B7167,$G:$G,"CDU",$J:$J,"PLANNED")&gt;0,"tied","standalone"),"")</f>
        <v>tied</v>
      </c>
    </row>
    <row r="7168" spans="1:14">
      <c r="A7168" s="6">
        <v>2026</v>
      </c>
      <c r="B7168" s="6">
        <v>2</v>
      </c>
      <c r="C7168" s="6" t="s">
        <v>61</v>
      </c>
      <c r="D7168" s="6" t="s">
        <v>43</v>
      </c>
      <c r="E7168" s="6" t="s">
        <v>455</v>
      </c>
      <c r="F7168" s="6" t="str">
        <f>IF($M7168="PADD I","PADD 1",IF($M7168="PADD II","PADD 2",IF($M7168="PADD III","PADD 3",IF($M7168="PADD IV","PADD 4",IF($M7168="PADD V","PADD 5","")))))</f>
        <v>PADD 3</v>
      </c>
      <c r="G7168" s="6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6" t="s">
        <v>44</v>
      </c>
      <c r="I7168" s="6" t="s">
        <v>1282</v>
      </c>
      <c r="J7168" s="6" t="s">
        <v>398</v>
      </c>
      <c r="K7168" s="10">
        <v>25</v>
      </c>
      <c r="L7168" s="10">
        <v>25</v>
      </c>
      <c r="M7168" s="6" t="s">
        <v>421</v>
      </c>
      <c r="N7168" s="6">
        <f>IF(OR($G7168="FCC",$G7168="Hydrocracker",$G7168="Reformer"),IF(COUNTIFS($D:$D,$D7168,$A:$A,$A7168,$B:$B,$B7168,$G:$G,"CDU",$J:$J,"PLANNED")&gt;0,"tied","standalone"),"")</f>
        <v/>
      </c>
    </row>
    <row r="7169" spans="1:14">
      <c r="A7169" s="6">
        <v>2026</v>
      </c>
      <c r="B7169" s="6">
        <v>2</v>
      </c>
      <c r="C7169" s="6" t="s">
        <v>61</v>
      </c>
      <c r="D7169" s="6" t="s">
        <v>561</v>
      </c>
      <c r="E7169" s="6" t="s">
        <v>455</v>
      </c>
      <c r="F7169" s="6" t="str">
        <f>IF($M7169="PADD I","PADD 1",IF($M7169="PADD II","PADD 2",IF($M7169="PADD III","PADD 3",IF($M7169="PADD IV","PADD 4",IF($M7169="PADD V","PADD 5","")))))</f>
        <v>PADD 3</v>
      </c>
      <c r="G7169" s="6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6" t="s">
        <v>510</v>
      </c>
      <c r="I7169" s="6" t="s">
        <v>511</v>
      </c>
      <c r="J7169" s="6" t="s">
        <v>398</v>
      </c>
      <c r="K7169" s="10">
        <v>24.58</v>
      </c>
      <c r="L7169" s="10">
        <v>24.58</v>
      </c>
      <c r="M7169" s="6" t="s">
        <v>421</v>
      </c>
      <c r="N7169" s="6">
        <f>IF(OR($G7169="FCC",$G7169="Hydrocracker",$G7169="Reformer"),IF(COUNTIFS($D:$D,$D7169,$A:$A,$A7169,$B:$B,$B7169,$G:$G,"CDU",$J:$J,"PLANNED")&gt;0,"tied","standalone"),"")</f>
        <v/>
      </c>
    </row>
    <row r="7170" spans="1:14">
      <c r="A7170" s="6">
        <v>2026</v>
      </c>
      <c r="B7170" s="6">
        <v>2</v>
      </c>
      <c r="C7170" s="6" t="s">
        <v>61</v>
      </c>
      <c r="D7170" s="6" t="s">
        <v>52</v>
      </c>
      <c r="E7170" s="6" t="s">
        <v>441</v>
      </c>
      <c r="F7170" s="6" t="str">
        <f>IF($M7170="PADD I","PADD 1",IF($M7170="PADD II","PADD 2",IF($M7170="PADD III","PADD 3",IF($M7170="PADD IV","PADD 4",IF($M7170="PADD V","PADD 5","")))))</f>
        <v>PADD 5</v>
      </c>
      <c r="G7170" s="6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6" t="s">
        <v>44</v>
      </c>
      <c r="I7170" s="6" t="s">
        <v>1217</v>
      </c>
      <c r="J7170" s="6" t="s">
        <v>394</v>
      </c>
      <c r="K7170" s="10">
        <v>24.5</v>
      </c>
      <c r="L7170" s="10">
        <v>24.5</v>
      </c>
      <c r="M7170" s="6" t="s">
        <v>436</v>
      </c>
      <c r="N7170" s="6">
        <f>IF(OR($G7170="FCC",$G7170="Hydrocracker",$G7170="Reformer"),IF(COUNTIFS($D:$D,$D7170,$A:$A,$A7170,$B:$B,$B7170,$G:$G,"CDU",$J:$J,"PLANNED")&gt;0,"tied","standalone"),"")</f>
        <v/>
      </c>
    </row>
    <row r="7171" spans="1:14">
      <c r="A7171" s="6">
        <v>2026</v>
      </c>
      <c r="B7171" s="6">
        <v>2</v>
      </c>
      <c r="C7171" s="6" t="s">
        <v>61</v>
      </c>
      <c r="D7171" s="6" t="s">
        <v>49</v>
      </c>
      <c r="E7171" s="6" t="s">
        <v>438</v>
      </c>
      <c r="F7171" s="6" t="str">
        <f>IF($M7171="PADD I","PADD 1",IF($M7171="PADD II","PADD 2",IF($M7171="PADD III","PADD 3",IF($M7171="PADD IV","PADD 4",IF($M7171="PADD V","PADD 5","")))))</f>
        <v>PADD 2</v>
      </c>
      <c r="G7171" s="6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6" t="s">
        <v>44</v>
      </c>
      <c r="I7171" s="6" t="s">
        <v>746</v>
      </c>
      <c r="J7171" s="6" t="s">
        <v>394</v>
      </c>
      <c r="K7171" s="10">
        <v>24.215</v>
      </c>
      <c r="L7171" s="10">
        <v>83.5</v>
      </c>
      <c r="M7171" s="6" t="s">
        <v>425</v>
      </c>
      <c r="N7171" s="6">
        <f>IF(OR($G7171="FCC",$G7171="Hydrocracker",$G7171="Reformer"),IF(COUNTIFS($D:$D,$D7171,$A:$A,$A7171,$B:$B,$B7171,$G:$G,"CDU",$J:$J,"PLANNED")&gt;0,"tied","standalone"),"")</f>
        <v/>
      </c>
    </row>
    <row r="7172" spans="1:14">
      <c r="A7172" s="6">
        <v>2026</v>
      </c>
      <c r="B7172" s="6">
        <v>2</v>
      </c>
      <c r="C7172" s="6" t="s">
        <v>61</v>
      </c>
      <c r="D7172" s="6" t="s">
        <v>561</v>
      </c>
      <c r="E7172" s="6" t="s">
        <v>455</v>
      </c>
      <c r="F7172" s="6" t="str">
        <f>IF($M7172="PADD I","PADD 1",IF($M7172="PADD II","PADD 2",IF($M7172="PADD III","PADD 3",IF($M7172="PADD IV","PADD 4",IF($M7172="PADD V","PADD 5","")))))</f>
        <v>PADD 3</v>
      </c>
      <c r="G7172" s="6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6" t="s">
        <v>44</v>
      </c>
      <c r="I7172" s="6" t="s">
        <v>1396</v>
      </c>
      <c r="J7172" s="6" t="s">
        <v>398</v>
      </c>
      <c r="K7172" s="10">
        <v>24</v>
      </c>
      <c r="L7172" s="10">
        <v>25</v>
      </c>
      <c r="M7172" s="6" t="s">
        <v>421</v>
      </c>
      <c r="N7172" s="6">
        <f>IF(OR($G7172="FCC",$G7172="Hydrocracker",$G7172="Reformer"),IF(COUNTIFS($D:$D,$D7172,$A:$A,$A7172,$B:$B,$B7172,$G:$G,"CDU",$J:$J,"PLANNED")&gt;0,"tied","standalone"),"")</f>
        <v/>
      </c>
    </row>
    <row r="7173" spans="1:14">
      <c r="A7173" s="6">
        <v>2026</v>
      </c>
      <c r="B7173" s="6">
        <v>2</v>
      </c>
      <c r="C7173" s="6" t="s">
        <v>61</v>
      </c>
      <c r="D7173" s="6" t="s">
        <v>52</v>
      </c>
      <c r="E7173" s="6" t="s">
        <v>441</v>
      </c>
      <c r="F7173" s="6" t="str">
        <f>IF($M7173="PADD I","PADD 1",IF($M7173="PADD II","PADD 2",IF($M7173="PADD III","PADD 3",IF($M7173="PADD IV","PADD 4",IF($M7173="PADD V","PADD 5","")))))</f>
        <v>PADD 5</v>
      </c>
      <c r="G7173" s="6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6" t="s">
        <v>44</v>
      </c>
      <c r="I7173" s="6" t="s">
        <v>1280</v>
      </c>
      <c r="J7173" s="6" t="s">
        <v>394</v>
      </c>
      <c r="K7173" s="10">
        <v>23.8</v>
      </c>
      <c r="L7173" s="10">
        <v>23.8</v>
      </c>
      <c r="M7173" s="6" t="s">
        <v>436</v>
      </c>
      <c r="N7173" s="6">
        <f>IF(OR($G7173="FCC",$G7173="Hydrocracker",$G7173="Reformer"),IF(COUNTIFS($D:$D,$D7173,$A:$A,$A7173,$B:$B,$B7173,$G:$G,"CDU",$J:$J,"PLANNED")&gt;0,"tied","standalone"),"")</f>
        <v/>
      </c>
    </row>
    <row r="7174" spans="1:14">
      <c r="A7174" s="6">
        <v>2026</v>
      </c>
      <c r="B7174" s="6">
        <v>2</v>
      </c>
      <c r="C7174" s="6" t="s">
        <v>61</v>
      </c>
      <c r="D7174" s="6" t="s">
        <v>828</v>
      </c>
      <c r="E7174" s="6" t="s">
        <v>829</v>
      </c>
      <c r="F7174" s="6" t="str">
        <f>IF($M7174="PADD I","PADD 1",IF($M7174="PADD II","PADD 2",IF($M7174="PADD III","PADD 3",IF($M7174="PADD IV","PADD 4",IF($M7174="PADD V","PADD 5","")))))</f>
        <v>PADD 3</v>
      </c>
      <c r="G7174" s="6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6" t="s">
        <v>428</v>
      </c>
      <c r="I7174" s="6" t="s">
        <v>847</v>
      </c>
      <c r="J7174" s="6" t="s">
        <v>394</v>
      </c>
      <c r="K7174" s="10">
        <v>23</v>
      </c>
      <c r="L7174" s="10">
        <v>23</v>
      </c>
      <c r="M7174" s="6" t="s">
        <v>421</v>
      </c>
      <c r="N7174" s="6">
        <f>IF(OR($G7174="FCC",$G7174="Hydrocracker",$G7174="Reformer"),IF(COUNTIFS($D:$D,$D7174,$A:$A,$A7174,$B:$B,$B7174,$G:$G,"CDU",$J:$J,"PLANNED")&gt;0,"tied","standalone"),"")</f>
        <v/>
      </c>
    </row>
    <row r="7175" spans="1:14">
      <c r="A7175" s="6">
        <v>2026</v>
      </c>
      <c r="B7175" s="6">
        <v>2</v>
      </c>
      <c r="C7175" s="6" t="s">
        <v>61</v>
      </c>
      <c r="D7175" s="6" t="s">
        <v>662</v>
      </c>
      <c r="E7175" s="6" t="s">
        <v>466</v>
      </c>
      <c r="F7175" s="6" t="str">
        <f>IF($M7175="PADD I","PADD 1",IF($M7175="PADD II","PADD 2",IF($M7175="PADD III","PADD 3",IF($M7175="PADD IV","PADD 4",IF($M7175="PADD V","PADD 5","")))))</f>
        <v>PADD 3</v>
      </c>
      <c r="G7175" s="6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6" t="s">
        <v>426</v>
      </c>
      <c r="I7175" s="6" t="s">
        <v>478</v>
      </c>
      <c r="J7175" s="6" t="s">
        <v>394</v>
      </c>
      <c r="K7175" s="10">
        <v>22.08</v>
      </c>
      <c r="L7175" s="10">
        <v>69</v>
      </c>
      <c r="M7175" s="6" t="s">
        <v>421</v>
      </c>
      <c r="N7175" s="6" t="str">
        <f>IF(OR($G7175="FCC",$G7175="Hydrocracker",$G7175="Reformer"),IF(COUNTIFS($D:$D,$D7175,$A:$A,$A7175,$B:$B,$B7175,$G:$G,"CDU",$J:$J,"PLANNED")&gt;0,"tied","standalone"),"")</f>
        <v>standalone</v>
      </c>
    </row>
    <row r="7176" spans="1:14">
      <c r="A7176" s="6">
        <v>2026</v>
      </c>
      <c r="B7176" s="6">
        <v>2</v>
      </c>
      <c r="C7176" s="6" t="s">
        <v>61</v>
      </c>
      <c r="D7176" s="6" t="s">
        <v>597</v>
      </c>
      <c r="E7176" s="6" t="s">
        <v>441</v>
      </c>
      <c r="F7176" s="6" t="str">
        <f>IF($M7176="PADD I","PADD 1",IF($M7176="PADD II","PADD 2",IF($M7176="PADD III","PADD 3",IF($M7176="PADD IV","PADD 4",IF($M7176="PADD V","PADD 5","")))))</f>
        <v>PADD 5</v>
      </c>
      <c r="G7176" s="6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6" t="s">
        <v>44</v>
      </c>
      <c r="I7176" s="6" t="s">
        <v>979</v>
      </c>
      <c r="J7176" s="6" t="s">
        <v>398</v>
      </c>
      <c r="K7176" s="10">
        <v>20.736</v>
      </c>
      <c r="L7176" s="10">
        <v>64.8</v>
      </c>
      <c r="M7176" s="6" t="s">
        <v>436</v>
      </c>
      <c r="N7176" s="6">
        <f>IF(OR($G7176="FCC",$G7176="Hydrocracker",$G7176="Reformer"),IF(COUNTIFS($D:$D,$D7176,$A:$A,$A7176,$B:$B,$B7176,$G:$G,"CDU",$J:$J,"PLANNED")&gt;0,"tied","standalone"),"")</f>
        <v/>
      </c>
    </row>
    <row r="7177" spans="1:14">
      <c r="A7177" s="6">
        <v>2026</v>
      </c>
      <c r="B7177" s="6">
        <v>2</v>
      </c>
      <c r="C7177" s="6" t="s">
        <v>61</v>
      </c>
      <c r="D7177" s="6" t="s">
        <v>576</v>
      </c>
      <c r="E7177" s="6" t="s">
        <v>455</v>
      </c>
      <c r="F7177" s="6" t="str">
        <f>IF($M7177="PADD I","PADD 1",IF($M7177="PADD II","PADD 2",IF($M7177="PADD III","PADD 3",IF($M7177="PADD IV","PADD 4",IF($M7177="PADD V","PADD 5","")))))</f>
        <v>PADD 3</v>
      </c>
      <c r="G7177" s="6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6" t="s">
        <v>494</v>
      </c>
      <c r="I7177" s="6" t="s">
        <v>400</v>
      </c>
      <c r="J7177" s="6" t="s">
        <v>398</v>
      </c>
      <c r="K7177" s="10">
        <v>20.52</v>
      </c>
      <c r="L7177" s="10">
        <v>57</v>
      </c>
      <c r="M7177" s="6" t="s">
        <v>421</v>
      </c>
      <c r="N7177" s="6" t="str">
        <f>IF(OR($G7177="FCC",$G7177="Hydrocracker",$G7177="Reformer"),IF(COUNTIFS($D:$D,$D7177,$A:$A,$A7177,$B:$B,$B7177,$G:$G,"CDU",$J:$J,"PLANNED")&gt;0,"tied","standalone"),"")</f>
        <v>tied</v>
      </c>
    </row>
    <row r="7178" spans="1:14">
      <c r="A7178" s="6">
        <v>2026</v>
      </c>
      <c r="B7178" s="6">
        <v>2</v>
      </c>
      <c r="C7178" s="6" t="s">
        <v>61</v>
      </c>
      <c r="D7178" s="6" t="s">
        <v>378</v>
      </c>
      <c r="E7178" s="6" t="s">
        <v>477</v>
      </c>
      <c r="F7178" s="6" t="str">
        <f>IF($M7178="PADD I","PADD 1",IF($M7178="PADD II","PADD 2",IF($M7178="PADD III","PADD 3",IF($M7178="PADD IV","PADD 4",IF($M7178="PADD V","PADD 5","")))))</f>
        <v>PADD 3</v>
      </c>
      <c r="G7178" s="6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6" t="s">
        <v>39</v>
      </c>
      <c r="I7178" s="6" t="s">
        <v>379</v>
      </c>
      <c r="J7178" s="6" t="s">
        <v>394</v>
      </c>
      <c r="K7178" s="10">
        <v>20.16</v>
      </c>
      <c r="L7178" s="10">
        <v>96</v>
      </c>
      <c r="M7178" s="6" t="s">
        <v>421</v>
      </c>
      <c r="N7178" s="6">
        <f>IF(OR($G7178="FCC",$G7178="Hydrocracker",$G7178="Reformer"),IF(COUNTIFS($D:$D,$D7178,$A:$A,$A7178,$B:$B,$B7178,$G:$G,"CDU",$J:$J,"PLANNED")&gt;0,"tied","standalone"),"")</f>
        <v/>
      </c>
    </row>
    <row r="7179" spans="1:14">
      <c r="A7179" s="6">
        <v>2026</v>
      </c>
      <c r="B7179" s="6">
        <v>2</v>
      </c>
      <c r="C7179" s="6" t="s">
        <v>61</v>
      </c>
      <c r="D7179" s="6" t="s">
        <v>581</v>
      </c>
      <c r="E7179" s="6" t="s">
        <v>582</v>
      </c>
      <c r="F7179" s="6" t="str">
        <f>IF($M7179="PADD I","PADD 1",IF($M7179="PADD II","PADD 2",IF($M7179="PADD III","PADD 3",IF($M7179="PADD IV","PADD 4",IF($M7179="PADD V","PADD 5","")))))</f>
        <v>PADD 5</v>
      </c>
      <c r="G7179" s="6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6" t="s">
        <v>510</v>
      </c>
      <c r="I7179" s="6" t="s">
        <v>666</v>
      </c>
      <c r="J7179" s="6" t="s">
        <v>398</v>
      </c>
      <c r="K7179" s="10">
        <v>20.145</v>
      </c>
      <c r="L7179" s="10">
        <v>25.5</v>
      </c>
      <c r="M7179" s="6" t="s">
        <v>436</v>
      </c>
      <c r="N7179" s="6">
        <f>IF(OR($G7179="FCC",$G7179="Hydrocracker",$G7179="Reformer"),IF(COUNTIFS($D:$D,$D7179,$A:$A,$A7179,$B:$B,$B7179,$G:$G,"CDU",$J:$J,"PLANNED")&gt;0,"tied","standalone"),"")</f>
        <v/>
      </c>
    </row>
    <row r="7180" spans="1:14">
      <c r="A7180" s="6">
        <v>2026</v>
      </c>
      <c r="B7180" s="6">
        <v>2</v>
      </c>
      <c r="C7180" s="6" t="s">
        <v>61</v>
      </c>
      <c r="D7180" s="6" t="s">
        <v>712</v>
      </c>
      <c r="E7180" s="6" t="s">
        <v>602</v>
      </c>
      <c r="F7180" s="6" t="str">
        <f>IF($M7180="PADD I","PADD 1",IF($M7180="PADD II","PADD 2",IF($M7180="PADD III","PADD 3",IF($M7180="PADD IV","PADD 4",IF($M7180="PADD V","PADD 5","")))))</f>
        <v>PADD 3</v>
      </c>
      <c r="G7180" s="6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6" t="s">
        <v>428</v>
      </c>
      <c r="I7180" s="6" t="s">
        <v>481</v>
      </c>
      <c r="J7180" s="6" t="s">
        <v>398</v>
      </c>
      <c r="K7180" s="10">
        <v>19.68</v>
      </c>
      <c r="L7180" s="10">
        <v>24</v>
      </c>
      <c r="M7180" s="6" t="s">
        <v>421</v>
      </c>
      <c r="N7180" s="6">
        <f>IF(OR($G7180="FCC",$G7180="Hydrocracker",$G7180="Reformer"),IF(COUNTIFS($D:$D,$D7180,$A:$A,$A7180,$B:$B,$B7180,$G:$G,"CDU",$J:$J,"PLANNED")&gt;0,"tied","standalone"),"")</f>
        <v/>
      </c>
    </row>
    <row r="7181" spans="1:14">
      <c r="A7181" s="6">
        <v>2026</v>
      </c>
      <c r="B7181" s="6">
        <v>2</v>
      </c>
      <c r="C7181" s="6" t="s">
        <v>61</v>
      </c>
      <c r="D7181" s="6" t="s">
        <v>371</v>
      </c>
      <c r="E7181" s="6" t="s">
        <v>419</v>
      </c>
      <c r="F7181" s="6" t="str">
        <f>IF($M7181="PADD I","PADD 1",IF($M7181="PADD II","PADD 2",IF($M7181="PADD III","PADD 3",IF($M7181="PADD IV","PADD 4",IF($M7181="PADD V","PADD 5","")))))</f>
        <v>PADD 2</v>
      </c>
      <c r="G7181" s="6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6" t="s">
        <v>485</v>
      </c>
      <c r="I7181" s="6" t="s">
        <v>491</v>
      </c>
      <c r="J7181" s="6" t="s">
        <v>398</v>
      </c>
      <c r="K7181" s="10">
        <v>18.85</v>
      </c>
      <c r="L7181" s="10">
        <v>65</v>
      </c>
      <c r="M7181" s="6" t="s">
        <v>425</v>
      </c>
      <c r="N7181" s="6">
        <f>IF(OR($G7181="FCC",$G7181="Hydrocracker",$G7181="Reformer"),IF(COUNTIFS($D:$D,$D7181,$A:$A,$A7181,$B:$B,$B7181,$G:$G,"CDU",$J:$J,"PLANNED")&gt;0,"tied","standalone"),"")</f>
        <v/>
      </c>
    </row>
    <row r="7182" spans="1:14">
      <c r="A7182" s="6">
        <v>2026</v>
      </c>
      <c r="B7182" s="6">
        <v>2</v>
      </c>
      <c r="C7182" s="6" t="s">
        <v>61</v>
      </c>
      <c r="D7182" s="6" t="s">
        <v>712</v>
      </c>
      <c r="E7182" s="6" t="s">
        <v>602</v>
      </c>
      <c r="F7182" s="6" t="str">
        <f>IF($M7182="PADD I","PADD 1",IF($M7182="PADD II","PADD 2",IF($M7182="PADD III","PADD 3",IF($M7182="PADD IV","PADD 4",IF($M7182="PADD V","PADD 5","")))))</f>
        <v>PADD 3</v>
      </c>
      <c r="G7182" s="6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6" t="s">
        <v>44</v>
      </c>
      <c r="I7182" s="6" t="s">
        <v>977</v>
      </c>
      <c r="J7182" s="6" t="s">
        <v>398</v>
      </c>
      <c r="K7182" s="10">
        <v>18.105</v>
      </c>
      <c r="L7182" s="10">
        <v>25.5</v>
      </c>
      <c r="M7182" s="6" t="s">
        <v>421</v>
      </c>
      <c r="N7182" s="6">
        <f>IF(OR($G7182="FCC",$G7182="Hydrocracker",$G7182="Reformer"),IF(COUNTIFS($D:$D,$D7182,$A:$A,$A7182,$B:$B,$B7182,$G:$G,"CDU",$J:$J,"PLANNED")&gt;0,"tied","standalone"),"")</f>
        <v/>
      </c>
    </row>
    <row r="7183" spans="1:14">
      <c r="A7183" s="6">
        <v>2026</v>
      </c>
      <c r="B7183" s="6">
        <v>2</v>
      </c>
      <c r="C7183" s="6" t="s">
        <v>61</v>
      </c>
      <c r="D7183" s="6" t="s">
        <v>712</v>
      </c>
      <c r="E7183" s="6" t="s">
        <v>602</v>
      </c>
      <c r="F7183" s="6" t="str">
        <f>IF($M7183="PADD I","PADD 1",IF($M7183="PADD II","PADD 2",IF($M7183="PADD III","PADD 3",IF($M7183="PADD IV","PADD 4",IF($M7183="PADD V","PADD 5","")))))</f>
        <v>PADD 3</v>
      </c>
      <c r="G7183" s="6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6" t="s">
        <v>44</v>
      </c>
      <c r="I7183" s="6" t="s">
        <v>785</v>
      </c>
      <c r="J7183" s="6" t="s">
        <v>398</v>
      </c>
      <c r="K7183" s="10">
        <v>17.9725</v>
      </c>
      <c r="L7183" s="10">
        <v>22.75</v>
      </c>
      <c r="M7183" s="6" t="s">
        <v>421</v>
      </c>
      <c r="N7183" s="6">
        <f>IF(OR($G7183="FCC",$G7183="Hydrocracker",$G7183="Reformer"),IF(COUNTIFS($D:$D,$D7183,$A:$A,$A7183,$B:$B,$B7183,$G:$G,"CDU",$J:$J,"PLANNED")&gt;0,"tied","standalone"),"")</f>
        <v/>
      </c>
    </row>
    <row r="7184" spans="1:14">
      <c r="A7184" s="6">
        <v>2026</v>
      </c>
      <c r="B7184" s="6">
        <v>2</v>
      </c>
      <c r="C7184" s="6" t="s">
        <v>61</v>
      </c>
      <c r="D7184" s="6" t="s">
        <v>370</v>
      </c>
      <c r="E7184" s="6" t="s">
        <v>431</v>
      </c>
      <c r="F7184" s="6" t="str">
        <f>IF($M7184="PADD I","PADD 1",IF($M7184="PADD II","PADD 2",IF($M7184="PADD III","PADD 3",IF($M7184="PADD IV","PADD 4",IF($M7184="PADD V","PADD 5","")))))</f>
        <v>PADD 2</v>
      </c>
      <c r="G7184" s="6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6" t="s">
        <v>426</v>
      </c>
      <c r="I7184" s="6" t="s">
        <v>106</v>
      </c>
      <c r="J7184" s="6" t="s">
        <v>394</v>
      </c>
      <c r="K7184" s="10">
        <v>17.5</v>
      </c>
      <c r="L7184" s="10">
        <v>35</v>
      </c>
      <c r="M7184" s="6" t="s">
        <v>425</v>
      </c>
      <c r="N7184" s="6" t="str">
        <f>IF(OR($G7184="FCC",$G7184="Hydrocracker",$G7184="Reformer"),IF(COUNTIFS($D:$D,$D7184,$A:$A,$A7184,$B:$B,$B7184,$G:$G,"CDU",$J:$J,"PLANNED")&gt;0,"tied","standalone"),"")</f>
        <v>standalone</v>
      </c>
    </row>
    <row r="7185" spans="1:14">
      <c r="A7185" s="6">
        <v>2026</v>
      </c>
      <c r="B7185" s="6">
        <v>2</v>
      </c>
      <c r="C7185" s="6" t="s">
        <v>61</v>
      </c>
      <c r="D7185" s="6" t="s">
        <v>789</v>
      </c>
      <c r="E7185" s="6" t="s">
        <v>455</v>
      </c>
      <c r="F7185" s="6" t="str">
        <f>IF($M7185="PADD I","PADD 1",IF($M7185="PADD II","PADD 2",IF($M7185="PADD III","PADD 3",IF($M7185="PADD IV","PADD 4",IF($M7185="PADD V","PADD 5","")))))</f>
        <v>PADD 2</v>
      </c>
      <c r="G7185" s="6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6" t="s">
        <v>44</v>
      </c>
      <c r="I7185" s="6" t="s">
        <v>739</v>
      </c>
      <c r="J7185" s="6" t="s">
        <v>394</v>
      </c>
      <c r="K7185" s="10">
        <v>17.28</v>
      </c>
      <c r="L7185" s="10">
        <v>32</v>
      </c>
      <c r="M7185" s="6" t="s">
        <v>425</v>
      </c>
      <c r="N7185" s="6">
        <f>IF(OR($G7185="FCC",$G7185="Hydrocracker",$G7185="Reformer"),IF(COUNTIFS($D:$D,$D7185,$A:$A,$A7185,$B:$B,$B7185,$G:$G,"CDU",$J:$J,"PLANNED")&gt;0,"tied","standalone"),"")</f>
        <v/>
      </c>
    </row>
    <row r="7186" spans="1:14">
      <c r="A7186" s="6">
        <v>2026</v>
      </c>
      <c r="B7186" s="6">
        <v>2</v>
      </c>
      <c r="C7186" s="6" t="s">
        <v>61</v>
      </c>
      <c r="D7186" s="6" t="s">
        <v>789</v>
      </c>
      <c r="E7186" s="6" t="s">
        <v>455</v>
      </c>
      <c r="F7186" s="6" t="str">
        <f>IF($M7186="PADD I","PADD 1",IF($M7186="PADD II","PADD 2",IF($M7186="PADD III","PADD 3",IF($M7186="PADD IV","PADD 4",IF($M7186="PADD V","PADD 5","")))))</f>
        <v>PADD 2</v>
      </c>
      <c r="G7186" s="6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6" t="s">
        <v>428</v>
      </c>
      <c r="I7186" s="6" t="s">
        <v>481</v>
      </c>
      <c r="J7186" s="6" t="s">
        <v>394</v>
      </c>
      <c r="K7186" s="10">
        <v>17.28</v>
      </c>
      <c r="L7186" s="10">
        <v>32</v>
      </c>
      <c r="M7186" s="6" t="s">
        <v>425</v>
      </c>
      <c r="N7186" s="6">
        <f>IF(OR($G7186="FCC",$G7186="Hydrocracker",$G7186="Reformer"),IF(COUNTIFS($D:$D,$D7186,$A:$A,$A7186,$B:$B,$B7186,$G:$G,"CDU",$J:$J,"PLANNED")&gt;0,"tied","standalone"),"")</f>
        <v/>
      </c>
    </row>
    <row r="7187" spans="1:14">
      <c r="A7187" s="6">
        <v>2026</v>
      </c>
      <c r="B7187" s="6">
        <v>2</v>
      </c>
      <c r="C7187" s="6" t="s">
        <v>61</v>
      </c>
      <c r="D7187" s="6" t="s">
        <v>430</v>
      </c>
      <c r="E7187" s="6" t="s">
        <v>431</v>
      </c>
      <c r="F7187" s="6" t="str">
        <f>IF($M7187="PADD I","PADD 1",IF($M7187="PADD II","PADD 2",IF($M7187="PADD III","PADD 3",IF($M7187="PADD IV","PADD 4",IF($M7187="PADD V","PADD 5","")))))</f>
        <v>PADD 3</v>
      </c>
      <c r="G7187" s="6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6" t="s">
        <v>428</v>
      </c>
      <c r="I7187" s="6" t="s">
        <v>900</v>
      </c>
      <c r="J7187" s="6" t="s">
        <v>394</v>
      </c>
      <c r="K7187" s="10">
        <v>17.16</v>
      </c>
      <c r="L7187" s="10">
        <v>44</v>
      </c>
      <c r="M7187" s="6" t="s">
        <v>421</v>
      </c>
      <c r="N7187" s="6">
        <f>IF(OR($G7187="FCC",$G7187="Hydrocracker",$G7187="Reformer"),IF(COUNTIFS($D:$D,$D7187,$A:$A,$A7187,$B:$B,$B7187,$G:$G,"CDU",$J:$J,"PLANNED")&gt;0,"tied","standalone"),"")</f>
        <v/>
      </c>
    </row>
    <row r="7188" spans="1:14">
      <c r="A7188" s="6">
        <v>2026</v>
      </c>
      <c r="B7188" s="6">
        <v>2</v>
      </c>
      <c r="C7188" s="6" t="s">
        <v>61</v>
      </c>
      <c r="D7188" s="6" t="s">
        <v>1110</v>
      </c>
      <c r="E7188" s="6" t="s">
        <v>1089</v>
      </c>
      <c r="F7188" s="6" t="str">
        <f>IF($M7188="PADD I","PADD 1",IF($M7188="PADD II","PADD 2",IF($M7188="PADD III","PADD 3",IF($M7188="PADD IV","PADD 4",IF($M7188="PADD V","PADD 5","")))))</f>
        <v>PADD 2</v>
      </c>
      <c r="G7188" s="6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6" t="s">
        <v>428</v>
      </c>
      <c r="I7188" s="6" t="s">
        <v>481</v>
      </c>
      <c r="J7188" s="6" t="s">
        <v>398</v>
      </c>
      <c r="K7188" s="10">
        <v>17.1</v>
      </c>
      <c r="L7188" s="10">
        <v>95</v>
      </c>
      <c r="M7188" s="6" t="s">
        <v>425</v>
      </c>
      <c r="N7188" s="6">
        <f>IF(OR($G7188="FCC",$G7188="Hydrocracker",$G7188="Reformer"),IF(COUNTIFS($D:$D,$D7188,$A:$A,$A7188,$B:$B,$B7188,$G:$G,"CDU",$J:$J,"PLANNED")&gt;0,"tied","standalone"),"")</f>
        <v/>
      </c>
    </row>
    <row r="7189" spans="1:14">
      <c r="A7189" s="6">
        <v>2026</v>
      </c>
      <c r="B7189" s="6">
        <v>2</v>
      </c>
      <c r="C7189" s="6" t="s">
        <v>61</v>
      </c>
      <c r="D7189" s="6" t="s">
        <v>378</v>
      </c>
      <c r="E7189" s="6" t="s">
        <v>477</v>
      </c>
      <c r="F7189" s="6" t="str">
        <f>IF($M7189="PADD I","PADD 1",IF($M7189="PADD II","PADD 2",IF($M7189="PADD III","PADD 3",IF($M7189="PADD IV","PADD 4",IF($M7189="PADD V","PADD 5","")))))</f>
        <v>PADD 3</v>
      </c>
      <c r="G7189" s="6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6" t="s">
        <v>426</v>
      </c>
      <c r="I7189" s="6" t="s">
        <v>478</v>
      </c>
      <c r="J7189" s="6" t="s">
        <v>394</v>
      </c>
      <c r="K7189" s="10">
        <v>17</v>
      </c>
      <c r="L7189" s="10">
        <v>68</v>
      </c>
      <c r="M7189" s="6" t="s">
        <v>421</v>
      </c>
      <c r="N7189" s="6" t="str">
        <f>IF(OR($G7189="FCC",$G7189="Hydrocracker",$G7189="Reformer"),IF(COUNTIFS($D:$D,$D7189,$A:$A,$A7189,$B:$B,$B7189,$G:$G,"CDU",$J:$J,"PLANNED")&gt;0,"tied","standalone"),"")</f>
        <v>standalone</v>
      </c>
    </row>
    <row r="7190" spans="1:14">
      <c r="A7190" s="6">
        <v>2026</v>
      </c>
      <c r="B7190" s="6">
        <v>2</v>
      </c>
      <c r="C7190" s="6" t="s">
        <v>61</v>
      </c>
      <c r="D7190" s="6" t="s">
        <v>712</v>
      </c>
      <c r="E7190" s="6" t="s">
        <v>602</v>
      </c>
      <c r="F7190" s="6" t="str">
        <f>IF($M7190="PADD I","PADD 1",IF($M7190="PADD II","PADD 2",IF($M7190="PADD III","PADD 3",IF($M7190="PADD IV","PADD 4",IF($M7190="PADD V","PADD 5","")))))</f>
        <v>PADD 3</v>
      </c>
      <c r="G7190" s="6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6" t="s">
        <v>471</v>
      </c>
      <c r="I7190" s="6" t="s">
        <v>1100</v>
      </c>
      <c r="J7190" s="6" t="s">
        <v>398</v>
      </c>
      <c r="K7190" s="10">
        <v>16.59</v>
      </c>
      <c r="L7190" s="10">
        <v>21</v>
      </c>
      <c r="M7190" s="6" t="s">
        <v>421</v>
      </c>
      <c r="N7190" s="6" t="str">
        <f>IF(OR($G7190="FCC",$G7190="Hydrocracker",$G7190="Reformer"),IF(COUNTIFS($D:$D,$D7190,$A:$A,$A7190,$B:$B,$B7190,$G:$G,"CDU",$J:$J,"PLANNED")&gt;0,"tied","standalone"),"")</f>
        <v>tied</v>
      </c>
    </row>
    <row r="7191" spans="1:14">
      <c r="A7191" s="6">
        <v>2026</v>
      </c>
      <c r="B7191" s="6">
        <v>2</v>
      </c>
      <c r="C7191" s="6" t="s">
        <v>61</v>
      </c>
      <c r="D7191" s="6" t="s">
        <v>440</v>
      </c>
      <c r="E7191" s="6" t="s">
        <v>441</v>
      </c>
      <c r="F7191" s="6" t="str">
        <f>IF($M7191="PADD I","PADD 1",IF($M7191="PADD II","PADD 2",IF($M7191="PADD III","PADD 3",IF($M7191="PADD IV","PADD 4",IF($M7191="PADD V","PADD 5","")))))</f>
        <v>PADD 3</v>
      </c>
      <c r="G7191" s="6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6" t="s">
        <v>426</v>
      </c>
      <c r="I7191" s="6" t="s">
        <v>141</v>
      </c>
      <c r="J7191" s="6" t="s">
        <v>394</v>
      </c>
      <c r="K7191" s="10">
        <v>16.5375</v>
      </c>
      <c r="L7191" s="10">
        <v>78.75</v>
      </c>
      <c r="M7191" s="6" t="s">
        <v>421</v>
      </c>
      <c r="N7191" s="6" t="str">
        <f>IF(OR($G7191="FCC",$G7191="Hydrocracker",$G7191="Reformer"),IF(COUNTIFS($D:$D,$D7191,$A:$A,$A7191,$B:$B,$B7191,$G:$G,"CDU",$J:$J,"PLANNED")&gt;0,"tied","standalone"),"")</f>
        <v>standalone</v>
      </c>
    </row>
    <row r="7192" spans="1:14">
      <c r="A7192" s="6">
        <v>2026</v>
      </c>
      <c r="B7192" s="6">
        <v>2</v>
      </c>
      <c r="C7192" s="6" t="s">
        <v>61</v>
      </c>
      <c r="D7192" s="6" t="s">
        <v>378</v>
      </c>
      <c r="E7192" s="6" t="s">
        <v>477</v>
      </c>
      <c r="F7192" s="6" t="str">
        <f>IF($M7192="PADD I","PADD 1",IF($M7192="PADD II","PADD 2",IF($M7192="PADD III","PADD 3",IF($M7192="PADD IV","PADD 4",IF($M7192="PADD V","PADD 5","")))))</f>
        <v>PADD 3</v>
      </c>
      <c r="G7192" s="6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6" t="s">
        <v>44</v>
      </c>
      <c r="I7192" s="6" t="s">
        <v>1400</v>
      </c>
      <c r="J7192" s="6" t="s">
        <v>394</v>
      </c>
      <c r="K7192" s="10">
        <v>16.4</v>
      </c>
      <c r="L7192" s="10">
        <v>20</v>
      </c>
      <c r="M7192" s="6" t="s">
        <v>421</v>
      </c>
      <c r="N7192" s="6">
        <f>IF(OR($G7192="FCC",$G7192="Hydrocracker",$G7192="Reformer"),IF(COUNTIFS($D:$D,$D7192,$A:$A,$A7192,$B:$B,$B7192,$G:$G,"CDU",$J:$J,"PLANNED")&gt;0,"tied","standalone"),"")</f>
        <v/>
      </c>
    </row>
    <row r="7193" spans="1:14">
      <c r="A7193" s="6">
        <v>2026</v>
      </c>
      <c r="B7193" s="6">
        <v>2</v>
      </c>
      <c r="C7193" s="6" t="s">
        <v>61</v>
      </c>
      <c r="D7193" s="6" t="s">
        <v>378</v>
      </c>
      <c r="E7193" s="6" t="s">
        <v>477</v>
      </c>
      <c r="F7193" s="6" t="str">
        <f>IF($M7193="PADD I","PADD 1",IF($M7193="PADD II","PADD 2",IF($M7193="PADD III","PADD 3",IF($M7193="PADD IV","PADD 4",IF($M7193="PADD V","PADD 5","")))))</f>
        <v>PADD 3</v>
      </c>
      <c r="G7193" s="6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6" t="s">
        <v>44</v>
      </c>
      <c r="I7193" s="6" t="s">
        <v>1401</v>
      </c>
      <c r="J7193" s="6" t="s">
        <v>394</v>
      </c>
      <c r="K7193" s="10">
        <v>16.4</v>
      </c>
      <c r="L7193" s="10">
        <v>20</v>
      </c>
      <c r="M7193" s="6" t="s">
        <v>421</v>
      </c>
      <c r="N7193" s="6">
        <f>IF(OR($G7193="FCC",$G7193="Hydrocracker",$G7193="Reformer"),IF(COUNTIFS($D:$D,$D7193,$A:$A,$A7193,$B:$B,$B7193,$G:$G,"CDU",$J:$J,"PLANNED")&gt;0,"tied","standalone"),"")</f>
        <v/>
      </c>
    </row>
    <row r="7194" spans="1:14">
      <c r="A7194" s="6">
        <v>2026</v>
      </c>
      <c r="B7194" s="6">
        <v>2</v>
      </c>
      <c r="C7194" s="6" t="s">
        <v>61</v>
      </c>
      <c r="D7194" s="6" t="s">
        <v>789</v>
      </c>
      <c r="E7194" s="6" t="s">
        <v>455</v>
      </c>
      <c r="F7194" s="6" t="str">
        <f>IF($M7194="PADD I","PADD 1",IF($M7194="PADD II","PADD 2",IF($M7194="PADD III","PADD 3",IF($M7194="PADD IV","PADD 4",IF($M7194="PADD V","PADD 5","")))))</f>
        <v>PADD 2</v>
      </c>
      <c r="G7194" s="6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6" t="s">
        <v>426</v>
      </c>
      <c r="I7194" s="6" t="s">
        <v>106</v>
      </c>
      <c r="J7194" s="6" t="s">
        <v>394</v>
      </c>
      <c r="K7194" s="10">
        <v>16.2</v>
      </c>
      <c r="L7194" s="10">
        <v>30</v>
      </c>
      <c r="M7194" s="6" t="s">
        <v>425</v>
      </c>
      <c r="N7194" s="6" t="str">
        <f>IF(OR($G7194="FCC",$G7194="Hydrocracker",$G7194="Reformer"),IF(COUNTIFS($D:$D,$D7194,$A:$A,$A7194,$B:$B,$B7194,$G:$G,"CDU",$J:$J,"PLANNED")&gt;0,"tied","standalone"),"")</f>
        <v>standalone</v>
      </c>
    </row>
    <row r="7195" spans="1:14">
      <c r="A7195" s="6">
        <v>2026</v>
      </c>
      <c r="B7195" s="6">
        <v>2</v>
      </c>
      <c r="C7195" s="6" t="s">
        <v>61</v>
      </c>
      <c r="D7195" s="6" t="s">
        <v>789</v>
      </c>
      <c r="E7195" s="6" t="s">
        <v>455</v>
      </c>
      <c r="F7195" s="6" t="str">
        <f>IF($M7195="PADD I","PADD 1",IF($M7195="PADD II","PADD 2",IF($M7195="PADD III","PADD 3",IF($M7195="PADD IV","PADD 4",IF($M7195="PADD V","PADD 5","")))))</f>
        <v>PADD 2</v>
      </c>
      <c r="G7195" s="6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6" t="s">
        <v>471</v>
      </c>
      <c r="I7195" s="6" t="s">
        <v>832</v>
      </c>
      <c r="J7195" s="6" t="s">
        <v>394</v>
      </c>
      <c r="K7195" s="10">
        <v>16.2</v>
      </c>
      <c r="L7195" s="10">
        <v>30</v>
      </c>
      <c r="M7195" s="6" t="s">
        <v>425</v>
      </c>
      <c r="N7195" s="6" t="str">
        <f>IF(OR($G7195="FCC",$G7195="Hydrocracker",$G7195="Reformer"),IF(COUNTIFS($D:$D,$D7195,$A:$A,$A7195,$B:$B,$B7195,$G:$G,"CDU",$J:$J,"PLANNED")&gt;0,"tied","standalone"),"")</f>
        <v>standalone</v>
      </c>
    </row>
    <row r="7196" spans="1:14">
      <c r="A7196" s="6">
        <v>2026</v>
      </c>
      <c r="B7196" s="6">
        <v>2</v>
      </c>
      <c r="C7196" s="6" t="s">
        <v>61</v>
      </c>
      <c r="D7196" s="6" t="s">
        <v>382</v>
      </c>
      <c r="E7196" s="6" t="s">
        <v>431</v>
      </c>
      <c r="F7196" s="6" t="str">
        <f>IF($M7196="PADD I","PADD 1",IF($M7196="PADD II","PADD 2",IF($M7196="PADD III","PADD 3",IF($M7196="PADD IV","PADD 4",IF($M7196="PADD V","PADD 5","")))))</f>
        <v>PADD 3</v>
      </c>
      <c r="G7196" s="6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6" t="s">
        <v>428</v>
      </c>
      <c r="I7196" s="6" t="s">
        <v>646</v>
      </c>
      <c r="J7196" s="6" t="s">
        <v>398</v>
      </c>
      <c r="K7196" s="10">
        <v>16.1</v>
      </c>
      <c r="L7196" s="10">
        <v>35</v>
      </c>
      <c r="M7196" s="6" t="s">
        <v>421</v>
      </c>
      <c r="N7196" s="6">
        <f>IF(OR($G7196="FCC",$G7196="Hydrocracker",$G7196="Reformer"),IF(COUNTIFS($D:$D,$D7196,$A:$A,$A7196,$B:$B,$B7196,$G:$G,"CDU",$J:$J,"PLANNED")&gt;0,"tied","standalone"),"")</f>
        <v/>
      </c>
    </row>
    <row r="7197" spans="1:14">
      <c r="A7197" s="6">
        <v>2026</v>
      </c>
      <c r="B7197" s="6">
        <v>2</v>
      </c>
      <c r="C7197" s="6" t="s">
        <v>61</v>
      </c>
      <c r="D7197" s="6" t="s">
        <v>581</v>
      </c>
      <c r="E7197" s="6" t="s">
        <v>582</v>
      </c>
      <c r="F7197" s="6" t="str">
        <f>IF($M7197="PADD I","PADD 1",IF($M7197="PADD II","PADD 2",IF($M7197="PADD III","PADD 3",IF($M7197="PADD IV","PADD 4",IF($M7197="PADD V","PADD 5","")))))</f>
        <v>PADD 5</v>
      </c>
      <c r="G7197" s="6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6" t="s">
        <v>44</v>
      </c>
      <c r="I7197" s="6" t="s">
        <v>668</v>
      </c>
      <c r="J7197" s="6" t="s">
        <v>398</v>
      </c>
      <c r="K7197" s="10">
        <v>15.8</v>
      </c>
      <c r="L7197" s="10">
        <v>20</v>
      </c>
      <c r="M7197" s="6" t="s">
        <v>436</v>
      </c>
      <c r="N7197" s="6">
        <f>IF(OR($G7197="FCC",$G7197="Hydrocracker",$G7197="Reformer"),IF(COUNTIFS($D:$D,$D7197,$A:$A,$A7197,$B:$B,$B7197,$G:$G,"CDU",$J:$J,"PLANNED")&gt;0,"tied","standalone"),"")</f>
        <v/>
      </c>
    </row>
    <row r="7198" spans="1:14">
      <c r="A7198" s="6">
        <v>2026</v>
      </c>
      <c r="B7198" s="6">
        <v>2</v>
      </c>
      <c r="C7198" s="6" t="s">
        <v>61</v>
      </c>
      <c r="D7198" s="6" t="s">
        <v>665</v>
      </c>
      <c r="E7198" s="6" t="s">
        <v>455</v>
      </c>
      <c r="F7198" s="6" t="str">
        <f>IF($M7198="PADD I","PADD 1",IF($M7198="PADD II","PADD 2",IF($M7198="PADD III","PADD 3",IF($M7198="PADD IV","PADD 4",IF($M7198="PADD V","PADD 5","")))))</f>
        <v>PADD 5</v>
      </c>
      <c r="G7198" s="6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6" t="s">
        <v>428</v>
      </c>
      <c r="I7198" s="6" t="s">
        <v>481</v>
      </c>
      <c r="J7198" s="6" t="s">
        <v>398</v>
      </c>
      <c r="K7198" s="10">
        <v>15.444</v>
      </c>
      <c r="L7198" s="10">
        <v>42.9</v>
      </c>
      <c r="M7198" s="6" t="s">
        <v>436</v>
      </c>
      <c r="N7198" s="6">
        <f>IF(OR($G7198="FCC",$G7198="Hydrocracker",$G7198="Reformer"),IF(COUNTIFS($D:$D,$D7198,$A:$A,$A7198,$B:$B,$B7198,$G:$G,"CDU",$J:$J,"PLANNED")&gt;0,"tied","standalone"),"")</f>
        <v/>
      </c>
    </row>
    <row r="7199" spans="1:14">
      <c r="A7199" s="6">
        <v>2026</v>
      </c>
      <c r="B7199" s="6">
        <v>2</v>
      </c>
      <c r="C7199" s="6" t="s">
        <v>61</v>
      </c>
      <c r="D7199" s="6" t="s">
        <v>689</v>
      </c>
      <c r="E7199" s="6" t="s">
        <v>502</v>
      </c>
      <c r="F7199" s="6" t="str">
        <f>IF($M7199="PADD I","PADD 1",IF($M7199="PADD II","PADD 2",IF($M7199="PADD III","PADD 3",IF($M7199="PADD IV","PADD 4",IF($M7199="PADD V","PADD 5","")))))</f>
        <v>PADD 5</v>
      </c>
      <c r="G7199" s="6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6" t="s">
        <v>39</v>
      </c>
      <c r="I7199" s="6" t="s">
        <v>690</v>
      </c>
      <c r="J7199" s="6" t="s">
        <v>398</v>
      </c>
      <c r="K7199" s="10">
        <v>14.5</v>
      </c>
      <c r="L7199" s="10">
        <v>29</v>
      </c>
      <c r="M7199" s="6" t="s">
        <v>436</v>
      </c>
      <c r="N7199" s="6">
        <f>IF(OR($G7199="FCC",$G7199="Hydrocracker",$G7199="Reformer"),IF(COUNTIFS($D:$D,$D7199,$A:$A,$A7199,$B:$B,$B7199,$G:$G,"CDU",$J:$J,"PLANNED")&gt;0,"tied","standalone"),"")</f>
        <v/>
      </c>
    </row>
    <row r="7200" spans="1:14">
      <c r="A7200" s="6">
        <v>2026</v>
      </c>
      <c r="B7200" s="6">
        <v>2</v>
      </c>
      <c r="C7200" s="6" t="s">
        <v>61</v>
      </c>
      <c r="D7200" s="6" t="s">
        <v>518</v>
      </c>
      <c r="E7200" s="6" t="s">
        <v>419</v>
      </c>
      <c r="F7200" s="6" t="str">
        <f>IF($M7200="PADD I","PADD 1",IF($M7200="PADD II","PADD 2",IF($M7200="PADD III","PADD 3",IF($M7200="PADD IV","PADD 4",IF($M7200="PADD V","PADD 5","")))))</f>
        <v>PADD 3</v>
      </c>
      <c r="G7200" s="6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6" t="s">
        <v>39</v>
      </c>
      <c r="I7200" s="6" t="s">
        <v>611</v>
      </c>
      <c r="J7200" s="6" t="s">
        <v>394</v>
      </c>
      <c r="K7200" s="10">
        <v>14.4</v>
      </c>
      <c r="L7200" s="10">
        <v>40</v>
      </c>
      <c r="M7200" s="6" t="s">
        <v>421</v>
      </c>
      <c r="N7200" s="6">
        <f>IF(OR($G7200="FCC",$G7200="Hydrocracker",$G7200="Reformer"),IF(COUNTIFS($D:$D,$D7200,$A:$A,$A7200,$B:$B,$B7200,$G:$G,"CDU",$J:$J,"PLANNED")&gt;0,"tied","standalone"),"")</f>
        <v/>
      </c>
    </row>
    <row r="7201" spans="1:14">
      <c r="A7201" s="6">
        <v>2026</v>
      </c>
      <c r="B7201" s="6">
        <v>2</v>
      </c>
      <c r="C7201" s="6" t="s">
        <v>61</v>
      </c>
      <c r="D7201" s="6" t="s">
        <v>789</v>
      </c>
      <c r="E7201" s="6" t="s">
        <v>455</v>
      </c>
      <c r="F7201" s="6" t="str">
        <f>IF($M7201="PADD I","PADD 1",IF($M7201="PADD II","PADD 2",IF($M7201="PADD III","PADD 3",IF($M7201="PADD IV","PADD 4",IF($M7201="PADD V","PADD 5","")))))</f>
        <v>PADD 2</v>
      </c>
      <c r="G7201" s="6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6" t="s">
        <v>44</v>
      </c>
      <c r="I7201" s="6" t="s">
        <v>543</v>
      </c>
      <c r="J7201" s="6" t="s">
        <v>394</v>
      </c>
      <c r="K7201" s="10">
        <v>14.31</v>
      </c>
      <c r="L7201" s="10">
        <v>26.5</v>
      </c>
      <c r="M7201" s="6" t="s">
        <v>425</v>
      </c>
      <c r="N7201" s="6">
        <f>IF(OR($G7201="FCC",$G7201="Hydrocracker",$G7201="Reformer"),IF(COUNTIFS($D:$D,$D7201,$A:$A,$A7201,$B:$B,$B7201,$G:$G,"CDU",$J:$J,"PLANNED")&gt;0,"tied","standalone"),"")</f>
        <v/>
      </c>
    </row>
    <row r="7202" spans="1:14">
      <c r="A7202" s="6">
        <v>2026</v>
      </c>
      <c r="B7202" s="6">
        <v>2</v>
      </c>
      <c r="C7202" s="6" t="s">
        <v>61</v>
      </c>
      <c r="D7202" s="6" t="s">
        <v>52</v>
      </c>
      <c r="E7202" s="6" t="s">
        <v>441</v>
      </c>
      <c r="F7202" s="6" t="str">
        <f>IF($M7202="PADD I","PADD 1",IF($M7202="PADD II","PADD 2",IF($M7202="PADD III","PADD 3",IF($M7202="PADD IV","PADD 4",IF($M7202="PADD V","PADD 5","")))))</f>
        <v>PADD 5</v>
      </c>
      <c r="G7202" s="6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6" t="s">
        <v>44</v>
      </c>
      <c r="I7202" s="6" t="s">
        <v>909</v>
      </c>
      <c r="J7202" s="6" t="s">
        <v>394</v>
      </c>
      <c r="K7202" s="10">
        <v>14</v>
      </c>
      <c r="L7202" s="10">
        <v>14</v>
      </c>
      <c r="M7202" s="6" t="s">
        <v>436</v>
      </c>
      <c r="N7202" s="6">
        <f>IF(OR($G7202="FCC",$G7202="Hydrocracker",$G7202="Reformer"),IF(COUNTIFS($D:$D,$D7202,$A:$A,$A7202,$B:$B,$B7202,$G:$G,"CDU",$J:$J,"PLANNED")&gt;0,"tied","standalone"),"")</f>
        <v/>
      </c>
    </row>
    <row r="7203" spans="1:14">
      <c r="A7203" s="6">
        <v>2026</v>
      </c>
      <c r="B7203" s="6">
        <v>2</v>
      </c>
      <c r="C7203" s="6" t="s">
        <v>61</v>
      </c>
      <c r="D7203" s="6" t="s">
        <v>789</v>
      </c>
      <c r="E7203" s="6" t="s">
        <v>455</v>
      </c>
      <c r="F7203" s="6" t="str">
        <f>IF($M7203="PADD I","PADD 1",IF($M7203="PADD II","PADD 2",IF($M7203="PADD III","PADD 3",IF($M7203="PADD IV","PADD 4",IF($M7203="PADD V","PADD 5","")))))</f>
        <v>PADD 2</v>
      </c>
      <c r="G7203" s="6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6" t="s">
        <v>44</v>
      </c>
      <c r="I7203" s="6" t="s">
        <v>790</v>
      </c>
      <c r="J7203" s="6" t="s">
        <v>394</v>
      </c>
      <c r="K7203" s="10">
        <v>13.76</v>
      </c>
      <c r="L7203" s="10">
        <v>32</v>
      </c>
      <c r="M7203" s="6" t="s">
        <v>425</v>
      </c>
      <c r="N7203" s="6">
        <f>IF(OR($G7203="FCC",$G7203="Hydrocracker",$G7203="Reformer"),IF(COUNTIFS($D:$D,$D7203,$A:$A,$A7203,$B:$B,$B7203,$G:$G,"CDU",$J:$J,"PLANNED")&gt;0,"tied","standalone"),"")</f>
        <v/>
      </c>
    </row>
    <row r="7204" spans="1:14">
      <c r="A7204" s="6">
        <v>2026</v>
      </c>
      <c r="B7204" s="6">
        <v>2</v>
      </c>
      <c r="C7204" s="6" t="s">
        <v>61</v>
      </c>
      <c r="D7204" s="6" t="s">
        <v>1088</v>
      </c>
      <c r="E7204" s="6" t="s">
        <v>1089</v>
      </c>
      <c r="F7204" s="6" t="str">
        <f>IF($M7204="PADD I","PADD 1",IF($M7204="PADD II","PADD 2",IF($M7204="PADD III","PADD 3",IF($M7204="PADD IV","PADD 4",IF($M7204="PADD V","PADD 5","")))))</f>
        <v>PADD 2</v>
      </c>
      <c r="G7204" s="6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6" t="s">
        <v>39</v>
      </c>
      <c r="I7204" s="6" t="s">
        <v>1090</v>
      </c>
      <c r="J7204" s="6" t="s">
        <v>394</v>
      </c>
      <c r="K7204" s="10">
        <v>13.3</v>
      </c>
      <c r="L7204" s="10">
        <v>95</v>
      </c>
      <c r="M7204" s="6" t="s">
        <v>425</v>
      </c>
      <c r="N7204" s="6">
        <f>IF(OR($G7204="FCC",$G7204="Hydrocracker",$G7204="Reformer"),IF(COUNTIFS($D:$D,$D7204,$A:$A,$A7204,$B:$B,$B7204,$G:$G,"CDU",$J:$J,"PLANNED")&gt;0,"tied","standalone"),"")</f>
        <v/>
      </c>
    </row>
    <row r="7205" spans="1:14">
      <c r="A7205" s="6">
        <v>2026</v>
      </c>
      <c r="B7205" s="6">
        <v>2</v>
      </c>
      <c r="C7205" s="6" t="s">
        <v>61</v>
      </c>
      <c r="D7205" s="6" t="s">
        <v>371</v>
      </c>
      <c r="E7205" s="6" t="s">
        <v>419</v>
      </c>
      <c r="F7205" s="6" t="str">
        <f>IF($M7205="PADD I","PADD 1",IF($M7205="PADD II","PADD 2",IF($M7205="PADD III","PADD 3",IF($M7205="PADD IV","PADD 4",IF($M7205="PADD V","PADD 5","")))))</f>
        <v>PADD 2</v>
      </c>
      <c r="G7205" s="6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6" t="s">
        <v>39</v>
      </c>
      <c r="I7205" s="6" t="s">
        <v>571</v>
      </c>
      <c r="J7205" s="6" t="s">
        <v>398</v>
      </c>
      <c r="K7205" s="10">
        <v>13.2</v>
      </c>
      <c r="L7205" s="10">
        <v>120</v>
      </c>
      <c r="M7205" s="6" t="s">
        <v>425</v>
      </c>
      <c r="N7205" s="6">
        <f>IF(OR($G7205="FCC",$G7205="Hydrocracker",$G7205="Reformer"),IF(COUNTIFS($D:$D,$D7205,$A:$A,$A7205,$B:$B,$B7205,$G:$G,"CDU",$J:$J,"PLANNED")&gt;0,"tied","standalone"),"")</f>
        <v/>
      </c>
    </row>
    <row r="7206" spans="1:14">
      <c r="A7206" s="6">
        <v>2026</v>
      </c>
      <c r="B7206" s="6">
        <v>2</v>
      </c>
      <c r="C7206" s="6" t="s">
        <v>61</v>
      </c>
      <c r="D7206" s="6" t="s">
        <v>1208</v>
      </c>
      <c r="E7206" s="6" t="s">
        <v>774</v>
      </c>
      <c r="F7206" s="6" t="str">
        <f>IF($M7206="PADD I","PADD 1",IF($M7206="PADD II","PADD 2",IF($M7206="PADD III","PADD 3",IF($M7206="PADD IV","PADD 4",IF($M7206="PADD V","PADD 5","")))))</f>
        <v>PADD 5</v>
      </c>
      <c r="G7206" s="6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6" t="s">
        <v>428</v>
      </c>
      <c r="I7206" s="6" t="s">
        <v>481</v>
      </c>
      <c r="J7206" s="6" t="s">
        <v>398</v>
      </c>
      <c r="K7206" s="10">
        <v>12.48</v>
      </c>
      <c r="L7206" s="10">
        <v>19.5</v>
      </c>
      <c r="M7206" s="6" t="s">
        <v>436</v>
      </c>
      <c r="N7206" s="6">
        <f>IF(OR($G7206="FCC",$G7206="Hydrocracker",$G7206="Reformer"),IF(COUNTIFS($D:$D,$D7206,$A:$A,$A7206,$B:$B,$B7206,$G:$G,"CDU",$J:$J,"PLANNED")&gt;0,"tied","standalone"),"")</f>
        <v/>
      </c>
    </row>
    <row r="7207" spans="1:14">
      <c r="A7207" s="6">
        <v>2026</v>
      </c>
      <c r="B7207" s="6">
        <v>2</v>
      </c>
      <c r="C7207" s="6" t="s">
        <v>61</v>
      </c>
      <c r="D7207" s="6" t="s">
        <v>726</v>
      </c>
      <c r="E7207" s="6" t="s">
        <v>727</v>
      </c>
      <c r="F7207" s="6" t="str">
        <f>IF($M7207="PADD I","PADD 1",IF($M7207="PADD II","PADD 2",IF($M7207="PADD III","PADD 3",IF($M7207="PADD IV","PADD 4",IF($M7207="PADD V","PADD 5","")))))</f>
        <v>PADD 1</v>
      </c>
      <c r="G7207" s="6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6" t="s">
        <v>39</v>
      </c>
      <c r="I7207" s="6" t="s">
        <v>728</v>
      </c>
      <c r="J7207" s="6" t="s">
        <v>394</v>
      </c>
      <c r="K7207" s="10">
        <v>12.1</v>
      </c>
      <c r="L7207" s="10">
        <v>110</v>
      </c>
      <c r="M7207" s="6" t="s">
        <v>463</v>
      </c>
      <c r="N7207" s="6">
        <f>IF(OR($G7207="FCC",$G7207="Hydrocracker",$G7207="Reformer"),IF(COUNTIFS($D:$D,$D7207,$A:$A,$A7207,$B:$B,$B7207,$G:$G,"CDU",$J:$J,"PLANNED")&gt;0,"tied","standalone"),"")</f>
        <v/>
      </c>
    </row>
    <row r="7208" spans="1:14">
      <c r="A7208" s="6">
        <v>2026</v>
      </c>
      <c r="B7208" s="6">
        <v>2</v>
      </c>
      <c r="C7208" s="6" t="s">
        <v>61</v>
      </c>
      <c r="D7208" s="6" t="s">
        <v>824</v>
      </c>
      <c r="E7208" s="6" t="s">
        <v>825</v>
      </c>
      <c r="F7208" s="6" t="str">
        <f>IF($M7208="PADD I","PADD 1",IF($M7208="PADD II","PADD 2",IF($M7208="PADD III","PADD 3",IF($M7208="PADD IV","PADD 4",IF($M7208="PADD V","PADD 5","")))))</f>
        <v>PADD 1</v>
      </c>
      <c r="G7208" s="6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6" t="s">
        <v>44</v>
      </c>
      <c r="I7208" s="6" t="s">
        <v>1203</v>
      </c>
      <c r="J7208" s="6" t="s">
        <v>398</v>
      </c>
      <c r="K7208" s="10">
        <v>12.04</v>
      </c>
      <c r="L7208" s="10">
        <v>14</v>
      </c>
      <c r="M7208" s="6" t="s">
        <v>463</v>
      </c>
      <c r="N7208" s="6">
        <f>IF(OR($G7208="FCC",$G7208="Hydrocracker",$G7208="Reformer"),IF(COUNTIFS($D:$D,$D7208,$A:$A,$A7208,$B:$B,$B7208,$G:$G,"CDU",$J:$J,"PLANNED")&gt;0,"tied","standalone"),"")</f>
        <v/>
      </c>
    </row>
    <row r="7209" spans="1:14">
      <c r="A7209" s="6">
        <v>2026</v>
      </c>
      <c r="B7209" s="6">
        <v>2</v>
      </c>
      <c r="C7209" s="6" t="s">
        <v>61</v>
      </c>
      <c r="D7209" s="6" t="s">
        <v>576</v>
      </c>
      <c r="E7209" s="6" t="s">
        <v>455</v>
      </c>
      <c r="F7209" s="6" t="str">
        <f>IF($M7209="PADD I","PADD 1",IF($M7209="PADD II","PADD 2",IF($M7209="PADD III","PADD 3",IF($M7209="PADD IV","PADD 4",IF($M7209="PADD V","PADD 5","")))))</f>
        <v>PADD 3</v>
      </c>
      <c r="G7209" s="6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6" t="s">
        <v>428</v>
      </c>
      <c r="I7209" s="6" t="s">
        <v>699</v>
      </c>
      <c r="J7209" s="6" t="s">
        <v>394</v>
      </c>
      <c r="K7209" s="10">
        <v>12.04</v>
      </c>
      <c r="L7209" s="10">
        <v>172</v>
      </c>
      <c r="M7209" s="6" t="s">
        <v>421</v>
      </c>
      <c r="N7209" s="6">
        <f>IF(OR($G7209="FCC",$G7209="Hydrocracker",$G7209="Reformer"),IF(COUNTIFS($D:$D,$D7209,$A:$A,$A7209,$B:$B,$B7209,$G:$G,"CDU",$J:$J,"PLANNED")&gt;0,"tied","standalone"),"")</f>
        <v/>
      </c>
    </row>
    <row r="7210" spans="1:14">
      <c r="A7210" s="6">
        <v>2026</v>
      </c>
      <c r="B7210" s="6">
        <v>2</v>
      </c>
      <c r="C7210" s="6" t="s">
        <v>61</v>
      </c>
      <c r="D7210" s="6" t="s">
        <v>689</v>
      </c>
      <c r="E7210" s="6" t="s">
        <v>502</v>
      </c>
      <c r="F7210" s="6" t="str">
        <f>IF($M7210="PADD I","PADD 1",IF($M7210="PADD II","PADD 2",IF($M7210="PADD III","PADD 3",IF($M7210="PADD IV","PADD 4",IF($M7210="PADD V","PADD 5","")))))</f>
        <v>PADD 5</v>
      </c>
      <c r="G7210" s="6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6" t="s">
        <v>485</v>
      </c>
      <c r="I7210" s="6" t="s">
        <v>1146</v>
      </c>
      <c r="J7210" s="6" t="s">
        <v>398</v>
      </c>
      <c r="K7210" s="10">
        <v>12</v>
      </c>
      <c r="L7210" s="10">
        <v>24</v>
      </c>
      <c r="M7210" s="6" t="s">
        <v>436</v>
      </c>
      <c r="N7210" s="6">
        <f>IF(OR($G7210="FCC",$G7210="Hydrocracker",$G7210="Reformer"),IF(COUNTIFS($D:$D,$D7210,$A:$A,$A7210,$B:$B,$B7210,$G:$G,"CDU",$J:$J,"PLANNED")&gt;0,"tied","standalone"),"")</f>
        <v/>
      </c>
    </row>
    <row r="7211" spans="1:14">
      <c r="A7211" s="6">
        <v>2026</v>
      </c>
      <c r="B7211" s="6">
        <v>2</v>
      </c>
      <c r="C7211" s="6" t="s">
        <v>61</v>
      </c>
      <c r="D7211" s="6" t="s">
        <v>440</v>
      </c>
      <c r="E7211" s="6" t="s">
        <v>441</v>
      </c>
      <c r="F7211" s="6" t="str">
        <f>IF($M7211="PADD I","PADD 1",IF($M7211="PADD II","PADD 2",IF($M7211="PADD III","PADD 3",IF($M7211="PADD IV","PADD 4",IF($M7211="PADD V","PADD 5","")))))</f>
        <v>PADD 3</v>
      </c>
      <c r="G7211" s="6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6" t="s">
        <v>471</v>
      </c>
      <c r="I7211" s="6" t="s">
        <v>1167</v>
      </c>
      <c r="J7211" s="6" t="s">
        <v>398</v>
      </c>
      <c r="K7211" s="10">
        <v>11.55</v>
      </c>
      <c r="L7211" s="10">
        <v>55</v>
      </c>
      <c r="M7211" s="6" t="s">
        <v>421</v>
      </c>
      <c r="N7211" s="6" t="str">
        <f>IF(OR($G7211="FCC",$G7211="Hydrocracker",$G7211="Reformer"),IF(COUNTIFS($D:$D,$D7211,$A:$A,$A7211,$B:$B,$B7211,$G:$G,"CDU",$J:$J,"PLANNED")&gt;0,"tied","standalone"),"")</f>
        <v>standalone</v>
      </c>
    </row>
    <row r="7212" spans="1:14">
      <c r="A7212" s="6">
        <v>2026</v>
      </c>
      <c r="B7212" s="6">
        <v>2</v>
      </c>
      <c r="C7212" s="6" t="s">
        <v>61</v>
      </c>
      <c r="D7212" s="6" t="s">
        <v>370</v>
      </c>
      <c r="E7212" s="6" t="s">
        <v>431</v>
      </c>
      <c r="F7212" s="6" t="str">
        <f>IF($M7212="PADD I","PADD 1",IF($M7212="PADD II","PADD 2",IF($M7212="PADD III","PADD 3",IF($M7212="PADD IV","PADD 4",IF($M7212="PADD V","PADD 5","")))))</f>
        <v>PADD 2</v>
      </c>
      <c r="G7212" s="6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6" t="s">
        <v>485</v>
      </c>
      <c r="I7212" s="6" t="s">
        <v>491</v>
      </c>
      <c r="J7212" s="6" t="s">
        <v>394</v>
      </c>
      <c r="K7212" s="10">
        <v>11.5</v>
      </c>
      <c r="L7212" s="10">
        <v>23</v>
      </c>
      <c r="M7212" s="6" t="s">
        <v>425</v>
      </c>
      <c r="N7212" s="6">
        <f>IF(OR($G7212="FCC",$G7212="Hydrocracker",$G7212="Reformer"),IF(COUNTIFS($D:$D,$D7212,$A:$A,$A7212,$B:$B,$B7212,$G:$G,"CDU",$J:$J,"PLANNED")&gt;0,"tied","standalone"),"")</f>
        <v/>
      </c>
    </row>
    <row r="7213" spans="1:14">
      <c r="A7213" s="6">
        <v>2026</v>
      </c>
      <c r="B7213" s="6">
        <v>2</v>
      </c>
      <c r="C7213" s="6" t="s">
        <v>61</v>
      </c>
      <c r="D7213" s="6" t="s">
        <v>375</v>
      </c>
      <c r="E7213" s="6" t="s">
        <v>435</v>
      </c>
      <c r="F7213" s="6" t="str">
        <f>IF($M7213="PADD I","PADD 1",IF($M7213="PADD II","PADD 2",IF($M7213="PADD III","PADD 3",IF($M7213="PADD IV","PADD 4",IF($M7213="PADD V","PADD 5","")))))</f>
        <v>PADD 5</v>
      </c>
      <c r="G7213" s="6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6" t="s">
        <v>485</v>
      </c>
      <c r="I7213" s="6" t="s">
        <v>863</v>
      </c>
      <c r="J7213" s="6" t="s">
        <v>394</v>
      </c>
      <c r="K7213" s="10">
        <v>11.5</v>
      </c>
      <c r="L7213" s="10">
        <v>25</v>
      </c>
      <c r="M7213" s="6" t="s">
        <v>436</v>
      </c>
      <c r="N7213" s="6">
        <f>IF(OR($G7213="FCC",$G7213="Hydrocracker",$G7213="Reformer"),IF(COUNTIFS($D:$D,$D7213,$A:$A,$A7213,$B:$B,$B7213,$G:$G,"CDU",$J:$J,"PLANNED")&gt;0,"tied","standalone"),"")</f>
        <v/>
      </c>
    </row>
    <row r="7214" spans="1:14">
      <c r="A7214" s="6">
        <v>2026</v>
      </c>
      <c r="B7214" s="6">
        <v>2</v>
      </c>
      <c r="C7214" s="6" t="s">
        <v>61</v>
      </c>
      <c r="D7214" s="6" t="s">
        <v>789</v>
      </c>
      <c r="E7214" s="6" t="s">
        <v>455</v>
      </c>
      <c r="F7214" s="6" t="str">
        <f>IF($M7214="PADD I","PADD 1",IF($M7214="PADD II","PADD 2",IF($M7214="PADD III","PADD 3",IF($M7214="PADD IV","PADD 4",IF($M7214="PADD V","PADD 5","")))))</f>
        <v>PADD 2</v>
      </c>
      <c r="G7214" s="6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6" t="s">
        <v>44</v>
      </c>
      <c r="I7214" s="6" t="s">
        <v>1246</v>
      </c>
      <c r="J7214" s="6" t="s">
        <v>394</v>
      </c>
      <c r="K7214" s="10">
        <v>10.8</v>
      </c>
      <c r="L7214" s="10">
        <v>20</v>
      </c>
      <c r="M7214" s="6" t="s">
        <v>425</v>
      </c>
      <c r="N7214" s="6">
        <f>IF(OR($G7214="FCC",$G7214="Hydrocracker",$G7214="Reformer"),IF(COUNTIFS($D:$D,$D7214,$A:$A,$A7214,$B:$B,$B7214,$G:$G,"CDU",$J:$J,"PLANNED")&gt;0,"tied","standalone"),"")</f>
        <v/>
      </c>
    </row>
    <row r="7215" spans="1:14">
      <c r="A7215" s="6">
        <v>2026</v>
      </c>
      <c r="B7215" s="6">
        <v>2</v>
      </c>
      <c r="C7215" s="6" t="s">
        <v>61</v>
      </c>
      <c r="D7215" s="6" t="s">
        <v>518</v>
      </c>
      <c r="E7215" s="6" t="s">
        <v>419</v>
      </c>
      <c r="F7215" s="6" t="str">
        <f>IF($M7215="PADD I","PADD 1",IF($M7215="PADD II","PADD 2",IF($M7215="PADD III","PADD 3",IF($M7215="PADD IV","PADD 4",IF($M7215="PADD V","PADD 5","")))))</f>
        <v>PADD 3</v>
      </c>
      <c r="G7215" s="6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6" t="s">
        <v>426</v>
      </c>
      <c r="I7215" s="6" t="s">
        <v>519</v>
      </c>
      <c r="J7215" s="6" t="s">
        <v>394</v>
      </c>
      <c r="K7215" s="10">
        <v>10.8</v>
      </c>
      <c r="L7215" s="10">
        <v>30</v>
      </c>
      <c r="M7215" s="6" t="s">
        <v>421</v>
      </c>
      <c r="N7215" s="6" t="str">
        <f>IF(OR($G7215="FCC",$G7215="Hydrocracker",$G7215="Reformer"),IF(COUNTIFS($D:$D,$D7215,$A:$A,$A7215,$B:$B,$B7215,$G:$G,"CDU",$J:$J,"PLANNED")&gt;0,"tied","standalone"),"")</f>
        <v>standalone</v>
      </c>
    </row>
    <row r="7216" spans="1:14">
      <c r="A7216" s="6">
        <v>2026</v>
      </c>
      <c r="B7216" s="6">
        <v>2</v>
      </c>
      <c r="C7216" s="6" t="s">
        <v>61</v>
      </c>
      <c r="D7216" s="6" t="s">
        <v>518</v>
      </c>
      <c r="E7216" s="6" t="s">
        <v>419</v>
      </c>
      <c r="F7216" s="6" t="str">
        <f>IF($M7216="PADD I","PADD 1",IF($M7216="PADD II","PADD 2",IF($M7216="PADD III","PADD 3",IF($M7216="PADD IV","PADD 4",IF($M7216="PADD V","PADD 5","")))))</f>
        <v>PADD 3</v>
      </c>
      <c r="G7216" s="6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6" t="s">
        <v>471</v>
      </c>
      <c r="I7216" s="6" t="s">
        <v>908</v>
      </c>
      <c r="J7216" s="6" t="s">
        <v>398</v>
      </c>
      <c r="K7216" s="10">
        <v>10</v>
      </c>
      <c r="L7216" s="10">
        <v>20</v>
      </c>
      <c r="M7216" s="6" t="s">
        <v>421</v>
      </c>
      <c r="N7216" s="6" t="str">
        <f>IF(OR($G7216="FCC",$G7216="Hydrocracker",$G7216="Reformer"),IF(COUNTIFS($D:$D,$D7216,$A:$A,$A7216,$B:$B,$B7216,$G:$G,"CDU",$J:$J,"PLANNED")&gt;0,"tied","standalone"),"")</f>
        <v>standalone</v>
      </c>
    </row>
    <row r="7217" spans="1:14">
      <c r="A7217" s="6">
        <v>2026</v>
      </c>
      <c r="B7217" s="6">
        <v>2</v>
      </c>
      <c r="C7217" s="6" t="s">
        <v>61</v>
      </c>
      <c r="D7217" s="6" t="s">
        <v>1110</v>
      </c>
      <c r="E7217" s="6" t="s">
        <v>1089</v>
      </c>
      <c r="F7217" s="6" t="str">
        <f>IF($M7217="PADD I","PADD 1",IF($M7217="PADD II","PADD 2",IF($M7217="PADD III","PADD 3",IF($M7217="PADD IV","PADD 4",IF($M7217="PADD V","PADD 5","")))))</f>
        <v>PADD 2</v>
      </c>
      <c r="G7217" s="6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6" t="s">
        <v>44</v>
      </c>
      <c r="I7217" s="6" t="s">
        <v>1230</v>
      </c>
      <c r="J7217" s="6" t="s">
        <v>394</v>
      </c>
      <c r="K7217" s="10">
        <v>9.94</v>
      </c>
      <c r="L7217" s="10">
        <v>71</v>
      </c>
      <c r="M7217" s="6" t="s">
        <v>425</v>
      </c>
      <c r="N7217" s="6">
        <f>IF(OR($G7217="FCC",$G7217="Hydrocracker",$G7217="Reformer"),IF(COUNTIFS($D:$D,$D7217,$A:$A,$A7217,$B:$B,$B7217,$G:$G,"CDU",$J:$J,"PLANNED")&gt;0,"tied","standalone"),"")</f>
        <v/>
      </c>
    </row>
    <row r="7218" spans="1:14">
      <c r="A7218" s="6">
        <v>2026</v>
      </c>
      <c r="B7218" s="6">
        <v>2</v>
      </c>
      <c r="C7218" s="6" t="s">
        <v>61</v>
      </c>
      <c r="D7218" s="6" t="s">
        <v>1110</v>
      </c>
      <c r="E7218" s="6" t="s">
        <v>1089</v>
      </c>
      <c r="F7218" s="6" t="str">
        <f>IF($M7218="PADD I","PADD 1",IF($M7218="PADD II","PADD 2",IF($M7218="PADD III","PADD 3",IF($M7218="PADD IV","PADD 4",IF($M7218="PADD V","PADD 5","")))))</f>
        <v>PADD 2</v>
      </c>
      <c r="G7218" s="6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6" t="s">
        <v>44</v>
      </c>
      <c r="I7218" s="6" t="s">
        <v>1230</v>
      </c>
      <c r="J7218" s="6" t="s">
        <v>398</v>
      </c>
      <c r="K7218" s="10">
        <v>9.94</v>
      </c>
      <c r="L7218" s="10">
        <v>71</v>
      </c>
      <c r="M7218" s="6" t="s">
        <v>425</v>
      </c>
      <c r="N7218" s="6">
        <f>IF(OR($G7218="FCC",$G7218="Hydrocracker",$G7218="Reformer"),IF(COUNTIFS($D:$D,$D7218,$A:$A,$A7218,$B:$B,$B7218,$G:$G,"CDU",$J:$J,"PLANNED")&gt;0,"tied","standalone"),"")</f>
        <v/>
      </c>
    </row>
    <row r="7219" spans="1:14">
      <c r="A7219" s="6">
        <v>2026</v>
      </c>
      <c r="B7219" s="6">
        <v>2</v>
      </c>
      <c r="C7219" s="6" t="s">
        <v>61</v>
      </c>
      <c r="D7219" s="6" t="s">
        <v>712</v>
      </c>
      <c r="E7219" s="6" t="s">
        <v>602</v>
      </c>
      <c r="F7219" s="6" t="str">
        <f>IF($M7219="PADD I","PADD 1",IF($M7219="PADD II","PADD 2",IF($M7219="PADD III","PADD 3",IF($M7219="PADD IV","PADD 4",IF($M7219="PADD V","PADD 5","")))))</f>
        <v>PADD 3</v>
      </c>
      <c r="G7219" s="6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6" t="s">
        <v>44</v>
      </c>
      <c r="I7219" s="6" t="s">
        <v>878</v>
      </c>
      <c r="J7219" s="6" t="s">
        <v>398</v>
      </c>
      <c r="K7219" s="10">
        <v>9.84</v>
      </c>
      <c r="L7219" s="10">
        <v>12</v>
      </c>
      <c r="M7219" s="6" t="s">
        <v>421</v>
      </c>
      <c r="N7219" s="6">
        <f>IF(OR($G7219="FCC",$G7219="Hydrocracker",$G7219="Reformer"),IF(COUNTIFS($D:$D,$D7219,$A:$A,$A7219,$B:$B,$B7219,$G:$G,"CDU",$J:$J,"PLANNED")&gt;0,"tied","standalone"),"")</f>
        <v/>
      </c>
    </row>
    <row r="7220" spans="1:14">
      <c r="A7220" s="6">
        <v>2026</v>
      </c>
      <c r="B7220" s="6">
        <v>2</v>
      </c>
      <c r="C7220" s="6" t="s">
        <v>61</v>
      </c>
      <c r="D7220" s="6" t="s">
        <v>665</v>
      </c>
      <c r="E7220" s="6" t="s">
        <v>455</v>
      </c>
      <c r="F7220" s="6" t="str">
        <f>IF($M7220="PADD I","PADD 1",IF($M7220="PADD II","PADD 2",IF($M7220="PADD III","PADD 3",IF($M7220="PADD IV","PADD 4",IF($M7220="PADD V","PADD 5","")))))</f>
        <v>PADD 5</v>
      </c>
      <c r="G7220" s="6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6" t="s">
        <v>44</v>
      </c>
      <c r="I7220" s="6" t="s">
        <v>1288</v>
      </c>
      <c r="J7220" s="6" t="s">
        <v>398</v>
      </c>
      <c r="K7220" s="10">
        <v>9.7416</v>
      </c>
      <c r="L7220" s="10">
        <v>27.06</v>
      </c>
      <c r="M7220" s="6" t="s">
        <v>436</v>
      </c>
      <c r="N7220" s="6">
        <f>IF(OR($G7220="FCC",$G7220="Hydrocracker",$G7220="Reformer"),IF(COUNTIFS($D:$D,$D7220,$A:$A,$A7220,$B:$B,$B7220,$G:$G,"CDU",$J:$J,"PLANNED")&gt;0,"tied","standalone"),"")</f>
        <v/>
      </c>
    </row>
    <row r="7221" spans="1:14">
      <c r="A7221" s="6">
        <v>2026</v>
      </c>
      <c r="B7221" s="6">
        <v>2</v>
      </c>
      <c r="C7221" s="6" t="s">
        <v>61</v>
      </c>
      <c r="D7221" s="6" t="s">
        <v>518</v>
      </c>
      <c r="E7221" s="6" t="s">
        <v>419</v>
      </c>
      <c r="F7221" s="6" t="str">
        <f>IF($M7221="PADD I","PADD 1",IF($M7221="PADD II","PADD 2",IF($M7221="PADD III","PADD 3",IF($M7221="PADD IV","PADD 4",IF($M7221="PADD V","PADD 5","")))))</f>
        <v>PADD 3</v>
      </c>
      <c r="G7221" s="6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6" t="s">
        <v>426</v>
      </c>
      <c r="I7221" s="6" t="s">
        <v>523</v>
      </c>
      <c r="J7221" s="6" t="s">
        <v>394</v>
      </c>
      <c r="K7221" s="10">
        <v>9.6</v>
      </c>
      <c r="L7221" s="10">
        <v>30</v>
      </c>
      <c r="M7221" s="6" t="s">
        <v>421</v>
      </c>
      <c r="N7221" s="6" t="str">
        <f>IF(OR($G7221="FCC",$G7221="Hydrocracker",$G7221="Reformer"),IF(COUNTIFS($D:$D,$D7221,$A:$A,$A7221,$B:$B,$B7221,$G:$G,"CDU",$J:$J,"PLANNED")&gt;0,"tied","standalone"),"")</f>
        <v>standalone</v>
      </c>
    </row>
    <row r="7222" spans="1:14">
      <c r="A7222" s="6">
        <v>2026</v>
      </c>
      <c r="B7222" s="6">
        <v>2</v>
      </c>
      <c r="C7222" s="6" t="s">
        <v>61</v>
      </c>
      <c r="D7222" s="6" t="s">
        <v>682</v>
      </c>
      <c r="E7222" s="6" t="s">
        <v>683</v>
      </c>
      <c r="F7222" s="6" t="str">
        <f>IF($M7222="PADD I","PADD 1",IF($M7222="PADD II","PADD 2",IF($M7222="PADD III","PADD 3",IF($M7222="PADD IV","PADD 4",IF($M7222="PADD V","PADD 5","")))))</f>
        <v>PADD 4</v>
      </c>
      <c r="G7222" s="6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6" t="s">
        <v>426</v>
      </c>
      <c r="I7222" s="6" t="s">
        <v>684</v>
      </c>
      <c r="J7222" s="6" t="s">
        <v>394</v>
      </c>
      <c r="K7222" s="10">
        <v>9.085000000000001</v>
      </c>
      <c r="L7222" s="10">
        <v>11.5</v>
      </c>
      <c r="M7222" s="6" t="s">
        <v>480</v>
      </c>
      <c r="N7222" s="6" t="str">
        <f>IF(OR($G7222="FCC",$G7222="Hydrocracker",$G7222="Reformer"),IF(COUNTIFS($D:$D,$D7222,$A:$A,$A7222,$B:$B,$B7222,$G:$G,"CDU",$J:$J,"PLANNED")&gt;0,"tied","standalone"),"")</f>
        <v>standalone</v>
      </c>
    </row>
    <row r="7223" spans="1:14">
      <c r="A7223" s="6">
        <v>2026</v>
      </c>
      <c r="B7223" s="6">
        <v>2</v>
      </c>
      <c r="C7223" s="6" t="s">
        <v>61</v>
      </c>
      <c r="D7223" s="6" t="s">
        <v>1339</v>
      </c>
      <c r="E7223" s="6" t="s">
        <v>1340</v>
      </c>
      <c r="F7223" s="6" t="str">
        <f>IF($M7223="PADD I","PADD 1",IF($M7223="PADD II","PADD 2",IF($M7223="PADD III","PADD 3",IF($M7223="PADD IV","PADD 4",IF($M7223="PADD V","PADD 5","")))))</f>
        <v>PADD 5</v>
      </c>
      <c r="G7223" s="6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6" t="s">
        <v>39</v>
      </c>
      <c r="I7223" s="6" t="s">
        <v>134</v>
      </c>
      <c r="J7223" s="6" t="s">
        <v>398</v>
      </c>
      <c r="K7223" s="10">
        <v>8.747999999999999</v>
      </c>
      <c r="L7223" s="10">
        <v>24.3</v>
      </c>
      <c r="M7223" s="6" t="s">
        <v>436</v>
      </c>
      <c r="N7223" s="6">
        <f>IF(OR($G7223="FCC",$G7223="Hydrocracker",$G7223="Reformer"),IF(COUNTIFS($D:$D,$D7223,$A:$A,$A7223,$B:$B,$B7223,$G:$G,"CDU",$J:$J,"PLANNED")&gt;0,"tied","standalone"),"")</f>
        <v/>
      </c>
    </row>
    <row r="7224" spans="1:14">
      <c r="A7224" s="6">
        <v>2026</v>
      </c>
      <c r="B7224" s="6">
        <v>2</v>
      </c>
      <c r="C7224" s="6" t="s">
        <v>61</v>
      </c>
      <c r="D7224" s="6" t="s">
        <v>581</v>
      </c>
      <c r="E7224" s="6" t="s">
        <v>582</v>
      </c>
      <c r="F7224" s="6" t="str">
        <f>IF($M7224="PADD I","PADD 1",IF($M7224="PADD II","PADD 2",IF($M7224="PADD III","PADD 3",IF($M7224="PADD IV","PADD 4",IF($M7224="PADD V","PADD 5","")))))</f>
        <v>PADD 5</v>
      </c>
      <c r="G7224" s="6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6" t="s">
        <v>485</v>
      </c>
      <c r="I7224" s="6" t="s">
        <v>664</v>
      </c>
      <c r="J7224" s="6" t="s">
        <v>398</v>
      </c>
      <c r="K7224" s="10">
        <v>8.640000000000001</v>
      </c>
      <c r="L7224" s="10">
        <v>27</v>
      </c>
      <c r="M7224" s="6" t="s">
        <v>436</v>
      </c>
      <c r="N7224" s="6">
        <f>IF(OR($G7224="FCC",$G7224="Hydrocracker",$G7224="Reformer"),IF(COUNTIFS($D:$D,$D7224,$A:$A,$A7224,$B:$B,$B7224,$G:$G,"CDU",$J:$J,"PLANNED")&gt;0,"tied","standalone"),"")</f>
        <v/>
      </c>
    </row>
    <row r="7225" spans="1:14">
      <c r="A7225" s="6">
        <v>2026</v>
      </c>
      <c r="B7225" s="6">
        <v>2</v>
      </c>
      <c r="C7225" s="6" t="s">
        <v>61</v>
      </c>
      <c r="D7225" s="6" t="s">
        <v>507</v>
      </c>
      <c r="E7225" s="6" t="s">
        <v>438</v>
      </c>
      <c r="F7225" s="6" t="str">
        <f>IF($M7225="PADD I","PADD 1",IF($M7225="PADD II","PADD 2",IF($M7225="PADD III","PADD 3",IF($M7225="PADD IV","PADD 4",IF($M7225="PADD V","PADD 5","")))))</f>
        <v>PADD 5</v>
      </c>
      <c r="G7225" s="6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6" t="s">
        <v>471</v>
      </c>
      <c r="I7225" s="6" t="s">
        <v>607</v>
      </c>
      <c r="J7225" s="6" t="s">
        <v>398</v>
      </c>
      <c r="K7225" s="10">
        <v>8.6</v>
      </c>
      <c r="L7225" s="10">
        <v>20</v>
      </c>
      <c r="M7225" s="6" t="s">
        <v>436</v>
      </c>
      <c r="N7225" s="6" t="str">
        <f>IF(OR($G7225="FCC",$G7225="Hydrocracker",$G7225="Reformer"),IF(COUNTIFS($D:$D,$D7225,$A:$A,$A7225,$B:$B,$B7225,$G:$G,"CDU",$J:$J,"PLANNED")&gt;0,"tied","standalone"),"")</f>
        <v>standalone</v>
      </c>
    </row>
    <row r="7226" spans="1:14">
      <c r="A7226" s="6">
        <v>2026</v>
      </c>
      <c r="B7226" s="6">
        <v>2</v>
      </c>
      <c r="C7226" s="6" t="s">
        <v>61</v>
      </c>
      <c r="D7226" s="6" t="s">
        <v>437</v>
      </c>
      <c r="E7226" s="6" t="s">
        <v>438</v>
      </c>
      <c r="F7226" s="6" t="str">
        <f>IF($M7226="PADD I","PADD 1",IF($M7226="PADD II","PADD 2",IF($M7226="PADD III","PADD 3",IF($M7226="PADD IV","PADD 4",IF($M7226="PADD V","PADD 5","")))))</f>
        <v>PADD 3</v>
      </c>
      <c r="G7226" s="6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6" t="s">
        <v>471</v>
      </c>
      <c r="I7226" s="6" t="s">
        <v>493</v>
      </c>
      <c r="J7226" s="6" t="s">
        <v>394</v>
      </c>
      <c r="K7226" s="10">
        <v>8.525</v>
      </c>
      <c r="L7226" s="10">
        <v>77.5</v>
      </c>
      <c r="M7226" s="6" t="s">
        <v>421</v>
      </c>
      <c r="N7226" s="6" t="str">
        <f>IF(OR($G7226="FCC",$G7226="Hydrocracker",$G7226="Reformer"),IF(COUNTIFS($D:$D,$D7226,$A:$A,$A7226,$B:$B,$B7226,$G:$G,"CDU",$J:$J,"PLANNED")&gt;0,"tied","standalone"),"")</f>
        <v>tied</v>
      </c>
    </row>
    <row r="7227" spans="1:14">
      <c r="A7227" s="6">
        <v>2026</v>
      </c>
      <c r="B7227" s="6">
        <v>2</v>
      </c>
      <c r="C7227" s="6" t="s">
        <v>61</v>
      </c>
      <c r="D7227" s="6" t="s">
        <v>665</v>
      </c>
      <c r="E7227" s="6" t="s">
        <v>455</v>
      </c>
      <c r="F7227" s="6" t="str">
        <f>IF($M7227="PADD I","PADD 1",IF($M7227="PADD II","PADD 2",IF($M7227="PADD III","PADD 3",IF($M7227="PADD IV","PADD 4",IF($M7227="PADD V","PADD 5","")))))</f>
        <v>PADD 5</v>
      </c>
      <c r="G7227" s="6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6" t="s">
        <v>44</v>
      </c>
      <c r="I7227" s="6" t="s">
        <v>1235</v>
      </c>
      <c r="J7227" s="6" t="s">
        <v>398</v>
      </c>
      <c r="K7227" s="10">
        <v>8.52</v>
      </c>
      <c r="L7227" s="10">
        <v>12</v>
      </c>
      <c r="M7227" s="6" t="s">
        <v>436</v>
      </c>
      <c r="N7227" s="6">
        <f>IF(OR($G7227="FCC",$G7227="Hydrocracker",$G7227="Reformer"),IF(COUNTIFS($D:$D,$D7227,$A:$A,$A7227,$B:$B,$B7227,$G:$G,"CDU",$J:$J,"PLANNED")&gt;0,"tied","standalone"),"")</f>
        <v/>
      </c>
    </row>
    <row r="7228" spans="1:14">
      <c r="A7228" s="6">
        <v>2026</v>
      </c>
      <c r="B7228" s="6">
        <v>2</v>
      </c>
      <c r="C7228" s="6" t="s">
        <v>61</v>
      </c>
      <c r="D7228" s="6" t="s">
        <v>689</v>
      </c>
      <c r="E7228" s="6" t="s">
        <v>502</v>
      </c>
      <c r="F7228" s="6" t="str">
        <f>IF($M7228="PADD I","PADD 1",IF($M7228="PADD II","PADD 2",IF($M7228="PADD III","PADD 3",IF($M7228="PADD IV","PADD 4",IF($M7228="PADD V","PADD 5","")))))</f>
        <v>PADD 5</v>
      </c>
      <c r="G7228" s="6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6" t="s">
        <v>471</v>
      </c>
      <c r="I7228" s="6" t="s">
        <v>956</v>
      </c>
      <c r="J7228" s="6" t="s">
        <v>398</v>
      </c>
      <c r="K7228" s="10">
        <v>8.5</v>
      </c>
      <c r="L7228" s="10">
        <v>17</v>
      </c>
      <c r="M7228" s="6" t="s">
        <v>436</v>
      </c>
      <c r="N7228" s="6" t="str">
        <f>IF(OR($G7228="FCC",$G7228="Hydrocracker",$G7228="Reformer"),IF(COUNTIFS($D:$D,$D7228,$A:$A,$A7228,$B:$B,$B7228,$G:$G,"CDU",$J:$J,"PLANNED")&gt;0,"tied","standalone"),"")</f>
        <v>standalone</v>
      </c>
    </row>
    <row r="7229" spans="1:14">
      <c r="A7229" s="6">
        <v>2026</v>
      </c>
      <c r="B7229" s="6">
        <v>2</v>
      </c>
      <c r="C7229" s="6" t="s">
        <v>61</v>
      </c>
      <c r="D7229" s="6" t="s">
        <v>378</v>
      </c>
      <c r="E7229" s="6" t="s">
        <v>477</v>
      </c>
      <c r="F7229" s="6" t="str">
        <f>IF($M7229="PADD I","PADD 1",IF($M7229="PADD II","PADD 2",IF($M7229="PADD III","PADD 3",IF($M7229="PADD IV","PADD 4",IF($M7229="PADD V","PADD 5","")))))</f>
        <v>PADD 3</v>
      </c>
      <c r="G7229" s="6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6" t="s">
        <v>428</v>
      </c>
      <c r="I7229" s="6" t="s">
        <v>1014</v>
      </c>
      <c r="J7229" s="6" t="s">
        <v>394</v>
      </c>
      <c r="K7229" s="10">
        <v>8.4</v>
      </c>
      <c r="L7229" s="10">
        <v>40</v>
      </c>
      <c r="M7229" s="6" t="s">
        <v>421</v>
      </c>
      <c r="N7229" s="6">
        <f>IF(OR($G7229="FCC",$G7229="Hydrocracker",$G7229="Reformer"),IF(COUNTIFS($D:$D,$D7229,$A:$A,$A7229,$B:$B,$B7229,$G:$G,"CDU",$J:$J,"PLANNED")&gt;0,"tied","standalone"),"")</f>
        <v/>
      </c>
    </row>
    <row r="7230" spans="1:14">
      <c r="A7230" s="6">
        <v>2026</v>
      </c>
      <c r="B7230" s="6">
        <v>2</v>
      </c>
      <c r="C7230" s="6" t="s">
        <v>61</v>
      </c>
      <c r="D7230" s="6" t="s">
        <v>52</v>
      </c>
      <c r="E7230" s="6" t="s">
        <v>441</v>
      </c>
      <c r="F7230" s="6" t="str">
        <f>IF($M7230="PADD I","PADD 1",IF($M7230="PADD II","PADD 2",IF($M7230="PADD III","PADD 3",IF($M7230="PADD IV","PADD 4",IF($M7230="PADD V","PADD 5","")))))</f>
        <v>PADD 5</v>
      </c>
      <c r="G7230" s="6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6" t="s">
        <v>471</v>
      </c>
      <c r="I7230" s="6" t="s">
        <v>589</v>
      </c>
      <c r="J7230" s="6" t="s">
        <v>394</v>
      </c>
      <c r="K7230" s="10">
        <v>8.4</v>
      </c>
      <c r="L7230" s="10">
        <v>60</v>
      </c>
      <c r="M7230" s="6" t="s">
        <v>436</v>
      </c>
      <c r="N7230" s="6" t="str">
        <f>IF(OR($G7230="FCC",$G7230="Hydrocracker",$G7230="Reformer"),IF(COUNTIFS($D:$D,$D7230,$A:$A,$A7230,$B:$B,$B7230,$G:$G,"CDU",$J:$J,"PLANNED")&gt;0,"tied","standalone"),"")</f>
        <v>standalone</v>
      </c>
    </row>
    <row r="7231" spans="1:14">
      <c r="A7231" s="6">
        <v>2026</v>
      </c>
      <c r="B7231" s="6">
        <v>2</v>
      </c>
      <c r="C7231" s="6" t="s">
        <v>61</v>
      </c>
      <c r="D7231" s="6" t="s">
        <v>764</v>
      </c>
      <c r="E7231" s="6" t="s">
        <v>455</v>
      </c>
      <c r="F7231" s="6" t="str">
        <f>IF($M7231="PADD I","PADD 1",IF($M7231="PADD II","PADD 2",IF($M7231="PADD III","PADD 3",IF($M7231="PADD IV","PADD 4",IF($M7231="PADD V","PADD 5","")))))</f>
        <v>PADD 3</v>
      </c>
      <c r="G7231" s="6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6" t="s">
        <v>426</v>
      </c>
      <c r="I7231" s="6" t="s">
        <v>106</v>
      </c>
      <c r="J7231" s="6" t="s">
        <v>394</v>
      </c>
      <c r="K7231" s="10">
        <v>8.359999999999999</v>
      </c>
      <c r="L7231" s="10">
        <v>76</v>
      </c>
      <c r="M7231" s="6" t="s">
        <v>421</v>
      </c>
      <c r="N7231" s="6" t="str">
        <f>IF(OR($G7231="FCC",$G7231="Hydrocracker",$G7231="Reformer"),IF(COUNTIFS($D:$D,$D7231,$A:$A,$A7231,$B:$B,$B7231,$G:$G,"CDU",$J:$J,"PLANNED")&gt;0,"tied","standalone"),"")</f>
        <v>standalone</v>
      </c>
    </row>
    <row r="7232" spans="1:14">
      <c r="A7232" s="6">
        <v>2026</v>
      </c>
      <c r="B7232" s="6">
        <v>2</v>
      </c>
      <c r="C7232" s="6" t="s">
        <v>61</v>
      </c>
      <c r="D7232" s="6" t="s">
        <v>41</v>
      </c>
      <c r="E7232" s="6" t="s">
        <v>786</v>
      </c>
      <c r="F7232" s="6" t="str">
        <f>IF($M7232="PADD I","PADD 1",IF($M7232="PADD II","PADD 2",IF($M7232="PADD III","PADD 3",IF($M7232="PADD IV","PADD 4",IF($M7232="PADD V","PADD 5","")))))</f>
        <v>PADD 1</v>
      </c>
      <c r="G7232" s="6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6" t="s">
        <v>428</v>
      </c>
      <c r="I7232" s="6" t="s">
        <v>1059</v>
      </c>
      <c r="J7232" s="6" t="s">
        <v>394</v>
      </c>
      <c r="K7232" s="10">
        <v>8.32</v>
      </c>
      <c r="L7232" s="10">
        <v>26</v>
      </c>
      <c r="M7232" s="6" t="s">
        <v>463</v>
      </c>
      <c r="N7232" s="6">
        <f>IF(OR($G7232="FCC",$G7232="Hydrocracker",$G7232="Reformer"),IF(COUNTIFS($D:$D,$D7232,$A:$A,$A7232,$B:$B,$B7232,$G:$G,"CDU",$J:$J,"PLANNED")&gt;0,"tied","standalone"),"")</f>
        <v/>
      </c>
    </row>
    <row r="7233" spans="1:14">
      <c r="A7233" s="6">
        <v>2026</v>
      </c>
      <c r="B7233" s="6">
        <v>2</v>
      </c>
      <c r="C7233" s="6" t="s">
        <v>61</v>
      </c>
      <c r="D7233" s="6" t="s">
        <v>865</v>
      </c>
      <c r="E7233" s="6" t="s">
        <v>502</v>
      </c>
      <c r="F7233" s="6" t="str">
        <f>IF($M7233="PADD I","PADD 1",IF($M7233="PADD II","PADD 2",IF($M7233="PADD III","PADD 3",IF($M7233="PADD IV","PADD 4",IF($M7233="PADD V","PADD 5","")))))</f>
        <v>PADD 4</v>
      </c>
      <c r="G7233" s="6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6" t="s">
        <v>39</v>
      </c>
      <c r="I7233" s="6" t="s">
        <v>1281</v>
      </c>
      <c r="J7233" s="6" t="s">
        <v>394</v>
      </c>
      <c r="K7233" s="10">
        <v>8.305</v>
      </c>
      <c r="L7233" s="10">
        <v>75.5</v>
      </c>
      <c r="M7233" s="6" t="s">
        <v>480</v>
      </c>
      <c r="N7233" s="6">
        <f>IF(OR($G7233="FCC",$G7233="Hydrocracker",$G7233="Reformer"),IF(COUNTIFS($D:$D,$D7233,$A:$A,$A7233,$B:$B,$B7233,$G:$G,"CDU",$J:$J,"PLANNED")&gt;0,"tied","standalone"),"")</f>
        <v/>
      </c>
    </row>
    <row r="7234" spans="1:14">
      <c r="A7234" s="6">
        <v>2026</v>
      </c>
      <c r="B7234" s="6">
        <v>2</v>
      </c>
      <c r="C7234" s="6" t="s">
        <v>61</v>
      </c>
      <c r="D7234" s="6" t="s">
        <v>682</v>
      </c>
      <c r="E7234" s="6" t="s">
        <v>683</v>
      </c>
      <c r="F7234" s="6" t="str">
        <f>IF($M7234="PADD I","PADD 1",IF($M7234="PADD II","PADD 2",IF($M7234="PADD III","PADD 3",IF($M7234="PADD IV","PADD 4",IF($M7234="PADD V","PADD 5","")))))</f>
        <v>PADD 4</v>
      </c>
      <c r="G7234" s="6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6" t="s">
        <v>44</v>
      </c>
      <c r="I7234" s="6" t="s">
        <v>724</v>
      </c>
      <c r="J7234" s="6" t="s">
        <v>398</v>
      </c>
      <c r="K7234" s="10">
        <v>7.79</v>
      </c>
      <c r="L7234" s="10">
        <v>9.5</v>
      </c>
      <c r="M7234" s="6" t="s">
        <v>480</v>
      </c>
      <c r="N7234" s="6">
        <f>IF(OR($G7234="FCC",$G7234="Hydrocracker",$G7234="Reformer"),IF(COUNTIFS($D:$D,$D7234,$A:$A,$A7234,$B:$B,$B7234,$G:$G,"CDU",$J:$J,"PLANNED")&gt;0,"tied","standalone"),"")</f>
        <v/>
      </c>
    </row>
    <row r="7235" spans="1:14">
      <c r="A7235" s="6">
        <v>2026</v>
      </c>
      <c r="B7235" s="6">
        <v>2</v>
      </c>
      <c r="C7235" s="6" t="s">
        <v>61</v>
      </c>
      <c r="D7235" s="6" t="s">
        <v>561</v>
      </c>
      <c r="E7235" s="6" t="s">
        <v>455</v>
      </c>
      <c r="F7235" s="6" t="str">
        <f>IF($M7235="PADD I","PADD 1",IF($M7235="PADD II","PADD 2",IF($M7235="PADD III","PADD 3",IF($M7235="PADD IV","PADD 4",IF($M7235="PADD V","PADD 5","")))))</f>
        <v>PADD 3</v>
      </c>
      <c r="G7235" s="6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6" t="s">
        <v>39</v>
      </c>
      <c r="I7235" s="6" t="s">
        <v>113</v>
      </c>
      <c r="J7235" s="6" t="s">
        <v>394</v>
      </c>
      <c r="K7235" s="10">
        <v>7.7</v>
      </c>
      <c r="L7235" s="10">
        <v>110</v>
      </c>
      <c r="M7235" s="6" t="s">
        <v>421</v>
      </c>
      <c r="N7235" s="6">
        <f>IF(OR($G7235="FCC",$G7235="Hydrocracker",$G7235="Reformer"),IF(COUNTIFS($D:$D,$D7235,$A:$A,$A7235,$B:$B,$B7235,$G:$G,"CDU",$J:$J,"PLANNED")&gt;0,"tied","standalone"),"")</f>
        <v/>
      </c>
    </row>
    <row r="7236" spans="1:14">
      <c r="A7236" s="6">
        <v>2026</v>
      </c>
      <c r="B7236" s="6">
        <v>2</v>
      </c>
      <c r="C7236" s="6" t="s">
        <v>61</v>
      </c>
      <c r="D7236" s="6" t="s">
        <v>712</v>
      </c>
      <c r="E7236" s="6" t="s">
        <v>602</v>
      </c>
      <c r="F7236" s="6" t="str">
        <f>IF($M7236="PADD I","PADD 1",IF($M7236="PADD II","PADD 2",IF($M7236="PADD III","PADD 3",IF($M7236="PADD IV","PADD 4",IF($M7236="PADD V","PADD 5","")))))</f>
        <v>PADD 3</v>
      </c>
      <c r="G7236" s="6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6" t="s">
        <v>573</v>
      </c>
      <c r="I7236" s="6" t="s">
        <v>574</v>
      </c>
      <c r="J7236" s="6" t="s">
        <v>398</v>
      </c>
      <c r="K7236" s="10">
        <v>7.6</v>
      </c>
      <c r="L7236" s="10">
        <v>7.6</v>
      </c>
      <c r="M7236" s="6" t="s">
        <v>421</v>
      </c>
      <c r="N7236" s="6">
        <f>IF(OR($G7236="FCC",$G7236="Hydrocracker",$G7236="Reformer"),IF(COUNTIFS($D:$D,$D7236,$A:$A,$A7236,$B:$B,$B7236,$G:$G,"CDU",$J:$J,"PLANNED")&gt;0,"tied","standalone"),"")</f>
        <v/>
      </c>
    </row>
    <row r="7237" spans="1:14">
      <c r="A7237" s="6">
        <v>2026</v>
      </c>
      <c r="B7237" s="6">
        <v>2</v>
      </c>
      <c r="C7237" s="6" t="s">
        <v>61</v>
      </c>
      <c r="D7237" s="6" t="s">
        <v>561</v>
      </c>
      <c r="E7237" s="6" t="s">
        <v>455</v>
      </c>
      <c r="F7237" s="6" t="str">
        <f>IF($M7237="PADD I","PADD 1",IF($M7237="PADD II","PADD 2",IF($M7237="PADD III","PADD 3",IF($M7237="PADD IV","PADD 4",IF($M7237="PADD V","PADD 5","")))))</f>
        <v>PADD 3</v>
      </c>
      <c r="G7237" s="6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6" t="s">
        <v>39</v>
      </c>
      <c r="I7237" s="6" t="s">
        <v>116</v>
      </c>
      <c r="J7237" s="6" t="s">
        <v>394</v>
      </c>
      <c r="K7237" s="10">
        <v>7.49</v>
      </c>
      <c r="L7237" s="10">
        <v>107</v>
      </c>
      <c r="M7237" s="6" t="s">
        <v>421</v>
      </c>
      <c r="N7237" s="6">
        <f>IF(OR($G7237="FCC",$G7237="Hydrocracker",$G7237="Reformer"),IF(COUNTIFS($D:$D,$D7237,$A:$A,$A7237,$B:$B,$B7237,$G:$G,"CDU",$J:$J,"PLANNED")&gt;0,"tied","standalone"),"")</f>
        <v/>
      </c>
    </row>
    <row r="7238" spans="1:14">
      <c r="A7238" s="6">
        <v>2026</v>
      </c>
      <c r="B7238" s="6">
        <v>2</v>
      </c>
      <c r="C7238" s="6" t="s">
        <v>61</v>
      </c>
      <c r="D7238" s="6" t="s">
        <v>52</v>
      </c>
      <c r="E7238" s="6" t="s">
        <v>441</v>
      </c>
      <c r="F7238" s="6" t="str">
        <f>IF($M7238="PADD I","PADD 1",IF($M7238="PADD II","PADD 2",IF($M7238="PADD III","PADD 3",IF($M7238="PADD IV","PADD 4",IF($M7238="PADD V","PADD 5","")))))</f>
        <v>PADD 5</v>
      </c>
      <c r="G7238" s="6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6" t="s">
        <v>44</v>
      </c>
      <c r="I7238" s="6" t="s">
        <v>1387</v>
      </c>
      <c r="J7238" s="6" t="s">
        <v>394</v>
      </c>
      <c r="K7238" s="10">
        <v>7.35</v>
      </c>
      <c r="L7238" s="10">
        <v>7.35</v>
      </c>
      <c r="M7238" s="6" t="s">
        <v>436</v>
      </c>
      <c r="N7238" s="6">
        <f>IF(OR($G7238="FCC",$G7238="Hydrocracker",$G7238="Reformer"),IF(COUNTIFS($D:$D,$D7238,$A:$A,$A7238,$B:$B,$B7238,$G:$G,"CDU",$J:$J,"PLANNED")&gt;0,"tied","standalone"),"")</f>
        <v/>
      </c>
    </row>
    <row r="7239" spans="1:14">
      <c r="A7239" s="6">
        <v>2026</v>
      </c>
      <c r="B7239" s="6">
        <v>2</v>
      </c>
      <c r="C7239" s="6" t="s">
        <v>61</v>
      </c>
      <c r="D7239" s="6" t="s">
        <v>371</v>
      </c>
      <c r="E7239" s="6" t="s">
        <v>419</v>
      </c>
      <c r="F7239" s="6" t="str">
        <f>IF($M7239="PADD I","PADD 1",IF($M7239="PADD II","PADD 2",IF($M7239="PADD III","PADD 3",IF($M7239="PADD IV","PADD 4",IF($M7239="PADD V","PADD 5","")))))</f>
        <v>PADD 2</v>
      </c>
      <c r="G7239" s="6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6" t="s">
        <v>428</v>
      </c>
      <c r="I7239" s="6" t="s">
        <v>469</v>
      </c>
      <c r="J7239" s="6" t="s">
        <v>398</v>
      </c>
      <c r="K7239" s="10">
        <v>7.35</v>
      </c>
      <c r="L7239" s="10">
        <v>105</v>
      </c>
      <c r="M7239" s="6" t="s">
        <v>425</v>
      </c>
      <c r="N7239" s="6">
        <f>IF(OR($G7239="FCC",$G7239="Hydrocracker",$G7239="Reformer"),IF(COUNTIFS($D:$D,$D7239,$A:$A,$A7239,$B:$B,$B7239,$G:$G,"CDU",$J:$J,"PLANNED")&gt;0,"tied","standalone"),"")</f>
        <v/>
      </c>
    </row>
    <row r="7240" spans="1:14">
      <c r="A7240" s="6">
        <v>2026</v>
      </c>
      <c r="B7240" s="6">
        <v>2</v>
      </c>
      <c r="C7240" s="6" t="s">
        <v>61</v>
      </c>
      <c r="D7240" s="6" t="s">
        <v>52</v>
      </c>
      <c r="E7240" s="6" t="s">
        <v>441</v>
      </c>
      <c r="F7240" s="6" t="str">
        <f>IF($M7240="PADD I","PADD 1",IF($M7240="PADD II","PADD 2",IF($M7240="PADD III","PADD 3",IF($M7240="PADD IV","PADD 4",IF($M7240="PADD V","PADD 5","")))))</f>
        <v>PADD 5</v>
      </c>
      <c r="G7240" s="6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6" t="s">
        <v>44</v>
      </c>
      <c r="I7240" s="6" t="s">
        <v>1388</v>
      </c>
      <c r="J7240" s="6" t="s">
        <v>394</v>
      </c>
      <c r="K7240" s="10">
        <v>7</v>
      </c>
      <c r="L7240" s="10">
        <v>7</v>
      </c>
      <c r="M7240" s="6" t="s">
        <v>436</v>
      </c>
      <c r="N7240" s="6">
        <f>IF(OR($G7240="FCC",$G7240="Hydrocracker",$G7240="Reformer"),IF(COUNTIFS($D:$D,$D7240,$A:$A,$A7240,$B:$B,$B7240,$G:$G,"CDU",$J:$J,"PLANNED")&gt;0,"tied","standalone"),"")</f>
        <v/>
      </c>
    </row>
    <row r="7241" spans="1:14">
      <c r="A7241" s="6">
        <v>2026</v>
      </c>
      <c r="B7241" s="6">
        <v>2</v>
      </c>
      <c r="C7241" s="6" t="s">
        <v>61</v>
      </c>
      <c r="D7241" s="6" t="s">
        <v>378</v>
      </c>
      <c r="E7241" s="6" t="s">
        <v>477</v>
      </c>
      <c r="F7241" s="6" t="str">
        <f>IF($M7241="PADD I","PADD 1",IF($M7241="PADD II","PADD 2",IF($M7241="PADD III","PADD 3",IF($M7241="PADD IV","PADD 4",IF($M7241="PADD V","PADD 5","")))))</f>
        <v>PADD 3</v>
      </c>
      <c r="G7241" s="6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6" t="s">
        <v>510</v>
      </c>
      <c r="I7241" s="6" t="s">
        <v>1125</v>
      </c>
      <c r="J7241" s="6" t="s">
        <v>394</v>
      </c>
      <c r="K7241" s="10">
        <v>6.96</v>
      </c>
      <c r="L7241" s="10">
        <v>24</v>
      </c>
      <c r="M7241" s="6" t="s">
        <v>421</v>
      </c>
      <c r="N7241" s="6">
        <f>IF(OR($G7241="FCC",$G7241="Hydrocracker",$G7241="Reformer"),IF(COUNTIFS($D:$D,$D7241,$A:$A,$A7241,$B:$B,$B7241,$G:$G,"CDU",$J:$J,"PLANNED")&gt;0,"tied","standalone"),"")</f>
        <v/>
      </c>
    </row>
    <row r="7242" spans="1:14">
      <c r="A7242" s="6">
        <v>2026</v>
      </c>
      <c r="B7242" s="6">
        <v>2</v>
      </c>
      <c r="C7242" s="6" t="s">
        <v>61</v>
      </c>
      <c r="D7242" s="6" t="s">
        <v>665</v>
      </c>
      <c r="E7242" s="6" t="s">
        <v>455</v>
      </c>
      <c r="F7242" s="6" t="str">
        <f>IF($M7242="PADD I","PADD 1",IF($M7242="PADD II","PADD 2",IF($M7242="PADD III","PADD 3",IF($M7242="PADD IV","PADD 4",IF($M7242="PADD V","PADD 5","")))))</f>
        <v>PADD 5</v>
      </c>
      <c r="G7242" s="6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6" t="s">
        <v>44</v>
      </c>
      <c r="I7242" s="6" t="s">
        <v>1359</v>
      </c>
      <c r="J7242" s="6" t="s">
        <v>398</v>
      </c>
      <c r="K7242" s="10">
        <v>6.8904</v>
      </c>
      <c r="L7242" s="10">
        <v>19.14</v>
      </c>
      <c r="M7242" s="6" t="s">
        <v>436</v>
      </c>
      <c r="N7242" s="6">
        <f>IF(OR($G7242="FCC",$G7242="Hydrocracker",$G7242="Reformer"),IF(COUNTIFS($D:$D,$D7242,$A:$A,$A7242,$B:$B,$B7242,$G:$G,"CDU",$J:$J,"PLANNED")&gt;0,"tied","standalone"),"")</f>
        <v/>
      </c>
    </row>
    <row r="7243" spans="1:14">
      <c r="A7243" s="6">
        <v>2026</v>
      </c>
      <c r="B7243" s="6">
        <v>2</v>
      </c>
      <c r="C7243" s="6" t="s">
        <v>61</v>
      </c>
      <c r="D7243" s="6" t="s">
        <v>370</v>
      </c>
      <c r="E7243" s="6" t="s">
        <v>431</v>
      </c>
      <c r="F7243" s="6" t="str">
        <f>IF($M7243="PADD I","PADD 1",IF($M7243="PADD II","PADD 2",IF($M7243="PADD III","PADD 3",IF($M7243="PADD IV","PADD 4",IF($M7243="PADD V","PADD 5","")))))</f>
        <v>PADD 2</v>
      </c>
      <c r="G7243" s="6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6" t="s">
        <v>471</v>
      </c>
      <c r="I7243" s="6" t="s">
        <v>240</v>
      </c>
      <c r="J7243" s="6" t="s">
        <v>394</v>
      </c>
      <c r="K7243" s="10">
        <v>6.5</v>
      </c>
      <c r="L7243" s="10">
        <v>13</v>
      </c>
      <c r="M7243" s="6" t="s">
        <v>425</v>
      </c>
      <c r="N7243" s="6" t="str">
        <f>IF(OR($G7243="FCC",$G7243="Hydrocracker",$G7243="Reformer"),IF(COUNTIFS($D:$D,$D7243,$A:$A,$A7243,$B:$B,$B7243,$G:$G,"CDU",$J:$J,"PLANNED")&gt;0,"tied","standalone"),"")</f>
        <v>standalone</v>
      </c>
    </row>
    <row r="7244" spans="1:14">
      <c r="A7244" s="6">
        <v>2026</v>
      </c>
      <c r="B7244" s="6">
        <v>2</v>
      </c>
      <c r="C7244" s="6" t="s">
        <v>61</v>
      </c>
      <c r="D7244" s="6" t="s">
        <v>378</v>
      </c>
      <c r="E7244" s="6" t="s">
        <v>477</v>
      </c>
      <c r="F7244" s="6" t="str">
        <f>IF($M7244="PADD I","PADD 1",IF($M7244="PADD II","PADD 2",IF($M7244="PADD III","PADD 3",IF($M7244="PADD IV","PADD 4",IF($M7244="PADD V","PADD 5","")))))</f>
        <v>PADD 3</v>
      </c>
      <c r="G7244" s="6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6" t="s">
        <v>44</v>
      </c>
      <c r="I7244" s="6" t="s">
        <v>1258</v>
      </c>
      <c r="J7244" s="6" t="s">
        <v>394</v>
      </c>
      <c r="K7244" s="10">
        <v>6.3</v>
      </c>
      <c r="L7244" s="10">
        <v>45</v>
      </c>
      <c r="M7244" s="6" t="s">
        <v>421</v>
      </c>
      <c r="N7244" s="6">
        <f>IF(OR($G7244="FCC",$G7244="Hydrocracker",$G7244="Reformer"),IF(COUNTIFS($D:$D,$D7244,$A:$A,$A7244,$B:$B,$B7244,$G:$G,"CDU",$J:$J,"PLANNED")&gt;0,"tied","standalone"),"")</f>
        <v/>
      </c>
    </row>
    <row r="7245" spans="1:14">
      <c r="A7245" s="6">
        <v>2026</v>
      </c>
      <c r="B7245" s="6">
        <v>2</v>
      </c>
      <c r="C7245" s="6" t="s">
        <v>61</v>
      </c>
      <c r="D7245" s="6" t="s">
        <v>937</v>
      </c>
      <c r="E7245" s="6" t="s">
        <v>455</v>
      </c>
      <c r="F7245" s="6" t="str">
        <f>IF($M7245="PADD I","PADD 1",IF($M7245="PADD II","PADD 2",IF($M7245="PADD III","PADD 3",IF($M7245="PADD IV","PADD 4",IF($M7245="PADD V","PADD 5","")))))</f>
        <v>PADD 3</v>
      </c>
      <c r="G7245" s="6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6" t="s">
        <v>494</v>
      </c>
      <c r="I7245" s="6" t="s">
        <v>1072</v>
      </c>
      <c r="J7245" s="6" t="s">
        <v>394</v>
      </c>
      <c r="K7245" s="10">
        <v>6.3</v>
      </c>
      <c r="L7245" s="10">
        <v>30</v>
      </c>
      <c r="M7245" s="6" t="s">
        <v>421</v>
      </c>
      <c r="N7245" s="6" t="str">
        <f>IF(OR($G7245="FCC",$G7245="Hydrocracker",$G7245="Reformer"),IF(COUNTIFS($D:$D,$D7245,$A:$A,$A7245,$B:$B,$B7245,$G:$G,"CDU",$J:$J,"PLANNED")&gt;0,"tied","standalone"),"")</f>
        <v>standalone</v>
      </c>
    </row>
    <row r="7246" spans="1:14">
      <c r="A7246" s="6">
        <v>2026</v>
      </c>
      <c r="B7246" s="6">
        <v>2</v>
      </c>
      <c r="C7246" s="6" t="s">
        <v>61</v>
      </c>
      <c r="D7246" s="6" t="s">
        <v>52</v>
      </c>
      <c r="E7246" s="6" t="s">
        <v>441</v>
      </c>
      <c r="F7246" s="6" t="str">
        <f>IF($M7246="PADD I","PADD 1",IF($M7246="PADD II","PADD 2",IF($M7246="PADD III","PADD 3",IF($M7246="PADD IV","PADD 4",IF($M7246="PADD V","PADD 5","")))))</f>
        <v>PADD 5</v>
      </c>
      <c r="G7246" s="6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6" t="s">
        <v>44</v>
      </c>
      <c r="I7246" s="6" t="s">
        <v>909</v>
      </c>
      <c r="J7246" s="6" t="s">
        <v>394</v>
      </c>
      <c r="K7246" s="10">
        <v>6.3</v>
      </c>
      <c r="L7246" s="10">
        <v>35</v>
      </c>
      <c r="M7246" s="6" t="s">
        <v>436</v>
      </c>
      <c r="N7246" s="6">
        <f>IF(OR($G7246="FCC",$G7246="Hydrocracker",$G7246="Reformer"),IF(COUNTIFS($D:$D,$D7246,$A:$A,$A7246,$B:$B,$B7246,$G:$G,"CDU",$J:$J,"PLANNED")&gt;0,"tied","standalone"),"")</f>
        <v/>
      </c>
    </row>
    <row r="7247" spans="1:14">
      <c r="A7247" s="6">
        <v>2026</v>
      </c>
      <c r="B7247" s="6">
        <v>2</v>
      </c>
      <c r="C7247" s="6" t="s">
        <v>61</v>
      </c>
      <c r="D7247" s="6" t="s">
        <v>540</v>
      </c>
      <c r="E7247" s="6" t="s">
        <v>541</v>
      </c>
      <c r="F7247" s="6" t="str">
        <f>IF($M7247="PADD I","PADD 1",IF($M7247="PADD II","PADD 2",IF($M7247="PADD III","PADD 3",IF($M7247="PADD IV","PADD 4",IF($M7247="PADD V","PADD 5","")))))</f>
        <v>PADD 3</v>
      </c>
      <c r="G7247" s="6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6" t="s">
        <v>426</v>
      </c>
      <c r="I7247" s="6" t="s">
        <v>522</v>
      </c>
      <c r="J7247" s="6" t="s">
        <v>394</v>
      </c>
      <c r="K7247" s="10">
        <v>6.16</v>
      </c>
      <c r="L7247" s="10">
        <v>88</v>
      </c>
      <c r="M7247" s="6" t="s">
        <v>421</v>
      </c>
      <c r="N7247" s="6" t="str">
        <f>IF(OR($G7247="FCC",$G7247="Hydrocracker",$G7247="Reformer"),IF(COUNTIFS($D:$D,$D7247,$A:$A,$A7247,$B:$B,$B7247,$G:$G,"CDU",$J:$J,"PLANNED")&gt;0,"tied","standalone"),"")</f>
        <v>standalone</v>
      </c>
    </row>
    <row r="7248" spans="1:14">
      <c r="A7248" s="6">
        <v>2026</v>
      </c>
      <c r="B7248" s="6">
        <v>2</v>
      </c>
      <c r="C7248" s="6" t="s">
        <v>61</v>
      </c>
      <c r="D7248" s="6" t="s">
        <v>1110</v>
      </c>
      <c r="E7248" s="6" t="s">
        <v>1089</v>
      </c>
      <c r="F7248" s="6" t="str">
        <f>IF($M7248="PADD I","PADD 1",IF($M7248="PADD II","PADD 2",IF($M7248="PADD III","PADD 3",IF($M7248="PADD IV","PADD 4",IF($M7248="PADD V","PADD 5","")))))</f>
        <v>PADD 2</v>
      </c>
      <c r="G7248" s="6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6" t="s">
        <v>44</v>
      </c>
      <c r="I7248" s="6" t="s">
        <v>1236</v>
      </c>
      <c r="J7248" s="6" t="s">
        <v>394</v>
      </c>
      <c r="K7248" s="10">
        <v>5.88</v>
      </c>
      <c r="L7248" s="10">
        <v>42</v>
      </c>
      <c r="M7248" s="6" t="s">
        <v>425</v>
      </c>
      <c r="N7248" s="6">
        <f>IF(OR($G7248="FCC",$G7248="Hydrocracker",$G7248="Reformer"),IF(COUNTIFS($D:$D,$D7248,$A:$A,$A7248,$B:$B,$B7248,$G:$G,"CDU",$J:$J,"PLANNED")&gt;0,"tied","standalone"),"")</f>
        <v/>
      </c>
    </row>
    <row r="7249" spans="1:14">
      <c r="A7249" s="6">
        <v>2026</v>
      </c>
      <c r="B7249" s="6">
        <v>2</v>
      </c>
      <c r="C7249" s="6" t="s">
        <v>61</v>
      </c>
      <c r="D7249" s="6" t="s">
        <v>789</v>
      </c>
      <c r="E7249" s="6" t="s">
        <v>455</v>
      </c>
      <c r="F7249" s="6" t="str">
        <f>IF($M7249="PADD I","PADD 1",IF($M7249="PADD II","PADD 2",IF($M7249="PADD III","PADD 3",IF($M7249="PADD IV","PADD 4",IF($M7249="PADD V","PADD 5","")))))</f>
        <v>PADD 2</v>
      </c>
      <c r="G7249" s="6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6" t="s">
        <v>494</v>
      </c>
      <c r="I7249" s="6" t="s">
        <v>845</v>
      </c>
      <c r="J7249" s="6" t="s">
        <v>394</v>
      </c>
      <c r="K7249" s="10">
        <v>5.52</v>
      </c>
      <c r="L7249" s="10">
        <v>12</v>
      </c>
      <c r="M7249" s="6" t="s">
        <v>425</v>
      </c>
      <c r="N7249" s="6" t="str">
        <f>IF(OR($G7249="FCC",$G7249="Hydrocracker",$G7249="Reformer"),IF(COUNTIFS($D:$D,$D7249,$A:$A,$A7249,$B:$B,$B7249,$G:$G,"CDU",$J:$J,"PLANNED")&gt;0,"tied","standalone"),"")</f>
        <v>standalone</v>
      </c>
    </row>
    <row r="7250" spans="1:14">
      <c r="A7250" s="6">
        <v>2026</v>
      </c>
      <c r="B7250" s="6">
        <v>2</v>
      </c>
      <c r="C7250" s="6" t="s">
        <v>61</v>
      </c>
      <c r="D7250" s="6" t="s">
        <v>561</v>
      </c>
      <c r="E7250" s="6" t="s">
        <v>455</v>
      </c>
      <c r="F7250" s="6" t="str">
        <f>IF($M7250="PADD I","PADD 1",IF($M7250="PADD II","PADD 2",IF($M7250="PADD III","PADD 3",IF($M7250="PADD IV","PADD 4",IF($M7250="PADD V","PADD 5","")))))</f>
        <v>PADD 3</v>
      </c>
      <c r="G7250" s="6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6" t="s">
        <v>44</v>
      </c>
      <c r="I7250" s="6" t="s">
        <v>705</v>
      </c>
      <c r="J7250" s="6" t="s">
        <v>394</v>
      </c>
      <c r="K7250" s="10">
        <v>5.5</v>
      </c>
      <c r="L7250" s="10">
        <v>50</v>
      </c>
      <c r="M7250" s="6" t="s">
        <v>421</v>
      </c>
      <c r="N7250" s="6">
        <f>IF(OR($G7250="FCC",$G7250="Hydrocracker",$G7250="Reformer"),IF(COUNTIFS($D:$D,$D7250,$A:$A,$A7250,$B:$B,$B7250,$G:$G,"CDU",$J:$J,"PLANNED")&gt;0,"tied","standalone"),"")</f>
        <v/>
      </c>
    </row>
    <row r="7251" spans="1:14">
      <c r="A7251" s="6">
        <v>2026</v>
      </c>
      <c r="B7251" s="6">
        <v>2</v>
      </c>
      <c r="C7251" s="6" t="s">
        <v>61</v>
      </c>
      <c r="D7251" s="6" t="s">
        <v>561</v>
      </c>
      <c r="E7251" s="6" t="s">
        <v>455</v>
      </c>
      <c r="F7251" s="6" t="str">
        <f>IF($M7251="PADD I","PADD 1",IF($M7251="PADD II","PADD 2",IF($M7251="PADD III","PADD 3",IF($M7251="PADD IV","PADD 4",IF($M7251="PADD V","PADD 5","")))))</f>
        <v>PADD 3</v>
      </c>
      <c r="G7251" s="6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6" t="s">
        <v>494</v>
      </c>
      <c r="I7251" s="6" t="s">
        <v>14</v>
      </c>
      <c r="J7251" s="6" t="s">
        <v>394</v>
      </c>
      <c r="K7251" s="10">
        <v>5.5</v>
      </c>
      <c r="L7251" s="10">
        <v>50</v>
      </c>
      <c r="M7251" s="6" t="s">
        <v>421</v>
      </c>
      <c r="N7251" s="6" t="str">
        <f>IF(OR($G7251="FCC",$G7251="Hydrocracker",$G7251="Reformer"),IF(COUNTIFS($D:$D,$D7251,$A:$A,$A7251,$B:$B,$B7251,$G:$G,"CDU",$J:$J,"PLANNED")&gt;0,"tied","standalone"),"")</f>
        <v>standalone</v>
      </c>
    </row>
    <row r="7252" spans="1:14">
      <c r="A7252" s="6">
        <v>2026</v>
      </c>
      <c r="B7252" s="6">
        <v>2</v>
      </c>
      <c r="C7252" s="6" t="s">
        <v>61</v>
      </c>
      <c r="D7252" s="6" t="s">
        <v>838</v>
      </c>
      <c r="E7252" s="6" t="s">
        <v>455</v>
      </c>
      <c r="F7252" s="6" t="str">
        <f>IF($M7252="PADD I","PADD 1",IF($M7252="PADD II","PADD 2",IF($M7252="PADD III","PADD 3",IF($M7252="PADD IV","PADD 4",IF($M7252="PADD V","PADD 5","")))))</f>
        <v>PADD 3</v>
      </c>
      <c r="G7252" s="6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6" t="s">
        <v>428</v>
      </c>
      <c r="I7252" s="6" t="s">
        <v>862</v>
      </c>
      <c r="J7252" s="6" t="s">
        <v>394</v>
      </c>
      <c r="K7252" s="10">
        <v>5.5</v>
      </c>
      <c r="L7252" s="10">
        <v>50</v>
      </c>
      <c r="M7252" s="6" t="s">
        <v>421</v>
      </c>
      <c r="N7252" s="6">
        <f>IF(OR($G7252="FCC",$G7252="Hydrocracker",$G7252="Reformer"),IF(COUNTIFS($D:$D,$D7252,$A:$A,$A7252,$B:$B,$B7252,$G:$G,"CDU",$J:$J,"PLANNED")&gt;0,"tied","standalone"),"")</f>
        <v/>
      </c>
    </row>
    <row r="7253" spans="1:14">
      <c r="A7253" s="6">
        <v>2026</v>
      </c>
      <c r="B7253" s="6">
        <v>2</v>
      </c>
      <c r="C7253" s="6" t="s">
        <v>61</v>
      </c>
      <c r="D7253" s="6" t="s">
        <v>1208</v>
      </c>
      <c r="E7253" s="6" t="s">
        <v>774</v>
      </c>
      <c r="F7253" s="6" t="str">
        <f>IF($M7253="PADD I","PADD 1",IF($M7253="PADD II","PADD 2",IF($M7253="PADD III","PADD 3",IF($M7253="PADD IV","PADD 4",IF($M7253="PADD V","PADD 5","")))))</f>
        <v>PADD 5</v>
      </c>
      <c r="G7253" s="6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6" t="s">
        <v>44</v>
      </c>
      <c r="I7253" s="6" t="s">
        <v>1209</v>
      </c>
      <c r="J7253" s="6" t="s">
        <v>398</v>
      </c>
      <c r="K7253" s="10">
        <v>5.44</v>
      </c>
      <c r="L7253" s="10">
        <v>8.5</v>
      </c>
      <c r="M7253" s="6" t="s">
        <v>436</v>
      </c>
      <c r="N7253" s="6">
        <f>IF(OR($G7253="FCC",$G7253="Hydrocracker",$G7253="Reformer"),IF(COUNTIFS($D:$D,$D7253,$A:$A,$A7253,$B:$B,$B7253,$G:$G,"CDU",$J:$J,"PLANNED")&gt;0,"tied","standalone"),"")</f>
        <v/>
      </c>
    </row>
    <row r="7254" spans="1:14">
      <c r="A7254" s="6">
        <v>2026</v>
      </c>
      <c r="B7254" s="6">
        <v>2</v>
      </c>
      <c r="C7254" s="6" t="s">
        <v>61</v>
      </c>
      <c r="D7254" s="6" t="s">
        <v>712</v>
      </c>
      <c r="E7254" s="6" t="s">
        <v>602</v>
      </c>
      <c r="F7254" s="6" t="str">
        <f>IF($M7254="PADD I","PADD 1",IF($M7254="PADD II","PADD 2",IF($M7254="PADD III","PADD 3",IF($M7254="PADD IV","PADD 4",IF($M7254="PADD V","PADD 5","")))))</f>
        <v>PADD 3</v>
      </c>
      <c r="G7254" s="6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6" t="s">
        <v>44</v>
      </c>
      <c r="I7254" s="6" t="s">
        <v>894</v>
      </c>
      <c r="J7254" s="6" t="s">
        <v>398</v>
      </c>
      <c r="K7254" s="10">
        <v>5.34</v>
      </c>
      <c r="L7254" s="10">
        <v>6</v>
      </c>
      <c r="M7254" s="6" t="s">
        <v>421</v>
      </c>
      <c r="N7254" s="6">
        <f>IF(OR($G7254="FCC",$G7254="Hydrocracker",$G7254="Reformer"),IF(COUNTIFS($D:$D,$D7254,$A:$A,$A7254,$B:$B,$B7254,$G:$G,"CDU",$J:$J,"PLANNED")&gt;0,"tied","standalone"),"")</f>
        <v/>
      </c>
    </row>
    <row r="7255" spans="1:14">
      <c r="A7255" s="6">
        <v>2026</v>
      </c>
      <c r="B7255" s="6">
        <v>2</v>
      </c>
      <c r="C7255" s="6" t="s">
        <v>61</v>
      </c>
      <c r="D7255" s="6" t="s">
        <v>1208</v>
      </c>
      <c r="E7255" s="6" t="s">
        <v>774</v>
      </c>
      <c r="F7255" s="6" t="str">
        <f>IF($M7255="PADD I","PADD 1",IF($M7255="PADD II","PADD 2",IF($M7255="PADD III","PADD 3",IF($M7255="PADD IV","PADD 4",IF($M7255="PADD V","PADD 5","")))))</f>
        <v>PADD 5</v>
      </c>
      <c r="G7255" s="6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6" t="s">
        <v>573</v>
      </c>
      <c r="I7255" s="6" t="s">
        <v>574</v>
      </c>
      <c r="J7255" s="6" t="s">
        <v>398</v>
      </c>
      <c r="K7255" s="10">
        <v>5.12</v>
      </c>
      <c r="L7255" s="10">
        <v>8</v>
      </c>
      <c r="M7255" s="6" t="s">
        <v>436</v>
      </c>
      <c r="N7255" s="6">
        <f>IF(OR($G7255="FCC",$G7255="Hydrocracker",$G7255="Reformer"),IF(COUNTIFS($D:$D,$D7255,$A:$A,$A7255,$B:$B,$B7255,$G:$G,"CDU",$J:$J,"PLANNED")&gt;0,"tied","standalone"),"")</f>
        <v/>
      </c>
    </row>
    <row r="7256" spans="1:14">
      <c r="A7256" s="6">
        <v>2026</v>
      </c>
      <c r="B7256" s="6">
        <v>2</v>
      </c>
      <c r="C7256" s="6" t="s">
        <v>61</v>
      </c>
      <c r="D7256" s="6" t="s">
        <v>901</v>
      </c>
      <c r="E7256" s="6" t="s">
        <v>902</v>
      </c>
      <c r="F7256" s="6" t="str">
        <f>IF($M7256="PADD I","PADD 1",IF($M7256="PADD II","PADD 2",IF($M7256="PADD III","PADD 3",IF($M7256="PADD IV","PADD 4",IF($M7256="PADD V","PADD 5","")))))</f>
        <v>PADD 3</v>
      </c>
      <c r="G7256" s="6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6" t="s">
        <v>39</v>
      </c>
      <c r="I7256" s="6" t="s">
        <v>904</v>
      </c>
      <c r="J7256" s="6" t="s">
        <v>394</v>
      </c>
      <c r="K7256" s="10">
        <v>5.11</v>
      </c>
      <c r="L7256" s="10">
        <v>73</v>
      </c>
      <c r="M7256" s="6" t="s">
        <v>421</v>
      </c>
      <c r="N7256" s="6">
        <f>IF(OR($G7256="FCC",$G7256="Hydrocracker",$G7256="Reformer"),IF(COUNTIFS($D:$D,$D7256,$A:$A,$A7256,$B:$B,$B7256,$G:$G,"CDU",$J:$J,"PLANNED")&gt;0,"tied","standalone"),"")</f>
        <v/>
      </c>
    </row>
    <row r="7257" spans="1:14">
      <c r="A7257" s="6">
        <v>2026</v>
      </c>
      <c r="B7257" s="6">
        <v>2</v>
      </c>
      <c r="C7257" s="6" t="s">
        <v>61</v>
      </c>
      <c r="D7257" s="6" t="s">
        <v>518</v>
      </c>
      <c r="E7257" s="6" t="s">
        <v>419</v>
      </c>
      <c r="F7257" s="6" t="str">
        <f>IF($M7257="PADD I","PADD 1",IF($M7257="PADD II","PADD 2",IF($M7257="PADD III","PADD 3",IF($M7257="PADD IV","PADD 4",IF($M7257="PADD V","PADD 5","")))))</f>
        <v>PADD 3</v>
      </c>
      <c r="G7257" s="6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6" t="s">
        <v>510</v>
      </c>
      <c r="I7257" s="6" t="s">
        <v>940</v>
      </c>
      <c r="J7257" s="6" t="s">
        <v>394</v>
      </c>
      <c r="K7257" s="10">
        <v>5.04</v>
      </c>
      <c r="L7257" s="10">
        <v>14</v>
      </c>
      <c r="M7257" s="6" t="s">
        <v>421</v>
      </c>
      <c r="N7257" s="6">
        <f>IF(OR($G7257="FCC",$G7257="Hydrocracker",$G7257="Reformer"),IF(COUNTIFS($D:$D,$D7257,$A:$A,$A7257,$B:$B,$B7257,$G:$G,"CDU",$J:$J,"PLANNED")&gt;0,"tied","standalone"),"")</f>
        <v/>
      </c>
    </row>
    <row r="7258" spans="1:14">
      <c r="A7258" s="6">
        <v>2026</v>
      </c>
      <c r="B7258" s="6">
        <v>2</v>
      </c>
      <c r="C7258" s="6" t="s">
        <v>61</v>
      </c>
      <c r="D7258" s="6" t="s">
        <v>1339</v>
      </c>
      <c r="E7258" s="6" t="s">
        <v>1340</v>
      </c>
      <c r="F7258" s="6" t="str">
        <f>IF($M7258="PADD I","PADD 1",IF($M7258="PADD II","PADD 2",IF($M7258="PADD III","PADD 3",IF($M7258="PADD IV","PADD 4",IF($M7258="PADD V","PADD 5","")))))</f>
        <v>PADD 5</v>
      </c>
      <c r="G7258" s="6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6" t="s">
        <v>428</v>
      </c>
      <c r="I7258" s="6" t="s">
        <v>481</v>
      </c>
      <c r="J7258" s="6" t="s">
        <v>398</v>
      </c>
      <c r="K7258" s="10">
        <v>5.04</v>
      </c>
      <c r="L7258" s="10">
        <v>14</v>
      </c>
      <c r="M7258" s="6" t="s">
        <v>436</v>
      </c>
      <c r="N7258" s="6">
        <f>IF(OR($G7258="FCC",$G7258="Hydrocracker",$G7258="Reformer"),IF(COUNTIFS($D:$D,$D7258,$A:$A,$A7258,$B:$B,$B7258,$G:$G,"CDU",$J:$J,"PLANNED")&gt;0,"tied","standalone"),"")</f>
        <v/>
      </c>
    </row>
    <row r="7259" spans="1:14">
      <c r="A7259" s="6">
        <v>2026</v>
      </c>
      <c r="B7259" s="6">
        <v>2</v>
      </c>
      <c r="C7259" s="6" t="s">
        <v>61</v>
      </c>
      <c r="D7259" s="6" t="s">
        <v>1110</v>
      </c>
      <c r="E7259" s="6" t="s">
        <v>1089</v>
      </c>
      <c r="F7259" s="6" t="str">
        <f>IF($M7259="PADD I","PADD 1",IF($M7259="PADD II","PADD 2",IF($M7259="PADD III","PADD 3",IF($M7259="PADD IV","PADD 4",IF($M7259="PADD V","PADD 5","")))))</f>
        <v>PADD 2</v>
      </c>
      <c r="G7259" s="6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6" t="s">
        <v>44</v>
      </c>
      <c r="I7259" s="6" t="s">
        <v>1237</v>
      </c>
      <c r="J7259" s="6" t="s">
        <v>394</v>
      </c>
      <c r="K7259" s="10">
        <v>4.9</v>
      </c>
      <c r="L7259" s="10">
        <v>35</v>
      </c>
      <c r="M7259" s="6" t="s">
        <v>425</v>
      </c>
      <c r="N7259" s="6">
        <f>IF(OR($G7259="FCC",$G7259="Hydrocracker",$G7259="Reformer"),IF(COUNTIFS($D:$D,$D7259,$A:$A,$A7259,$B:$B,$B7259,$G:$G,"CDU",$J:$J,"PLANNED")&gt;0,"tied","standalone"),"")</f>
        <v/>
      </c>
    </row>
    <row r="7260" spans="1:14">
      <c r="A7260" s="6">
        <v>2026</v>
      </c>
      <c r="B7260" s="6">
        <v>2</v>
      </c>
      <c r="C7260" s="6" t="s">
        <v>61</v>
      </c>
      <c r="D7260" s="6" t="s">
        <v>1088</v>
      </c>
      <c r="E7260" s="6" t="s">
        <v>1089</v>
      </c>
      <c r="F7260" s="6" t="str">
        <f>IF($M7260="PADD I","PADD 1",IF($M7260="PADD II","PADD 2",IF($M7260="PADD III","PADD 3",IF($M7260="PADD IV","PADD 4",IF($M7260="PADD V","PADD 5","")))))</f>
        <v>PADD 2</v>
      </c>
      <c r="G7260" s="6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6" t="s">
        <v>39</v>
      </c>
      <c r="I7260" s="6" t="s">
        <v>967</v>
      </c>
      <c r="J7260" s="6" t="s">
        <v>394</v>
      </c>
      <c r="K7260" s="10">
        <v>4.9</v>
      </c>
      <c r="L7260" s="10">
        <v>35</v>
      </c>
      <c r="M7260" s="6" t="s">
        <v>425</v>
      </c>
      <c r="N7260" s="6">
        <f>IF(OR($G7260="FCC",$G7260="Hydrocracker",$G7260="Reformer"),IF(COUNTIFS($D:$D,$D7260,$A:$A,$A7260,$B:$B,$B7260,$G:$G,"CDU",$J:$J,"PLANNED")&gt;0,"tied","standalone"),"")</f>
        <v/>
      </c>
    </row>
    <row r="7261" spans="1:14">
      <c r="A7261" s="6">
        <v>2026</v>
      </c>
      <c r="B7261" s="6">
        <v>2</v>
      </c>
      <c r="C7261" s="6" t="s">
        <v>61</v>
      </c>
      <c r="D7261" s="6" t="s">
        <v>1110</v>
      </c>
      <c r="E7261" s="6" t="s">
        <v>1089</v>
      </c>
      <c r="F7261" s="6" t="str">
        <f>IF($M7261="PADD I","PADD 1",IF($M7261="PADD II","PADD 2",IF($M7261="PADD III","PADD 3",IF($M7261="PADD IV","PADD 4",IF($M7261="PADD V","PADD 5","")))))</f>
        <v>PADD 2</v>
      </c>
      <c r="G7261" s="6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6" t="s">
        <v>44</v>
      </c>
      <c r="I7261" s="6" t="s">
        <v>1237</v>
      </c>
      <c r="J7261" s="6" t="s">
        <v>398</v>
      </c>
      <c r="K7261" s="10">
        <v>4.9</v>
      </c>
      <c r="L7261" s="10">
        <v>35</v>
      </c>
      <c r="M7261" s="6" t="s">
        <v>425</v>
      </c>
      <c r="N7261" s="6">
        <f>IF(OR($G7261="FCC",$G7261="Hydrocracker",$G7261="Reformer"),IF(COUNTIFS($D:$D,$D7261,$A:$A,$A7261,$B:$B,$B7261,$G:$G,"CDU",$J:$J,"PLANNED")&gt;0,"tied","standalone"),"")</f>
        <v/>
      </c>
    </row>
    <row r="7262" spans="1:14">
      <c r="A7262" s="6">
        <v>2026</v>
      </c>
      <c r="B7262" s="6">
        <v>2</v>
      </c>
      <c r="C7262" s="6" t="s">
        <v>61</v>
      </c>
      <c r="D7262" s="6" t="s">
        <v>41</v>
      </c>
      <c r="E7262" s="6" t="s">
        <v>786</v>
      </c>
      <c r="F7262" s="6" t="str">
        <f>IF($M7262="PADD I","PADD 1",IF($M7262="PADD II","PADD 2",IF($M7262="PADD III","PADD 3",IF($M7262="PADD IV","PADD 4",IF($M7262="PADD V","PADD 5","")))))</f>
        <v>PADD 1</v>
      </c>
      <c r="G7262" s="6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6" t="s">
        <v>428</v>
      </c>
      <c r="I7262" s="6" t="s">
        <v>1059</v>
      </c>
      <c r="J7262" s="6" t="s">
        <v>394</v>
      </c>
      <c r="K7262" s="10">
        <v>4.68</v>
      </c>
      <c r="L7262" s="10">
        <v>26</v>
      </c>
      <c r="M7262" s="6" t="s">
        <v>463</v>
      </c>
      <c r="N7262" s="6">
        <f>IF(OR($G7262="FCC",$G7262="Hydrocracker",$G7262="Reformer"),IF(COUNTIFS($D:$D,$D7262,$A:$A,$A7262,$B:$B,$B7262,$G:$G,"CDU",$J:$J,"PLANNED")&gt;0,"tied","standalone"),"")</f>
        <v/>
      </c>
    </row>
    <row r="7263" spans="1:14">
      <c r="A7263" s="6">
        <v>2026</v>
      </c>
      <c r="B7263" s="6">
        <v>2</v>
      </c>
      <c r="C7263" s="6" t="s">
        <v>61</v>
      </c>
      <c r="D7263" s="6" t="s">
        <v>665</v>
      </c>
      <c r="E7263" s="6" t="s">
        <v>455</v>
      </c>
      <c r="F7263" s="6" t="str">
        <f>IF($M7263="PADD I","PADD 1",IF($M7263="PADD II","PADD 2",IF($M7263="PADD III","PADD 3",IF($M7263="PADD IV","PADD 4",IF($M7263="PADD V","PADD 5","")))))</f>
        <v>PADD 5</v>
      </c>
      <c r="G7263" s="6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6" t="s">
        <v>428</v>
      </c>
      <c r="I7263" s="6" t="s">
        <v>481</v>
      </c>
      <c r="J7263" s="6" t="s">
        <v>398</v>
      </c>
      <c r="K7263" s="10">
        <v>4.5045</v>
      </c>
      <c r="L7263" s="10">
        <v>21.45</v>
      </c>
      <c r="M7263" s="6" t="s">
        <v>436</v>
      </c>
      <c r="N7263" s="6">
        <f>IF(OR($G7263="FCC",$G7263="Hydrocracker",$G7263="Reformer"),IF(COUNTIFS($D:$D,$D7263,$A:$A,$A7263,$B:$B,$B7263,$G:$G,"CDU",$J:$J,"PLANNED")&gt;0,"tied","standalone"),"")</f>
        <v/>
      </c>
    </row>
    <row r="7264" spans="1:14">
      <c r="A7264" s="6">
        <v>2026</v>
      </c>
      <c r="B7264" s="6">
        <v>2</v>
      </c>
      <c r="C7264" s="6" t="s">
        <v>61</v>
      </c>
      <c r="D7264" s="6" t="s">
        <v>378</v>
      </c>
      <c r="E7264" s="6" t="s">
        <v>477</v>
      </c>
      <c r="F7264" s="6" t="str">
        <f>IF($M7264="PADD I","PADD 1",IF($M7264="PADD II","PADD 2",IF($M7264="PADD III","PADD 3",IF($M7264="PADD IV","PADD 4",IF($M7264="PADD V","PADD 5","")))))</f>
        <v>PADD 3</v>
      </c>
      <c r="G7264" s="6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6" t="s">
        <v>471</v>
      </c>
      <c r="I7264" s="6" t="s">
        <v>1402</v>
      </c>
      <c r="J7264" s="6" t="s">
        <v>394</v>
      </c>
      <c r="K7264" s="10">
        <v>4.48</v>
      </c>
      <c r="L7264" s="10">
        <v>32</v>
      </c>
      <c r="M7264" s="6" t="s">
        <v>421</v>
      </c>
      <c r="N7264" s="6" t="str">
        <f>IF(OR($G7264="FCC",$G7264="Hydrocracker",$G7264="Reformer"),IF(COUNTIFS($D:$D,$D7264,$A:$A,$A7264,$B:$B,$B7264,$G:$G,"CDU",$J:$J,"PLANNED")&gt;0,"tied","standalone"),"")</f>
        <v>standalone</v>
      </c>
    </row>
    <row r="7265" spans="1:14">
      <c r="A7265" s="6">
        <v>2026</v>
      </c>
      <c r="B7265" s="6">
        <v>2</v>
      </c>
      <c r="C7265" s="6" t="s">
        <v>61</v>
      </c>
      <c r="D7265" s="6" t="s">
        <v>1110</v>
      </c>
      <c r="E7265" s="6" t="s">
        <v>1089</v>
      </c>
      <c r="F7265" s="6" t="str">
        <f>IF($M7265="PADD I","PADD 1",IF($M7265="PADD II","PADD 2",IF($M7265="PADD III","PADD 3",IF($M7265="PADD IV","PADD 4",IF($M7265="PADD V","PADD 5","")))))</f>
        <v>PADD 2</v>
      </c>
      <c r="G7265" s="6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6" t="s">
        <v>44</v>
      </c>
      <c r="I7265" s="6" t="s">
        <v>1239</v>
      </c>
      <c r="J7265" s="6" t="s">
        <v>394</v>
      </c>
      <c r="K7265" s="10">
        <v>4.48</v>
      </c>
      <c r="L7265" s="10">
        <v>32</v>
      </c>
      <c r="M7265" s="6" t="s">
        <v>425</v>
      </c>
      <c r="N7265" s="6">
        <f>IF(OR($G7265="FCC",$G7265="Hydrocracker",$G7265="Reformer"),IF(COUNTIFS($D:$D,$D7265,$A:$A,$A7265,$B:$B,$B7265,$G:$G,"CDU",$J:$J,"PLANNED")&gt;0,"tied","standalone"),"")</f>
        <v/>
      </c>
    </row>
    <row r="7266" spans="1:14">
      <c r="A7266" s="6">
        <v>2026</v>
      </c>
      <c r="B7266" s="6">
        <v>2</v>
      </c>
      <c r="C7266" s="6" t="s">
        <v>61</v>
      </c>
      <c r="D7266" s="6" t="s">
        <v>1110</v>
      </c>
      <c r="E7266" s="6" t="s">
        <v>1089</v>
      </c>
      <c r="F7266" s="6" t="str">
        <f>IF($M7266="PADD I","PADD 1",IF($M7266="PADD II","PADD 2",IF($M7266="PADD III","PADD 3",IF($M7266="PADD IV","PADD 4",IF($M7266="PADD V","PADD 5","")))))</f>
        <v>PADD 2</v>
      </c>
      <c r="G7266" s="6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6" t="s">
        <v>471</v>
      </c>
      <c r="I7266" s="6" t="s">
        <v>1240</v>
      </c>
      <c r="J7266" s="6" t="s">
        <v>394</v>
      </c>
      <c r="K7266" s="10">
        <v>4.34</v>
      </c>
      <c r="L7266" s="10">
        <v>31</v>
      </c>
      <c r="M7266" s="6" t="s">
        <v>425</v>
      </c>
      <c r="N7266" s="6" t="str">
        <f>IF(OR($G7266="FCC",$G7266="Hydrocracker",$G7266="Reformer"),IF(COUNTIFS($D:$D,$D7266,$A:$A,$A7266,$B:$B,$B7266,$G:$G,"CDU",$J:$J,"PLANNED")&gt;0,"tied","standalone"),"")</f>
        <v>tied</v>
      </c>
    </row>
    <row r="7267" spans="1:14">
      <c r="A7267" s="6">
        <v>2026</v>
      </c>
      <c r="B7267" s="6">
        <v>2</v>
      </c>
      <c r="C7267" s="6" t="s">
        <v>61</v>
      </c>
      <c r="D7267" s="6" t="s">
        <v>561</v>
      </c>
      <c r="E7267" s="6" t="s">
        <v>455</v>
      </c>
      <c r="F7267" s="6" t="str">
        <f>IF($M7267="PADD I","PADD 1",IF($M7267="PADD II","PADD 2",IF($M7267="PADD III","PADD 3",IF($M7267="PADD IV","PADD 4",IF($M7267="PADD V","PADD 5","")))))</f>
        <v>PADD 3</v>
      </c>
      <c r="G7267" s="6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6" t="s">
        <v>428</v>
      </c>
      <c r="I7267" s="6" t="s">
        <v>643</v>
      </c>
      <c r="J7267" s="6" t="s">
        <v>394</v>
      </c>
      <c r="K7267" s="10">
        <v>4.29</v>
      </c>
      <c r="L7267" s="10">
        <v>39</v>
      </c>
      <c r="M7267" s="6" t="s">
        <v>421</v>
      </c>
      <c r="N7267" s="6">
        <f>IF(OR($G7267="FCC",$G7267="Hydrocracker",$G7267="Reformer"),IF(COUNTIFS($D:$D,$D7267,$A:$A,$A7267,$B:$B,$B7267,$G:$G,"CDU",$J:$J,"PLANNED")&gt;0,"tied","standalone"),"")</f>
        <v/>
      </c>
    </row>
    <row r="7268" spans="1:14">
      <c r="A7268" s="6">
        <v>2026</v>
      </c>
      <c r="B7268" s="6">
        <v>2</v>
      </c>
      <c r="C7268" s="6" t="s">
        <v>61</v>
      </c>
      <c r="D7268" s="6" t="s">
        <v>52</v>
      </c>
      <c r="E7268" s="6" t="s">
        <v>441</v>
      </c>
      <c r="F7268" s="6" t="str">
        <f>IF($M7268="PADD I","PADD 1",IF($M7268="PADD II","PADD 2",IF($M7268="PADD III","PADD 3",IF($M7268="PADD IV","PADD 4",IF($M7268="PADD V","PADD 5","")))))</f>
        <v>PADD 5</v>
      </c>
      <c r="G7268" s="6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6" t="s">
        <v>44</v>
      </c>
      <c r="I7268" s="6" t="s">
        <v>1257</v>
      </c>
      <c r="J7268" s="6" t="s">
        <v>394</v>
      </c>
      <c r="K7268" s="10">
        <v>4.2</v>
      </c>
      <c r="L7268" s="10">
        <v>4.2</v>
      </c>
      <c r="M7268" s="6" t="s">
        <v>436</v>
      </c>
      <c r="N7268" s="6">
        <f>IF(OR($G7268="FCC",$G7268="Hydrocracker",$G7268="Reformer"),IF(COUNTIFS($D:$D,$D7268,$A:$A,$A7268,$B:$B,$B7268,$G:$G,"CDU",$J:$J,"PLANNED")&gt;0,"tied","standalone"),"")</f>
        <v/>
      </c>
    </row>
    <row r="7269" spans="1:14">
      <c r="A7269" s="6">
        <v>2026</v>
      </c>
      <c r="B7269" s="6">
        <v>2</v>
      </c>
      <c r="C7269" s="6" t="s">
        <v>61</v>
      </c>
      <c r="D7269" s="6" t="s">
        <v>382</v>
      </c>
      <c r="E7269" s="6" t="s">
        <v>431</v>
      </c>
      <c r="F7269" s="6" t="str">
        <f>IF($M7269="PADD I","PADD 1",IF($M7269="PADD II","PADD 2",IF($M7269="PADD III","PADD 3",IF($M7269="PADD IV","PADD 4",IF($M7269="PADD V","PADD 5","")))))</f>
        <v>PADD 3</v>
      </c>
      <c r="G7269" s="6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6" t="s">
        <v>687</v>
      </c>
      <c r="I7269" s="6" t="s">
        <v>1403</v>
      </c>
      <c r="J7269" s="6" t="s">
        <v>398</v>
      </c>
      <c r="K7269" s="10">
        <v>4.1</v>
      </c>
      <c r="L7269" s="10">
        <v>5</v>
      </c>
      <c r="M7269" s="6" t="s">
        <v>421</v>
      </c>
      <c r="N7269" s="6">
        <f>IF(OR($G7269="FCC",$G7269="Hydrocracker",$G7269="Reformer"),IF(COUNTIFS($D:$D,$D7269,$A:$A,$A7269,$B:$B,$B7269,$G:$G,"CDU",$J:$J,"PLANNED")&gt;0,"tied","standalone"),"")</f>
        <v/>
      </c>
    </row>
    <row r="7270" spans="1:14">
      <c r="A7270" s="6">
        <v>2026</v>
      </c>
      <c r="B7270" s="6">
        <v>2</v>
      </c>
      <c r="C7270" s="6" t="s">
        <v>61</v>
      </c>
      <c r="D7270" s="6" t="s">
        <v>849</v>
      </c>
      <c r="E7270" s="6" t="s">
        <v>441</v>
      </c>
      <c r="F7270" s="6" t="str">
        <f>IF($M7270="PADD I","PADD 1",IF($M7270="PADD II","PADD 2",IF($M7270="PADD III","PADD 3",IF($M7270="PADD IV","PADD 4",IF($M7270="PADD V","PADD 5","")))))</f>
        <v>PADD 4</v>
      </c>
      <c r="G7270" s="6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6" t="s">
        <v>44</v>
      </c>
      <c r="I7270" s="6" t="s">
        <v>850</v>
      </c>
      <c r="J7270" s="6" t="s">
        <v>394</v>
      </c>
      <c r="K7270" s="10">
        <v>3.906</v>
      </c>
      <c r="L7270" s="10">
        <v>27.9</v>
      </c>
      <c r="M7270" s="6" t="s">
        <v>480</v>
      </c>
      <c r="N7270" s="6">
        <f>IF(OR($G7270="FCC",$G7270="Hydrocracker",$G7270="Reformer"),IF(COUNTIFS($D:$D,$D7270,$A:$A,$A7270,$B:$B,$B7270,$G:$G,"CDU",$J:$J,"PLANNED")&gt;0,"tied","standalone"),"")</f>
        <v/>
      </c>
    </row>
    <row r="7271" spans="1:14">
      <c r="A7271" s="6">
        <v>2026</v>
      </c>
      <c r="B7271" s="6">
        <v>2</v>
      </c>
      <c r="C7271" s="6" t="s">
        <v>61</v>
      </c>
      <c r="D7271" s="6" t="s">
        <v>1273</v>
      </c>
      <c r="E7271" s="6" t="s">
        <v>1089</v>
      </c>
      <c r="F7271" s="6" t="str">
        <f>IF($M7271="PADD I","PADD 1",IF($M7271="PADD II","PADD 2",IF($M7271="PADD III","PADD 3",IF($M7271="PADD IV","PADD 4",IF($M7271="PADD V","PADD 5","")))))</f>
        <v>PADD 2</v>
      </c>
      <c r="G7271" s="6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6" t="s">
        <v>471</v>
      </c>
      <c r="I7271" s="6" t="s">
        <v>15</v>
      </c>
      <c r="J7271" s="6" t="s">
        <v>394</v>
      </c>
      <c r="K7271" s="10">
        <v>3.5475</v>
      </c>
      <c r="L7271" s="10">
        <v>8.25</v>
      </c>
      <c r="M7271" s="6" t="s">
        <v>425</v>
      </c>
      <c r="N7271" s="6" t="str">
        <f>IF(OR($G7271="FCC",$G7271="Hydrocracker",$G7271="Reformer"),IF(COUNTIFS($D:$D,$D7271,$A:$A,$A7271,$B:$B,$B7271,$G:$G,"CDU",$J:$J,"PLANNED")&gt;0,"tied","standalone"),"")</f>
        <v>standalone</v>
      </c>
    </row>
    <row r="7272" spans="1:14">
      <c r="A7272" s="6">
        <v>2026</v>
      </c>
      <c r="B7272" s="6">
        <v>2</v>
      </c>
      <c r="C7272" s="6" t="s">
        <v>61</v>
      </c>
      <c r="D7272" s="6" t="s">
        <v>1110</v>
      </c>
      <c r="E7272" s="6" t="s">
        <v>1089</v>
      </c>
      <c r="F7272" s="6" t="str">
        <f>IF($M7272="PADD I","PADD 1",IF($M7272="PADD II","PADD 2",IF($M7272="PADD III","PADD 3",IF($M7272="PADD IV","PADD 4",IF($M7272="PADD V","PADD 5","")))))</f>
        <v>PADD 2</v>
      </c>
      <c r="G7272" s="6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6" t="s">
        <v>44</v>
      </c>
      <c r="I7272" s="6" t="s">
        <v>1244</v>
      </c>
      <c r="J7272" s="6" t="s">
        <v>394</v>
      </c>
      <c r="K7272" s="10">
        <v>3.5</v>
      </c>
      <c r="L7272" s="10">
        <v>25</v>
      </c>
      <c r="M7272" s="6" t="s">
        <v>425</v>
      </c>
      <c r="N7272" s="6">
        <f>IF(OR($G7272="FCC",$G7272="Hydrocracker",$G7272="Reformer"),IF(COUNTIFS($D:$D,$D7272,$A:$A,$A7272,$B:$B,$B7272,$G:$G,"CDU",$J:$J,"PLANNED")&gt;0,"tied","standalone"),"")</f>
        <v/>
      </c>
    </row>
    <row r="7273" spans="1:14">
      <c r="A7273" s="6">
        <v>2026</v>
      </c>
      <c r="B7273" s="6">
        <v>2</v>
      </c>
      <c r="C7273" s="6" t="s">
        <v>61</v>
      </c>
      <c r="D7273" s="6" t="s">
        <v>1110</v>
      </c>
      <c r="E7273" s="6" t="s">
        <v>1089</v>
      </c>
      <c r="F7273" s="6" t="str">
        <f>IF($M7273="PADD I","PADD 1",IF($M7273="PADD II","PADD 2",IF($M7273="PADD III","PADD 3",IF($M7273="PADD IV","PADD 4",IF($M7273="PADD V","PADD 5","")))))</f>
        <v>PADD 2</v>
      </c>
      <c r="G7273" s="6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6" t="s">
        <v>44</v>
      </c>
      <c r="I7273" s="6" t="s">
        <v>1244</v>
      </c>
      <c r="J7273" s="6" t="s">
        <v>398</v>
      </c>
      <c r="K7273" s="10">
        <v>3.5</v>
      </c>
      <c r="L7273" s="10">
        <v>25</v>
      </c>
      <c r="M7273" s="6" t="s">
        <v>425</v>
      </c>
      <c r="N7273" s="6">
        <f>IF(OR($G7273="FCC",$G7273="Hydrocracker",$G7273="Reformer"),IF(COUNTIFS($D:$D,$D7273,$A:$A,$A7273,$B:$B,$B7273,$G:$G,"CDU",$J:$J,"PLANNED")&gt;0,"tied","standalone"),"")</f>
        <v/>
      </c>
    </row>
    <row r="7274" spans="1:14">
      <c r="A7274" s="6">
        <v>2026</v>
      </c>
      <c r="B7274" s="6">
        <v>2</v>
      </c>
      <c r="C7274" s="6" t="s">
        <v>61</v>
      </c>
      <c r="D7274" s="6" t="s">
        <v>730</v>
      </c>
      <c r="E7274" s="6" t="s">
        <v>731</v>
      </c>
      <c r="F7274" s="6" t="str">
        <f>IF($M7274="PADD I","PADD 1",IF($M7274="PADD II","PADD 2",IF($M7274="PADD III","PADD 3",IF($M7274="PADD IV","PADD 4",IF($M7274="PADD V","PADD 5","")))))</f>
        <v>PADD 3</v>
      </c>
      <c r="G7274" s="6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6" t="s">
        <v>39</v>
      </c>
      <c r="I7274" s="6" t="s">
        <v>82</v>
      </c>
      <c r="J7274" s="6" t="s">
        <v>394</v>
      </c>
      <c r="K7274" s="10">
        <v>3.5</v>
      </c>
      <c r="L7274" s="10">
        <v>50</v>
      </c>
      <c r="M7274" s="6" t="s">
        <v>421</v>
      </c>
      <c r="N7274" s="6">
        <f>IF(OR($G7274="FCC",$G7274="Hydrocracker",$G7274="Reformer"),IF(COUNTIFS($D:$D,$D7274,$A:$A,$A7274,$B:$B,$B7274,$G:$G,"CDU",$J:$J,"PLANNED")&gt;0,"tied","standalone"),"")</f>
        <v/>
      </c>
    </row>
    <row r="7275" spans="1:14">
      <c r="A7275" s="6">
        <v>2026</v>
      </c>
      <c r="B7275" s="6">
        <v>2</v>
      </c>
      <c r="C7275" s="6" t="s">
        <v>61</v>
      </c>
      <c r="D7275" s="6" t="s">
        <v>789</v>
      </c>
      <c r="E7275" s="6" t="s">
        <v>455</v>
      </c>
      <c r="F7275" s="6" t="str">
        <f>IF($M7275="PADD I","PADD 1",IF($M7275="PADD II","PADD 2",IF($M7275="PADD III","PADD 3",IF($M7275="PADD IV","PADD 4",IF($M7275="PADD V","PADD 5","")))))</f>
        <v>PADD 2</v>
      </c>
      <c r="G7275" s="6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6" t="s">
        <v>510</v>
      </c>
      <c r="I7275" s="6" t="s">
        <v>666</v>
      </c>
      <c r="J7275" s="6" t="s">
        <v>394</v>
      </c>
      <c r="K7275" s="10">
        <v>3.348</v>
      </c>
      <c r="L7275" s="10">
        <v>6.2</v>
      </c>
      <c r="M7275" s="6" t="s">
        <v>425</v>
      </c>
      <c r="N7275" s="6">
        <f>IF(OR($G7275="FCC",$G7275="Hydrocracker",$G7275="Reformer"),IF(COUNTIFS($D:$D,$D7275,$A:$A,$A7275,$B:$B,$B7275,$G:$G,"CDU",$J:$J,"PLANNED")&gt;0,"tied","standalone"),"")</f>
        <v/>
      </c>
    </row>
    <row r="7276" spans="1:14">
      <c r="A7276" s="6">
        <v>2026</v>
      </c>
      <c r="B7276" s="6">
        <v>2</v>
      </c>
      <c r="C7276" s="6" t="s">
        <v>61</v>
      </c>
      <c r="D7276" s="6" t="s">
        <v>665</v>
      </c>
      <c r="E7276" s="6" t="s">
        <v>455</v>
      </c>
      <c r="F7276" s="6" t="str">
        <f>IF($M7276="PADD I","PADD 1",IF($M7276="PADD II","PADD 2",IF($M7276="PADD III","PADD 3",IF($M7276="PADD IV","PADD 4",IF($M7276="PADD V","PADD 5","")))))</f>
        <v>PADD 5</v>
      </c>
      <c r="G7276" s="6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6" t="s">
        <v>44</v>
      </c>
      <c r="I7276" s="6" t="s">
        <v>1361</v>
      </c>
      <c r="J7276" s="6" t="s">
        <v>398</v>
      </c>
      <c r="K7276" s="10">
        <v>3.2076</v>
      </c>
      <c r="L7276" s="10">
        <v>8.91</v>
      </c>
      <c r="M7276" s="6" t="s">
        <v>436</v>
      </c>
      <c r="N7276" s="6">
        <f>IF(OR($G7276="FCC",$G7276="Hydrocracker",$G7276="Reformer"),IF(COUNTIFS($D:$D,$D7276,$A:$A,$A7276,$B:$B,$B7276,$G:$G,"CDU",$J:$J,"PLANNED")&gt;0,"tied","standalone"),"")</f>
        <v/>
      </c>
    </row>
    <row r="7277" spans="1:14">
      <c r="A7277" s="6">
        <v>2026</v>
      </c>
      <c r="B7277" s="6">
        <v>2</v>
      </c>
      <c r="C7277" s="6" t="s">
        <v>61</v>
      </c>
      <c r="D7277" s="6" t="s">
        <v>665</v>
      </c>
      <c r="E7277" s="6" t="s">
        <v>455</v>
      </c>
      <c r="F7277" s="6" t="str">
        <f>IF($M7277="PADD I","PADD 1",IF($M7277="PADD II","PADD 2",IF($M7277="PADD III","PADD 3",IF($M7277="PADD IV","PADD 4",IF($M7277="PADD V","PADD 5","")))))</f>
        <v>PADD 5</v>
      </c>
      <c r="G7277" s="6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6" t="s">
        <v>44</v>
      </c>
      <c r="I7277" s="6" t="s">
        <v>1358</v>
      </c>
      <c r="J7277" s="6" t="s">
        <v>398</v>
      </c>
      <c r="K7277" s="10">
        <v>3.1185</v>
      </c>
      <c r="L7277" s="10">
        <v>14.85</v>
      </c>
      <c r="M7277" s="6" t="s">
        <v>436</v>
      </c>
      <c r="N7277" s="6">
        <f>IF(OR($G7277="FCC",$G7277="Hydrocracker",$G7277="Reformer"),IF(COUNTIFS($D:$D,$D7277,$A:$A,$A7277,$B:$B,$B7277,$G:$G,"CDU",$J:$J,"PLANNED")&gt;0,"tied","standalone"),"")</f>
        <v/>
      </c>
    </row>
    <row r="7278" spans="1:14">
      <c r="A7278" s="6">
        <v>2026</v>
      </c>
      <c r="B7278" s="6">
        <v>2</v>
      </c>
      <c r="C7278" s="6" t="s">
        <v>61</v>
      </c>
      <c r="D7278" s="6" t="s">
        <v>487</v>
      </c>
      <c r="E7278" s="6" t="s">
        <v>488</v>
      </c>
      <c r="F7278" s="6" t="str">
        <f>IF($M7278="PADD I","PADD 1",IF($M7278="PADD II","PADD 2",IF($M7278="PADD III","PADD 3",IF($M7278="PADD IV","PADD 4",IF($M7278="PADD V","PADD 5","")))))</f>
        <v>PADD 4</v>
      </c>
      <c r="G7278" s="6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6" t="s">
        <v>44</v>
      </c>
      <c r="I7278" s="6" t="s">
        <v>543</v>
      </c>
      <c r="J7278" s="6" t="s">
        <v>394</v>
      </c>
      <c r="K7278" s="10">
        <v>2.94</v>
      </c>
      <c r="L7278" s="10">
        <v>21</v>
      </c>
      <c r="M7278" s="6" t="s">
        <v>480</v>
      </c>
      <c r="N7278" s="6">
        <f>IF(OR($G7278="FCC",$G7278="Hydrocracker",$G7278="Reformer"),IF(COUNTIFS($D:$D,$D7278,$A:$A,$A7278,$B:$B,$B7278,$G:$G,"CDU",$J:$J,"PLANNED")&gt;0,"tied","standalone"),"")</f>
        <v/>
      </c>
    </row>
    <row r="7279" spans="1:14">
      <c r="A7279" s="6">
        <v>2026</v>
      </c>
      <c r="B7279" s="6">
        <v>2</v>
      </c>
      <c r="C7279" s="6" t="s">
        <v>61</v>
      </c>
      <c r="D7279" s="6" t="s">
        <v>665</v>
      </c>
      <c r="E7279" s="6" t="s">
        <v>455</v>
      </c>
      <c r="F7279" s="6" t="str">
        <f>IF($M7279="PADD I","PADD 1",IF($M7279="PADD II","PADD 2",IF($M7279="PADD III","PADD 3",IF($M7279="PADD IV","PADD 4",IF($M7279="PADD V","PADD 5","")))))</f>
        <v>PADD 5</v>
      </c>
      <c r="G7279" s="6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6" t="s">
        <v>44</v>
      </c>
      <c r="I7279" s="6" t="s">
        <v>1288</v>
      </c>
      <c r="J7279" s="6" t="s">
        <v>398</v>
      </c>
      <c r="K7279" s="10">
        <v>2.8413</v>
      </c>
      <c r="L7279" s="10">
        <v>13.53</v>
      </c>
      <c r="M7279" s="6" t="s">
        <v>436</v>
      </c>
      <c r="N7279" s="6">
        <f>IF(OR($G7279="FCC",$G7279="Hydrocracker",$G7279="Reformer"),IF(COUNTIFS($D:$D,$D7279,$A:$A,$A7279,$B:$B,$B7279,$G:$G,"CDU",$J:$J,"PLANNED")&gt;0,"tied","standalone"),"")</f>
        <v/>
      </c>
    </row>
    <row r="7280" spans="1:14">
      <c r="A7280" s="6">
        <v>2026</v>
      </c>
      <c r="B7280" s="6">
        <v>2</v>
      </c>
      <c r="C7280" s="6" t="s">
        <v>61</v>
      </c>
      <c r="D7280" s="6" t="s">
        <v>1208</v>
      </c>
      <c r="E7280" s="6" t="s">
        <v>774</v>
      </c>
      <c r="F7280" s="6" t="str">
        <f>IF($M7280="PADD I","PADD 1",IF($M7280="PADD II","PADD 2",IF($M7280="PADD III","PADD 3",IF($M7280="PADD IV","PADD 4",IF($M7280="PADD V","PADD 5","")))))</f>
        <v>PADD 5</v>
      </c>
      <c r="G7280" s="6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6" t="s">
        <v>471</v>
      </c>
      <c r="I7280" s="6" t="s">
        <v>609</v>
      </c>
      <c r="J7280" s="6" t="s">
        <v>398</v>
      </c>
      <c r="K7280" s="10">
        <v>2.816</v>
      </c>
      <c r="L7280" s="10">
        <v>4.4</v>
      </c>
      <c r="M7280" s="6" t="s">
        <v>436</v>
      </c>
      <c r="N7280" s="6" t="str">
        <f>IF(OR($G7280="FCC",$G7280="Hydrocracker",$G7280="Reformer"),IF(COUNTIFS($D:$D,$D7280,$A:$A,$A7280,$B:$B,$B7280,$G:$G,"CDU",$J:$J,"PLANNED")&gt;0,"tied","standalone"),"")</f>
        <v>tied</v>
      </c>
    </row>
    <row r="7281" spans="1:14">
      <c r="A7281" s="6">
        <v>2026</v>
      </c>
      <c r="B7281" s="6">
        <v>2</v>
      </c>
      <c r="C7281" s="6" t="s">
        <v>61</v>
      </c>
      <c r="D7281" s="6" t="s">
        <v>1088</v>
      </c>
      <c r="E7281" s="6" t="s">
        <v>1089</v>
      </c>
      <c r="F7281" s="6" t="str">
        <f>IF($M7281="PADD I","PADD 1",IF($M7281="PADD II","PADD 2",IF($M7281="PADD III","PADD 3",IF($M7281="PADD IV","PADD 4",IF($M7281="PADD V","PADD 5","")))))</f>
        <v>PADD 2</v>
      </c>
      <c r="G7281" s="6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6" t="s">
        <v>471</v>
      </c>
      <c r="I7281" s="6" t="s">
        <v>1096</v>
      </c>
      <c r="J7281" s="6" t="s">
        <v>394</v>
      </c>
      <c r="K7281" s="10">
        <v>2.8</v>
      </c>
      <c r="L7281" s="10">
        <v>20</v>
      </c>
      <c r="M7281" s="6" t="s">
        <v>425</v>
      </c>
      <c r="N7281" s="6" t="str">
        <f>IF(OR($G7281="FCC",$G7281="Hydrocracker",$G7281="Reformer"),IF(COUNTIFS($D:$D,$D7281,$A:$A,$A7281,$B:$B,$B7281,$G:$G,"CDU",$J:$J,"PLANNED")&gt;0,"tied","standalone"),"")</f>
        <v>standalone</v>
      </c>
    </row>
    <row r="7282" spans="1:14">
      <c r="A7282" s="6">
        <v>2026</v>
      </c>
      <c r="B7282" s="6">
        <v>2</v>
      </c>
      <c r="C7282" s="6" t="s">
        <v>61</v>
      </c>
      <c r="D7282" s="6" t="s">
        <v>626</v>
      </c>
      <c r="E7282" s="6" t="s">
        <v>419</v>
      </c>
      <c r="F7282" s="6" t="str">
        <f>IF($M7282="PADD I","PADD 1",IF($M7282="PADD II","PADD 2",IF($M7282="PADD III","PADD 3",IF($M7282="PADD IV","PADD 4",IF($M7282="PADD V","PADD 5","")))))</f>
        <v>PADD 3</v>
      </c>
      <c r="G7282" s="6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6" t="s">
        <v>618</v>
      </c>
      <c r="I7282" s="6" t="s">
        <v>654</v>
      </c>
      <c r="J7282" s="6" t="s">
        <v>394</v>
      </c>
      <c r="K7282" s="10">
        <v>2.75</v>
      </c>
      <c r="L7282" s="10">
        <v>25</v>
      </c>
      <c r="M7282" s="6" t="s">
        <v>421</v>
      </c>
      <c r="N7282" s="6">
        <f>IF(OR($G7282="FCC",$G7282="Hydrocracker",$G7282="Reformer"),IF(COUNTIFS($D:$D,$D7282,$A:$A,$A7282,$B:$B,$B7282,$G:$G,"CDU",$J:$J,"PLANNED")&gt;0,"tied","standalone"),"")</f>
        <v/>
      </c>
    </row>
    <row r="7283" spans="1:14">
      <c r="A7283" s="6">
        <v>2026</v>
      </c>
      <c r="B7283" s="6">
        <v>2</v>
      </c>
      <c r="C7283" s="6" t="s">
        <v>61</v>
      </c>
      <c r="D7283" s="6" t="s">
        <v>789</v>
      </c>
      <c r="E7283" s="6" t="s">
        <v>455</v>
      </c>
      <c r="F7283" s="6" t="str">
        <f>IF($M7283="PADD I","PADD 1",IF($M7283="PADD II","PADD 2",IF($M7283="PADD III","PADD 3",IF($M7283="PADD IV","PADD 4",IF($M7283="PADD V","PADD 5","")))))</f>
        <v>PADD 2</v>
      </c>
      <c r="G7283" s="6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6" t="s">
        <v>618</v>
      </c>
      <c r="I7283" s="6" t="s">
        <v>654</v>
      </c>
      <c r="J7283" s="6" t="s">
        <v>394</v>
      </c>
      <c r="K7283" s="10">
        <v>2.73</v>
      </c>
      <c r="L7283" s="10">
        <v>7</v>
      </c>
      <c r="M7283" s="6" t="s">
        <v>425</v>
      </c>
      <c r="N7283" s="6">
        <f>IF(OR($G7283="FCC",$G7283="Hydrocracker",$G7283="Reformer"),IF(COUNTIFS($D:$D,$D7283,$A:$A,$A7283,$B:$B,$B7283,$G:$G,"CDU",$J:$J,"PLANNED")&gt;0,"tied","standalone"),"")</f>
        <v/>
      </c>
    </row>
    <row r="7284" spans="1:14">
      <c r="A7284" s="6">
        <v>2026</v>
      </c>
      <c r="B7284" s="6">
        <v>2</v>
      </c>
      <c r="C7284" s="6" t="s">
        <v>61</v>
      </c>
      <c r="D7284" s="6" t="s">
        <v>1110</v>
      </c>
      <c r="E7284" s="6" t="s">
        <v>1089</v>
      </c>
      <c r="F7284" s="6" t="str">
        <f>IF($M7284="PADD I","PADD 1",IF($M7284="PADD II","PADD 2",IF($M7284="PADD III","PADD 3",IF($M7284="PADD IV","PADD 4",IF($M7284="PADD V","PADD 5","")))))</f>
        <v>PADD 2</v>
      </c>
      <c r="G7284" s="6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6" t="s">
        <v>510</v>
      </c>
      <c r="I7284" s="6" t="s">
        <v>666</v>
      </c>
      <c r="J7284" s="6" t="s">
        <v>394</v>
      </c>
      <c r="K7284" s="10">
        <v>2.66</v>
      </c>
      <c r="L7284" s="10">
        <v>19</v>
      </c>
      <c r="M7284" s="6" t="s">
        <v>425</v>
      </c>
      <c r="N7284" s="6">
        <f>IF(OR($G7284="FCC",$G7284="Hydrocracker",$G7284="Reformer"),IF(COUNTIFS($D:$D,$D7284,$A:$A,$A7284,$B:$B,$B7284,$G:$G,"CDU",$J:$J,"PLANNED")&gt;0,"tied","standalone"),"")</f>
        <v/>
      </c>
    </row>
    <row r="7285" spans="1:14">
      <c r="A7285" s="6">
        <v>2026</v>
      </c>
      <c r="B7285" s="6">
        <v>2</v>
      </c>
      <c r="C7285" s="6" t="s">
        <v>61</v>
      </c>
      <c r="D7285" s="6" t="s">
        <v>1110</v>
      </c>
      <c r="E7285" s="6" t="s">
        <v>1089</v>
      </c>
      <c r="F7285" s="6" t="str">
        <f>IF($M7285="PADD I","PADD 1",IF($M7285="PADD II","PADD 2",IF($M7285="PADD III","PADD 3",IF($M7285="PADD IV","PADD 4",IF($M7285="PADD V","PADD 5","")))))</f>
        <v>PADD 2</v>
      </c>
      <c r="G7285" s="6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6" t="s">
        <v>510</v>
      </c>
      <c r="I7285" s="6" t="s">
        <v>666</v>
      </c>
      <c r="J7285" s="6" t="s">
        <v>398</v>
      </c>
      <c r="K7285" s="10">
        <v>2.66</v>
      </c>
      <c r="L7285" s="10">
        <v>19</v>
      </c>
      <c r="M7285" s="6" t="s">
        <v>425</v>
      </c>
      <c r="N7285" s="6">
        <f>IF(OR($G7285="FCC",$G7285="Hydrocracker",$G7285="Reformer"),IF(COUNTIFS($D:$D,$D7285,$A:$A,$A7285,$B:$B,$B7285,$G:$G,"CDU",$J:$J,"PLANNED")&gt;0,"tied","standalone"),"")</f>
        <v/>
      </c>
    </row>
    <row r="7286" spans="1:14">
      <c r="A7286" s="6">
        <v>2026</v>
      </c>
      <c r="B7286" s="6">
        <v>2</v>
      </c>
      <c r="C7286" s="6" t="s">
        <v>61</v>
      </c>
      <c r="D7286" s="6" t="s">
        <v>1208</v>
      </c>
      <c r="E7286" s="6" t="s">
        <v>774</v>
      </c>
      <c r="F7286" s="6" t="str">
        <f>IF($M7286="PADD I","PADD 1",IF($M7286="PADD II","PADD 2",IF($M7286="PADD III","PADD 3",IF($M7286="PADD IV","PADD 4",IF($M7286="PADD V","PADD 5","")))))</f>
        <v>PADD 5</v>
      </c>
      <c r="G7286" s="6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6" t="s">
        <v>471</v>
      </c>
      <c r="I7286" s="6" t="s">
        <v>607</v>
      </c>
      <c r="J7286" s="6" t="s">
        <v>398</v>
      </c>
      <c r="K7286" s="10">
        <v>2.56</v>
      </c>
      <c r="L7286" s="10">
        <v>4</v>
      </c>
      <c r="M7286" s="6" t="s">
        <v>436</v>
      </c>
      <c r="N7286" s="6" t="str">
        <f>IF(OR($G7286="FCC",$G7286="Hydrocracker",$G7286="Reformer"),IF(COUNTIFS($D:$D,$D7286,$A:$A,$A7286,$B:$B,$B7286,$G:$G,"CDU",$J:$J,"PLANNED")&gt;0,"tied","standalone"),"")</f>
        <v>tied</v>
      </c>
    </row>
    <row r="7287" spans="1:14">
      <c r="A7287" s="6">
        <v>2026</v>
      </c>
      <c r="B7287" s="6">
        <v>2</v>
      </c>
      <c r="C7287" s="6" t="s">
        <v>61</v>
      </c>
      <c r="D7287" s="6" t="s">
        <v>1208</v>
      </c>
      <c r="E7287" s="6" t="s">
        <v>774</v>
      </c>
      <c r="F7287" s="6" t="str">
        <f>IF($M7287="PADD I","PADD 1",IF($M7287="PADD II","PADD 2",IF($M7287="PADD III","PADD 3",IF($M7287="PADD IV","PADD 4",IF($M7287="PADD V","PADD 5","")))))</f>
        <v>PADD 5</v>
      </c>
      <c r="G7287" s="6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6" t="s">
        <v>44</v>
      </c>
      <c r="I7287" s="6" t="s">
        <v>1404</v>
      </c>
      <c r="J7287" s="6" t="s">
        <v>398</v>
      </c>
      <c r="K7287" s="10">
        <v>2.56</v>
      </c>
      <c r="L7287" s="10">
        <v>4</v>
      </c>
      <c r="M7287" s="6" t="s">
        <v>436</v>
      </c>
      <c r="N7287" s="6">
        <f>IF(OR($G7287="FCC",$G7287="Hydrocracker",$G7287="Reformer"),IF(COUNTIFS($D:$D,$D7287,$A:$A,$A7287,$B:$B,$B7287,$G:$G,"CDU",$J:$J,"PLANNED")&gt;0,"tied","standalone"),"")</f>
        <v/>
      </c>
    </row>
    <row r="7288" spans="1:14">
      <c r="A7288" s="6">
        <v>2026</v>
      </c>
      <c r="B7288" s="6">
        <v>2</v>
      </c>
      <c r="C7288" s="6" t="s">
        <v>61</v>
      </c>
      <c r="D7288" s="6" t="s">
        <v>901</v>
      </c>
      <c r="E7288" s="6" t="s">
        <v>902</v>
      </c>
      <c r="F7288" s="6" t="str">
        <f>IF($M7288="PADD I","PADD 1",IF($M7288="PADD II","PADD 2",IF($M7288="PADD III","PADD 3",IF($M7288="PADD IV","PADD 4",IF($M7288="PADD V","PADD 5","")))))</f>
        <v>PADD 3</v>
      </c>
      <c r="G7288" s="6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6" t="s">
        <v>39</v>
      </c>
      <c r="I7288" s="6" t="s">
        <v>903</v>
      </c>
      <c r="J7288" s="6" t="s">
        <v>394</v>
      </c>
      <c r="K7288" s="10">
        <v>2.56</v>
      </c>
      <c r="L7288" s="10">
        <v>64</v>
      </c>
      <c r="M7288" s="6" t="s">
        <v>421</v>
      </c>
      <c r="N7288" s="6">
        <f>IF(OR($G7288="FCC",$G7288="Hydrocracker",$G7288="Reformer"),IF(COUNTIFS($D:$D,$D7288,$A:$A,$A7288,$B:$B,$B7288,$G:$G,"CDU",$J:$J,"PLANNED")&gt;0,"tied","standalone"),"")</f>
        <v/>
      </c>
    </row>
    <row r="7289" spans="1:14">
      <c r="A7289" s="6">
        <v>2026</v>
      </c>
      <c r="B7289" s="6">
        <v>2</v>
      </c>
      <c r="C7289" s="6" t="s">
        <v>61</v>
      </c>
      <c r="D7289" s="6" t="s">
        <v>1088</v>
      </c>
      <c r="E7289" s="6" t="s">
        <v>1089</v>
      </c>
      <c r="F7289" s="6" t="str">
        <f>IF($M7289="PADD I","PADD 1",IF($M7289="PADD II","PADD 2",IF($M7289="PADD III","PADD 3",IF($M7289="PADD IV","PADD 4",IF($M7289="PADD V","PADD 5","")))))</f>
        <v>PADD 2</v>
      </c>
      <c r="G7289" s="6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6" t="s">
        <v>44</v>
      </c>
      <c r="I7289" s="6" t="s">
        <v>1247</v>
      </c>
      <c r="J7289" s="6" t="s">
        <v>394</v>
      </c>
      <c r="K7289" s="10">
        <v>2.52</v>
      </c>
      <c r="L7289" s="10">
        <v>18</v>
      </c>
      <c r="M7289" s="6" t="s">
        <v>425</v>
      </c>
      <c r="N7289" s="6">
        <f>IF(OR($G7289="FCC",$G7289="Hydrocracker",$G7289="Reformer"),IF(COUNTIFS($D:$D,$D7289,$A:$A,$A7289,$B:$B,$B7289,$G:$G,"CDU",$J:$J,"PLANNED")&gt;0,"tied","standalone"),"")</f>
        <v/>
      </c>
    </row>
    <row r="7290" spans="1:14">
      <c r="A7290" s="6">
        <v>2026</v>
      </c>
      <c r="B7290" s="6">
        <v>2</v>
      </c>
      <c r="C7290" s="6" t="s">
        <v>61</v>
      </c>
      <c r="D7290" s="6" t="s">
        <v>378</v>
      </c>
      <c r="E7290" s="6" t="s">
        <v>477</v>
      </c>
      <c r="F7290" s="6" t="str">
        <f>IF($M7290="PADD I","PADD 1",IF($M7290="PADD II","PADD 2",IF($M7290="PADD III","PADD 3",IF($M7290="PADD IV","PADD 4",IF($M7290="PADD V","PADD 5","")))))</f>
        <v>PADD 3</v>
      </c>
      <c r="G7290" s="6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6" t="s">
        <v>471</v>
      </c>
      <c r="I7290" s="6" t="s">
        <v>1212</v>
      </c>
      <c r="J7290" s="6" t="s">
        <v>394</v>
      </c>
      <c r="K7290" s="10">
        <v>2.45</v>
      </c>
      <c r="L7290" s="10">
        <v>17.5</v>
      </c>
      <c r="M7290" s="6" t="s">
        <v>421</v>
      </c>
      <c r="N7290" s="6" t="str">
        <f>IF(OR($G7290="FCC",$G7290="Hydrocracker",$G7290="Reformer"),IF(COUNTIFS($D:$D,$D7290,$A:$A,$A7290,$B:$B,$B7290,$G:$G,"CDU",$J:$J,"PLANNED")&gt;0,"tied","standalone"),"")</f>
        <v>standalone</v>
      </c>
    </row>
    <row r="7291" spans="1:14">
      <c r="A7291" s="6">
        <v>2026</v>
      </c>
      <c r="B7291" s="6">
        <v>2</v>
      </c>
      <c r="C7291" s="6" t="s">
        <v>61</v>
      </c>
      <c r="D7291" s="6" t="s">
        <v>937</v>
      </c>
      <c r="E7291" s="6" t="s">
        <v>455</v>
      </c>
      <c r="F7291" s="6" t="str">
        <f>IF($M7291="PADD I","PADD 1",IF($M7291="PADD II","PADD 2",IF($M7291="PADD III","PADD 3",IF($M7291="PADD IV","PADD 4",IF($M7291="PADD V","PADD 5","")))))</f>
        <v>PADD 3</v>
      </c>
      <c r="G7291" s="6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6" t="s">
        <v>471</v>
      </c>
      <c r="I7291" s="6" t="s">
        <v>609</v>
      </c>
      <c r="J7291" s="6" t="s">
        <v>394</v>
      </c>
      <c r="K7291" s="10">
        <v>2.31</v>
      </c>
      <c r="L7291" s="10">
        <v>11</v>
      </c>
      <c r="M7291" s="6" t="s">
        <v>421</v>
      </c>
      <c r="N7291" s="6" t="str">
        <f>IF(OR($G7291="FCC",$G7291="Hydrocracker",$G7291="Reformer"),IF(COUNTIFS($D:$D,$D7291,$A:$A,$A7291,$B:$B,$B7291,$G:$G,"CDU",$J:$J,"PLANNED")&gt;0,"tied","standalone"),"")</f>
        <v>standalone</v>
      </c>
    </row>
    <row r="7292" spans="1:14">
      <c r="A7292" s="6">
        <v>2026</v>
      </c>
      <c r="B7292" s="6">
        <v>2</v>
      </c>
      <c r="C7292" s="6" t="s">
        <v>61</v>
      </c>
      <c r="D7292" s="6" t="s">
        <v>682</v>
      </c>
      <c r="E7292" s="6" t="s">
        <v>683</v>
      </c>
      <c r="F7292" s="6" t="str">
        <f>IF($M7292="PADD I","PADD 1",IF($M7292="PADD II","PADD 2",IF($M7292="PADD III","PADD 3",IF($M7292="PADD IV","PADD 4",IF($M7292="PADD V","PADD 5","")))))</f>
        <v>PADD 4</v>
      </c>
      <c r="G7292" s="6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6" t="s">
        <v>510</v>
      </c>
      <c r="I7292" s="6" t="s">
        <v>666</v>
      </c>
      <c r="J7292" s="6" t="s">
        <v>394</v>
      </c>
      <c r="K7292" s="10">
        <v>2.1</v>
      </c>
      <c r="L7292" s="10">
        <v>2.8</v>
      </c>
      <c r="M7292" s="6" t="s">
        <v>480</v>
      </c>
      <c r="N7292" s="6">
        <f>IF(OR($G7292="FCC",$G7292="Hydrocracker",$G7292="Reformer"),IF(COUNTIFS($D:$D,$D7292,$A:$A,$A7292,$B:$B,$B7292,$G:$G,"CDU",$J:$J,"PLANNED")&gt;0,"tied","standalone"),"")</f>
        <v/>
      </c>
    </row>
    <row r="7293" spans="1:14">
      <c r="A7293" s="6">
        <v>2026</v>
      </c>
      <c r="B7293" s="6">
        <v>2</v>
      </c>
      <c r="C7293" s="6" t="s">
        <v>61</v>
      </c>
      <c r="D7293" s="6" t="s">
        <v>665</v>
      </c>
      <c r="E7293" s="6" t="s">
        <v>455</v>
      </c>
      <c r="F7293" s="6" t="str">
        <f>IF($M7293="PADD I","PADD 1",IF($M7293="PADD II","PADD 2",IF($M7293="PADD III","PADD 3",IF($M7293="PADD IV","PADD 4",IF($M7293="PADD V","PADD 5","")))))</f>
        <v>PADD 5</v>
      </c>
      <c r="G7293" s="6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6" t="s">
        <v>44</v>
      </c>
      <c r="I7293" s="6" t="s">
        <v>1359</v>
      </c>
      <c r="J7293" s="6" t="s">
        <v>398</v>
      </c>
      <c r="K7293" s="10">
        <v>2.0097</v>
      </c>
      <c r="L7293" s="10">
        <v>9.57</v>
      </c>
      <c r="M7293" s="6" t="s">
        <v>436</v>
      </c>
      <c r="N7293" s="6">
        <f>IF(OR($G7293="FCC",$G7293="Hydrocracker",$G7293="Reformer"),IF(COUNTIFS($D:$D,$D7293,$A:$A,$A7293,$B:$B,$B7293,$G:$G,"CDU",$J:$J,"PLANNED")&gt;0,"tied","standalone"),"")</f>
        <v/>
      </c>
    </row>
    <row r="7294" spans="1:14">
      <c r="A7294" s="6">
        <v>2026</v>
      </c>
      <c r="B7294" s="6">
        <v>2</v>
      </c>
      <c r="C7294" s="6" t="s">
        <v>61</v>
      </c>
      <c r="D7294" s="6" t="s">
        <v>576</v>
      </c>
      <c r="E7294" s="6" t="s">
        <v>455</v>
      </c>
      <c r="F7294" s="6" t="str">
        <f>IF($M7294="PADD I","PADD 1",IF($M7294="PADD II","PADD 2",IF($M7294="PADD III","PADD 3",IF($M7294="PADD IV","PADD 4",IF($M7294="PADD V","PADD 5","")))))</f>
        <v>PADD 3</v>
      </c>
      <c r="G7294" s="6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6" t="s">
        <v>44</v>
      </c>
      <c r="I7294" s="6" t="s">
        <v>1126</v>
      </c>
      <c r="J7294" s="6" t="s">
        <v>398</v>
      </c>
      <c r="K7294" s="10">
        <v>1.88</v>
      </c>
      <c r="L7294" s="10">
        <v>47</v>
      </c>
      <c r="M7294" s="6" t="s">
        <v>421</v>
      </c>
      <c r="N7294" s="6">
        <f>IF(OR($G7294="FCC",$G7294="Hydrocracker",$G7294="Reformer"),IF(COUNTIFS($D:$D,$D7294,$A:$A,$A7294,$B:$B,$B7294,$G:$G,"CDU",$J:$J,"PLANNED")&gt;0,"tied","standalone"),"")</f>
        <v/>
      </c>
    </row>
    <row r="7295" spans="1:14">
      <c r="A7295" s="6">
        <v>2026</v>
      </c>
      <c r="B7295" s="6">
        <v>2</v>
      </c>
      <c r="C7295" s="6" t="s">
        <v>61</v>
      </c>
      <c r="D7295" s="6" t="s">
        <v>561</v>
      </c>
      <c r="E7295" s="6" t="s">
        <v>455</v>
      </c>
      <c r="F7295" s="6" t="str">
        <f>IF($M7295="PADD I","PADD 1",IF($M7295="PADD II","PADD 2",IF($M7295="PADD III","PADD 3",IF($M7295="PADD IV","PADD 4",IF($M7295="PADD V","PADD 5","")))))</f>
        <v>PADD 3</v>
      </c>
      <c r="G7295" s="6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6" t="s">
        <v>44</v>
      </c>
      <c r="I7295" s="6" t="s">
        <v>655</v>
      </c>
      <c r="J7295" s="6" t="s">
        <v>394</v>
      </c>
      <c r="K7295" s="10">
        <v>1.75</v>
      </c>
      <c r="L7295" s="10">
        <v>25</v>
      </c>
      <c r="M7295" s="6" t="s">
        <v>421</v>
      </c>
      <c r="N7295" s="6">
        <f>IF(OR($G7295="FCC",$G7295="Hydrocracker",$G7295="Reformer"),IF(COUNTIFS($D:$D,$D7295,$A:$A,$A7295,$B:$B,$B7295,$G:$G,"CDU",$J:$J,"PLANNED")&gt;0,"tied","standalone"),"")</f>
        <v/>
      </c>
    </row>
    <row r="7296" spans="1:14">
      <c r="A7296" s="6">
        <v>2026</v>
      </c>
      <c r="B7296" s="6">
        <v>2</v>
      </c>
      <c r="C7296" s="6" t="s">
        <v>61</v>
      </c>
      <c r="D7296" s="6" t="s">
        <v>561</v>
      </c>
      <c r="E7296" s="6" t="s">
        <v>455</v>
      </c>
      <c r="F7296" s="6" t="str">
        <f>IF($M7296="PADD I","PADD 1",IF($M7296="PADD II","PADD 2",IF($M7296="PADD III","PADD 3",IF($M7296="PADD IV","PADD 4",IF($M7296="PADD V","PADD 5","")))))</f>
        <v>PADD 3</v>
      </c>
      <c r="G7296" s="6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6" t="s">
        <v>44</v>
      </c>
      <c r="I7296" s="6" t="s">
        <v>1405</v>
      </c>
      <c r="J7296" s="6" t="s">
        <v>394</v>
      </c>
      <c r="K7296" s="10">
        <v>1.75</v>
      </c>
      <c r="L7296" s="10">
        <v>25</v>
      </c>
      <c r="M7296" s="6" t="s">
        <v>421</v>
      </c>
      <c r="N7296" s="6">
        <f>IF(OR($G7296="FCC",$G7296="Hydrocracker",$G7296="Reformer"),IF(COUNTIFS($D:$D,$D7296,$A:$A,$A7296,$B:$B,$B7296,$G:$G,"CDU",$J:$J,"PLANNED")&gt;0,"tied","standalone"),"")</f>
        <v/>
      </c>
    </row>
    <row r="7297" spans="1:14">
      <c r="A7297" s="6">
        <v>2026</v>
      </c>
      <c r="B7297" s="6">
        <v>2</v>
      </c>
      <c r="C7297" s="6" t="s">
        <v>61</v>
      </c>
      <c r="D7297" s="6" t="s">
        <v>561</v>
      </c>
      <c r="E7297" s="6" t="s">
        <v>455</v>
      </c>
      <c r="F7297" s="6" t="str">
        <f>IF($M7297="PADD I","PADD 1",IF($M7297="PADD II","PADD 2",IF($M7297="PADD III","PADD 3",IF($M7297="PADD IV","PADD 4",IF($M7297="PADD V","PADD 5","")))))</f>
        <v>PADD 3</v>
      </c>
      <c r="G7297" s="6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6" t="s">
        <v>44</v>
      </c>
      <c r="I7297" s="6" t="s">
        <v>1406</v>
      </c>
      <c r="J7297" s="6" t="s">
        <v>394</v>
      </c>
      <c r="K7297" s="10">
        <v>1.75</v>
      </c>
      <c r="L7297" s="10">
        <v>25</v>
      </c>
      <c r="M7297" s="6" t="s">
        <v>421</v>
      </c>
      <c r="N7297" s="6">
        <f>IF(OR($G7297="FCC",$G7297="Hydrocracker",$G7297="Reformer"),IF(COUNTIFS($D:$D,$D7297,$A:$A,$A7297,$B:$B,$B7297,$G:$G,"CDU",$J:$J,"PLANNED")&gt;0,"tied","standalone"),"")</f>
        <v/>
      </c>
    </row>
    <row r="7298" spans="1:14">
      <c r="A7298" s="6">
        <v>2026</v>
      </c>
      <c r="B7298" s="6">
        <v>2</v>
      </c>
      <c r="C7298" s="6" t="s">
        <v>61</v>
      </c>
      <c r="D7298" s="6" t="s">
        <v>581</v>
      </c>
      <c r="E7298" s="6" t="s">
        <v>582</v>
      </c>
      <c r="F7298" s="6" t="str">
        <f>IF($M7298="PADD I","PADD 1",IF($M7298="PADD II","PADD 2",IF($M7298="PADD III","PADD 3",IF($M7298="PADD IV","PADD 4",IF($M7298="PADD V","PADD 5","")))))</f>
        <v>PADD 5</v>
      </c>
      <c r="G7298" s="6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6" t="s">
        <v>485</v>
      </c>
      <c r="I7298" s="6" t="s">
        <v>649</v>
      </c>
      <c r="J7298" s="6" t="s">
        <v>398</v>
      </c>
      <c r="K7298" s="10">
        <v>1.7325</v>
      </c>
      <c r="L7298" s="10">
        <v>8.25</v>
      </c>
      <c r="M7298" s="6" t="s">
        <v>436</v>
      </c>
      <c r="N7298" s="6">
        <f>IF(OR($G7298="FCC",$G7298="Hydrocracker",$G7298="Reformer"),IF(COUNTIFS($D:$D,$D7298,$A:$A,$A7298,$B:$B,$B7298,$G:$G,"CDU",$J:$J,"PLANNED")&gt;0,"tied","standalone"),"")</f>
        <v/>
      </c>
    </row>
    <row r="7299" spans="1:14">
      <c r="A7299" s="6">
        <v>2026</v>
      </c>
      <c r="B7299" s="6">
        <v>2</v>
      </c>
      <c r="C7299" s="6" t="s">
        <v>61</v>
      </c>
      <c r="D7299" s="6" t="s">
        <v>1110</v>
      </c>
      <c r="E7299" s="6" t="s">
        <v>1089</v>
      </c>
      <c r="F7299" s="6" t="str">
        <f>IF($M7299="PADD I","PADD 1",IF($M7299="PADD II","PADD 2",IF($M7299="PADD III","PADD 3",IF($M7299="PADD IV","PADD 4",IF($M7299="PADD V","PADD 5","")))))</f>
        <v>PADD 2</v>
      </c>
      <c r="G7299" s="6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6" t="s">
        <v>44</v>
      </c>
      <c r="I7299" s="6" t="s">
        <v>1248</v>
      </c>
      <c r="J7299" s="6" t="s">
        <v>394</v>
      </c>
      <c r="K7299" s="10">
        <v>1.68</v>
      </c>
      <c r="L7299" s="10">
        <v>12</v>
      </c>
      <c r="M7299" s="6" t="s">
        <v>425</v>
      </c>
      <c r="N7299" s="6">
        <f>IF(OR($G7299="FCC",$G7299="Hydrocracker",$G7299="Reformer"),IF(COUNTIFS($D:$D,$D7299,$A:$A,$A7299,$B:$B,$B7299,$G:$G,"CDU",$J:$J,"PLANNED")&gt;0,"tied","standalone"),"")</f>
        <v/>
      </c>
    </row>
    <row r="7300" spans="1:14">
      <c r="A7300" s="6">
        <v>2026</v>
      </c>
      <c r="B7300" s="6">
        <v>2</v>
      </c>
      <c r="C7300" s="6" t="s">
        <v>61</v>
      </c>
      <c r="D7300" s="6" t="s">
        <v>1088</v>
      </c>
      <c r="E7300" s="6" t="s">
        <v>1089</v>
      </c>
      <c r="F7300" s="6" t="str">
        <f>IF($M7300="PADD I","PADD 1",IF($M7300="PADD II","PADD 2",IF($M7300="PADD III","PADD 3",IF($M7300="PADD IV","PADD 4",IF($M7300="PADD V","PADD 5","")))))</f>
        <v>PADD 2</v>
      </c>
      <c r="G7300" s="6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6" t="s">
        <v>44</v>
      </c>
      <c r="I7300" s="6" t="s">
        <v>1249</v>
      </c>
      <c r="J7300" s="6" t="s">
        <v>394</v>
      </c>
      <c r="K7300" s="10">
        <v>1.68</v>
      </c>
      <c r="L7300" s="10">
        <v>12</v>
      </c>
      <c r="M7300" s="6" t="s">
        <v>425</v>
      </c>
      <c r="N7300" s="6">
        <f>IF(OR($G7300="FCC",$G7300="Hydrocracker",$G7300="Reformer"),IF(COUNTIFS($D:$D,$D7300,$A:$A,$A7300,$B:$B,$B7300,$G:$G,"CDU",$J:$J,"PLANNED")&gt;0,"tied","standalone"),"")</f>
        <v/>
      </c>
    </row>
    <row r="7301" spans="1:14">
      <c r="A7301" s="6">
        <v>2026</v>
      </c>
      <c r="B7301" s="6">
        <v>2</v>
      </c>
      <c r="C7301" s="6" t="s">
        <v>61</v>
      </c>
      <c r="D7301" s="6" t="s">
        <v>581</v>
      </c>
      <c r="E7301" s="6" t="s">
        <v>582</v>
      </c>
      <c r="F7301" s="6" t="str">
        <f>IF($M7301="PADD I","PADD 1",IF($M7301="PADD II","PADD 2",IF($M7301="PADD III","PADD 3",IF($M7301="PADD IV","PADD 4",IF($M7301="PADD V","PADD 5","")))))</f>
        <v>PADD 5</v>
      </c>
      <c r="G7301" s="6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6" t="s">
        <v>494</v>
      </c>
      <c r="I7301" s="6" t="s">
        <v>14</v>
      </c>
      <c r="J7301" s="6" t="s">
        <v>394</v>
      </c>
      <c r="K7301" s="10">
        <v>1.68</v>
      </c>
      <c r="L7301" s="10">
        <v>24</v>
      </c>
      <c r="M7301" s="6" t="s">
        <v>436</v>
      </c>
      <c r="N7301" s="6" t="str">
        <f>IF(OR($G7301="FCC",$G7301="Hydrocracker",$G7301="Reformer"),IF(COUNTIFS($D:$D,$D7301,$A:$A,$A7301,$B:$B,$B7301,$G:$G,"CDU",$J:$J,"PLANNED")&gt;0,"tied","standalone"),"")</f>
        <v>standalone</v>
      </c>
    </row>
    <row r="7302" spans="1:14">
      <c r="A7302" s="6">
        <v>2026</v>
      </c>
      <c r="B7302" s="6">
        <v>2</v>
      </c>
      <c r="C7302" s="6" t="s">
        <v>61</v>
      </c>
      <c r="D7302" s="6" t="s">
        <v>1398</v>
      </c>
      <c r="E7302" s="6" t="s">
        <v>455</v>
      </c>
      <c r="F7302" s="6" t="str">
        <f>IF($M7302="PADD I","PADD 1",IF($M7302="PADD II","PADD 2",IF($M7302="PADD III","PADD 3",IF($M7302="PADD IV","PADD 4",IF($M7302="PADD V","PADD 5","")))))</f>
        <v>PADD 5</v>
      </c>
      <c r="G7302" s="6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6" t="s">
        <v>428</v>
      </c>
      <c r="I7302" s="6" t="s">
        <v>481</v>
      </c>
      <c r="J7302" s="6" t="s">
        <v>398</v>
      </c>
      <c r="K7302" s="10">
        <v>1.6632</v>
      </c>
      <c r="L7302" s="10">
        <v>4.62</v>
      </c>
      <c r="M7302" s="6" t="s">
        <v>436</v>
      </c>
      <c r="N7302" s="6">
        <f>IF(OR($G7302="FCC",$G7302="Hydrocracker",$G7302="Reformer"),IF(COUNTIFS($D:$D,$D7302,$A:$A,$A7302,$B:$B,$B7302,$G:$G,"CDU",$J:$J,"PLANNED")&gt;0,"tied","standalone"),"")</f>
        <v/>
      </c>
    </row>
    <row r="7303" spans="1:14">
      <c r="A7303" s="6">
        <v>2026</v>
      </c>
      <c r="B7303" s="6">
        <v>2</v>
      </c>
      <c r="C7303" s="6" t="s">
        <v>61</v>
      </c>
      <c r="D7303" s="6" t="s">
        <v>806</v>
      </c>
      <c r="E7303" s="6" t="s">
        <v>807</v>
      </c>
      <c r="F7303" s="6" t="str">
        <f>IF($M7303="PADD I","PADD 1",IF($M7303="PADD II","PADD 2",IF($M7303="PADD III","PADD 3",IF($M7303="PADD IV","PADD 4",IF($M7303="PADD V","PADD 5","")))))</f>
        <v>PADD 3</v>
      </c>
      <c r="G7303" s="6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6" t="s">
        <v>39</v>
      </c>
      <c r="I7303" s="6" t="s">
        <v>82</v>
      </c>
      <c r="J7303" s="6" t="s">
        <v>394</v>
      </c>
      <c r="K7303" s="10">
        <v>1.65</v>
      </c>
      <c r="L7303" s="10">
        <v>15</v>
      </c>
      <c r="M7303" s="6" t="s">
        <v>421</v>
      </c>
      <c r="N7303" s="6">
        <f>IF(OR($G7303="FCC",$G7303="Hydrocracker",$G7303="Reformer"),IF(COUNTIFS($D:$D,$D7303,$A:$A,$A7303,$B:$B,$B7303,$G:$G,"CDU",$J:$J,"PLANNED")&gt;0,"tied","standalone"),"")</f>
        <v/>
      </c>
    </row>
    <row r="7304" spans="1:14">
      <c r="A7304" s="6">
        <v>2026</v>
      </c>
      <c r="B7304" s="6">
        <v>2</v>
      </c>
      <c r="C7304" s="6" t="s">
        <v>61</v>
      </c>
      <c r="D7304" s="6" t="s">
        <v>1198</v>
      </c>
      <c r="E7304" s="6" t="s">
        <v>1199</v>
      </c>
      <c r="F7304" s="6" t="str">
        <f>IF($M7304="PADD I","PADD 1",IF($M7304="PADD II","PADD 2",IF($M7304="PADD III","PADD 3",IF($M7304="PADD IV","PADD 4",IF($M7304="PADD V","PADD 5","")))))</f>
        <v>PADD 3</v>
      </c>
      <c r="G7304" s="6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6" t="s">
        <v>39</v>
      </c>
      <c r="I7304" s="6" t="s">
        <v>82</v>
      </c>
      <c r="J7304" s="6" t="s">
        <v>398</v>
      </c>
      <c r="K7304" s="10">
        <v>1.617</v>
      </c>
      <c r="L7304" s="10">
        <v>7.7</v>
      </c>
      <c r="M7304" s="6" t="s">
        <v>421</v>
      </c>
      <c r="N7304" s="6">
        <f>IF(OR($G7304="FCC",$G7304="Hydrocracker",$G7304="Reformer"),IF(COUNTIFS($D:$D,$D7304,$A:$A,$A7304,$B:$B,$B7304,$G:$G,"CDU",$J:$J,"PLANNED")&gt;0,"tied","standalone"),"")</f>
        <v/>
      </c>
    </row>
    <row r="7305" spans="1:14">
      <c r="A7305" s="6">
        <v>2026</v>
      </c>
      <c r="B7305" s="6">
        <v>2</v>
      </c>
      <c r="C7305" s="6" t="s">
        <v>61</v>
      </c>
      <c r="D7305" s="6" t="s">
        <v>1088</v>
      </c>
      <c r="E7305" s="6" t="s">
        <v>1089</v>
      </c>
      <c r="F7305" s="6" t="str">
        <f>IF($M7305="PADD I","PADD 1",IF($M7305="PADD II","PADD 2",IF($M7305="PADD III","PADD 3",IF($M7305="PADD IV","PADD 4",IF($M7305="PADD V","PADD 5","")))))</f>
        <v>PADD 2</v>
      </c>
      <c r="G7305" s="6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6" t="s">
        <v>687</v>
      </c>
      <c r="I7305" s="6" t="s">
        <v>1407</v>
      </c>
      <c r="J7305" s="6" t="s">
        <v>394</v>
      </c>
      <c r="K7305" s="10">
        <v>1.54</v>
      </c>
      <c r="L7305" s="10">
        <v>11</v>
      </c>
      <c r="M7305" s="6" t="s">
        <v>425</v>
      </c>
      <c r="N7305" s="6">
        <f>IF(OR($G7305="FCC",$G7305="Hydrocracker",$G7305="Reformer"),IF(COUNTIFS($D:$D,$D7305,$A:$A,$A7305,$B:$B,$B7305,$G:$G,"CDU",$J:$J,"PLANNED")&gt;0,"tied","standalone"),"")</f>
        <v/>
      </c>
    </row>
    <row r="7306" spans="1:14">
      <c r="A7306" s="6">
        <v>2026</v>
      </c>
      <c r="B7306" s="6">
        <v>2</v>
      </c>
      <c r="C7306" s="6" t="s">
        <v>61</v>
      </c>
      <c r="D7306" s="6" t="s">
        <v>901</v>
      </c>
      <c r="E7306" s="6" t="s">
        <v>902</v>
      </c>
      <c r="F7306" s="6" t="str">
        <f>IF($M7306="PADD I","PADD 1",IF($M7306="PADD II","PADD 2",IF($M7306="PADD III","PADD 3",IF($M7306="PADD IV","PADD 4",IF($M7306="PADD V","PADD 5","")))))</f>
        <v>PADD 3</v>
      </c>
      <c r="G7306" s="6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6" t="s">
        <v>428</v>
      </c>
      <c r="I7306" s="6" t="s">
        <v>910</v>
      </c>
      <c r="J7306" s="6" t="s">
        <v>394</v>
      </c>
      <c r="K7306" s="10">
        <v>1.44</v>
      </c>
      <c r="L7306" s="10">
        <v>36</v>
      </c>
      <c r="M7306" s="6" t="s">
        <v>421</v>
      </c>
      <c r="N7306" s="6">
        <f>IF(OR($G7306="FCC",$G7306="Hydrocracker",$G7306="Reformer"),IF(COUNTIFS($D:$D,$D7306,$A:$A,$A7306,$B:$B,$B7306,$G:$G,"CDU",$J:$J,"PLANNED")&gt;0,"tied","standalone"),"")</f>
        <v/>
      </c>
    </row>
    <row r="7307" spans="1:14">
      <c r="A7307" s="6">
        <v>2026</v>
      </c>
      <c r="B7307" s="6">
        <v>2</v>
      </c>
      <c r="C7307" s="6" t="s">
        <v>61</v>
      </c>
      <c r="D7307" s="6" t="s">
        <v>1088</v>
      </c>
      <c r="E7307" s="6" t="s">
        <v>1089</v>
      </c>
      <c r="F7307" s="6" t="str">
        <f>IF($M7307="PADD I","PADD 1",IF($M7307="PADD II","PADD 2",IF($M7307="PADD III","PADD 3",IF($M7307="PADD IV","PADD 4",IF($M7307="PADD V","PADD 5","")))))</f>
        <v>PADD 2</v>
      </c>
      <c r="G7307" s="6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6" t="s">
        <v>44</v>
      </c>
      <c r="I7307" s="6" t="s">
        <v>1250</v>
      </c>
      <c r="J7307" s="6" t="s">
        <v>394</v>
      </c>
      <c r="K7307" s="10">
        <v>1.358</v>
      </c>
      <c r="L7307" s="10">
        <v>9.699999999999999</v>
      </c>
      <c r="M7307" s="6" t="s">
        <v>425</v>
      </c>
      <c r="N7307" s="6">
        <f>IF(OR($G7307="FCC",$G7307="Hydrocracker",$G7307="Reformer"),IF(COUNTIFS($D:$D,$D7307,$A:$A,$A7307,$B:$B,$B7307,$G:$G,"CDU",$J:$J,"PLANNED")&gt;0,"tied","standalone"),"")</f>
        <v/>
      </c>
    </row>
    <row r="7308" spans="1:14">
      <c r="A7308" s="6">
        <v>2026</v>
      </c>
      <c r="B7308" s="6">
        <v>2</v>
      </c>
      <c r="C7308" s="6" t="s">
        <v>61</v>
      </c>
      <c r="D7308" s="6" t="s">
        <v>849</v>
      </c>
      <c r="E7308" s="6" t="s">
        <v>441</v>
      </c>
      <c r="F7308" s="6" t="str">
        <f>IF($M7308="PADD I","PADD 1",IF($M7308="PADD II","PADD 2",IF($M7308="PADD III","PADD 3",IF($M7308="PADD IV","PADD 4",IF($M7308="PADD V","PADD 5","")))))</f>
        <v>PADD 4</v>
      </c>
      <c r="G7308" s="6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6" t="s">
        <v>510</v>
      </c>
      <c r="I7308" s="6" t="s">
        <v>958</v>
      </c>
      <c r="J7308" s="6" t="s">
        <v>394</v>
      </c>
      <c r="K7308" s="10">
        <v>1.176</v>
      </c>
      <c r="L7308" s="10">
        <v>5.6</v>
      </c>
      <c r="M7308" s="6" t="s">
        <v>480</v>
      </c>
      <c r="N7308" s="6">
        <f>IF(OR($G7308="FCC",$G7308="Hydrocracker",$G7308="Reformer"),IF(COUNTIFS($D:$D,$D7308,$A:$A,$A7308,$B:$B,$B7308,$G:$G,"CDU",$J:$J,"PLANNED")&gt;0,"tied","standalone"),"")</f>
        <v/>
      </c>
    </row>
    <row r="7309" spans="1:14">
      <c r="A7309" s="6">
        <v>2026</v>
      </c>
      <c r="B7309" s="6">
        <v>2</v>
      </c>
      <c r="C7309" s="6" t="s">
        <v>61</v>
      </c>
      <c r="D7309" s="6" t="s">
        <v>1339</v>
      </c>
      <c r="E7309" s="6" t="s">
        <v>1340</v>
      </c>
      <c r="F7309" s="6" t="str">
        <f>IF($M7309="PADD I","PADD 1",IF($M7309="PADD II","PADD 2",IF($M7309="PADD III","PADD 3",IF($M7309="PADD IV","PADD 4",IF($M7309="PADD V","PADD 5","")))))</f>
        <v>PADD 5</v>
      </c>
      <c r="G7309" s="6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6" t="s">
        <v>44</v>
      </c>
      <c r="I7309" s="6" t="s">
        <v>834</v>
      </c>
      <c r="J7309" s="6" t="s">
        <v>398</v>
      </c>
      <c r="K7309" s="10">
        <v>1.08</v>
      </c>
      <c r="L7309" s="10">
        <v>3</v>
      </c>
      <c r="M7309" s="6" t="s">
        <v>436</v>
      </c>
      <c r="N7309" s="6">
        <f>IF(OR($G7309="FCC",$G7309="Hydrocracker",$G7309="Reformer"),IF(COUNTIFS($D:$D,$D7309,$A:$A,$A7309,$B:$B,$B7309,$G:$G,"CDU",$J:$J,"PLANNED")&gt;0,"tied","standalone"),"")</f>
        <v/>
      </c>
    </row>
    <row r="7310" spans="1:14">
      <c r="A7310" s="6">
        <v>2026</v>
      </c>
      <c r="B7310" s="6">
        <v>2</v>
      </c>
      <c r="C7310" s="6" t="s">
        <v>61</v>
      </c>
      <c r="D7310" s="6" t="s">
        <v>1208</v>
      </c>
      <c r="E7310" s="6" t="s">
        <v>774</v>
      </c>
      <c r="F7310" s="6" t="str">
        <f>IF($M7310="PADD I","PADD 1",IF($M7310="PADD II","PADD 2",IF($M7310="PADD III","PADD 3",IF($M7310="PADD IV","PADD 4",IF($M7310="PADD V","PADD 5","")))))</f>
        <v>PADD 5</v>
      </c>
      <c r="G7310" s="6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6" t="s">
        <v>618</v>
      </c>
      <c r="I7310" s="6" t="s">
        <v>1408</v>
      </c>
      <c r="J7310" s="6" t="s">
        <v>398</v>
      </c>
      <c r="K7310" s="10">
        <v>0.96</v>
      </c>
      <c r="L7310" s="10">
        <v>1.5</v>
      </c>
      <c r="M7310" s="6" t="s">
        <v>436</v>
      </c>
      <c r="N7310" s="6">
        <f>IF(OR($G7310="FCC",$G7310="Hydrocracker",$G7310="Reformer"),IF(COUNTIFS($D:$D,$D7310,$A:$A,$A7310,$B:$B,$B7310,$G:$G,"CDU",$J:$J,"PLANNED")&gt;0,"tied","standalone"),"")</f>
        <v/>
      </c>
    </row>
    <row r="7311" spans="1:14">
      <c r="A7311" s="6">
        <v>2026</v>
      </c>
      <c r="B7311" s="6">
        <v>2</v>
      </c>
      <c r="C7311" s="6" t="s">
        <v>61</v>
      </c>
      <c r="D7311" s="6" t="s">
        <v>1198</v>
      </c>
      <c r="E7311" s="6" t="s">
        <v>1199</v>
      </c>
      <c r="F7311" s="6" t="str">
        <f>IF($M7311="PADD I","PADD 1",IF($M7311="PADD II","PADD 2",IF($M7311="PADD III","PADD 3",IF($M7311="PADD IV","PADD 4",IF($M7311="PADD V","PADD 5","")))))</f>
        <v>PADD 3</v>
      </c>
      <c r="G7311" s="6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6" t="s">
        <v>44</v>
      </c>
      <c r="I7311" s="6" t="s">
        <v>954</v>
      </c>
      <c r="J7311" s="6" t="s">
        <v>398</v>
      </c>
      <c r="K7311" s="10">
        <v>0.945</v>
      </c>
      <c r="L7311" s="10">
        <v>4.5</v>
      </c>
      <c r="M7311" s="6" t="s">
        <v>421</v>
      </c>
      <c r="N7311" s="6">
        <f>IF(OR($G7311="FCC",$G7311="Hydrocracker",$G7311="Reformer"),IF(COUNTIFS($D:$D,$D7311,$A:$A,$A7311,$B:$B,$B7311,$G:$G,"CDU",$J:$J,"PLANNED")&gt;0,"tied","standalone"),"")</f>
        <v/>
      </c>
    </row>
    <row r="7312" spans="1:14">
      <c r="A7312" s="6">
        <v>2026</v>
      </c>
      <c r="B7312" s="6">
        <v>2</v>
      </c>
      <c r="C7312" s="6" t="s">
        <v>61</v>
      </c>
      <c r="D7312" s="6" t="s">
        <v>665</v>
      </c>
      <c r="E7312" s="6" t="s">
        <v>455</v>
      </c>
      <c r="F7312" s="6" t="str">
        <f>IF($M7312="PADD I","PADD 1",IF($M7312="PADD II","PADD 2",IF($M7312="PADD III","PADD 3",IF($M7312="PADD IV","PADD 4",IF($M7312="PADD V","PADD 5","")))))</f>
        <v>PADD 5</v>
      </c>
      <c r="G7312" s="6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6" t="s">
        <v>44</v>
      </c>
      <c r="I7312" s="6" t="s">
        <v>1361</v>
      </c>
      <c r="J7312" s="6" t="s">
        <v>398</v>
      </c>
      <c r="K7312" s="10">
        <v>0.9366</v>
      </c>
      <c r="L7312" s="10">
        <v>4.46</v>
      </c>
      <c r="M7312" s="6" t="s">
        <v>436</v>
      </c>
      <c r="N7312" s="6">
        <f>IF(OR($G7312="FCC",$G7312="Hydrocracker",$G7312="Reformer"),IF(COUNTIFS($D:$D,$D7312,$A:$A,$A7312,$B:$B,$B7312,$G:$G,"CDU",$J:$J,"PLANNED")&gt;0,"tied","standalone"),"")</f>
        <v/>
      </c>
    </row>
    <row r="7313" spans="1:14">
      <c r="A7313" s="6">
        <v>2026</v>
      </c>
      <c r="B7313" s="6">
        <v>2</v>
      </c>
      <c r="C7313" s="6" t="s">
        <v>61</v>
      </c>
      <c r="D7313" s="6" t="s">
        <v>928</v>
      </c>
      <c r="E7313" s="6" t="s">
        <v>502</v>
      </c>
      <c r="F7313" s="6" t="str">
        <f>IF($M7313="PADD I","PADD 1",IF($M7313="PADD II","PADD 2",IF($M7313="PADD III","PADD 3",IF($M7313="PADD IV","PADD 4",IF($M7313="PADD V","PADD 5","")))))</f>
        <v>PADD 2</v>
      </c>
      <c r="G7313" s="6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6" t="s">
        <v>485</v>
      </c>
      <c r="I7313" s="6" t="s">
        <v>491</v>
      </c>
      <c r="J7313" s="6" t="s">
        <v>394</v>
      </c>
      <c r="K7313" s="10">
        <v>0.9350000000000001</v>
      </c>
      <c r="L7313" s="10">
        <v>8.5</v>
      </c>
      <c r="M7313" s="6" t="s">
        <v>425</v>
      </c>
      <c r="N7313" s="6">
        <f>IF(OR($G7313="FCC",$G7313="Hydrocracker",$G7313="Reformer"),IF(COUNTIFS($D:$D,$D7313,$A:$A,$A7313,$B:$B,$B7313,$G:$G,"CDU",$J:$J,"PLANNED")&gt;0,"tied","standalone"),"")</f>
        <v/>
      </c>
    </row>
    <row r="7314" spans="1:14">
      <c r="A7314" s="6">
        <v>2026</v>
      </c>
      <c r="B7314" s="6">
        <v>2</v>
      </c>
      <c r="C7314" s="6" t="s">
        <v>61</v>
      </c>
      <c r="D7314" s="6" t="s">
        <v>561</v>
      </c>
      <c r="E7314" s="6" t="s">
        <v>455</v>
      </c>
      <c r="F7314" s="6" t="str">
        <f>IF($M7314="PADD I","PADD 1",IF($M7314="PADD II","PADD 2",IF($M7314="PADD III","PADD 3",IF($M7314="PADD IV","PADD 4",IF($M7314="PADD V","PADD 5","")))))</f>
        <v>PADD 3</v>
      </c>
      <c r="G7314" s="6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6" t="s">
        <v>510</v>
      </c>
      <c r="I7314" s="6" t="s">
        <v>1409</v>
      </c>
      <c r="J7314" s="6" t="s">
        <v>394</v>
      </c>
      <c r="K7314" s="10">
        <v>0.91</v>
      </c>
      <c r="L7314" s="10">
        <v>13</v>
      </c>
      <c r="M7314" s="6" t="s">
        <v>421</v>
      </c>
      <c r="N7314" s="6">
        <f>IF(OR($G7314="FCC",$G7314="Hydrocracker",$G7314="Reformer"),IF(COUNTIFS($D:$D,$D7314,$A:$A,$A7314,$B:$B,$B7314,$G:$G,"CDU",$J:$J,"PLANNED")&gt;0,"tied","standalone"),"")</f>
        <v/>
      </c>
    </row>
    <row r="7315" spans="1:14">
      <c r="A7315" s="6">
        <v>2026</v>
      </c>
      <c r="B7315" s="6">
        <v>2</v>
      </c>
      <c r="C7315" s="6" t="s">
        <v>61</v>
      </c>
      <c r="D7315" s="6" t="s">
        <v>1088</v>
      </c>
      <c r="E7315" s="6" t="s">
        <v>1089</v>
      </c>
      <c r="F7315" s="6" t="str">
        <f>IF($M7315="PADD I","PADD 1",IF($M7315="PADD II","PADD 2",IF($M7315="PADD III","PADD 3",IF($M7315="PADD IV","PADD 4",IF($M7315="PADD V","PADD 5","")))))</f>
        <v>PADD 2</v>
      </c>
      <c r="G7315" s="6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6" t="s">
        <v>1158</v>
      </c>
      <c r="I7315" s="6" t="s">
        <v>1410</v>
      </c>
      <c r="J7315" s="6" t="s">
        <v>394</v>
      </c>
      <c r="K7315" s="10">
        <v>0.84</v>
      </c>
      <c r="L7315" s="10">
        <v>6</v>
      </c>
      <c r="M7315" s="6" t="s">
        <v>425</v>
      </c>
      <c r="N7315" s="6">
        <f>IF(OR($G7315="FCC",$G7315="Hydrocracker",$G7315="Reformer"),IF(COUNTIFS($D:$D,$D7315,$A:$A,$A7315,$B:$B,$B7315,$G:$G,"CDU",$J:$J,"PLANNED")&gt;0,"tied","standalone"),"")</f>
        <v/>
      </c>
    </row>
    <row r="7316" spans="1:14">
      <c r="A7316" s="6">
        <v>2026</v>
      </c>
      <c r="B7316" s="6">
        <v>2</v>
      </c>
      <c r="C7316" s="6" t="s">
        <v>61</v>
      </c>
      <c r="D7316" s="6" t="s">
        <v>680</v>
      </c>
      <c r="E7316" s="6" t="s">
        <v>541</v>
      </c>
      <c r="F7316" s="6" t="str">
        <f>IF($M7316="PADD I","PADD 1",IF($M7316="PADD II","PADD 2",IF($M7316="PADD III","PADD 3",IF($M7316="PADD IV","PADD 4",IF($M7316="PADD V","PADD 5","")))))</f>
        <v>PADD 3</v>
      </c>
      <c r="G7316" s="6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6" t="s">
        <v>44</v>
      </c>
      <c r="I7316" s="6" t="s">
        <v>514</v>
      </c>
      <c r="J7316" s="6" t="s">
        <v>394</v>
      </c>
      <c r="K7316" s="10">
        <v>0.84</v>
      </c>
      <c r="L7316" s="10">
        <v>12</v>
      </c>
      <c r="M7316" s="6" t="s">
        <v>421</v>
      </c>
      <c r="N7316" s="6">
        <f>IF(OR($G7316="FCC",$G7316="Hydrocracker",$G7316="Reformer"),IF(COUNTIFS($D:$D,$D7316,$A:$A,$A7316,$B:$B,$B7316,$G:$G,"CDU",$J:$J,"PLANNED")&gt;0,"tied","standalone"),"")</f>
        <v/>
      </c>
    </row>
    <row r="7317" spans="1:14">
      <c r="A7317" s="6">
        <v>2026</v>
      </c>
      <c r="B7317" s="6">
        <v>2</v>
      </c>
      <c r="C7317" s="6" t="s">
        <v>61</v>
      </c>
      <c r="D7317" s="6" t="s">
        <v>665</v>
      </c>
      <c r="E7317" s="6" t="s">
        <v>455</v>
      </c>
      <c r="F7317" s="6" t="str">
        <f>IF($M7317="PADD I","PADD 1",IF($M7317="PADD II","PADD 2",IF($M7317="PADD III","PADD 3",IF($M7317="PADD IV","PADD 4",IF($M7317="PADD V","PADD 5","")))))</f>
        <v>PADD 5</v>
      </c>
      <c r="G7317" s="6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6" t="s">
        <v>44</v>
      </c>
      <c r="I7317" s="6" t="s">
        <v>1235</v>
      </c>
      <c r="J7317" s="6" t="s">
        <v>398</v>
      </c>
      <c r="K7317" s="10">
        <v>0.8316</v>
      </c>
      <c r="L7317" s="10">
        <v>3.96</v>
      </c>
      <c r="M7317" s="6" t="s">
        <v>436</v>
      </c>
      <c r="N7317" s="6">
        <f>IF(OR($G7317="FCC",$G7317="Hydrocracker",$G7317="Reformer"),IF(COUNTIFS($D:$D,$D7317,$A:$A,$A7317,$B:$B,$B7317,$G:$G,"CDU",$J:$J,"PLANNED")&gt;0,"tied","standalone"),"")</f>
        <v/>
      </c>
    </row>
    <row r="7318" spans="1:14">
      <c r="A7318" s="6">
        <v>2026</v>
      </c>
      <c r="B7318" s="6">
        <v>2</v>
      </c>
      <c r="C7318" s="6" t="s">
        <v>61</v>
      </c>
      <c r="D7318" s="6" t="s">
        <v>1198</v>
      </c>
      <c r="E7318" s="6" t="s">
        <v>1199</v>
      </c>
      <c r="F7318" s="6" t="str">
        <f>IF($M7318="PADD I","PADD 1",IF($M7318="PADD II","PADD 2",IF($M7318="PADD III","PADD 3",IF($M7318="PADD IV","PADD 4",IF($M7318="PADD V","PADD 5","")))))</f>
        <v>PADD 3</v>
      </c>
      <c r="G7318" s="6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6" t="s">
        <v>687</v>
      </c>
      <c r="I7318" s="6" t="s">
        <v>1376</v>
      </c>
      <c r="J7318" s="6" t="s">
        <v>398</v>
      </c>
      <c r="K7318" s="10">
        <v>0.735</v>
      </c>
      <c r="L7318" s="10">
        <v>3.5</v>
      </c>
      <c r="M7318" s="6" t="s">
        <v>421</v>
      </c>
      <c r="N7318" s="6">
        <f>IF(OR($G7318="FCC",$G7318="Hydrocracker",$G7318="Reformer"),IF(COUNTIFS($D:$D,$D7318,$A:$A,$A7318,$B:$B,$B7318,$G:$G,"CDU",$J:$J,"PLANNED")&gt;0,"tied","standalone"),"")</f>
        <v/>
      </c>
    </row>
    <row r="7319" spans="1:14">
      <c r="A7319" s="6">
        <v>2026</v>
      </c>
      <c r="B7319" s="6">
        <v>2</v>
      </c>
      <c r="C7319" s="6" t="s">
        <v>61</v>
      </c>
      <c r="D7319" s="6" t="s">
        <v>1339</v>
      </c>
      <c r="E7319" s="6" t="s">
        <v>1340</v>
      </c>
      <c r="F7319" s="6" t="str">
        <f>IF($M7319="PADD I","PADD 1",IF($M7319="PADD II","PADD 2",IF($M7319="PADD III","PADD 3",IF($M7319="PADD IV","PADD 4",IF($M7319="PADD V","PADD 5","")))))</f>
        <v>PADD 5</v>
      </c>
      <c r="G7319" s="6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6" t="s">
        <v>687</v>
      </c>
      <c r="I7319" s="6" t="s">
        <v>954</v>
      </c>
      <c r="J7319" s="6" t="s">
        <v>398</v>
      </c>
      <c r="K7319" s="10">
        <v>0.72</v>
      </c>
      <c r="L7319" s="10">
        <v>2</v>
      </c>
      <c r="M7319" s="6" t="s">
        <v>436</v>
      </c>
      <c r="N7319" s="6">
        <f>IF(OR($G7319="FCC",$G7319="Hydrocracker",$G7319="Reformer"),IF(COUNTIFS($D:$D,$D7319,$A:$A,$A7319,$B:$B,$B7319,$G:$G,"CDU",$J:$J,"PLANNED")&gt;0,"tied","standalone"),"")</f>
        <v/>
      </c>
    </row>
    <row r="7320" spans="1:14">
      <c r="A7320" s="6">
        <v>2026</v>
      </c>
      <c r="B7320" s="6">
        <v>2</v>
      </c>
      <c r="C7320" s="6" t="s">
        <v>61</v>
      </c>
      <c r="D7320" s="6" t="s">
        <v>1198</v>
      </c>
      <c r="E7320" s="6" t="s">
        <v>1199</v>
      </c>
      <c r="F7320" s="6" t="str">
        <f>IF($M7320="PADD I","PADD 1",IF($M7320="PADD II","PADD 2",IF($M7320="PADD III","PADD 3",IF($M7320="PADD IV","PADD 4",IF($M7320="PADD V","PADD 5","")))))</f>
        <v>PADD 3</v>
      </c>
      <c r="G7320" s="6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6" t="s">
        <v>428</v>
      </c>
      <c r="I7320" s="6" t="s">
        <v>481</v>
      </c>
      <c r="J7320" s="6" t="s">
        <v>398</v>
      </c>
      <c r="K7320" s="10">
        <v>0.63</v>
      </c>
      <c r="L7320" s="10">
        <v>3</v>
      </c>
      <c r="M7320" s="6" t="s">
        <v>421</v>
      </c>
      <c r="N7320" s="6">
        <f>IF(OR($G7320="FCC",$G7320="Hydrocracker",$G7320="Reformer"),IF(COUNTIFS($D:$D,$D7320,$A:$A,$A7320,$B:$B,$B7320,$G:$G,"CDU",$J:$J,"PLANNED")&gt;0,"tied","standalone"),"")</f>
        <v/>
      </c>
    </row>
    <row r="7321" spans="1:14">
      <c r="A7321" s="6">
        <v>2026</v>
      </c>
      <c r="B7321" s="6">
        <v>2</v>
      </c>
      <c r="C7321" s="6" t="s">
        <v>61</v>
      </c>
      <c r="D7321" s="6" t="s">
        <v>1398</v>
      </c>
      <c r="E7321" s="6" t="s">
        <v>455</v>
      </c>
      <c r="F7321" s="6" t="str">
        <f>IF($M7321="PADD I","PADD 1",IF($M7321="PADD II","PADD 2",IF($M7321="PADD III","PADD 3",IF($M7321="PADD IV","PADD 4",IF($M7321="PADD V","PADD 5","")))))</f>
        <v>PADD 5</v>
      </c>
      <c r="G7321" s="6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6" t="s">
        <v>428</v>
      </c>
      <c r="I7321" s="6" t="s">
        <v>481</v>
      </c>
      <c r="J7321" s="6" t="s">
        <v>398</v>
      </c>
      <c r="K7321" s="10">
        <v>0.4851</v>
      </c>
      <c r="L7321" s="10">
        <v>2.31</v>
      </c>
      <c r="M7321" s="6" t="s">
        <v>436</v>
      </c>
      <c r="N7321" s="6">
        <f>IF(OR($G7321="FCC",$G7321="Hydrocracker",$G7321="Reformer"),IF(COUNTIFS($D:$D,$D7321,$A:$A,$A7321,$B:$B,$B7321,$G:$G,"CDU",$J:$J,"PLANNED")&gt;0,"tied","standalone"),"")</f>
        <v/>
      </c>
    </row>
    <row r="7322" spans="1:14">
      <c r="A7322" s="6">
        <v>2026</v>
      </c>
      <c r="B7322" s="6">
        <v>2</v>
      </c>
      <c r="C7322" s="6" t="s">
        <v>61</v>
      </c>
      <c r="D7322" s="6" t="s">
        <v>1198</v>
      </c>
      <c r="E7322" s="6" t="s">
        <v>1199</v>
      </c>
      <c r="F7322" s="6" t="str">
        <f>IF($M7322="PADD I","PADD 1",IF($M7322="PADD II","PADD 2",IF($M7322="PADD III","PADD 3",IF($M7322="PADD IV","PADD 4",IF($M7322="PADD V","PADD 5","")))))</f>
        <v>PADD 3</v>
      </c>
      <c r="G7322" s="6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6" t="s">
        <v>573</v>
      </c>
      <c r="I7322" s="6" t="s">
        <v>574</v>
      </c>
      <c r="J7322" s="6" t="s">
        <v>398</v>
      </c>
      <c r="K7322" s="10">
        <v>0.315</v>
      </c>
      <c r="L7322" s="10">
        <v>1.5</v>
      </c>
      <c r="M7322" s="6" t="s">
        <v>421</v>
      </c>
      <c r="N7322" s="6">
        <f>IF(OR($G7322="FCC",$G7322="Hydrocracker",$G7322="Reformer"),IF(COUNTIFS($D:$D,$D7322,$A:$A,$A7322,$B:$B,$B7322,$G:$G,"CDU",$J:$J,"PLANNED")&gt;0,"tied","standalone"),"")</f>
        <v/>
      </c>
    </row>
    <row r="7323" spans="1:14">
      <c r="A7323" s="6">
        <v>2026</v>
      </c>
      <c r="B7323" s="6">
        <v>3</v>
      </c>
      <c r="C7323" s="6" t="s">
        <v>62</v>
      </c>
      <c r="D7323" s="6" t="s">
        <v>49</v>
      </c>
      <c r="E7323" s="6" t="s">
        <v>438</v>
      </c>
      <c r="F7323" s="6" t="str">
        <f>IF($M7323="PADD I","PADD 1",IF($M7323="PADD II","PADD 2",IF($M7323="PADD III","PADD 3",IF($M7323="PADD IV","PADD 4",IF($M7323="PADD V","PADD 5","")))))</f>
        <v>PADD 2</v>
      </c>
      <c r="G7323" s="6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6" t="s">
        <v>39</v>
      </c>
      <c r="I7323" s="6" t="s">
        <v>770</v>
      </c>
      <c r="J7323" s="6" t="s">
        <v>398</v>
      </c>
      <c r="K7323" s="10">
        <v>125.1</v>
      </c>
      <c r="L7323" s="10">
        <v>278</v>
      </c>
      <c r="M7323" s="6" t="s">
        <v>425</v>
      </c>
      <c r="N7323" s="6">
        <f>IF(OR($G7323="FCC",$G7323="Hydrocracker",$G7323="Reformer"),IF(COUNTIFS($D:$D,$D7323,$A:$A,$A7323,$B:$B,$B7323,$G:$G,"CDU",$J:$J,"PLANNED")&gt;0,"tied","standalone"),"")</f>
        <v/>
      </c>
    </row>
    <row r="7324" spans="1:14">
      <c r="A7324" s="6">
        <v>2026</v>
      </c>
      <c r="B7324" s="6">
        <v>3</v>
      </c>
      <c r="C7324" s="6" t="s">
        <v>62</v>
      </c>
      <c r="D7324" s="6" t="s">
        <v>371</v>
      </c>
      <c r="E7324" s="6" t="s">
        <v>419</v>
      </c>
      <c r="F7324" s="6" t="str">
        <f>IF($M7324="PADD I","PADD 1",IF($M7324="PADD II","PADD 2",IF($M7324="PADD III","PADD 3",IF($M7324="PADD IV","PADD 4",IF($M7324="PADD V","PADD 5","")))))</f>
        <v>PADD 2</v>
      </c>
      <c r="G7324" s="6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6" t="s">
        <v>39</v>
      </c>
      <c r="I7324" s="6" t="s">
        <v>571</v>
      </c>
      <c r="J7324" s="6" t="s">
        <v>398</v>
      </c>
      <c r="K7324" s="10">
        <v>120</v>
      </c>
      <c r="L7324" s="10">
        <v>120</v>
      </c>
      <c r="M7324" s="6" t="s">
        <v>425</v>
      </c>
      <c r="N7324" s="6">
        <f>IF(OR($G7324="FCC",$G7324="Hydrocracker",$G7324="Reformer"),IF(COUNTIFS($D:$D,$D7324,$A:$A,$A7324,$B:$B,$B7324,$G:$G,"CDU",$J:$J,"PLANNED")&gt;0,"tied","standalone"),"")</f>
        <v/>
      </c>
    </row>
    <row r="7325" spans="1:14">
      <c r="A7325" s="6">
        <v>2026</v>
      </c>
      <c r="B7325" s="6">
        <v>3</v>
      </c>
      <c r="C7325" s="6" t="s">
        <v>62</v>
      </c>
      <c r="D7325" s="6" t="s">
        <v>371</v>
      </c>
      <c r="E7325" s="6" t="s">
        <v>419</v>
      </c>
      <c r="F7325" s="6" t="str">
        <f>IF($M7325="PADD I","PADD 1",IF($M7325="PADD II","PADD 2",IF($M7325="PADD III","PADD 3",IF($M7325="PADD IV","PADD 4",IF($M7325="PADD V","PADD 5","")))))</f>
        <v>PADD 2</v>
      </c>
      <c r="G7325" s="6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6" t="s">
        <v>428</v>
      </c>
      <c r="I7325" s="6" t="s">
        <v>469</v>
      </c>
      <c r="J7325" s="6" t="s">
        <v>398</v>
      </c>
      <c r="K7325" s="10">
        <v>105</v>
      </c>
      <c r="L7325" s="10">
        <v>105</v>
      </c>
      <c r="M7325" s="6" t="s">
        <v>425</v>
      </c>
      <c r="N7325" s="6">
        <f>IF(OR($G7325="FCC",$G7325="Hydrocracker",$G7325="Reformer"),IF(COUNTIFS($D:$D,$D7325,$A:$A,$A7325,$B:$B,$B7325,$G:$G,"CDU",$J:$J,"PLANNED")&gt;0,"tied","standalone"),"")</f>
        <v/>
      </c>
    </row>
    <row r="7326" spans="1:14">
      <c r="A7326" s="6">
        <v>2026</v>
      </c>
      <c r="B7326" s="6">
        <v>3</v>
      </c>
      <c r="C7326" s="6" t="s">
        <v>62</v>
      </c>
      <c r="D7326" s="6" t="s">
        <v>712</v>
      </c>
      <c r="E7326" s="6" t="s">
        <v>602</v>
      </c>
      <c r="F7326" s="6" t="str">
        <f>IF($M7326="PADD I","PADD 1",IF($M7326="PADD II","PADD 2",IF($M7326="PADD III","PADD 3",IF($M7326="PADD IV","PADD 4",IF($M7326="PADD V","PADD 5","")))))</f>
        <v>PADD 3</v>
      </c>
      <c r="G7326" s="6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6" t="s">
        <v>39</v>
      </c>
      <c r="I7326" s="6" t="s">
        <v>713</v>
      </c>
      <c r="J7326" s="6" t="s">
        <v>398</v>
      </c>
      <c r="K7326" s="10">
        <v>73</v>
      </c>
      <c r="L7326" s="10">
        <v>73</v>
      </c>
      <c r="M7326" s="6" t="s">
        <v>421</v>
      </c>
      <c r="N7326" s="6">
        <f>IF(OR($G7326="FCC",$G7326="Hydrocracker",$G7326="Reformer"),IF(COUNTIFS($D:$D,$D7326,$A:$A,$A7326,$B:$B,$B7326,$G:$G,"CDU",$J:$J,"PLANNED")&gt;0,"tied","standalone"),"")</f>
        <v/>
      </c>
    </row>
    <row r="7327" spans="1:14">
      <c r="A7327" s="6">
        <v>2026</v>
      </c>
      <c r="B7327" s="6">
        <v>3</v>
      </c>
      <c r="C7327" s="6" t="s">
        <v>62</v>
      </c>
      <c r="D7327" s="6" t="s">
        <v>375</v>
      </c>
      <c r="E7327" s="6" t="s">
        <v>435</v>
      </c>
      <c r="F7327" s="6" t="str">
        <f>IF($M7327="PADD I","PADD 1",IF($M7327="PADD II","PADD 2",IF($M7327="PADD III","PADD 3",IF($M7327="PADD IV","PADD 4",IF($M7327="PADD V","PADD 5","")))))</f>
        <v>PADD 5</v>
      </c>
      <c r="G7327" s="6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6" t="s">
        <v>426</v>
      </c>
      <c r="I7327" s="6" t="s">
        <v>554</v>
      </c>
      <c r="J7327" s="6" t="s">
        <v>394</v>
      </c>
      <c r="K7327" s="10">
        <v>70</v>
      </c>
      <c r="L7327" s="10">
        <v>70</v>
      </c>
      <c r="M7327" s="6" t="s">
        <v>436</v>
      </c>
      <c r="N7327" s="6" t="str">
        <f>IF(OR($G7327="FCC",$G7327="Hydrocracker",$G7327="Reformer"),IF(COUNTIFS($D:$D,$D7327,$A:$A,$A7327,$B:$B,$B7327,$G:$G,"CDU",$J:$J,"PLANNED")&gt;0,"tied","standalone"),"")</f>
        <v>standalone</v>
      </c>
    </row>
    <row r="7328" spans="1:14">
      <c r="A7328" s="6">
        <v>2026</v>
      </c>
      <c r="B7328" s="6">
        <v>3</v>
      </c>
      <c r="C7328" s="6" t="s">
        <v>62</v>
      </c>
      <c r="D7328" s="6" t="s">
        <v>373</v>
      </c>
      <c r="E7328" s="6" t="s">
        <v>438</v>
      </c>
      <c r="F7328" s="6" t="str">
        <f>IF($M7328="PADD I","PADD 1",IF($M7328="PADD II","PADD 2",IF($M7328="PADD III","PADD 3",IF($M7328="PADD IV","PADD 4",IF($M7328="PADD V","PADD 5","")))))</f>
        <v>PADD 3</v>
      </c>
      <c r="G7328" s="6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6" t="s">
        <v>44</v>
      </c>
      <c r="I7328" s="6" t="s">
        <v>732</v>
      </c>
      <c r="J7328" s="6" t="s">
        <v>398</v>
      </c>
      <c r="K7328" s="10">
        <v>68.90000000000001</v>
      </c>
      <c r="L7328" s="10">
        <v>106</v>
      </c>
      <c r="M7328" s="6" t="s">
        <v>421</v>
      </c>
      <c r="N7328" s="6">
        <f>IF(OR($G7328="FCC",$G7328="Hydrocracker",$G7328="Reformer"),IF(COUNTIFS($D:$D,$D7328,$A:$A,$A7328,$B:$B,$B7328,$G:$G,"CDU",$J:$J,"PLANNED")&gt;0,"tied","standalone"),"")</f>
        <v/>
      </c>
    </row>
    <row r="7329" spans="1:14">
      <c r="A7329" s="6">
        <v>2026</v>
      </c>
      <c r="B7329" s="6">
        <v>3</v>
      </c>
      <c r="C7329" s="6" t="s">
        <v>62</v>
      </c>
      <c r="D7329" s="6" t="s">
        <v>371</v>
      </c>
      <c r="E7329" s="6" t="s">
        <v>419</v>
      </c>
      <c r="F7329" s="6" t="str">
        <f>IF($M7329="PADD I","PADD 1",IF($M7329="PADD II","PADD 2",IF($M7329="PADD III","PADD 3",IF($M7329="PADD IV","PADD 4",IF($M7329="PADD V","PADD 5","")))))</f>
        <v>PADD 2</v>
      </c>
      <c r="G7329" s="6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6" t="s">
        <v>485</v>
      </c>
      <c r="I7329" s="6" t="s">
        <v>491</v>
      </c>
      <c r="J7329" s="6" t="s">
        <v>398</v>
      </c>
      <c r="K7329" s="10">
        <v>65</v>
      </c>
      <c r="L7329" s="10">
        <v>65</v>
      </c>
      <c r="M7329" s="6" t="s">
        <v>425</v>
      </c>
      <c r="N7329" s="6">
        <f>IF(OR($G7329="FCC",$G7329="Hydrocracker",$G7329="Reformer"),IF(COUNTIFS($D:$D,$D7329,$A:$A,$A7329,$B:$B,$B7329,$G:$G,"CDU",$J:$J,"PLANNED")&gt;0,"tied","standalone"),"")</f>
        <v/>
      </c>
    </row>
    <row r="7330" spans="1:14">
      <c r="A7330" s="6">
        <v>2026</v>
      </c>
      <c r="B7330" s="6">
        <v>3</v>
      </c>
      <c r="C7330" s="6" t="s">
        <v>62</v>
      </c>
      <c r="D7330" s="6" t="s">
        <v>1110</v>
      </c>
      <c r="E7330" s="6" t="s">
        <v>1089</v>
      </c>
      <c r="F7330" s="6" t="str">
        <f>IF($M7330="PADD I","PADD 1",IF($M7330="PADD II","PADD 2",IF($M7330="PADD III","PADD 3",IF($M7330="PADD IV","PADD 4",IF($M7330="PADD V","PADD 5","")))))</f>
        <v>PADD 2</v>
      </c>
      <c r="G7330" s="6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6" t="s">
        <v>39</v>
      </c>
      <c r="I7330" s="6" t="s">
        <v>456</v>
      </c>
      <c r="J7330" s="6" t="s">
        <v>398</v>
      </c>
      <c r="K7330" s="10">
        <v>62.4</v>
      </c>
      <c r="L7330" s="10">
        <v>160</v>
      </c>
      <c r="M7330" s="6" t="s">
        <v>425</v>
      </c>
      <c r="N7330" s="6">
        <f>IF(OR($G7330="FCC",$G7330="Hydrocracker",$G7330="Reformer"),IF(COUNTIFS($D:$D,$D7330,$A:$A,$A7330,$B:$B,$B7330,$G:$G,"CDU",$J:$J,"PLANNED")&gt;0,"tied","standalone"),"")</f>
        <v/>
      </c>
    </row>
    <row r="7331" spans="1:14">
      <c r="A7331" s="6">
        <v>2026</v>
      </c>
      <c r="B7331" s="6">
        <v>3</v>
      </c>
      <c r="C7331" s="6" t="s">
        <v>62</v>
      </c>
      <c r="D7331" s="6" t="s">
        <v>375</v>
      </c>
      <c r="E7331" s="6" t="s">
        <v>435</v>
      </c>
      <c r="F7331" s="6" t="str">
        <f>IF($M7331="PADD I","PADD 1",IF($M7331="PADD II","PADD 2",IF($M7331="PADD III","PADD 3",IF($M7331="PADD IV","PADD 4",IF($M7331="PADD V","PADD 5","")))))</f>
        <v>PADD 5</v>
      </c>
      <c r="G7331" s="6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6" t="s">
        <v>39</v>
      </c>
      <c r="I7331" s="6" t="s">
        <v>94</v>
      </c>
      <c r="J7331" s="6" t="s">
        <v>394</v>
      </c>
      <c r="K7331" s="10">
        <v>60</v>
      </c>
      <c r="L7331" s="10">
        <v>60</v>
      </c>
      <c r="M7331" s="6" t="s">
        <v>436</v>
      </c>
      <c r="N7331" s="6">
        <f>IF(OR($G7331="FCC",$G7331="Hydrocracker",$G7331="Reformer"),IF(COUNTIFS($D:$D,$D7331,$A:$A,$A7331,$B:$B,$B7331,$G:$G,"CDU",$J:$J,"PLANNED")&gt;0,"tied","standalone"),"")</f>
        <v/>
      </c>
    </row>
    <row r="7332" spans="1:14">
      <c r="A7332" s="6">
        <v>2026</v>
      </c>
      <c r="B7332" s="6">
        <v>3</v>
      </c>
      <c r="C7332" s="6" t="s">
        <v>62</v>
      </c>
      <c r="D7332" s="6" t="s">
        <v>49</v>
      </c>
      <c r="E7332" s="6" t="s">
        <v>438</v>
      </c>
      <c r="F7332" s="6" t="str">
        <f>IF($M7332="PADD I","PADD 1",IF($M7332="PADD II","PADD 2",IF($M7332="PADD III","PADD 3",IF($M7332="PADD IV","PADD 4",IF($M7332="PADD V","PADD 5","")))))</f>
        <v>PADD 2</v>
      </c>
      <c r="G7332" s="6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6" t="s">
        <v>44</v>
      </c>
      <c r="I7332" s="6" t="s">
        <v>746</v>
      </c>
      <c r="J7332" s="6" t="s">
        <v>398</v>
      </c>
      <c r="K7332" s="10">
        <v>55.25</v>
      </c>
      <c r="L7332" s="10">
        <v>85</v>
      </c>
      <c r="M7332" s="6" t="s">
        <v>425</v>
      </c>
      <c r="N7332" s="6">
        <f>IF(OR($G7332="FCC",$G7332="Hydrocracker",$G7332="Reformer"),IF(COUNTIFS($D:$D,$D7332,$A:$A,$A7332,$B:$B,$B7332,$G:$G,"CDU",$J:$J,"PLANNED")&gt;0,"tied","standalone"),"")</f>
        <v/>
      </c>
    </row>
    <row r="7333" spans="1:14">
      <c r="A7333" s="6">
        <v>2026</v>
      </c>
      <c r="B7333" s="6">
        <v>3</v>
      </c>
      <c r="C7333" s="6" t="s">
        <v>62</v>
      </c>
      <c r="D7333" s="6" t="s">
        <v>49</v>
      </c>
      <c r="E7333" s="6" t="s">
        <v>438</v>
      </c>
      <c r="F7333" s="6" t="str">
        <f>IF($M7333="PADD I","PADD 1",IF($M7333="PADD II","PADD 2",IF($M7333="PADD III","PADD 3",IF($M7333="PADD IV","PADD 4",IF($M7333="PADD V","PADD 5","")))))</f>
        <v>PADD 2</v>
      </c>
      <c r="G7333" s="6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6" t="s">
        <v>44</v>
      </c>
      <c r="I7333" s="6" t="s">
        <v>746</v>
      </c>
      <c r="J7333" s="6" t="s">
        <v>398</v>
      </c>
      <c r="K7333" s="10">
        <v>55.25</v>
      </c>
      <c r="L7333" s="10">
        <v>85</v>
      </c>
      <c r="M7333" s="6" t="s">
        <v>425</v>
      </c>
      <c r="N7333" s="6">
        <f>IF(OR($G7333="FCC",$G7333="Hydrocracker",$G7333="Reformer"),IF(COUNTIFS($D:$D,$D7333,$A:$A,$A7333,$B:$B,$B7333,$G:$G,"CDU",$J:$J,"PLANNED")&gt;0,"tied","standalone"),"")</f>
        <v/>
      </c>
    </row>
    <row r="7334" spans="1:14">
      <c r="A7334" s="6">
        <v>2026</v>
      </c>
      <c r="B7334" s="6">
        <v>3</v>
      </c>
      <c r="C7334" s="6" t="s">
        <v>62</v>
      </c>
      <c r="D7334" s="6" t="s">
        <v>576</v>
      </c>
      <c r="E7334" s="6" t="s">
        <v>455</v>
      </c>
      <c r="F7334" s="6" t="str">
        <f>IF($M7334="PADD I","PADD 1",IF($M7334="PADD II","PADD 2",IF($M7334="PADD III","PADD 3",IF($M7334="PADD IV","PADD 4",IF($M7334="PADD V","PADD 5","")))))</f>
        <v>PADD 3</v>
      </c>
      <c r="G7334" s="6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6" t="s">
        <v>39</v>
      </c>
      <c r="I7334" s="6" t="s">
        <v>399</v>
      </c>
      <c r="J7334" s="6" t="s">
        <v>394</v>
      </c>
      <c r="K7334" s="10">
        <v>54.6</v>
      </c>
      <c r="L7334" s="10">
        <v>210</v>
      </c>
      <c r="M7334" s="6" t="s">
        <v>421</v>
      </c>
      <c r="N7334" s="6">
        <f>IF(OR($G7334="FCC",$G7334="Hydrocracker",$G7334="Reformer"),IF(COUNTIFS($D:$D,$D7334,$A:$A,$A7334,$B:$B,$B7334,$G:$G,"CDU",$J:$J,"PLANNED")&gt;0,"tied","standalone"),"")</f>
        <v/>
      </c>
    </row>
    <row r="7335" spans="1:14">
      <c r="A7335" s="6">
        <v>2026</v>
      </c>
      <c r="B7335" s="6">
        <v>3</v>
      </c>
      <c r="C7335" s="6" t="s">
        <v>62</v>
      </c>
      <c r="D7335" s="6" t="s">
        <v>370</v>
      </c>
      <c r="E7335" s="6" t="s">
        <v>431</v>
      </c>
      <c r="F7335" s="6" t="str">
        <f>IF($M7335="PADD I","PADD 1",IF($M7335="PADD II","PADD 2",IF($M7335="PADD III","PADD 3",IF($M7335="PADD IV","PADD 4",IF($M7335="PADD V","PADD 5","")))))</f>
        <v>PADD 2</v>
      </c>
      <c r="G7335" s="6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6" t="s">
        <v>39</v>
      </c>
      <c r="I7335" s="6" t="s">
        <v>82</v>
      </c>
      <c r="J7335" s="6" t="s">
        <v>398</v>
      </c>
      <c r="K7335" s="10">
        <v>53.25</v>
      </c>
      <c r="L7335" s="10">
        <v>75</v>
      </c>
      <c r="M7335" s="6" t="s">
        <v>425</v>
      </c>
      <c r="N7335" s="6">
        <f>IF(OR($G7335="FCC",$G7335="Hydrocracker",$G7335="Reformer"),IF(COUNTIFS($D:$D,$D7335,$A:$A,$A7335,$B:$B,$B7335,$G:$G,"CDU",$J:$J,"PLANNED")&gt;0,"tied","standalone"),"")</f>
        <v/>
      </c>
    </row>
    <row r="7336" spans="1:14">
      <c r="A7336" s="6">
        <v>2026</v>
      </c>
      <c r="B7336" s="6">
        <v>3</v>
      </c>
      <c r="C7336" s="6" t="s">
        <v>62</v>
      </c>
      <c r="D7336" s="6" t="s">
        <v>382</v>
      </c>
      <c r="E7336" s="6" t="s">
        <v>431</v>
      </c>
      <c r="F7336" s="6" t="str">
        <f>IF($M7336="PADD I","PADD 1",IF($M7336="PADD II","PADD 2",IF($M7336="PADD III","PADD 3",IF($M7336="PADD IV","PADD 4",IF($M7336="PADD V","PADD 5","")))))</f>
        <v>PADD 3</v>
      </c>
      <c r="G7336" s="6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6" t="s">
        <v>39</v>
      </c>
      <c r="I7336" s="6" t="s">
        <v>587</v>
      </c>
      <c r="J7336" s="6" t="s">
        <v>398</v>
      </c>
      <c r="K7336" s="10">
        <v>47.85</v>
      </c>
      <c r="L7336" s="10">
        <v>165</v>
      </c>
      <c r="M7336" s="6" t="s">
        <v>421</v>
      </c>
      <c r="N7336" s="6">
        <f>IF(OR($G7336="FCC",$G7336="Hydrocracker",$G7336="Reformer"),IF(COUNTIFS($D:$D,$D7336,$A:$A,$A7336,$B:$B,$B7336,$G:$G,"CDU",$J:$J,"PLANNED")&gt;0,"tied","standalone"),"")</f>
        <v/>
      </c>
    </row>
    <row r="7337" spans="1:14">
      <c r="A7337" s="6">
        <v>2026</v>
      </c>
      <c r="B7337" s="6">
        <v>3</v>
      </c>
      <c r="C7337" s="6" t="s">
        <v>62</v>
      </c>
      <c r="D7337" s="6" t="s">
        <v>576</v>
      </c>
      <c r="E7337" s="6" t="s">
        <v>455</v>
      </c>
      <c r="F7337" s="6" t="str">
        <f>IF($M7337="PADD I","PADD 1",IF($M7337="PADD II","PADD 2",IF($M7337="PADD III","PADD 3",IF($M7337="PADD IV","PADD 4",IF($M7337="PADD V","PADD 5","")))))</f>
        <v>PADD 3</v>
      </c>
      <c r="G7337" s="6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6" t="s">
        <v>428</v>
      </c>
      <c r="I7337" s="6" t="s">
        <v>699</v>
      </c>
      <c r="J7337" s="6" t="s">
        <v>394</v>
      </c>
      <c r="K7337" s="10">
        <v>44.72</v>
      </c>
      <c r="L7337" s="10">
        <v>172</v>
      </c>
      <c r="M7337" s="6" t="s">
        <v>421</v>
      </c>
      <c r="N7337" s="6">
        <f>IF(OR($G7337="FCC",$G7337="Hydrocracker",$G7337="Reformer"),IF(COUNTIFS($D:$D,$D7337,$A:$A,$A7337,$B:$B,$B7337,$G:$G,"CDU",$J:$J,"PLANNED")&gt;0,"tied","standalone"),"")</f>
        <v/>
      </c>
    </row>
    <row r="7338" spans="1:14">
      <c r="A7338" s="6">
        <v>2026</v>
      </c>
      <c r="B7338" s="6">
        <v>3</v>
      </c>
      <c r="C7338" s="6" t="s">
        <v>62</v>
      </c>
      <c r="D7338" s="6" t="s">
        <v>576</v>
      </c>
      <c r="E7338" s="6" t="s">
        <v>455</v>
      </c>
      <c r="F7338" s="6" t="str">
        <f>IF($M7338="PADD I","PADD 1",IF($M7338="PADD II","PADD 2",IF($M7338="PADD III","PADD 3",IF($M7338="PADD IV","PADD 4",IF($M7338="PADD V","PADD 5","")))))</f>
        <v>PADD 3</v>
      </c>
      <c r="G7338" s="6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6" t="s">
        <v>428</v>
      </c>
      <c r="I7338" s="6" t="s">
        <v>699</v>
      </c>
      <c r="J7338" s="6" t="s">
        <v>394</v>
      </c>
      <c r="K7338" s="10">
        <v>44.72</v>
      </c>
      <c r="L7338" s="10">
        <v>172</v>
      </c>
      <c r="M7338" s="6" t="s">
        <v>421</v>
      </c>
      <c r="N7338" s="6">
        <f>IF(OR($G7338="FCC",$G7338="Hydrocracker",$G7338="Reformer"),IF(COUNTIFS($D:$D,$D7338,$A:$A,$A7338,$B:$B,$B7338,$G:$G,"CDU",$J:$J,"PLANNED")&gt;0,"tied","standalone"),"")</f>
        <v/>
      </c>
    </row>
    <row r="7339" spans="1:14">
      <c r="A7339" s="6">
        <v>2026</v>
      </c>
      <c r="B7339" s="6">
        <v>3</v>
      </c>
      <c r="C7339" s="6" t="s">
        <v>62</v>
      </c>
      <c r="D7339" s="6" t="s">
        <v>377</v>
      </c>
      <c r="E7339" s="6" t="s">
        <v>466</v>
      </c>
      <c r="F7339" s="6" t="str">
        <f>IF($M7339="PADD I","PADD 1",IF($M7339="PADD II","PADD 2",IF($M7339="PADD III","PADD 3",IF($M7339="PADD IV","PADD 4",IF($M7339="PADD V","PADD 5","")))))</f>
        <v>PADD 2</v>
      </c>
      <c r="G7339" s="6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6" t="s">
        <v>39</v>
      </c>
      <c r="I7339" s="6" t="s">
        <v>92</v>
      </c>
      <c r="J7339" s="6" t="s">
        <v>398</v>
      </c>
      <c r="K7339" s="10">
        <v>44.4</v>
      </c>
      <c r="L7339" s="10">
        <v>60</v>
      </c>
      <c r="M7339" s="6" t="s">
        <v>425</v>
      </c>
      <c r="N7339" s="6">
        <f>IF(OR($G7339="FCC",$G7339="Hydrocracker",$G7339="Reformer"),IF(COUNTIFS($D:$D,$D7339,$A:$A,$A7339,$B:$B,$B7339,$G:$G,"CDU",$J:$J,"PLANNED")&gt;0,"tied","standalone"),"")</f>
        <v/>
      </c>
    </row>
    <row r="7340" spans="1:14">
      <c r="A7340" s="6">
        <v>2026</v>
      </c>
      <c r="B7340" s="6">
        <v>3</v>
      </c>
      <c r="C7340" s="6" t="s">
        <v>62</v>
      </c>
      <c r="D7340" s="6" t="s">
        <v>377</v>
      </c>
      <c r="E7340" s="6" t="s">
        <v>466</v>
      </c>
      <c r="F7340" s="6" t="str">
        <f>IF($M7340="PADD I","PADD 1",IF($M7340="PADD II","PADD 2",IF($M7340="PADD III","PADD 3",IF($M7340="PADD IV","PADD 4",IF($M7340="PADD V","PADD 5","")))))</f>
        <v>PADD 2</v>
      </c>
      <c r="G7340" s="6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6" t="s">
        <v>426</v>
      </c>
      <c r="I7340" s="6" t="s">
        <v>1291</v>
      </c>
      <c r="J7340" s="6" t="s">
        <v>398</v>
      </c>
      <c r="K7340" s="10">
        <v>42.92</v>
      </c>
      <c r="L7340" s="10">
        <v>58</v>
      </c>
      <c r="M7340" s="6" t="s">
        <v>425</v>
      </c>
      <c r="N7340" s="6" t="str">
        <f>IF(OR($G7340="FCC",$G7340="Hydrocracker",$G7340="Reformer"),IF(COUNTIFS($D:$D,$D7340,$A:$A,$A7340,$B:$B,$B7340,$G:$G,"CDU",$J:$J,"PLANNED")&gt;0,"tied","standalone"),"")</f>
        <v>tied</v>
      </c>
    </row>
    <row r="7341" spans="1:14">
      <c r="A7341" s="6">
        <v>2026</v>
      </c>
      <c r="B7341" s="6">
        <v>3</v>
      </c>
      <c r="C7341" s="6" t="s">
        <v>62</v>
      </c>
      <c r="D7341" s="6" t="s">
        <v>576</v>
      </c>
      <c r="E7341" s="6" t="s">
        <v>455</v>
      </c>
      <c r="F7341" s="6" t="str">
        <f>IF($M7341="PADD I","PADD 1",IF($M7341="PADD II","PADD 2",IF($M7341="PADD III","PADD 3",IF($M7341="PADD IV","PADD 4",IF($M7341="PADD V","PADD 5","")))))</f>
        <v>PADD 3</v>
      </c>
      <c r="G7341" s="6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6" t="s">
        <v>39</v>
      </c>
      <c r="I7341" s="6" t="s">
        <v>399</v>
      </c>
      <c r="J7341" s="6" t="s">
        <v>394</v>
      </c>
      <c r="K7341" s="10">
        <v>42</v>
      </c>
      <c r="L7341" s="10">
        <v>100</v>
      </c>
      <c r="M7341" s="6" t="s">
        <v>421</v>
      </c>
      <c r="N7341" s="6">
        <f>IF(OR($G7341="FCC",$G7341="Hydrocracker",$G7341="Reformer"),IF(COUNTIFS($D:$D,$D7341,$A:$A,$A7341,$B:$B,$B7341,$G:$G,"CDU",$J:$J,"PLANNED")&gt;0,"tied","standalone"),"")</f>
        <v/>
      </c>
    </row>
    <row r="7342" spans="1:14">
      <c r="A7342" s="6">
        <v>2026</v>
      </c>
      <c r="B7342" s="6">
        <v>3</v>
      </c>
      <c r="C7342" s="6" t="s">
        <v>62</v>
      </c>
      <c r="D7342" s="6" t="s">
        <v>576</v>
      </c>
      <c r="E7342" s="6" t="s">
        <v>455</v>
      </c>
      <c r="F7342" s="6" t="str">
        <f>IF($M7342="PADD I","PADD 1",IF($M7342="PADD II","PADD 2",IF($M7342="PADD III","PADD 3",IF($M7342="PADD IV","PADD 4",IF($M7342="PADD V","PADD 5","")))))</f>
        <v>PADD 3</v>
      </c>
      <c r="G7342" s="6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6" t="s">
        <v>494</v>
      </c>
      <c r="I7342" s="6" t="s">
        <v>400</v>
      </c>
      <c r="J7342" s="6" t="s">
        <v>398</v>
      </c>
      <c r="K7342" s="10">
        <v>39.15</v>
      </c>
      <c r="L7342" s="10">
        <v>45</v>
      </c>
      <c r="M7342" s="6" t="s">
        <v>421</v>
      </c>
      <c r="N7342" s="6" t="str">
        <f>IF(OR($G7342="FCC",$G7342="Hydrocracker",$G7342="Reformer"),IF(COUNTIFS($D:$D,$D7342,$A:$A,$A7342,$B:$B,$B7342,$G:$G,"CDU",$J:$J,"PLANNED")&gt;0,"tied","standalone"),"")</f>
        <v>standalone</v>
      </c>
    </row>
    <row r="7343" spans="1:14">
      <c r="A7343" s="6">
        <v>2026</v>
      </c>
      <c r="B7343" s="6">
        <v>3</v>
      </c>
      <c r="C7343" s="6" t="s">
        <v>62</v>
      </c>
      <c r="D7343" s="6" t="s">
        <v>576</v>
      </c>
      <c r="E7343" s="6" t="s">
        <v>455</v>
      </c>
      <c r="F7343" s="6" t="str">
        <f>IF($M7343="PADD I","PADD 1",IF($M7343="PADD II","PADD 2",IF($M7343="PADD III","PADD 3",IF($M7343="PADD IV","PADD 4",IF($M7343="PADD V","PADD 5","")))))</f>
        <v>PADD 3</v>
      </c>
      <c r="G7343" s="6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6" t="s">
        <v>39</v>
      </c>
      <c r="I7343" s="6" t="s">
        <v>691</v>
      </c>
      <c r="J7343" s="6" t="s">
        <v>394</v>
      </c>
      <c r="K7343" s="10">
        <v>39</v>
      </c>
      <c r="L7343" s="10">
        <v>150</v>
      </c>
      <c r="M7343" s="6" t="s">
        <v>421</v>
      </c>
      <c r="N7343" s="6">
        <f>IF(OR($G7343="FCC",$G7343="Hydrocracker",$G7343="Reformer"),IF(COUNTIFS($D:$D,$D7343,$A:$A,$A7343,$B:$B,$B7343,$G:$G,"CDU",$J:$J,"PLANNED")&gt;0,"tied","standalone"),"")</f>
        <v/>
      </c>
    </row>
    <row r="7344" spans="1:14">
      <c r="A7344" s="6">
        <v>2026</v>
      </c>
      <c r="B7344" s="6">
        <v>3</v>
      </c>
      <c r="C7344" s="6" t="s">
        <v>62</v>
      </c>
      <c r="D7344" s="6" t="s">
        <v>1110</v>
      </c>
      <c r="E7344" s="6" t="s">
        <v>1089</v>
      </c>
      <c r="F7344" s="6" t="str">
        <f>IF($M7344="PADD I","PADD 1",IF($M7344="PADD II","PADD 2",IF($M7344="PADD III","PADD 3",IF($M7344="PADD IV","PADD 4",IF($M7344="PADD V","PADD 5","")))))</f>
        <v>PADD 2</v>
      </c>
      <c r="G7344" s="6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6" t="s">
        <v>426</v>
      </c>
      <c r="I7344" s="6" t="s">
        <v>106</v>
      </c>
      <c r="J7344" s="6" t="s">
        <v>398</v>
      </c>
      <c r="K7344" s="10">
        <v>38.22</v>
      </c>
      <c r="L7344" s="10">
        <v>98</v>
      </c>
      <c r="M7344" s="6" t="s">
        <v>425</v>
      </c>
      <c r="N7344" s="6" t="str">
        <f>IF(OR($G7344="FCC",$G7344="Hydrocracker",$G7344="Reformer"),IF(COUNTIFS($D:$D,$D7344,$A:$A,$A7344,$B:$B,$B7344,$G:$G,"CDU",$J:$J,"PLANNED")&gt;0,"tied","standalone"),"")</f>
        <v>tied</v>
      </c>
    </row>
    <row r="7345" spans="1:14">
      <c r="A7345" s="6">
        <v>2026</v>
      </c>
      <c r="B7345" s="6">
        <v>3</v>
      </c>
      <c r="C7345" s="6" t="s">
        <v>62</v>
      </c>
      <c r="D7345" s="6" t="s">
        <v>1110</v>
      </c>
      <c r="E7345" s="6" t="s">
        <v>1089</v>
      </c>
      <c r="F7345" s="6" t="str">
        <f>IF($M7345="PADD I","PADD 1",IF($M7345="PADD II","PADD 2",IF($M7345="PADD III","PADD 3",IF($M7345="PADD IV","PADD 4",IF($M7345="PADD V","PADD 5","")))))</f>
        <v>PADD 2</v>
      </c>
      <c r="G7345" s="6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6" t="s">
        <v>428</v>
      </c>
      <c r="I7345" s="6" t="s">
        <v>481</v>
      </c>
      <c r="J7345" s="6" t="s">
        <v>398</v>
      </c>
      <c r="K7345" s="10">
        <v>37.05</v>
      </c>
      <c r="L7345" s="10">
        <v>95</v>
      </c>
      <c r="M7345" s="6" t="s">
        <v>425</v>
      </c>
      <c r="N7345" s="6">
        <f>IF(OR($G7345="FCC",$G7345="Hydrocracker",$G7345="Reformer"),IF(COUNTIFS($D:$D,$D7345,$A:$A,$A7345,$B:$B,$B7345,$G:$G,"CDU",$J:$J,"PLANNED")&gt;0,"tied","standalone"),"")</f>
        <v/>
      </c>
    </row>
    <row r="7346" spans="1:14">
      <c r="A7346" s="6">
        <v>2026</v>
      </c>
      <c r="B7346" s="6">
        <v>3</v>
      </c>
      <c r="C7346" s="6" t="s">
        <v>62</v>
      </c>
      <c r="D7346" s="6" t="s">
        <v>437</v>
      </c>
      <c r="E7346" s="6" t="s">
        <v>438</v>
      </c>
      <c r="F7346" s="6" t="str">
        <f>IF($M7346="PADD I","PADD 1",IF($M7346="PADD II","PADD 2",IF($M7346="PADD III","PADD 3",IF($M7346="PADD IV","PADD 4",IF($M7346="PADD V","PADD 5","")))))</f>
        <v>PADD 3</v>
      </c>
      <c r="G7346" s="6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6" t="s">
        <v>426</v>
      </c>
      <c r="I7346" s="6" t="s">
        <v>522</v>
      </c>
      <c r="J7346" s="6" t="s">
        <v>398</v>
      </c>
      <c r="K7346" s="10">
        <v>36.4</v>
      </c>
      <c r="L7346" s="10">
        <v>140</v>
      </c>
      <c r="M7346" s="6" t="s">
        <v>421</v>
      </c>
      <c r="N7346" s="6" t="str">
        <f>IF(OR($G7346="FCC",$G7346="Hydrocracker",$G7346="Reformer"),IF(COUNTIFS($D:$D,$D7346,$A:$A,$A7346,$B:$B,$B7346,$G:$G,"CDU",$J:$J,"PLANNED")&gt;0,"tied","standalone"),"")</f>
        <v>tied</v>
      </c>
    </row>
    <row r="7347" spans="1:14">
      <c r="A7347" s="6">
        <v>2026</v>
      </c>
      <c r="B7347" s="6">
        <v>3</v>
      </c>
      <c r="C7347" s="6" t="s">
        <v>62</v>
      </c>
      <c r="D7347" s="6" t="s">
        <v>49</v>
      </c>
      <c r="E7347" s="6" t="s">
        <v>438</v>
      </c>
      <c r="F7347" s="6" t="str">
        <f>IF($M7347="PADD I","PADD 1",IF($M7347="PADD II","PADD 2",IF($M7347="PADD III","PADD 3",IF($M7347="PADD IV","PADD 4",IF($M7347="PADD V","PADD 5","")))))</f>
        <v>PADD 2</v>
      </c>
      <c r="G7347" s="6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6" t="s">
        <v>44</v>
      </c>
      <c r="I7347" s="6" t="s">
        <v>791</v>
      </c>
      <c r="J7347" s="6" t="s">
        <v>398</v>
      </c>
      <c r="K7347" s="10">
        <v>34.45</v>
      </c>
      <c r="L7347" s="10">
        <v>53</v>
      </c>
      <c r="M7347" s="6" t="s">
        <v>425</v>
      </c>
      <c r="N7347" s="6">
        <f>IF(OR($G7347="FCC",$G7347="Hydrocracker",$G7347="Reformer"),IF(COUNTIFS($D:$D,$D7347,$A:$A,$A7347,$B:$B,$B7347,$G:$G,"CDU",$J:$J,"PLANNED")&gt;0,"tied","standalone"),"")</f>
        <v/>
      </c>
    </row>
    <row r="7348" spans="1:14">
      <c r="A7348" s="6">
        <v>2026</v>
      </c>
      <c r="B7348" s="6">
        <v>3</v>
      </c>
      <c r="C7348" s="6" t="s">
        <v>62</v>
      </c>
      <c r="D7348" s="6" t="s">
        <v>1113</v>
      </c>
      <c r="E7348" s="6" t="s">
        <v>438</v>
      </c>
      <c r="F7348" s="6" t="str">
        <f>IF($M7348="PADD I","PADD 1",IF($M7348="PADD II","PADD 2",IF($M7348="PADD III","PADD 3",IF($M7348="PADD IV","PADD 4",IF($M7348="PADD V","PADD 5","")))))</f>
        <v>PADD 2</v>
      </c>
      <c r="G7348" s="6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6" t="s">
        <v>44</v>
      </c>
      <c r="I7348" s="6" t="s">
        <v>543</v>
      </c>
      <c r="J7348" s="6" t="s">
        <v>394</v>
      </c>
      <c r="K7348" s="10">
        <v>34</v>
      </c>
      <c r="L7348" s="10">
        <v>34</v>
      </c>
      <c r="M7348" s="6" t="s">
        <v>425</v>
      </c>
      <c r="N7348" s="6">
        <f>IF(OR($G7348="FCC",$G7348="Hydrocracker",$G7348="Reformer"),IF(COUNTIFS($D:$D,$D7348,$A:$A,$A7348,$B:$B,$B7348,$G:$G,"CDU",$J:$J,"PLANNED")&gt;0,"tied","standalone"),"")</f>
        <v/>
      </c>
    </row>
    <row r="7349" spans="1:14">
      <c r="A7349" s="6">
        <v>2026</v>
      </c>
      <c r="B7349" s="6">
        <v>3</v>
      </c>
      <c r="C7349" s="6" t="s">
        <v>62</v>
      </c>
      <c r="D7349" s="6" t="s">
        <v>49</v>
      </c>
      <c r="E7349" s="6" t="s">
        <v>438</v>
      </c>
      <c r="F7349" s="6" t="str">
        <f>IF($M7349="PADD I","PADD 1",IF($M7349="PADD II","PADD 2",IF($M7349="PADD III","PADD 3",IF($M7349="PADD IV","PADD 4",IF($M7349="PADD V","PADD 5","")))))</f>
        <v>PADD 2</v>
      </c>
      <c r="G7349" s="6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6" t="s">
        <v>428</v>
      </c>
      <c r="I7349" s="6" t="s">
        <v>481</v>
      </c>
      <c r="J7349" s="6" t="s">
        <v>398</v>
      </c>
      <c r="K7349" s="10">
        <v>33.8</v>
      </c>
      <c r="L7349" s="10">
        <v>65</v>
      </c>
      <c r="M7349" s="6" t="s">
        <v>425</v>
      </c>
      <c r="N7349" s="6">
        <f>IF(OR($G7349="FCC",$G7349="Hydrocracker",$G7349="Reformer"),IF(COUNTIFS($D:$D,$D7349,$A:$A,$A7349,$B:$B,$B7349,$G:$G,"CDU",$J:$J,"PLANNED")&gt;0,"tied","standalone"),"")</f>
        <v/>
      </c>
    </row>
    <row r="7350" spans="1:14">
      <c r="A7350" s="6">
        <v>2026</v>
      </c>
      <c r="B7350" s="6">
        <v>3</v>
      </c>
      <c r="C7350" s="6" t="s">
        <v>62</v>
      </c>
      <c r="D7350" s="6" t="s">
        <v>375</v>
      </c>
      <c r="E7350" s="6" t="s">
        <v>435</v>
      </c>
      <c r="F7350" s="6" t="str">
        <f>IF($M7350="PADD I","PADD 1",IF($M7350="PADD II","PADD 2",IF($M7350="PADD III","PADD 3",IF($M7350="PADD IV","PADD 4",IF($M7350="PADD V","PADD 5","")))))</f>
        <v>PADD 5</v>
      </c>
      <c r="G7350" s="6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6" t="s">
        <v>428</v>
      </c>
      <c r="I7350" s="6" t="s">
        <v>481</v>
      </c>
      <c r="J7350" s="6" t="s">
        <v>394</v>
      </c>
      <c r="K7350" s="10">
        <v>31.5</v>
      </c>
      <c r="L7350" s="10">
        <v>31.5</v>
      </c>
      <c r="M7350" s="6" t="s">
        <v>436</v>
      </c>
      <c r="N7350" s="6">
        <f>IF(OR($G7350="FCC",$G7350="Hydrocracker",$G7350="Reformer"),IF(COUNTIFS($D:$D,$D7350,$A:$A,$A7350,$B:$B,$B7350,$G:$G,"CDU",$J:$J,"PLANNED")&gt;0,"tied","standalone"),"")</f>
        <v/>
      </c>
    </row>
    <row r="7351" spans="1:14">
      <c r="A7351" s="6">
        <v>2026</v>
      </c>
      <c r="B7351" s="6">
        <v>3</v>
      </c>
      <c r="C7351" s="6" t="s">
        <v>62</v>
      </c>
      <c r="D7351" s="6" t="s">
        <v>382</v>
      </c>
      <c r="E7351" s="6" t="s">
        <v>431</v>
      </c>
      <c r="F7351" s="6" t="str">
        <f>IF($M7351="PADD I","PADD 1",IF($M7351="PADD II","PADD 2",IF($M7351="PADD III","PADD 3",IF($M7351="PADD IV","PADD 4",IF($M7351="PADD V","PADD 5","")))))</f>
        <v>PADD 3</v>
      </c>
      <c r="G7351" s="6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6" t="s">
        <v>428</v>
      </c>
      <c r="I7351" s="6" t="s">
        <v>646</v>
      </c>
      <c r="J7351" s="6" t="s">
        <v>398</v>
      </c>
      <c r="K7351" s="10">
        <v>29.4</v>
      </c>
      <c r="L7351" s="10">
        <v>35</v>
      </c>
      <c r="M7351" s="6" t="s">
        <v>421</v>
      </c>
      <c r="N7351" s="6">
        <f>IF(OR($G7351="FCC",$G7351="Hydrocracker",$G7351="Reformer"),IF(COUNTIFS($D:$D,$D7351,$A:$A,$A7351,$B:$B,$B7351,$G:$G,"CDU",$J:$J,"PLANNED")&gt;0,"tied","standalone"),"")</f>
        <v/>
      </c>
    </row>
    <row r="7352" spans="1:14">
      <c r="A7352" s="6">
        <v>2026</v>
      </c>
      <c r="B7352" s="6">
        <v>3</v>
      </c>
      <c r="C7352" s="6" t="s">
        <v>62</v>
      </c>
      <c r="D7352" s="6" t="s">
        <v>689</v>
      </c>
      <c r="E7352" s="6" t="s">
        <v>502</v>
      </c>
      <c r="F7352" s="6" t="str">
        <f>IF($M7352="PADD I","PADD 1",IF($M7352="PADD II","PADD 2",IF($M7352="PADD III","PADD 3",IF($M7352="PADD IV","PADD 4",IF($M7352="PADD V","PADD 5","")))))</f>
        <v>PADD 5</v>
      </c>
      <c r="G7352" s="6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6" t="s">
        <v>39</v>
      </c>
      <c r="I7352" s="6" t="s">
        <v>690</v>
      </c>
      <c r="J7352" s="6" t="s">
        <v>398</v>
      </c>
      <c r="K7352" s="10">
        <v>29</v>
      </c>
      <c r="L7352" s="10">
        <v>29</v>
      </c>
      <c r="M7352" s="6" t="s">
        <v>436</v>
      </c>
      <c r="N7352" s="6">
        <f>IF(OR($G7352="FCC",$G7352="Hydrocracker",$G7352="Reformer"),IF(COUNTIFS($D:$D,$D7352,$A:$A,$A7352,$B:$B,$B7352,$G:$G,"CDU",$J:$J,"PLANNED")&gt;0,"tied","standalone"),"")</f>
        <v/>
      </c>
    </row>
    <row r="7353" spans="1:14">
      <c r="A7353" s="6">
        <v>2026</v>
      </c>
      <c r="B7353" s="6">
        <v>3</v>
      </c>
      <c r="C7353" s="6" t="s">
        <v>62</v>
      </c>
      <c r="D7353" s="6" t="s">
        <v>422</v>
      </c>
      <c r="E7353" s="6" t="s">
        <v>423</v>
      </c>
      <c r="F7353" s="6" t="str">
        <f>IF($M7353="PADD I","PADD 1",IF($M7353="PADD II","PADD 2",IF($M7353="PADD III","PADD 3",IF($M7353="PADD IV","PADD 4",IF($M7353="PADD V","PADD 5","")))))</f>
        <v>PADD 2</v>
      </c>
      <c r="G7353" s="6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6" t="s">
        <v>39</v>
      </c>
      <c r="I7353" s="6" t="s">
        <v>424</v>
      </c>
      <c r="J7353" s="6" t="s">
        <v>398</v>
      </c>
      <c r="K7353" s="10">
        <v>28.2</v>
      </c>
      <c r="L7353" s="10">
        <v>30</v>
      </c>
      <c r="M7353" s="6" t="s">
        <v>425</v>
      </c>
      <c r="N7353" s="6">
        <f>IF(OR($G7353="FCC",$G7353="Hydrocracker",$G7353="Reformer"),IF(COUNTIFS($D:$D,$D7353,$A:$A,$A7353,$B:$B,$B7353,$G:$G,"CDU",$J:$J,"PLANNED")&gt;0,"tied","standalone"),"")</f>
        <v/>
      </c>
    </row>
    <row r="7354" spans="1:14">
      <c r="A7354" s="6">
        <v>2026</v>
      </c>
      <c r="B7354" s="6">
        <v>3</v>
      </c>
      <c r="C7354" s="6" t="s">
        <v>62</v>
      </c>
      <c r="D7354" s="6" t="s">
        <v>1110</v>
      </c>
      <c r="E7354" s="6" t="s">
        <v>1089</v>
      </c>
      <c r="F7354" s="6" t="str">
        <f>IF($M7354="PADD I","PADD 1",IF($M7354="PADD II","PADD 2",IF($M7354="PADD III","PADD 3",IF($M7354="PADD IV","PADD 4",IF($M7354="PADD V","PADD 5","")))))</f>
        <v>PADD 2</v>
      </c>
      <c r="G7354" s="6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6" t="s">
        <v>44</v>
      </c>
      <c r="I7354" s="6" t="s">
        <v>1230</v>
      </c>
      <c r="J7354" s="6" t="s">
        <v>398</v>
      </c>
      <c r="K7354" s="10">
        <v>27.69</v>
      </c>
      <c r="L7354" s="10">
        <v>71</v>
      </c>
      <c r="M7354" s="6" t="s">
        <v>425</v>
      </c>
      <c r="N7354" s="6">
        <f>IF(OR($G7354="FCC",$G7354="Hydrocracker",$G7354="Reformer"),IF(COUNTIFS($D:$D,$D7354,$A:$A,$A7354,$B:$B,$B7354,$G:$G,"CDU",$J:$J,"PLANNED")&gt;0,"tied","standalone"),"")</f>
        <v/>
      </c>
    </row>
    <row r="7355" spans="1:14">
      <c r="A7355" s="6">
        <v>2026</v>
      </c>
      <c r="B7355" s="6">
        <v>3</v>
      </c>
      <c r="C7355" s="6" t="s">
        <v>62</v>
      </c>
      <c r="D7355" s="6" t="s">
        <v>576</v>
      </c>
      <c r="E7355" s="6" t="s">
        <v>455</v>
      </c>
      <c r="F7355" s="6" t="str">
        <f>IF($M7355="PADD I","PADD 1",IF($M7355="PADD II","PADD 2",IF($M7355="PADD III","PADD 3",IF($M7355="PADD IV","PADD 4",IF($M7355="PADD V","PADD 5","")))))</f>
        <v>PADD 3</v>
      </c>
      <c r="G7355" s="6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6" t="s">
        <v>39</v>
      </c>
      <c r="I7355" s="6" t="s">
        <v>399</v>
      </c>
      <c r="J7355" s="6" t="s">
        <v>394</v>
      </c>
      <c r="K7355" s="10">
        <v>26</v>
      </c>
      <c r="L7355" s="10">
        <v>100</v>
      </c>
      <c r="M7355" s="6" t="s">
        <v>421</v>
      </c>
      <c r="N7355" s="6">
        <f>IF(OR($G7355="FCC",$G7355="Hydrocracker",$G7355="Reformer"),IF(COUNTIFS($D:$D,$D7355,$A:$A,$A7355,$B:$B,$B7355,$G:$G,"CDU",$J:$J,"PLANNED")&gt;0,"tied","standalone"),"")</f>
        <v/>
      </c>
    </row>
    <row r="7356" spans="1:14">
      <c r="A7356" s="6">
        <v>2026</v>
      </c>
      <c r="B7356" s="6">
        <v>3</v>
      </c>
      <c r="C7356" s="6" t="s">
        <v>62</v>
      </c>
      <c r="D7356" s="6" t="s">
        <v>576</v>
      </c>
      <c r="E7356" s="6" t="s">
        <v>455</v>
      </c>
      <c r="F7356" s="6" t="str">
        <f>IF($M7356="PADD I","PADD 1",IF($M7356="PADD II","PADD 2",IF($M7356="PADD III","PADD 3",IF($M7356="PADD IV","PADD 4",IF($M7356="PADD V","PADD 5","")))))</f>
        <v>PADD 3</v>
      </c>
      <c r="G7356" s="6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6" t="s">
        <v>485</v>
      </c>
      <c r="I7356" s="6" t="s">
        <v>1004</v>
      </c>
      <c r="J7356" s="6" t="s">
        <v>394</v>
      </c>
      <c r="K7356" s="10">
        <v>26</v>
      </c>
      <c r="L7356" s="10">
        <v>100</v>
      </c>
      <c r="M7356" s="6" t="s">
        <v>421</v>
      </c>
      <c r="N7356" s="6">
        <f>IF(OR($G7356="FCC",$G7356="Hydrocracker",$G7356="Reformer"),IF(COUNTIFS($D:$D,$D7356,$A:$A,$A7356,$B:$B,$B7356,$G:$G,"CDU",$J:$J,"PLANNED")&gt;0,"tied","standalone"),"")</f>
        <v/>
      </c>
    </row>
    <row r="7357" spans="1:14">
      <c r="A7357" s="6">
        <v>2026</v>
      </c>
      <c r="B7357" s="6">
        <v>3</v>
      </c>
      <c r="C7357" s="6" t="s">
        <v>62</v>
      </c>
      <c r="D7357" s="6" t="s">
        <v>712</v>
      </c>
      <c r="E7357" s="6" t="s">
        <v>602</v>
      </c>
      <c r="F7357" s="6" t="str">
        <f>IF($M7357="PADD I","PADD 1",IF($M7357="PADD II","PADD 2",IF($M7357="PADD III","PADD 3",IF($M7357="PADD IV","PADD 4",IF($M7357="PADD V","PADD 5","")))))</f>
        <v>PADD 3</v>
      </c>
      <c r="G7357" s="6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6" t="s">
        <v>44</v>
      </c>
      <c r="I7357" s="6" t="s">
        <v>977</v>
      </c>
      <c r="J7357" s="6" t="s">
        <v>398</v>
      </c>
      <c r="K7357" s="10">
        <v>25.5</v>
      </c>
      <c r="L7357" s="10">
        <v>25.5</v>
      </c>
      <c r="M7357" s="6" t="s">
        <v>421</v>
      </c>
      <c r="N7357" s="6">
        <f>IF(OR($G7357="FCC",$G7357="Hydrocracker",$G7357="Reformer"),IF(COUNTIFS($D:$D,$D7357,$A:$A,$A7357,$B:$B,$B7357,$G:$G,"CDU",$J:$J,"PLANNED")&gt;0,"tied","standalone"),"")</f>
        <v/>
      </c>
    </row>
    <row r="7358" spans="1:14">
      <c r="A7358" s="6">
        <v>2026</v>
      </c>
      <c r="B7358" s="6">
        <v>3</v>
      </c>
      <c r="C7358" s="6" t="s">
        <v>62</v>
      </c>
      <c r="D7358" s="6" t="s">
        <v>512</v>
      </c>
      <c r="E7358" s="6" t="s">
        <v>488</v>
      </c>
      <c r="F7358" s="6" t="str">
        <f>IF($M7358="PADD I","PADD 1",IF($M7358="PADD II","PADD 2",IF($M7358="PADD III","PADD 3",IF($M7358="PADD IV","PADD 4",IF($M7358="PADD V","PADD 5","")))))</f>
        <v>PADD 4</v>
      </c>
      <c r="G7358" s="6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6" t="s">
        <v>44</v>
      </c>
      <c r="I7358" s="6" t="s">
        <v>520</v>
      </c>
      <c r="J7358" s="6" t="s">
        <v>398</v>
      </c>
      <c r="K7358" s="10">
        <v>25.2</v>
      </c>
      <c r="L7358" s="10">
        <v>30</v>
      </c>
      <c r="M7358" s="6" t="s">
        <v>480</v>
      </c>
      <c r="N7358" s="6">
        <f>IF(OR($G7358="FCC",$G7358="Hydrocracker",$G7358="Reformer"),IF(COUNTIFS($D:$D,$D7358,$A:$A,$A7358,$B:$B,$B7358,$G:$G,"CDU",$J:$J,"PLANNED")&gt;0,"tied","standalone"),"")</f>
        <v/>
      </c>
    </row>
    <row r="7359" spans="1:14">
      <c r="A7359" s="6">
        <v>2026</v>
      </c>
      <c r="B7359" s="6">
        <v>3</v>
      </c>
      <c r="C7359" s="6" t="s">
        <v>62</v>
      </c>
      <c r="D7359" s="6" t="s">
        <v>712</v>
      </c>
      <c r="E7359" s="6" t="s">
        <v>602</v>
      </c>
      <c r="F7359" s="6" t="str">
        <f>IF($M7359="PADD I","PADD 1",IF($M7359="PADD II","PADD 2",IF($M7359="PADD III","PADD 3",IF($M7359="PADD IV","PADD 4",IF($M7359="PADD V","PADD 5","")))))</f>
        <v>PADD 3</v>
      </c>
      <c r="G7359" s="6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6" t="s">
        <v>426</v>
      </c>
      <c r="I7359" s="6" t="s">
        <v>106</v>
      </c>
      <c r="J7359" s="6" t="s">
        <v>398</v>
      </c>
      <c r="K7359" s="10">
        <v>25</v>
      </c>
      <c r="L7359" s="10">
        <v>25</v>
      </c>
      <c r="M7359" s="6" t="s">
        <v>421</v>
      </c>
      <c r="N7359" s="6" t="str">
        <f>IF(OR($G7359="FCC",$G7359="Hydrocracker",$G7359="Reformer"),IF(COUNTIFS($D:$D,$D7359,$A:$A,$A7359,$B:$B,$B7359,$G:$G,"CDU",$J:$J,"PLANNED")&gt;0,"tied","standalone"),"")</f>
        <v>tied</v>
      </c>
    </row>
    <row r="7360" spans="1:14">
      <c r="A7360" s="6">
        <v>2026</v>
      </c>
      <c r="B7360" s="6">
        <v>3</v>
      </c>
      <c r="C7360" s="6" t="s">
        <v>62</v>
      </c>
      <c r="D7360" s="6" t="s">
        <v>370</v>
      </c>
      <c r="E7360" s="6" t="s">
        <v>431</v>
      </c>
      <c r="F7360" s="6" t="str">
        <f>IF($M7360="PADD I","PADD 1",IF($M7360="PADD II","PADD 2",IF($M7360="PADD III","PADD 3",IF($M7360="PADD IV","PADD 4",IF($M7360="PADD V","PADD 5","")))))</f>
        <v>PADD 2</v>
      </c>
      <c r="G7360" s="6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6" t="s">
        <v>426</v>
      </c>
      <c r="I7360" s="6" t="s">
        <v>106</v>
      </c>
      <c r="J7360" s="6" t="s">
        <v>398</v>
      </c>
      <c r="K7360" s="10">
        <v>25</v>
      </c>
      <c r="L7360" s="10">
        <v>25</v>
      </c>
      <c r="M7360" s="6" t="s">
        <v>425</v>
      </c>
      <c r="N7360" s="6" t="str">
        <f>IF(OR($G7360="FCC",$G7360="Hydrocracker",$G7360="Reformer"),IF(COUNTIFS($D:$D,$D7360,$A:$A,$A7360,$B:$B,$B7360,$G:$G,"CDU",$J:$J,"PLANNED")&gt;0,"tied","standalone"),"")</f>
        <v>tied</v>
      </c>
    </row>
    <row r="7361" spans="1:14">
      <c r="A7361" s="6">
        <v>2026</v>
      </c>
      <c r="B7361" s="6">
        <v>3</v>
      </c>
      <c r="C7361" s="6" t="s">
        <v>62</v>
      </c>
      <c r="D7361" s="6" t="s">
        <v>375</v>
      </c>
      <c r="E7361" s="6" t="s">
        <v>435</v>
      </c>
      <c r="F7361" s="6" t="str">
        <f>IF($M7361="PADD I","PADD 1",IF($M7361="PADD II","PADD 2",IF($M7361="PADD III","PADD 3",IF($M7361="PADD IV","PADD 4",IF($M7361="PADD V","PADD 5","")))))</f>
        <v>PADD 5</v>
      </c>
      <c r="G7361" s="6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6" t="s">
        <v>485</v>
      </c>
      <c r="I7361" s="6" t="s">
        <v>863</v>
      </c>
      <c r="J7361" s="6" t="s">
        <v>394</v>
      </c>
      <c r="K7361" s="10">
        <v>25</v>
      </c>
      <c r="L7361" s="10">
        <v>25</v>
      </c>
      <c r="M7361" s="6" t="s">
        <v>436</v>
      </c>
      <c r="N7361" s="6">
        <f>IF(OR($G7361="FCC",$G7361="Hydrocracker",$G7361="Reformer"),IF(COUNTIFS($D:$D,$D7361,$A:$A,$A7361,$B:$B,$B7361,$G:$G,"CDU",$J:$J,"PLANNED")&gt;0,"tied","standalone"),"")</f>
        <v/>
      </c>
    </row>
    <row r="7362" spans="1:14">
      <c r="A7362" s="6">
        <v>2026</v>
      </c>
      <c r="B7362" s="6">
        <v>3</v>
      </c>
      <c r="C7362" s="6" t="s">
        <v>62</v>
      </c>
      <c r="D7362" s="6" t="s">
        <v>49</v>
      </c>
      <c r="E7362" s="6" t="s">
        <v>438</v>
      </c>
      <c r="F7362" s="6" t="str">
        <f>IF($M7362="PADD I","PADD 1",IF($M7362="PADD II","PADD 2",IF($M7362="PADD III","PADD 3",IF($M7362="PADD IV","PADD 4",IF($M7362="PADD V","PADD 5","")))))</f>
        <v>PADD 2</v>
      </c>
      <c r="G7362" s="6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6" t="s">
        <v>44</v>
      </c>
      <c r="I7362" s="6" t="s">
        <v>776</v>
      </c>
      <c r="J7362" s="6" t="s">
        <v>398</v>
      </c>
      <c r="K7362" s="10">
        <v>24.7</v>
      </c>
      <c r="L7362" s="10">
        <v>38</v>
      </c>
      <c r="M7362" s="6" t="s">
        <v>425</v>
      </c>
      <c r="N7362" s="6">
        <f>IF(OR($G7362="FCC",$G7362="Hydrocracker",$G7362="Reformer"),IF(COUNTIFS($D:$D,$D7362,$A:$A,$A7362,$B:$B,$B7362,$G:$G,"CDU",$J:$J,"PLANNED")&gt;0,"tied","standalone"),"")</f>
        <v/>
      </c>
    </row>
    <row r="7363" spans="1:14">
      <c r="A7363" s="6">
        <v>2026</v>
      </c>
      <c r="B7363" s="6">
        <v>3</v>
      </c>
      <c r="C7363" s="6" t="s">
        <v>62</v>
      </c>
      <c r="D7363" s="6" t="s">
        <v>712</v>
      </c>
      <c r="E7363" s="6" t="s">
        <v>602</v>
      </c>
      <c r="F7363" s="6" t="str">
        <f>IF($M7363="PADD I","PADD 1",IF($M7363="PADD II","PADD 2",IF($M7363="PADD III","PADD 3",IF($M7363="PADD IV","PADD 4",IF($M7363="PADD V","PADD 5","")))))</f>
        <v>PADD 3</v>
      </c>
      <c r="G7363" s="6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6" t="s">
        <v>428</v>
      </c>
      <c r="I7363" s="6" t="s">
        <v>481</v>
      </c>
      <c r="J7363" s="6" t="s">
        <v>398</v>
      </c>
      <c r="K7363" s="10">
        <v>24</v>
      </c>
      <c r="L7363" s="10">
        <v>24</v>
      </c>
      <c r="M7363" s="6" t="s">
        <v>421</v>
      </c>
      <c r="N7363" s="6">
        <f>IF(OR($G7363="FCC",$G7363="Hydrocracker",$G7363="Reformer"),IF(COUNTIFS($D:$D,$D7363,$A:$A,$A7363,$B:$B,$B7363,$G:$G,"CDU",$J:$J,"PLANNED")&gt;0,"tied","standalone"),"")</f>
        <v/>
      </c>
    </row>
    <row r="7364" spans="1:14">
      <c r="A7364" s="6">
        <v>2026</v>
      </c>
      <c r="B7364" s="6">
        <v>3</v>
      </c>
      <c r="C7364" s="6" t="s">
        <v>62</v>
      </c>
      <c r="D7364" s="6" t="s">
        <v>689</v>
      </c>
      <c r="E7364" s="6" t="s">
        <v>502</v>
      </c>
      <c r="F7364" s="6" t="str">
        <f>IF($M7364="PADD I","PADD 1",IF($M7364="PADD II","PADD 2",IF($M7364="PADD III","PADD 3",IF($M7364="PADD IV","PADD 4",IF($M7364="PADD V","PADD 5","")))))</f>
        <v>PADD 5</v>
      </c>
      <c r="G7364" s="6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6" t="s">
        <v>485</v>
      </c>
      <c r="I7364" s="6" t="s">
        <v>1146</v>
      </c>
      <c r="J7364" s="6" t="s">
        <v>398</v>
      </c>
      <c r="K7364" s="10">
        <v>24</v>
      </c>
      <c r="L7364" s="10">
        <v>24</v>
      </c>
      <c r="M7364" s="6" t="s">
        <v>436</v>
      </c>
      <c r="N7364" s="6">
        <f>IF(OR($G7364="FCC",$G7364="Hydrocracker",$G7364="Reformer"),IF(COUNTIFS($D:$D,$D7364,$A:$A,$A7364,$B:$B,$B7364,$G:$G,"CDU",$J:$J,"PLANNED")&gt;0,"tied","standalone"),"")</f>
        <v/>
      </c>
    </row>
    <row r="7365" spans="1:14">
      <c r="A7365" s="6">
        <v>2026</v>
      </c>
      <c r="B7365" s="6">
        <v>3</v>
      </c>
      <c r="C7365" s="6" t="s">
        <v>62</v>
      </c>
      <c r="D7365" s="6" t="s">
        <v>465</v>
      </c>
      <c r="E7365" s="6" t="s">
        <v>466</v>
      </c>
      <c r="F7365" s="6" t="str">
        <f>IF($M7365="PADD I","PADD 1",IF($M7365="PADD II","PADD 2",IF($M7365="PADD III","PADD 3",IF($M7365="PADD IV","PADD 4",IF($M7365="PADD V","PADD 5","")))))</f>
        <v>PADD 3</v>
      </c>
      <c r="G7365" s="6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6" t="s">
        <v>471</v>
      </c>
      <c r="I7365" s="6" t="s">
        <v>504</v>
      </c>
      <c r="J7365" s="6" t="s">
        <v>394</v>
      </c>
      <c r="K7365" s="10">
        <v>23.4</v>
      </c>
      <c r="L7365" s="10">
        <v>52</v>
      </c>
      <c r="M7365" s="6" t="s">
        <v>421</v>
      </c>
      <c r="N7365" s="6" t="str">
        <f>IF(OR($G7365="FCC",$G7365="Hydrocracker",$G7365="Reformer"),IF(COUNTIFS($D:$D,$D7365,$A:$A,$A7365,$B:$B,$B7365,$G:$G,"CDU",$J:$J,"PLANNED")&gt;0,"tied","standalone"),"")</f>
        <v>standalone</v>
      </c>
    </row>
    <row r="7366" spans="1:14">
      <c r="A7366" s="6">
        <v>2026</v>
      </c>
      <c r="B7366" s="6">
        <v>3</v>
      </c>
      <c r="C7366" s="6" t="s">
        <v>62</v>
      </c>
      <c r="D7366" s="6" t="s">
        <v>576</v>
      </c>
      <c r="E7366" s="6" t="s">
        <v>455</v>
      </c>
      <c r="F7366" s="6" t="str">
        <f>IF($M7366="PADD I","PADD 1",IF($M7366="PADD II","PADD 2",IF($M7366="PADD III","PADD 3",IF($M7366="PADD IV","PADD 4",IF($M7366="PADD V","PADD 5","")))))</f>
        <v>PADD 3</v>
      </c>
      <c r="G7366" s="6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6" t="s">
        <v>426</v>
      </c>
      <c r="I7366" s="6" t="s">
        <v>393</v>
      </c>
      <c r="J7366" s="6" t="s">
        <v>394</v>
      </c>
      <c r="K7366" s="10">
        <v>23.2</v>
      </c>
      <c r="L7366" s="10">
        <v>80</v>
      </c>
      <c r="M7366" s="6" t="s">
        <v>421</v>
      </c>
      <c r="N7366" s="6" t="str">
        <f>IF(OR($G7366="FCC",$G7366="Hydrocracker",$G7366="Reformer"),IF(COUNTIFS($D:$D,$D7366,$A:$A,$A7366,$B:$B,$B7366,$G:$G,"CDU",$J:$J,"PLANNED")&gt;0,"tied","standalone"),"")</f>
        <v>standalone</v>
      </c>
    </row>
    <row r="7367" spans="1:14">
      <c r="A7367" s="6">
        <v>2026</v>
      </c>
      <c r="B7367" s="6">
        <v>3</v>
      </c>
      <c r="C7367" s="6" t="s">
        <v>62</v>
      </c>
      <c r="D7367" s="6" t="s">
        <v>712</v>
      </c>
      <c r="E7367" s="6" t="s">
        <v>602</v>
      </c>
      <c r="F7367" s="6" t="str">
        <f>IF($M7367="PADD I","PADD 1",IF($M7367="PADD II","PADD 2",IF($M7367="PADD III","PADD 3",IF($M7367="PADD IV","PADD 4",IF($M7367="PADD V","PADD 5","")))))</f>
        <v>PADD 3</v>
      </c>
      <c r="G7367" s="6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6" t="s">
        <v>44</v>
      </c>
      <c r="I7367" s="6" t="s">
        <v>785</v>
      </c>
      <c r="J7367" s="6" t="s">
        <v>398</v>
      </c>
      <c r="K7367" s="10">
        <v>22.75</v>
      </c>
      <c r="L7367" s="10">
        <v>22.75</v>
      </c>
      <c r="M7367" s="6" t="s">
        <v>421</v>
      </c>
      <c r="N7367" s="6">
        <f>IF(OR($G7367="FCC",$G7367="Hydrocracker",$G7367="Reformer"),IF(COUNTIFS($D:$D,$D7367,$A:$A,$A7367,$B:$B,$B7367,$G:$G,"CDU",$J:$J,"PLANNED")&gt;0,"tied","standalone"),"")</f>
        <v/>
      </c>
    </row>
    <row r="7368" spans="1:14">
      <c r="A7368" s="6">
        <v>2026</v>
      </c>
      <c r="B7368" s="6">
        <v>3</v>
      </c>
      <c r="C7368" s="6" t="s">
        <v>62</v>
      </c>
      <c r="D7368" s="6" t="s">
        <v>1264</v>
      </c>
      <c r="E7368" s="6" t="s">
        <v>1265</v>
      </c>
      <c r="F7368" s="6" t="str">
        <f>IF($M7368="PADD I","PADD 1",IF($M7368="PADD II","PADD 2",IF($M7368="PADD III","PADD 3",IF($M7368="PADD IV","PADD 4",IF($M7368="PADD V","PADD 5","")))))</f>
        <v>PADD 1</v>
      </c>
      <c r="G7368" s="6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6" t="s">
        <v>39</v>
      </c>
      <c r="I7368" s="6" t="s">
        <v>132</v>
      </c>
      <c r="J7368" s="6" t="s">
        <v>394</v>
      </c>
      <c r="K7368" s="10">
        <v>21.84</v>
      </c>
      <c r="L7368" s="10">
        <v>56</v>
      </c>
      <c r="M7368" s="6" t="s">
        <v>463</v>
      </c>
      <c r="N7368" s="6">
        <f>IF(OR($G7368="FCC",$G7368="Hydrocracker",$G7368="Reformer"),IF(COUNTIFS($D:$D,$D7368,$A:$A,$A7368,$B:$B,$B7368,$G:$G,"CDU",$J:$J,"PLANNED")&gt;0,"tied","standalone"),"")</f>
        <v/>
      </c>
    </row>
    <row r="7369" spans="1:14">
      <c r="A7369" s="6">
        <v>2026</v>
      </c>
      <c r="B7369" s="6">
        <v>3</v>
      </c>
      <c r="C7369" s="6" t="s">
        <v>62</v>
      </c>
      <c r="D7369" s="6" t="s">
        <v>760</v>
      </c>
      <c r="E7369" s="6" t="s">
        <v>761</v>
      </c>
      <c r="F7369" s="6" t="str">
        <f>IF($M7369="PADD I","PADD 1",IF($M7369="PADD II","PADD 2",IF($M7369="PADD III","PADD 3",IF($M7369="PADD IV","PADD 4",IF($M7369="PADD V","PADD 5","")))))</f>
        <v>PADD 3</v>
      </c>
      <c r="G7369" s="6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6" t="s">
        <v>39</v>
      </c>
      <c r="I7369" s="6" t="s">
        <v>762</v>
      </c>
      <c r="J7369" s="6" t="s">
        <v>394</v>
      </c>
      <c r="K7369" s="10">
        <v>21.75</v>
      </c>
      <c r="L7369" s="10">
        <v>25</v>
      </c>
      <c r="M7369" s="6" t="s">
        <v>421</v>
      </c>
      <c r="N7369" s="6">
        <f>IF(OR($G7369="FCC",$G7369="Hydrocracker",$G7369="Reformer"),IF(COUNTIFS($D:$D,$D7369,$A:$A,$A7369,$B:$B,$B7369,$G:$G,"CDU",$J:$J,"PLANNED")&gt;0,"tied","standalone"),"")</f>
        <v/>
      </c>
    </row>
    <row r="7370" spans="1:14">
      <c r="A7370" s="6">
        <v>2026</v>
      </c>
      <c r="B7370" s="6">
        <v>3</v>
      </c>
      <c r="C7370" s="6" t="s">
        <v>62</v>
      </c>
      <c r="D7370" s="6" t="s">
        <v>712</v>
      </c>
      <c r="E7370" s="6" t="s">
        <v>602</v>
      </c>
      <c r="F7370" s="6" t="str">
        <f>IF($M7370="PADD I","PADD 1",IF($M7370="PADD II","PADD 2",IF($M7370="PADD III","PADD 3",IF($M7370="PADD IV","PADD 4",IF($M7370="PADD V","PADD 5","")))))</f>
        <v>PADD 3</v>
      </c>
      <c r="G7370" s="6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6" t="s">
        <v>471</v>
      </c>
      <c r="I7370" s="6" t="s">
        <v>1100</v>
      </c>
      <c r="J7370" s="6" t="s">
        <v>398</v>
      </c>
      <c r="K7370" s="10">
        <v>21</v>
      </c>
      <c r="L7370" s="10">
        <v>21</v>
      </c>
      <c r="M7370" s="6" t="s">
        <v>421</v>
      </c>
      <c r="N7370" s="6" t="str">
        <f>IF(OR($G7370="FCC",$G7370="Hydrocracker",$G7370="Reformer"),IF(COUNTIFS($D:$D,$D7370,$A:$A,$A7370,$B:$B,$B7370,$G:$G,"CDU",$J:$J,"PLANNED")&gt;0,"tied","standalone"),"")</f>
        <v>tied</v>
      </c>
    </row>
    <row r="7371" spans="1:14">
      <c r="A7371" s="6">
        <v>2026</v>
      </c>
      <c r="B7371" s="6">
        <v>3</v>
      </c>
      <c r="C7371" s="6" t="s">
        <v>62</v>
      </c>
      <c r="D7371" s="6" t="s">
        <v>437</v>
      </c>
      <c r="E7371" s="6" t="s">
        <v>438</v>
      </c>
      <c r="F7371" s="6" t="str">
        <f>IF($M7371="PADD I","PADD 1",IF($M7371="PADD II","PADD 2",IF($M7371="PADD III","PADD 3",IF($M7371="PADD IV","PADD 4",IF($M7371="PADD V","PADD 5","")))))</f>
        <v>PADD 3</v>
      </c>
      <c r="G7371" s="6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6" t="s">
        <v>44</v>
      </c>
      <c r="I7371" s="6" t="s">
        <v>1399</v>
      </c>
      <c r="J7371" s="6" t="s">
        <v>398</v>
      </c>
      <c r="K7371" s="10">
        <v>20.8</v>
      </c>
      <c r="L7371" s="10">
        <v>65</v>
      </c>
      <c r="M7371" s="6" t="s">
        <v>421</v>
      </c>
      <c r="N7371" s="6">
        <f>IF(OR($G7371="FCC",$G7371="Hydrocracker",$G7371="Reformer"),IF(COUNTIFS($D:$D,$D7371,$A:$A,$A7371,$B:$B,$B7371,$G:$G,"CDU",$J:$J,"PLANNED")&gt;0,"tied","standalone"),"")</f>
        <v/>
      </c>
    </row>
    <row r="7372" spans="1:14">
      <c r="A7372" s="6">
        <v>2026</v>
      </c>
      <c r="B7372" s="6">
        <v>3</v>
      </c>
      <c r="C7372" s="6" t="s">
        <v>62</v>
      </c>
      <c r="D7372" s="6" t="s">
        <v>828</v>
      </c>
      <c r="E7372" s="6" t="s">
        <v>829</v>
      </c>
      <c r="F7372" s="6" t="str">
        <f>IF($M7372="PADD I","PADD 1",IF($M7372="PADD II","PADD 2",IF($M7372="PADD III","PADD 3",IF($M7372="PADD IV","PADD 4",IF($M7372="PADD V","PADD 5","")))))</f>
        <v>PADD 3</v>
      </c>
      <c r="G7372" s="6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6" t="s">
        <v>39</v>
      </c>
      <c r="I7372" s="6" t="s">
        <v>855</v>
      </c>
      <c r="J7372" s="6" t="s">
        <v>398</v>
      </c>
      <c r="K7372" s="10">
        <v>20.3</v>
      </c>
      <c r="L7372" s="10">
        <v>58</v>
      </c>
      <c r="M7372" s="6" t="s">
        <v>421</v>
      </c>
      <c r="N7372" s="6">
        <f>IF(OR($G7372="FCC",$G7372="Hydrocracker",$G7372="Reformer"),IF(COUNTIFS($D:$D,$D7372,$A:$A,$A7372,$B:$B,$B7372,$G:$G,"CDU",$J:$J,"PLANNED")&gt;0,"tied","standalone"),"")</f>
        <v/>
      </c>
    </row>
    <row r="7373" spans="1:14">
      <c r="A7373" s="6">
        <v>2026</v>
      </c>
      <c r="B7373" s="6">
        <v>3</v>
      </c>
      <c r="C7373" s="6" t="s">
        <v>62</v>
      </c>
      <c r="D7373" s="6" t="s">
        <v>576</v>
      </c>
      <c r="E7373" s="6" t="s">
        <v>455</v>
      </c>
      <c r="F7373" s="6" t="str">
        <f>IF($M7373="PADD I","PADD 1",IF($M7373="PADD II","PADD 2",IF($M7373="PADD III","PADD 3",IF($M7373="PADD IV","PADD 4",IF($M7373="PADD V","PADD 5","")))))</f>
        <v>PADD 3</v>
      </c>
      <c r="G7373" s="6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6" t="s">
        <v>426</v>
      </c>
      <c r="I7373" s="6" t="s">
        <v>393</v>
      </c>
      <c r="J7373" s="6" t="s">
        <v>394</v>
      </c>
      <c r="K7373" s="10">
        <v>19.5</v>
      </c>
      <c r="L7373" s="10">
        <v>75</v>
      </c>
      <c r="M7373" s="6" t="s">
        <v>421</v>
      </c>
      <c r="N7373" s="6" t="str">
        <f>IF(OR($G7373="FCC",$G7373="Hydrocracker",$G7373="Reformer"),IF(COUNTIFS($D:$D,$D7373,$A:$A,$A7373,$B:$B,$B7373,$G:$G,"CDU",$J:$J,"PLANNED")&gt;0,"tied","standalone"),"")</f>
        <v>standalone</v>
      </c>
    </row>
    <row r="7374" spans="1:14">
      <c r="A7374" s="6">
        <v>2026</v>
      </c>
      <c r="B7374" s="6">
        <v>3</v>
      </c>
      <c r="C7374" s="6" t="s">
        <v>62</v>
      </c>
      <c r="D7374" s="6" t="s">
        <v>370</v>
      </c>
      <c r="E7374" s="6" t="s">
        <v>431</v>
      </c>
      <c r="F7374" s="6" t="str">
        <f>IF($M7374="PADD I","PADD 1",IF($M7374="PADD II","PADD 2",IF($M7374="PADD III","PADD 3",IF($M7374="PADD IV","PADD 4",IF($M7374="PADD V","PADD 5","")))))</f>
        <v>PADD 2</v>
      </c>
      <c r="G7374" s="6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6" t="s">
        <v>485</v>
      </c>
      <c r="I7374" s="6" t="s">
        <v>491</v>
      </c>
      <c r="J7374" s="6" t="s">
        <v>398</v>
      </c>
      <c r="K7374" s="10">
        <v>19.5</v>
      </c>
      <c r="L7374" s="10">
        <v>30</v>
      </c>
      <c r="M7374" s="6" t="s">
        <v>425</v>
      </c>
      <c r="N7374" s="6">
        <f>IF(OR($G7374="FCC",$G7374="Hydrocracker",$G7374="Reformer"),IF(COUNTIFS($D:$D,$D7374,$A:$A,$A7374,$B:$B,$B7374,$G:$G,"CDU",$J:$J,"PLANNED")&gt;0,"tied","standalone"),"")</f>
        <v/>
      </c>
    </row>
    <row r="7375" spans="1:14">
      <c r="A7375" s="6">
        <v>2026</v>
      </c>
      <c r="B7375" s="6">
        <v>3</v>
      </c>
      <c r="C7375" s="6" t="s">
        <v>62</v>
      </c>
      <c r="D7375" s="6" t="s">
        <v>507</v>
      </c>
      <c r="E7375" s="6" t="s">
        <v>438</v>
      </c>
      <c r="F7375" s="6" t="str">
        <f>IF($M7375="PADD I","PADD 1",IF($M7375="PADD II","PADD 2",IF($M7375="PADD III","PADD 3",IF($M7375="PADD IV","PADD 4",IF($M7375="PADD V","PADD 5","")))))</f>
        <v>PADD 5</v>
      </c>
      <c r="G7375" s="6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6" t="s">
        <v>687</v>
      </c>
      <c r="I7375" s="6" t="s">
        <v>635</v>
      </c>
      <c r="J7375" s="6" t="s">
        <v>394</v>
      </c>
      <c r="K7375" s="10">
        <v>17.98</v>
      </c>
      <c r="L7375" s="10">
        <v>62</v>
      </c>
      <c r="M7375" s="6" t="s">
        <v>436</v>
      </c>
      <c r="N7375" s="6">
        <f>IF(OR($G7375="FCC",$G7375="Hydrocracker",$G7375="Reformer"),IF(COUNTIFS($D:$D,$D7375,$A:$A,$A7375,$B:$B,$B7375,$G:$G,"CDU",$J:$J,"PLANNED")&gt;0,"tied","standalone"),"")</f>
        <v/>
      </c>
    </row>
    <row r="7376" spans="1:14">
      <c r="A7376" s="6">
        <v>2026</v>
      </c>
      <c r="B7376" s="6">
        <v>3</v>
      </c>
      <c r="C7376" s="6" t="s">
        <v>62</v>
      </c>
      <c r="D7376" s="6" t="s">
        <v>49</v>
      </c>
      <c r="E7376" s="6" t="s">
        <v>438</v>
      </c>
      <c r="F7376" s="6" t="str">
        <f>IF($M7376="PADD I","PADD 1",IF($M7376="PADD II","PADD 2",IF($M7376="PADD III","PADD 3",IF($M7376="PADD IV","PADD 4",IF($M7376="PADD V","PADD 5","")))))</f>
        <v>PADD 2</v>
      </c>
      <c r="G7376" s="6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6" t="s">
        <v>471</v>
      </c>
      <c r="I7376" s="6" t="s">
        <v>771</v>
      </c>
      <c r="J7376" s="6" t="s">
        <v>398</v>
      </c>
      <c r="K7376" s="10">
        <v>17.55</v>
      </c>
      <c r="L7376" s="10">
        <v>39</v>
      </c>
      <c r="M7376" s="6" t="s">
        <v>425</v>
      </c>
      <c r="N7376" s="6" t="str">
        <f>IF(OR($G7376="FCC",$G7376="Hydrocracker",$G7376="Reformer"),IF(COUNTIFS($D:$D,$D7376,$A:$A,$A7376,$B:$B,$B7376,$G:$G,"CDU",$J:$J,"PLANNED")&gt;0,"tied","standalone"),"")</f>
        <v>tied</v>
      </c>
    </row>
    <row r="7377" spans="1:14">
      <c r="A7377" s="6">
        <v>2026</v>
      </c>
      <c r="B7377" s="6">
        <v>3</v>
      </c>
      <c r="C7377" s="6" t="s">
        <v>62</v>
      </c>
      <c r="D7377" s="6" t="s">
        <v>1035</v>
      </c>
      <c r="E7377" s="6" t="s">
        <v>593</v>
      </c>
      <c r="F7377" s="6" t="str">
        <f>IF($M7377="PADD I","PADD 1",IF($M7377="PADD II","PADD 2",IF($M7377="PADD III","PADD 3",IF($M7377="PADD IV","PADD 4",IF($M7377="PADD V","PADD 5","")))))</f>
        <v>PADD 2</v>
      </c>
      <c r="G7377" s="6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6" t="s">
        <v>428</v>
      </c>
      <c r="I7377" s="6" t="s">
        <v>836</v>
      </c>
      <c r="J7377" s="6" t="s">
        <v>394</v>
      </c>
      <c r="K7377" s="10">
        <v>17.4957</v>
      </c>
      <c r="L7377" s="10">
        <v>60.33</v>
      </c>
      <c r="M7377" s="6" t="s">
        <v>425</v>
      </c>
      <c r="N7377" s="6">
        <f>IF(OR($G7377="FCC",$G7377="Hydrocracker",$G7377="Reformer"),IF(COUNTIFS($D:$D,$D7377,$A:$A,$A7377,$B:$B,$B7377,$G:$G,"CDU",$J:$J,"PLANNED")&gt;0,"tied","standalone"),"")</f>
        <v/>
      </c>
    </row>
    <row r="7378" spans="1:14">
      <c r="A7378" s="6">
        <v>2026</v>
      </c>
      <c r="B7378" s="6">
        <v>3</v>
      </c>
      <c r="C7378" s="6" t="s">
        <v>62</v>
      </c>
      <c r="D7378" s="6" t="s">
        <v>576</v>
      </c>
      <c r="E7378" s="6" t="s">
        <v>455</v>
      </c>
      <c r="F7378" s="6" t="str">
        <f>IF($M7378="PADD I","PADD 1",IF($M7378="PADD II","PADD 2",IF($M7378="PADD III","PADD 3",IF($M7378="PADD IV","PADD 4",IF($M7378="PADD V","PADD 5","")))))</f>
        <v>PADD 3</v>
      </c>
      <c r="G7378" s="6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6" t="s">
        <v>44</v>
      </c>
      <c r="I7378" s="6" t="s">
        <v>1411</v>
      </c>
      <c r="J7378" s="6" t="s">
        <v>394</v>
      </c>
      <c r="K7378" s="10">
        <v>17.16</v>
      </c>
      <c r="L7378" s="10">
        <v>66</v>
      </c>
      <c r="M7378" s="6" t="s">
        <v>421</v>
      </c>
      <c r="N7378" s="6">
        <f>IF(OR($G7378="FCC",$G7378="Hydrocracker",$G7378="Reformer"),IF(COUNTIFS($D:$D,$D7378,$A:$A,$A7378,$B:$B,$B7378,$G:$G,"CDU",$J:$J,"PLANNED")&gt;0,"tied","standalone"),"")</f>
        <v/>
      </c>
    </row>
    <row r="7379" spans="1:14">
      <c r="A7379" s="6">
        <v>2026</v>
      </c>
      <c r="B7379" s="6">
        <v>3</v>
      </c>
      <c r="C7379" s="6" t="s">
        <v>62</v>
      </c>
      <c r="D7379" s="6" t="s">
        <v>689</v>
      </c>
      <c r="E7379" s="6" t="s">
        <v>502</v>
      </c>
      <c r="F7379" s="6" t="str">
        <f>IF($M7379="PADD I","PADD 1",IF($M7379="PADD II","PADD 2",IF($M7379="PADD III","PADD 3",IF($M7379="PADD IV","PADD 4",IF($M7379="PADD V","PADD 5","")))))</f>
        <v>PADD 5</v>
      </c>
      <c r="G7379" s="6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6" t="s">
        <v>471</v>
      </c>
      <c r="I7379" s="6" t="s">
        <v>956</v>
      </c>
      <c r="J7379" s="6" t="s">
        <v>398</v>
      </c>
      <c r="K7379" s="10">
        <v>17</v>
      </c>
      <c r="L7379" s="10">
        <v>17</v>
      </c>
      <c r="M7379" s="6" t="s">
        <v>436</v>
      </c>
      <c r="N7379" s="6" t="str">
        <f>IF(OR($G7379="FCC",$G7379="Hydrocracker",$G7379="Reformer"),IF(COUNTIFS($D:$D,$D7379,$A:$A,$A7379,$B:$B,$B7379,$G:$G,"CDU",$J:$J,"PLANNED")&gt;0,"tied","standalone"),"")</f>
        <v>standalone</v>
      </c>
    </row>
    <row r="7380" spans="1:14">
      <c r="A7380" s="6">
        <v>2026</v>
      </c>
      <c r="B7380" s="6">
        <v>3</v>
      </c>
      <c r="C7380" s="6" t="s">
        <v>62</v>
      </c>
      <c r="D7380" s="6" t="s">
        <v>512</v>
      </c>
      <c r="E7380" s="6" t="s">
        <v>488</v>
      </c>
      <c r="F7380" s="6" t="str">
        <f>IF($M7380="PADD I","PADD 1",IF($M7380="PADD II","PADD 2",IF($M7380="PADD III","PADD 3",IF($M7380="PADD IV","PADD 4",IF($M7380="PADD V","PADD 5","")))))</f>
        <v>PADD 4</v>
      </c>
      <c r="G7380" s="6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6" t="s">
        <v>44</v>
      </c>
      <c r="I7380" s="6" t="s">
        <v>545</v>
      </c>
      <c r="J7380" s="6" t="s">
        <v>398</v>
      </c>
      <c r="K7380" s="10">
        <v>16.8</v>
      </c>
      <c r="L7380" s="10">
        <v>20</v>
      </c>
      <c r="M7380" s="6" t="s">
        <v>480</v>
      </c>
      <c r="N7380" s="6">
        <f>IF(OR($G7380="FCC",$G7380="Hydrocracker",$G7380="Reformer"),IF(COUNTIFS($D:$D,$D7380,$A:$A,$A7380,$B:$B,$B7380,$G:$G,"CDU",$J:$J,"PLANNED")&gt;0,"tied","standalone"),"")</f>
        <v/>
      </c>
    </row>
    <row r="7381" spans="1:14">
      <c r="A7381" s="6">
        <v>2026</v>
      </c>
      <c r="B7381" s="6">
        <v>3</v>
      </c>
      <c r="C7381" s="6" t="s">
        <v>62</v>
      </c>
      <c r="D7381" s="6" t="s">
        <v>382</v>
      </c>
      <c r="E7381" s="6" t="s">
        <v>431</v>
      </c>
      <c r="F7381" s="6" t="str">
        <f>IF($M7381="PADD I","PADD 1",IF($M7381="PADD II","PADD 2",IF($M7381="PADD III","PADD 3",IF($M7381="PADD IV","PADD 4",IF($M7381="PADD V","PADD 5","")))))</f>
        <v>PADD 3</v>
      </c>
      <c r="G7381" s="6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6" t="s">
        <v>44</v>
      </c>
      <c r="I7381" s="6" t="s">
        <v>993</v>
      </c>
      <c r="J7381" s="6" t="s">
        <v>394</v>
      </c>
      <c r="K7381" s="10">
        <v>16.8</v>
      </c>
      <c r="L7381" s="10">
        <v>40</v>
      </c>
      <c r="M7381" s="6" t="s">
        <v>421</v>
      </c>
      <c r="N7381" s="6">
        <f>IF(OR($G7381="FCC",$G7381="Hydrocracker",$G7381="Reformer"),IF(COUNTIFS($D:$D,$D7381,$A:$A,$A7381,$B:$B,$B7381,$G:$G,"CDU",$J:$J,"PLANNED")&gt;0,"tied","standalone"),"")</f>
        <v/>
      </c>
    </row>
    <row r="7382" spans="1:14">
      <c r="A7382" s="6">
        <v>2026</v>
      </c>
      <c r="B7382" s="6">
        <v>3</v>
      </c>
      <c r="C7382" s="6" t="s">
        <v>62</v>
      </c>
      <c r="D7382" s="6" t="s">
        <v>576</v>
      </c>
      <c r="E7382" s="6" t="s">
        <v>455</v>
      </c>
      <c r="F7382" s="6" t="str">
        <f>IF($M7382="PADD I","PADD 1",IF($M7382="PADD II","PADD 2",IF($M7382="PADD III","PADD 3",IF($M7382="PADD IV","PADD 4",IF($M7382="PADD V","PADD 5","")))))</f>
        <v>PADD 3</v>
      </c>
      <c r="G7382" s="6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6" t="s">
        <v>494</v>
      </c>
      <c r="I7382" s="6" t="s">
        <v>577</v>
      </c>
      <c r="J7382" s="6" t="s">
        <v>394</v>
      </c>
      <c r="K7382" s="10">
        <v>16.53</v>
      </c>
      <c r="L7382" s="10">
        <v>57</v>
      </c>
      <c r="M7382" s="6" t="s">
        <v>421</v>
      </c>
      <c r="N7382" s="6" t="str">
        <f>IF(OR($G7382="FCC",$G7382="Hydrocracker",$G7382="Reformer"),IF(COUNTIFS($D:$D,$D7382,$A:$A,$A7382,$B:$B,$B7382,$G:$G,"CDU",$J:$J,"PLANNED")&gt;0,"tied","standalone"),"")</f>
        <v>standalone</v>
      </c>
    </row>
    <row r="7383" spans="1:14">
      <c r="A7383" s="6">
        <v>2026</v>
      </c>
      <c r="B7383" s="6">
        <v>3</v>
      </c>
      <c r="C7383" s="6" t="s">
        <v>62</v>
      </c>
      <c r="D7383" s="6" t="s">
        <v>820</v>
      </c>
      <c r="E7383" s="6" t="s">
        <v>710</v>
      </c>
      <c r="F7383" s="6" t="str">
        <f>IF($M7383="PADD I","PADD 1",IF($M7383="PADD II","PADD 2",IF($M7383="PADD III","PADD 3",IF($M7383="PADD IV","PADD 4",IF($M7383="PADD V","PADD 5","")))))</f>
        <v>PADD 3</v>
      </c>
      <c r="G7383" s="6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6" t="s">
        <v>494</v>
      </c>
      <c r="I7383" s="6" t="s">
        <v>14</v>
      </c>
      <c r="J7383" s="6" t="s">
        <v>398</v>
      </c>
      <c r="K7383" s="10">
        <v>16.095</v>
      </c>
      <c r="L7383" s="10">
        <v>18.5</v>
      </c>
      <c r="M7383" s="6" t="s">
        <v>421</v>
      </c>
      <c r="N7383" s="6" t="str">
        <f>IF(OR($G7383="FCC",$G7383="Hydrocracker",$G7383="Reformer"),IF(COUNTIFS($D:$D,$D7383,$A:$A,$A7383,$B:$B,$B7383,$G:$G,"CDU",$J:$J,"PLANNED")&gt;0,"tied","standalone"),"")</f>
        <v>standalone</v>
      </c>
    </row>
    <row r="7384" spans="1:14">
      <c r="A7384" s="6">
        <v>2026</v>
      </c>
      <c r="B7384" s="6">
        <v>3</v>
      </c>
      <c r="C7384" s="6" t="s">
        <v>62</v>
      </c>
      <c r="D7384" s="6" t="s">
        <v>507</v>
      </c>
      <c r="E7384" s="6" t="s">
        <v>438</v>
      </c>
      <c r="F7384" s="6" t="str">
        <f>IF($M7384="PADD I","PADD 1",IF($M7384="PADD II","PADD 2",IF($M7384="PADD III","PADD 3",IF($M7384="PADD IV","PADD 4",IF($M7384="PADD V","PADD 5","")))))</f>
        <v>PADD 5</v>
      </c>
      <c r="G7384" s="6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6" t="s">
        <v>39</v>
      </c>
      <c r="I7384" s="6" t="s">
        <v>136</v>
      </c>
      <c r="J7384" s="6" t="s">
        <v>394</v>
      </c>
      <c r="K7384" s="10">
        <v>14.95</v>
      </c>
      <c r="L7384" s="10">
        <v>65</v>
      </c>
      <c r="M7384" s="6" t="s">
        <v>436</v>
      </c>
      <c r="N7384" s="6">
        <f>IF(OR($G7384="FCC",$G7384="Hydrocracker",$G7384="Reformer"),IF(COUNTIFS($D:$D,$D7384,$A:$A,$A7384,$B:$B,$B7384,$G:$G,"CDU",$J:$J,"PLANNED")&gt;0,"tied","standalone"),"")</f>
        <v/>
      </c>
    </row>
    <row r="7385" spans="1:14">
      <c r="A7385" s="6">
        <v>2026</v>
      </c>
      <c r="B7385" s="6">
        <v>3</v>
      </c>
      <c r="C7385" s="6" t="s">
        <v>62</v>
      </c>
      <c r="D7385" s="6" t="s">
        <v>496</v>
      </c>
      <c r="E7385" s="6" t="s">
        <v>441</v>
      </c>
      <c r="F7385" s="6" t="str">
        <f>IF($M7385="PADD I","PADD 1",IF($M7385="PADD II","PADD 2",IF($M7385="PADD III","PADD 3",IF($M7385="PADD IV","PADD 4",IF($M7385="PADD V","PADD 5","")))))</f>
        <v>PADD 3</v>
      </c>
      <c r="G7385" s="6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6" t="s">
        <v>428</v>
      </c>
      <c r="I7385" s="6" t="s">
        <v>1091</v>
      </c>
      <c r="J7385" s="6" t="s">
        <v>394</v>
      </c>
      <c r="K7385" s="10">
        <v>14.35</v>
      </c>
      <c r="L7385" s="10">
        <v>41</v>
      </c>
      <c r="M7385" s="6" t="s">
        <v>421</v>
      </c>
      <c r="N7385" s="6">
        <f>IF(OR($G7385="FCC",$G7385="Hydrocracker",$G7385="Reformer"),IF(COUNTIFS($D:$D,$D7385,$A:$A,$A7385,$B:$B,$B7385,$G:$G,"CDU",$J:$J,"PLANNED")&gt;0,"tied","standalone"),"")</f>
        <v/>
      </c>
    </row>
    <row r="7386" spans="1:14">
      <c r="A7386" s="6">
        <v>2026</v>
      </c>
      <c r="B7386" s="6">
        <v>3</v>
      </c>
      <c r="C7386" s="6" t="s">
        <v>62</v>
      </c>
      <c r="D7386" s="6" t="s">
        <v>440</v>
      </c>
      <c r="E7386" s="6" t="s">
        <v>441</v>
      </c>
      <c r="F7386" s="6" t="str">
        <f>IF($M7386="PADD I","PADD 1",IF($M7386="PADD II","PADD 2",IF($M7386="PADD III","PADD 3",IF($M7386="PADD IV","PADD 4",IF($M7386="PADD V","PADD 5","")))))</f>
        <v>PADD 3</v>
      </c>
      <c r="G7386" s="6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6" t="s">
        <v>471</v>
      </c>
      <c r="I7386" s="6" t="s">
        <v>1167</v>
      </c>
      <c r="J7386" s="6" t="s">
        <v>398</v>
      </c>
      <c r="K7386" s="10">
        <v>14.3</v>
      </c>
      <c r="L7386" s="10">
        <v>55</v>
      </c>
      <c r="M7386" s="6" t="s">
        <v>421</v>
      </c>
      <c r="N7386" s="6" t="str">
        <f>IF(OR($G7386="FCC",$G7386="Hydrocracker",$G7386="Reformer"),IF(COUNTIFS($D:$D,$D7386,$A:$A,$A7386,$B:$B,$B7386,$G:$G,"CDU",$J:$J,"PLANNED")&gt;0,"tied","standalone"),"")</f>
        <v>standalone</v>
      </c>
    </row>
    <row r="7387" spans="1:14">
      <c r="A7387" s="6">
        <v>2026</v>
      </c>
      <c r="B7387" s="6">
        <v>3</v>
      </c>
      <c r="C7387" s="6" t="s">
        <v>62</v>
      </c>
      <c r="D7387" s="6" t="s">
        <v>576</v>
      </c>
      <c r="E7387" s="6" t="s">
        <v>455</v>
      </c>
      <c r="F7387" s="6" t="str">
        <f>IF($M7387="PADD I","PADD 1",IF($M7387="PADD II","PADD 2",IF($M7387="PADD III","PADD 3",IF($M7387="PADD IV","PADD 4",IF($M7387="PADD V","PADD 5","")))))</f>
        <v>PADD 3</v>
      </c>
      <c r="G7387" s="6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6" t="s">
        <v>485</v>
      </c>
      <c r="I7387" s="6" t="s">
        <v>736</v>
      </c>
      <c r="J7387" s="6" t="s">
        <v>394</v>
      </c>
      <c r="K7387" s="10">
        <v>14.3</v>
      </c>
      <c r="L7387" s="10">
        <v>55</v>
      </c>
      <c r="M7387" s="6" t="s">
        <v>421</v>
      </c>
      <c r="N7387" s="6">
        <f>IF(OR($G7387="FCC",$G7387="Hydrocracker",$G7387="Reformer"),IF(COUNTIFS($D:$D,$D7387,$A:$A,$A7387,$B:$B,$B7387,$G:$G,"CDU",$J:$J,"PLANNED")&gt;0,"tied","standalone"),"")</f>
        <v/>
      </c>
    </row>
    <row r="7388" spans="1:14">
      <c r="A7388" s="6">
        <v>2026</v>
      </c>
      <c r="B7388" s="6">
        <v>3</v>
      </c>
      <c r="C7388" s="6" t="s">
        <v>62</v>
      </c>
      <c r="D7388" s="6" t="s">
        <v>576</v>
      </c>
      <c r="E7388" s="6" t="s">
        <v>455</v>
      </c>
      <c r="F7388" s="6" t="str">
        <f>IF($M7388="PADD I","PADD 1",IF($M7388="PADD II","PADD 2",IF($M7388="PADD III","PADD 3",IF($M7388="PADD IV","PADD 4",IF($M7388="PADD V","PADD 5","")))))</f>
        <v>PADD 3</v>
      </c>
      <c r="G7388" s="6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6" t="s">
        <v>44</v>
      </c>
      <c r="I7388" s="6" t="s">
        <v>1126</v>
      </c>
      <c r="J7388" s="6" t="s">
        <v>394</v>
      </c>
      <c r="K7388" s="10">
        <v>14.3</v>
      </c>
      <c r="L7388" s="10">
        <v>55</v>
      </c>
      <c r="M7388" s="6" t="s">
        <v>421</v>
      </c>
      <c r="N7388" s="6">
        <f>IF(OR($G7388="FCC",$G7388="Hydrocracker",$G7388="Reformer"),IF(COUNTIFS($D:$D,$D7388,$A:$A,$A7388,$B:$B,$B7388,$G:$G,"CDU",$J:$J,"PLANNED")&gt;0,"tied","standalone"),"")</f>
        <v/>
      </c>
    </row>
    <row r="7389" spans="1:14">
      <c r="A7389" s="6">
        <v>2026</v>
      </c>
      <c r="B7389" s="6">
        <v>3</v>
      </c>
      <c r="C7389" s="6" t="s">
        <v>62</v>
      </c>
      <c r="D7389" s="6" t="s">
        <v>507</v>
      </c>
      <c r="E7389" s="6" t="s">
        <v>438</v>
      </c>
      <c r="F7389" s="6" t="str">
        <f>IF($M7389="PADD I","PADD 1",IF($M7389="PADD II","PADD 2",IF($M7389="PADD III","PADD 3",IF($M7389="PADD IV","PADD 4",IF($M7389="PADD V","PADD 5","")))))</f>
        <v>PADD 5</v>
      </c>
      <c r="G7389" s="6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6" t="s">
        <v>428</v>
      </c>
      <c r="I7389" s="6" t="s">
        <v>651</v>
      </c>
      <c r="J7389" s="6" t="s">
        <v>394</v>
      </c>
      <c r="K7389" s="10">
        <v>14.26</v>
      </c>
      <c r="L7389" s="10">
        <v>62</v>
      </c>
      <c r="M7389" s="6" t="s">
        <v>436</v>
      </c>
      <c r="N7389" s="6">
        <f>IF(OR($G7389="FCC",$G7389="Hydrocracker",$G7389="Reformer"),IF(COUNTIFS($D:$D,$D7389,$A:$A,$A7389,$B:$B,$B7389,$G:$G,"CDU",$J:$J,"PLANNED")&gt;0,"tied","standalone"),"")</f>
        <v/>
      </c>
    </row>
    <row r="7390" spans="1:14">
      <c r="A7390" s="6">
        <v>2026</v>
      </c>
      <c r="B7390" s="6">
        <v>3</v>
      </c>
      <c r="C7390" s="6" t="s">
        <v>62</v>
      </c>
      <c r="D7390" s="6" t="s">
        <v>512</v>
      </c>
      <c r="E7390" s="6" t="s">
        <v>488</v>
      </c>
      <c r="F7390" s="6" t="str">
        <f>IF($M7390="PADD I","PADD 1",IF($M7390="PADD II","PADD 2",IF($M7390="PADD III","PADD 3",IF($M7390="PADD IV","PADD 4",IF($M7390="PADD V","PADD 5","")))))</f>
        <v>PADD 4</v>
      </c>
      <c r="G7390" s="6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6" t="s">
        <v>39</v>
      </c>
      <c r="I7390" s="6" t="s">
        <v>124</v>
      </c>
      <c r="J7390" s="6" t="s">
        <v>398</v>
      </c>
      <c r="K7390" s="10">
        <v>14.154</v>
      </c>
      <c r="L7390" s="10">
        <v>33.7</v>
      </c>
      <c r="M7390" s="6" t="s">
        <v>480</v>
      </c>
      <c r="N7390" s="6">
        <f>IF(OR($G7390="FCC",$G7390="Hydrocracker",$G7390="Reformer"),IF(COUNTIFS($D:$D,$D7390,$A:$A,$A7390,$B:$B,$B7390,$G:$G,"CDU",$J:$J,"PLANNED")&gt;0,"tied","standalone"),"")</f>
        <v/>
      </c>
    </row>
    <row r="7391" spans="1:14">
      <c r="A7391" s="6">
        <v>2026</v>
      </c>
      <c r="B7391" s="6">
        <v>3</v>
      </c>
      <c r="C7391" s="6" t="s">
        <v>62</v>
      </c>
      <c r="D7391" s="6" t="s">
        <v>371</v>
      </c>
      <c r="E7391" s="6" t="s">
        <v>419</v>
      </c>
      <c r="F7391" s="6" t="str">
        <f>IF($M7391="PADD I","PADD 1",IF($M7391="PADD II","PADD 2",IF($M7391="PADD III","PADD 3",IF($M7391="PADD IV","PADD 4",IF($M7391="PADD V","PADD 5","")))))</f>
        <v>PADD 2</v>
      </c>
      <c r="G7391" s="6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6" t="s">
        <v>471</v>
      </c>
      <c r="I7391" s="6" t="s">
        <v>735</v>
      </c>
      <c r="J7391" s="6" t="s">
        <v>394</v>
      </c>
      <c r="K7391" s="10">
        <v>14.145</v>
      </c>
      <c r="L7391" s="10">
        <v>61.5</v>
      </c>
      <c r="M7391" s="6" t="s">
        <v>425</v>
      </c>
      <c r="N7391" s="6" t="str">
        <f>IF(OR($G7391="FCC",$G7391="Hydrocracker",$G7391="Reformer"),IF(COUNTIFS($D:$D,$D7391,$A:$A,$A7391,$B:$B,$B7391,$G:$G,"CDU",$J:$J,"PLANNED")&gt;0,"tied","standalone"),"")</f>
        <v>tied</v>
      </c>
    </row>
    <row r="7392" spans="1:14">
      <c r="A7392" s="6">
        <v>2026</v>
      </c>
      <c r="B7392" s="6">
        <v>3</v>
      </c>
      <c r="C7392" s="6" t="s">
        <v>62</v>
      </c>
      <c r="D7392" s="6" t="s">
        <v>1110</v>
      </c>
      <c r="E7392" s="6" t="s">
        <v>1089</v>
      </c>
      <c r="F7392" s="6" t="str">
        <f>IF($M7392="PADD I","PADD 1",IF($M7392="PADD II","PADD 2",IF($M7392="PADD III","PADD 3",IF($M7392="PADD IV","PADD 4",IF($M7392="PADD V","PADD 5","")))))</f>
        <v>PADD 2</v>
      </c>
      <c r="G7392" s="6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6" t="s">
        <v>44</v>
      </c>
      <c r="I7392" s="6" t="s">
        <v>1237</v>
      </c>
      <c r="J7392" s="6" t="s">
        <v>398</v>
      </c>
      <c r="K7392" s="10">
        <v>13.65</v>
      </c>
      <c r="L7392" s="10">
        <v>35</v>
      </c>
      <c r="M7392" s="6" t="s">
        <v>425</v>
      </c>
      <c r="N7392" s="6">
        <f>IF(OR($G7392="FCC",$G7392="Hydrocracker",$G7392="Reformer"),IF(COUNTIFS($D:$D,$D7392,$A:$A,$A7392,$B:$B,$B7392,$G:$G,"CDU",$J:$J,"PLANNED")&gt;0,"tied","standalone"),"")</f>
        <v/>
      </c>
    </row>
    <row r="7393" spans="1:14">
      <c r="A7393" s="6">
        <v>2026</v>
      </c>
      <c r="B7393" s="6">
        <v>3</v>
      </c>
      <c r="C7393" s="6" t="s">
        <v>62</v>
      </c>
      <c r="D7393" s="6" t="s">
        <v>576</v>
      </c>
      <c r="E7393" s="6" t="s">
        <v>455</v>
      </c>
      <c r="F7393" s="6" t="str">
        <f>IF($M7393="PADD I","PADD 1",IF($M7393="PADD II","PADD 2",IF($M7393="PADD III","PADD 3",IF($M7393="PADD IV","PADD 4",IF($M7393="PADD V","PADD 5","")))))</f>
        <v>PADD 3</v>
      </c>
      <c r="G7393" s="6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6" t="s">
        <v>44</v>
      </c>
      <c r="I7393" s="6" t="s">
        <v>1126</v>
      </c>
      <c r="J7393" s="6" t="s">
        <v>394</v>
      </c>
      <c r="K7393" s="10">
        <v>13.63</v>
      </c>
      <c r="L7393" s="10">
        <v>47</v>
      </c>
      <c r="M7393" s="6" t="s">
        <v>421</v>
      </c>
      <c r="N7393" s="6">
        <f>IF(OR($G7393="FCC",$G7393="Hydrocracker",$G7393="Reformer"),IF(COUNTIFS($D:$D,$D7393,$A:$A,$A7393,$B:$B,$B7393,$G:$G,"CDU",$J:$J,"PLANNED")&gt;0,"tied","standalone"),"")</f>
        <v/>
      </c>
    </row>
    <row r="7394" spans="1:14">
      <c r="A7394" s="6">
        <v>2026</v>
      </c>
      <c r="B7394" s="6">
        <v>3</v>
      </c>
      <c r="C7394" s="6" t="s">
        <v>62</v>
      </c>
      <c r="D7394" s="6" t="s">
        <v>430</v>
      </c>
      <c r="E7394" s="6" t="s">
        <v>431</v>
      </c>
      <c r="F7394" s="6" t="str">
        <f>IF($M7394="PADD I","PADD 1",IF($M7394="PADD II","PADD 2",IF($M7394="PADD III","PADD 3",IF($M7394="PADD IV","PADD 4",IF($M7394="PADD V","PADD 5","")))))</f>
        <v>PADD 3</v>
      </c>
      <c r="G7394" s="6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6" t="s">
        <v>39</v>
      </c>
      <c r="I7394" s="6" t="s">
        <v>432</v>
      </c>
      <c r="J7394" s="6" t="s">
        <v>394</v>
      </c>
      <c r="K7394" s="10">
        <v>13.5</v>
      </c>
      <c r="L7394" s="10">
        <v>225</v>
      </c>
      <c r="M7394" s="6" t="s">
        <v>421</v>
      </c>
      <c r="N7394" s="6">
        <f>IF(OR($G7394="FCC",$G7394="Hydrocracker",$G7394="Reformer"),IF(COUNTIFS($D:$D,$D7394,$A:$A,$A7394,$B:$B,$B7394,$G:$G,"CDU",$J:$J,"PLANNED")&gt;0,"tied","standalone"),"")</f>
        <v/>
      </c>
    </row>
    <row r="7395" spans="1:14">
      <c r="A7395" s="6">
        <v>2026</v>
      </c>
      <c r="B7395" s="6">
        <v>3</v>
      </c>
      <c r="C7395" s="6" t="s">
        <v>62</v>
      </c>
      <c r="D7395" s="6" t="s">
        <v>576</v>
      </c>
      <c r="E7395" s="6" t="s">
        <v>455</v>
      </c>
      <c r="F7395" s="6" t="str">
        <f>IF($M7395="PADD I","PADD 1",IF($M7395="PADD II","PADD 2",IF($M7395="PADD III","PADD 3",IF($M7395="PADD IV","PADD 4",IF($M7395="PADD V","PADD 5","")))))</f>
        <v>PADD 3</v>
      </c>
      <c r="G7395" s="6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6" t="s">
        <v>44</v>
      </c>
      <c r="I7395" s="6" t="s">
        <v>1272</v>
      </c>
      <c r="J7395" s="6" t="s">
        <v>394</v>
      </c>
      <c r="K7395" s="10">
        <v>13.05</v>
      </c>
      <c r="L7395" s="10">
        <v>45</v>
      </c>
      <c r="M7395" s="6" t="s">
        <v>421</v>
      </c>
      <c r="N7395" s="6">
        <f>IF(OR($G7395="FCC",$G7395="Hydrocracker",$G7395="Reformer"),IF(COUNTIFS($D:$D,$D7395,$A:$A,$A7395,$B:$B,$B7395,$G:$G,"CDU",$J:$J,"PLANNED")&gt;0,"tied","standalone"),"")</f>
        <v/>
      </c>
    </row>
    <row r="7396" spans="1:14">
      <c r="A7396" s="6">
        <v>2026</v>
      </c>
      <c r="B7396" s="6">
        <v>3</v>
      </c>
      <c r="C7396" s="6" t="s">
        <v>62</v>
      </c>
      <c r="D7396" s="6" t="s">
        <v>576</v>
      </c>
      <c r="E7396" s="6" t="s">
        <v>455</v>
      </c>
      <c r="F7396" s="6" t="str">
        <f>IF($M7396="PADD I","PADD 1",IF($M7396="PADD II","PADD 2",IF($M7396="PADD III","PADD 3",IF($M7396="PADD IV","PADD 4",IF($M7396="PADD V","PADD 5","")))))</f>
        <v>PADD 3</v>
      </c>
      <c r="G7396" s="6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6" t="s">
        <v>471</v>
      </c>
      <c r="I7396" s="6" t="s">
        <v>978</v>
      </c>
      <c r="J7396" s="6" t="s">
        <v>394</v>
      </c>
      <c r="K7396" s="10">
        <v>13</v>
      </c>
      <c r="L7396" s="10">
        <v>50</v>
      </c>
      <c r="M7396" s="6" t="s">
        <v>421</v>
      </c>
      <c r="N7396" s="6" t="str">
        <f>IF(OR($G7396="FCC",$G7396="Hydrocracker",$G7396="Reformer"),IF(COUNTIFS($D:$D,$D7396,$A:$A,$A7396,$B:$B,$B7396,$G:$G,"CDU",$J:$J,"PLANNED")&gt;0,"tied","standalone"),"")</f>
        <v>standalone</v>
      </c>
    </row>
    <row r="7397" spans="1:14">
      <c r="A7397" s="6">
        <v>2026</v>
      </c>
      <c r="B7397" s="6">
        <v>3</v>
      </c>
      <c r="C7397" s="6" t="s">
        <v>62</v>
      </c>
      <c r="D7397" s="6" t="s">
        <v>49</v>
      </c>
      <c r="E7397" s="6" t="s">
        <v>438</v>
      </c>
      <c r="F7397" s="6" t="str">
        <f>IF($M7397="PADD I","PADD 1",IF($M7397="PADD II","PADD 2",IF($M7397="PADD III","PADD 3",IF($M7397="PADD IV","PADD 4",IF($M7397="PADD V","PADD 5","")))))</f>
        <v>PADD 2</v>
      </c>
      <c r="G7397" s="6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6" t="s">
        <v>44</v>
      </c>
      <c r="I7397" s="6" t="s">
        <v>811</v>
      </c>
      <c r="J7397" s="6" t="s">
        <v>398</v>
      </c>
      <c r="K7397" s="10">
        <v>13</v>
      </c>
      <c r="L7397" s="10">
        <v>20</v>
      </c>
      <c r="M7397" s="6" t="s">
        <v>425</v>
      </c>
      <c r="N7397" s="6">
        <f>IF(OR($G7397="FCC",$G7397="Hydrocracker",$G7397="Reformer"),IF(COUNTIFS($D:$D,$D7397,$A:$A,$A7397,$B:$B,$B7397,$G:$G,"CDU",$J:$J,"PLANNED")&gt;0,"tied","standalone"),"")</f>
        <v/>
      </c>
    </row>
    <row r="7398" spans="1:14">
      <c r="A7398" s="6">
        <v>2026</v>
      </c>
      <c r="B7398" s="6">
        <v>3</v>
      </c>
      <c r="C7398" s="6" t="s">
        <v>62</v>
      </c>
      <c r="D7398" s="6" t="s">
        <v>52</v>
      </c>
      <c r="E7398" s="6" t="s">
        <v>441</v>
      </c>
      <c r="F7398" s="6" t="str">
        <f>IF($M7398="PADD I","PADD 1",IF($M7398="PADD II","PADD 2",IF($M7398="PADD III","PADD 3",IF($M7398="PADD IV","PADD 4",IF($M7398="PADD V","PADD 5","")))))</f>
        <v>PADD 5</v>
      </c>
      <c r="G7398" s="6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6" t="s">
        <v>428</v>
      </c>
      <c r="I7398" s="6" t="s">
        <v>1085</v>
      </c>
      <c r="J7398" s="6" t="s">
        <v>394</v>
      </c>
      <c r="K7398" s="10">
        <v>12.9605</v>
      </c>
      <c r="L7398" s="10">
        <v>56.35</v>
      </c>
      <c r="M7398" s="6" t="s">
        <v>436</v>
      </c>
      <c r="N7398" s="6">
        <f>IF(OR($G7398="FCC",$G7398="Hydrocracker",$G7398="Reformer"),IF(COUNTIFS($D:$D,$D7398,$A:$A,$A7398,$B:$B,$B7398,$G:$G,"CDU",$J:$J,"PLANNED")&gt;0,"tied","standalone"),"")</f>
        <v/>
      </c>
    </row>
    <row r="7399" spans="1:14">
      <c r="A7399" s="6">
        <v>2026</v>
      </c>
      <c r="B7399" s="6">
        <v>3</v>
      </c>
      <c r="C7399" s="6" t="s">
        <v>62</v>
      </c>
      <c r="D7399" s="6" t="s">
        <v>49</v>
      </c>
      <c r="E7399" s="6" t="s">
        <v>438</v>
      </c>
      <c r="F7399" s="6" t="str">
        <f>IF($M7399="PADD I","PADD 1",IF($M7399="PADD II","PADD 2",IF($M7399="PADD III","PADD 3",IF($M7399="PADD IV","PADD 4",IF($M7399="PADD V","PADD 5","")))))</f>
        <v>PADD 2</v>
      </c>
      <c r="G7399" s="6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6" t="s">
        <v>494</v>
      </c>
      <c r="I7399" s="6" t="s">
        <v>808</v>
      </c>
      <c r="J7399" s="6" t="s">
        <v>398</v>
      </c>
      <c r="K7399" s="10">
        <v>12.76</v>
      </c>
      <c r="L7399" s="10">
        <v>44</v>
      </c>
      <c r="M7399" s="6" t="s">
        <v>425</v>
      </c>
      <c r="N7399" s="6" t="str">
        <f>IF(OR($G7399="FCC",$G7399="Hydrocracker",$G7399="Reformer"),IF(COUNTIFS($D:$D,$D7399,$A:$A,$A7399,$B:$B,$B7399,$G:$G,"CDU",$J:$J,"PLANNED")&gt;0,"tied","standalone"),"")</f>
        <v>tied</v>
      </c>
    </row>
    <row r="7400" spans="1:14">
      <c r="A7400" s="6">
        <v>2026</v>
      </c>
      <c r="B7400" s="6">
        <v>3</v>
      </c>
      <c r="C7400" s="6" t="s">
        <v>62</v>
      </c>
      <c r="D7400" s="6" t="s">
        <v>512</v>
      </c>
      <c r="E7400" s="6" t="s">
        <v>488</v>
      </c>
      <c r="F7400" s="6" t="str">
        <f>IF($M7400="PADD I","PADD 1",IF($M7400="PADD II","PADD 2",IF($M7400="PADD III","PADD 3",IF($M7400="PADD IV","PADD 4",IF($M7400="PADD V","PADD 5","")))))</f>
        <v>PADD 4</v>
      </c>
      <c r="G7400" s="6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6" t="s">
        <v>426</v>
      </c>
      <c r="I7400" s="6" t="s">
        <v>106</v>
      </c>
      <c r="J7400" s="6" t="s">
        <v>398</v>
      </c>
      <c r="K7400" s="10">
        <v>12.735</v>
      </c>
      <c r="L7400" s="10">
        <v>28.3</v>
      </c>
      <c r="M7400" s="6" t="s">
        <v>480</v>
      </c>
      <c r="N7400" s="6" t="str">
        <f>IF(OR($G7400="FCC",$G7400="Hydrocracker",$G7400="Reformer"),IF(COUNTIFS($D:$D,$D7400,$A:$A,$A7400,$B:$B,$B7400,$G:$G,"CDU",$J:$J,"PLANNED")&gt;0,"tied","standalone"),"")</f>
        <v>tied</v>
      </c>
    </row>
    <row r="7401" spans="1:14">
      <c r="A7401" s="6">
        <v>2026</v>
      </c>
      <c r="B7401" s="6">
        <v>3</v>
      </c>
      <c r="C7401" s="6" t="s">
        <v>62</v>
      </c>
      <c r="D7401" s="6" t="s">
        <v>51</v>
      </c>
      <c r="E7401" s="6" t="s">
        <v>431</v>
      </c>
      <c r="F7401" s="6" t="str">
        <f>IF($M7401="PADD I","PADD 1",IF($M7401="PADD II","PADD 2",IF($M7401="PADD III","PADD 3",IF($M7401="PADD IV","PADD 4",IF($M7401="PADD V","PADD 5","")))))</f>
        <v>PADD 3</v>
      </c>
      <c r="G7401" s="6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6" t="s">
        <v>44</v>
      </c>
      <c r="I7401" s="6" t="s">
        <v>1379</v>
      </c>
      <c r="J7401" s="6" t="s">
        <v>398</v>
      </c>
      <c r="K7401" s="10">
        <v>12.65</v>
      </c>
      <c r="L7401" s="10">
        <v>55</v>
      </c>
      <c r="M7401" s="6" t="s">
        <v>421</v>
      </c>
      <c r="N7401" s="6">
        <f>IF(OR($G7401="FCC",$G7401="Hydrocracker",$G7401="Reformer"),IF(COUNTIFS($D:$D,$D7401,$A:$A,$A7401,$B:$B,$B7401,$G:$G,"CDU",$J:$J,"PLANNED")&gt;0,"tied","standalone"),"")</f>
        <v/>
      </c>
    </row>
    <row r="7402" spans="1:14">
      <c r="A7402" s="6">
        <v>2026</v>
      </c>
      <c r="B7402" s="6">
        <v>3</v>
      </c>
      <c r="C7402" s="6" t="s">
        <v>62</v>
      </c>
      <c r="D7402" s="6" t="s">
        <v>772</v>
      </c>
      <c r="E7402" s="6" t="s">
        <v>502</v>
      </c>
      <c r="F7402" s="6" t="str">
        <f>IF($M7402="PADD I","PADD 1",IF($M7402="PADD II","PADD 2",IF($M7402="PADD III","PADD 3",IF($M7402="PADD IV","PADD 4",IF($M7402="PADD V","PADD 5","")))))</f>
        <v>PADD 4</v>
      </c>
      <c r="G7402" s="6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6" t="s">
        <v>44</v>
      </c>
      <c r="I7402" s="6" t="s">
        <v>1412</v>
      </c>
      <c r="J7402" s="6" t="s">
        <v>398</v>
      </c>
      <c r="K7402" s="10">
        <v>12.5</v>
      </c>
      <c r="L7402" s="10">
        <v>12.5</v>
      </c>
      <c r="M7402" s="6" t="s">
        <v>480</v>
      </c>
      <c r="N7402" s="6">
        <f>IF(OR($G7402="FCC",$G7402="Hydrocracker",$G7402="Reformer"),IF(COUNTIFS($D:$D,$D7402,$A:$A,$A7402,$B:$B,$B7402,$G:$G,"CDU",$J:$J,"PLANNED")&gt;0,"tied","standalone"),"")</f>
        <v/>
      </c>
    </row>
    <row r="7403" spans="1:14">
      <c r="A7403" s="6">
        <v>2026</v>
      </c>
      <c r="B7403" s="6">
        <v>3</v>
      </c>
      <c r="C7403" s="6" t="s">
        <v>62</v>
      </c>
      <c r="D7403" s="6" t="s">
        <v>41</v>
      </c>
      <c r="E7403" s="6" t="s">
        <v>786</v>
      </c>
      <c r="F7403" s="6" t="str">
        <f>IF($M7403="PADD I","PADD 1",IF($M7403="PADD II","PADD 2",IF($M7403="PADD III","PADD 3",IF($M7403="PADD IV","PADD 4",IF($M7403="PADD V","PADD 5","")))))</f>
        <v>PADD 1</v>
      </c>
      <c r="G7403" s="6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6" t="s">
        <v>44</v>
      </c>
      <c r="I7403" s="6" t="s">
        <v>1061</v>
      </c>
      <c r="J7403" s="6" t="s">
        <v>398</v>
      </c>
      <c r="K7403" s="10">
        <v>12.48</v>
      </c>
      <c r="L7403" s="10">
        <v>26</v>
      </c>
      <c r="M7403" s="6" t="s">
        <v>463</v>
      </c>
      <c r="N7403" s="6">
        <f>IF(OR($G7403="FCC",$G7403="Hydrocracker",$G7403="Reformer"),IF(COUNTIFS($D:$D,$D7403,$A:$A,$A7403,$B:$B,$B7403,$G:$G,"CDU",$J:$J,"PLANNED")&gt;0,"tied","standalone"),"")</f>
        <v/>
      </c>
    </row>
    <row r="7404" spans="1:14">
      <c r="A7404" s="6">
        <v>2026</v>
      </c>
      <c r="B7404" s="6">
        <v>3</v>
      </c>
      <c r="C7404" s="6" t="s">
        <v>62</v>
      </c>
      <c r="D7404" s="6" t="s">
        <v>576</v>
      </c>
      <c r="E7404" s="6" t="s">
        <v>455</v>
      </c>
      <c r="F7404" s="6" t="str">
        <f>IF($M7404="PADD I","PADD 1",IF($M7404="PADD II","PADD 2",IF($M7404="PADD III","PADD 3",IF($M7404="PADD IV","PADD 4",IF($M7404="PADD V","PADD 5","")))))</f>
        <v>PADD 3</v>
      </c>
      <c r="G7404" s="6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6" t="s">
        <v>44</v>
      </c>
      <c r="I7404" s="6" t="s">
        <v>1139</v>
      </c>
      <c r="J7404" s="6" t="s">
        <v>394</v>
      </c>
      <c r="K7404" s="10">
        <v>12.47</v>
      </c>
      <c r="L7404" s="10">
        <v>43</v>
      </c>
      <c r="M7404" s="6" t="s">
        <v>421</v>
      </c>
      <c r="N7404" s="6">
        <f>IF(OR($G7404="FCC",$G7404="Hydrocracker",$G7404="Reformer"),IF(COUNTIFS($D:$D,$D7404,$A:$A,$A7404,$B:$B,$B7404,$G:$G,"CDU",$J:$J,"PLANNED")&gt;0,"tied","standalone"),"")</f>
        <v/>
      </c>
    </row>
    <row r="7405" spans="1:14">
      <c r="A7405" s="6">
        <v>2026</v>
      </c>
      <c r="B7405" s="6">
        <v>3</v>
      </c>
      <c r="C7405" s="6" t="s">
        <v>62</v>
      </c>
      <c r="D7405" s="6" t="s">
        <v>726</v>
      </c>
      <c r="E7405" s="6" t="s">
        <v>727</v>
      </c>
      <c r="F7405" s="6" t="str">
        <f>IF($M7405="PADD I","PADD 1",IF($M7405="PADD II","PADD 2",IF($M7405="PADD III","PADD 3",IF($M7405="PADD IV","PADD 4",IF($M7405="PADD V","PADD 5","")))))</f>
        <v>PADD 1</v>
      </c>
      <c r="G7405" s="6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6" t="s">
        <v>428</v>
      </c>
      <c r="I7405" s="6" t="s">
        <v>1312</v>
      </c>
      <c r="J7405" s="6" t="s">
        <v>394</v>
      </c>
      <c r="K7405" s="10">
        <v>12.09</v>
      </c>
      <c r="L7405" s="10">
        <v>31</v>
      </c>
      <c r="M7405" s="6" t="s">
        <v>463</v>
      </c>
      <c r="N7405" s="6">
        <f>IF(OR($G7405="FCC",$G7405="Hydrocracker",$G7405="Reformer"),IF(COUNTIFS($D:$D,$D7405,$A:$A,$A7405,$B:$B,$B7405,$G:$G,"CDU",$J:$J,"PLANNED")&gt;0,"tied","standalone"),"")</f>
        <v/>
      </c>
    </row>
    <row r="7406" spans="1:14">
      <c r="A7406" s="6">
        <v>2026</v>
      </c>
      <c r="B7406" s="6">
        <v>3</v>
      </c>
      <c r="C7406" s="6" t="s">
        <v>62</v>
      </c>
      <c r="D7406" s="6" t="s">
        <v>371</v>
      </c>
      <c r="E7406" s="6" t="s">
        <v>419</v>
      </c>
      <c r="F7406" s="6" t="str">
        <f>IF($M7406="PADD I","PADD 1",IF($M7406="PADD II","PADD 2",IF($M7406="PADD III","PADD 3",IF($M7406="PADD IV","PADD 4",IF($M7406="PADD V","PADD 5","")))))</f>
        <v>PADD 2</v>
      </c>
      <c r="G7406" s="6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6" t="s">
        <v>494</v>
      </c>
      <c r="I7406" s="6" t="s">
        <v>1188</v>
      </c>
      <c r="J7406" s="6" t="s">
        <v>394</v>
      </c>
      <c r="K7406" s="10">
        <v>12.006</v>
      </c>
      <c r="L7406" s="10">
        <v>52.2</v>
      </c>
      <c r="M7406" s="6" t="s">
        <v>425</v>
      </c>
      <c r="N7406" s="6" t="str">
        <f>IF(OR($G7406="FCC",$G7406="Hydrocracker",$G7406="Reformer"),IF(COUNTIFS($D:$D,$D7406,$A:$A,$A7406,$B:$B,$B7406,$G:$G,"CDU",$J:$J,"PLANNED")&gt;0,"tied","standalone"),"")</f>
        <v>tied</v>
      </c>
    </row>
    <row r="7407" spans="1:14">
      <c r="A7407" s="6">
        <v>2026</v>
      </c>
      <c r="B7407" s="6">
        <v>3</v>
      </c>
      <c r="C7407" s="6" t="s">
        <v>62</v>
      </c>
      <c r="D7407" s="6" t="s">
        <v>712</v>
      </c>
      <c r="E7407" s="6" t="s">
        <v>602</v>
      </c>
      <c r="F7407" s="6" t="str">
        <f>IF($M7407="PADD I","PADD 1",IF($M7407="PADD II","PADD 2",IF($M7407="PADD III","PADD 3",IF($M7407="PADD IV","PADD 4",IF($M7407="PADD V","PADD 5","")))))</f>
        <v>PADD 3</v>
      </c>
      <c r="G7407" s="6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6" t="s">
        <v>44</v>
      </c>
      <c r="I7407" s="6" t="s">
        <v>878</v>
      </c>
      <c r="J7407" s="6" t="s">
        <v>398</v>
      </c>
      <c r="K7407" s="10">
        <v>12</v>
      </c>
      <c r="L7407" s="10">
        <v>12</v>
      </c>
      <c r="M7407" s="6" t="s">
        <v>421</v>
      </c>
      <c r="N7407" s="6">
        <f>IF(OR($G7407="FCC",$G7407="Hydrocracker",$G7407="Reformer"),IF(COUNTIFS($D:$D,$D7407,$A:$A,$A7407,$B:$B,$B7407,$G:$G,"CDU",$J:$J,"PLANNED")&gt;0,"tied","standalone"),"")</f>
        <v/>
      </c>
    </row>
    <row r="7408" spans="1:14">
      <c r="A7408" s="6">
        <v>2026</v>
      </c>
      <c r="B7408" s="6">
        <v>3</v>
      </c>
      <c r="C7408" s="6" t="s">
        <v>62</v>
      </c>
      <c r="D7408" s="6" t="s">
        <v>665</v>
      </c>
      <c r="E7408" s="6" t="s">
        <v>455</v>
      </c>
      <c r="F7408" s="6" t="str">
        <f>IF($M7408="PADD I","PADD 1",IF($M7408="PADD II","PADD 2",IF($M7408="PADD III","PADD 3",IF($M7408="PADD IV","PADD 4",IF($M7408="PADD V","PADD 5","")))))</f>
        <v>PADD 5</v>
      </c>
      <c r="G7408" s="6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6" t="s">
        <v>44</v>
      </c>
      <c r="I7408" s="6" t="s">
        <v>1235</v>
      </c>
      <c r="J7408" s="6" t="s">
        <v>398</v>
      </c>
      <c r="K7408" s="10">
        <v>12</v>
      </c>
      <c r="L7408" s="10">
        <v>12</v>
      </c>
      <c r="M7408" s="6" t="s">
        <v>436</v>
      </c>
      <c r="N7408" s="6">
        <f>IF(OR($G7408="FCC",$G7408="Hydrocracker",$G7408="Reformer"),IF(COUNTIFS($D:$D,$D7408,$A:$A,$A7408,$B:$B,$B7408,$G:$G,"CDU",$J:$J,"PLANNED")&gt;0,"tied","standalone"),"")</f>
        <v/>
      </c>
    </row>
    <row r="7409" spans="1:14">
      <c r="A7409" s="6">
        <v>2026</v>
      </c>
      <c r="B7409" s="6">
        <v>3</v>
      </c>
      <c r="C7409" s="6" t="s">
        <v>62</v>
      </c>
      <c r="D7409" s="6" t="s">
        <v>377</v>
      </c>
      <c r="E7409" s="6" t="s">
        <v>466</v>
      </c>
      <c r="F7409" s="6" t="str">
        <f>IF($M7409="PADD I","PADD 1",IF($M7409="PADD II","PADD 2",IF($M7409="PADD III","PADD 3",IF($M7409="PADD IV","PADD 4",IF($M7409="PADD V","PADD 5","")))))</f>
        <v>PADD 2</v>
      </c>
      <c r="G7409" s="6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6" t="s">
        <v>510</v>
      </c>
      <c r="I7409" s="6" t="s">
        <v>1413</v>
      </c>
      <c r="J7409" s="6" t="s">
        <v>398</v>
      </c>
      <c r="K7409" s="10">
        <v>11.988</v>
      </c>
      <c r="L7409" s="10">
        <v>16.2</v>
      </c>
      <c r="M7409" s="6" t="s">
        <v>425</v>
      </c>
      <c r="N7409" s="6">
        <f>IF(OR($G7409="FCC",$G7409="Hydrocracker",$G7409="Reformer"),IF(COUNTIFS($D:$D,$D7409,$A:$A,$A7409,$B:$B,$B7409,$G:$G,"CDU",$J:$J,"PLANNED")&gt;0,"tied","standalone"),"")</f>
        <v/>
      </c>
    </row>
    <row r="7410" spans="1:14">
      <c r="A7410" s="6">
        <v>2026</v>
      </c>
      <c r="B7410" s="6">
        <v>3</v>
      </c>
      <c r="C7410" s="6" t="s">
        <v>62</v>
      </c>
      <c r="D7410" s="6" t="s">
        <v>507</v>
      </c>
      <c r="E7410" s="6" t="s">
        <v>438</v>
      </c>
      <c r="F7410" s="6" t="str">
        <f>IF($M7410="PADD I","PADD 1",IF($M7410="PADD II","PADD 2",IF($M7410="PADD III","PADD 3",IF($M7410="PADD IV","PADD 4",IF($M7410="PADD V","PADD 5","")))))</f>
        <v>PADD 5</v>
      </c>
      <c r="G7410" s="6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6" t="s">
        <v>428</v>
      </c>
      <c r="I7410" s="6" t="s">
        <v>651</v>
      </c>
      <c r="J7410" s="6" t="s">
        <v>394</v>
      </c>
      <c r="K7410" s="10">
        <v>11.78</v>
      </c>
      <c r="L7410" s="10">
        <v>62</v>
      </c>
      <c r="M7410" s="6" t="s">
        <v>436</v>
      </c>
      <c r="N7410" s="6">
        <f>IF(OR($G7410="FCC",$G7410="Hydrocracker",$G7410="Reformer"),IF(COUNTIFS($D:$D,$D7410,$A:$A,$A7410,$B:$B,$B7410,$G:$G,"CDU",$J:$J,"PLANNED")&gt;0,"tied","standalone"),"")</f>
        <v/>
      </c>
    </row>
    <row r="7411" spans="1:14">
      <c r="A7411" s="6">
        <v>2026</v>
      </c>
      <c r="B7411" s="6">
        <v>3</v>
      </c>
      <c r="C7411" s="6" t="s">
        <v>62</v>
      </c>
      <c r="D7411" s="6" t="s">
        <v>576</v>
      </c>
      <c r="E7411" s="6" t="s">
        <v>455</v>
      </c>
      <c r="F7411" s="6" t="str">
        <f>IF($M7411="PADD I","PADD 1",IF($M7411="PADD II","PADD 2",IF($M7411="PADD III","PADD 3",IF($M7411="PADD IV","PADD 4",IF($M7411="PADD V","PADD 5","")))))</f>
        <v>PADD 3</v>
      </c>
      <c r="G7411" s="6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6" t="s">
        <v>494</v>
      </c>
      <c r="I7411" s="6" t="s">
        <v>400</v>
      </c>
      <c r="J7411" s="6" t="s">
        <v>394</v>
      </c>
      <c r="K7411" s="10">
        <v>11.7</v>
      </c>
      <c r="L7411" s="10">
        <v>45</v>
      </c>
      <c r="M7411" s="6" t="s">
        <v>421</v>
      </c>
      <c r="N7411" s="6" t="str">
        <f>IF(OR($G7411="FCC",$G7411="Hydrocracker",$G7411="Reformer"),IF(COUNTIFS($D:$D,$D7411,$A:$A,$A7411,$B:$B,$B7411,$G:$G,"CDU",$J:$J,"PLANNED")&gt;0,"tied","standalone"),"")</f>
        <v>standalone</v>
      </c>
    </row>
    <row r="7412" spans="1:14">
      <c r="A7412" s="6">
        <v>2026</v>
      </c>
      <c r="B7412" s="6">
        <v>3</v>
      </c>
      <c r="C7412" s="6" t="s">
        <v>62</v>
      </c>
      <c r="D7412" s="6" t="s">
        <v>43</v>
      </c>
      <c r="E7412" s="6" t="s">
        <v>455</v>
      </c>
      <c r="F7412" s="6" t="str">
        <f>IF($M7412="PADD I","PADD 1",IF($M7412="PADD II","PADD 2",IF($M7412="PADD III","PADD 3",IF($M7412="PADD IV","PADD 4",IF($M7412="PADD V","PADD 5","")))))</f>
        <v>PADD 3</v>
      </c>
      <c r="G7412" s="6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6" t="s">
        <v>39</v>
      </c>
      <c r="I7412" s="6" t="s">
        <v>1391</v>
      </c>
      <c r="J7412" s="6" t="s">
        <v>398</v>
      </c>
      <c r="K7412" s="10">
        <v>11.52</v>
      </c>
      <c r="L7412" s="10">
        <v>72</v>
      </c>
      <c r="M7412" s="6" t="s">
        <v>421</v>
      </c>
      <c r="N7412" s="6">
        <f>IF(OR($G7412="FCC",$G7412="Hydrocracker",$G7412="Reformer"),IF(COUNTIFS($D:$D,$D7412,$A:$A,$A7412,$B:$B,$B7412,$G:$G,"CDU",$J:$J,"PLANNED")&gt;0,"tied","standalone"),"")</f>
        <v/>
      </c>
    </row>
    <row r="7413" spans="1:14">
      <c r="A7413" s="6">
        <v>2026</v>
      </c>
      <c r="B7413" s="6">
        <v>3</v>
      </c>
      <c r="C7413" s="6" t="s">
        <v>62</v>
      </c>
      <c r="D7413" s="6" t="s">
        <v>43</v>
      </c>
      <c r="E7413" s="6" t="s">
        <v>455</v>
      </c>
      <c r="F7413" s="6" t="str">
        <f>IF($M7413="PADD I","PADD 1",IF($M7413="PADD II","PADD 2",IF($M7413="PADD III","PADD 3",IF($M7413="PADD IV","PADD 4",IF($M7413="PADD V","PADD 5","")))))</f>
        <v>PADD 3</v>
      </c>
      <c r="G7413" s="6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6" t="s">
        <v>428</v>
      </c>
      <c r="I7413" s="6" t="s">
        <v>1392</v>
      </c>
      <c r="J7413" s="6" t="s">
        <v>398</v>
      </c>
      <c r="K7413" s="10">
        <v>11.2</v>
      </c>
      <c r="L7413" s="10">
        <v>70</v>
      </c>
      <c r="M7413" s="6" t="s">
        <v>421</v>
      </c>
      <c r="N7413" s="6">
        <f>IF(OR($G7413="FCC",$G7413="Hydrocracker",$G7413="Reformer"),IF(COUNTIFS($D:$D,$D7413,$A:$A,$A7413,$B:$B,$B7413,$G:$G,"CDU",$J:$J,"PLANNED")&gt;0,"tied","standalone"),"")</f>
        <v/>
      </c>
    </row>
    <row r="7414" spans="1:14">
      <c r="A7414" s="6">
        <v>2026</v>
      </c>
      <c r="B7414" s="6">
        <v>3</v>
      </c>
      <c r="C7414" s="6" t="s">
        <v>62</v>
      </c>
      <c r="D7414" s="6" t="s">
        <v>49</v>
      </c>
      <c r="E7414" s="6" t="s">
        <v>438</v>
      </c>
      <c r="F7414" s="6" t="str">
        <f>IF($M7414="PADD I","PADD 1",IF($M7414="PADD II","PADD 2",IF($M7414="PADD III","PADD 3",IF($M7414="PADD IV","PADD 4",IF($M7414="PADD V","PADD 5","")))))</f>
        <v>PADD 2</v>
      </c>
      <c r="G7414" s="6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6" t="s">
        <v>44</v>
      </c>
      <c r="I7414" s="6" t="s">
        <v>811</v>
      </c>
      <c r="J7414" s="6" t="s">
        <v>394</v>
      </c>
      <c r="K7414" s="10">
        <v>10.8</v>
      </c>
      <c r="L7414" s="10">
        <v>24</v>
      </c>
      <c r="M7414" s="6" t="s">
        <v>425</v>
      </c>
      <c r="N7414" s="6">
        <f>IF(OR($G7414="FCC",$G7414="Hydrocracker",$G7414="Reformer"),IF(COUNTIFS($D:$D,$D7414,$A:$A,$A7414,$B:$B,$B7414,$G:$G,"CDU",$J:$J,"PLANNED")&gt;0,"tied","standalone"),"")</f>
        <v/>
      </c>
    </row>
    <row r="7415" spans="1:14">
      <c r="A7415" s="6">
        <v>2026</v>
      </c>
      <c r="B7415" s="6">
        <v>3</v>
      </c>
      <c r="C7415" s="6" t="s">
        <v>62</v>
      </c>
      <c r="D7415" s="6" t="s">
        <v>662</v>
      </c>
      <c r="E7415" s="6" t="s">
        <v>466</v>
      </c>
      <c r="F7415" s="6" t="str">
        <f>IF($M7415="PADD I","PADD 1",IF($M7415="PADD II","PADD 2",IF($M7415="PADD III","PADD 3",IF($M7415="PADD IV","PADD 4",IF($M7415="PADD V","PADD 5","")))))</f>
        <v>PADD 3</v>
      </c>
      <c r="G7415" s="6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6" t="s">
        <v>39</v>
      </c>
      <c r="I7415" s="6" t="s">
        <v>82</v>
      </c>
      <c r="J7415" s="6" t="s">
        <v>394</v>
      </c>
      <c r="K7415" s="10">
        <v>10.44</v>
      </c>
      <c r="L7415" s="10">
        <v>174</v>
      </c>
      <c r="M7415" s="6" t="s">
        <v>421</v>
      </c>
      <c r="N7415" s="6">
        <f>IF(OR($G7415="FCC",$G7415="Hydrocracker",$G7415="Reformer"),IF(COUNTIFS($D:$D,$D7415,$A:$A,$A7415,$B:$B,$B7415,$G:$G,"CDU",$J:$J,"PLANNED")&gt;0,"tied","standalone"),"")</f>
        <v/>
      </c>
    </row>
    <row r="7416" spans="1:14">
      <c r="A7416" s="6">
        <v>2026</v>
      </c>
      <c r="B7416" s="6">
        <v>3</v>
      </c>
      <c r="C7416" s="6" t="s">
        <v>62</v>
      </c>
      <c r="D7416" s="6" t="s">
        <v>662</v>
      </c>
      <c r="E7416" s="6" t="s">
        <v>466</v>
      </c>
      <c r="F7416" s="6" t="str">
        <f>IF($M7416="PADD I","PADD 1",IF($M7416="PADD II","PADD 2",IF($M7416="PADD III","PADD 3",IF($M7416="PADD IV","PADD 4",IF($M7416="PADD V","PADD 5","")))))</f>
        <v>PADD 3</v>
      </c>
      <c r="G7416" s="6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6" t="s">
        <v>39</v>
      </c>
      <c r="I7416" s="6" t="s">
        <v>82</v>
      </c>
      <c r="J7416" s="6" t="s">
        <v>394</v>
      </c>
      <c r="K7416" s="10">
        <v>10.44</v>
      </c>
      <c r="L7416" s="10">
        <v>174</v>
      </c>
      <c r="M7416" s="6" t="s">
        <v>421</v>
      </c>
      <c r="N7416" s="6">
        <f>IF(OR($G7416="FCC",$G7416="Hydrocracker",$G7416="Reformer"),IF(COUNTIFS($D:$D,$D7416,$A:$A,$A7416,$B:$B,$B7416,$G:$G,"CDU",$J:$J,"PLANNED")&gt;0,"tied","standalone"),"")</f>
        <v/>
      </c>
    </row>
    <row r="7417" spans="1:14">
      <c r="A7417" s="6">
        <v>2026</v>
      </c>
      <c r="B7417" s="6">
        <v>3</v>
      </c>
      <c r="C7417" s="6" t="s">
        <v>62</v>
      </c>
      <c r="D7417" s="6" t="s">
        <v>512</v>
      </c>
      <c r="E7417" s="6" t="s">
        <v>488</v>
      </c>
      <c r="F7417" s="6" t="str">
        <f>IF($M7417="PADD I","PADD 1",IF($M7417="PADD II","PADD 2",IF($M7417="PADD III","PADD 3",IF($M7417="PADD IV","PADD 4",IF($M7417="PADD V","PADD 5","")))))</f>
        <v>PADD 4</v>
      </c>
      <c r="G7417" s="6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6" t="s">
        <v>44</v>
      </c>
      <c r="I7417" s="6" t="s">
        <v>585</v>
      </c>
      <c r="J7417" s="6" t="s">
        <v>398</v>
      </c>
      <c r="K7417" s="10">
        <v>10.08</v>
      </c>
      <c r="L7417" s="10">
        <v>12</v>
      </c>
      <c r="M7417" s="6" t="s">
        <v>480</v>
      </c>
      <c r="N7417" s="6">
        <f>IF(OR($G7417="FCC",$G7417="Hydrocracker",$G7417="Reformer"),IF(COUNTIFS($D:$D,$D7417,$A:$A,$A7417,$B:$B,$B7417,$G:$G,"CDU",$J:$J,"PLANNED")&gt;0,"tied","standalone"),"")</f>
        <v/>
      </c>
    </row>
    <row r="7418" spans="1:14">
      <c r="A7418" s="6">
        <v>2026</v>
      </c>
      <c r="B7418" s="6">
        <v>3</v>
      </c>
      <c r="C7418" s="6" t="s">
        <v>62</v>
      </c>
      <c r="D7418" s="6" t="s">
        <v>487</v>
      </c>
      <c r="E7418" s="6" t="s">
        <v>488</v>
      </c>
      <c r="F7418" s="6" t="str">
        <f>IF($M7418="PADD I","PADD 1",IF($M7418="PADD II","PADD 2",IF($M7418="PADD III","PADD 3",IF($M7418="PADD IV","PADD 4",IF($M7418="PADD V","PADD 5","")))))</f>
        <v>PADD 4</v>
      </c>
      <c r="G7418" s="6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6" t="s">
        <v>44</v>
      </c>
      <c r="I7418" s="6" t="s">
        <v>543</v>
      </c>
      <c r="J7418" s="6" t="s">
        <v>398</v>
      </c>
      <c r="K7418" s="10">
        <v>10.08</v>
      </c>
      <c r="L7418" s="10">
        <v>21</v>
      </c>
      <c r="M7418" s="6" t="s">
        <v>480</v>
      </c>
      <c r="N7418" s="6">
        <f>IF(OR($G7418="FCC",$G7418="Hydrocracker",$G7418="Reformer"),IF(COUNTIFS($D:$D,$D7418,$A:$A,$A7418,$B:$B,$B7418,$G:$G,"CDU",$J:$J,"PLANNED")&gt;0,"tied","standalone"),"")</f>
        <v/>
      </c>
    </row>
    <row r="7419" spans="1:14">
      <c r="A7419" s="6">
        <v>2026</v>
      </c>
      <c r="B7419" s="6">
        <v>3</v>
      </c>
      <c r="C7419" s="6" t="s">
        <v>62</v>
      </c>
      <c r="D7419" s="6" t="s">
        <v>772</v>
      </c>
      <c r="E7419" s="6" t="s">
        <v>502</v>
      </c>
      <c r="F7419" s="6" t="str">
        <f>IF($M7419="PADD I","PADD 1",IF($M7419="PADD II","PADD 2",IF($M7419="PADD III","PADD 3",IF($M7419="PADD IV","PADD 4",IF($M7419="PADD V","PADD 5","")))))</f>
        <v>PADD 4</v>
      </c>
      <c r="G7419" s="6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6" t="s">
        <v>44</v>
      </c>
      <c r="I7419" s="6" t="s">
        <v>1414</v>
      </c>
      <c r="J7419" s="6" t="s">
        <v>398</v>
      </c>
      <c r="K7419" s="10">
        <v>10</v>
      </c>
      <c r="L7419" s="10">
        <v>10</v>
      </c>
      <c r="M7419" s="6" t="s">
        <v>480</v>
      </c>
      <c r="N7419" s="6">
        <f>IF(OR($G7419="FCC",$G7419="Hydrocracker",$G7419="Reformer"),IF(COUNTIFS($D:$D,$D7419,$A:$A,$A7419,$B:$B,$B7419,$G:$G,"CDU",$J:$J,"PLANNED")&gt;0,"tied","standalone"),"")</f>
        <v/>
      </c>
    </row>
    <row r="7420" spans="1:14">
      <c r="A7420" s="6">
        <v>2026</v>
      </c>
      <c r="B7420" s="6">
        <v>3</v>
      </c>
      <c r="C7420" s="6" t="s">
        <v>62</v>
      </c>
      <c r="D7420" s="6" t="s">
        <v>984</v>
      </c>
      <c r="E7420" s="6" t="s">
        <v>438</v>
      </c>
      <c r="F7420" s="6" t="str">
        <f>IF($M7420="PADD I","PADD 1",IF($M7420="PADD II","PADD 2",IF($M7420="PADD III","PADD 3",IF($M7420="PADD IV","PADD 4",IF($M7420="PADD V","PADD 5","")))))</f>
        <v>PADD 3</v>
      </c>
      <c r="G7420" s="6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6" t="s">
        <v>39</v>
      </c>
      <c r="I7420" s="6" t="s">
        <v>136</v>
      </c>
      <c r="J7420" s="6" t="s">
        <v>398</v>
      </c>
      <c r="K7420" s="10">
        <v>9.75</v>
      </c>
      <c r="L7420" s="10">
        <v>75</v>
      </c>
      <c r="M7420" s="6" t="s">
        <v>421</v>
      </c>
      <c r="N7420" s="6">
        <f>IF(OR($G7420="FCC",$G7420="Hydrocracker",$G7420="Reformer"),IF(COUNTIFS($D:$D,$D7420,$A:$A,$A7420,$B:$B,$B7420,$G:$G,"CDU",$J:$J,"PLANNED")&gt;0,"tied","standalone"),"")</f>
        <v/>
      </c>
    </row>
    <row r="7421" spans="1:14">
      <c r="A7421" s="6">
        <v>2026</v>
      </c>
      <c r="B7421" s="6">
        <v>3</v>
      </c>
      <c r="C7421" s="6" t="s">
        <v>62</v>
      </c>
      <c r="D7421" s="6" t="s">
        <v>1110</v>
      </c>
      <c r="E7421" s="6" t="s">
        <v>1089</v>
      </c>
      <c r="F7421" s="6" t="str">
        <f>IF($M7421="PADD I","PADD 1",IF($M7421="PADD II","PADD 2",IF($M7421="PADD III","PADD 3",IF($M7421="PADD IV","PADD 4",IF($M7421="PADD V","PADD 5","")))))</f>
        <v>PADD 2</v>
      </c>
      <c r="G7421" s="6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6" t="s">
        <v>44</v>
      </c>
      <c r="I7421" s="6" t="s">
        <v>1244</v>
      </c>
      <c r="J7421" s="6" t="s">
        <v>398</v>
      </c>
      <c r="K7421" s="10">
        <v>9.75</v>
      </c>
      <c r="L7421" s="10">
        <v>25</v>
      </c>
      <c r="M7421" s="6" t="s">
        <v>425</v>
      </c>
      <c r="N7421" s="6">
        <f>IF(OR($G7421="FCC",$G7421="Hydrocracker",$G7421="Reformer"),IF(COUNTIFS($D:$D,$D7421,$A:$A,$A7421,$B:$B,$B7421,$G:$G,"CDU",$J:$J,"PLANNED")&gt;0,"tied","standalone"),"")</f>
        <v/>
      </c>
    </row>
    <row r="7422" spans="1:14">
      <c r="A7422" s="6">
        <v>2026</v>
      </c>
      <c r="B7422" s="6">
        <v>3</v>
      </c>
      <c r="C7422" s="6" t="s">
        <v>62</v>
      </c>
      <c r="D7422" s="6" t="s">
        <v>49</v>
      </c>
      <c r="E7422" s="6" t="s">
        <v>438</v>
      </c>
      <c r="F7422" s="6" t="str">
        <f>IF($M7422="PADD I","PADD 1",IF($M7422="PADD II","PADD 2",IF($M7422="PADD III","PADD 3",IF($M7422="PADD IV","PADD 4",IF($M7422="PADD V","PADD 5","")))))</f>
        <v>PADD 2</v>
      </c>
      <c r="G7422" s="6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6" t="s">
        <v>618</v>
      </c>
      <c r="I7422" s="6" t="s">
        <v>654</v>
      </c>
      <c r="J7422" s="6" t="s">
        <v>398</v>
      </c>
      <c r="K7422" s="10">
        <v>9.555</v>
      </c>
      <c r="L7422" s="10">
        <v>14.7</v>
      </c>
      <c r="M7422" s="6" t="s">
        <v>425</v>
      </c>
      <c r="N7422" s="6">
        <f>IF(OR($G7422="FCC",$G7422="Hydrocracker",$G7422="Reformer"),IF(COUNTIFS($D:$D,$D7422,$A:$A,$A7422,$B:$B,$B7422,$G:$G,"CDU",$J:$J,"PLANNED")&gt;0,"tied","standalone"),"")</f>
        <v/>
      </c>
    </row>
    <row r="7423" spans="1:14">
      <c r="A7423" s="6">
        <v>2026</v>
      </c>
      <c r="B7423" s="6">
        <v>3</v>
      </c>
      <c r="C7423" s="6" t="s">
        <v>62</v>
      </c>
      <c r="D7423" s="6" t="s">
        <v>789</v>
      </c>
      <c r="E7423" s="6" t="s">
        <v>455</v>
      </c>
      <c r="F7423" s="6" t="str">
        <f>IF($M7423="PADD I","PADD 1",IF($M7423="PADD II","PADD 2",IF($M7423="PADD III","PADD 3",IF($M7423="PADD IV","PADD 4",IF($M7423="PADD V","PADD 5","")))))</f>
        <v>PADD 2</v>
      </c>
      <c r="G7423" s="6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6" t="s">
        <v>39</v>
      </c>
      <c r="I7423" s="6" t="s">
        <v>134</v>
      </c>
      <c r="J7423" s="6" t="s">
        <v>394</v>
      </c>
      <c r="K7423" s="10">
        <v>9.15</v>
      </c>
      <c r="L7423" s="10">
        <v>91.5</v>
      </c>
      <c r="M7423" s="6" t="s">
        <v>425</v>
      </c>
      <c r="N7423" s="6">
        <f>IF(OR($G7423="FCC",$G7423="Hydrocracker",$G7423="Reformer"),IF(COUNTIFS($D:$D,$D7423,$A:$A,$A7423,$B:$B,$B7423,$G:$G,"CDU",$J:$J,"PLANNED")&gt;0,"tied","standalone"),"")</f>
        <v/>
      </c>
    </row>
    <row r="7424" spans="1:14">
      <c r="A7424" s="6">
        <v>2026</v>
      </c>
      <c r="B7424" s="6">
        <v>3</v>
      </c>
      <c r="C7424" s="6" t="s">
        <v>62</v>
      </c>
      <c r="D7424" s="6" t="s">
        <v>838</v>
      </c>
      <c r="E7424" s="6" t="s">
        <v>455</v>
      </c>
      <c r="F7424" s="6" t="str">
        <f>IF($M7424="PADD I","PADD 1",IF($M7424="PADD II","PADD 2",IF($M7424="PADD III","PADD 3",IF($M7424="PADD IV","PADD 4",IF($M7424="PADD V","PADD 5","")))))</f>
        <v>PADD 3</v>
      </c>
      <c r="G7424" s="6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6" t="s">
        <v>494</v>
      </c>
      <c r="I7424" s="6" t="s">
        <v>881</v>
      </c>
      <c r="J7424" s="6" t="s">
        <v>394</v>
      </c>
      <c r="K7424" s="10">
        <v>8.800000000000001</v>
      </c>
      <c r="L7424" s="10">
        <v>55</v>
      </c>
      <c r="M7424" s="6" t="s">
        <v>421</v>
      </c>
      <c r="N7424" s="6" t="str">
        <f>IF(OR($G7424="FCC",$G7424="Hydrocracker",$G7424="Reformer"),IF(COUNTIFS($D:$D,$D7424,$A:$A,$A7424,$B:$B,$B7424,$G:$G,"CDU",$J:$J,"PLANNED")&gt;0,"tied","standalone"),"")</f>
        <v>standalone</v>
      </c>
    </row>
    <row r="7425" spans="1:14">
      <c r="A7425" s="6">
        <v>2026</v>
      </c>
      <c r="B7425" s="6">
        <v>3</v>
      </c>
      <c r="C7425" s="6" t="s">
        <v>62</v>
      </c>
      <c r="D7425" s="6" t="s">
        <v>576</v>
      </c>
      <c r="E7425" s="6" t="s">
        <v>455</v>
      </c>
      <c r="F7425" s="6" t="str">
        <f>IF($M7425="PADD I","PADD 1",IF($M7425="PADD II","PADD 2",IF($M7425="PADD III","PADD 3",IF($M7425="PADD IV","PADD 4",IF($M7425="PADD V","PADD 5","")))))</f>
        <v>PADD 3</v>
      </c>
      <c r="G7425" s="6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6" t="s">
        <v>44</v>
      </c>
      <c r="I7425" s="6" t="s">
        <v>1415</v>
      </c>
      <c r="J7425" s="6" t="s">
        <v>394</v>
      </c>
      <c r="K7425" s="10">
        <v>8.699999999999999</v>
      </c>
      <c r="L7425" s="10">
        <v>30</v>
      </c>
      <c r="M7425" s="6" t="s">
        <v>421</v>
      </c>
      <c r="N7425" s="6">
        <f>IF(OR($G7425="FCC",$G7425="Hydrocracker",$G7425="Reformer"),IF(COUNTIFS($D:$D,$D7425,$A:$A,$A7425,$B:$B,$B7425,$G:$G,"CDU",$J:$J,"PLANNED")&gt;0,"tied","standalone"),"")</f>
        <v/>
      </c>
    </row>
    <row r="7426" spans="1:14">
      <c r="A7426" s="6">
        <v>2026</v>
      </c>
      <c r="B7426" s="6">
        <v>3</v>
      </c>
      <c r="C7426" s="6" t="s">
        <v>62</v>
      </c>
      <c r="D7426" s="6" t="s">
        <v>772</v>
      </c>
      <c r="E7426" s="6" t="s">
        <v>502</v>
      </c>
      <c r="F7426" s="6" t="str">
        <f>IF($M7426="PADD I","PADD 1",IF($M7426="PADD II","PADD 2",IF($M7426="PADD III","PADD 3",IF($M7426="PADD IV","PADD 4",IF($M7426="PADD V","PADD 5","")))))</f>
        <v>PADD 4</v>
      </c>
      <c r="G7426" s="6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6" t="s">
        <v>426</v>
      </c>
      <c r="I7426" s="6" t="s">
        <v>1156</v>
      </c>
      <c r="J7426" s="6" t="s">
        <v>398</v>
      </c>
      <c r="K7426" s="10">
        <v>8.632999999999999</v>
      </c>
      <c r="L7426" s="10">
        <v>8.9</v>
      </c>
      <c r="M7426" s="6" t="s">
        <v>480</v>
      </c>
      <c r="N7426" s="6" t="str">
        <f>IF(OR($G7426="FCC",$G7426="Hydrocracker",$G7426="Reformer"),IF(COUNTIFS($D:$D,$D7426,$A:$A,$A7426,$B:$B,$B7426,$G:$G,"CDU",$J:$J,"PLANNED")&gt;0,"tied","standalone"),"")</f>
        <v>standalone</v>
      </c>
    </row>
    <row r="7427" spans="1:14">
      <c r="A7427" s="6">
        <v>2026</v>
      </c>
      <c r="B7427" s="6">
        <v>3</v>
      </c>
      <c r="C7427" s="6" t="s">
        <v>62</v>
      </c>
      <c r="D7427" s="6" t="s">
        <v>43</v>
      </c>
      <c r="E7427" s="6" t="s">
        <v>455</v>
      </c>
      <c r="F7427" s="6" t="str">
        <f>IF($M7427="PADD I","PADD 1",IF($M7427="PADD II","PADD 2",IF($M7427="PADD III","PADD 3",IF($M7427="PADD IV","PADD 4",IF($M7427="PADD V","PADD 5","")))))</f>
        <v>PADD 3</v>
      </c>
      <c r="G7427" s="6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6" t="s">
        <v>39</v>
      </c>
      <c r="I7427" s="6" t="s">
        <v>1393</v>
      </c>
      <c r="J7427" s="6" t="s">
        <v>398</v>
      </c>
      <c r="K7427" s="10">
        <v>8.48</v>
      </c>
      <c r="L7427" s="10">
        <v>53</v>
      </c>
      <c r="M7427" s="6" t="s">
        <v>421</v>
      </c>
      <c r="N7427" s="6">
        <f>IF(OR($G7427="FCC",$G7427="Hydrocracker",$G7427="Reformer"),IF(COUNTIFS($D:$D,$D7427,$A:$A,$A7427,$B:$B,$B7427,$G:$G,"CDU",$J:$J,"PLANNED")&gt;0,"tied","standalone"),"")</f>
        <v/>
      </c>
    </row>
    <row r="7428" spans="1:14">
      <c r="A7428" s="6">
        <v>2026</v>
      </c>
      <c r="B7428" s="6">
        <v>3</v>
      </c>
      <c r="C7428" s="6" t="s">
        <v>62</v>
      </c>
      <c r="D7428" s="6" t="s">
        <v>487</v>
      </c>
      <c r="E7428" s="6" t="s">
        <v>488</v>
      </c>
      <c r="F7428" s="6" t="str">
        <f>IF($M7428="PADD I","PADD 1",IF($M7428="PADD II","PADD 2",IF($M7428="PADD III","PADD 3",IF($M7428="PADD IV","PADD 4",IF($M7428="PADD V","PADD 5","")))))</f>
        <v>PADD 4</v>
      </c>
      <c r="G7428" s="6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6" t="s">
        <v>428</v>
      </c>
      <c r="I7428" s="6" t="s">
        <v>606</v>
      </c>
      <c r="J7428" s="6" t="s">
        <v>398</v>
      </c>
      <c r="K7428" s="10">
        <v>8.4</v>
      </c>
      <c r="L7428" s="10">
        <v>10</v>
      </c>
      <c r="M7428" s="6" t="s">
        <v>480</v>
      </c>
      <c r="N7428" s="6">
        <f>IF(OR($G7428="FCC",$G7428="Hydrocracker",$G7428="Reformer"),IF(COUNTIFS($D:$D,$D7428,$A:$A,$A7428,$B:$B,$B7428,$G:$G,"CDU",$J:$J,"PLANNED")&gt;0,"tied","standalone"),"")</f>
        <v/>
      </c>
    </row>
    <row r="7429" spans="1:14">
      <c r="A7429" s="6">
        <v>2026</v>
      </c>
      <c r="B7429" s="6">
        <v>3</v>
      </c>
      <c r="C7429" s="6" t="s">
        <v>62</v>
      </c>
      <c r="D7429" s="6" t="s">
        <v>512</v>
      </c>
      <c r="E7429" s="6" t="s">
        <v>488</v>
      </c>
      <c r="F7429" s="6" t="str">
        <f>IF($M7429="PADD I","PADD 1",IF($M7429="PADD II","PADD 2",IF($M7429="PADD III","PADD 3",IF($M7429="PADD IV","PADD 4",IF($M7429="PADD V","PADD 5","")))))</f>
        <v>PADD 4</v>
      </c>
      <c r="G7429" s="6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6" t="s">
        <v>44</v>
      </c>
      <c r="I7429" s="6" t="s">
        <v>608</v>
      </c>
      <c r="J7429" s="6" t="s">
        <v>398</v>
      </c>
      <c r="K7429" s="10">
        <v>8.4</v>
      </c>
      <c r="L7429" s="10">
        <v>10</v>
      </c>
      <c r="M7429" s="6" t="s">
        <v>480</v>
      </c>
      <c r="N7429" s="6">
        <f>IF(OR($G7429="FCC",$G7429="Hydrocracker",$G7429="Reformer"),IF(COUNTIFS($D:$D,$D7429,$A:$A,$A7429,$B:$B,$B7429,$G:$G,"CDU",$J:$J,"PLANNED")&gt;0,"tied","standalone"),"")</f>
        <v/>
      </c>
    </row>
    <row r="7430" spans="1:14">
      <c r="A7430" s="6">
        <v>2026</v>
      </c>
      <c r="B7430" s="6">
        <v>3</v>
      </c>
      <c r="C7430" s="6" t="s">
        <v>62</v>
      </c>
      <c r="D7430" s="6" t="s">
        <v>512</v>
      </c>
      <c r="E7430" s="6" t="s">
        <v>488</v>
      </c>
      <c r="F7430" s="6" t="str">
        <f>IF($M7430="PADD I","PADD 1",IF($M7430="PADD II","PADD 2",IF($M7430="PADD III","PADD 3",IF($M7430="PADD IV","PADD 4",IF($M7430="PADD V","PADD 5","")))))</f>
        <v>PADD 4</v>
      </c>
      <c r="G7430" s="6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6" t="s">
        <v>44</v>
      </c>
      <c r="I7430" s="6" t="s">
        <v>543</v>
      </c>
      <c r="J7430" s="6" t="s">
        <v>398</v>
      </c>
      <c r="K7430" s="10">
        <v>8.4</v>
      </c>
      <c r="L7430" s="10">
        <v>10</v>
      </c>
      <c r="M7430" s="6" t="s">
        <v>480</v>
      </c>
      <c r="N7430" s="6">
        <f>IF(OR($G7430="FCC",$G7430="Hydrocracker",$G7430="Reformer"),IF(COUNTIFS($D:$D,$D7430,$A:$A,$A7430,$B:$B,$B7430,$G:$G,"CDU",$J:$J,"PLANNED")&gt;0,"tied","standalone"),"")</f>
        <v/>
      </c>
    </row>
    <row r="7431" spans="1:14">
      <c r="A7431" s="6">
        <v>2026</v>
      </c>
      <c r="B7431" s="6">
        <v>3</v>
      </c>
      <c r="C7431" s="6" t="s">
        <v>62</v>
      </c>
      <c r="D7431" s="6" t="s">
        <v>437</v>
      </c>
      <c r="E7431" s="6" t="s">
        <v>438</v>
      </c>
      <c r="F7431" s="6" t="str">
        <f>IF($M7431="PADD I","PADD 1",IF($M7431="PADD II","PADD 2",IF($M7431="PADD III","PADD 3",IF($M7431="PADD IV","PADD 4",IF($M7431="PADD V","PADD 5","")))))</f>
        <v>PADD 3</v>
      </c>
      <c r="G7431" s="6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6" t="s">
        <v>510</v>
      </c>
      <c r="I7431" s="6" t="s">
        <v>1395</v>
      </c>
      <c r="J7431" s="6" t="s">
        <v>398</v>
      </c>
      <c r="K7431" s="10">
        <v>8.19</v>
      </c>
      <c r="L7431" s="10">
        <v>31.5</v>
      </c>
      <c r="M7431" s="6" t="s">
        <v>421</v>
      </c>
      <c r="N7431" s="6">
        <f>IF(OR($G7431="FCC",$G7431="Hydrocracker",$G7431="Reformer"),IF(COUNTIFS($D:$D,$D7431,$A:$A,$A7431,$B:$B,$B7431,$G:$G,"CDU",$J:$J,"PLANNED")&gt;0,"tied","standalone"),"")</f>
        <v/>
      </c>
    </row>
    <row r="7432" spans="1:14">
      <c r="A7432" s="6">
        <v>2026</v>
      </c>
      <c r="B7432" s="6">
        <v>3</v>
      </c>
      <c r="C7432" s="6" t="s">
        <v>62</v>
      </c>
      <c r="D7432" s="6" t="s">
        <v>849</v>
      </c>
      <c r="E7432" s="6" t="s">
        <v>441</v>
      </c>
      <c r="F7432" s="6" t="str">
        <f>IF($M7432="PADD I","PADD 1",IF($M7432="PADD II","PADD 2",IF($M7432="PADD III","PADD 3",IF($M7432="PADD IV","PADD 4",IF($M7432="PADD V","PADD 5","")))))</f>
        <v>PADD 4</v>
      </c>
      <c r="G7432" s="6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6" t="s">
        <v>44</v>
      </c>
      <c r="I7432" s="6" t="s">
        <v>850</v>
      </c>
      <c r="J7432" s="6" t="s">
        <v>394</v>
      </c>
      <c r="K7432" s="10">
        <v>8.090999999999999</v>
      </c>
      <c r="L7432" s="10">
        <v>27.9</v>
      </c>
      <c r="M7432" s="6" t="s">
        <v>480</v>
      </c>
      <c r="N7432" s="6">
        <f>IF(OR($G7432="FCC",$G7432="Hydrocracker",$G7432="Reformer"),IF(COUNTIFS($D:$D,$D7432,$A:$A,$A7432,$B:$B,$B7432,$G:$G,"CDU",$J:$J,"PLANNED")&gt;0,"tied","standalone"),"")</f>
        <v/>
      </c>
    </row>
    <row r="7433" spans="1:14">
      <c r="A7433" s="6">
        <v>2026</v>
      </c>
      <c r="B7433" s="6">
        <v>3</v>
      </c>
      <c r="C7433" s="6" t="s">
        <v>62</v>
      </c>
      <c r="D7433" s="6" t="s">
        <v>772</v>
      </c>
      <c r="E7433" s="6" t="s">
        <v>502</v>
      </c>
      <c r="F7433" s="6" t="str">
        <f>IF($M7433="PADD I","PADD 1",IF($M7433="PADD II","PADD 2",IF($M7433="PADD III","PADD 3",IF($M7433="PADD IV","PADD 4",IF($M7433="PADD V","PADD 5","")))))</f>
        <v>PADD 4</v>
      </c>
      <c r="G7433" s="6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6" t="s">
        <v>471</v>
      </c>
      <c r="I7433" s="6" t="s">
        <v>1157</v>
      </c>
      <c r="J7433" s="6" t="s">
        <v>398</v>
      </c>
      <c r="K7433" s="10">
        <v>8</v>
      </c>
      <c r="L7433" s="10">
        <v>8</v>
      </c>
      <c r="M7433" s="6" t="s">
        <v>480</v>
      </c>
      <c r="N7433" s="6" t="str">
        <f>IF(OR($G7433="FCC",$G7433="Hydrocracker",$G7433="Reformer"),IF(COUNTIFS($D:$D,$D7433,$A:$A,$A7433,$B:$B,$B7433,$G:$G,"CDU",$J:$J,"PLANNED")&gt;0,"tied","standalone"),"")</f>
        <v>standalone</v>
      </c>
    </row>
    <row r="7434" spans="1:14">
      <c r="A7434" s="6">
        <v>2026</v>
      </c>
      <c r="B7434" s="6">
        <v>3</v>
      </c>
      <c r="C7434" s="6" t="s">
        <v>62</v>
      </c>
      <c r="D7434" s="6" t="s">
        <v>437</v>
      </c>
      <c r="E7434" s="6" t="s">
        <v>438</v>
      </c>
      <c r="F7434" s="6" t="str">
        <f>IF($M7434="PADD I","PADD 1",IF($M7434="PADD II","PADD 2",IF($M7434="PADD III","PADD 3",IF($M7434="PADD IV","PADD 4",IF($M7434="PADD V","PADD 5","")))))</f>
        <v>PADD 3</v>
      </c>
      <c r="G7434" s="6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6" t="s">
        <v>39</v>
      </c>
      <c r="I7434" s="6" t="s">
        <v>439</v>
      </c>
      <c r="J7434" s="6" t="s">
        <v>398</v>
      </c>
      <c r="K7434" s="10">
        <v>7.8</v>
      </c>
      <c r="L7434" s="10">
        <v>30</v>
      </c>
      <c r="M7434" s="6" t="s">
        <v>421</v>
      </c>
      <c r="N7434" s="6">
        <f>IF(OR($G7434="FCC",$G7434="Hydrocracker",$G7434="Reformer"),IF(COUNTIFS($D:$D,$D7434,$A:$A,$A7434,$B:$B,$B7434,$G:$G,"CDU",$J:$J,"PLANNED")&gt;0,"tied","standalone"),"")</f>
        <v/>
      </c>
    </row>
    <row r="7435" spans="1:14">
      <c r="A7435" s="6">
        <v>2026</v>
      </c>
      <c r="B7435" s="6">
        <v>3</v>
      </c>
      <c r="C7435" s="6" t="s">
        <v>62</v>
      </c>
      <c r="D7435" s="6" t="s">
        <v>772</v>
      </c>
      <c r="E7435" s="6" t="s">
        <v>502</v>
      </c>
      <c r="F7435" s="6" t="str">
        <f>IF($M7435="PADD I","PADD 1",IF($M7435="PADD II","PADD 2",IF($M7435="PADD III","PADD 3",IF($M7435="PADD IV","PADD 4",IF($M7435="PADD V","PADD 5","")))))</f>
        <v>PADD 4</v>
      </c>
      <c r="G7435" s="6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6" t="s">
        <v>494</v>
      </c>
      <c r="I7435" s="6" t="s">
        <v>1197</v>
      </c>
      <c r="J7435" s="6" t="s">
        <v>398</v>
      </c>
      <c r="K7435" s="10">
        <v>7.8</v>
      </c>
      <c r="L7435" s="10">
        <v>15</v>
      </c>
      <c r="M7435" s="6" t="s">
        <v>480</v>
      </c>
      <c r="N7435" s="6" t="str">
        <f>IF(OR($G7435="FCC",$G7435="Hydrocracker",$G7435="Reformer"),IF(COUNTIFS($D:$D,$D7435,$A:$A,$A7435,$B:$B,$B7435,$G:$G,"CDU",$J:$J,"PLANNED")&gt;0,"tied","standalone"),"")</f>
        <v>standalone</v>
      </c>
    </row>
    <row r="7436" spans="1:14">
      <c r="A7436" s="6">
        <v>2026</v>
      </c>
      <c r="B7436" s="6">
        <v>3</v>
      </c>
      <c r="C7436" s="6" t="s">
        <v>62</v>
      </c>
      <c r="D7436" s="6" t="s">
        <v>712</v>
      </c>
      <c r="E7436" s="6" t="s">
        <v>602</v>
      </c>
      <c r="F7436" s="6" t="str">
        <f>IF($M7436="PADD I","PADD 1",IF($M7436="PADD II","PADD 2",IF($M7436="PADD III","PADD 3",IF($M7436="PADD IV","PADD 4",IF($M7436="PADD V","PADD 5","")))))</f>
        <v>PADD 3</v>
      </c>
      <c r="G7436" s="6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6" t="s">
        <v>573</v>
      </c>
      <c r="I7436" s="6" t="s">
        <v>574</v>
      </c>
      <c r="J7436" s="6" t="s">
        <v>398</v>
      </c>
      <c r="K7436" s="10">
        <v>7.6</v>
      </c>
      <c r="L7436" s="10">
        <v>7.6</v>
      </c>
      <c r="M7436" s="6" t="s">
        <v>421</v>
      </c>
      <c r="N7436" s="6">
        <f>IF(OR($G7436="FCC",$G7436="Hydrocracker",$G7436="Reformer"),IF(COUNTIFS($D:$D,$D7436,$A:$A,$A7436,$B:$B,$B7436,$G:$G,"CDU",$J:$J,"PLANNED")&gt;0,"tied","standalone"),"")</f>
        <v/>
      </c>
    </row>
    <row r="7437" spans="1:14">
      <c r="A7437" s="6">
        <v>2026</v>
      </c>
      <c r="B7437" s="6">
        <v>3</v>
      </c>
      <c r="C7437" s="6" t="s">
        <v>62</v>
      </c>
      <c r="D7437" s="6" t="s">
        <v>1110</v>
      </c>
      <c r="E7437" s="6" t="s">
        <v>1089</v>
      </c>
      <c r="F7437" s="6" t="str">
        <f>IF($M7437="PADD I","PADD 1",IF($M7437="PADD II","PADD 2",IF($M7437="PADD III","PADD 3",IF($M7437="PADD IV","PADD 4",IF($M7437="PADD V","PADD 5","")))))</f>
        <v>PADD 2</v>
      </c>
      <c r="G7437" s="6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6" t="s">
        <v>510</v>
      </c>
      <c r="I7437" s="6" t="s">
        <v>666</v>
      </c>
      <c r="J7437" s="6" t="s">
        <v>398</v>
      </c>
      <c r="K7437" s="10">
        <v>7.41</v>
      </c>
      <c r="L7437" s="10">
        <v>19</v>
      </c>
      <c r="M7437" s="6" t="s">
        <v>425</v>
      </c>
      <c r="N7437" s="6">
        <f>IF(OR($G7437="FCC",$G7437="Hydrocracker",$G7437="Reformer"),IF(COUNTIFS($D:$D,$D7437,$A:$A,$A7437,$B:$B,$B7437,$G:$G,"CDU",$J:$J,"PLANNED")&gt;0,"tied","standalone"),"")</f>
        <v/>
      </c>
    </row>
    <row r="7438" spans="1:14">
      <c r="A7438" s="6">
        <v>2026</v>
      </c>
      <c r="B7438" s="6">
        <v>3</v>
      </c>
      <c r="C7438" s="6" t="s">
        <v>62</v>
      </c>
      <c r="D7438" s="6" t="s">
        <v>43</v>
      </c>
      <c r="E7438" s="6" t="s">
        <v>455</v>
      </c>
      <c r="F7438" s="6" t="str">
        <f>IF($M7438="PADD I","PADD 1",IF($M7438="PADD II","PADD 2",IF($M7438="PADD III","PADD 3",IF($M7438="PADD IV","PADD 4",IF($M7438="PADD V","PADD 5","")))))</f>
        <v>PADD 3</v>
      </c>
      <c r="G7438" s="6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6" t="s">
        <v>428</v>
      </c>
      <c r="I7438" s="6" t="s">
        <v>1394</v>
      </c>
      <c r="J7438" s="6" t="s">
        <v>398</v>
      </c>
      <c r="K7438" s="10">
        <v>7.2</v>
      </c>
      <c r="L7438" s="10">
        <v>45</v>
      </c>
      <c r="M7438" s="6" t="s">
        <v>421</v>
      </c>
      <c r="N7438" s="6">
        <f>IF(OR($G7438="FCC",$G7438="Hydrocracker",$G7438="Reformer"),IF(COUNTIFS($D:$D,$D7438,$A:$A,$A7438,$B:$B,$B7438,$G:$G,"CDU",$J:$J,"PLANNED")&gt;0,"tied","standalone"),"")</f>
        <v/>
      </c>
    </row>
    <row r="7439" spans="1:14">
      <c r="A7439" s="6">
        <v>2026</v>
      </c>
      <c r="B7439" s="6">
        <v>3</v>
      </c>
      <c r="C7439" s="6" t="s">
        <v>62</v>
      </c>
      <c r="D7439" s="6" t="s">
        <v>49</v>
      </c>
      <c r="E7439" s="6" t="s">
        <v>438</v>
      </c>
      <c r="F7439" s="6" t="str">
        <f>IF($M7439="PADD I","PADD 1",IF($M7439="PADD II","PADD 2",IF($M7439="PADD III","PADD 3",IF($M7439="PADD IV","PADD 4",IF($M7439="PADD V","PADD 5","")))))</f>
        <v>PADD 2</v>
      </c>
      <c r="G7439" s="6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6" t="s">
        <v>687</v>
      </c>
      <c r="I7439" s="6" t="s">
        <v>654</v>
      </c>
      <c r="J7439" s="6" t="s">
        <v>398</v>
      </c>
      <c r="K7439" s="10">
        <v>7.2</v>
      </c>
      <c r="L7439" s="10">
        <v>16</v>
      </c>
      <c r="M7439" s="6" t="s">
        <v>425</v>
      </c>
      <c r="N7439" s="6">
        <f>IF(OR($G7439="FCC",$G7439="Hydrocracker",$G7439="Reformer"),IF(COUNTIFS($D:$D,$D7439,$A:$A,$A7439,$B:$B,$B7439,$G:$G,"CDU",$J:$J,"PLANNED")&gt;0,"tied","standalone"),"")</f>
        <v/>
      </c>
    </row>
    <row r="7440" spans="1:14">
      <c r="A7440" s="6">
        <v>2026</v>
      </c>
      <c r="B7440" s="6">
        <v>3</v>
      </c>
      <c r="C7440" s="6" t="s">
        <v>62</v>
      </c>
      <c r="D7440" s="6" t="s">
        <v>49</v>
      </c>
      <c r="E7440" s="6" t="s">
        <v>438</v>
      </c>
      <c r="F7440" s="6" t="str">
        <f>IF($M7440="PADD I","PADD 1",IF($M7440="PADD II","PADD 2",IF($M7440="PADD III","PADD 3",IF($M7440="PADD IV","PADD 4",IF($M7440="PADD V","PADD 5","")))))</f>
        <v>PADD 2</v>
      </c>
      <c r="G7440" s="6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6" t="s">
        <v>485</v>
      </c>
      <c r="I7440" s="6" t="s">
        <v>804</v>
      </c>
      <c r="J7440" s="6" t="s">
        <v>398</v>
      </c>
      <c r="K7440" s="10">
        <v>6.75</v>
      </c>
      <c r="L7440" s="10">
        <v>15</v>
      </c>
      <c r="M7440" s="6" t="s">
        <v>425</v>
      </c>
      <c r="N7440" s="6">
        <f>IF(OR($G7440="FCC",$G7440="Hydrocracker",$G7440="Reformer"),IF(COUNTIFS($D:$D,$D7440,$A:$A,$A7440,$B:$B,$B7440,$G:$G,"CDU",$J:$J,"PLANNED")&gt;0,"tied","standalone"),"")</f>
        <v/>
      </c>
    </row>
    <row r="7441" spans="1:14">
      <c r="A7441" s="6">
        <v>2026</v>
      </c>
      <c r="B7441" s="6">
        <v>3</v>
      </c>
      <c r="C7441" s="6" t="s">
        <v>62</v>
      </c>
      <c r="D7441" s="6" t="s">
        <v>422</v>
      </c>
      <c r="E7441" s="6" t="s">
        <v>423</v>
      </c>
      <c r="F7441" s="6" t="str">
        <f>IF($M7441="PADD I","PADD 1",IF($M7441="PADD II","PADD 2",IF($M7441="PADD III","PADD 3",IF($M7441="PADD IV","PADD 4",IF($M7441="PADD V","PADD 5","")))))</f>
        <v>PADD 2</v>
      </c>
      <c r="G7441" s="6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6" t="s">
        <v>471</v>
      </c>
      <c r="I7441" s="6" t="s">
        <v>473</v>
      </c>
      <c r="J7441" s="6" t="s">
        <v>394</v>
      </c>
      <c r="K7441" s="10">
        <v>6.72</v>
      </c>
      <c r="L7441" s="10">
        <v>42</v>
      </c>
      <c r="M7441" s="6" t="s">
        <v>425</v>
      </c>
      <c r="N7441" s="6" t="str">
        <f>IF(OR($G7441="FCC",$G7441="Hydrocracker",$G7441="Reformer"),IF(COUNTIFS($D:$D,$D7441,$A:$A,$A7441,$B:$B,$B7441,$G:$G,"CDU",$J:$J,"PLANNED")&gt;0,"tied","standalone"),"")</f>
        <v>tied</v>
      </c>
    </row>
    <row r="7442" spans="1:14">
      <c r="A7442" s="6">
        <v>2026</v>
      </c>
      <c r="B7442" s="6">
        <v>3</v>
      </c>
      <c r="C7442" s="6" t="s">
        <v>62</v>
      </c>
      <c r="D7442" s="6" t="s">
        <v>828</v>
      </c>
      <c r="E7442" s="6" t="s">
        <v>829</v>
      </c>
      <c r="F7442" s="6" t="str">
        <f>IF($M7442="PADD I","PADD 1",IF($M7442="PADD II","PADD 2",IF($M7442="PADD III","PADD 3",IF($M7442="PADD IV","PADD 4",IF($M7442="PADD V","PADD 5","")))))</f>
        <v>PADD 3</v>
      </c>
      <c r="G7442" s="6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6" t="s">
        <v>428</v>
      </c>
      <c r="I7442" s="6" t="s">
        <v>847</v>
      </c>
      <c r="J7442" s="6" t="s">
        <v>394</v>
      </c>
      <c r="K7442" s="10">
        <v>6.67</v>
      </c>
      <c r="L7442" s="10">
        <v>23</v>
      </c>
      <c r="M7442" s="6" t="s">
        <v>421</v>
      </c>
      <c r="N7442" s="6">
        <f>IF(OR($G7442="FCC",$G7442="Hydrocracker",$G7442="Reformer"),IF(COUNTIFS($D:$D,$D7442,$A:$A,$A7442,$B:$B,$B7442,$G:$G,"CDU",$J:$J,"PLANNED")&gt;0,"tied","standalone"),"")</f>
        <v/>
      </c>
    </row>
    <row r="7443" spans="1:14">
      <c r="A7443" s="6">
        <v>2026</v>
      </c>
      <c r="B7443" s="6">
        <v>3</v>
      </c>
      <c r="C7443" s="6" t="s">
        <v>62</v>
      </c>
      <c r="D7443" s="6" t="s">
        <v>561</v>
      </c>
      <c r="E7443" s="6" t="s">
        <v>455</v>
      </c>
      <c r="F7443" s="6" t="str">
        <f>IF($M7443="PADD I","PADD 1",IF($M7443="PADD II","PADD 2",IF($M7443="PADD III","PADD 3",IF($M7443="PADD IV","PADD 4",IF($M7443="PADD V","PADD 5","")))))</f>
        <v>PADD 3</v>
      </c>
      <c r="G7443" s="6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6" t="s">
        <v>426</v>
      </c>
      <c r="I7443" s="6" t="s">
        <v>106</v>
      </c>
      <c r="J7443" s="6" t="s">
        <v>398</v>
      </c>
      <c r="K7443" s="10">
        <v>6.5</v>
      </c>
      <c r="L7443" s="10">
        <v>65</v>
      </c>
      <c r="M7443" s="6" t="s">
        <v>421</v>
      </c>
      <c r="N7443" s="6" t="str">
        <f>IF(OR($G7443="FCC",$G7443="Hydrocracker",$G7443="Reformer"),IF(COUNTIFS($D:$D,$D7443,$A:$A,$A7443,$B:$B,$B7443,$G:$G,"CDU",$J:$J,"PLANNED")&gt;0,"tied","standalone"),"")</f>
        <v>standalone</v>
      </c>
    </row>
    <row r="7444" spans="1:14">
      <c r="A7444" s="6">
        <v>2026</v>
      </c>
      <c r="B7444" s="6">
        <v>3</v>
      </c>
      <c r="C7444" s="6" t="s">
        <v>62</v>
      </c>
      <c r="D7444" s="6" t="s">
        <v>430</v>
      </c>
      <c r="E7444" s="6" t="s">
        <v>431</v>
      </c>
      <c r="F7444" s="6" t="str">
        <f>IF($M7444="PADD I","PADD 1",IF($M7444="PADD II","PADD 2",IF($M7444="PADD III","PADD 3",IF($M7444="PADD IV","PADD 4",IF($M7444="PADD V","PADD 5","")))))</f>
        <v>PADD 3</v>
      </c>
      <c r="G7444" s="6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6" t="s">
        <v>428</v>
      </c>
      <c r="I7444" s="6" t="s">
        <v>468</v>
      </c>
      <c r="J7444" s="6" t="s">
        <v>394</v>
      </c>
      <c r="K7444" s="10">
        <v>6.18</v>
      </c>
      <c r="L7444" s="10">
        <v>103</v>
      </c>
      <c r="M7444" s="6" t="s">
        <v>421</v>
      </c>
      <c r="N7444" s="6">
        <f>IF(OR($G7444="FCC",$G7444="Hydrocracker",$G7444="Reformer"),IF(COUNTIFS($D:$D,$D7444,$A:$A,$A7444,$B:$B,$B7444,$G:$G,"CDU",$J:$J,"PLANNED")&gt;0,"tied","standalone"),"")</f>
        <v/>
      </c>
    </row>
    <row r="7445" spans="1:14">
      <c r="A7445" s="6">
        <v>2026</v>
      </c>
      <c r="B7445" s="6">
        <v>3</v>
      </c>
      <c r="C7445" s="6" t="s">
        <v>62</v>
      </c>
      <c r="D7445" s="6" t="s">
        <v>712</v>
      </c>
      <c r="E7445" s="6" t="s">
        <v>602</v>
      </c>
      <c r="F7445" s="6" t="str">
        <f>IF($M7445="PADD I","PADD 1",IF($M7445="PADD II","PADD 2",IF($M7445="PADD III","PADD 3",IF($M7445="PADD IV","PADD 4",IF($M7445="PADD V","PADD 5","")))))</f>
        <v>PADD 3</v>
      </c>
      <c r="G7445" s="6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6" t="s">
        <v>44</v>
      </c>
      <c r="I7445" s="6" t="s">
        <v>894</v>
      </c>
      <c r="J7445" s="6" t="s">
        <v>398</v>
      </c>
      <c r="K7445" s="10">
        <v>6</v>
      </c>
      <c r="L7445" s="10">
        <v>6</v>
      </c>
      <c r="M7445" s="6" t="s">
        <v>421</v>
      </c>
      <c r="N7445" s="6">
        <f>IF(OR($G7445="FCC",$G7445="Hydrocracker",$G7445="Reformer"),IF(COUNTIFS($D:$D,$D7445,$A:$A,$A7445,$B:$B,$B7445,$G:$G,"CDU",$J:$J,"PLANNED")&gt;0,"tied","standalone"),"")</f>
        <v/>
      </c>
    </row>
    <row r="7446" spans="1:14">
      <c r="A7446" s="6">
        <v>2026</v>
      </c>
      <c r="B7446" s="6">
        <v>3</v>
      </c>
      <c r="C7446" s="6" t="s">
        <v>62</v>
      </c>
      <c r="D7446" s="6" t="s">
        <v>43</v>
      </c>
      <c r="E7446" s="6" t="s">
        <v>455</v>
      </c>
      <c r="F7446" s="6" t="str">
        <f>IF($M7446="PADD I","PADD 1",IF($M7446="PADD II","PADD 2",IF($M7446="PADD III","PADD 3",IF($M7446="PADD IV","PADD 4",IF($M7446="PADD V","PADD 5","")))))</f>
        <v>PADD 3</v>
      </c>
      <c r="G7446" s="6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6" t="s">
        <v>44</v>
      </c>
      <c r="I7446" s="6" t="s">
        <v>1282</v>
      </c>
      <c r="J7446" s="6" t="s">
        <v>398</v>
      </c>
      <c r="K7446" s="10">
        <v>5.75</v>
      </c>
      <c r="L7446" s="10">
        <v>25</v>
      </c>
      <c r="M7446" s="6" t="s">
        <v>421</v>
      </c>
      <c r="N7446" s="6">
        <f>IF(OR($G7446="FCC",$G7446="Hydrocracker",$G7446="Reformer"),IF(COUNTIFS($D:$D,$D7446,$A:$A,$A7446,$B:$B,$B7446,$G:$G,"CDU",$J:$J,"PLANNED")&gt;0,"tied","standalone"),"")</f>
        <v/>
      </c>
    </row>
    <row r="7447" spans="1:14">
      <c r="A7447" s="6">
        <v>2026</v>
      </c>
      <c r="B7447" s="6">
        <v>3</v>
      </c>
      <c r="C7447" s="6" t="s">
        <v>62</v>
      </c>
      <c r="D7447" s="6" t="s">
        <v>52</v>
      </c>
      <c r="E7447" s="6" t="s">
        <v>441</v>
      </c>
      <c r="F7447" s="6" t="str">
        <f>IF($M7447="PADD I","PADD 1",IF($M7447="PADD II","PADD 2",IF($M7447="PADD III","PADD 3",IF($M7447="PADD IV","PADD 4",IF($M7447="PADD V","PADD 5","")))))</f>
        <v>PADD 5</v>
      </c>
      <c r="G7447" s="6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6" t="s">
        <v>44</v>
      </c>
      <c r="I7447" s="6" t="s">
        <v>1217</v>
      </c>
      <c r="J7447" s="6" t="s">
        <v>394</v>
      </c>
      <c r="K7447" s="10">
        <v>5.635</v>
      </c>
      <c r="L7447" s="10">
        <v>24.5</v>
      </c>
      <c r="M7447" s="6" t="s">
        <v>436</v>
      </c>
      <c r="N7447" s="6">
        <f>IF(OR($G7447="FCC",$G7447="Hydrocracker",$G7447="Reformer"),IF(COUNTIFS($D:$D,$D7447,$A:$A,$A7447,$B:$B,$B7447,$G:$G,"CDU",$J:$J,"PLANNED")&gt;0,"tied","standalone"),"")</f>
        <v/>
      </c>
    </row>
    <row r="7448" spans="1:14">
      <c r="A7448" s="6">
        <v>2026</v>
      </c>
      <c r="B7448" s="6">
        <v>3</v>
      </c>
      <c r="C7448" s="6" t="s">
        <v>62</v>
      </c>
      <c r="D7448" s="6" t="s">
        <v>52</v>
      </c>
      <c r="E7448" s="6" t="s">
        <v>441</v>
      </c>
      <c r="F7448" s="6" t="str">
        <f>IF($M7448="PADD I","PADD 1",IF($M7448="PADD II","PADD 2",IF($M7448="PADD III","PADD 3",IF($M7448="PADD IV","PADD 4",IF($M7448="PADD V","PADD 5","")))))</f>
        <v>PADD 5</v>
      </c>
      <c r="G7448" s="6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6" t="s">
        <v>44</v>
      </c>
      <c r="I7448" s="6" t="s">
        <v>1280</v>
      </c>
      <c r="J7448" s="6" t="s">
        <v>394</v>
      </c>
      <c r="K7448" s="10">
        <v>5.474</v>
      </c>
      <c r="L7448" s="10">
        <v>23.8</v>
      </c>
      <c r="M7448" s="6" t="s">
        <v>436</v>
      </c>
      <c r="N7448" s="6">
        <f>IF(OR($G7448="FCC",$G7448="Hydrocracker",$G7448="Reformer"),IF(COUNTIFS($D:$D,$D7448,$A:$A,$A7448,$B:$B,$B7448,$G:$G,"CDU",$J:$J,"PLANNED")&gt;0,"tied","standalone"),"")</f>
        <v/>
      </c>
    </row>
    <row r="7449" spans="1:14">
      <c r="A7449" s="6">
        <v>2026</v>
      </c>
      <c r="B7449" s="6">
        <v>3</v>
      </c>
      <c r="C7449" s="6" t="s">
        <v>62</v>
      </c>
      <c r="D7449" s="6" t="s">
        <v>484</v>
      </c>
      <c r="E7449" s="6" t="s">
        <v>438</v>
      </c>
      <c r="F7449" s="6" t="str">
        <f>IF($M7449="PADD I","PADD 1",IF($M7449="PADD II","PADD 2",IF($M7449="PADD III","PADD 3",IF($M7449="PADD IV","PADD 4",IF($M7449="PADD V","PADD 5","")))))</f>
        <v>PADD 5</v>
      </c>
      <c r="G7449" s="6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6" t="s">
        <v>485</v>
      </c>
      <c r="I7449" s="6" t="s">
        <v>486</v>
      </c>
      <c r="J7449" s="6" t="s">
        <v>394</v>
      </c>
      <c r="K7449" s="10">
        <v>5.46</v>
      </c>
      <c r="L7449" s="10">
        <v>42</v>
      </c>
      <c r="M7449" s="6" t="s">
        <v>436</v>
      </c>
      <c r="N7449" s="6">
        <f>IF(OR($G7449="FCC",$G7449="Hydrocracker",$G7449="Reformer"),IF(COUNTIFS($D:$D,$D7449,$A:$A,$A7449,$B:$B,$B7449,$G:$G,"CDU",$J:$J,"PLANNED")&gt;0,"tied","standalone"),"")</f>
        <v/>
      </c>
    </row>
    <row r="7450" spans="1:14">
      <c r="A7450" s="6">
        <v>2026</v>
      </c>
      <c r="B7450" s="6">
        <v>3</v>
      </c>
      <c r="C7450" s="6" t="s">
        <v>62</v>
      </c>
      <c r="D7450" s="6" t="s">
        <v>764</v>
      </c>
      <c r="E7450" s="6" t="s">
        <v>455</v>
      </c>
      <c r="F7450" s="6" t="str">
        <f>IF($M7450="PADD I","PADD 1",IF($M7450="PADD II","PADD 2",IF($M7450="PADD III","PADD 3",IF($M7450="PADD IV","PADD 4",IF($M7450="PADD V","PADD 5","")))))</f>
        <v>PADD 3</v>
      </c>
      <c r="G7450" s="6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6" t="s">
        <v>426</v>
      </c>
      <c r="I7450" s="6" t="s">
        <v>106</v>
      </c>
      <c r="J7450" s="6" t="s">
        <v>394</v>
      </c>
      <c r="K7450" s="10">
        <v>5.447</v>
      </c>
      <c r="L7450" s="10">
        <v>54.47</v>
      </c>
      <c r="M7450" s="6" t="s">
        <v>421</v>
      </c>
      <c r="N7450" s="6" t="str">
        <f>IF(OR($G7450="FCC",$G7450="Hydrocracker",$G7450="Reformer"),IF(COUNTIFS($D:$D,$D7450,$A:$A,$A7450,$B:$B,$B7450,$G:$G,"CDU",$J:$J,"PLANNED")&gt;0,"tied","standalone"),"")</f>
        <v>standalone</v>
      </c>
    </row>
    <row r="7451" spans="1:14">
      <c r="A7451" s="6">
        <v>2026</v>
      </c>
      <c r="B7451" s="6">
        <v>3</v>
      </c>
      <c r="C7451" s="6" t="s">
        <v>62</v>
      </c>
      <c r="D7451" s="6" t="s">
        <v>440</v>
      </c>
      <c r="E7451" s="6" t="s">
        <v>441</v>
      </c>
      <c r="F7451" s="6" t="str">
        <f>IF($M7451="PADD I","PADD 1",IF($M7451="PADD II","PADD 2",IF($M7451="PADD III","PADD 3",IF($M7451="PADD IV","PADD 4",IF($M7451="PADD V","PADD 5","")))))</f>
        <v>PADD 3</v>
      </c>
      <c r="G7451" s="6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6" t="s">
        <v>494</v>
      </c>
      <c r="I7451" s="6" t="s">
        <v>1313</v>
      </c>
      <c r="J7451" s="6" t="s">
        <v>398</v>
      </c>
      <c r="K7451" s="10">
        <v>5.44</v>
      </c>
      <c r="L7451" s="10">
        <v>34</v>
      </c>
      <c r="M7451" s="6" t="s">
        <v>421</v>
      </c>
      <c r="N7451" s="6" t="str">
        <f>IF(OR($G7451="FCC",$G7451="Hydrocracker",$G7451="Reformer"),IF(COUNTIFS($D:$D,$D7451,$A:$A,$A7451,$B:$B,$B7451,$G:$G,"CDU",$J:$J,"PLANNED")&gt;0,"tied","standalone"),"")</f>
        <v>standalone</v>
      </c>
    </row>
    <row r="7452" spans="1:14">
      <c r="A7452" s="6">
        <v>2026</v>
      </c>
      <c r="B7452" s="6">
        <v>3</v>
      </c>
      <c r="C7452" s="6" t="s">
        <v>62</v>
      </c>
      <c r="D7452" s="6" t="s">
        <v>576</v>
      </c>
      <c r="E7452" s="6" t="s">
        <v>455</v>
      </c>
      <c r="F7452" s="6" t="str">
        <f>IF($M7452="PADD I","PADD 1",IF($M7452="PADD II","PADD 2",IF($M7452="PADD III","PADD 3",IF($M7452="PADD IV","PADD 4",IF($M7452="PADD V","PADD 5","")))))</f>
        <v>PADD 3</v>
      </c>
      <c r="G7452" s="6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6" t="s">
        <v>44</v>
      </c>
      <c r="I7452" s="6" t="s">
        <v>1276</v>
      </c>
      <c r="J7452" s="6" t="s">
        <v>394</v>
      </c>
      <c r="K7452" s="10">
        <v>5.365</v>
      </c>
      <c r="L7452" s="10">
        <v>18.5</v>
      </c>
      <c r="M7452" s="6" t="s">
        <v>421</v>
      </c>
      <c r="N7452" s="6">
        <f>IF(OR($G7452="FCC",$G7452="Hydrocracker",$G7452="Reformer"),IF(COUNTIFS($D:$D,$D7452,$A:$A,$A7452,$B:$B,$B7452,$G:$G,"CDU",$J:$J,"PLANNED")&gt;0,"tied","standalone"),"")</f>
        <v/>
      </c>
    </row>
    <row r="7453" spans="1:14">
      <c r="A7453" s="6">
        <v>2026</v>
      </c>
      <c r="B7453" s="6">
        <v>3</v>
      </c>
      <c r="C7453" s="6" t="s">
        <v>62</v>
      </c>
      <c r="D7453" s="6" t="s">
        <v>395</v>
      </c>
      <c r="E7453" s="6" t="s">
        <v>433</v>
      </c>
      <c r="F7453" s="6" t="str">
        <f>IF($M7453="PADD I","PADD 1",IF($M7453="PADD II","PADD 2",IF($M7453="PADD III","PADD 3",IF($M7453="PADD IV","PADD 4",IF($M7453="PADD V","PADD 5","")))))</f>
        <v>PADD 2</v>
      </c>
      <c r="G7453" s="6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6" t="s">
        <v>494</v>
      </c>
      <c r="I7453" s="6" t="s">
        <v>513</v>
      </c>
      <c r="J7453" s="6" t="s">
        <v>394</v>
      </c>
      <c r="K7453" s="10">
        <v>5.2</v>
      </c>
      <c r="L7453" s="10">
        <v>52</v>
      </c>
      <c r="M7453" s="6" t="s">
        <v>425</v>
      </c>
      <c r="N7453" s="6" t="str">
        <f>IF(OR($G7453="FCC",$G7453="Hydrocracker",$G7453="Reformer"),IF(COUNTIFS($D:$D,$D7453,$A:$A,$A7453,$B:$B,$B7453,$G:$G,"CDU",$J:$J,"PLANNED")&gt;0,"tied","standalone"),"")</f>
        <v>standalone</v>
      </c>
    </row>
    <row r="7454" spans="1:14">
      <c r="A7454" s="6">
        <v>2026</v>
      </c>
      <c r="B7454" s="6">
        <v>3</v>
      </c>
      <c r="C7454" s="6" t="s">
        <v>62</v>
      </c>
      <c r="D7454" s="6" t="s">
        <v>662</v>
      </c>
      <c r="E7454" s="6" t="s">
        <v>466</v>
      </c>
      <c r="F7454" s="6" t="str">
        <f>IF($M7454="PADD I","PADD 1",IF($M7454="PADD II","PADD 2",IF($M7454="PADD III","PADD 3",IF($M7454="PADD IV","PADD 4",IF($M7454="PADD V","PADD 5","")))))</f>
        <v>PADD 3</v>
      </c>
      <c r="G7454" s="6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6" t="s">
        <v>428</v>
      </c>
      <c r="I7454" s="6" t="s">
        <v>481</v>
      </c>
      <c r="J7454" s="6" t="s">
        <v>394</v>
      </c>
      <c r="K7454" s="10">
        <v>5.118</v>
      </c>
      <c r="L7454" s="10">
        <v>85.3</v>
      </c>
      <c r="M7454" s="6" t="s">
        <v>421</v>
      </c>
      <c r="N7454" s="6">
        <f>IF(OR($G7454="FCC",$G7454="Hydrocracker",$G7454="Reformer"),IF(COUNTIFS($D:$D,$D7454,$A:$A,$A7454,$B:$B,$B7454,$G:$G,"CDU",$J:$J,"PLANNED")&gt;0,"tied","standalone"),"")</f>
        <v/>
      </c>
    </row>
    <row r="7455" spans="1:14">
      <c r="A7455" s="6">
        <v>2026</v>
      </c>
      <c r="B7455" s="6">
        <v>3</v>
      </c>
      <c r="C7455" s="6" t="s">
        <v>62</v>
      </c>
      <c r="D7455" s="6" t="s">
        <v>662</v>
      </c>
      <c r="E7455" s="6" t="s">
        <v>466</v>
      </c>
      <c r="F7455" s="6" t="str">
        <f>IF($M7455="PADD I","PADD 1",IF($M7455="PADD II","PADD 2",IF($M7455="PADD III","PADD 3",IF($M7455="PADD IV","PADD 4",IF($M7455="PADD V","PADD 5","")))))</f>
        <v>PADD 3</v>
      </c>
      <c r="G7455" s="6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6" t="s">
        <v>428</v>
      </c>
      <c r="I7455" s="6" t="s">
        <v>481</v>
      </c>
      <c r="J7455" s="6" t="s">
        <v>394</v>
      </c>
      <c r="K7455" s="10">
        <v>5.118</v>
      </c>
      <c r="L7455" s="10">
        <v>85.3</v>
      </c>
      <c r="M7455" s="6" t="s">
        <v>421</v>
      </c>
      <c r="N7455" s="6">
        <f>IF(OR($G7455="FCC",$G7455="Hydrocracker",$G7455="Reformer"),IF(COUNTIFS($D:$D,$D7455,$A:$A,$A7455,$B:$B,$B7455,$G:$G,"CDU",$J:$J,"PLANNED")&gt;0,"tied","standalone"),"")</f>
        <v/>
      </c>
    </row>
    <row r="7456" spans="1:14">
      <c r="A7456" s="6">
        <v>2026</v>
      </c>
      <c r="B7456" s="6">
        <v>3</v>
      </c>
      <c r="C7456" s="6" t="s">
        <v>62</v>
      </c>
      <c r="D7456" s="6" t="s">
        <v>430</v>
      </c>
      <c r="E7456" s="6" t="s">
        <v>431</v>
      </c>
      <c r="F7456" s="6" t="str">
        <f>IF($M7456="PADD I","PADD 1",IF($M7456="PADD II","PADD 2",IF($M7456="PADD III","PADD 3",IF($M7456="PADD IV","PADD 4",IF($M7456="PADD V","PADD 5","")))))</f>
        <v>PADD 3</v>
      </c>
      <c r="G7456" s="6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6" t="s">
        <v>39</v>
      </c>
      <c r="I7456" s="6" t="s">
        <v>896</v>
      </c>
      <c r="J7456" s="6" t="s">
        <v>398</v>
      </c>
      <c r="K7456" s="10">
        <v>5.1</v>
      </c>
      <c r="L7456" s="10">
        <v>85</v>
      </c>
      <c r="M7456" s="6" t="s">
        <v>421</v>
      </c>
      <c r="N7456" s="6">
        <f>IF(OR($G7456="FCC",$G7456="Hydrocracker",$G7456="Reformer"),IF(COUNTIFS($D:$D,$D7456,$A:$A,$A7456,$B:$B,$B7456,$G:$G,"CDU",$J:$J,"PLANNED")&gt;0,"tied","standalone"),"")</f>
        <v/>
      </c>
    </row>
    <row r="7457" spans="1:14">
      <c r="A7457" s="6">
        <v>2026</v>
      </c>
      <c r="B7457" s="6">
        <v>3</v>
      </c>
      <c r="C7457" s="6" t="s">
        <v>62</v>
      </c>
      <c r="D7457" s="6" t="s">
        <v>561</v>
      </c>
      <c r="E7457" s="6" t="s">
        <v>455</v>
      </c>
      <c r="F7457" s="6" t="str">
        <f>IF($M7457="PADD I","PADD 1",IF($M7457="PADD II","PADD 2",IF($M7457="PADD III","PADD 3",IF($M7457="PADD IV","PADD 4",IF($M7457="PADD V","PADD 5","")))))</f>
        <v>PADD 3</v>
      </c>
      <c r="G7457" s="6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6" t="s">
        <v>428</v>
      </c>
      <c r="I7457" s="6" t="s">
        <v>643</v>
      </c>
      <c r="J7457" s="6" t="s">
        <v>394</v>
      </c>
      <c r="K7457" s="10">
        <v>5.07</v>
      </c>
      <c r="L7457" s="10">
        <v>39</v>
      </c>
      <c r="M7457" s="6" t="s">
        <v>421</v>
      </c>
      <c r="N7457" s="6">
        <f>IF(OR($G7457="FCC",$G7457="Hydrocracker",$G7457="Reformer"),IF(COUNTIFS($D:$D,$D7457,$A:$A,$A7457,$B:$B,$B7457,$G:$G,"CDU",$J:$J,"PLANNED")&gt;0,"tied","standalone"),"")</f>
        <v/>
      </c>
    </row>
    <row r="7458" spans="1:14">
      <c r="A7458" s="6">
        <v>2026</v>
      </c>
      <c r="B7458" s="6">
        <v>3</v>
      </c>
      <c r="C7458" s="6" t="s">
        <v>62</v>
      </c>
      <c r="D7458" s="6" t="s">
        <v>576</v>
      </c>
      <c r="E7458" s="6" t="s">
        <v>455</v>
      </c>
      <c r="F7458" s="6" t="str">
        <f>IF($M7458="PADD I","PADD 1",IF($M7458="PADD II","PADD 2",IF($M7458="PADD III","PADD 3",IF($M7458="PADD IV","PADD 4",IF($M7458="PADD V","PADD 5","")))))</f>
        <v>PADD 3</v>
      </c>
      <c r="G7458" s="6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6" t="s">
        <v>471</v>
      </c>
      <c r="I7458" s="6" t="s">
        <v>978</v>
      </c>
      <c r="J7458" s="6" t="s">
        <v>398</v>
      </c>
      <c r="K7458" s="10">
        <v>5</v>
      </c>
      <c r="L7458" s="10">
        <v>50</v>
      </c>
      <c r="M7458" s="6" t="s">
        <v>421</v>
      </c>
      <c r="N7458" s="6" t="str">
        <f>IF(OR($G7458="FCC",$G7458="Hydrocracker",$G7458="Reformer"),IF(COUNTIFS($D:$D,$D7458,$A:$A,$A7458,$B:$B,$B7458,$G:$G,"CDU",$J:$J,"PLANNED")&gt;0,"tied","standalone"),"")</f>
        <v>standalone</v>
      </c>
    </row>
    <row r="7459" spans="1:14">
      <c r="A7459" s="6">
        <v>2026</v>
      </c>
      <c r="B7459" s="6">
        <v>3</v>
      </c>
      <c r="C7459" s="6" t="s">
        <v>62</v>
      </c>
      <c r="D7459" s="6" t="s">
        <v>422</v>
      </c>
      <c r="E7459" s="6" t="s">
        <v>423</v>
      </c>
      <c r="F7459" s="6" t="str">
        <f>IF($M7459="PADD I","PADD 1",IF($M7459="PADD II","PADD 2",IF($M7459="PADD III","PADD 3",IF($M7459="PADD IV","PADD 4",IF($M7459="PADD V","PADD 5","")))))</f>
        <v>PADD 2</v>
      </c>
      <c r="G7459" s="6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6" t="s">
        <v>494</v>
      </c>
      <c r="I7459" s="6" t="s">
        <v>495</v>
      </c>
      <c r="J7459" s="6" t="s">
        <v>394</v>
      </c>
      <c r="K7459" s="10">
        <v>4.96</v>
      </c>
      <c r="L7459" s="10">
        <v>31</v>
      </c>
      <c r="M7459" s="6" t="s">
        <v>425</v>
      </c>
      <c r="N7459" s="6" t="str">
        <f>IF(OR($G7459="FCC",$G7459="Hydrocracker",$G7459="Reformer"),IF(COUNTIFS($D:$D,$D7459,$A:$A,$A7459,$B:$B,$B7459,$G:$G,"CDU",$J:$J,"PLANNED")&gt;0,"tied","standalone"),"")</f>
        <v>tied</v>
      </c>
    </row>
    <row r="7460" spans="1:14">
      <c r="A7460" s="6">
        <v>2026</v>
      </c>
      <c r="B7460" s="6">
        <v>3</v>
      </c>
      <c r="C7460" s="6" t="s">
        <v>62</v>
      </c>
      <c r="D7460" s="6" t="s">
        <v>576</v>
      </c>
      <c r="E7460" s="6" t="s">
        <v>455</v>
      </c>
      <c r="F7460" s="6" t="str">
        <f>IF($M7460="PADD I","PADD 1",IF($M7460="PADD II","PADD 2",IF($M7460="PADD III","PADD 3",IF($M7460="PADD IV","PADD 4",IF($M7460="PADD V","PADD 5","")))))</f>
        <v>PADD 3</v>
      </c>
      <c r="G7460" s="6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6" t="s">
        <v>510</v>
      </c>
      <c r="I7460" s="6" t="s">
        <v>1416</v>
      </c>
      <c r="J7460" s="6" t="s">
        <v>394</v>
      </c>
      <c r="K7460" s="10">
        <v>4.901</v>
      </c>
      <c r="L7460" s="10">
        <v>16.9</v>
      </c>
      <c r="M7460" s="6" t="s">
        <v>421</v>
      </c>
      <c r="N7460" s="6">
        <f>IF(OR($G7460="FCC",$G7460="Hydrocracker",$G7460="Reformer"),IF(COUNTIFS($D:$D,$D7460,$A:$A,$A7460,$B:$B,$B7460,$G:$G,"CDU",$J:$J,"PLANNED")&gt;0,"tied","standalone"),"")</f>
        <v/>
      </c>
    </row>
    <row r="7461" spans="1:14">
      <c r="A7461" s="6">
        <v>2026</v>
      </c>
      <c r="B7461" s="6">
        <v>3</v>
      </c>
      <c r="C7461" s="6" t="s">
        <v>62</v>
      </c>
      <c r="D7461" s="6" t="s">
        <v>1198</v>
      </c>
      <c r="E7461" s="6" t="s">
        <v>1199</v>
      </c>
      <c r="F7461" s="6" t="str">
        <f>IF($M7461="PADD I","PADD 1",IF($M7461="PADD II","PADD 2",IF($M7461="PADD III","PADD 3",IF($M7461="PADD IV","PADD 4",IF($M7461="PADD V","PADD 5","")))))</f>
        <v>PADD 3</v>
      </c>
      <c r="G7461" s="6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6" t="s">
        <v>39</v>
      </c>
      <c r="I7461" s="6" t="s">
        <v>82</v>
      </c>
      <c r="J7461" s="6" t="s">
        <v>398</v>
      </c>
      <c r="K7461" s="10">
        <v>4.697</v>
      </c>
      <c r="L7461" s="10">
        <v>7.7</v>
      </c>
      <c r="M7461" s="6" t="s">
        <v>421</v>
      </c>
      <c r="N7461" s="6">
        <f>IF(OR($G7461="FCC",$G7461="Hydrocracker",$G7461="Reformer"),IF(COUNTIFS($D:$D,$D7461,$A:$A,$A7461,$B:$B,$B7461,$G:$G,"CDU",$J:$J,"PLANNED")&gt;0,"tied","standalone"),"")</f>
        <v/>
      </c>
    </row>
    <row r="7462" spans="1:14">
      <c r="A7462" s="6">
        <v>2026</v>
      </c>
      <c r="B7462" s="6">
        <v>3</v>
      </c>
      <c r="C7462" s="6" t="s">
        <v>62</v>
      </c>
      <c r="D7462" s="6" t="s">
        <v>430</v>
      </c>
      <c r="E7462" s="6" t="s">
        <v>431</v>
      </c>
      <c r="F7462" s="6" t="str">
        <f>IF($M7462="PADD I","PADD 1",IF($M7462="PADD II","PADD 2",IF($M7462="PADD III","PADD 3",IF($M7462="PADD IV","PADD 4",IF($M7462="PADD V","PADD 5","")))))</f>
        <v>PADD 3</v>
      </c>
      <c r="G7462" s="6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6" t="s">
        <v>428</v>
      </c>
      <c r="I7462" s="6" t="s">
        <v>900</v>
      </c>
      <c r="J7462" s="6" t="s">
        <v>394</v>
      </c>
      <c r="K7462" s="10">
        <v>4.4</v>
      </c>
      <c r="L7462" s="10">
        <v>44</v>
      </c>
      <c r="M7462" s="6" t="s">
        <v>421</v>
      </c>
      <c r="N7462" s="6">
        <f>IF(OR($G7462="FCC",$G7462="Hydrocracker",$G7462="Reformer"),IF(COUNTIFS($D:$D,$D7462,$A:$A,$A7462,$B:$B,$B7462,$G:$G,"CDU",$J:$J,"PLANNED")&gt;0,"tied","standalone"),"")</f>
        <v/>
      </c>
    </row>
    <row r="7463" spans="1:14">
      <c r="A7463" s="6">
        <v>2026</v>
      </c>
      <c r="B7463" s="6">
        <v>3</v>
      </c>
      <c r="C7463" s="6" t="s">
        <v>62</v>
      </c>
      <c r="D7463" s="6" t="s">
        <v>49</v>
      </c>
      <c r="E7463" s="6" t="s">
        <v>438</v>
      </c>
      <c r="F7463" s="6" t="str">
        <f>IF($M7463="PADD I","PADD 1",IF($M7463="PADD II","PADD 2",IF($M7463="PADD III","PADD 3",IF($M7463="PADD IV","PADD 4",IF($M7463="PADD V","PADD 5","")))))</f>
        <v>PADD 2</v>
      </c>
      <c r="G7463" s="6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6" t="s">
        <v>485</v>
      </c>
      <c r="I7463" s="6" t="s">
        <v>681</v>
      </c>
      <c r="J7463" s="6" t="s">
        <v>398</v>
      </c>
      <c r="K7463" s="10">
        <v>4.35</v>
      </c>
      <c r="L7463" s="10">
        <v>15</v>
      </c>
      <c r="M7463" s="6" t="s">
        <v>425</v>
      </c>
      <c r="N7463" s="6">
        <f>IF(OR($G7463="FCC",$G7463="Hydrocracker",$G7463="Reformer"),IF(COUNTIFS($D:$D,$D7463,$A:$A,$A7463,$B:$B,$B7463,$G:$G,"CDU",$J:$J,"PLANNED")&gt;0,"tied","standalone"),"")</f>
        <v/>
      </c>
    </row>
    <row r="7464" spans="1:14">
      <c r="A7464" s="6">
        <v>2026</v>
      </c>
      <c r="B7464" s="6">
        <v>3</v>
      </c>
      <c r="C7464" s="6" t="s">
        <v>62</v>
      </c>
      <c r="D7464" s="6" t="s">
        <v>512</v>
      </c>
      <c r="E7464" s="6" t="s">
        <v>488</v>
      </c>
      <c r="F7464" s="6" t="str">
        <f>IF($M7464="PADD I","PADD 1",IF($M7464="PADD II","PADD 2",IF($M7464="PADD III","PADD 3",IF($M7464="PADD IV","PADD 4",IF($M7464="PADD V","PADD 5","")))))</f>
        <v>PADD 4</v>
      </c>
      <c r="G7464" s="6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6" t="s">
        <v>428</v>
      </c>
      <c r="I7464" s="6" t="s">
        <v>605</v>
      </c>
      <c r="J7464" s="6" t="s">
        <v>398</v>
      </c>
      <c r="K7464" s="10">
        <v>4.2</v>
      </c>
      <c r="L7464" s="10">
        <v>10</v>
      </c>
      <c r="M7464" s="6" t="s">
        <v>480</v>
      </c>
      <c r="N7464" s="6">
        <f>IF(OR($G7464="FCC",$G7464="Hydrocracker",$G7464="Reformer"),IF(COUNTIFS($D:$D,$D7464,$A:$A,$A7464,$B:$B,$B7464,$G:$G,"CDU",$J:$J,"PLANNED")&gt;0,"tied","standalone"),"")</f>
        <v/>
      </c>
    </row>
    <row r="7465" spans="1:14">
      <c r="A7465" s="6">
        <v>2026</v>
      </c>
      <c r="B7465" s="6">
        <v>3</v>
      </c>
      <c r="C7465" s="6" t="s">
        <v>62</v>
      </c>
      <c r="D7465" s="6" t="s">
        <v>382</v>
      </c>
      <c r="E7465" s="6" t="s">
        <v>431</v>
      </c>
      <c r="F7465" s="6" t="str">
        <f>IF($M7465="PADD I","PADD 1",IF($M7465="PADD II","PADD 2",IF($M7465="PADD III","PADD 3",IF($M7465="PADD IV","PADD 4",IF($M7465="PADD V","PADD 5","")))))</f>
        <v>PADD 3</v>
      </c>
      <c r="G7465" s="6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6" t="s">
        <v>687</v>
      </c>
      <c r="I7465" s="6" t="s">
        <v>1403</v>
      </c>
      <c r="J7465" s="6" t="s">
        <v>398</v>
      </c>
      <c r="K7465" s="10">
        <v>4.2</v>
      </c>
      <c r="L7465" s="10">
        <v>5</v>
      </c>
      <c r="M7465" s="6" t="s">
        <v>421</v>
      </c>
      <c r="N7465" s="6">
        <f>IF(OR($G7465="FCC",$G7465="Hydrocracker",$G7465="Reformer"),IF(COUNTIFS($D:$D,$D7465,$A:$A,$A7465,$B:$B,$B7465,$G:$G,"CDU",$J:$J,"PLANNED")&gt;0,"tied","standalone"),"")</f>
        <v/>
      </c>
    </row>
    <row r="7466" spans="1:14">
      <c r="A7466" s="6">
        <v>2026</v>
      </c>
      <c r="B7466" s="6">
        <v>3</v>
      </c>
      <c r="C7466" s="6" t="s">
        <v>62</v>
      </c>
      <c r="D7466" s="6" t="s">
        <v>662</v>
      </c>
      <c r="E7466" s="6" t="s">
        <v>466</v>
      </c>
      <c r="F7466" s="6" t="str">
        <f>IF($M7466="PADD I","PADD 1",IF($M7466="PADD II","PADD 2",IF($M7466="PADD III","PADD 3",IF($M7466="PADD IV","PADD 4",IF($M7466="PADD V","PADD 5","")))))</f>
        <v>PADD 3</v>
      </c>
      <c r="G7466" s="6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6" t="s">
        <v>426</v>
      </c>
      <c r="I7466" s="6" t="s">
        <v>478</v>
      </c>
      <c r="J7466" s="6" t="s">
        <v>394</v>
      </c>
      <c r="K7466" s="10">
        <v>4.14</v>
      </c>
      <c r="L7466" s="10">
        <v>69</v>
      </c>
      <c r="M7466" s="6" t="s">
        <v>421</v>
      </c>
      <c r="N7466" s="6" t="str">
        <f>IF(OR($G7466="FCC",$G7466="Hydrocracker",$G7466="Reformer"),IF(COUNTIFS($D:$D,$D7466,$A:$A,$A7466,$B:$B,$B7466,$G:$G,"CDU",$J:$J,"PLANNED")&gt;0,"tied","standalone"),"")</f>
        <v>standalone</v>
      </c>
    </row>
    <row r="7467" spans="1:14">
      <c r="A7467" s="6">
        <v>2026</v>
      </c>
      <c r="B7467" s="6">
        <v>3</v>
      </c>
      <c r="C7467" s="6" t="s">
        <v>62</v>
      </c>
      <c r="D7467" s="6" t="s">
        <v>984</v>
      </c>
      <c r="E7467" s="6" t="s">
        <v>438</v>
      </c>
      <c r="F7467" s="6" t="str">
        <f>IF($M7467="PADD I","PADD 1",IF($M7467="PADD II","PADD 2",IF($M7467="PADD III","PADD 3",IF($M7467="PADD IV","PADD 4",IF($M7467="PADD V","PADD 5","")))))</f>
        <v>PADD 3</v>
      </c>
      <c r="G7467" s="6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6" t="s">
        <v>426</v>
      </c>
      <c r="I7467" s="6" t="s">
        <v>106</v>
      </c>
      <c r="J7467" s="6" t="s">
        <v>398</v>
      </c>
      <c r="K7467" s="10">
        <v>3.835</v>
      </c>
      <c r="L7467" s="10">
        <v>29.5</v>
      </c>
      <c r="M7467" s="6" t="s">
        <v>421</v>
      </c>
      <c r="N7467" s="6" t="str">
        <f>IF(OR($G7467="FCC",$G7467="Hydrocracker",$G7467="Reformer"),IF(COUNTIFS($D:$D,$D7467,$A:$A,$A7467,$B:$B,$B7467,$G:$G,"CDU",$J:$J,"PLANNED")&gt;0,"tied","standalone"),"")</f>
        <v>tied</v>
      </c>
    </row>
    <row r="7468" spans="1:14">
      <c r="A7468" s="6">
        <v>2026</v>
      </c>
      <c r="B7468" s="6">
        <v>3</v>
      </c>
      <c r="C7468" s="6" t="s">
        <v>62</v>
      </c>
      <c r="D7468" s="6" t="s">
        <v>764</v>
      </c>
      <c r="E7468" s="6" t="s">
        <v>455</v>
      </c>
      <c r="F7468" s="6" t="str">
        <f>IF($M7468="PADD I","PADD 1",IF($M7468="PADD II","PADD 2",IF($M7468="PADD III","PADD 3",IF($M7468="PADD IV","PADD 4",IF($M7468="PADD V","PADD 5","")))))</f>
        <v>PADD 3</v>
      </c>
      <c r="G7468" s="6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6" t="s">
        <v>494</v>
      </c>
      <c r="I7468" s="6" t="s">
        <v>14</v>
      </c>
      <c r="J7468" s="6" t="s">
        <v>394</v>
      </c>
      <c r="K7468" s="10">
        <v>3.835</v>
      </c>
      <c r="L7468" s="10">
        <v>29.5</v>
      </c>
      <c r="M7468" s="6" t="s">
        <v>421</v>
      </c>
      <c r="N7468" s="6" t="str">
        <f>IF(OR($G7468="FCC",$G7468="Hydrocracker",$G7468="Reformer"),IF(COUNTIFS($D:$D,$D7468,$A:$A,$A7468,$B:$B,$B7468,$G:$G,"CDU",$J:$J,"PLANNED")&gt;0,"tied","standalone"),"")</f>
        <v>standalone</v>
      </c>
    </row>
    <row r="7469" spans="1:14">
      <c r="A7469" s="6">
        <v>2026</v>
      </c>
      <c r="B7469" s="6">
        <v>3</v>
      </c>
      <c r="C7469" s="6" t="s">
        <v>62</v>
      </c>
      <c r="D7469" s="6" t="s">
        <v>662</v>
      </c>
      <c r="E7469" s="6" t="s">
        <v>466</v>
      </c>
      <c r="F7469" s="6" t="str">
        <f>IF($M7469="PADD I","PADD 1",IF($M7469="PADD II","PADD 2",IF($M7469="PADD III","PADD 3",IF($M7469="PADD IV","PADD 4",IF($M7469="PADD V","PADD 5","")))))</f>
        <v>PADD 3</v>
      </c>
      <c r="G7469" s="6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6" t="s">
        <v>471</v>
      </c>
      <c r="I7469" s="6" t="s">
        <v>805</v>
      </c>
      <c r="J7469" s="6" t="s">
        <v>394</v>
      </c>
      <c r="K7469" s="10">
        <v>3.8</v>
      </c>
      <c r="L7469" s="10">
        <v>20</v>
      </c>
      <c r="M7469" s="6" t="s">
        <v>421</v>
      </c>
      <c r="N7469" s="6" t="str">
        <f>IF(OR($G7469="FCC",$G7469="Hydrocracker",$G7469="Reformer"),IF(COUNTIFS($D:$D,$D7469,$A:$A,$A7469,$B:$B,$B7469,$G:$G,"CDU",$J:$J,"PLANNED")&gt;0,"tied","standalone"),"")</f>
        <v>standalone</v>
      </c>
    </row>
    <row r="7470" spans="1:14">
      <c r="A7470" s="6">
        <v>2026</v>
      </c>
      <c r="B7470" s="6">
        <v>3</v>
      </c>
      <c r="C7470" s="6" t="s">
        <v>62</v>
      </c>
      <c r="D7470" s="6" t="s">
        <v>43</v>
      </c>
      <c r="E7470" s="6" t="s">
        <v>455</v>
      </c>
      <c r="F7470" s="6" t="str">
        <f>IF($M7470="PADD I","PADD 1",IF($M7470="PADD II","PADD 2",IF($M7470="PADD III","PADD 3",IF($M7470="PADD IV","PADD 4",IF($M7470="PADD V","PADD 5","")))))</f>
        <v>PADD 3</v>
      </c>
      <c r="G7470" s="6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6" t="s">
        <v>471</v>
      </c>
      <c r="I7470" s="6" t="s">
        <v>1386</v>
      </c>
      <c r="J7470" s="6" t="s">
        <v>394</v>
      </c>
      <c r="K7470" s="10">
        <v>3.42</v>
      </c>
      <c r="L7470" s="10">
        <v>18</v>
      </c>
      <c r="M7470" s="6" t="s">
        <v>421</v>
      </c>
      <c r="N7470" s="6" t="str">
        <f>IF(OR($G7470="FCC",$G7470="Hydrocracker",$G7470="Reformer"),IF(COUNTIFS($D:$D,$D7470,$A:$A,$A7470,$B:$B,$B7470,$G:$G,"CDU",$J:$J,"PLANNED")&gt;0,"tied","standalone"),"")</f>
        <v>tied</v>
      </c>
    </row>
    <row r="7471" spans="1:14">
      <c r="A7471" s="6">
        <v>2026</v>
      </c>
      <c r="B7471" s="6">
        <v>3</v>
      </c>
      <c r="C7471" s="6" t="s">
        <v>62</v>
      </c>
      <c r="D7471" s="6" t="s">
        <v>682</v>
      </c>
      <c r="E7471" s="6" t="s">
        <v>683</v>
      </c>
      <c r="F7471" s="6" t="str">
        <f>IF($M7471="PADD I","PADD 1",IF($M7471="PADD II","PADD 2",IF($M7471="PADD III","PADD 3",IF($M7471="PADD IV","PADD 4",IF($M7471="PADD V","PADD 5","")))))</f>
        <v>PADD 4</v>
      </c>
      <c r="G7471" s="6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6" t="s">
        <v>426</v>
      </c>
      <c r="I7471" s="6" t="s">
        <v>684</v>
      </c>
      <c r="J7471" s="6" t="s">
        <v>394</v>
      </c>
      <c r="K7471" s="10">
        <v>3.335</v>
      </c>
      <c r="L7471" s="10">
        <v>11.5</v>
      </c>
      <c r="M7471" s="6" t="s">
        <v>480</v>
      </c>
      <c r="N7471" s="6" t="str">
        <f>IF(OR($G7471="FCC",$G7471="Hydrocracker",$G7471="Reformer"),IF(COUNTIFS($D:$D,$D7471,$A:$A,$A7471,$B:$B,$B7471,$G:$G,"CDU",$J:$J,"PLANNED")&gt;0,"tied","standalone"),"")</f>
        <v>standalone</v>
      </c>
    </row>
    <row r="7472" spans="1:14">
      <c r="A7472" s="6">
        <v>2026</v>
      </c>
      <c r="B7472" s="6">
        <v>3</v>
      </c>
      <c r="C7472" s="6" t="s">
        <v>62</v>
      </c>
      <c r="D7472" s="6" t="s">
        <v>54</v>
      </c>
      <c r="E7472" s="6" t="s">
        <v>593</v>
      </c>
      <c r="F7472" s="6" t="str">
        <f>IF($M7472="PADD I","PADD 1",IF($M7472="PADD II","PADD 2",IF($M7472="PADD III","PADD 3",IF($M7472="PADD IV","PADD 4",IF($M7472="PADD V","PADD 5","")))))</f>
        <v>PADD 5</v>
      </c>
      <c r="G7472" s="6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6" t="s">
        <v>687</v>
      </c>
      <c r="I7472" s="6" t="s">
        <v>491</v>
      </c>
      <c r="J7472" s="6" t="s">
        <v>394</v>
      </c>
      <c r="K7472" s="10">
        <v>3.3</v>
      </c>
      <c r="L7472" s="10">
        <v>55</v>
      </c>
      <c r="M7472" s="6" t="s">
        <v>436</v>
      </c>
      <c r="N7472" s="6">
        <f>IF(OR($G7472="FCC",$G7472="Hydrocracker",$G7472="Reformer"),IF(COUNTIFS($D:$D,$D7472,$A:$A,$A7472,$B:$B,$B7472,$G:$G,"CDU",$J:$J,"PLANNED")&gt;0,"tied","standalone"),"")</f>
        <v/>
      </c>
    </row>
    <row r="7473" spans="1:14">
      <c r="A7473" s="6">
        <v>2026</v>
      </c>
      <c r="B7473" s="6">
        <v>3</v>
      </c>
      <c r="C7473" s="6" t="s">
        <v>62</v>
      </c>
      <c r="D7473" s="6" t="s">
        <v>849</v>
      </c>
      <c r="E7473" s="6" t="s">
        <v>441</v>
      </c>
      <c r="F7473" s="6" t="str">
        <f>IF($M7473="PADD I","PADD 1",IF($M7473="PADD II","PADD 2",IF($M7473="PADD III","PADD 3",IF($M7473="PADD IV","PADD 4",IF($M7473="PADD V","PADD 5","")))))</f>
        <v>PADD 4</v>
      </c>
      <c r="G7473" s="6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6" t="s">
        <v>39</v>
      </c>
      <c r="I7473" s="6" t="s">
        <v>1154</v>
      </c>
      <c r="J7473" s="6" t="s">
        <v>394</v>
      </c>
      <c r="K7473" s="10">
        <v>3.27</v>
      </c>
      <c r="L7473" s="10">
        <v>54.5</v>
      </c>
      <c r="M7473" s="6" t="s">
        <v>480</v>
      </c>
      <c r="N7473" s="6">
        <f>IF(OR($G7473="FCC",$G7473="Hydrocracker",$G7473="Reformer"),IF(COUNTIFS($D:$D,$D7473,$A:$A,$A7473,$B:$B,$B7473,$G:$G,"CDU",$J:$J,"PLANNED")&gt;0,"tied","standalone"),"")</f>
        <v/>
      </c>
    </row>
    <row r="7474" spans="1:14">
      <c r="A7474" s="6">
        <v>2026</v>
      </c>
      <c r="B7474" s="6">
        <v>3</v>
      </c>
      <c r="C7474" s="6" t="s">
        <v>62</v>
      </c>
      <c r="D7474" s="6" t="s">
        <v>984</v>
      </c>
      <c r="E7474" s="6" t="s">
        <v>438</v>
      </c>
      <c r="F7474" s="6" t="str">
        <f>IF($M7474="PADD I","PADD 1",IF($M7474="PADD II","PADD 2",IF($M7474="PADD III","PADD 3",IF($M7474="PADD IV","PADD 4",IF($M7474="PADD V","PADD 5","")))))</f>
        <v>PADD 3</v>
      </c>
      <c r="G7474" s="6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6" t="s">
        <v>44</v>
      </c>
      <c r="I7474" s="6" t="s">
        <v>508</v>
      </c>
      <c r="J7474" s="6" t="s">
        <v>398</v>
      </c>
      <c r="K7474" s="10">
        <v>3.25</v>
      </c>
      <c r="L7474" s="10">
        <v>25</v>
      </c>
      <c r="M7474" s="6" t="s">
        <v>421</v>
      </c>
      <c r="N7474" s="6">
        <f>IF(OR($G7474="FCC",$G7474="Hydrocracker",$G7474="Reformer"),IF(COUNTIFS($D:$D,$D7474,$A:$A,$A7474,$B:$B,$B7474,$G:$G,"CDU",$J:$J,"PLANNED")&gt;0,"tied","standalone"),"")</f>
        <v/>
      </c>
    </row>
    <row r="7475" spans="1:14">
      <c r="A7475" s="6">
        <v>2026</v>
      </c>
      <c r="B7475" s="6">
        <v>3</v>
      </c>
      <c r="C7475" s="6" t="s">
        <v>62</v>
      </c>
      <c r="D7475" s="6" t="s">
        <v>52</v>
      </c>
      <c r="E7475" s="6" t="s">
        <v>441</v>
      </c>
      <c r="F7475" s="6" t="str">
        <f>IF($M7475="PADD I","PADD 1",IF($M7475="PADD II","PADD 2",IF($M7475="PADD III","PADD 3",IF($M7475="PADD IV","PADD 4",IF($M7475="PADD V","PADD 5","")))))</f>
        <v>PADD 5</v>
      </c>
      <c r="G7475" s="6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6" t="s">
        <v>44</v>
      </c>
      <c r="I7475" s="6" t="s">
        <v>909</v>
      </c>
      <c r="J7475" s="6" t="s">
        <v>394</v>
      </c>
      <c r="K7475" s="10">
        <v>3.22</v>
      </c>
      <c r="L7475" s="10">
        <v>14</v>
      </c>
      <c r="M7475" s="6" t="s">
        <v>436</v>
      </c>
      <c r="N7475" s="6">
        <f>IF(OR($G7475="FCC",$G7475="Hydrocracker",$G7475="Reformer"),IF(COUNTIFS($D:$D,$D7475,$A:$A,$A7475,$B:$B,$B7475,$G:$G,"CDU",$J:$J,"PLANNED")&gt;0,"tied","standalone"),"")</f>
        <v/>
      </c>
    </row>
    <row r="7476" spans="1:14">
      <c r="A7476" s="6">
        <v>2026</v>
      </c>
      <c r="B7476" s="6">
        <v>3</v>
      </c>
      <c r="C7476" s="6" t="s">
        <v>62</v>
      </c>
      <c r="D7476" s="6" t="s">
        <v>576</v>
      </c>
      <c r="E7476" s="6" t="s">
        <v>455</v>
      </c>
      <c r="F7476" s="6" t="str">
        <f>IF($M7476="PADD I","PADD 1",IF($M7476="PADD II","PADD 2",IF($M7476="PADD III","PADD 3",IF($M7476="PADD IV","PADD 4",IF($M7476="PADD V","PADD 5","")))))</f>
        <v>PADD 3</v>
      </c>
      <c r="G7476" s="6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6" t="s">
        <v>471</v>
      </c>
      <c r="I7476" s="6" t="s">
        <v>647</v>
      </c>
      <c r="J7476" s="6" t="s">
        <v>394</v>
      </c>
      <c r="K7476" s="10">
        <v>3.18</v>
      </c>
      <c r="L7476" s="10">
        <v>53</v>
      </c>
      <c r="M7476" s="6" t="s">
        <v>421</v>
      </c>
      <c r="N7476" s="6" t="str">
        <f>IF(OR($G7476="FCC",$G7476="Hydrocracker",$G7476="Reformer"),IF(COUNTIFS($D:$D,$D7476,$A:$A,$A7476,$B:$B,$B7476,$G:$G,"CDU",$J:$J,"PLANNED")&gt;0,"tied","standalone"),"")</f>
        <v>standalone</v>
      </c>
    </row>
    <row r="7477" spans="1:14">
      <c r="A7477" s="6">
        <v>2026</v>
      </c>
      <c r="B7477" s="6">
        <v>3</v>
      </c>
      <c r="C7477" s="6" t="s">
        <v>62</v>
      </c>
      <c r="D7477" s="6" t="s">
        <v>1003</v>
      </c>
      <c r="E7477" s="6" t="s">
        <v>783</v>
      </c>
      <c r="F7477" s="6" t="str">
        <f>IF($M7477="PADD I","PADD 1",IF($M7477="PADD II","PADD 2",IF($M7477="PADD III","PADD 3",IF($M7477="PADD IV","PADD 4",IF($M7477="PADD V","PADD 5","")))))</f>
        <v>PADD 2</v>
      </c>
      <c r="G7477" s="6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6" t="s">
        <v>426</v>
      </c>
      <c r="I7477" s="6" t="s">
        <v>106</v>
      </c>
      <c r="J7477" s="6" t="s">
        <v>394</v>
      </c>
      <c r="K7477" s="10">
        <v>3.12</v>
      </c>
      <c r="L7477" s="10">
        <v>24</v>
      </c>
      <c r="M7477" s="6" t="s">
        <v>425</v>
      </c>
      <c r="N7477" s="6" t="str">
        <f>IF(OR($G7477="FCC",$G7477="Hydrocracker",$G7477="Reformer"),IF(COUNTIFS($D:$D,$D7477,$A:$A,$A7477,$B:$B,$B7477,$G:$G,"CDU",$J:$J,"PLANNED")&gt;0,"tied","standalone"),"")</f>
        <v>standalone</v>
      </c>
    </row>
    <row r="7478" spans="1:14">
      <c r="A7478" s="6">
        <v>2026</v>
      </c>
      <c r="B7478" s="6">
        <v>3</v>
      </c>
      <c r="C7478" s="6" t="s">
        <v>62</v>
      </c>
      <c r="D7478" s="6" t="s">
        <v>772</v>
      </c>
      <c r="E7478" s="6" t="s">
        <v>502</v>
      </c>
      <c r="F7478" s="6" t="str">
        <f>IF($M7478="PADD I","PADD 1",IF($M7478="PADD II","PADD 2",IF($M7478="PADD III","PADD 3",IF($M7478="PADD IV","PADD 4",IF($M7478="PADD V","PADD 5","")))))</f>
        <v>PADD 4</v>
      </c>
      <c r="G7478" s="6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6" t="s">
        <v>618</v>
      </c>
      <c r="I7478" s="6" t="s">
        <v>1417</v>
      </c>
      <c r="J7478" s="6" t="s">
        <v>398</v>
      </c>
      <c r="K7478" s="10">
        <v>3</v>
      </c>
      <c r="L7478" s="10">
        <v>3</v>
      </c>
      <c r="M7478" s="6" t="s">
        <v>480</v>
      </c>
      <c r="N7478" s="6">
        <f>IF(OR($G7478="FCC",$G7478="Hydrocracker",$G7478="Reformer"),IF(COUNTIFS($D:$D,$D7478,$A:$A,$A7478,$B:$B,$B7478,$G:$G,"CDU",$J:$J,"PLANNED")&gt;0,"tied","standalone"),"")</f>
        <v/>
      </c>
    </row>
    <row r="7479" spans="1:14">
      <c r="A7479" s="6">
        <v>2026</v>
      </c>
      <c r="B7479" s="6">
        <v>3</v>
      </c>
      <c r="C7479" s="6" t="s">
        <v>62</v>
      </c>
      <c r="D7479" s="6" t="s">
        <v>1198</v>
      </c>
      <c r="E7479" s="6" t="s">
        <v>1199</v>
      </c>
      <c r="F7479" s="6" t="str">
        <f>IF($M7479="PADD I","PADD 1",IF($M7479="PADD II","PADD 2",IF($M7479="PADD III","PADD 3",IF($M7479="PADD IV","PADD 4",IF($M7479="PADD V","PADD 5","")))))</f>
        <v>PADD 3</v>
      </c>
      <c r="G7479" s="6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6" t="s">
        <v>44</v>
      </c>
      <c r="I7479" s="6" t="s">
        <v>954</v>
      </c>
      <c r="J7479" s="6" t="s">
        <v>398</v>
      </c>
      <c r="K7479" s="10">
        <v>2.745</v>
      </c>
      <c r="L7479" s="10">
        <v>4.5</v>
      </c>
      <c r="M7479" s="6" t="s">
        <v>421</v>
      </c>
      <c r="N7479" s="6">
        <f>IF(OR($G7479="FCC",$G7479="Hydrocracker",$G7479="Reformer"),IF(COUNTIFS($D:$D,$D7479,$A:$A,$A7479,$B:$B,$B7479,$G:$G,"CDU",$J:$J,"PLANNED")&gt;0,"tied","standalone"),"")</f>
        <v/>
      </c>
    </row>
    <row r="7480" spans="1:14">
      <c r="A7480" s="6">
        <v>2026</v>
      </c>
      <c r="B7480" s="6">
        <v>3</v>
      </c>
      <c r="C7480" s="6" t="s">
        <v>62</v>
      </c>
      <c r="D7480" s="6" t="s">
        <v>772</v>
      </c>
      <c r="E7480" s="6" t="s">
        <v>502</v>
      </c>
      <c r="F7480" s="6" t="str">
        <f>IF($M7480="PADD I","PADD 1",IF($M7480="PADD II","PADD 2",IF($M7480="PADD III","PADD 3",IF($M7480="PADD IV","PADD 4",IF($M7480="PADD V","PADD 5","")))))</f>
        <v>PADD 4</v>
      </c>
      <c r="G7480" s="6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6" t="s">
        <v>510</v>
      </c>
      <c r="I7480" s="6" t="s">
        <v>1159</v>
      </c>
      <c r="J7480" s="6" t="s">
        <v>398</v>
      </c>
      <c r="K7480" s="10">
        <v>2.726</v>
      </c>
      <c r="L7480" s="10">
        <v>2.9</v>
      </c>
      <c r="M7480" s="6" t="s">
        <v>480</v>
      </c>
      <c r="N7480" s="6">
        <f>IF(OR($G7480="FCC",$G7480="Hydrocracker",$G7480="Reformer"),IF(COUNTIFS($D:$D,$D7480,$A:$A,$A7480,$B:$B,$B7480,$G:$G,"CDU",$J:$J,"PLANNED")&gt;0,"tied","standalone"),"")</f>
        <v/>
      </c>
    </row>
    <row r="7481" spans="1:14">
      <c r="A7481" s="6">
        <v>2026</v>
      </c>
      <c r="B7481" s="6">
        <v>3</v>
      </c>
      <c r="C7481" s="6" t="s">
        <v>62</v>
      </c>
      <c r="D7481" s="6" t="s">
        <v>696</v>
      </c>
      <c r="E7481" s="6" t="s">
        <v>455</v>
      </c>
      <c r="F7481" s="6" t="str">
        <f>IF($M7481="PADD I","PADD 1",IF($M7481="PADD II","PADD 2",IF($M7481="PADD III","PADD 3",IF($M7481="PADD IV","PADD 4",IF($M7481="PADD V","PADD 5","")))))</f>
        <v>PADD 3</v>
      </c>
      <c r="G7481" s="6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6" t="s">
        <v>44</v>
      </c>
      <c r="I7481" s="6" t="s">
        <v>697</v>
      </c>
      <c r="J7481" s="6" t="s">
        <v>394</v>
      </c>
      <c r="K7481" s="10">
        <v>2.7</v>
      </c>
      <c r="L7481" s="10">
        <v>45</v>
      </c>
      <c r="M7481" s="6" t="s">
        <v>421</v>
      </c>
      <c r="N7481" s="6">
        <f>IF(OR($G7481="FCC",$G7481="Hydrocracker",$G7481="Reformer"),IF(COUNTIFS($D:$D,$D7481,$A:$A,$A7481,$B:$B,$B7481,$G:$G,"CDU",$J:$J,"PLANNED")&gt;0,"tied","standalone"),"")</f>
        <v/>
      </c>
    </row>
    <row r="7482" spans="1:14">
      <c r="A7482" s="6">
        <v>2026</v>
      </c>
      <c r="B7482" s="6">
        <v>3</v>
      </c>
      <c r="C7482" s="6" t="s">
        <v>62</v>
      </c>
      <c r="D7482" s="6" t="s">
        <v>662</v>
      </c>
      <c r="E7482" s="6" t="s">
        <v>466</v>
      </c>
      <c r="F7482" s="6" t="str">
        <f>IF($M7482="PADD I","PADD 1",IF($M7482="PADD II","PADD 2",IF($M7482="PADD III","PADD 3",IF($M7482="PADD IV","PADD 4",IF($M7482="PADD V","PADD 5","")))))</f>
        <v>PADD 3</v>
      </c>
      <c r="G7482" s="6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6" t="s">
        <v>485</v>
      </c>
      <c r="I7482" s="6" t="s">
        <v>491</v>
      </c>
      <c r="J7482" s="6" t="s">
        <v>394</v>
      </c>
      <c r="K7482" s="10">
        <v>2.64</v>
      </c>
      <c r="L7482" s="10">
        <v>44</v>
      </c>
      <c r="M7482" s="6" t="s">
        <v>421</v>
      </c>
      <c r="N7482" s="6">
        <f>IF(OR($G7482="FCC",$G7482="Hydrocracker",$G7482="Reformer"),IF(COUNTIFS($D:$D,$D7482,$A:$A,$A7482,$B:$B,$B7482,$G:$G,"CDU",$J:$J,"PLANNED")&gt;0,"tied","standalone"),"")</f>
        <v/>
      </c>
    </row>
    <row r="7483" spans="1:14">
      <c r="A7483" s="6">
        <v>2026</v>
      </c>
      <c r="B7483" s="6">
        <v>3</v>
      </c>
      <c r="C7483" s="6" t="s">
        <v>62</v>
      </c>
      <c r="D7483" s="6" t="s">
        <v>561</v>
      </c>
      <c r="E7483" s="6" t="s">
        <v>455</v>
      </c>
      <c r="F7483" s="6" t="str">
        <f>IF($M7483="PADD I","PADD 1",IF($M7483="PADD II","PADD 2",IF($M7483="PADD III","PADD 3",IF($M7483="PADD IV","PADD 4",IF($M7483="PADD V","PADD 5","")))))</f>
        <v>PADD 3</v>
      </c>
      <c r="G7483" s="6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6" t="s">
        <v>510</v>
      </c>
      <c r="I7483" s="6" t="s">
        <v>511</v>
      </c>
      <c r="J7483" s="6" t="s">
        <v>398</v>
      </c>
      <c r="K7483" s="10">
        <v>2.458</v>
      </c>
      <c r="L7483" s="10">
        <v>24.58</v>
      </c>
      <c r="M7483" s="6" t="s">
        <v>421</v>
      </c>
      <c r="N7483" s="6">
        <f>IF(OR($G7483="FCC",$G7483="Hydrocracker",$G7483="Reformer"),IF(COUNTIFS($D:$D,$D7483,$A:$A,$A7483,$B:$B,$B7483,$G:$G,"CDU",$J:$J,"PLANNED")&gt;0,"tied","standalone"),"")</f>
        <v/>
      </c>
    </row>
    <row r="7484" spans="1:14">
      <c r="A7484" s="6">
        <v>2026</v>
      </c>
      <c r="B7484" s="6">
        <v>3</v>
      </c>
      <c r="C7484" s="6" t="s">
        <v>62</v>
      </c>
      <c r="D7484" s="6" t="s">
        <v>370</v>
      </c>
      <c r="E7484" s="6" t="s">
        <v>431</v>
      </c>
      <c r="F7484" s="6" t="str">
        <f>IF($M7484="PADD I","PADD 1",IF($M7484="PADD II","PADD 2",IF($M7484="PADD III","PADD 3",IF($M7484="PADD IV","PADD 4",IF($M7484="PADD V","PADD 5","")))))</f>
        <v>PADD 2</v>
      </c>
      <c r="G7484" s="6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6" t="s">
        <v>39</v>
      </c>
      <c r="I7484" s="6" t="s">
        <v>82</v>
      </c>
      <c r="J7484" s="6" t="s">
        <v>398</v>
      </c>
      <c r="K7484" s="10">
        <v>2.4</v>
      </c>
      <c r="L7484" s="10">
        <v>40</v>
      </c>
      <c r="M7484" s="6" t="s">
        <v>425</v>
      </c>
      <c r="N7484" s="6">
        <f>IF(OR($G7484="FCC",$G7484="Hydrocracker",$G7484="Reformer"),IF(COUNTIFS($D:$D,$D7484,$A:$A,$A7484,$B:$B,$B7484,$G:$G,"CDU",$J:$J,"PLANNED")&gt;0,"tied","standalone"),"")</f>
        <v/>
      </c>
    </row>
    <row r="7485" spans="1:14">
      <c r="A7485" s="6">
        <v>2026</v>
      </c>
      <c r="B7485" s="6">
        <v>3</v>
      </c>
      <c r="C7485" s="6" t="s">
        <v>62</v>
      </c>
      <c r="D7485" s="6" t="s">
        <v>581</v>
      </c>
      <c r="E7485" s="6" t="s">
        <v>582</v>
      </c>
      <c r="F7485" s="6" t="str">
        <f>IF($M7485="PADD I","PADD 1",IF($M7485="PADD II","PADD 2",IF($M7485="PADD III","PADD 3",IF($M7485="PADD IV","PADD 4",IF($M7485="PADD V","PADD 5","")))))</f>
        <v>PADD 5</v>
      </c>
      <c r="G7485" s="6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6" t="s">
        <v>485</v>
      </c>
      <c r="I7485" s="6" t="s">
        <v>649</v>
      </c>
      <c r="J7485" s="6" t="s">
        <v>398</v>
      </c>
      <c r="K7485" s="10">
        <v>2.3925</v>
      </c>
      <c r="L7485" s="10">
        <v>8.25</v>
      </c>
      <c r="M7485" s="6" t="s">
        <v>436</v>
      </c>
      <c r="N7485" s="6">
        <f>IF(OR($G7485="FCC",$G7485="Hydrocracker",$G7485="Reformer"),IF(COUNTIFS($D:$D,$D7485,$A:$A,$A7485,$B:$B,$B7485,$G:$G,"CDU",$J:$J,"PLANNED")&gt;0,"tied","standalone"),"")</f>
        <v/>
      </c>
    </row>
    <row r="7486" spans="1:14">
      <c r="A7486" s="6">
        <v>2026</v>
      </c>
      <c r="B7486" s="6">
        <v>3</v>
      </c>
      <c r="C7486" s="6" t="s">
        <v>62</v>
      </c>
      <c r="D7486" s="6" t="s">
        <v>487</v>
      </c>
      <c r="E7486" s="6" t="s">
        <v>488</v>
      </c>
      <c r="F7486" s="6" t="str">
        <f>IF($M7486="PADD I","PADD 1",IF($M7486="PADD II","PADD 2",IF($M7486="PADD III","PADD 3",IF($M7486="PADD IV","PADD 4",IF($M7486="PADD V","PADD 5","")))))</f>
        <v>PADD 4</v>
      </c>
      <c r="G7486" s="6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6" t="s">
        <v>39</v>
      </c>
      <c r="I7486" s="6" t="s">
        <v>489</v>
      </c>
      <c r="J7486" s="6" t="s">
        <v>394</v>
      </c>
      <c r="K7486" s="10">
        <v>2.28</v>
      </c>
      <c r="L7486" s="10">
        <v>38</v>
      </c>
      <c r="M7486" s="6" t="s">
        <v>480</v>
      </c>
      <c r="N7486" s="6">
        <f>IF(OR($G7486="FCC",$G7486="Hydrocracker",$G7486="Reformer"),IF(COUNTIFS($D:$D,$D7486,$A:$A,$A7486,$B:$B,$B7486,$G:$G,"CDU",$J:$J,"PLANNED")&gt;0,"tied","standalone"),"")</f>
        <v/>
      </c>
    </row>
    <row r="7487" spans="1:14">
      <c r="A7487" s="6">
        <v>2026</v>
      </c>
      <c r="B7487" s="6">
        <v>3</v>
      </c>
      <c r="C7487" s="6" t="s">
        <v>62</v>
      </c>
      <c r="D7487" s="6" t="s">
        <v>370</v>
      </c>
      <c r="E7487" s="6" t="s">
        <v>431</v>
      </c>
      <c r="F7487" s="6" t="str">
        <f>IF($M7487="PADD I","PADD 1",IF($M7487="PADD II","PADD 2",IF($M7487="PADD III","PADD 3",IF($M7487="PADD IV","PADD 4",IF($M7487="PADD V","PADD 5","")))))</f>
        <v>PADD 2</v>
      </c>
      <c r="G7487" s="6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6" t="s">
        <v>471</v>
      </c>
      <c r="I7487" s="6" t="s">
        <v>240</v>
      </c>
      <c r="J7487" s="6" t="s">
        <v>398</v>
      </c>
      <c r="K7487" s="10">
        <v>2.24</v>
      </c>
      <c r="L7487" s="10">
        <v>14</v>
      </c>
      <c r="M7487" s="6" t="s">
        <v>425</v>
      </c>
      <c r="N7487" s="6" t="str">
        <f>IF(OR($G7487="FCC",$G7487="Hydrocracker",$G7487="Reformer"),IF(COUNTIFS($D:$D,$D7487,$A:$A,$A7487,$B:$B,$B7487,$G:$G,"CDU",$J:$J,"PLANNED")&gt;0,"tied","standalone"),"")</f>
        <v>tied</v>
      </c>
    </row>
    <row r="7488" spans="1:14">
      <c r="A7488" s="6">
        <v>2026</v>
      </c>
      <c r="B7488" s="6">
        <v>3</v>
      </c>
      <c r="C7488" s="6" t="s">
        <v>62</v>
      </c>
      <c r="D7488" s="6" t="s">
        <v>984</v>
      </c>
      <c r="E7488" s="6" t="s">
        <v>438</v>
      </c>
      <c r="F7488" s="6" t="str">
        <f>IF($M7488="PADD I","PADD 1",IF($M7488="PADD II","PADD 2",IF($M7488="PADD III","PADD 3",IF($M7488="PADD IV","PADD 4",IF($M7488="PADD V","PADD 5","")))))</f>
        <v>PADD 3</v>
      </c>
      <c r="G7488" s="6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6" t="s">
        <v>428</v>
      </c>
      <c r="I7488" s="6" t="s">
        <v>1014</v>
      </c>
      <c r="J7488" s="6" t="s">
        <v>398</v>
      </c>
      <c r="K7488" s="10">
        <v>2.21</v>
      </c>
      <c r="L7488" s="10">
        <v>17</v>
      </c>
      <c r="M7488" s="6" t="s">
        <v>421</v>
      </c>
      <c r="N7488" s="6">
        <f>IF(OR($G7488="FCC",$G7488="Hydrocracker",$G7488="Reformer"),IF(COUNTIFS($D:$D,$D7488,$A:$A,$A7488,$B:$B,$B7488,$G:$G,"CDU",$J:$J,"PLANNED")&gt;0,"tied","standalone"),"")</f>
        <v/>
      </c>
    </row>
    <row r="7489" spans="1:14">
      <c r="A7489" s="6">
        <v>2026</v>
      </c>
      <c r="B7489" s="6">
        <v>3</v>
      </c>
      <c r="C7489" s="6" t="s">
        <v>62</v>
      </c>
      <c r="D7489" s="6" t="s">
        <v>682</v>
      </c>
      <c r="E7489" s="6" t="s">
        <v>683</v>
      </c>
      <c r="F7489" s="6" t="str">
        <f>IF($M7489="PADD I","PADD 1",IF($M7489="PADD II","PADD 2",IF($M7489="PADD III","PADD 3",IF($M7489="PADD IV","PADD 4",IF($M7489="PADD V","PADD 5","")))))</f>
        <v>PADD 4</v>
      </c>
      <c r="G7489" s="6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6" t="s">
        <v>44</v>
      </c>
      <c r="I7489" s="6" t="s">
        <v>724</v>
      </c>
      <c r="J7489" s="6" t="s">
        <v>398</v>
      </c>
      <c r="K7489" s="10">
        <v>2.185</v>
      </c>
      <c r="L7489" s="10">
        <v>9.5</v>
      </c>
      <c r="M7489" s="6" t="s">
        <v>480</v>
      </c>
      <c r="N7489" s="6">
        <f>IF(OR($G7489="FCC",$G7489="Hydrocracker",$G7489="Reformer"),IF(COUNTIFS($D:$D,$D7489,$A:$A,$A7489,$B:$B,$B7489,$G:$G,"CDU",$J:$J,"PLANNED")&gt;0,"tied","standalone"),"")</f>
        <v/>
      </c>
    </row>
    <row r="7490" spans="1:14">
      <c r="A7490" s="6">
        <v>2026</v>
      </c>
      <c r="B7490" s="6">
        <v>3</v>
      </c>
      <c r="C7490" s="6" t="s">
        <v>62</v>
      </c>
      <c r="D7490" s="6" t="s">
        <v>1198</v>
      </c>
      <c r="E7490" s="6" t="s">
        <v>1199</v>
      </c>
      <c r="F7490" s="6" t="str">
        <f>IF($M7490="PADD I","PADD 1",IF($M7490="PADD II","PADD 2",IF($M7490="PADD III","PADD 3",IF($M7490="PADD IV","PADD 4",IF($M7490="PADD V","PADD 5","")))))</f>
        <v>PADD 3</v>
      </c>
      <c r="G7490" s="6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6" t="s">
        <v>687</v>
      </c>
      <c r="I7490" s="6" t="s">
        <v>1376</v>
      </c>
      <c r="J7490" s="6" t="s">
        <v>398</v>
      </c>
      <c r="K7490" s="10">
        <v>2.135</v>
      </c>
      <c r="L7490" s="10">
        <v>3.5</v>
      </c>
      <c r="M7490" s="6" t="s">
        <v>421</v>
      </c>
      <c r="N7490" s="6">
        <f>IF(OR($G7490="FCC",$G7490="Hydrocracker",$G7490="Reformer"),IF(COUNTIFS($D:$D,$D7490,$A:$A,$A7490,$B:$B,$B7490,$G:$G,"CDU",$J:$J,"PLANNED")&gt;0,"tied","standalone"),"")</f>
        <v/>
      </c>
    </row>
    <row r="7491" spans="1:14">
      <c r="A7491" s="6">
        <v>2026</v>
      </c>
      <c r="B7491" s="6">
        <v>3</v>
      </c>
      <c r="C7491" s="6" t="s">
        <v>62</v>
      </c>
      <c r="D7491" s="6" t="s">
        <v>1365</v>
      </c>
      <c r="E7491" s="6" t="s">
        <v>1366</v>
      </c>
      <c r="F7491" s="6" t="str">
        <f>IF($M7491="PADD I","PADD 1",IF($M7491="PADD II","PADD 2",IF($M7491="PADD III","PADD 3",IF($M7491="PADD IV","PADD 4",IF($M7491="PADD V","PADD 5","")))))</f>
        <v>PADD 1</v>
      </c>
      <c r="G7491" s="6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6" t="s">
        <v>471</v>
      </c>
      <c r="I7491" s="6" t="s">
        <v>621</v>
      </c>
      <c r="J7491" s="6" t="s">
        <v>394</v>
      </c>
      <c r="K7491" s="10">
        <v>2.068</v>
      </c>
      <c r="L7491" s="10">
        <v>2.2</v>
      </c>
      <c r="M7491" s="6" t="s">
        <v>463</v>
      </c>
      <c r="N7491" s="6" t="str">
        <f>IF(OR($G7491="FCC",$G7491="Hydrocracker",$G7491="Reformer"),IF(COUNTIFS($D:$D,$D7491,$A:$A,$A7491,$B:$B,$B7491,$G:$G,"CDU",$J:$J,"PLANNED")&gt;0,"tied","standalone"),"")</f>
        <v>standalone</v>
      </c>
    </row>
    <row r="7492" spans="1:14">
      <c r="A7492" s="6">
        <v>2026</v>
      </c>
      <c r="B7492" s="6">
        <v>3</v>
      </c>
      <c r="C7492" s="6" t="s">
        <v>62</v>
      </c>
      <c r="D7492" s="6" t="s">
        <v>1198</v>
      </c>
      <c r="E7492" s="6" t="s">
        <v>1199</v>
      </c>
      <c r="F7492" s="6" t="str">
        <f>IF($M7492="PADD I","PADD 1",IF($M7492="PADD II","PADD 2",IF($M7492="PADD III","PADD 3",IF($M7492="PADD IV","PADD 4",IF($M7492="PADD V","PADD 5","")))))</f>
        <v>PADD 3</v>
      </c>
      <c r="G7492" s="6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6" t="s">
        <v>428</v>
      </c>
      <c r="I7492" s="6" t="s">
        <v>481</v>
      </c>
      <c r="J7492" s="6" t="s">
        <v>398</v>
      </c>
      <c r="K7492" s="10">
        <v>1.83</v>
      </c>
      <c r="L7492" s="10">
        <v>3</v>
      </c>
      <c r="M7492" s="6" t="s">
        <v>421</v>
      </c>
      <c r="N7492" s="6">
        <f>IF(OR($G7492="FCC",$G7492="Hydrocracker",$G7492="Reformer"),IF(COUNTIFS($D:$D,$D7492,$A:$A,$A7492,$B:$B,$B7492,$G:$G,"CDU",$J:$J,"PLANNED")&gt;0,"tied","standalone"),"")</f>
        <v/>
      </c>
    </row>
    <row r="7493" spans="1:14">
      <c r="A7493" s="6">
        <v>2026</v>
      </c>
      <c r="B7493" s="6">
        <v>3</v>
      </c>
      <c r="C7493" s="6" t="s">
        <v>62</v>
      </c>
      <c r="D7493" s="6" t="s">
        <v>1113</v>
      </c>
      <c r="E7493" s="6" t="s">
        <v>438</v>
      </c>
      <c r="F7493" s="6" t="str">
        <f>IF($M7493="PADD I","PADD 1",IF($M7493="PADD II","PADD 2",IF($M7493="PADD III","PADD 3",IF($M7493="PADD IV","PADD 4",IF($M7493="PADD V","PADD 5","")))))</f>
        <v>PADD 2</v>
      </c>
      <c r="G7493" s="6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6" t="s">
        <v>44</v>
      </c>
      <c r="I7493" s="6" t="s">
        <v>739</v>
      </c>
      <c r="J7493" s="6" t="s">
        <v>394</v>
      </c>
      <c r="K7493" s="10">
        <v>1.82</v>
      </c>
      <c r="L7493" s="10">
        <v>7</v>
      </c>
      <c r="M7493" s="6" t="s">
        <v>425</v>
      </c>
      <c r="N7493" s="6">
        <f>IF(OR($G7493="FCC",$G7493="Hydrocracker",$G7493="Reformer"),IF(COUNTIFS($D:$D,$D7493,$A:$A,$A7493,$B:$B,$B7493,$G:$G,"CDU",$J:$J,"PLANNED")&gt;0,"tied","standalone"),"")</f>
        <v/>
      </c>
    </row>
    <row r="7494" spans="1:14">
      <c r="A7494" s="6">
        <v>2026</v>
      </c>
      <c r="B7494" s="6">
        <v>3</v>
      </c>
      <c r="C7494" s="6" t="s">
        <v>62</v>
      </c>
      <c r="D7494" s="6" t="s">
        <v>384</v>
      </c>
      <c r="E7494" s="6" t="s">
        <v>419</v>
      </c>
      <c r="F7494" s="6" t="str">
        <f>IF($M7494="PADD I","PADD 1",IF($M7494="PADD II","PADD 2",IF($M7494="PADD III","PADD 3",IF($M7494="PADD IV","PADD 4",IF($M7494="PADD V","PADD 5","")))))</f>
        <v>PADD 3</v>
      </c>
      <c r="G7494" s="6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6" t="s">
        <v>426</v>
      </c>
      <c r="I7494" s="6" t="s">
        <v>522</v>
      </c>
      <c r="J7494" s="6" t="s">
        <v>394</v>
      </c>
      <c r="K7494" s="10">
        <v>1.8</v>
      </c>
      <c r="L7494" s="10">
        <v>30</v>
      </c>
      <c r="M7494" s="6" t="s">
        <v>421</v>
      </c>
      <c r="N7494" s="6" t="str">
        <f>IF(OR($G7494="FCC",$G7494="Hydrocracker",$G7494="Reformer"),IF(COUNTIFS($D:$D,$D7494,$A:$A,$A7494,$B:$B,$B7494,$G:$G,"CDU",$J:$J,"PLANNED")&gt;0,"tied","standalone"),"")</f>
        <v>standalone</v>
      </c>
    </row>
    <row r="7495" spans="1:14">
      <c r="A7495" s="6">
        <v>2026</v>
      </c>
      <c r="B7495" s="6">
        <v>3</v>
      </c>
      <c r="C7495" s="6" t="s">
        <v>62</v>
      </c>
      <c r="D7495" s="6" t="s">
        <v>52</v>
      </c>
      <c r="E7495" s="6" t="s">
        <v>441</v>
      </c>
      <c r="F7495" s="6" t="str">
        <f>IF($M7495="PADD I","PADD 1",IF($M7495="PADD II","PADD 2",IF($M7495="PADD III","PADD 3",IF($M7495="PADD IV","PADD 4",IF($M7495="PADD V","PADD 5","")))))</f>
        <v>PADD 5</v>
      </c>
      <c r="G7495" s="6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6" t="s">
        <v>44</v>
      </c>
      <c r="I7495" s="6" t="s">
        <v>1387</v>
      </c>
      <c r="J7495" s="6" t="s">
        <v>394</v>
      </c>
      <c r="K7495" s="10">
        <v>1.6905</v>
      </c>
      <c r="L7495" s="10">
        <v>7.35</v>
      </c>
      <c r="M7495" s="6" t="s">
        <v>436</v>
      </c>
      <c r="N7495" s="6">
        <f>IF(OR($G7495="FCC",$G7495="Hydrocracker",$G7495="Reformer"),IF(COUNTIFS($D:$D,$D7495,$A:$A,$A7495,$B:$B,$B7495,$G:$G,"CDU",$J:$J,"PLANNED")&gt;0,"tied","standalone"),"")</f>
        <v/>
      </c>
    </row>
    <row r="7496" spans="1:14">
      <c r="A7496" s="6">
        <v>2026</v>
      </c>
      <c r="B7496" s="6">
        <v>3</v>
      </c>
      <c r="C7496" s="6" t="s">
        <v>62</v>
      </c>
      <c r="D7496" s="6" t="s">
        <v>597</v>
      </c>
      <c r="E7496" s="6" t="s">
        <v>441</v>
      </c>
      <c r="F7496" s="6" t="str">
        <f>IF($M7496="PADD I","PADD 1",IF($M7496="PADD II","PADD 2",IF($M7496="PADD III","PADD 3",IF($M7496="PADD IV","PADD 4",IF($M7496="PADD V","PADD 5","")))))</f>
        <v>PADD 5</v>
      </c>
      <c r="G7496" s="6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6" t="s">
        <v>471</v>
      </c>
      <c r="I7496" s="6" t="s">
        <v>598</v>
      </c>
      <c r="J7496" s="6" t="s">
        <v>394</v>
      </c>
      <c r="K7496" s="10">
        <v>1.68</v>
      </c>
      <c r="L7496" s="10">
        <v>28</v>
      </c>
      <c r="M7496" s="6" t="s">
        <v>436</v>
      </c>
      <c r="N7496" s="6" t="str">
        <f>IF(OR($G7496="FCC",$G7496="Hydrocracker",$G7496="Reformer"),IF(COUNTIFS($D:$D,$D7496,$A:$A,$A7496,$B:$B,$B7496,$G:$G,"CDU",$J:$J,"PLANNED")&gt;0,"tied","standalone"),"")</f>
        <v>standalone</v>
      </c>
    </row>
    <row r="7497" spans="1:14">
      <c r="A7497" s="6">
        <v>2026</v>
      </c>
      <c r="B7497" s="6">
        <v>3</v>
      </c>
      <c r="C7497" s="6" t="s">
        <v>62</v>
      </c>
      <c r="D7497" s="6" t="s">
        <v>849</v>
      </c>
      <c r="E7497" s="6" t="s">
        <v>441</v>
      </c>
      <c r="F7497" s="6" t="str">
        <f>IF($M7497="PADD I","PADD 1",IF($M7497="PADD II","PADD 2",IF($M7497="PADD III","PADD 3",IF($M7497="PADD IV","PADD 4",IF($M7497="PADD V","PADD 5","")))))</f>
        <v>PADD 4</v>
      </c>
      <c r="G7497" s="6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6" t="s">
        <v>428</v>
      </c>
      <c r="I7497" s="6" t="s">
        <v>429</v>
      </c>
      <c r="J7497" s="6" t="s">
        <v>394</v>
      </c>
      <c r="K7497" s="10">
        <v>1.65</v>
      </c>
      <c r="L7497" s="10">
        <v>27.5</v>
      </c>
      <c r="M7497" s="6" t="s">
        <v>480</v>
      </c>
      <c r="N7497" s="6">
        <f>IF(OR($G7497="FCC",$G7497="Hydrocracker",$G7497="Reformer"),IF(COUNTIFS($D:$D,$D7497,$A:$A,$A7497,$B:$B,$B7497,$G:$G,"CDU",$J:$J,"PLANNED")&gt;0,"tied","standalone"),"")</f>
        <v/>
      </c>
    </row>
    <row r="7498" spans="1:14">
      <c r="A7498" s="6">
        <v>2026</v>
      </c>
      <c r="B7498" s="6">
        <v>3</v>
      </c>
      <c r="C7498" s="6" t="s">
        <v>62</v>
      </c>
      <c r="D7498" s="6" t="s">
        <v>52</v>
      </c>
      <c r="E7498" s="6" t="s">
        <v>441</v>
      </c>
      <c r="F7498" s="6" t="str">
        <f>IF($M7498="PADD I","PADD 1",IF($M7498="PADD II","PADD 2",IF($M7498="PADD III","PADD 3",IF($M7498="PADD IV","PADD 4",IF($M7498="PADD V","PADD 5","")))))</f>
        <v>PADD 5</v>
      </c>
      <c r="G7498" s="6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6" t="s">
        <v>44</v>
      </c>
      <c r="I7498" s="6" t="s">
        <v>1388</v>
      </c>
      <c r="J7498" s="6" t="s">
        <v>394</v>
      </c>
      <c r="K7498" s="10">
        <v>1.61</v>
      </c>
      <c r="L7498" s="10">
        <v>7</v>
      </c>
      <c r="M7498" s="6" t="s">
        <v>436</v>
      </c>
      <c r="N7498" s="6">
        <f>IF(OR($G7498="FCC",$G7498="Hydrocracker",$G7498="Reformer"),IF(COUNTIFS($D:$D,$D7498,$A:$A,$A7498,$B:$B,$B7498,$G:$G,"CDU",$J:$J,"PLANNED")&gt;0,"tied","standalone"),"")</f>
        <v/>
      </c>
    </row>
    <row r="7499" spans="1:14">
      <c r="A7499" s="6">
        <v>2026</v>
      </c>
      <c r="B7499" s="6">
        <v>3</v>
      </c>
      <c r="C7499" s="6" t="s">
        <v>62</v>
      </c>
      <c r="D7499" s="6" t="s">
        <v>41</v>
      </c>
      <c r="E7499" s="6" t="s">
        <v>786</v>
      </c>
      <c r="F7499" s="6" t="str">
        <f>IF($M7499="PADD I","PADD 1",IF($M7499="PADD II","PADD 2",IF($M7499="PADD III","PADD 3",IF($M7499="PADD IV","PADD 4",IF($M7499="PADD V","PADD 5","")))))</f>
        <v>PADD 1</v>
      </c>
      <c r="G7499" s="6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6" t="s">
        <v>426</v>
      </c>
      <c r="I7499" s="6" t="s">
        <v>787</v>
      </c>
      <c r="J7499" s="6" t="s">
        <v>394</v>
      </c>
      <c r="K7499" s="10">
        <v>1.59</v>
      </c>
      <c r="L7499" s="10">
        <v>53</v>
      </c>
      <c r="M7499" s="6" t="s">
        <v>463</v>
      </c>
      <c r="N7499" s="6" t="str">
        <f>IF(OR($G7499="FCC",$G7499="Hydrocracker",$G7499="Reformer"),IF(COUNTIFS($D:$D,$D7499,$A:$A,$A7499,$B:$B,$B7499,$G:$G,"CDU",$J:$J,"PLANNED")&gt;0,"tied","standalone"),"")</f>
        <v>standalone</v>
      </c>
    </row>
    <row r="7500" spans="1:14">
      <c r="A7500" s="6">
        <v>2026</v>
      </c>
      <c r="B7500" s="6">
        <v>3</v>
      </c>
      <c r="C7500" s="6" t="s">
        <v>62</v>
      </c>
      <c r="D7500" s="6" t="s">
        <v>51</v>
      </c>
      <c r="E7500" s="6" t="s">
        <v>431</v>
      </c>
      <c r="F7500" s="6" t="str">
        <f>IF($M7500="PADD I","PADD 1",IF($M7500="PADD II","PADD 2",IF($M7500="PADD III","PADD 3",IF($M7500="PADD IV","PADD 4",IF($M7500="PADD V","PADD 5","")))))</f>
        <v>PADD 3</v>
      </c>
      <c r="G7500" s="6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6" t="s">
        <v>485</v>
      </c>
      <c r="I7500" s="6" t="s">
        <v>1322</v>
      </c>
      <c r="J7500" s="6" t="s">
        <v>398</v>
      </c>
      <c r="K7500" s="10">
        <v>1.545</v>
      </c>
      <c r="L7500" s="10">
        <v>51.5</v>
      </c>
      <c r="M7500" s="6" t="s">
        <v>421</v>
      </c>
      <c r="N7500" s="6">
        <f>IF(OR($G7500="FCC",$G7500="Hydrocracker",$G7500="Reformer"),IF(COUNTIFS($D:$D,$D7500,$A:$A,$A7500,$B:$B,$B7500,$G:$G,"CDU",$J:$J,"PLANNED")&gt;0,"tied","standalone"),"")</f>
        <v/>
      </c>
    </row>
    <row r="7501" spans="1:14">
      <c r="A7501" s="6">
        <v>2026</v>
      </c>
      <c r="B7501" s="6">
        <v>3</v>
      </c>
      <c r="C7501" s="6" t="s">
        <v>62</v>
      </c>
      <c r="D7501" s="6" t="s">
        <v>561</v>
      </c>
      <c r="E7501" s="6" t="s">
        <v>455</v>
      </c>
      <c r="F7501" s="6" t="str">
        <f>IF($M7501="PADD I","PADD 1",IF($M7501="PADD II","PADD 2",IF($M7501="PADD III","PADD 3",IF($M7501="PADD IV","PADD 4",IF($M7501="PADD V","PADD 5","")))))</f>
        <v>PADD 3</v>
      </c>
      <c r="G7501" s="6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6" t="s">
        <v>44</v>
      </c>
      <c r="I7501" s="6" t="s">
        <v>705</v>
      </c>
      <c r="J7501" s="6" t="s">
        <v>394</v>
      </c>
      <c r="K7501" s="10">
        <v>1.5</v>
      </c>
      <c r="L7501" s="10">
        <v>50</v>
      </c>
      <c r="M7501" s="6" t="s">
        <v>421</v>
      </c>
      <c r="N7501" s="6">
        <f>IF(OR($G7501="FCC",$G7501="Hydrocracker",$G7501="Reformer"),IF(COUNTIFS($D:$D,$D7501,$A:$A,$A7501,$B:$B,$B7501,$G:$G,"CDU",$J:$J,"PLANNED")&gt;0,"tied","standalone"),"")</f>
        <v/>
      </c>
    </row>
    <row r="7502" spans="1:14">
      <c r="A7502" s="6">
        <v>2026</v>
      </c>
      <c r="B7502" s="6">
        <v>3</v>
      </c>
      <c r="C7502" s="6" t="s">
        <v>62</v>
      </c>
      <c r="D7502" s="6" t="s">
        <v>561</v>
      </c>
      <c r="E7502" s="6" t="s">
        <v>455</v>
      </c>
      <c r="F7502" s="6" t="str">
        <f>IF($M7502="PADD I","PADD 1",IF($M7502="PADD II","PADD 2",IF($M7502="PADD III","PADD 3",IF($M7502="PADD IV","PADD 4",IF($M7502="PADD V","PADD 5","")))))</f>
        <v>PADD 3</v>
      </c>
      <c r="G7502" s="6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6" t="s">
        <v>494</v>
      </c>
      <c r="I7502" s="6" t="s">
        <v>14</v>
      </c>
      <c r="J7502" s="6" t="s">
        <v>394</v>
      </c>
      <c r="K7502" s="10">
        <v>1.5</v>
      </c>
      <c r="L7502" s="10">
        <v>50</v>
      </c>
      <c r="M7502" s="6" t="s">
        <v>421</v>
      </c>
      <c r="N7502" s="6" t="str">
        <f>IF(OR($G7502="FCC",$G7502="Hydrocracker",$G7502="Reformer"),IF(COUNTIFS($D:$D,$D7502,$A:$A,$A7502,$B:$B,$B7502,$G:$G,"CDU",$J:$J,"PLANNED")&gt;0,"tied","standalone"),"")</f>
        <v>standalone</v>
      </c>
    </row>
    <row r="7503" spans="1:14">
      <c r="A7503" s="6">
        <v>2026</v>
      </c>
      <c r="B7503" s="6">
        <v>3</v>
      </c>
      <c r="C7503" s="6" t="s">
        <v>62</v>
      </c>
      <c r="D7503" s="6" t="s">
        <v>984</v>
      </c>
      <c r="E7503" s="6" t="s">
        <v>438</v>
      </c>
      <c r="F7503" s="6" t="str">
        <f>IF($M7503="PADD I","PADD 1",IF($M7503="PADD II","PADD 2",IF($M7503="PADD III","PADD 3",IF($M7503="PADD IV","PADD 4",IF($M7503="PADD V","PADD 5","")))))</f>
        <v>PADD 3</v>
      </c>
      <c r="G7503" s="6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6" t="s">
        <v>510</v>
      </c>
      <c r="I7503" s="6" t="s">
        <v>511</v>
      </c>
      <c r="J7503" s="6" t="s">
        <v>398</v>
      </c>
      <c r="K7503" s="10">
        <v>1.3</v>
      </c>
      <c r="L7503" s="10">
        <v>10</v>
      </c>
      <c r="M7503" s="6" t="s">
        <v>421</v>
      </c>
      <c r="N7503" s="6">
        <f>IF(OR($G7503="FCC",$G7503="Hydrocracker",$G7503="Reformer"),IF(COUNTIFS($D:$D,$D7503,$A:$A,$A7503,$B:$B,$B7503,$G:$G,"CDU",$J:$J,"PLANNED")&gt;0,"tied","standalone"),"")</f>
        <v/>
      </c>
    </row>
    <row r="7504" spans="1:14">
      <c r="A7504" s="6">
        <v>2026</v>
      </c>
      <c r="B7504" s="6">
        <v>3</v>
      </c>
      <c r="C7504" s="6" t="s">
        <v>62</v>
      </c>
      <c r="D7504" s="6" t="s">
        <v>54</v>
      </c>
      <c r="E7504" s="6" t="s">
        <v>593</v>
      </c>
      <c r="F7504" s="6" t="str">
        <f>IF($M7504="PADD I","PADD 1",IF($M7504="PADD II","PADD 2",IF($M7504="PADD III","PADD 3",IF($M7504="PADD IV","PADD 4",IF($M7504="PADD V","PADD 5","")))))</f>
        <v>PADD 5</v>
      </c>
      <c r="G7504" s="6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6" t="s">
        <v>44</v>
      </c>
      <c r="I7504" s="6" t="s">
        <v>1418</v>
      </c>
      <c r="J7504" s="6" t="s">
        <v>398</v>
      </c>
      <c r="K7504" s="10">
        <v>1.2324</v>
      </c>
      <c r="L7504" s="10">
        <v>20.54</v>
      </c>
      <c r="M7504" s="6" t="s">
        <v>436</v>
      </c>
      <c r="N7504" s="6">
        <f>IF(OR($G7504="FCC",$G7504="Hydrocracker",$G7504="Reformer"),IF(COUNTIFS($D:$D,$D7504,$A:$A,$A7504,$B:$B,$B7504,$G:$G,"CDU",$J:$J,"PLANNED")&gt;0,"tied","standalone"),"")</f>
        <v/>
      </c>
    </row>
    <row r="7505" spans="1:14">
      <c r="A7505" s="6">
        <v>2026</v>
      </c>
      <c r="B7505" s="6">
        <v>3</v>
      </c>
      <c r="C7505" s="6" t="s">
        <v>62</v>
      </c>
      <c r="D7505" s="6" t="s">
        <v>52</v>
      </c>
      <c r="E7505" s="6" t="s">
        <v>441</v>
      </c>
      <c r="F7505" s="6" t="str">
        <f>IF($M7505="PADD I","PADD 1",IF($M7505="PADD II","PADD 2",IF($M7505="PADD III","PADD 3",IF($M7505="PADD IV","PADD 4",IF($M7505="PADD V","PADD 5","")))))</f>
        <v>PADD 5</v>
      </c>
      <c r="G7505" s="6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6" t="s">
        <v>44</v>
      </c>
      <c r="I7505" s="6" t="s">
        <v>1257</v>
      </c>
      <c r="J7505" s="6" t="s">
        <v>394</v>
      </c>
      <c r="K7505" s="10">
        <v>0.966</v>
      </c>
      <c r="L7505" s="10">
        <v>4.2</v>
      </c>
      <c r="M7505" s="6" t="s">
        <v>436</v>
      </c>
      <c r="N7505" s="6">
        <f>IF(OR($G7505="FCC",$G7505="Hydrocracker",$G7505="Reformer"),IF(COUNTIFS($D:$D,$D7505,$A:$A,$A7505,$B:$B,$B7505,$G:$G,"CDU",$J:$J,"PLANNED")&gt;0,"tied","standalone"),"")</f>
        <v/>
      </c>
    </row>
    <row r="7506" spans="1:14">
      <c r="A7506" s="6">
        <v>2026</v>
      </c>
      <c r="B7506" s="6">
        <v>3</v>
      </c>
      <c r="C7506" s="6" t="s">
        <v>62</v>
      </c>
      <c r="D7506" s="6" t="s">
        <v>726</v>
      </c>
      <c r="E7506" s="6" t="s">
        <v>727</v>
      </c>
      <c r="F7506" s="6" t="str">
        <f>IF($M7506="PADD I","PADD 1",IF($M7506="PADD II","PADD 2",IF($M7506="PADD III","PADD 3",IF($M7506="PADD IV","PADD 4",IF($M7506="PADD V","PADD 5","")))))</f>
        <v>PADD 1</v>
      </c>
      <c r="G7506" s="6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6" t="s">
        <v>471</v>
      </c>
      <c r="I7506" s="6" t="s">
        <v>949</v>
      </c>
      <c r="J7506" s="6" t="s">
        <v>394</v>
      </c>
      <c r="K7506" s="10">
        <v>0.96</v>
      </c>
      <c r="L7506" s="10">
        <v>32</v>
      </c>
      <c r="M7506" s="6" t="s">
        <v>463</v>
      </c>
      <c r="N7506" s="6" t="str">
        <f>IF(OR($G7506="FCC",$G7506="Hydrocracker",$G7506="Reformer"),IF(COUNTIFS($D:$D,$D7506,$A:$A,$A7506,$B:$B,$B7506,$G:$G,"CDU",$J:$J,"PLANNED")&gt;0,"tied","standalone"),"")</f>
        <v>standalone</v>
      </c>
    </row>
    <row r="7507" spans="1:14">
      <c r="A7507" s="6">
        <v>2026</v>
      </c>
      <c r="B7507" s="6">
        <v>3</v>
      </c>
      <c r="C7507" s="6" t="s">
        <v>62</v>
      </c>
      <c r="D7507" s="6" t="s">
        <v>1198</v>
      </c>
      <c r="E7507" s="6" t="s">
        <v>1199</v>
      </c>
      <c r="F7507" s="6" t="str">
        <f>IF($M7507="PADD I","PADD 1",IF($M7507="PADD II","PADD 2",IF($M7507="PADD III","PADD 3",IF($M7507="PADD IV","PADD 4",IF($M7507="PADD V","PADD 5","")))))</f>
        <v>PADD 3</v>
      </c>
      <c r="G7507" s="6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6" t="s">
        <v>573</v>
      </c>
      <c r="I7507" s="6" t="s">
        <v>574</v>
      </c>
      <c r="J7507" s="6" t="s">
        <v>398</v>
      </c>
      <c r="K7507" s="10">
        <v>0.915</v>
      </c>
      <c r="L7507" s="10">
        <v>1.5</v>
      </c>
      <c r="M7507" s="6" t="s">
        <v>421</v>
      </c>
      <c r="N7507" s="6">
        <f>IF(OR($G7507="FCC",$G7507="Hydrocracker",$G7507="Reformer"),IF(COUNTIFS($D:$D,$D7507,$A:$A,$A7507,$B:$B,$B7507,$G:$G,"CDU",$J:$J,"PLANNED")&gt;0,"tied","standalone"),"")</f>
        <v/>
      </c>
    </row>
    <row r="7508" spans="1:14">
      <c r="A7508" s="6">
        <v>2026</v>
      </c>
      <c r="B7508" s="6">
        <v>3</v>
      </c>
      <c r="C7508" s="6" t="s">
        <v>62</v>
      </c>
      <c r="D7508" s="6" t="s">
        <v>806</v>
      </c>
      <c r="E7508" s="6" t="s">
        <v>807</v>
      </c>
      <c r="F7508" s="6" t="str">
        <f>IF($M7508="PADD I","PADD 1",IF($M7508="PADD II","PADD 2",IF($M7508="PADD III","PADD 3",IF($M7508="PADD IV","PADD 4",IF($M7508="PADD V","PADD 5","")))))</f>
        <v>PADD 3</v>
      </c>
      <c r="G7508" s="6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6" t="s">
        <v>39</v>
      </c>
      <c r="I7508" s="6" t="s">
        <v>82</v>
      </c>
      <c r="J7508" s="6" t="s">
        <v>394</v>
      </c>
      <c r="K7508" s="10">
        <v>0.9</v>
      </c>
      <c r="L7508" s="10">
        <v>15</v>
      </c>
      <c r="M7508" s="6" t="s">
        <v>421</v>
      </c>
      <c r="N7508" s="6">
        <f>IF(OR($G7508="FCC",$G7508="Hydrocracker",$G7508="Reformer"),IF(COUNTIFS($D:$D,$D7508,$A:$A,$A7508,$B:$B,$B7508,$G:$G,"CDU",$J:$J,"PLANNED")&gt;0,"tied","standalone"),"")</f>
        <v/>
      </c>
    </row>
    <row r="7509" spans="1:14">
      <c r="A7509" s="6">
        <v>2026</v>
      </c>
      <c r="B7509" s="6">
        <v>3</v>
      </c>
      <c r="C7509" s="6" t="s">
        <v>62</v>
      </c>
      <c r="D7509" s="6" t="s">
        <v>764</v>
      </c>
      <c r="E7509" s="6" t="s">
        <v>455</v>
      </c>
      <c r="F7509" s="6" t="str">
        <f>IF($M7509="PADD I","PADD 1",IF($M7509="PADD II","PADD 2",IF($M7509="PADD III","PADD 3",IF($M7509="PADD IV","PADD 4",IF($M7509="PADD V","PADD 5","")))))</f>
        <v>PADD 3</v>
      </c>
      <c r="G7509" s="6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6" t="s">
        <v>471</v>
      </c>
      <c r="I7509" s="6" t="s">
        <v>914</v>
      </c>
      <c r="J7509" s="6" t="s">
        <v>394</v>
      </c>
      <c r="K7509" s="10">
        <v>0.867</v>
      </c>
      <c r="L7509" s="10">
        <v>28.9</v>
      </c>
      <c r="M7509" s="6" t="s">
        <v>421</v>
      </c>
      <c r="N7509" s="6" t="str">
        <f>IF(OR($G7509="FCC",$G7509="Hydrocracker",$G7509="Reformer"),IF(COUNTIFS($D:$D,$D7509,$A:$A,$A7509,$B:$B,$B7509,$G:$G,"CDU",$J:$J,"PLANNED")&gt;0,"tied","standalone"),"")</f>
        <v>standalone</v>
      </c>
    </row>
    <row r="7510" spans="1:14">
      <c r="A7510" s="6">
        <v>2026</v>
      </c>
      <c r="B7510" s="6">
        <v>3</v>
      </c>
      <c r="C7510" s="6" t="s">
        <v>62</v>
      </c>
      <c r="D7510" s="6" t="s">
        <v>370</v>
      </c>
      <c r="E7510" s="6" t="s">
        <v>431</v>
      </c>
      <c r="F7510" s="6" t="str">
        <f>IF($M7510="PADD I","PADD 1",IF($M7510="PADD II","PADD 2",IF($M7510="PADD III","PADD 3",IF($M7510="PADD IV","PADD 4",IF($M7510="PADD V","PADD 5","")))))</f>
        <v>PADD 2</v>
      </c>
      <c r="G7510" s="6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6" t="s">
        <v>471</v>
      </c>
      <c r="I7510" s="6" t="s">
        <v>240</v>
      </c>
      <c r="J7510" s="6" t="s">
        <v>398</v>
      </c>
      <c r="K7510" s="10">
        <v>0.84</v>
      </c>
      <c r="L7510" s="10">
        <v>2</v>
      </c>
      <c r="M7510" s="6" t="s">
        <v>425</v>
      </c>
      <c r="N7510" s="6" t="str">
        <f>IF(OR($G7510="FCC",$G7510="Hydrocracker",$G7510="Reformer"),IF(COUNTIFS($D:$D,$D7510,$A:$A,$A7510,$B:$B,$B7510,$G:$G,"CDU",$J:$J,"PLANNED")&gt;0,"tied","standalone"),"")</f>
        <v>tied</v>
      </c>
    </row>
    <row r="7511" spans="1:14">
      <c r="A7511" s="6">
        <v>2026</v>
      </c>
      <c r="B7511" s="6">
        <v>3</v>
      </c>
      <c r="C7511" s="6" t="s">
        <v>62</v>
      </c>
      <c r="D7511" s="6" t="s">
        <v>682</v>
      </c>
      <c r="E7511" s="6" t="s">
        <v>683</v>
      </c>
      <c r="F7511" s="6" t="str">
        <f>IF($M7511="PADD I","PADD 1",IF($M7511="PADD II","PADD 2",IF($M7511="PADD III","PADD 3",IF($M7511="PADD IV","PADD 4",IF($M7511="PADD V","PADD 5","")))))</f>
        <v>PADD 4</v>
      </c>
      <c r="G7511" s="6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6" t="s">
        <v>510</v>
      </c>
      <c r="I7511" s="6" t="s">
        <v>666</v>
      </c>
      <c r="J7511" s="6" t="s">
        <v>394</v>
      </c>
      <c r="K7511" s="10">
        <v>0.8120000000000001</v>
      </c>
      <c r="L7511" s="10">
        <v>2.8</v>
      </c>
      <c r="M7511" s="6" t="s">
        <v>480</v>
      </c>
      <c r="N7511" s="6">
        <f>IF(OR($G7511="FCC",$G7511="Hydrocracker",$G7511="Reformer"),IF(COUNTIFS($D:$D,$D7511,$A:$A,$A7511,$B:$B,$B7511,$G:$G,"CDU",$J:$J,"PLANNED")&gt;0,"tied","standalone"),"")</f>
        <v/>
      </c>
    </row>
    <row r="7512" spans="1:14">
      <c r="A7512" s="6">
        <v>2026</v>
      </c>
      <c r="B7512" s="6">
        <v>3</v>
      </c>
      <c r="C7512" s="6" t="s">
        <v>62</v>
      </c>
      <c r="D7512" s="6" t="s">
        <v>849</v>
      </c>
      <c r="E7512" s="6" t="s">
        <v>441</v>
      </c>
      <c r="F7512" s="6" t="str">
        <f>IF($M7512="PADD I","PADD 1",IF($M7512="PADD II","PADD 2",IF($M7512="PADD III","PADD 3",IF($M7512="PADD IV","PADD 4",IF($M7512="PADD V","PADD 5","")))))</f>
        <v>PADD 4</v>
      </c>
      <c r="G7512" s="6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6" t="s">
        <v>485</v>
      </c>
      <c r="I7512" s="6" t="s">
        <v>1238</v>
      </c>
      <c r="J7512" s="6" t="s">
        <v>394</v>
      </c>
      <c r="K7512" s="10">
        <v>0.6</v>
      </c>
      <c r="L7512" s="10">
        <v>10</v>
      </c>
      <c r="M7512" s="6" t="s">
        <v>480</v>
      </c>
      <c r="N7512" s="6">
        <f>IF(OR($G7512="FCC",$G7512="Hydrocracker",$G7512="Reformer"),IF(COUNTIFS($D:$D,$D7512,$A:$A,$A7512,$B:$B,$B7512,$G:$G,"CDU",$J:$J,"PLANNED")&gt;0,"tied","standalone"),"")</f>
        <v/>
      </c>
    </row>
    <row r="7513" spans="1:14">
      <c r="A7513" s="6">
        <v>2026</v>
      </c>
      <c r="B7513" s="6">
        <v>3</v>
      </c>
      <c r="C7513" s="6" t="s">
        <v>62</v>
      </c>
      <c r="D7513" s="6" t="s">
        <v>849</v>
      </c>
      <c r="E7513" s="6" t="s">
        <v>441</v>
      </c>
      <c r="F7513" s="6" t="str">
        <f>IF($M7513="PADD I","PADD 1",IF($M7513="PADD II","PADD 2",IF($M7513="PADD III","PADD 3",IF($M7513="PADD IV","PADD 4",IF($M7513="PADD V","PADD 5","")))))</f>
        <v>PADD 4</v>
      </c>
      <c r="G7513" s="6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6" t="s">
        <v>510</v>
      </c>
      <c r="I7513" s="6" t="s">
        <v>958</v>
      </c>
      <c r="J7513" s="6" t="s">
        <v>394</v>
      </c>
      <c r="K7513" s="10">
        <v>0.336</v>
      </c>
      <c r="L7513" s="10">
        <v>5.6</v>
      </c>
      <c r="M7513" s="6" t="s">
        <v>480</v>
      </c>
      <c r="N7513" s="6">
        <f>IF(OR($G7513="FCC",$G7513="Hydrocracker",$G7513="Reformer"),IF(COUNTIFS($D:$D,$D7513,$A:$A,$A7513,$B:$B,$B7513,$G:$G,"CDU",$J:$J,"PLANNED")&gt;0,"tied","standalone"),"")</f>
        <v/>
      </c>
    </row>
    <row r="7514" spans="1:14">
      <c r="A7514" s="6">
        <v>2026</v>
      </c>
      <c r="B7514" s="6">
        <v>4</v>
      </c>
      <c r="C7514" s="6" t="s">
        <v>63</v>
      </c>
      <c r="D7514" s="6" t="s">
        <v>49</v>
      </c>
      <c r="E7514" s="6" t="s">
        <v>438</v>
      </c>
      <c r="F7514" s="6" t="str">
        <f>IF($M7514="PADD I","PADD 1",IF($M7514="PADD II","PADD 2",IF($M7514="PADD III","PADD 3",IF($M7514="PADD IV","PADD 4",IF($M7514="PADD V","PADD 5","")))))</f>
        <v>PADD 2</v>
      </c>
      <c r="G7514" s="6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6" t="s">
        <v>39</v>
      </c>
      <c r="I7514" s="6" t="s">
        <v>770</v>
      </c>
      <c r="J7514" s="6" t="s">
        <v>398</v>
      </c>
      <c r="K7514" s="10">
        <v>278</v>
      </c>
      <c r="L7514" s="10">
        <v>278</v>
      </c>
      <c r="M7514" s="6" t="s">
        <v>425</v>
      </c>
      <c r="N7514" s="6">
        <f>IF(OR($G7514="FCC",$G7514="Hydrocracker",$G7514="Reformer"),IF(COUNTIFS($D:$D,$D7514,$A:$A,$A7514,$B:$B,$B7514,$G:$G,"CDU",$J:$J,"PLANNED")&gt;0,"tied","standalone"),"")</f>
        <v/>
      </c>
    </row>
    <row r="7515" spans="1:14">
      <c r="A7515" s="6">
        <v>2026</v>
      </c>
      <c r="B7515" s="6">
        <v>4</v>
      </c>
      <c r="C7515" s="6" t="s">
        <v>63</v>
      </c>
      <c r="D7515" s="6" t="s">
        <v>576</v>
      </c>
      <c r="E7515" s="6" t="s">
        <v>455</v>
      </c>
      <c r="F7515" s="6" t="str">
        <f>IF($M7515="PADD I","PADD 1",IF($M7515="PADD II","PADD 2",IF($M7515="PADD III","PADD 3",IF($M7515="PADD IV","PADD 4",IF($M7515="PADD V","PADD 5","")))))</f>
        <v>PADD 3</v>
      </c>
      <c r="G7515" s="6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6" t="s">
        <v>39</v>
      </c>
      <c r="I7515" s="6" t="s">
        <v>399</v>
      </c>
      <c r="J7515" s="6" t="s">
        <v>394</v>
      </c>
      <c r="K7515" s="10">
        <v>210</v>
      </c>
      <c r="L7515" s="10">
        <v>210</v>
      </c>
      <c r="M7515" s="6" t="s">
        <v>421</v>
      </c>
      <c r="N7515" s="6">
        <f>IF(OR($G7515="FCC",$G7515="Hydrocracker",$G7515="Reformer"),IF(COUNTIFS($D:$D,$D7515,$A:$A,$A7515,$B:$B,$B7515,$G:$G,"CDU",$J:$J,"PLANNED")&gt;0,"tied","standalone"),"")</f>
        <v/>
      </c>
    </row>
    <row r="7516" spans="1:14">
      <c r="A7516" s="6">
        <v>2026</v>
      </c>
      <c r="B7516" s="6">
        <v>4</v>
      </c>
      <c r="C7516" s="6" t="s">
        <v>63</v>
      </c>
      <c r="D7516" s="6" t="s">
        <v>54</v>
      </c>
      <c r="E7516" s="6" t="s">
        <v>593</v>
      </c>
      <c r="F7516" s="6" t="str">
        <f>IF($M7516="PADD I","PADD 1",IF($M7516="PADD II","PADD 2",IF($M7516="PADD III","PADD 3",IF($M7516="PADD IV","PADD 4",IF($M7516="PADD V","PADD 5","")))))</f>
        <v>PADD 5</v>
      </c>
      <c r="G7516" s="6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6" t="s">
        <v>39</v>
      </c>
      <c r="I7516" s="6" t="s">
        <v>82</v>
      </c>
      <c r="J7516" s="6" t="s">
        <v>394</v>
      </c>
      <c r="K7516" s="10">
        <v>182.5</v>
      </c>
      <c r="L7516" s="10">
        <v>250</v>
      </c>
      <c r="M7516" s="6" t="s">
        <v>436</v>
      </c>
      <c r="N7516" s="6">
        <f>IF(OR($G7516="FCC",$G7516="Hydrocracker",$G7516="Reformer"),IF(COUNTIFS($D:$D,$D7516,$A:$A,$A7516,$B:$B,$B7516,$G:$G,"CDU",$J:$J,"PLANNED")&gt;0,"tied","standalone"),"")</f>
        <v/>
      </c>
    </row>
    <row r="7517" spans="1:14">
      <c r="A7517" s="6">
        <v>2026</v>
      </c>
      <c r="B7517" s="6">
        <v>4</v>
      </c>
      <c r="C7517" s="6" t="s">
        <v>63</v>
      </c>
      <c r="D7517" s="6" t="s">
        <v>576</v>
      </c>
      <c r="E7517" s="6" t="s">
        <v>455</v>
      </c>
      <c r="F7517" s="6" t="str">
        <f>IF($M7517="PADD I","PADD 1",IF($M7517="PADD II","PADD 2",IF($M7517="PADD III","PADD 3",IF($M7517="PADD IV","PADD 4",IF($M7517="PADD V","PADD 5","")))))</f>
        <v>PADD 3</v>
      </c>
      <c r="G7517" s="6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6" t="s">
        <v>428</v>
      </c>
      <c r="I7517" s="6" t="s">
        <v>699</v>
      </c>
      <c r="J7517" s="6" t="s">
        <v>394</v>
      </c>
      <c r="K7517" s="10">
        <v>172</v>
      </c>
      <c r="L7517" s="10">
        <v>172</v>
      </c>
      <c r="M7517" s="6" t="s">
        <v>421</v>
      </c>
      <c r="N7517" s="6">
        <f>IF(OR($G7517="FCC",$G7517="Hydrocracker",$G7517="Reformer"),IF(COUNTIFS($D:$D,$D7517,$A:$A,$A7517,$B:$B,$B7517,$G:$G,"CDU",$J:$J,"PLANNED")&gt;0,"tied","standalone"),"")</f>
        <v/>
      </c>
    </row>
    <row r="7518" spans="1:14">
      <c r="A7518" s="6">
        <v>2026</v>
      </c>
      <c r="B7518" s="6">
        <v>4</v>
      </c>
      <c r="C7518" s="6" t="s">
        <v>63</v>
      </c>
      <c r="D7518" s="6" t="s">
        <v>371</v>
      </c>
      <c r="E7518" s="6" t="s">
        <v>419</v>
      </c>
      <c r="F7518" s="6" t="str">
        <f>IF($M7518="PADD I","PADD 1",IF($M7518="PADD II","PADD 2",IF($M7518="PADD III","PADD 3",IF($M7518="PADD IV","PADD 4",IF($M7518="PADD V","PADD 5","")))))</f>
        <v>PADD 2</v>
      </c>
      <c r="G7518" s="6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6" t="s">
        <v>39</v>
      </c>
      <c r="I7518" s="6" t="s">
        <v>571</v>
      </c>
      <c r="J7518" s="6" t="s">
        <v>398</v>
      </c>
      <c r="K7518" s="10">
        <v>120</v>
      </c>
      <c r="L7518" s="10">
        <v>120</v>
      </c>
      <c r="M7518" s="6" t="s">
        <v>425</v>
      </c>
      <c r="N7518" s="6">
        <f>IF(OR($G7518="FCC",$G7518="Hydrocracker",$G7518="Reformer"),IF(COUNTIFS($D:$D,$D7518,$A:$A,$A7518,$B:$B,$B7518,$G:$G,"CDU",$J:$J,"PLANNED")&gt;0,"tied","standalone"),"")</f>
        <v/>
      </c>
    </row>
    <row r="7519" spans="1:14">
      <c r="A7519" s="6">
        <v>2026</v>
      </c>
      <c r="B7519" s="6">
        <v>4</v>
      </c>
      <c r="C7519" s="6" t="s">
        <v>63</v>
      </c>
      <c r="D7519" s="6" t="s">
        <v>54</v>
      </c>
      <c r="E7519" s="6" t="s">
        <v>593</v>
      </c>
      <c r="F7519" s="6" t="str">
        <f>IF($M7519="PADD I","PADD 1",IF($M7519="PADD II","PADD 2",IF($M7519="PADD III","PADD 3",IF($M7519="PADD IV","PADD 4",IF($M7519="PADD V","PADD 5","")))))</f>
        <v>PADD 5</v>
      </c>
      <c r="G7519" s="6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6" t="s">
        <v>428</v>
      </c>
      <c r="I7519" s="6" t="s">
        <v>481</v>
      </c>
      <c r="J7519" s="6" t="s">
        <v>394</v>
      </c>
      <c r="K7519" s="10">
        <v>93.13</v>
      </c>
      <c r="L7519" s="10">
        <v>139</v>
      </c>
      <c r="M7519" s="6" t="s">
        <v>436</v>
      </c>
      <c r="N7519" s="6">
        <f>IF(OR($G7519="FCC",$G7519="Hydrocracker",$G7519="Reformer"),IF(COUNTIFS($D:$D,$D7519,$A:$A,$A7519,$B:$B,$B7519,$G:$G,"CDU",$J:$J,"PLANNED")&gt;0,"tied","standalone"),"")</f>
        <v/>
      </c>
    </row>
    <row r="7520" spans="1:14">
      <c r="A7520" s="6">
        <v>2026</v>
      </c>
      <c r="B7520" s="6">
        <v>4</v>
      </c>
      <c r="C7520" s="6" t="s">
        <v>63</v>
      </c>
      <c r="D7520" s="6" t="s">
        <v>49</v>
      </c>
      <c r="E7520" s="6" t="s">
        <v>438</v>
      </c>
      <c r="F7520" s="6" t="str">
        <f>IF($M7520="PADD I","PADD 1",IF($M7520="PADD II","PADD 2",IF($M7520="PADD III","PADD 3",IF($M7520="PADD IV","PADD 4",IF($M7520="PADD V","PADD 5","")))))</f>
        <v>PADD 2</v>
      </c>
      <c r="G7520" s="6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6" t="s">
        <v>44</v>
      </c>
      <c r="I7520" s="6" t="s">
        <v>746</v>
      </c>
      <c r="J7520" s="6" t="s">
        <v>398</v>
      </c>
      <c r="K7520" s="10">
        <v>85</v>
      </c>
      <c r="L7520" s="10">
        <v>85</v>
      </c>
      <c r="M7520" s="6" t="s">
        <v>425</v>
      </c>
      <c r="N7520" s="6">
        <f>IF(OR($G7520="FCC",$G7520="Hydrocracker",$G7520="Reformer"),IF(COUNTIFS($D:$D,$D7520,$A:$A,$A7520,$B:$B,$B7520,$G:$G,"CDU",$J:$J,"PLANNED")&gt;0,"tied","standalone"),"")</f>
        <v/>
      </c>
    </row>
    <row r="7521" spans="1:14">
      <c r="A7521" s="6">
        <v>2026</v>
      </c>
      <c r="B7521" s="6">
        <v>4</v>
      </c>
      <c r="C7521" s="6" t="s">
        <v>63</v>
      </c>
      <c r="D7521" s="6" t="s">
        <v>49</v>
      </c>
      <c r="E7521" s="6" t="s">
        <v>438</v>
      </c>
      <c r="F7521" s="6" t="str">
        <f>IF($M7521="PADD I","PADD 1",IF($M7521="PADD II","PADD 2",IF($M7521="PADD III","PADD 3",IF($M7521="PADD IV","PADD 4",IF($M7521="PADD V","PADD 5","")))))</f>
        <v>PADD 2</v>
      </c>
      <c r="G7521" s="6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6" t="s">
        <v>44</v>
      </c>
      <c r="I7521" s="6" t="s">
        <v>746</v>
      </c>
      <c r="J7521" s="6" t="s">
        <v>398</v>
      </c>
      <c r="K7521" s="10">
        <v>85</v>
      </c>
      <c r="L7521" s="10">
        <v>85</v>
      </c>
      <c r="M7521" s="6" t="s">
        <v>425</v>
      </c>
      <c r="N7521" s="6">
        <f>IF(OR($G7521="FCC",$G7521="Hydrocracker",$G7521="Reformer"),IF(COUNTIFS($D:$D,$D7521,$A:$A,$A7521,$B:$B,$B7521,$G:$G,"CDU",$J:$J,"PLANNED")&gt;0,"tied","standalone"),"")</f>
        <v/>
      </c>
    </row>
    <row r="7522" spans="1:14">
      <c r="A7522" s="6">
        <v>2026</v>
      </c>
      <c r="B7522" s="6">
        <v>4</v>
      </c>
      <c r="C7522" s="6" t="s">
        <v>63</v>
      </c>
      <c r="D7522" s="6" t="s">
        <v>371</v>
      </c>
      <c r="E7522" s="6" t="s">
        <v>419</v>
      </c>
      <c r="F7522" s="6" t="str">
        <f>IF($M7522="PADD I","PADD 1",IF($M7522="PADD II","PADD 2",IF($M7522="PADD III","PADD 3",IF($M7522="PADD IV","PADD 4",IF($M7522="PADD V","PADD 5","")))))</f>
        <v>PADD 2</v>
      </c>
      <c r="G7522" s="6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6" t="s">
        <v>428</v>
      </c>
      <c r="I7522" s="6" t="s">
        <v>469</v>
      </c>
      <c r="J7522" s="6" t="s">
        <v>398</v>
      </c>
      <c r="K7522" s="10">
        <v>84</v>
      </c>
      <c r="L7522" s="10">
        <v>105</v>
      </c>
      <c r="M7522" s="6" t="s">
        <v>425</v>
      </c>
      <c r="N7522" s="6">
        <f>IF(OR($G7522="FCC",$G7522="Hydrocracker",$G7522="Reformer"),IF(COUNTIFS($D:$D,$D7522,$A:$A,$A7522,$B:$B,$B7522,$G:$G,"CDU",$J:$J,"PLANNED")&gt;0,"tied","standalone"),"")</f>
        <v/>
      </c>
    </row>
    <row r="7523" spans="1:14">
      <c r="A7523" s="6">
        <v>2026</v>
      </c>
      <c r="B7523" s="6">
        <v>4</v>
      </c>
      <c r="C7523" s="6" t="s">
        <v>63</v>
      </c>
      <c r="D7523" s="6" t="s">
        <v>576</v>
      </c>
      <c r="E7523" s="6" t="s">
        <v>455</v>
      </c>
      <c r="F7523" s="6" t="str">
        <f>IF($M7523="PADD I","PADD 1",IF($M7523="PADD II","PADD 2",IF($M7523="PADD III","PADD 3",IF($M7523="PADD IV","PADD 4",IF($M7523="PADD V","PADD 5","")))))</f>
        <v>PADD 3</v>
      </c>
      <c r="G7523" s="6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6" t="s">
        <v>426</v>
      </c>
      <c r="I7523" s="6" t="s">
        <v>393</v>
      </c>
      <c r="J7523" s="6" t="s">
        <v>394</v>
      </c>
      <c r="K7523" s="10">
        <v>80</v>
      </c>
      <c r="L7523" s="10">
        <v>80</v>
      </c>
      <c r="M7523" s="6" t="s">
        <v>421</v>
      </c>
      <c r="N7523" s="6" t="str">
        <f>IF(OR($G7523="FCC",$G7523="Hydrocracker",$G7523="Reformer"),IF(COUNTIFS($D:$D,$D7523,$A:$A,$A7523,$B:$B,$B7523,$G:$G,"CDU",$J:$J,"PLANNED")&gt;0,"tied","standalone"),"")</f>
        <v>standalone</v>
      </c>
    </row>
    <row r="7524" spans="1:14">
      <c r="A7524" s="6">
        <v>2026</v>
      </c>
      <c r="B7524" s="6">
        <v>4</v>
      </c>
      <c r="C7524" s="6" t="s">
        <v>63</v>
      </c>
      <c r="D7524" s="6" t="s">
        <v>576</v>
      </c>
      <c r="E7524" s="6" t="s">
        <v>455</v>
      </c>
      <c r="F7524" s="6" t="str">
        <f>IF($M7524="PADD I","PADD 1",IF($M7524="PADD II","PADD 2",IF($M7524="PADD III","PADD 3",IF($M7524="PADD IV","PADD 4",IF($M7524="PADD V","PADD 5","")))))</f>
        <v>PADD 3</v>
      </c>
      <c r="G7524" s="6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6" t="s">
        <v>485</v>
      </c>
      <c r="I7524" s="6" t="s">
        <v>1004</v>
      </c>
      <c r="J7524" s="6" t="s">
        <v>394</v>
      </c>
      <c r="K7524" s="10">
        <v>77</v>
      </c>
      <c r="L7524" s="10">
        <v>100</v>
      </c>
      <c r="M7524" s="6" t="s">
        <v>421</v>
      </c>
      <c r="N7524" s="6">
        <f>IF(OR($G7524="FCC",$G7524="Hydrocracker",$G7524="Reformer"),IF(COUNTIFS($D:$D,$D7524,$A:$A,$A7524,$B:$B,$B7524,$G:$G,"CDU",$J:$J,"PLANNED")&gt;0,"tied","standalone"),"")</f>
        <v/>
      </c>
    </row>
    <row r="7525" spans="1:14">
      <c r="A7525" s="6">
        <v>2026</v>
      </c>
      <c r="B7525" s="6">
        <v>4</v>
      </c>
      <c r="C7525" s="6" t="s">
        <v>63</v>
      </c>
      <c r="D7525" s="6" t="s">
        <v>984</v>
      </c>
      <c r="E7525" s="6" t="s">
        <v>438</v>
      </c>
      <c r="F7525" s="6" t="str">
        <f>IF($M7525="PADD I","PADD 1",IF($M7525="PADD II","PADD 2",IF($M7525="PADD III","PADD 3",IF($M7525="PADD IV","PADD 4",IF($M7525="PADD V","PADD 5","")))))</f>
        <v>PADD 3</v>
      </c>
      <c r="G7525" s="6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6" t="s">
        <v>39</v>
      </c>
      <c r="I7525" s="6" t="s">
        <v>136</v>
      </c>
      <c r="J7525" s="6" t="s">
        <v>398</v>
      </c>
      <c r="K7525" s="10">
        <v>75</v>
      </c>
      <c r="L7525" s="10">
        <v>75</v>
      </c>
      <c r="M7525" s="6" t="s">
        <v>421</v>
      </c>
      <c r="N7525" s="6">
        <f>IF(OR($G7525="FCC",$G7525="Hydrocracker",$G7525="Reformer"),IF(COUNTIFS($D:$D,$D7525,$A:$A,$A7525,$B:$B,$B7525,$G:$G,"CDU",$J:$J,"PLANNED")&gt;0,"tied","standalone"),"")</f>
        <v/>
      </c>
    </row>
    <row r="7526" spans="1:14">
      <c r="A7526" s="6">
        <v>2026</v>
      </c>
      <c r="B7526" s="6">
        <v>4</v>
      </c>
      <c r="C7526" s="6" t="s">
        <v>63</v>
      </c>
      <c r="D7526" s="6" t="s">
        <v>576</v>
      </c>
      <c r="E7526" s="6" t="s">
        <v>455</v>
      </c>
      <c r="F7526" s="6" t="str">
        <f>IF($M7526="PADD I","PADD 1",IF($M7526="PADD II","PADD 2",IF($M7526="PADD III","PADD 3",IF($M7526="PADD IV","PADD 4",IF($M7526="PADD V","PADD 5","")))))</f>
        <v>PADD 3</v>
      </c>
      <c r="G7526" s="6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6" t="s">
        <v>426</v>
      </c>
      <c r="I7526" s="6" t="s">
        <v>393</v>
      </c>
      <c r="J7526" s="6" t="s">
        <v>394</v>
      </c>
      <c r="K7526" s="10">
        <v>75</v>
      </c>
      <c r="L7526" s="10">
        <v>75</v>
      </c>
      <c r="M7526" s="6" t="s">
        <v>421</v>
      </c>
      <c r="N7526" s="6" t="str">
        <f>IF(OR($G7526="FCC",$G7526="Hydrocracker",$G7526="Reformer"),IF(COUNTIFS($D:$D,$D7526,$A:$A,$A7526,$B:$B,$B7526,$G:$G,"CDU",$J:$J,"PLANNED")&gt;0,"tied","standalone"),"")</f>
        <v>standalone</v>
      </c>
    </row>
    <row r="7527" spans="1:14">
      <c r="A7527" s="6">
        <v>2026</v>
      </c>
      <c r="B7527" s="6">
        <v>4</v>
      </c>
      <c r="C7527" s="6" t="s">
        <v>63</v>
      </c>
      <c r="D7527" s="6" t="s">
        <v>375</v>
      </c>
      <c r="E7527" s="6" t="s">
        <v>435</v>
      </c>
      <c r="F7527" s="6" t="str">
        <f>IF($M7527="PADD I","PADD 1",IF($M7527="PADD II","PADD 2",IF($M7527="PADD III","PADD 3",IF($M7527="PADD IV","PADD 4",IF($M7527="PADD V","PADD 5","")))))</f>
        <v>PADD 5</v>
      </c>
      <c r="G7527" s="6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6" t="s">
        <v>426</v>
      </c>
      <c r="I7527" s="6" t="s">
        <v>554</v>
      </c>
      <c r="J7527" s="6" t="s">
        <v>394</v>
      </c>
      <c r="K7527" s="10">
        <v>70</v>
      </c>
      <c r="L7527" s="10">
        <v>70</v>
      </c>
      <c r="M7527" s="6" t="s">
        <v>436</v>
      </c>
      <c r="N7527" s="6" t="str">
        <f>IF(OR($G7527="FCC",$G7527="Hydrocracker",$G7527="Reformer"),IF(COUNTIFS($D:$D,$D7527,$A:$A,$A7527,$B:$B,$B7527,$G:$G,"CDU",$J:$J,"PLANNED")&gt;0,"tied","standalone"),"")</f>
        <v>standalone</v>
      </c>
    </row>
    <row r="7528" spans="1:14">
      <c r="A7528" s="6">
        <v>2026</v>
      </c>
      <c r="B7528" s="6">
        <v>4</v>
      </c>
      <c r="C7528" s="6" t="s">
        <v>63</v>
      </c>
      <c r="D7528" s="6" t="s">
        <v>597</v>
      </c>
      <c r="E7528" s="6" t="s">
        <v>441</v>
      </c>
      <c r="F7528" s="6" t="str">
        <f>IF($M7528="PADD I","PADD 1",IF($M7528="PADD II","PADD 2",IF($M7528="PADD III","PADD 3",IF($M7528="PADD IV","PADD 4",IF($M7528="PADD V","PADD 5","")))))</f>
        <v>PADD 5</v>
      </c>
      <c r="G7528" s="6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6" t="s">
        <v>426</v>
      </c>
      <c r="I7528" s="6" t="s">
        <v>106</v>
      </c>
      <c r="J7528" s="6" t="s">
        <v>394</v>
      </c>
      <c r="K7528" s="10">
        <v>69.3</v>
      </c>
      <c r="L7528" s="10">
        <v>90</v>
      </c>
      <c r="M7528" s="6" t="s">
        <v>436</v>
      </c>
      <c r="N7528" s="6" t="str">
        <f>IF(OR($G7528="FCC",$G7528="Hydrocracker",$G7528="Reformer"),IF(COUNTIFS($D:$D,$D7528,$A:$A,$A7528,$B:$B,$B7528,$G:$G,"CDU",$J:$J,"PLANNED")&gt;0,"tied","standalone"),"")</f>
        <v>standalone</v>
      </c>
    </row>
    <row r="7529" spans="1:14">
      <c r="A7529" s="6">
        <v>2026</v>
      </c>
      <c r="B7529" s="6">
        <v>4</v>
      </c>
      <c r="C7529" s="6" t="s">
        <v>63</v>
      </c>
      <c r="D7529" s="6" t="s">
        <v>371</v>
      </c>
      <c r="E7529" s="6" t="s">
        <v>419</v>
      </c>
      <c r="F7529" s="6" t="str">
        <f>IF($M7529="PADD I","PADD 1",IF($M7529="PADD II","PADD 2",IF($M7529="PADD III","PADD 3",IF($M7529="PADD IV","PADD 4",IF($M7529="PADD V","PADD 5","")))))</f>
        <v>PADD 2</v>
      </c>
      <c r="G7529" s="6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6" t="s">
        <v>485</v>
      </c>
      <c r="I7529" s="6" t="s">
        <v>491</v>
      </c>
      <c r="J7529" s="6" t="s">
        <v>398</v>
      </c>
      <c r="K7529" s="10">
        <v>65</v>
      </c>
      <c r="L7529" s="10">
        <v>65</v>
      </c>
      <c r="M7529" s="6" t="s">
        <v>425</v>
      </c>
      <c r="N7529" s="6">
        <f>IF(OR($G7529="FCC",$G7529="Hydrocracker",$G7529="Reformer"),IF(COUNTIFS($D:$D,$D7529,$A:$A,$A7529,$B:$B,$B7529,$G:$G,"CDU",$J:$J,"PLANNED")&gt;0,"tied","standalone"),"")</f>
        <v/>
      </c>
    </row>
    <row r="7530" spans="1:14">
      <c r="A7530" s="6">
        <v>2026</v>
      </c>
      <c r="B7530" s="6">
        <v>4</v>
      </c>
      <c r="C7530" s="6" t="s">
        <v>63</v>
      </c>
      <c r="D7530" s="6" t="s">
        <v>49</v>
      </c>
      <c r="E7530" s="6" t="s">
        <v>438</v>
      </c>
      <c r="F7530" s="6" t="str">
        <f>IF($M7530="PADD I","PADD 1",IF($M7530="PADD II","PADD 2",IF($M7530="PADD III","PADD 3",IF($M7530="PADD IV","PADD 4",IF($M7530="PADD V","PADD 5","")))))</f>
        <v>PADD 2</v>
      </c>
      <c r="G7530" s="6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6" t="s">
        <v>428</v>
      </c>
      <c r="I7530" s="6" t="s">
        <v>481</v>
      </c>
      <c r="J7530" s="6" t="s">
        <v>398</v>
      </c>
      <c r="K7530" s="10">
        <v>65</v>
      </c>
      <c r="L7530" s="10">
        <v>65</v>
      </c>
      <c r="M7530" s="6" t="s">
        <v>425</v>
      </c>
      <c r="N7530" s="6">
        <f>IF(OR($G7530="FCC",$G7530="Hydrocracker",$G7530="Reformer"),IF(COUNTIFS($D:$D,$D7530,$A:$A,$A7530,$B:$B,$B7530,$G:$G,"CDU",$J:$J,"PLANNED")&gt;0,"tied","standalone"),"")</f>
        <v/>
      </c>
    </row>
    <row r="7531" spans="1:14">
      <c r="A7531" s="6">
        <v>2026</v>
      </c>
      <c r="B7531" s="6">
        <v>4</v>
      </c>
      <c r="C7531" s="6" t="s">
        <v>63</v>
      </c>
      <c r="D7531" s="6" t="s">
        <v>375</v>
      </c>
      <c r="E7531" s="6" t="s">
        <v>435</v>
      </c>
      <c r="F7531" s="6" t="str">
        <f>IF($M7531="PADD I","PADD 1",IF($M7531="PADD II","PADD 2",IF($M7531="PADD III","PADD 3",IF($M7531="PADD IV","PADD 4",IF($M7531="PADD V","PADD 5","")))))</f>
        <v>PADD 5</v>
      </c>
      <c r="G7531" s="6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6" t="s">
        <v>39</v>
      </c>
      <c r="I7531" s="6" t="s">
        <v>94</v>
      </c>
      <c r="J7531" s="6" t="s">
        <v>394</v>
      </c>
      <c r="K7531" s="10">
        <v>60</v>
      </c>
      <c r="L7531" s="10">
        <v>60</v>
      </c>
      <c r="M7531" s="6" t="s">
        <v>436</v>
      </c>
      <c r="N7531" s="6">
        <f>IF(OR($G7531="FCC",$G7531="Hydrocracker",$G7531="Reformer"),IF(COUNTIFS($D:$D,$D7531,$A:$A,$A7531,$B:$B,$B7531,$G:$G,"CDU",$J:$J,"PLANNED")&gt;0,"tied","standalone"),"")</f>
        <v/>
      </c>
    </row>
    <row r="7532" spans="1:14">
      <c r="A7532" s="6">
        <v>2026</v>
      </c>
      <c r="B7532" s="6">
        <v>4</v>
      </c>
      <c r="C7532" s="6" t="s">
        <v>63</v>
      </c>
      <c r="D7532" s="6" t="s">
        <v>377</v>
      </c>
      <c r="E7532" s="6" t="s">
        <v>466</v>
      </c>
      <c r="F7532" s="6" t="str">
        <f>IF($M7532="PADD I","PADD 1",IF($M7532="PADD II","PADD 2",IF($M7532="PADD III","PADD 3",IF($M7532="PADD IV","PADD 4",IF($M7532="PADD V","PADD 5","")))))</f>
        <v>PADD 2</v>
      </c>
      <c r="G7532" s="6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6" t="s">
        <v>39</v>
      </c>
      <c r="I7532" s="6" t="s">
        <v>92</v>
      </c>
      <c r="J7532" s="6" t="s">
        <v>398</v>
      </c>
      <c r="K7532" s="10">
        <v>60</v>
      </c>
      <c r="L7532" s="10">
        <v>60</v>
      </c>
      <c r="M7532" s="6" t="s">
        <v>425</v>
      </c>
      <c r="N7532" s="6">
        <f>IF(OR($G7532="FCC",$G7532="Hydrocracker",$G7532="Reformer"),IF(COUNTIFS($D:$D,$D7532,$A:$A,$A7532,$B:$B,$B7532,$G:$G,"CDU",$J:$J,"PLANNED")&gt;0,"tied","standalone"),"")</f>
        <v/>
      </c>
    </row>
    <row r="7533" spans="1:14">
      <c r="A7533" s="6">
        <v>2026</v>
      </c>
      <c r="B7533" s="6">
        <v>4</v>
      </c>
      <c r="C7533" s="6" t="s">
        <v>63</v>
      </c>
      <c r="D7533" s="6" t="s">
        <v>377</v>
      </c>
      <c r="E7533" s="6" t="s">
        <v>466</v>
      </c>
      <c r="F7533" s="6" t="str">
        <f>IF($M7533="PADD I","PADD 1",IF($M7533="PADD II","PADD 2",IF($M7533="PADD III","PADD 3",IF($M7533="PADD IV","PADD 4",IF($M7533="PADD V","PADD 5","")))))</f>
        <v>PADD 2</v>
      </c>
      <c r="G7533" s="6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6" t="s">
        <v>426</v>
      </c>
      <c r="I7533" s="6" t="s">
        <v>1291</v>
      </c>
      <c r="J7533" s="6" t="s">
        <v>398</v>
      </c>
      <c r="K7533" s="10">
        <v>58</v>
      </c>
      <c r="L7533" s="10">
        <v>58</v>
      </c>
      <c r="M7533" s="6" t="s">
        <v>425</v>
      </c>
      <c r="N7533" s="6" t="str">
        <f>IF(OR($G7533="FCC",$G7533="Hydrocracker",$G7533="Reformer"),IF(COUNTIFS($D:$D,$D7533,$A:$A,$A7533,$B:$B,$B7533,$G:$G,"CDU",$J:$J,"PLANNED")&gt;0,"tied","standalone"),"")</f>
        <v>tied</v>
      </c>
    </row>
    <row r="7534" spans="1:14">
      <c r="A7534" s="6">
        <v>2026</v>
      </c>
      <c r="B7534" s="6">
        <v>4</v>
      </c>
      <c r="C7534" s="6" t="s">
        <v>63</v>
      </c>
      <c r="D7534" s="6" t="s">
        <v>54</v>
      </c>
      <c r="E7534" s="6" t="s">
        <v>593</v>
      </c>
      <c r="F7534" s="6" t="str">
        <f>IF($M7534="PADD I","PADD 1",IF($M7534="PADD II","PADD 2",IF($M7534="PADD III","PADD 3",IF($M7534="PADD IV","PADD 4",IF($M7534="PADD V","PADD 5","")))))</f>
        <v>PADD 5</v>
      </c>
      <c r="G7534" s="6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6" t="s">
        <v>687</v>
      </c>
      <c r="I7534" s="6" t="s">
        <v>491</v>
      </c>
      <c r="J7534" s="6" t="s">
        <v>394</v>
      </c>
      <c r="K7534" s="10">
        <v>55</v>
      </c>
      <c r="L7534" s="10">
        <v>55</v>
      </c>
      <c r="M7534" s="6" t="s">
        <v>436</v>
      </c>
      <c r="N7534" s="6">
        <f>IF(OR($G7534="FCC",$G7534="Hydrocracker",$G7534="Reformer"),IF(COUNTIFS($D:$D,$D7534,$A:$A,$A7534,$B:$B,$B7534,$G:$G,"CDU",$J:$J,"PLANNED")&gt;0,"tied","standalone"),"")</f>
        <v/>
      </c>
    </row>
    <row r="7535" spans="1:14">
      <c r="A7535" s="6">
        <v>2026</v>
      </c>
      <c r="B7535" s="6">
        <v>4</v>
      </c>
      <c r="C7535" s="6" t="s">
        <v>63</v>
      </c>
      <c r="D7535" s="6" t="s">
        <v>49</v>
      </c>
      <c r="E7535" s="6" t="s">
        <v>438</v>
      </c>
      <c r="F7535" s="6" t="str">
        <f>IF($M7535="PADD I","PADD 1",IF($M7535="PADD II","PADD 2",IF($M7535="PADD III","PADD 3",IF($M7535="PADD IV","PADD 4",IF($M7535="PADD V","PADD 5","")))))</f>
        <v>PADD 2</v>
      </c>
      <c r="G7535" s="6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6" t="s">
        <v>44</v>
      </c>
      <c r="I7535" s="6" t="s">
        <v>791</v>
      </c>
      <c r="J7535" s="6" t="s">
        <v>398</v>
      </c>
      <c r="K7535" s="10">
        <v>53</v>
      </c>
      <c r="L7535" s="10">
        <v>53</v>
      </c>
      <c r="M7535" s="6" t="s">
        <v>425</v>
      </c>
      <c r="N7535" s="6">
        <f>IF(OR($G7535="FCC",$G7535="Hydrocracker",$G7535="Reformer"),IF(COUNTIFS($D:$D,$D7535,$A:$A,$A7535,$B:$B,$B7535,$G:$G,"CDU",$J:$J,"PLANNED")&gt;0,"tied","standalone"),"")</f>
        <v/>
      </c>
    </row>
    <row r="7536" spans="1:14">
      <c r="A7536" s="6">
        <v>2026</v>
      </c>
      <c r="B7536" s="6">
        <v>4</v>
      </c>
      <c r="C7536" s="6" t="s">
        <v>63</v>
      </c>
      <c r="D7536" s="6" t="s">
        <v>53</v>
      </c>
      <c r="E7536" s="6" t="s">
        <v>438</v>
      </c>
      <c r="F7536" s="6" t="str">
        <f>IF($M7536="PADD I","PADD 1",IF($M7536="PADD II","PADD 2",IF($M7536="PADD III","PADD 3",IF($M7536="PADD IV","PADD 4",IF($M7536="PADD V","PADD 5","")))))</f>
        <v>PADD 5</v>
      </c>
      <c r="G7536" s="6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6" t="s">
        <v>39</v>
      </c>
      <c r="I7536" s="6" t="s">
        <v>82</v>
      </c>
      <c r="J7536" s="6" t="s">
        <v>398</v>
      </c>
      <c r="K7536" s="10">
        <v>50.4</v>
      </c>
      <c r="L7536" s="10">
        <v>72</v>
      </c>
      <c r="M7536" s="6" t="s">
        <v>436</v>
      </c>
      <c r="N7536" s="6">
        <f>IF(OR($G7536="FCC",$G7536="Hydrocracker",$G7536="Reformer"),IF(COUNTIFS($D:$D,$D7536,$A:$A,$A7536,$B:$B,$B7536,$G:$G,"CDU",$J:$J,"PLANNED")&gt;0,"tied","standalone"),"")</f>
        <v/>
      </c>
    </row>
    <row r="7537" spans="1:14">
      <c r="A7537" s="6">
        <v>2026</v>
      </c>
      <c r="B7537" s="6">
        <v>4</v>
      </c>
      <c r="C7537" s="6" t="s">
        <v>63</v>
      </c>
      <c r="D7537" s="6" t="s">
        <v>773</v>
      </c>
      <c r="E7537" s="6" t="s">
        <v>774</v>
      </c>
      <c r="F7537" s="6" t="str">
        <f>IF($M7537="PADD I","PADD 1",IF($M7537="PADD II","PADD 2",IF($M7537="PADD III","PADD 3",IF($M7537="PADD IV","PADD 4",IF($M7537="PADD V","PADD 5","")))))</f>
        <v>PADD 4</v>
      </c>
      <c r="G7537" s="6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6" t="s">
        <v>39</v>
      </c>
      <c r="I7537" s="6" t="s">
        <v>82</v>
      </c>
      <c r="J7537" s="6" t="s">
        <v>398</v>
      </c>
      <c r="K7537" s="10">
        <v>48.51</v>
      </c>
      <c r="L7537" s="10">
        <v>63</v>
      </c>
      <c r="M7537" s="6" t="s">
        <v>480</v>
      </c>
      <c r="N7537" s="6">
        <f>IF(OR($G7537="FCC",$G7537="Hydrocracker",$G7537="Reformer"),IF(COUNTIFS($D:$D,$D7537,$A:$A,$A7537,$B:$B,$B7537,$G:$G,"CDU",$J:$J,"PLANNED")&gt;0,"tied","standalone"),"")</f>
        <v/>
      </c>
    </row>
    <row r="7538" spans="1:14">
      <c r="A7538" s="6">
        <v>2026</v>
      </c>
      <c r="B7538" s="6">
        <v>4</v>
      </c>
      <c r="C7538" s="6" t="s">
        <v>63</v>
      </c>
      <c r="D7538" s="6" t="s">
        <v>576</v>
      </c>
      <c r="E7538" s="6" t="s">
        <v>455</v>
      </c>
      <c r="F7538" s="6" t="str">
        <f>IF($M7538="PADD I","PADD 1",IF($M7538="PADD II","PADD 2",IF($M7538="PADD III","PADD 3",IF($M7538="PADD IV","PADD 4",IF($M7538="PADD V","PADD 5","")))))</f>
        <v>PADD 3</v>
      </c>
      <c r="G7538" s="6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6" t="s">
        <v>44</v>
      </c>
      <c r="I7538" s="6" t="s">
        <v>1126</v>
      </c>
      <c r="J7538" s="6" t="s">
        <v>394</v>
      </c>
      <c r="K7538" s="10">
        <v>47</v>
      </c>
      <c r="L7538" s="10">
        <v>47</v>
      </c>
      <c r="M7538" s="6" t="s">
        <v>421</v>
      </c>
      <c r="N7538" s="6">
        <f>IF(OR($G7538="FCC",$G7538="Hydrocracker",$G7538="Reformer"),IF(COUNTIFS($D:$D,$D7538,$A:$A,$A7538,$B:$B,$B7538,$G:$G,"CDU",$J:$J,"PLANNED")&gt;0,"tied","standalone"),"")</f>
        <v/>
      </c>
    </row>
    <row r="7539" spans="1:14">
      <c r="A7539" s="6">
        <v>2026</v>
      </c>
      <c r="B7539" s="6">
        <v>4</v>
      </c>
      <c r="C7539" s="6" t="s">
        <v>63</v>
      </c>
      <c r="D7539" s="6" t="s">
        <v>49</v>
      </c>
      <c r="E7539" s="6" t="s">
        <v>438</v>
      </c>
      <c r="F7539" s="6" t="str">
        <f>IF($M7539="PADD I","PADD 1",IF($M7539="PADD II","PADD 2",IF($M7539="PADD III","PADD 3",IF($M7539="PADD IV","PADD 4",IF($M7539="PADD V","PADD 5","")))))</f>
        <v>PADD 2</v>
      </c>
      <c r="G7539" s="6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6" t="s">
        <v>494</v>
      </c>
      <c r="I7539" s="6" t="s">
        <v>808</v>
      </c>
      <c r="J7539" s="6" t="s">
        <v>398</v>
      </c>
      <c r="K7539" s="10">
        <v>44</v>
      </c>
      <c r="L7539" s="10">
        <v>44</v>
      </c>
      <c r="M7539" s="6" t="s">
        <v>425</v>
      </c>
      <c r="N7539" s="6" t="str">
        <f>IF(OR($G7539="FCC",$G7539="Hydrocracker",$G7539="Reformer"),IF(COUNTIFS($D:$D,$D7539,$A:$A,$A7539,$B:$B,$B7539,$G:$G,"CDU",$J:$J,"PLANNED")&gt;0,"tied","standalone"),"")</f>
        <v>tied</v>
      </c>
    </row>
    <row r="7540" spans="1:14">
      <c r="A7540" s="6">
        <v>2026</v>
      </c>
      <c r="B7540" s="6">
        <v>4</v>
      </c>
      <c r="C7540" s="6" t="s">
        <v>63</v>
      </c>
      <c r="D7540" s="6" t="s">
        <v>49</v>
      </c>
      <c r="E7540" s="6" t="s">
        <v>438</v>
      </c>
      <c r="F7540" s="6" t="str">
        <f>IF($M7540="PADD I","PADD 1",IF($M7540="PADD II","PADD 2",IF($M7540="PADD III","PADD 3",IF($M7540="PADD IV","PADD 4",IF($M7540="PADD V","PADD 5","")))))</f>
        <v>PADD 2</v>
      </c>
      <c r="G7540" s="6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6" t="s">
        <v>471</v>
      </c>
      <c r="I7540" s="6" t="s">
        <v>771</v>
      </c>
      <c r="J7540" s="6" t="s">
        <v>398</v>
      </c>
      <c r="K7540" s="10">
        <v>39</v>
      </c>
      <c r="L7540" s="10">
        <v>39</v>
      </c>
      <c r="M7540" s="6" t="s">
        <v>425</v>
      </c>
      <c r="N7540" s="6" t="str">
        <f>IF(OR($G7540="FCC",$G7540="Hydrocracker",$G7540="Reformer"),IF(COUNTIFS($D:$D,$D7540,$A:$A,$A7540,$B:$B,$B7540,$G:$G,"CDU",$J:$J,"PLANNED")&gt;0,"tied","standalone"),"")</f>
        <v>tied</v>
      </c>
    </row>
    <row r="7541" spans="1:14">
      <c r="A7541" s="6">
        <v>2026</v>
      </c>
      <c r="B7541" s="6">
        <v>4</v>
      </c>
      <c r="C7541" s="6" t="s">
        <v>63</v>
      </c>
      <c r="D7541" s="6" t="s">
        <v>54</v>
      </c>
      <c r="E7541" s="6" t="s">
        <v>593</v>
      </c>
      <c r="F7541" s="6" t="str">
        <f>IF($M7541="PADD I","PADD 1",IF($M7541="PADD II","PADD 2",IF($M7541="PADD III","PADD 3",IF($M7541="PADD IV","PADD 4",IF($M7541="PADD V","PADD 5","")))))</f>
        <v>PADD 5</v>
      </c>
      <c r="G7541" s="6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6" t="s">
        <v>494</v>
      </c>
      <c r="I7541" s="6" t="s">
        <v>14</v>
      </c>
      <c r="J7541" s="6" t="s">
        <v>398</v>
      </c>
      <c r="K7541" s="10">
        <v>38.5</v>
      </c>
      <c r="L7541" s="10">
        <v>55</v>
      </c>
      <c r="M7541" s="6" t="s">
        <v>436</v>
      </c>
      <c r="N7541" s="6" t="str">
        <f>IF(OR($G7541="FCC",$G7541="Hydrocracker",$G7541="Reformer"),IF(COUNTIFS($D:$D,$D7541,$A:$A,$A7541,$B:$B,$B7541,$G:$G,"CDU",$J:$J,"PLANNED")&gt;0,"tied","standalone"),"")</f>
        <v>standalone</v>
      </c>
    </row>
    <row r="7542" spans="1:14">
      <c r="A7542" s="6">
        <v>2026</v>
      </c>
      <c r="B7542" s="6">
        <v>4</v>
      </c>
      <c r="C7542" s="6" t="s">
        <v>63</v>
      </c>
      <c r="D7542" s="6" t="s">
        <v>49</v>
      </c>
      <c r="E7542" s="6" t="s">
        <v>438</v>
      </c>
      <c r="F7542" s="6" t="str">
        <f>IF($M7542="PADD I","PADD 1",IF($M7542="PADD II","PADD 2",IF($M7542="PADD III","PADD 3",IF($M7542="PADD IV","PADD 4",IF($M7542="PADD V","PADD 5","")))))</f>
        <v>PADD 2</v>
      </c>
      <c r="G7542" s="6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6" t="s">
        <v>44</v>
      </c>
      <c r="I7542" s="6" t="s">
        <v>776</v>
      </c>
      <c r="J7542" s="6" t="s">
        <v>398</v>
      </c>
      <c r="K7542" s="10">
        <v>38</v>
      </c>
      <c r="L7542" s="10">
        <v>38</v>
      </c>
      <c r="M7542" s="6" t="s">
        <v>425</v>
      </c>
      <c r="N7542" s="6">
        <f>IF(OR($G7542="FCC",$G7542="Hydrocracker",$G7542="Reformer"),IF(COUNTIFS($D:$D,$D7542,$A:$A,$A7542,$B:$B,$B7542,$G:$G,"CDU",$J:$J,"PLANNED")&gt;0,"tied","standalone"),"")</f>
        <v/>
      </c>
    </row>
    <row r="7543" spans="1:14">
      <c r="A7543" s="6">
        <v>2026</v>
      </c>
      <c r="B7543" s="6">
        <v>4</v>
      </c>
      <c r="C7543" s="6" t="s">
        <v>63</v>
      </c>
      <c r="D7543" s="6" t="s">
        <v>576</v>
      </c>
      <c r="E7543" s="6" t="s">
        <v>455</v>
      </c>
      <c r="F7543" s="6" t="str">
        <f>IF($M7543="PADD I","PADD 1",IF($M7543="PADD II","PADD 2",IF($M7543="PADD III","PADD 3",IF($M7543="PADD IV","PADD 4",IF($M7543="PADD V","PADD 5","")))))</f>
        <v>PADD 3</v>
      </c>
      <c r="G7543" s="6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6" t="s">
        <v>44</v>
      </c>
      <c r="I7543" s="6" t="s">
        <v>1272</v>
      </c>
      <c r="J7543" s="6" t="s">
        <v>398</v>
      </c>
      <c r="K7543" s="10">
        <v>37.35</v>
      </c>
      <c r="L7543" s="10">
        <v>45</v>
      </c>
      <c r="M7543" s="6" t="s">
        <v>421</v>
      </c>
      <c r="N7543" s="6">
        <f>IF(OR($G7543="FCC",$G7543="Hydrocracker",$G7543="Reformer"),IF(COUNTIFS($D:$D,$D7543,$A:$A,$A7543,$B:$B,$B7543,$G:$G,"CDU",$J:$J,"PLANNED")&gt;0,"tied","standalone"),"")</f>
        <v/>
      </c>
    </row>
    <row r="7544" spans="1:14">
      <c r="A7544" s="6">
        <v>2026</v>
      </c>
      <c r="B7544" s="6">
        <v>4</v>
      </c>
      <c r="C7544" s="6" t="s">
        <v>63</v>
      </c>
      <c r="D7544" s="6" t="s">
        <v>1113</v>
      </c>
      <c r="E7544" s="6" t="s">
        <v>438</v>
      </c>
      <c r="F7544" s="6" t="str">
        <f>IF($M7544="PADD I","PADD 1",IF($M7544="PADD II","PADD 2",IF($M7544="PADD III","PADD 3",IF($M7544="PADD IV","PADD 4",IF($M7544="PADD V","PADD 5","")))))</f>
        <v>PADD 2</v>
      </c>
      <c r="G7544" s="6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6" t="s">
        <v>44</v>
      </c>
      <c r="I7544" s="6" t="s">
        <v>543</v>
      </c>
      <c r="J7544" s="6" t="s">
        <v>394</v>
      </c>
      <c r="K7544" s="10">
        <v>34</v>
      </c>
      <c r="L7544" s="10">
        <v>34</v>
      </c>
      <c r="M7544" s="6" t="s">
        <v>425</v>
      </c>
      <c r="N7544" s="6">
        <f>IF(OR($G7544="FCC",$G7544="Hydrocracker",$G7544="Reformer"),IF(COUNTIFS($D:$D,$D7544,$A:$A,$A7544,$B:$B,$B7544,$G:$G,"CDU",$J:$J,"PLANNED")&gt;0,"tied","standalone"),"")</f>
        <v/>
      </c>
    </row>
    <row r="7545" spans="1:14">
      <c r="A7545" s="6">
        <v>2026</v>
      </c>
      <c r="B7545" s="6">
        <v>4</v>
      </c>
      <c r="C7545" s="6" t="s">
        <v>63</v>
      </c>
      <c r="D7545" s="6" t="s">
        <v>512</v>
      </c>
      <c r="E7545" s="6" t="s">
        <v>488</v>
      </c>
      <c r="F7545" s="6" t="str">
        <f>IF($M7545="PADD I","PADD 1",IF($M7545="PADD II","PADD 2",IF($M7545="PADD III","PADD 3",IF($M7545="PADD IV","PADD 4",IF($M7545="PADD V","PADD 5","")))))</f>
        <v>PADD 4</v>
      </c>
      <c r="G7545" s="6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6" t="s">
        <v>39</v>
      </c>
      <c r="I7545" s="6" t="s">
        <v>124</v>
      </c>
      <c r="J7545" s="6" t="s">
        <v>398</v>
      </c>
      <c r="K7545" s="10">
        <v>33.7</v>
      </c>
      <c r="L7545" s="10">
        <v>33.7</v>
      </c>
      <c r="M7545" s="6" t="s">
        <v>480</v>
      </c>
      <c r="N7545" s="6">
        <f>IF(OR($G7545="FCC",$G7545="Hydrocracker",$G7545="Reformer"),IF(COUNTIFS($D:$D,$D7545,$A:$A,$A7545,$B:$B,$B7545,$G:$G,"CDU",$J:$J,"PLANNED")&gt;0,"tied","standalone"),"")</f>
        <v/>
      </c>
    </row>
    <row r="7546" spans="1:14">
      <c r="A7546" s="6">
        <v>2026</v>
      </c>
      <c r="B7546" s="6">
        <v>4</v>
      </c>
      <c r="C7546" s="6" t="s">
        <v>63</v>
      </c>
      <c r="D7546" s="6" t="s">
        <v>576</v>
      </c>
      <c r="E7546" s="6" t="s">
        <v>455</v>
      </c>
      <c r="F7546" s="6" t="str">
        <f>IF($M7546="PADD I","PADD 1",IF($M7546="PADD II","PADD 2",IF($M7546="PADD III","PADD 3",IF($M7546="PADD IV","PADD 4",IF($M7546="PADD V","PADD 5","")))))</f>
        <v>PADD 3</v>
      </c>
      <c r="G7546" s="6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6" t="s">
        <v>39</v>
      </c>
      <c r="I7546" s="6" t="s">
        <v>691</v>
      </c>
      <c r="J7546" s="6" t="s">
        <v>394</v>
      </c>
      <c r="K7546" s="10">
        <v>32.55</v>
      </c>
      <c r="L7546" s="10">
        <v>35</v>
      </c>
      <c r="M7546" s="6" t="s">
        <v>421</v>
      </c>
      <c r="N7546" s="6">
        <f>IF(OR($G7546="FCC",$G7546="Hydrocracker",$G7546="Reformer"),IF(COUNTIFS($D:$D,$D7546,$A:$A,$A7546,$B:$B,$B7546,$G:$G,"CDU",$J:$J,"PLANNED")&gt;0,"tied","standalone"),"")</f>
        <v/>
      </c>
    </row>
    <row r="7547" spans="1:14">
      <c r="A7547" s="6">
        <v>2026</v>
      </c>
      <c r="B7547" s="6">
        <v>4</v>
      </c>
      <c r="C7547" s="6" t="s">
        <v>63</v>
      </c>
      <c r="D7547" s="6" t="s">
        <v>371</v>
      </c>
      <c r="E7547" s="6" t="s">
        <v>419</v>
      </c>
      <c r="F7547" s="6" t="str">
        <f>IF($M7547="PADD I","PADD 1",IF($M7547="PADD II","PADD 2",IF($M7547="PADD III","PADD 3",IF($M7547="PADD IV","PADD 4",IF($M7547="PADD V","PADD 5","")))))</f>
        <v>PADD 2</v>
      </c>
      <c r="G7547" s="6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6" t="s">
        <v>44</v>
      </c>
      <c r="I7547" s="6" t="s">
        <v>659</v>
      </c>
      <c r="J7547" s="6" t="s">
        <v>398</v>
      </c>
      <c r="K7547" s="10">
        <v>31.5</v>
      </c>
      <c r="L7547" s="10">
        <v>50</v>
      </c>
      <c r="M7547" s="6" t="s">
        <v>425</v>
      </c>
      <c r="N7547" s="6">
        <f>IF(OR($G7547="FCC",$G7547="Hydrocracker",$G7547="Reformer"),IF(COUNTIFS($D:$D,$D7547,$A:$A,$A7547,$B:$B,$B7547,$G:$G,"CDU",$J:$J,"PLANNED")&gt;0,"tied","standalone"),"")</f>
        <v/>
      </c>
    </row>
    <row r="7548" spans="1:14">
      <c r="A7548" s="6">
        <v>2026</v>
      </c>
      <c r="B7548" s="6">
        <v>4</v>
      </c>
      <c r="C7548" s="6" t="s">
        <v>63</v>
      </c>
      <c r="D7548" s="6" t="s">
        <v>851</v>
      </c>
      <c r="E7548" s="6" t="s">
        <v>829</v>
      </c>
      <c r="F7548" s="6" t="str">
        <f>IF($M7548="PADD I","PADD 1",IF($M7548="PADD II","PADD 2",IF($M7548="PADD III","PADD 3",IF($M7548="PADD IV","PADD 4",IF($M7548="PADD V","PADD 5","")))))</f>
        <v>PADD 2</v>
      </c>
      <c r="G7548" s="6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6" t="s">
        <v>39</v>
      </c>
      <c r="I7548" s="6" t="s">
        <v>1027</v>
      </c>
      <c r="J7548" s="6" t="s">
        <v>394</v>
      </c>
      <c r="K7548" s="10">
        <v>31.5</v>
      </c>
      <c r="L7548" s="10">
        <v>50</v>
      </c>
      <c r="M7548" s="6" t="s">
        <v>425</v>
      </c>
      <c r="N7548" s="6">
        <f>IF(OR($G7548="FCC",$G7548="Hydrocracker",$G7548="Reformer"),IF(COUNTIFS($D:$D,$D7548,$A:$A,$A7548,$B:$B,$B7548,$G:$G,"CDU",$J:$J,"PLANNED")&gt;0,"tied","standalone"),"")</f>
        <v/>
      </c>
    </row>
    <row r="7549" spans="1:14">
      <c r="A7549" s="6">
        <v>2026</v>
      </c>
      <c r="B7549" s="6">
        <v>4</v>
      </c>
      <c r="C7549" s="6" t="s">
        <v>63</v>
      </c>
      <c r="D7549" s="6" t="s">
        <v>592</v>
      </c>
      <c r="E7549" s="6" t="s">
        <v>593</v>
      </c>
      <c r="F7549" s="6" t="str">
        <f>IF($M7549="PADD I","PADD 1",IF($M7549="PADD II","PADD 2",IF($M7549="PADD III","PADD 3",IF($M7549="PADD IV","PADD 4",IF($M7549="PADD V","PADD 5","")))))</f>
        <v>PADD 2</v>
      </c>
      <c r="G7549" s="6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6" t="s">
        <v>39</v>
      </c>
      <c r="I7549" s="6" t="s">
        <v>924</v>
      </c>
      <c r="J7549" s="6" t="s">
        <v>394</v>
      </c>
      <c r="K7549" s="10">
        <v>30</v>
      </c>
      <c r="L7549" s="10">
        <v>60</v>
      </c>
      <c r="M7549" s="6" t="s">
        <v>425</v>
      </c>
      <c r="N7549" s="6">
        <f>IF(OR($G7549="FCC",$G7549="Hydrocracker",$G7549="Reformer"),IF(COUNTIFS($D:$D,$D7549,$A:$A,$A7549,$B:$B,$B7549,$G:$G,"CDU",$J:$J,"PLANNED")&gt;0,"tied","standalone"),"")</f>
        <v/>
      </c>
    </row>
    <row r="7550" spans="1:14">
      <c r="A7550" s="6">
        <v>2026</v>
      </c>
      <c r="B7550" s="6">
        <v>4</v>
      </c>
      <c r="C7550" s="6" t="s">
        <v>63</v>
      </c>
      <c r="D7550" s="6" t="s">
        <v>384</v>
      </c>
      <c r="E7550" s="6" t="s">
        <v>419</v>
      </c>
      <c r="F7550" s="6" t="str">
        <f>IF($M7550="PADD I","PADD 1",IF($M7550="PADD II","PADD 2",IF($M7550="PADD III","PADD 3",IF($M7550="PADD IV","PADD 4",IF($M7550="PADD V","PADD 5","")))))</f>
        <v>PADD 3</v>
      </c>
      <c r="G7550" s="6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6" t="s">
        <v>426</v>
      </c>
      <c r="I7550" s="6" t="s">
        <v>522</v>
      </c>
      <c r="J7550" s="6" t="s">
        <v>394</v>
      </c>
      <c r="K7550" s="10">
        <v>30</v>
      </c>
      <c r="L7550" s="10">
        <v>30</v>
      </c>
      <c r="M7550" s="6" t="s">
        <v>421</v>
      </c>
      <c r="N7550" s="6" t="str">
        <f>IF(OR($G7550="FCC",$G7550="Hydrocracker",$G7550="Reformer"),IF(COUNTIFS($D:$D,$D7550,$A:$A,$A7550,$B:$B,$B7550,$G:$G,"CDU",$J:$J,"PLANNED")&gt;0,"tied","standalone"),"")</f>
        <v>standalone</v>
      </c>
    </row>
    <row r="7551" spans="1:14">
      <c r="A7551" s="6">
        <v>2026</v>
      </c>
      <c r="B7551" s="6">
        <v>4</v>
      </c>
      <c r="C7551" s="6" t="s">
        <v>63</v>
      </c>
      <c r="D7551" s="6" t="s">
        <v>54</v>
      </c>
      <c r="E7551" s="6" t="s">
        <v>593</v>
      </c>
      <c r="F7551" s="6" t="str">
        <f>IF($M7551="PADD I","PADD 1",IF($M7551="PADD II","PADD 2",IF($M7551="PADD III","PADD 3",IF($M7551="PADD IV","PADD 4",IF($M7551="PADD V","PADD 5","")))))</f>
        <v>PADD 5</v>
      </c>
      <c r="G7551" s="6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6" t="s">
        <v>471</v>
      </c>
      <c r="I7551" s="6" t="s">
        <v>609</v>
      </c>
      <c r="J7551" s="6" t="s">
        <v>398</v>
      </c>
      <c r="K7551" s="10">
        <v>30</v>
      </c>
      <c r="L7551" s="10">
        <v>50</v>
      </c>
      <c r="M7551" s="6" t="s">
        <v>436</v>
      </c>
      <c r="N7551" s="6" t="str">
        <f>IF(OR($G7551="FCC",$G7551="Hydrocracker",$G7551="Reformer"),IF(COUNTIFS($D:$D,$D7551,$A:$A,$A7551,$B:$B,$B7551,$G:$G,"CDU",$J:$J,"PLANNED")&gt;0,"tied","standalone"),"")</f>
        <v>standalone</v>
      </c>
    </row>
    <row r="7552" spans="1:14">
      <c r="A7552" s="6">
        <v>2026</v>
      </c>
      <c r="B7552" s="6">
        <v>4</v>
      </c>
      <c r="C7552" s="6" t="s">
        <v>63</v>
      </c>
      <c r="D7552" s="6" t="s">
        <v>984</v>
      </c>
      <c r="E7552" s="6" t="s">
        <v>438</v>
      </c>
      <c r="F7552" s="6" t="str">
        <f>IF($M7552="PADD I","PADD 1",IF($M7552="PADD II","PADD 2",IF($M7552="PADD III","PADD 3",IF($M7552="PADD IV","PADD 4",IF($M7552="PADD V","PADD 5","")))))</f>
        <v>PADD 3</v>
      </c>
      <c r="G7552" s="6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6" t="s">
        <v>426</v>
      </c>
      <c r="I7552" s="6" t="s">
        <v>106</v>
      </c>
      <c r="J7552" s="6" t="s">
        <v>398</v>
      </c>
      <c r="K7552" s="10">
        <v>29.5</v>
      </c>
      <c r="L7552" s="10">
        <v>29.5</v>
      </c>
      <c r="M7552" s="6" t="s">
        <v>421</v>
      </c>
      <c r="N7552" s="6" t="str">
        <f>IF(OR($G7552="FCC",$G7552="Hydrocracker",$G7552="Reformer"),IF(COUNTIFS($D:$D,$D7552,$A:$A,$A7552,$B:$B,$B7552,$G:$G,"CDU",$J:$J,"PLANNED")&gt;0,"tied","standalone"),"")</f>
        <v>tied</v>
      </c>
    </row>
    <row r="7553" spans="1:14">
      <c r="A7553" s="6">
        <v>2026</v>
      </c>
      <c r="B7553" s="6">
        <v>4</v>
      </c>
      <c r="C7553" s="6" t="s">
        <v>63</v>
      </c>
      <c r="D7553" s="6" t="s">
        <v>576</v>
      </c>
      <c r="E7553" s="6" t="s">
        <v>455</v>
      </c>
      <c r="F7553" s="6" t="str">
        <f>IF($M7553="PADD I","PADD 1",IF($M7553="PADD II","PADD 2",IF($M7553="PADD III","PADD 3",IF($M7553="PADD IV","PADD 4",IF($M7553="PADD V","PADD 5","")))))</f>
        <v>PADD 3</v>
      </c>
      <c r="G7553" s="6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6" t="s">
        <v>494</v>
      </c>
      <c r="I7553" s="6" t="s">
        <v>577</v>
      </c>
      <c r="J7553" s="6" t="s">
        <v>394</v>
      </c>
      <c r="K7553" s="10">
        <v>28.5</v>
      </c>
      <c r="L7553" s="10">
        <v>57</v>
      </c>
      <c r="M7553" s="6" t="s">
        <v>421</v>
      </c>
      <c r="N7553" s="6" t="str">
        <f>IF(OR($G7553="FCC",$G7553="Hydrocracker",$G7553="Reformer"),IF(COUNTIFS($D:$D,$D7553,$A:$A,$A7553,$B:$B,$B7553,$G:$G,"CDU",$J:$J,"PLANNED")&gt;0,"tied","standalone"),"")</f>
        <v>standalone</v>
      </c>
    </row>
    <row r="7554" spans="1:14">
      <c r="A7554" s="6">
        <v>2026</v>
      </c>
      <c r="B7554" s="6">
        <v>4</v>
      </c>
      <c r="C7554" s="6" t="s">
        <v>63</v>
      </c>
      <c r="D7554" s="6" t="s">
        <v>512</v>
      </c>
      <c r="E7554" s="6" t="s">
        <v>488</v>
      </c>
      <c r="F7554" s="6" t="str">
        <f>IF($M7554="PADD I","PADD 1",IF($M7554="PADD II","PADD 2",IF($M7554="PADD III","PADD 3",IF($M7554="PADD IV","PADD 4",IF($M7554="PADD V","PADD 5","")))))</f>
        <v>PADD 4</v>
      </c>
      <c r="G7554" s="6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6" t="s">
        <v>426</v>
      </c>
      <c r="I7554" s="6" t="s">
        <v>106</v>
      </c>
      <c r="J7554" s="6" t="s">
        <v>398</v>
      </c>
      <c r="K7554" s="10">
        <v>28.3</v>
      </c>
      <c r="L7554" s="10">
        <v>28.3</v>
      </c>
      <c r="M7554" s="6" t="s">
        <v>480</v>
      </c>
      <c r="N7554" s="6" t="str">
        <f>IF(OR($G7554="FCC",$G7554="Hydrocracker",$G7554="Reformer"),IF(COUNTIFS($D:$D,$D7554,$A:$A,$A7554,$B:$B,$B7554,$G:$G,"CDU",$J:$J,"PLANNED")&gt;0,"tied","standalone"),"")</f>
        <v>tied</v>
      </c>
    </row>
    <row r="7555" spans="1:14">
      <c r="A7555" s="6">
        <v>2026</v>
      </c>
      <c r="B7555" s="6">
        <v>4</v>
      </c>
      <c r="C7555" s="6" t="s">
        <v>63</v>
      </c>
      <c r="D7555" s="6" t="s">
        <v>773</v>
      </c>
      <c r="E7555" s="6" t="s">
        <v>774</v>
      </c>
      <c r="F7555" s="6" t="str">
        <f>IF($M7555="PADD I","PADD 1",IF($M7555="PADD II","PADD 2",IF($M7555="PADD III","PADD 3",IF($M7555="PADD IV","PADD 4",IF($M7555="PADD V","PADD 5","")))))</f>
        <v>PADD 4</v>
      </c>
      <c r="G7555" s="6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6" t="s">
        <v>428</v>
      </c>
      <c r="I7555" s="6" t="s">
        <v>481</v>
      </c>
      <c r="J7555" s="6" t="s">
        <v>398</v>
      </c>
      <c r="K7555" s="10">
        <v>28.13</v>
      </c>
      <c r="L7555" s="10">
        <v>29</v>
      </c>
      <c r="M7555" s="6" t="s">
        <v>480</v>
      </c>
      <c r="N7555" s="6">
        <f>IF(OR($G7555="FCC",$G7555="Hydrocracker",$G7555="Reformer"),IF(COUNTIFS($D:$D,$D7555,$A:$A,$A7555,$B:$B,$B7555,$G:$G,"CDU",$J:$J,"PLANNED")&gt;0,"tied","standalone"),"")</f>
        <v/>
      </c>
    </row>
    <row r="7556" spans="1:14">
      <c r="A7556" s="6">
        <v>2026</v>
      </c>
      <c r="B7556" s="6">
        <v>4</v>
      </c>
      <c r="C7556" s="6" t="s">
        <v>63</v>
      </c>
      <c r="D7556" s="6" t="s">
        <v>375</v>
      </c>
      <c r="E7556" s="6" t="s">
        <v>435</v>
      </c>
      <c r="F7556" s="6" t="str">
        <f>IF($M7556="PADD I","PADD 1",IF($M7556="PADD II","PADD 2",IF($M7556="PADD III","PADD 3",IF($M7556="PADD IV","PADD 4",IF($M7556="PADD V","PADD 5","")))))</f>
        <v>PADD 5</v>
      </c>
      <c r="G7556" s="6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6" t="s">
        <v>428</v>
      </c>
      <c r="I7556" s="6" t="s">
        <v>481</v>
      </c>
      <c r="J7556" s="6" t="s">
        <v>394</v>
      </c>
      <c r="K7556" s="10">
        <v>27.405</v>
      </c>
      <c r="L7556" s="10">
        <v>31.5</v>
      </c>
      <c r="M7556" s="6" t="s">
        <v>436</v>
      </c>
      <c r="N7556" s="6">
        <f>IF(OR($G7556="FCC",$G7556="Hydrocracker",$G7556="Reformer"),IF(COUNTIFS($D:$D,$D7556,$A:$A,$A7556,$B:$B,$B7556,$G:$G,"CDU",$J:$J,"PLANNED")&gt;0,"tied","standalone"),"")</f>
        <v/>
      </c>
    </row>
    <row r="7557" spans="1:14">
      <c r="A7557" s="6">
        <v>2026</v>
      </c>
      <c r="B7557" s="6">
        <v>4</v>
      </c>
      <c r="C7557" s="6" t="s">
        <v>63</v>
      </c>
      <c r="D7557" s="6" t="s">
        <v>984</v>
      </c>
      <c r="E7557" s="6" t="s">
        <v>438</v>
      </c>
      <c r="F7557" s="6" t="str">
        <f>IF($M7557="PADD I","PADD 1",IF($M7557="PADD II","PADD 2",IF($M7557="PADD III","PADD 3",IF($M7557="PADD IV","PADD 4",IF($M7557="PADD V","PADD 5","")))))</f>
        <v>PADD 3</v>
      </c>
      <c r="G7557" s="6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6" t="s">
        <v>44</v>
      </c>
      <c r="I7557" s="6" t="s">
        <v>508</v>
      </c>
      <c r="J7557" s="6" t="s">
        <v>398</v>
      </c>
      <c r="K7557" s="10">
        <v>25</v>
      </c>
      <c r="L7557" s="10">
        <v>25</v>
      </c>
      <c r="M7557" s="6" t="s">
        <v>421</v>
      </c>
      <c r="N7557" s="6">
        <f>IF(OR($G7557="FCC",$G7557="Hydrocracker",$G7557="Reformer"),IF(COUNTIFS($D:$D,$D7557,$A:$A,$A7557,$B:$B,$B7557,$G:$G,"CDU",$J:$J,"PLANNED")&gt;0,"tied","standalone"),"")</f>
        <v/>
      </c>
    </row>
    <row r="7558" spans="1:14">
      <c r="A7558" s="6">
        <v>2026</v>
      </c>
      <c r="B7558" s="6">
        <v>4</v>
      </c>
      <c r="C7558" s="6" t="s">
        <v>63</v>
      </c>
      <c r="D7558" s="6" t="s">
        <v>496</v>
      </c>
      <c r="E7558" s="6" t="s">
        <v>441</v>
      </c>
      <c r="F7558" s="6" t="str">
        <f>IF($M7558="PADD I","PADD 1",IF($M7558="PADD II","PADD 2",IF($M7558="PADD III","PADD 3",IF($M7558="PADD IV","PADD 4",IF($M7558="PADD V","PADD 5","")))))</f>
        <v>PADD 3</v>
      </c>
      <c r="G7558" s="6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6" t="s">
        <v>39</v>
      </c>
      <c r="I7558" s="6" t="s">
        <v>82</v>
      </c>
      <c r="J7558" s="6" t="s">
        <v>394</v>
      </c>
      <c r="K7558" s="10">
        <v>25</v>
      </c>
      <c r="L7558" s="10">
        <v>125</v>
      </c>
      <c r="M7558" s="6" t="s">
        <v>421</v>
      </c>
      <c r="N7558" s="6">
        <f>IF(OR($G7558="FCC",$G7558="Hydrocracker",$G7558="Reformer"),IF(COUNTIFS($D:$D,$D7558,$A:$A,$A7558,$B:$B,$B7558,$G:$G,"CDU",$J:$J,"PLANNED")&gt;0,"tied","standalone"),"")</f>
        <v/>
      </c>
    </row>
    <row r="7559" spans="1:14">
      <c r="A7559" s="6">
        <v>2026</v>
      </c>
      <c r="B7559" s="6">
        <v>4</v>
      </c>
      <c r="C7559" s="6" t="s">
        <v>63</v>
      </c>
      <c r="D7559" s="6" t="s">
        <v>49</v>
      </c>
      <c r="E7559" s="6" t="s">
        <v>438</v>
      </c>
      <c r="F7559" s="6" t="str">
        <f>IF($M7559="PADD I","PADD 1",IF($M7559="PADD II","PADD 2",IF($M7559="PADD III","PADD 3",IF($M7559="PADD IV","PADD 4",IF($M7559="PADD V","PADD 5","")))))</f>
        <v>PADD 2</v>
      </c>
      <c r="G7559" s="6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6" t="s">
        <v>44</v>
      </c>
      <c r="I7559" s="6" t="s">
        <v>811</v>
      </c>
      <c r="J7559" s="6" t="s">
        <v>394</v>
      </c>
      <c r="K7559" s="10">
        <v>24</v>
      </c>
      <c r="L7559" s="10">
        <v>24</v>
      </c>
      <c r="M7559" s="6" t="s">
        <v>425</v>
      </c>
      <c r="N7559" s="6">
        <f>IF(OR($G7559="FCC",$G7559="Hydrocracker",$G7559="Reformer"),IF(COUNTIFS($D:$D,$D7559,$A:$A,$A7559,$B:$B,$B7559,$G:$G,"CDU",$J:$J,"PLANNED")&gt;0,"tied","standalone"),"")</f>
        <v/>
      </c>
    </row>
    <row r="7560" spans="1:14">
      <c r="A7560" s="6">
        <v>2026</v>
      </c>
      <c r="B7560" s="6">
        <v>4</v>
      </c>
      <c r="C7560" s="6" t="s">
        <v>63</v>
      </c>
      <c r="D7560" s="6" t="s">
        <v>382</v>
      </c>
      <c r="E7560" s="6" t="s">
        <v>431</v>
      </c>
      <c r="F7560" s="6" t="str">
        <f>IF($M7560="PADD I","PADD 1",IF($M7560="PADD II","PADD 2",IF($M7560="PADD III","PADD 3",IF($M7560="PADD IV","PADD 4",IF($M7560="PADD V","PADD 5","")))))</f>
        <v>PADD 3</v>
      </c>
      <c r="G7560" s="6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6" t="s">
        <v>426</v>
      </c>
      <c r="I7560" s="6" t="s">
        <v>106</v>
      </c>
      <c r="J7560" s="6" t="s">
        <v>394</v>
      </c>
      <c r="K7560" s="10">
        <v>23.46</v>
      </c>
      <c r="L7560" s="10">
        <v>102</v>
      </c>
      <c r="M7560" s="6" t="s">
        <v>421</v>
      </c>
      <c r="N7560" s="6" t="str">
        <f>IF(OR($G7560="FCC",$G7560="Hydrocracker",$G7560="Reformer"),IF(COUNTIFS($D:$D,$D7560,$A:$A,$A7560,$B:$B,$B7560,$G:$G,"CDU",$J:$J,"PLANNED")&gt;0,"tied","standalone"),"")</f>
        <v>standalone</v>
      </c>
    </row>
    <row r="7561" spans="1:14">
      <c r="A7561" s="6">
        <v>2026</v>
      </c>
      <c r="B7561" s="6">
        <v>4</v>
      </c>
      <c r="C7561" s="6" t="s">
        <v>63</v>
      </c>
      <c r="D7561" s="6" t="s">
        <v>52</v>
      </c>
      <c r="E7561" s="6" t="s">
        <v>441</v>
      </c>
      <c r="F7561" s="6" t="str">
        <f>IF($M7561="PADD I","PADD 1",IF($M7561="PADD II","PADD 2",IF($M7561="PADD III","PADD 3",IF($M7561="PADD IV","PADD 4",IF($M7561="PADD V","PADD 5","")))))</f>
        <v>PADD 5</v>
      </c>
      <c r="G7561" s="6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6" t="s">
        <v>39</v>
      </c>
      <c r="I7561" s="6" t="s">
        <v>136</v>
      </c>
      <c r="J7561" s="6" t="s">
        <v>394</v>
      </c>
      <c r="K7561" s="10">
        <v>23.115</v>
      </c>
      <c r="L7561" s="10">
        <v>100.5</v>
      </c>
      <c r="M7561" s="6" t="s">
        <v>436</v>
      </c>
      <c r="N7561" s="6">
        <f>IF(OR($G7561="FCC",$G7561="Hydrocracker",$G7561="Reformer"),IF(COUNTIFS($D:$D,$D7561,$A:$A,$A7561,$B:$B,$B7561,$G:$G,"CDU",$J:$J,"PLANNED")&gt;0,"tied","standalone"),"")</f>
        <v/>
      </c>
    </row>
    <row r="7562" spans="1:14">
      <c r="A7562" s="6">
        <v>2026</v>
      </c>
      <c r="B7562" s="6">
        <v>4</v>
      </c>
      <c r="C7562" s="6" t="s">
        <v>63</v>
      </c>
      <c r="D7562" s="6" t="s">
        <v>51</v>
      </c>
      <c r="E7562" s="6" t="s">
        <v>431</v>
      </c>
      <c r="F7562" s="6" t="str">
        <f>IF($M7562="PADD I","PADD 1",IF($M7562="PADD II","PADD 2",IF($M7562="PADD III","PADD 3",IF($M7562="PADD IV","PADD 4",IF($M7562="PADD V","PADD 5","")))))</f>
        <v>PADD 3</v>
      </c>
      <c r="G7562" s="6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6" t="s">
        <v>39</v>
      </c>
      <c r="I7562" s="6" t="s">
        <v>819</v>
      </c>
      <c r="J7562" s="6" t="s">
        <v>394</v>
      </c>
      <c r="K7562" s="10">
        <v>23</v>
      </c>
      <c r="L7562" s="10">
        <v>115</v>
      </c>
      <c r="M7562" s="6" t="s">
        <v>421</v>
      </c>
      <c r="N7562" s="6">
        <f>IF(OR($G7562="FCC",$G7562="Hydrocracker",$G7562="Reformer"),IF(COUNTIFS($D:$D,$D7562,$A:$A,$A7562,$B:$B,$B7562,$G:$G,"CDU",$J:$J,"PLANNED")&gt;0,"tied","standalone"),"")</f>
        <v/>
      </c>
    </row>
    <row r="7563" spans="1:14">
      <c r="A7563" s="6">
        <v>2026</v>
      </c>
      <c r="B7563" s="6">
        <v>4</v>
      </c>
      <c r="C7563" s="6" t="s">
        <v>63</v>
      </c>
      <c r="D7563" s="6" t="s">
        <v>487</v>
      </c>
      <c r="E7563" s="6" t="s">
        <v>488</v>
      </c>
      <c r="F7563" s="6" t="str">
        <f>IF($M7563="PADD I","PADD 1",IF($M7563="PADD II","PADD 2",IF($M7563="PADD III","PADD 3",IF($M7563="PADD IV","PADD 4",IF($M7563="PADD V","PADD 5","")))))</f>
        <v>PADD 4</v>
      </c>
      <c r="G7563" s="6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6" t="s">
        <v>44</v>
      </c>
      <c r="I7563" s="6" t="s">
        <v>543</v>
      </c>
      <c r="J7563" s="6" t="s">
        <v>398</v>
      </c>
      <c r="K7563" s="10">
        <v>21</v>
      </c>
      <c r="L7563" s="10">
        <v>21</v>
      </c>
      <c r="M7563" s="6" t="s">
        <v>480</v>
      </c>
      <c r="N7563" s="6">
        <f>IF(OR($G7563="FCC",$G7563="Hydrocracker",$G7563="Reformer"),IF(COUNTIFS($D:$D,$D7563,$A:$A,$A7563,$B:$B,$B7563,$G:$G,"CDU",$J:$J,"PLANNED")&gt;0,"tied","standalone"),"")</f>
        <v/>
      </c>
    </row>
    <row r="7564" spans="1:14">
      <c r="A7564" s="6">
        <v>2026</v>
      </c>
      <c r="B7564" s="6">
        <v>4</v>
      </c>
      <c r="C7564" s="6" t="s">
        <v>63</v>
      </c>
      <c r="D7564" s="6" t="s">
        <v>54</v>
      </c>
      <c r="E7564" s="6" t="s">
        <v>593</v>
      </c>
      <c r="F7564" s="6" t="str">
        <f>IF($M7564="PADD I","PADD 1",IF($M7564="PADD II","PADD 2",IF($M7564="PADD III","PADD 3",IF($M7564="PADD IV","PADD 4",IF($M7564="PADD V","PADD 5","")))))</f>
        <v>PADD 5</v>
      </c>
      <c r="G7564" s="6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6" t="s">
        <v>44</v>
      </c>
      <c r="I7564" s="6" t="s">
        <v>1418</v>
      </c>
      <c r="J7564" s="6" t="s">
        <v>398</v>
      </c>
      <c r="K7564" s="10">
        <v>20.54</v>
      </c>
      <c r="L7564" s="10">
        <v>20.54</v>
      </c>
      <c r="M7564" s="6" t="s">
        <v>436</v>
      </c>
      <c r="N7564" s="6">
        <f>IF(OR($G7564="FCC",$G7564="Hydrocracker",$G7564="Reformer"),IF(COUNTIFS($D:$D,$D7564,$A:$A,$A7564,$B:$B,$B7564,$G:$G,"CDU",$J:$J,"PLANNED")&gt;0,"tied","standalone"),"")</f>
        <v/>
      </c>
    </row>
    <row r="7565" spans="1:14">
      <c r="A7565" s="6">
        <v>2026</v>
      </c>
      <c r="B7565" s="6">
        <v>4</v>
      </c>
      <c r="C7565" s="6" t="s">
        <v>63</v>
      </c>
      <c r="D7565" s="6" t="s">
        <v>507</v>
      </c>
      <c r="E7565" s="6" t="s">
        <v>438</v>
      </c>
      <c r="F7565" s="6" t="str">
        <f>IF($M7565="PADD I","PADD 1",IF($M7565="PADD II","PADD 2",IF($M7565="PADD III","PADD 3",IF($M7565="PADD IV","PADD 4",IF($M7565="PADD V","PADD 5","")))))</f>
        <v>PADD 5</v>
      </c>
      <c r="G7565" s="6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6" t="s">
        <v>428</v>
      </c>
      <c r="I7565" s="6" t="s">
        <v>651</v>
      </c>
      <c r="J7565" s="6" t="s">
        <v>394</v>
      </c>
      <c r="K7565" s="10">
        <v>20.46</v>
      </c>
      <c r="L7565" s="10">
        <v>62</v>
      </c>
      <c r="M7565" s="6" t="s">
        <v>436</v>
      </c>
      <c r="N7565" s="6">
        <f>IF(OR($G7565="FCC",$G7565="Hydrocracker",$G7565="Reformer"),IF(COUNTIFS($D:$D,$D7565,$A:$A,$A7565,$B:$B,$B7565,$G:$G,"CDU",$J:$J,"PLANNED")&gt;0,"tied","standalone"),"")</f>
        <v/>
      </c>
    </row>
    <row r="7566" spans="1:14">
      <c r="A7566" s="6">
        <v>2026</v>
      </c>
      <c r="B7566" s="6">
        <v>4</v>
      </c>
      <c r="C7566" s="6" t="s">
        <v>63</v>
      </c>
      <c r="D7566" s="6" t="s">
        <v>49</v>
      </c>
      <c r="E7566" s="6" t="s">
        <v>438</v>
      </c>
      <c r="F7566" s="6" t="str">
        <f>IF($M7566="PADD I","PADD 1",IF($M7566="PADD II","PADD 2",IF($M7566="PADD III","PADD 3",IF($M7566="PADD IV","PADD 4",IF($M7566="PADD V","PADD 5","")))))</f>
        <v>PADD 2</v>
      </c>
      <c r="G7566" s="6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6" t="s">
        <v>44</v>
      </c>
      <c r="I7566" s="6" t="s">
        <v>811</v>
      </c>
      <c r="J7566" s="6" t="s">
        <v>398</v>
      </c>
      <c r="K7566" s="10">
        <v>20</v>
      </c>
      <c r="L7566" s="10">
        <v>20</v>
      </c>
      <c r="M7566" s="6" t="s">
        <v>425</v>
      </c>
      <c r="N7566" s="6">
        <f>IF(OR($G7566="FCC",$G7566="Hydrocracker",$G7566="Reformer"),IF(COUNTIFS($D:$D,$D7566,$A:$A,$A7566,$B:$B,$B7566,$G:$G,"CDU",$J:$J,"PLANNED")&gt;0,"tied","standalone"),"")</f>
        <v/>
      </c>
    </row>
    <row r="7567" spans="1:14">
      <c r="A7567" s="6">
        <v>2026</v>
      </c>
      <c r="B7567" s="6">
        <v>4</v>
      </c>
      <c r="C7567" s="6" t="s">
        <v>63</v>
      </c>
      <c r="D7567" s="6" t="s">
        <v>576</v>
      </c>
      <c r="E7567" s="6" t="s">
        <v>455</v>
      </c>
      <c r="F7567" s="6" t="str">
        <f>IF($M7567="PADD I","PADD 1",IF($M7567="PADD II","PADD 2",IF($M7567="PADD III","PADD 3",IF($M7567="PADD IV","PADD 4",IF($M7567="PADD V","PADD 5","")))))</f>
        <v>PADD 3</v>
      </c>
      <c r="G7567" s="6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6" t="s">
        <v>44</v>
      </c>
      <c r="I7567" s="6" t="s">
        <v>1276</v>
      </c>
      <c r="J7567" s="6" t="s">
        <v>394</v>
      </c>
      <c r="K7567" s="10">
        <v>18.5</v>
      </c>
      <c r="L7567" s="10">
        <v>18.5</v>
      </c>
      <c r="M7567" s="6" t="s">
        <v>421</v>
      </c>
      <c r="N7567" s="6">
        <f>IF(OR($G7567="FCC",$G7567="Hydrocracker",$G7567="Reformer"),IF(COUNTIFS($D:$D,$D7567,$A:$A,$A7567,$B:$B,$B7567,$G:$G,"CDU",$J:$J,"PLANNED")&gt;0,"tied","standalone"),"")</f>
        <v/>
      </c>
    </row>
    <row r="7568" spans="1:14">
      <c r="A7568" s="6">
        <v>2026</v>
      </c>
      <c r="B7568" s="6">
        <v>4</v>
      </c>
      <c r="C7568" s="6" t="s">
        <v>63</v>
      </c>
      <c r="D7568" s="6" t="s">
        <v>984</v>
      </c>
      <c r="E7568" s="6" t="s">
        <v>438</v>
      </c>
      <c r="F7568" s="6" t="str">
        <f>IF($M7568="PADD I","PADD 1",IF($M7568="PADD II","PADD 2",IF($M7568="PADD III","PADD 3",IF($M7568="PADD IV","PADD 4",IF($M7568="PADD V","PADD 5","")))))</f>
        <v>PADD 3</v>
      </c>
      <c r="G7568" s="6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6" t="s">
        <v>428</v>
      </c>
      <c r="I7568" s="6" t="s">
        <v>1014</v>
      </c>
      <c r="J7568" s="6" t="s">
        <v>398</v>
      </c>
      <c r="K7568" s="10">
        <v>17</v>
      </c>
      <c r="L7568" s="10">
        <v>17</v>
      </c>
      <c r="M7568" s="6" t="s">
        <v>421</v>
      </c>
      <c r="N7568" s="6">
        <f>IF(OR($G7568="FCC",$G7568="Hydrocracker",$G7568="Reformer"),IF(COUNTIFS($D:$D,$D7568,$A:$A,$A7568,$B:$B,$B7568,$G:$G,"CDU",$J:$J,"PLANNED")&gt;0,"tied","standalone"),"")</f>
        <v/>
      </c>
    </row>
    <row r="7569" spans="1:14">
      <c r="A7569" s="6">
        <v>2026</v>
      </c>
      <c r="B7569" s="6">
        <v>4</v>
      </c>
      <c r="C7569" s="6" t="s">
        <v>63</v>
      </c>
      <c r="D7569" s="6" t="s">
        <v>576</v>
      </c>
      <c r="E7569" s="6" t="s">
        <v>455</v>
      </c>
      <c r="F7569" s="6" t="str">
        <f>IF($M7569="PADD I","PADD 1",IF($M7569="PADD II","PADD 2",IF($M7569="PADD III","PADD 3",IF($M7569="PADD IV","PADD 4",IF($M7569="PADD V","PADD 5","")))))</f>
        <v>PADD 3</v>
      </c>
      <c r="G7569" s="6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6" t="s">
        <v>510</v>
      </c>
      <c r="I7569" s="6" t="s">
        <v>1416</v>
      </c>
      <c r="J7569" s="6" t="s">
        <v>394</v>
      </c>
      <c r="K7569" s="10">
        <v>16.9</v>
      </c>
      <c r="L7569" s="10">
        <v>16.9</v>
      </c>
      <c r="M7569" s="6" t="s">
        <v>421</v>
      </c>
      <c r="N7569" s="6">
        <f>IF(OR($G7569="FCC",$G7569="Hydrocracker",$G7569="Reformer"),IF(COUNTIFS($D:$D,$D7569,$A:$A,$A7569,$B:$B,$B7569,$G:$G,"CDU",$J:$J,"PLANNED")&gt;0,"tied","standalone"),"")</f>
        <v/>
      </c>
    </row>
    <row r="7570" spans="1:14">
      <c r="A7570" s="6">
        <v>2026</v>
      </c>
      <c r="B7570" s="6">
        <v>4</v>
      </c>
      <c r="C7570" s="6" t="s">
        <v>63</v>
      </c>
      <c r="D7570" s="6" t="s">
        <v>712</v>
      </c>
      <c r="E7570" s="6" t="s">
        <v>602</v>
      </c>
      <c r="F7570" s="6" t="str">
        <f>IF($M7570="PADD I","PADD 1",IF($M7570="PADD II","PADD 2",IF($M7570="PADD III","PADD 3",IF($M7570="PADD IV","PADD 4",IF($M7570="PADD V","PADD 5","")))))</f>
        <v>PADD 3</v>
      </c>
      <c r="G7570" s="6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6" t="s">
        <v>39</v>
      </c>
      <c r="I7570" s="6" t="s">
        <v>713</v>
      </c>
      <c r="J7570" s="6" t="s">
        <v>398</v>
      </c>
      <c r="K7570" s="10">
        <v>16.79</v>
      </c>
      <c r="L7570" s="10">
        <v>73</v>
      </c>
      <c r="M7570" s="6" t="s">
        <v>421</v>
      </c>
      <c r="N7570" s="6">
        <f>IF(OR($G7570="FCC",$G7570="Hydrocracker",$G7570="Reformer"),IF(COUNTIFS($D:$D,$D7570,$A:$A,$A7570,$B:$B,$B7570,$G:$G,"CDU",$J:$J,"PLANNED")&gt;0,"tied","standalone"),"")</f>
        <v/>
      </c>
    </row>
    <row r="7571" spans="1:14">
      <c r="A7571" s="6">
        <v>2026</v>
      </c>
      <c r="B7571" s="6">
        <v>4</v>
      </c>
      <c r="C7571" s="6" t="s">
        <v>63</v>
      </c>
      <c r="D7571" s="6" t="s">
        <v>760</v>
      </c>
      <c r="E7571" s="6" t="s">
        <v>761</v>
      </c>
      <c r="F7571" s="6" t="str">
        <f>IF($M7571="PADD I","PADD 1",IF($M7571="PADD II","PADD 2",IF($M7571="PADD III","PADD 3",IF($M7571="PADD IV","PADD 4",IF($M7571="PADD V","PADD 5","")))))</f>
        <v>PADD 3</v>
      </c>
      <c r="G7571" s="6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6" t="s">
        <v>39</v>
      </c>
      <c r="I7571" s="6" t="s">
        <v>762</v>
      </c>
      <c r="J7571" s="6" t="s">
        <v>394</v>
      </c>
      <c r="K7571" s="10">
        <v>16.75</v>
      </c>
      <c r="L7571" s="10">
        <v>25</v>
      </c>
      <c r="M7571" s="6" t="s">
        <v>421</v>
      </c>
      <c r="N7571" s="6">
        <f>IF(OR($G7571="FCC",$G7571="Hydrocracker",$G7571="Reformer"),IF(COUNTIFS($D:$D,$D7571,$A:$A,$A7571,$B:$B,$B7571,$G:$G,"CDU",$J:$J,"PLANNED")&gt;0,"tied","standalone"),"")</f>
        <v/>
      </c>
    </row>
    <row r="7572" spans="1:14">
      <c r="A7572" s="6">
        <v>2026</v>
      </c>
      <c r="B7572" s="6">
        <v>4</v>
      </c>
      <c r="C7572" s="6" t="s">
        <v>63</v>
      </c>
      <c r="D7572" s="6" t="s">
        <v>377</v>
      </c>
      <c r="E7572" s="6" t="s">
        <v>466</v>
      </c>
      <c r="F7572" s="6" t="str">
        <f>IF($M7572="PADD I","PADD 1",IF($M7572="PADD II","PADD 2",IF($M7572="PADD III","PADD 3",IF($M7572="PADD IV","PADD 4",IF($M7572="PADD V","PADD 5","")))))</f>
        <v>PADD 2</v>
      </c>
      <c r="G7572" s="6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6" t="s">
        <v>510</v>
      </c>
      <c r="I7572" s="6" t="s">
        <v>1413</v>
      </c>
      <c r="J7572" s="6" t="s">
        <v>398</v>
      </c>
      <c r="K7572" s="10">
        <v>16.2</v>
      </c>
      <c r="L7572" s="10">
        <v>16.2</v>
      </c>
      <c r="M7572" s="6" t="s">
        <v>425</v>
      </c>
      <c r="N7572" s="6">
        <f>IF(OR($G7572="FCC",$G7572="Hydrocracker",$G7572="Reformer"),IF(COUNTIFS($D:$D,$D7572,$A:$A,$A7572,$B:$B,$B7572,$G:$G,"CDU",$J:$J,"PLANNED")&gt;0,"tied","standalone"),"")</f>
        <v/>
      </c>
    </row>
    <row r="7573" spans="1:14">
      <c r="A7573" s="6">
        <v>2026</v>
      </c>
      <c r="B7573" s="6">
        <v>4</v>
      </c>
      <c r="C7573" s="6" t="s">
        <v>63</v>
      </c>
      <c r="D7573" s="6" t="s">
        <v>49</v>
      </c>
      <c r="E7573" s="6" t="s">
        <v>438</v>
      </c>
      <c r="F7573" s="6" t="str">
        <f>IF($M7573="PADD I","PADD 1",IF($M7573="PADD II","PADD 2",IF($M7573="PADD III","PADD 3",IF($M7573="PADD IV","PADD 4",IF($M7573="PADD V","PADD 5","")))))</f>
        <v>PADD 2</v>
      </c>
      <c r="G7573" s="6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6" t="s">
        <v>687</v>
      </c>
      <c r="I7573" s="6" t="s">
        <v>654</v>
      </c>
      <c r="J7573" s="6" t="s">
        <v>398</v>
      </c>
      <c r="K7573" s="10">
        <v>16</v>
      </c>
      <c r="L7573" s="10">
        <v>16</v>
      </c>
      <c r="M7573" s="6" t="s">
        <v>425</v>
      </c>
      <c r="N7573" s="6">
        <f>IF(OR($G7573="FCC",$G7573="Hydrocracker",$G7573="Reformer"),IF(COUNTIFS($D:$D,$D7573,$A:$A,$A7573,$B:$B,$B7573,$G:$G,"CDU",$J:$J,"PLANNED")&gt;0,"tied","standalone"),"")</f>
        <v/>
      </c>
    </row>
    <row r="7574" spans="1:14">
      <c r="A7574" s="6">
        <v>2026</v>
      </c>
      <c r="B7574" s="6">
        <v>4</v>
      </c>
      <c r="C7574" s="6" t="s">
        <v>63</v>
      </c>
      <c r="D7574" s="6" t="s">
        <v>851</v>
      </c>
      <c r="E7574" s="6" t="s">
        <v>829</v>
      </c>
      <c r="F7574" s="6" t="str">
        <f>IF($M7574="PADD I","PADD 1",IF($M7574="PADD II","PADD 2",IF($M7574="PADD III","PADD 3",IF($M7574="PADD IV","PADD 4",IF($M7574="PADD V","PADD 5","")))))</f>
        <v>PADD 2</v>
      </c>
      <c r="G7574" s="6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6" t="s">
        <v>485</v>
      </c>
      <c r="I7574" s="6" t="s">
        <v>944</v>
      </c>
      <c r="J7574" s="6" t="s">
        <v>394</v>
      </c>
      <c r="K7574" s="10">
        <v>15.12</v>
      </c>
      <c r="L7574" s="10">
        <v>24</v>
      </c>
      <c r="M7574" s="6" t="s">
        <v>425</v>
      </c>
      <c r="N7574" s="6">
        <f>IF(OR($G7574="FCC",$G7574="Hydrocracker",$G7574="Reformer"),IF(COUNTIFS($D:$D,$D7574,$A:$A,$A7574,$B:$B,$B7574,$G:$G,"CDU",$J:$J,"PLANNED")&gt;0,"tied","standalone"),"")</f>
        <v/>
      </c>
    </row>
    <row r="7575" spans="1:14">
      <c r="A7575" s="6">
        <v>2026</v>
      </c>
      <c r="B7575" s="6">
        <v>4</v>
      </c>
      <c r="C7575" s="6" t="s">
        <v>63</v>
      </c>
      <c r="D7575" s="6" t="s">
        <v>49</v>
      </c>
      <c r="E7575" s="6" t="s">
        <v>438</v>
      </c>
      <c r="F7575" s="6" t="str">
        <f>IF($M7575="PADD I","PADD 1",IF($M7575="PADD II","PADD 2",IF($M7575="PADD III","PADD 3",IF($M7575="PADD IV","PADD 4",IF($M7575="PADD V","PADD 5","")))))</f>
        <v>PADD 2</v>
      </c>
      <c r="G7575" s="6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6" t="s">
        <v>485</v>
      </c>
      <c r="I7575" s="6" t="s">
        <v>804</v>
      </c>
      <c r="J7575" s="6" t="s">
        <v>398</v>
      </c>
      <c r="K7575" s="10">
        <v>15</v>
      </c>
      <c r="L7575" s="10">
        <v>15</v>
      </c>
      <c r="M7575" s="6" t="s">
        <v>425</v>
      </c>
      <c r="N7575" s="6">
        <f>IF(OR($G7575="FCC",$G7575="Hydrocracker",$G7575="Reformer"),IF(COUNTIFS($D:$D,$D7575,$A:$A,$A7575,$B:$B,$B7575,$G:$G,"CDU",$J:$J,"PLANNED")&gt;0,"tied","standalone"),"")</f>
        <v/>
      </c>
    </row>
    <row r="7576" spans="1:14">
      <c r="A7576" s="6">
        <v>2026</v>
      </c>
      <c r="B7576" s="6">
        <v>4</v>
      </c>
      <c r="C7576" s="6" t="s">
        <v>63</v>
      </c>
      <c r="D7576" s="6" t="s">
        <v>772</v>
      </c>
      <c r="E7576" s="6" t="s">
        <v>502</v>
      </c>
      <c r="F7576" s="6" t="str">
        <f>IF($M7576="PADD I","PADD 1",IF($M7576="PADD II","PADD 2",IF($M7576="PADD III","PADD 3",IF($M7576="PADD IV","PADD 4",IF($M7576="PADD V","PADD 5","")))))</f>
        <v>PADD 4</v>
      </c>
      <c r="G7576" s="6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6" t="s">
        <v>494</v>
      </c>
      <c r="I7576" s="6" t="s">
        <v>1197</v>
      </c>
      <c r="J7576" s="6" t="s">
        <v>398</v>
      </c>
      <c r="K7576" s="10">
        <v>15</v>
      </c>
      <c r="L7576" s="10">
        <v>15</v>
      </c>
      <c r="M7576" s="6" t="s">
        <v>480</v>
      </c>
      <c r="N7576" s="6" t="str">
        <f>IF(OR($G7576="FCC",$G7576="Hydrocracker",$G7576="Reformer"),IF(COUNTIFS($D:$D,$D7576,$A:$A,$A7576,$B:$B,$B7576,$G:$G,"CDU",$J:$J,"PLANNED")&gt;0,"tied","standalone"),"")</f>
        <v>standalone</v>
      </c>
    </row>
    <row r="7577" spans="1:14">
      <c r="A7577" s="6">
        <v>2026</v>
      </c>
      <c r="B7577" s="6">
        <v>4</v>
      </c>
      <c r="C7577" s="6" t="s">
        <v>63</v>
      </c>
      <c r="D7577" s="6" t="s">
        <v>49</v>
      </c>
      <c r="E7577" s="6" t="s">
        <v>438</v>
      </c>
      <c r="F7577" s="6" t="str">
        <f>IF($M7577="PADD I","PADD 1",IF($M7577="PADD II","PADD 2",IF($M7577="PADD III","PADD 3",IF($M7577="PADD IV","PADD 4",IF($M7577="PADD V","PADD 5","")))))</f>
        <v>PADD 2</v>
      </c>
      <c r="G7577" s="6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6" t="s">
        <v>485</v>
      </c>
      <c r="I7577" s="6" t="s">
        <v>681</v>
      </c>
      <c r="J7577" s="6" t="s">
        <v>398</v>
      </c>
      <c r="K7577" s="10">
        <v>15</v>
      </c>
      <c r="L7577" s="10">
        <v>15</v>
      </c>
      <c r="M7577" s="6" t="s">
        <v>425</v>
      </c>
      <c r="N7577" s="6">
        <f>IF(OR($G7577="FCC",$G7577="Hydrocracker",$G7577="Reformer"),IF(COUNTIFS($D:$D,$D7577,$A:$A,$A7577,$B:$B,$B7577,$G:$G,"CDU",$J:$J,"PLANNED")&gt;0,"tied","standalone"),"")</f>
        <v/>
      </c>
    </row>
    <row r="7578" spans="1:14">
      <c r="A7578" s="6">
        <v>2026</v>
      </c>
      <c r="B7578" s="6">
        <v>4</v>
      </c>
      <c r="C7578" s="6" t="s">
        <v>63</v>
      </c>
      <c r="D7578" s="6" t="s">
        <v>49</v>
      </c>
      <c r="E7578" s="6" t="s">
        <v>438</v>
      </c>
      <c r="F7578" s="6" t="str">
        <f>IF($M7578="PADD I","PADD 1",IF($M7578="PADD II","PADD 2",IF($M7578="PADD III","PADD 3",IF($M7578="PADD IV","PADD 4",IF($M7578="PADD V","PADD 5","")))))</f>
        <v>PADD 2</v>
      </c>
      <c r="G7578" s="6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6" t="s">
        <v>618</v>
      </c>
      <c r="I7578" s="6" t="s">
        <v>654</v>
      </c>
      <c r="J7578" s="6" t="s">
        <v>398</v>
      </c>
      <c r="K7578" s="10">
        <v>14.7</v>
      </c>
      <c r="L7578" s="10">
        <v>14.7</v>
      </c>
      <c r="M7578" s="6" t="s">
        <v>425</v>
      </c>
      <c r="N7578" s="6">
        <f>IF(OR($G7578="FCC",$G7578="Hydrocracker",$G7578="Reformer"),IF(COUNTIFS($D:$D,$D7578,$A:$A,$A7578,$B:$B,$B7578,$G:$G,"CDU",$J:$J,"PLANNED")&gt;0,"tied","standalone"),"")</f>
        <v/>
      </c>
    </row>
    <row r="7579" spans="1:14">
      <c r="A7579" s="6">
        <v>2026</v>
      </c>
      <c r="B7579" s="6">
        <v>4</v>
      </c>
      <c r="C7579" s="6" t="s">
        <v>63</v>
      </c>
      <c r="D7579" s="6" t="s">
        <v>576</v>
      </c>
      <c r="E7579" s="6" t="s">
        <v>455</v>
      </c>
      <c r="F7579" s="6" t="str">
        <f>IF($M7579="PADD I","PADD 1",IF($M7579="PADD II","PADD 2",IF($M7579="PADD III","PADD 3",IF($M7579="PADD IV","PADD 4",IF($M7579="PADD V","PADD 5","")))))</f>
        <v>PADD 3</v>
      </c>
      <c r="G7579" s="6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6" t="s">
        <v>485</v>
      </c>
      <c r="I7579" s="6" t="s">
        <v>736</v>
      </c>
      <c r="J7579" s="6" t="s">
        <v>394</v>
      </c>
      <c r="K7579" s="10">
        <v>13.475</v>
      </c>
      <c r="L7579" s="10">
        <v>17.5</v>
      </c>
      <c r="M7579" s="6" t="s">
        <v>421</v>
      </c>
      <c r="N7579" s="6">
        <f>IF(OR($G7579="FCC",$G7579="Hydrocracker",$G7579="Reformer"),IF(COUNTIFS($D:$D,$D7579,$A:$A,$A7579,$B:$B,$B7579,$G:$G,"CDU",$J:$J,"PLANNED")&gt;0,"tied","standalone"),"")</f>
        <v/>
      </c>
    </row>
    <row r="7580" spans="1:14">
      <c r="A7580" s="6">
        <v>2026</v>
      </c>
      <c r="B7580" s="6">
        <v>4</v>
      </c>
      <c r="C7580" s="6" t="s">
        <v>63</v>
      </c>
      <c r="D7580" s="6" t="s">
        <v>853</v>
      </c>
      <c r="E7580" s="6" t="s">
        <v>438</v>
      </c>
      <c r="F7580" s="6" t="str">
        <f>IF($M7580="PADD I","PADD 1",IF($M7580="PADD II","PADD 2",IF($M7580="PADD III","PADD 3",IF($M7580="PADD IV","PADD 4",IF($M7580="PADD V","PADD 5","")))))</f>
        <v>PADD 2</v>
      </c>
      <c r="G7580" s="6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6" t="s">
        <v>44</v>
      </c>
      <c r="I7580" s="6" t="s">
        <v>570</v>
      </c>
      <c r="J7580" s="6" t="s">
        <v>394</v>
      </c>
      <c r="K7580" s="10">
        <v>13.16</v>
      </c>
      <c r="L7580" s="10">
        <v>28</v>
      </c>
      <c r="M7580" s="6" t="s">
        <v>425</v>
      </c>
      <c r="N7580" s="6">
        <f>IF(OR($G7580="FCC",$G7580="Hydrocracker",$G7580="Reformer"),IF(COUNTIFS($D:$D,$D7580,$A:$A,$A7580,$B:$B,$B7580,$G:$G,"CDU",$J:$J,"PLANNED")&gt;0,"tied","standalone"),"")</f>
        <v/>
      </c>
    </row>
    <row r="7581" spans="1:14">
      <c r="A7581" s="6">
        <v>2026</v>
      </c>
      <c r="B7581" s="6">
        <v>4</v>
      </c>
      <c r="C7581" s="6" t="s">
        <v>63</v>
      </c>
      <c r="D7581" s="6" t="s">
        <v>52</v>
      </c>
      <c r="E7581" s="6" t="s">
        <v>441</v>
      </c>
      <c r="F7581" s="6" t="str">
        <f>IF($M7581="PADD I","PADD 1",IF($M7581="PADD II","PADD 2",IF($M7581="PADD III","PADD 3",IF($M7581="PADD IV","PADD 4",IF($M7581="PADD V","PADD 5","")))))</f>
        <v>PADD 5</v>
      </c>
      <c r="G7581" s="6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6" t="s">
        <v>428</v>
      </c>
      <c r="I7581" s="6" t="s">
        <v>1085</v>
      </c>
      <c r="J7581" s="6" t="s">
        <v>394</v>
      </c>
      <c r="K7581" s="10">
        <v>12.88</v>
      </c>
      <c r="L7581" s="10">
        <v>56</v>
      </c>
      <c r="M7581" s="6" t="s">
        <v>436</v>
      </c>
      <c r="N7581" s="6">
        <f>IF(OR($G7581="FCC",$G7581="Hydrocracker",$G7581="Reformer"),IF(COUNTIFS($D:$D,$D7581,$A:$A,$A7581,$B:$B,$B7581,$G:$G,"CDU",$J:$J,"PLANNED")&gt;0,"tied","standalone"),"")</f>
        <v/>
      </c>
    </row>
    <row r="7582" spans="1:14">
      <c r="A7582" s="6">
        <v>2026</v>
      </c>
      <c r="B7582" s="6">
        <v>4</v>
      </c>
      <c r="C7582" s="6" t="s">
        <v>63</v>
      </c>
      <c r="D7582" s="6" t="s">
        <v>370</v>
      </c>
      <c r="E7582" s="6" t="s">
        <v>431</v>
      </c>
      <c r="F7582" s="6" t="str">
        <f>IF($M7582="PADD I","PADD 1",IF($M7582="PADD II","PADD 2",IF($M7582="PADD III","PADD 3",IF($M7582="PADD IV","PADD 4",IF($M7582="PADD V","PADD 5","")))))</f>
        <v>PADD 2</v>
      </c>
      <c r="G7582" s="6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6" t="s">
        <v>426</v>
      </c>
      <c r="I7582" s="6" t="s">
        <v>106</v>
      </c>
      <c r="J7582" s="6" t="s">
        <v>394</v>
      </c>
      <c r="K7582" s="10">
        <v>12.74</v>
      </c>
      <c r="L7582" s="10">
        <v>98</v>
      </c>
      <c r="M7582" s="6" t="s">
        <v>425</v>
      </c>
      <c r="N7582" s="6" t="str">
        <f>IF(OR($G7582="FCC",$G7582="Hydrocracker",$G7582="Reformer"),IF(COUNTIFS($D:$D,$D7582,$A:$A,$A7582,$B:$B,$B7582,$G:$G,"CDU",$J:$J,"PLANNED")&gt;0,"tied","standalone"),"")</f>
        <v>tied</v>
      </c>
    </row>
    <row r="7583" spans="1:14">
      <c r="A7583" s="6">
        <v>2026</v>
      </c>
      <c r="B7583" s="6">
        <v>4</v>
      </c>
      <c r="C7583" s="6" t="s">
        <v>63</v>
      </c>
      <c r="D7583" s="6" t="s">
        <v>772</v>
      </c>
      <c r="E7583" s="6" t="s">
        <v>502</v>
      </c>
      <c r="F7583" s="6" t="str">
        <f>IF($M7583="PADD I","PADD 1",IF($M7583="PADD II","PADD 2",IF($M7583="PADD III","PADD 3",IF($M7583="PADD IV","PADD 4",IF($M7583="PADD V","PADD 5","")))))</f>
        <v>PADD 4</v>
      </c>
      <c r="G7583" s="6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6" t="s">
        <v>44</v>
      </c>
      <c r="I7583" s="6" t="s">
        <v>1412</v>
      </c>
      <c r="J7583" s="6" t="s">
        <v>398</v>
      </c>
      <c r="K7583" s="10">
        <v>12.5</v>
      </c>
      <c r="L7583" s="10">
        <v>12.5</v>
      </c>
      <c r="M7583" s="6" t="s">
        <v>480</v>
      </c>
      <c r="N7583" s="6">
        <f>IF(OR($G7583="FCC",$G7583="Hydrocracker",$G7583="Reformer"),IF(COUNTIFS($D:$D,$D7583,$A:$A,$A7583,$B:$B,$B7583,$G:$G,"CDU",$J:$J,"PLANNED")&gt;0,"tied","standalone"),"")</f>
        <v/>
      </c>
    </row>
    <row r="7584" spans="1:14">
      <c r="A7584" s="6">
        <v>2026</v>
      </c>
      <c r="B7584" s="6">
        <v>4</v>
      </c>
      <c r="C7584" s="6" t="s">
        <v>63</v>
      </c>
      <c r="D7584" s="6" t="s">
        <v>507</v>
      </c>
      <c r="E7584" s="6" t="s">
        <v>438</v>
      </c>
      <c r="F7584" s="6" t="str">
        <f>IF($M7584="PADD I","PADD 1",IF($M7584="PADD II","PADD 2",IF($M7584="PADD III","PADD 3",IF($M7584="PADD IV","PADD 4",IF($M7584="PADD V","PADD 5","")))))</f>
        <v>PADD 5</v>
      </c>
      <c r="G7584" s="6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6" t="s">
        <v>687</v>
      </c>
      <c r="I7584" s="6" t="s">
        <v>635</v>
      </c>
      <c r="J7584" s="6" t="s">
        <v>394</v>
      </c>
      <c r="K7584" s="10">
        <v>12.4</v>
      </c>
      <c r="L7584" s="10">
        <v>62</v>
      </c>
      <c r="M7584" s="6" t="s">
        <v>436</v>
      </c>
      <c r="N7584" s="6">
        <f>IF(OR($G7584="FCC",$G7584="Hydrocracker",$G7584="Reformer"),IF(COUNTIFS($D:$D,$D7584,$A:$A,$A7584,$B:$B,$B7584,$G:$G,"CDU",$J:$J,"PLANNED")&gt;0,"tied","standalone"),"")</f>
        <v/>
      </c>
    </row>
    <row r="7585" spans="1:14">
      <c r="A7585" s="6">
        <v>2026</v>
      </c>
      <c r="B7585" s="6">
        <v>4</v>
      </c>
      <c r="C7585" s="6" t="s">
        <v>63</v>
      </c>
      <c r="D7585" s="6" t="s">
        <v>1035</v>
      </c>
      <c r="E7585" s="6" t="s">
        <v>593</v>
      </c>
      <c r="F7585" s="6" t="str">
        <f>IF($M7585="PADD I","PADD 1",IF($M7585="PADD II","PADD 2",IF($M7585="PADD III","PADD 3",IF($M7585="PADD IV","PADD 4",IF($M7585="PADD V","PADD 5","")))))</f>
        <v>PADD 2</v>
      </c>
      <c r="G7585" s="6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6" t="s">
        <v>428</v>
      </c>
      <c r="I7585" s="6" t="s">
        <v>836</v>
      </c>
      <c r="J7585" s="6" t="s">
        <v>394</v>
      </c>
      <c r="K7585" s="10">
        <v>12.066</v>
      </c>
      <c r="L7585" s="10">
        <v>60.33</v>
      </c>
      <c r="M7585" s="6" t="s">
        <v>425</v>
      </c>
      <c r="N7585" s="6">
        <f>IF(OR($G7585="FCC",$G7585="Hydrocracker",$G7585="Reformer"),IF(COUNTIFS($D:$D,$D7585,$A:$A,$A7585,$B:$B,$B7585,$G:$G,"CDU",$J:$J,"PLANNED")&gt;0,"tied","standalone"),"")</f>
        <v/>
      </c>
    </row>
    <row r="7586" spans="1:14">
      <c r="A7586" s="6">
        <v>2026</v>
      </c>
      <c r="B7586" s="6">
        <v>4</v>
      </c>
      <c r="C7586" s="6" t="s">
        <v>63</v>
      </c>
      <c r="D7586" s="6" t="s">
        <v>370</v>
      </c>
      <c r="E7586" s="6" t="s">
        <v>431</v>
      </c>
      <c r="F7586" s="6" t="str">
        <f>IF($M7586="PADD I","PADD 1",IF($M7586="PADD II","PADD 2",IF($M7586="PADD III","PADD 3",IF($M7586="PADD IV","PADD 4",IF($M7586="PADD V","PADD 5","")))))</f>
        <v>PADD 2</v>
      </c>
      <c r="G7586" s="6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6" t="s">
        <v>39</v>
      </c>
      <c r="I7586" s="6" t="s">
        <v>82</v>
      </c>
      <c r="J7586" s="6" t="s">
        <v>398</v>
      </c>
      <c r="K7586" s="10">
        <v>12</v>
      </c>
      <c r="L7586" s="10">
        <v>40</v>
      </c>
      <c r="M7586" s="6" t="s">
        <v>425</v>
      </c>
      <c r="N7586" s="6">
        <f>IF(OR($G7586="FCC",$G7586="Hydrocracker",$G7586="Reformer"),IF(COUNTIFS($D:$D,$D7586,$A:$A,$A7586,$B:$B,$B7586,$G:$G,"CDU",$J:$J,"PLANNED")&gt;0,"tied","standalone"),"")</f>
        <v/>
      </c>
    </row>
    <row r="7587" spans="1:14">
      <c r="A7587" s="6">
        <v>2026</v>
      </c>
      <c r="B7587" s="6">
        <v>4</v>
      </c>
      <c r="C7587" s="6" t="s">
        <v>63</v>
      </c>
      <c r="D7587" s="6" t="s">
        <v>665</v>
      </c>
      <c r="E7587" s="6" t="s">
        <v>455</v>
      </c>
      <c r="F7587" s="6" t="str">
        <f>IF($M7587="PADD I","PADD 1",IF($M7587="PADD II","PADD 2",IF($M7587="PADD III","PADD 3",IF($M7587="PADD IV","PADD 4",IF($M7587="PADD V","PADD 5","")))))</f>
        <v>PADD 5</v>
      </c>
      <c r="G7587" s="6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6" t="s">
        <v>44</v>
      </c>
      <c r="I7587" s="6" t="s">
        <v>1235</v>
      </c>
      <c r="J7587" s="6" t="s">
        <v>398</v>
      </c>
      <c r="K7587" s="10">
        <v>12</v>
      </c>
      <c r="L7587" s="10">
        <v>12</v>
      </c>
      <c r="M7587" s="6" t="s">
        <v>436</v>
      </c>
      <c r="N7587" s="6">
        <f>IF(OR($G7587="FCC",$G7587="Hydrocracker",$G7587="Reformer"),IF(COUNTIFS($D:$D,$D7587,$A:$A,$A7587,$B:$B,$B7587,$G:$G,"CDU",$J:$J,"PLANNED")&gt;0,"tied","standalone"),"")</f>
        <v/>
      </c>
    </row>
    <row r="7588" spans="1:14">
      <c r="A7588" s="6">
        <v>2026</v>
      </c>
      <c r="B7588" s="6">
        <v>4</v>
      </c>
      <c r="C7588" s="6" t="s">
        <v>63</v>
      </c>
      <c r="D7588" s="6" t="s">
        <v>1093</v>
      </c>
      <c r="E7588" s="6" t="s">
        <v>438</v>
      </c>
      <c r="F7588" s="6" t="str">
        <f>IF($M7588="PADD I","PADD 1",IF($M7588="PADD II","PADD 2",IF($M7588="PADD III","PADD 3",IF($M7588="PADD IV","PADD 4",IF($M7588="PADD V","PADD 5","")))))</f>
        <v>PADD 2</v>
      </c>
      <c r="G7588" s="6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6" t="s">
        <v>39</v>
      </c>
      <c r="I7588" s="6" t="s">
        <v>929</v>
      </c>
      <c r="J7588" s="6" t="s">
        <v>394</v>
      </c>
      <c r="K7588" s="10">
        <v>11.75</v>
      </c>
      <c r="L7588" s="10">
        <v>25</v>
      </c>
      <c r="M7588" s="6" t="s">
        <v>425</v>
      </c>
      <c r="N7588" s="6">
        <f>IF(OR($G7588="FCC",$G7588="Hydrocracker",$G7588="Reformer"),IF(COUNTIFS($D:$D,$D7588,$A:$A,$A7588,$B:$B,$B7588,$G:$G,"CDU",$J:$J,"PLANNED")&gt;0,"tied","standalone"),"")</f>
        <v/>
      </c>
    </row>
    <row r="7589" spans="1:14">
      <c r="A7589" s="6">
        <v>2026</v>
      </c>
      <c r="B7589" s="6">
        <v>4</v>
      </c>
      <c r="C7589" s="6" t="s">
        <v>63</v>
      </c>
      <c r="D7589" s="6" t="s">
        <v>53</v>
      </c>
      <c r="E7589" s="6" t="s">
        <v>438</v>
      </c>
      <c r="F7589" s="6" t="str">
        <f>IF($M7589="PADD I","PADD 1",IF($M7589="PADD II","PADD 2",IF($M7589="PADD III","PADD 3",IF($M7589="PADD IV","PADD 4",IF($M7589="PADD V","PADD 5","")))))</f>
        <v>PADD 5</v>
      </c>
      <c r="G7589" s="6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6" t="s">
        <v>428</v>
      </c>
      <c r="I7589" s="6" t="s">
        <v>481</v>
      </c>
      <c r="J7589" s="6" t="s">
        <v>398</v>
      </c>
      <c r="K7589" s="10">
        <v>11.55</v>
      </c>
      <c r="L7589" s="10">
        <v>16.5</v>
      </c>
      <c r="M7589" s="6" t="s">
        <v>436</v>
      </c>
      <c r="N7589" s="6">
        <f>IF(OR($G7589="FCC",$G7589="Hydrocracker",$G7589="Reformer"),IF(COUNTIFS($D:$D,$D7589,$A:$A,$A7589,$B:$B,$B7589,$G:$G,"CDU",$J:$J,"PLANNED")&gt;0,"tied","standalone"),"")</f>
        <v/>
      </c>
    </row>
    <row r="7590" spans="1:14">
      <c r="A7590" s="6">
        <v>2026</v>
      </c>
      <c r="B7590" s="6">
        <v>4</v>
      </c>
      <c r="C7590" s="6" t="s">
        <v>63</v>
      </c>
      <c r="D7590" s="6" t="s">
        <v>576</v>
      </c>
      <c r="E7590" s="6" t="s">
        <v>455</v>
      </c>
      <c r="F7590" s="6" t="str">
        <f>IF($M7590="PADD I","PADD 1",IF($M7590="PADD II","PADD 2",IF($M7590="PADD III","PADD 3",IF($M7590="PADD IV","PADD 4",IF($M7590="PADD V","PADD 5","")))))</f>
        <v>PADD 3</v>
      </c>
      <c r="G7590" s="6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6" t="s">
        <v>471</v>
      </c>
      <c r="I7590" s="6" t="s">
        <v>978</v>
      </c>
      <c r="J7590" s="6" t="s">
        <v>394</v>
      </c>
      <c r="K7590" s="10">
        <v>11.5</v>
      </c>
      <c r="L7590" s="10">
        <v>50</v>
      </c>
      <c r="M7590" s="6" t="s">
        <v>421</v>
      </c>
      <c r="N7590" s="6" t="str">
        <f>IF(OR($G7590="FCC",$G7590="Hydrocracker",$G7590="Reformer"),IF(COUNTIFS($D:$D,$D7590,$A:$A,$A7590,$B:$B,$B7590,$G:$G,"CDU",$J:$J,"PLANNED")&gt;0,"tied","standalone"),"")</f>
        <v>standalone</v>
      </c>
    </row>
    <row r="7591" spans="1:14">
      <c r="A7591" s="6">
        <v>2026</v>
      </c>
      <c r="B7591" s="6">
        <v>4</v>
      </c>
      <c r="C7591" s="6" t="s">
        <v>63</v>
      </c>
      <c r="D7591" s="6" t="s">
        <v>576</v>
      </c>
      <c r="E7591" s="6" t="s">
        <v>455</v>
      </c>
      <c r="F7591" s="6" t="str">
        <f>IF($M7591="PADD I","PADD 1",IF($M7591="PADD II","PADD 2",IF($M7591="PADD III","PADD 3",IF($M7591="PADD IV","PADD 4",IF($M7591="PADD V","PADD 5","")))))</f>
        <v>PADD 3</v>
      </c>
      <c r="G7591" s="6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6" t="s">
        <v>485</v>
      </c>
      <c r="I7591" s="6" t="s">
        <v>736</v>
      </c>
      <c r="J7591" s="6" t="s">
        <v>394</v>
      </c>
      <c r="K7591" s="10">
        <v>11</v>
      </c>
      <c r="L7591" s="10">
        <v>55</v>
      </c>
      <c r="M7591" s="6" t="s">
        <v>421</v>
      </c>
      <c r="N7591" s="6">
        <f>IF(OR($G7591="FCC",$G7591="Hydrocracker",$G7591="Reformer"),IF(COUNTIFS($D:$D,$D7591,$A:$A,$A7591,$B:$B,$B7591,$G:$G,"CDU",$J:$J,"PLANNED")&gt;0,"tied","standalone"),"")</f>
        <v/>
      </c>
    </row>
    <row r="7592" spans="1:14">
      <c r="A7592" s="6">
        <v>2026</v>
      </c>
      <c r="B7592" s="6">
        <v>4</v>
      </c>
      <c r="C7592" s="6" t="s">
        <v>63</v>
      </c>
      <c r="D7592" s="6" t="s">
        <v>996</v>
      </c>
      <c r="E7592" s="6" t="s">
        <v>455</v>
      </c>
      <c r="F7592" s="6" t="str">
        <f>IF($M7592="PADD I","PADD 1",IF($M7592="PADD II","PADD 2",IF($M7592="PADD III","PADD 3",IF($M7592="PADD IV","PADD 4",IF($M7592="PADD V","PADD 5","")))))</f>
        <v>PADD 5</v>
      </c>
      <c r="G7592" s="6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6" t="s">
        <v>426</v>
      </c>
      <c r="I7592" s="6" t="s">
        <v>997</v>
      </c>
      <c r="J7592" s="6" t="s">
        <v>394</v>
      </c>
      <c r="K7592" s="10">
        <v>10.8</v>
      </c>
      <c r="L7592" s="10">
        <v>54</v>
      </c>
      <c r="M7592" s="6" t="s">
        <v>436</v>
      </c>
      <c r="N7592" s="6" t="str">
        <f>IF(OR($G7592="FCC",$G7592="Hydrocracker",$G7592="Reformer"),IF(COUNTIFS($D:$D,$D7592,$A:$A,$A7592,$B:$B,$B7592,$G:$G,"CDU",$J:$J,"PLANNED")&gt;0,"tied","standalone"),"")</f>
        <v>standalone</v>
      </c>
    </row>
    <row r="7593" spans="1:14">
      <c r="A7593" s="6">
        <v>2026</v>
      </c>
      <c r="B7593" s="6">
        <v>4</v>
      </c>
      <c r="C7593" s="6" t="s">
        <v>63</v>
      </c>
      <c r="D7593" s="6" t="s">
        <v>53</v>
      </c>
      <c r="E7593" s="6" t="s">
        <v>438</v>
      </c>
      <c r="F7593" s="6" t="str">
        <f>IF($M7593="PADD I","PADD 1",IF($M7593="PADD II","PADD 2",IF($M7593="PADD III","PADD 3",IF($M7593="PADD IV","PADD 4",IF($M7593="PADD V","PADD 5","")))))</f>
        <v>PADD 5</v>
      </c>
      <c r="G7593" s="6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6" t="s">
        <v>44</v>
      </c>
      <c r="I7593" s="6" t="s">
        <v>551</v>
      </c>
      <c r="J7593" s="6" t="s">
        <v>398</v>
      </c>
      <c r="K7593" s="10">
        <v>10.5</v>
      </c>
      <c r="L7593" s="10">
        <v>15</v>
      </c>
      <c r="M7593" s="6" t="s">
        <v>436</v>
      </c>
      <c r="N7593" s="6">
        <f>IF(OR($G7593="FCC",$G7593="Hydrocracker",$G7593="Reformer"),IF(COUNTIFS($D:$D,$D7593,$A:$A,$A7593,$B:$B,$B7593,$G:$G,"CDU",$J:$J,"PLANNED")&gt;0,"tied","standalone"),"")</f>
        <v/>
      </c>
    </row>
    <row r="7594" spans="1:14">
      <c r="A7594" s="6">
        <v>2026</v>
      </c>
      <c r="B7594" s="6">
        <v>4</v>
      </c>
      <c r="C7594" s="6" t="s">
        <v>63</v>
      </c>
      <c r="D7594" s="6" t="s">
        <v>576</v>
      </c>
      <c r="E7594" s="6" t="s">
        <v>455</v>
      </c>
      <c r="F7594" s="6" t="str">
        <f>IF($M7594="PADD I","PADD 1",IF($M7594="PADD II","PADD 2",IF($M7594="PADD III","PADD 3",IF($M7594="PADD IV","PADD 4",IF($M7594="PADD V","PADD 5","")))))</f>
        <v>PADD 3</v>
      </c>
      <c r="G7594" s="6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6" t="s">
        <v>39</v>
      </c>
      <c r="I7594" s="6" t="s">
        <v>691</v>
      </c>
      <c r="J7594" s="6" t="s">
        <v>394</v>
      </c>
      <c r="K7594" s="10">
        <v>10.5</v>
      </c>
      <c r="L7594" s="10">
        <v>150</v>
      </c>
      <c r="M7594" s="6" t="s">
        <v>421</v>
      </c>
      <c r="N7594" s="6">
        <f>IF(OR($G7594="FCC",$G7594="Hydrocracker",$G7594="Reformer"),IF(COUNTIFS($D:$D,$D7594,$A:$A,$A7594,$B:$B,$B7594,$G:$G,"CDU",$J:$J,"PLANNED")&gt;0,"tied","standalone"),"")</f>
        <v/>
      </c>
    </row>
    <row r="7595" spans="1:14">
      <c r="A7595" s="6">
        <v>2026</v>
      </c>
      <c r="B7595" s="6">
        <v>4</v>
      </c>
      <c r="C7595" s="6" t="s">
        <v>63</v>
      </c>
      <c r="D7595" s="6" t="s">
        <v>597</v>
      </c>
      <c r="E7595" s="6" t="s">
        <v>441</v>
      </c>
      <c r="F7595" s="6" t="str">
        <f>IF($M7595="PADD I","PADD 1",IF($M7595="PADD II","PADD 2",IF($M7595="PADD III","PADD 3",IF($M7595="PADD IV","PADD 4",IF($M7595="PADD V","PADD 5","")))))</f>
        <v>PADD 5</v>
      </c>
      <c r="G7595" s="6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6" t="s">
        <v>426</v>
      </c>
      <c r="I7595" s="6" t="s">
        <v>106</v>
      </c>
      <c r="J7595" s="6" t="s">
        <v>394</v>
      </c>
      <c r="K7595" s="10">
        <v>10.4</v>
      </c>
      <c r="L7595" s="10">
        <v>80</v>
      </c>
      <c r="M7595" s="6" t="s">
        <v>436</v>
      </c>
      <c r="N7595" s="6" t="str">
        <f>IF(OR($G7595="FCC",$G7595="Hydrocracker",$G7595="Reformer"),IF(COUNTIFS($D:$D,$D7595,$A:$A,$A7595,$B:$B,$B7595,$G:$G,"CDU",$J:$J,"PLANNED")&gt;0,"tied","standalone"),"")</f>
        <v>standalone</v>
      </c>
    </row>
    <row r="7596" spans="1:14">
      <c r="A7596" s="6">
        <v>2026</v>
      </c>
      <c r="B7596" s="6">
        <v>4</v>
      </c>
      <c r="C7596" s="6" t="s">
        <v>63</v>
      </c>
      <c r="D7596" s="6" t="s">
        <v>576</v>
      </c>
      <c r="E7596" s="6" t="s">
        <v>455</v>
      </c>
      <c r="F7596" s="6" t="str">
        <f>IF($M7596="PADD I","PADD 1",IF($M7596="PADD II","PADD 2",IF($M7596="PADD III","PADD 3",IF($M7596="PADD IV","PADD 4",IF($M7596="PADD V","PADD 5","")))))</f>
        <v>PADD 3</v>
      </c>
      <c r="G7596" s="6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6" t="s">
        <v>494</v>
      </c>
      <c r="I7596" s="6" t="s">
        <v>400</v>
      </c>
      <c r="J7596" s="6" t="s">
        <v>394</v>
      </c>
      <c r="K7596" s="10">
        <v>10.4</v>
      </c>
      <c r="L7596" s="10">
        <v>13</v>
      </c>
      <c r="M7596" s="6" t="s">
        <v>421</v>
      </c>
      <c r="N7596" s="6" t="str">
        <f>IF(OR($G7596="FCC",$G7596="Hydrocracker",$G7596="Reformer"),IF(COUNTIFS($D:$D,$D7596,$A:$A,$A7596,$B:$B,$B7596,$G:$G,"CDU",$J:$J,"PLANNED")&gt;0,"tied","standalone"),"")</f>
        <v>standalone</v>
      </c>
    </row>
    <row r="7597" spans="1:14">
      <c r="A7597" s="6">
        <v>2026</v>
      </c>
      <c r="B7597" s="6">
        <v>4</v>
      </c>
      <c r="C7597" s="6" t="s">
        <v>63</v>
      </c>
      <c r="D7597" s="6" t="s">
        <v>984</v>
      </c>
      <c r="E7597" s="6" t="s">
        <v>438</v>
      </c>
      <c r="F7597" s="6" t="str">
        <f>IF($M7597="PADD I","PADD 1",IF($M7597="PADD II","PADD 2",IF($M7597="PADD III","PADD 3",IF($M7597="PADD IV","PADD 4",IF($M7597="PADD V","PADD 5","")))))</f>
        <v>PADD 3</v>
      </c>
      <c r="G7597" s="6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6" t="s">
        <v>510</v>
      </c>
      <c r="I7597" s="6" t="s">
        <v>511</v>
      </c>
      <c r="J7597" s="6" t="s">
        <v>398</v>
      </c>
      <c r="K7597" s="10">
        <v>10</v>
      </c>
      <c r="L7597" s="10">
        <v>10</v>
      </c>
      <c r="M7597" s="6" t="s">
        <v>421</v>
      </c>
      <c r="N7597" s="6">
        <f>IF(OR($G7597="FCC",$G7597="Hydrocracker",$G7597="Reformer"),IF(COUNTIFS($D:$D,$D7597,$A:$A,$A7597,$B:$B,$B7597,$G:$G,"CDU",$J:$J,"PLANNED")&gt;0,"tied","standalone"),"")</f>
        <v/>
      </c>
    </row>
    <row r="7598" spans="1:14">
      <c r="A7598" s="6">
        <v>2026</v>
      </c>
      <c r="B7598" s="6">
        <v>4</v>
      </c>
      <c r="C7598" s="6" t="s">
        <v>63</v>
      </c>
      <c r="D7598" s="6" t="s">
        <v>772</v>
      </c>
      <c r="E7598" s="6" t="s">
        <v>502</v>
      </c>
      <c r="F7598" s="6" t="str">
        <f>IF($M7598="PADD I","PADD 1",IF($M7598="PADD II","PADD 2",IF($M7598="PADD III","PADD 3",IF($M7598="PADD IV","PADD 4",IF($M7598="PADD V","PADD 5","")))))</f>
        <v>PADD 4</v>
      </c>
      <c r="G7598" s="6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6" t="s">
        <v>44</v>
      </c>
      <c r="I7598" s="6" t="s">
        <v>1414</v>
      </c>
      <c r="J7598" s="6" t="s">
        <v>398</v>
      </c>
      <c r="K7598" s="10">
        <v>10</v>
      </c>
      <c r="L7598" s="10">
        <v>10</v>
      </c>
      <c r="M7598" s="6" t="s">
        <v>480</v>
      </c>
      <c r="N7598" s="6">
        <f>IF(OR($G7598="FCC",$G7598="Hydrocracker",$G7598="Reformer"),IF(COUNTIFS($D:$D,$D7598,$A:$A,$A7598,$B:$B,$B7598,$G:$G,"CDU",$J:$J,"PLANNED")&gt;0,"tied","standalone"),"")</f>
        <v/>
      </c>
    </row>
    <row r="7599" spans="1:14">
      <c r="A7599" s="6">
        <v>2026</v>
      </c>
      <c r="B7599" s="6">
        <v>4</v>
      </c>
      <c r="C7599" s="6" t="s">
        <v>63</v>
      </c>
      <c r="D7599" s="6" t="s">
        <v>592</v>
      </c>
      <c r="E7599" s="6" t="s">
        <v>593</v>
      </c>
      <c r="F7599" s="6" t="str">
        <f>IF($M7599="PADD I","PADD 1",IF($M7599="PADD II","PADD 2",IF($M7599="PADD III","PADD 3",IF($M7599="PADD IV","PADD 4",IF($M7599="PADD V","PADD 5","")))))</f>
        <v>PADD 2</v>
      </c>
      <c r="G7599" s="6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6" t="s">
        <v>485</v>
      </c>
      <c r="I7599" s="6" t="s">
        <v>491</v>
      </c>
      <c r="J7599" s="6" t="s">
        <v>394</v>
      </c>
      <c r="K7599" s="10">
        <v>10</v>
      </c>
      <c r="L7599" s="10">
        <v>20</v>
      </c>
      <c r="M7599" s="6" t="s">
        <v>425</v>
      </c>
      <c r="N7599" s="6">
        <f>IF(OR($G7599="FCC",$G7599="Hydrocracker",$G7599="Reformer"),IF(COUNTIFS($D:$D,$D7599,$A:$A,$A7599,$B:$B,$B7599,$G:$G,"CDU",$J:$J,"PLANNED")&gt;0,"tied","standalone"),"")</f>
        <v/>
      </c>
    </row>
    <row r="7600" spans="1:14">
      <c r="A7600" s="6">
        <v>2026</v>
      </c>
      <c r="B7600" s="6">
        <v>4</v>
      </c>
      <c r="C7600" s="6" t="s">
        <v>63</v>
      </c>
      <c r="D7600" s="6" t="s">
        <v>479</v>
      </c>
      <c r="E7600" s="6" t="s">
        <v>438</v>
      </c>
      <c r="F7600" s="6" t="str">
        <f>IF($M7600="PADD I","PADD 1",IF($M7600="PADD II","PADD 2",IF($M7600="PADD III","PADD 3",IF($M7600="PADD IV","PADD 4",IF($M7600="PADD V","PADD 5","")))))</f>
        <v>PADD 4</v>
      </c>
      <c r="G7600" s="6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6" t="s">
        <v>426</v>
      </c>
      <c r="I7600" s="6" t="s">
        <v>106</v>
      </c>
      <c r="J7600" s="6" t="s">
        <v>394</v>
      </c>
      <c r="K7600" s="10">
        <v>9.768000000000001</v>
      </c>
      <c r="L7600" s="10">
        <v>26.4</v>
      </c>
      <c r="M7600" s="6" t="s">
        <v>480</v>
      </c>
      <c r="N7600" s="6" t="str">
        <f>IF(OR($G7600="FCC",$G7600="Hydrocracker",$G7600="Reformer"),IF(COUNTIFS($D:$D,$D7600,$A:$A,$A7600,$B:$B,$B7600,$G:$G,"CDU",$J:$J,"PLANNED")&gt;0,"tied","standalone"),"")</f>
        <v>standalone</v>
      </c>
    </row>
    <row r="7601" spans="1:14">
      <c r="A7601" s="6">
        <v>2026</v>
      </c>
      <c r="B7601" s="6">
        <v>4</v>
      </c>
      <c r="C7601" s="6" t="s">
        <v>63</v>
      </c>
      <c r="D7601" s="6" t="s">
        <v>689</v>
      </c>
      <c r="E7601" s="6" t="s">
        <v>502</v>
      </c>
      <c r="F7601" s="6" t="str">
        <f>IF($M7601="PADD I","PADD 1",IF($M7601="PADD II","PADD 2",IF($M7601="PADD III","PADD 3",IF($M7601="PADD IV","PADD 4",IF($M7601="PADD V","PADD 5","")))))</f>
        <v>PADD 5</v>
      </c>
      <c r="G7601" s="6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6" t="s">
        <v>485</v>
      </c>
      <c r="I7601" s="6" t="s">
        <v>1146</v>
      </c>
      <c r="J7601" s="6" t="s">
        <v>394</v>
      </c>
      <c r="K7601" s="10">
        <v>9.361000000000001</v>
      </c>
      <c r="L7601" s="10">
        <v>25.3</v>
      </c>
      <c r="M7601" s="6" t="s">
        <v>436</v>
      </c>
      <c r="N7601" s="6">
        <f>IF(OR($G7601="FCC",$G7601="Hydrocracker",$G7601="Reformer"),IF(COUNTIFS($D:$D,$D7601,$A:$A,$A7601,$B:$B,$B7601,$G:$G,"CDU",$J:$J,"PLANNED")&gt;0,"tied","standalone"),"")</f>
        <v/>
      </c>
    </row>
    <row r="7602" spans="1:14">
      <c r="A7602" s="6">
        <v>2026</v>
      </c>
      <c r="B7602" s="6">
        <v>4</v>
      </c>
      <c r="C7602" s="6" t="s">
        <v>63</v>
      </c>
      <c r="D7602" s="6" t="s">
        <v>576</v>
      </c>
      <c r="E7602" s="6" t="s">
        <v>455</v>
      </c>
      <c r="F7602" s="6" t="str">
        <f>IF($M7602="PADD I","PADD 1",IF($M7602="PADD II","PADD 2",IF($M7602="PADD III","PADD 3",IF($M7602="PADD IV","PADD 4",IF($M7602="PADD V","PADD 5","")))))</f>
        <v>PADD 3</v>
      </c>
      <c r="G7602" s="6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6" t="s">
        <v>494</v>
      </c>
      <c r="I7602" s="6" t="s">
        <v>400</v>
      </c>
      <c r="J7602" s="6" t="s">
        <v>394</v>
      </c>
      <c r="K7602" s="10">
        <v>9</v>
      </c>
      <c r="L7602" s="10">
        <v>45</v>
      </c>
      <c r="M7602" s="6" t="s">
        <v>421</v>
      </c>
      <c r="N7602" s="6" t="str">
        <f>IF(OR($G7602="FCC",$G7602="Hydrocracker",$G7602="Reformer"),IF(COUNTIFS($D:$D,$D7602,$A:$A,$A7602,$B:$B,$B7602,$G:$G,"CDU",$J:$J,"PLANNED")&gt;0,"tied","standalone"),"")</f>
        <v>standalone</v>
      </c>
    </row>
    <row r="7603" spans="1:14">
      <c r="A7603" s="6">
        <v>2026</v>
      </c>
      <c r="B7603" s="6">
        <v>4</v>
      </c>
      <c r="C7603" s="6" t="s">
        <v>63</v>
      </c>
      <c r="D7603" s="6" t="s">
        <v>370</v>
      </c>
      <c r="E7603" s="6" t="s">
        <v>431</v>
      </c>
      <c r="F7603" s="6" t="str">
        <f>IF($M7603="PADD I","PADD 1",IF($M7603="PADD II","PADD 2",IF($M7603="PADD III","PADD 3",IF($M7603="PADD IV","PADD 4",IF($M7603="PADD V","PADD 5","")))))</f>
        <v>PADD 2</v>
      </c>
      <c r="G7603" s="6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6" t="s">
        <v>39</v>
      </c>
      <c r="I7603" s="6" t="s">
        <v>82</v>
      </c>
      <c r="J7603" s="6" t="s">
        <v>394</v>
      </c>
      <c r="K7603" s="10">
        <v>9</v>
      </c>
      <c r="L7603" s="10">
        <v>45</v>
      </c>
      <c r="M7603" s="6" t="s">
        <v>425</v>
      </c>
      <c r="N7603" s="6">
        <f>IF(OR($G7603="FCC",$G7603="Hydrocracker",$G7603="Reformer"),IF(COUNTIFS($D:$D,$D7603,$A:$A,$A7603,$B:$B,$B7603,$G:$G,"CDU",$J:$J,"PLANNED")&gt;0,"tied","standalone"),"")</f>
        <v/>
      </c>
    </row>
    <row r="7604" spans="1:14">
      <c r="A7604" s="6">
        <v>2026</v>
      </c>
      <c r="B7604" s="6">
        <v>4</v>
      </c>
      <c r="C7604" s="6" t="s">
        <v>63</v>
      </c>
      <c r="D7604" s="6" t="s">
        <v>512</v>
      </c>
      <c r="E7604" s="6" t="s">
        <v>488</v>
      </c>
      <c r="F7604" s="6" t="str">
        <f>IF($M7604="PADD I","PADD 1",IF($M7604="PADD II","PADD 2",IF($M7604="PADD III","PADD 3",IF($M7604="PADD IV","PADD 4",IF($M7604="PADD V","PADD 5","")))))</f>
        <v>PADD 4</v>
      </c>
      <c r="G7604" s="6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6" t="s">
        <v>44</v>
      </c>
      <c r="I7604" s="6" t="s">
        <v>520</v>
      </c>
      <c r="J7604" s="6" t="s">
        <v>398</v>
      </c>
      <c r="K7604" s="10">
        <v>9</v>
      </c>
      <c r="L7604" s="10">
        <v>30</v>
      </c>
      <c r="M7604" s="6" t="s">
        <v>480</v>
      </c>
      <c r="N7604" s="6">
        <f>IF(OR($G7604="FCC",$G7604="Hydrocracker",$G7604="Reformer"),IF(COUNTIFS($D:$D,$D7604,$A:$A,$A7604,$B:$B,$B7604,$G:$G,"CDU",$J:$J,"PLANNED")&gt;0,"tied","standalone"),"")</f>
        <v/>
      </c>
    </row>
    <row r="7605" spans="1:14">
      <c r="A7605" s="6">
        <v>2026</v>
      </c>
      <c r="B7605" s="6">
        <v>4</v>
      </c>
      <c r="C7605" s="6" t="s">
        <v>63</v>
      </c>
      <c r="D7605" s="6" t="s">
        <v>487</v>
      </c>
      <c r="E7605" s="6" t="s">
        <v>488</v>
      </c>
      <c r="F7605" s="6" t="str">
        <f>IF($M7605="PADD I","PADD 1",IF($M7605="PADD II","PADD 2",IF($M7605="PADD III","PADD 3",IF($M7605="PADD IV","PADD 4",IF($M7605="PADD V","PADD 5","")))))</f>
        <v>PADD 4</v>
      </c>
      <c r="G7605" s="6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6" t="s">
        <v>39</v>
      </c>
      <c r="I7605" s="6" t="s">
        <v>489</v>
      </c>
      <c r="J7605" s="6" t="s">
        <v>398</v>
      </c>
      <c r="K7605" s="10">
        <v>8.970000000000001</v>
      </c>
      <c r="L7605" s="10">
        <v>39</v>
      </c>
      <c r="M7605" s="6" t="s">
        <v>480</v>
      </c>
      <c r="N7605" s="6">
        <f>IF(OR($G7605="FCC",$G7605="Hydrocracker",$G7605="Reformer"),IF(COUNTIFS($D:$D,$D7605,$A:$A,$A7605,$B:$B,$B7605,$G:$G,"CDU",$J:$J,"PLANNED")&gt;0,"tied","standalone"),"")</f>
        <v/>
      </c>
    </row>
    <row r="7606" spans="1:14">
      <c r="A7606" s="6">
        <v>2026</v>
      </c>
      <c r="B7606" s="6">
        <v>4</v>
      </c>
      <c r="C7606" s="6" t="s">
        <v>63</v>
      </c>
      <c r="D7606" s="6" t="s">
        <v>772</v>
      </c>
      <c r="E7606" s="6" t="s">
        <v>502</v>
      </c>
      <c r="F7606" s="6" t="str">
        <f>IF($M7606="PADD I","PADD 1",IF($M7606="PADD II","PADD 2",IF($M7606="PADD III","PADD 3",IF($M7606="PADD IV","PADD 4",IF($M7606="PADD V","PADD 5","")))))</f>
        <v>PADD 4</v>
      </c>
      <c r="G7606" s="6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6" t="s">
        <v>426</v>
      </c>
      <c r="I7606" s="6" t="s">
        <v>1156</v>
      </c>
      <c r="J7606" s="6" t="s">
        <v>398</v>
      </c>
      <c r="K7606" s="10">
        <v>8.9</v>
      </c>
      <c r="L7606" s="10">
        <v>8.9</v>
      </c>
      <c r="M7606" s="6" t="s">
        <v>480</v>
      </c>
      <c r="N7606" s="6" t="str">
        <f>IF(OR($G7606="FCC",$G7606="Hydrocracker",$G7606="Reformer"),IF(COUNTIFS($D:$D,$D7606,$A:$A,$A7606,$B:$B,$B7606,$G:$G,"CDU",$J:$J,"PLANNED")&gt;0,"tied","standalone"),"")</f>
        <v>standalone</v>
      </c>
    </row>
    <row r="7607" spans="1:14">
      <c r="A7607" s="6">
        <v>2026</v>
      </c>
      <c r="B7607" s="6">
        <v>4</v>
      </c>
      <c r="C7607" s="6" t="s">
        <v>63</v>
      </c>
      <c r="D7607" s="6" t="s">
        <v>496</v>
      </c>
      <c r="E7607" s="6" t="s">
        <v>441</v>
      </c>
      <c r="F7607" s="6" t="str">
        <f>IF($M7607="PADD I","PADD 1",IF($M7607="PADD II","PADD 2",IF($M7607="PADD III","PADD 3",IF($M7607="PADD IV","PADD 4",IF($M7607="PADD V","PADD 5","")))))</f>
        <v>PADD 3</v>
      </c>
      <c r="G7607" s="6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6" t="s">
        <v>471</v>
      </c>
      <c r="I7607" s="6" t="s">
        <v>533</v>
      </c>
      <c r="J7607" s="6" t="s">
        <v>394</v>
      </c>
      <c r="K7607" s="10">
        <v>8.880000000000001</v>
      </c>
      <c r="L7607" s="10">
        <v>24</v>
      </c>
      <c r="M7607" s="6" t="s">
        <v>421</v>
      </c>
      <c r="N7607" s="6" t="str">
        <f>IF(OR($G7607="FCC",$G7607="Hydrocracker",$G7607="Reformer"),IF(COUNTIFS($D:$D,$D7607,$A:$A,$A7607,$B:$B,$B7607,$G:$G,"CDU",$J:$J,"PLANNED")&gt;0,"tied","standalone"),"")</f>
        <v>standalone</v>
      </c>
    </row>
    <row r="7608" spans="1:14">
      <c r="A7608" s="6">
        <v>2026</v>
      </c>
      <c r="B7608" s="6">
        <v>4</v>
      </c>
      <c r="C7608" s="6" t="s">
        <v>63</v>
      </c>
      <c r="D7608" s="6" t="s">
        <v>53</v>
      </c>
      <c r="E7608" s="6" t="s">
        <v>438</v>
      </c>
      <c r="F7608" s="6" t="str">
        <f>IF($M7608="PADD I","PADD 1",IF($M7608="PADD II","PADD 2",IF($M7608="PADD III","PADD 3",IF($M7608="PADD IV","PADD 4",IF($M7608="PADD V","PADD 5","")))))</f>
        <v>PADD 5</v>
      </c>
      <c r="G7608" s="6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6" t="s">
        <v>494</v>
      </c>
      <c r="I7608" s="6" t="s">
        <v>14</v>
      </c>
      <c r="J7608" s="6" t="s">
        <v>398</v>
      </c>
      <c r="K7608" s="10">
        <v>8.75</v>
      </c>
      <c r="L7608" s="10">
        <v>12.5</v>
      </c>
      <c r="M7608" s="6" t="s">
        <v>436</v>
      </c>
      <c r="N7608" s="6" t="str">
        <f>IF(OR($G7608="FCC",$G7608="Hydrocracker",$G7608="Reformer"),IF(COUNTIFS($D:$D,$D7608,$A:$A,$A7608,$B:$B,$B7608,$G:$G,"CDU",$J:$J,"PLANNED")&gt;0,"tied","standalone"),"")</f>
        <v>tied</v>
      </c>
    </row>
    <row r="7609" spans="1:14">
      <c r="A7609" s="6">
        <v>2026</v>
      </c>
      <c r="B7609" s="6">
        <v>4</v>
      </c>
      <c r="C7609" s="6" t="s">
        <v>63</v>
      </c>
      <c r="D7609" s="6" t="s">
        <v>479</v>
      </c>
      <c r="E7609" s="6" t="s">
        <v>438</v>
      </c>
      <c r="F7609" s="6" t="str">
        <f>IF($M7609="PADD I","PADD 1",IF($M7609="PADD II","PADD 2",IF($M7609="PADD III","PADD 3",IF($M7609="PADD IV","PADD 4",IF($M7609="PADD V","PADD 5","")))))</f>
        <v>PADD 4</v>
      </c>
      <c r="G7609" s="6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6" t="s">
        <v>426</v>
      </c>
      <c r="I7609" s="6" t="s">
        <v>106</v>
      </c>
      <c r="J7609" s="6" t="s">
        <v>394</v>
      </c>
      <c r="K7609" s="10">
        <v>8.712</v>
      </c>
      <c r="L7609" s="10">
        <v>26.4</v>
      </c>
      <c r="M7609" s="6" t="s">
        <v>480</v>
      </c>
      <c r="N7609" s="6" t="str">
        <f>IF(OR($G7609="FCC",$G7609="Hydrocracker",$G7609="Reformer"),IF(COUNTIFS($D:$D,$D7609,$A:$A,$A7609,$B:$B,$B7609,$G:$G,"CDU",$J:$J,"PLANNED")&gt;0,"tied","standalone"),"")</f>
        <v>standalone</v>
      </c>
    </row>
    <row r="7610" spans="1:14">
      <c r="A7610" s="6">
        <v>2026</v>
      </c>
      <c r="B7610" s="6">
        <v>4</v>
      </c>
      <c r="C7610" s="6" t="s">
        <v>63</v>
      </c>
      <c r="D7610" s="6" t="s">
        <v>576</v>
      </c>
      <c r="E7610" s="6" t="s">
        <v>455</v>
      </c>
      <c r="F7610" s="6" t="str">
        <f>IF($M7610="PADD I","PADD 1",IF($M7610="PADD II","PADD 2",IF($M7610="PADD III","PADD 3",IF($M7610="PADD IV","PADD 4",IF($M7610="PADD V","PADD 5","")))))</f>
        <v>PADD 3</v>
      </c>
      <c r="G7610" s="6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6" t="s">
        <v>44</v>
      </c>
      <c r="I7610" s="6" t="s">
        <v>1139</v>
      </c>
      <c r="J7610" s="6" t="s">
        <v>394</v>
      </c>
      <c r="K7610" s="10">
        <v>8.6</v>
      </c>
      <c r="L7610" s="10">
        <v>43</v>
      </c>
      <c r="M7610" s="6" t="s">
        <v>421</v>
      </c>
      <c r="N7610" s="6">
        <f>IF(OR($G7610="FCC",$G7610="Hydrocracker",$G7610="Reformer"),IF(COUNTIFS($D:$D,$D7610,$A:$A,$A7610,$B:$B,$B7610,$G:$G,"CDU",$J:$J,"PLANNED")&gt;0,"tied","standalone"),"")</f>
        <v/>
      </c>
    </row>
    <row r="7611" spans="1:14">
      <c r="A7611" s="6">
        <v>2026</v>
      </c>
      <c r="B7611" s="6">
        <v>4</v>
      </c>
      <c r="C7611" s="6" t="s">
        <v>63</v>
      </c>
      <c r="D7611" s="6" t="s">
        <v>576</v>
      </c>
      <c r="E7611" s="6" t="s">
        <v>455</v>
      </c>
      <c r="F7611" s="6" t="str">
        <f>IF($M7611="PADD I","PADD 1",IF($M7611="PADD II","PADD 2",IF($M7611="PADD III","PADD 3",IF($M7611="PADD IV","PADD 4",IF($M7611="PADD V","PADD 5","")))))</f>
        <v>PADD 3</v>
      </c>
      <c r="G7611" s="6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6" t="s">
        <v>494</v>
      </c>
      <c r="I7611" s="6" t="s">
        <v>577</v>
      </c>
      <c r="J7611" s="6" t="s">
        <v>394</v>
      </c>
      <c r="K7611" s="10">
        <v>8.5</v>
      </c>
      <c r="L7611" s="10">
        <v>17</v>
      </c>
      <c r="M7611" s="6" t="s">
        <v>421</v>
      </c>
      <c r="N7611" s="6" t="str">
        <f>IF(OR($G7611="FCC",$G7611="Hydrocracker",$G7611="Reformer"),IF(COUNTIFS($D:$D,$D7611,$A:$A,$A7611,$B:$B,$B7611,$G:$G,"CDU",$J:$J,"PLANNED")&gt;0,"tied","standalone"),"")</f>
        <v>standalone</v>
      </c>
    </row>
    <row r="7612" spans="1:14">
      <c r="A7612" s="6">
        <v>2026</v>
      </c>
      <c r="B7612" s="6">
        <v>4</v>
      </c>
      <c r="C7612" s="6" t="s">
        <v>63</v>
      </c>
      <c r="D7612" s="6" t="s">
        <v>53</v>
      </c>
      <c r="E7612" s="6" t="s">
        <v>438</v>
      </c>
      <c r="F7612" s="6" t="str">
        <f>IF($M7612="PADD I","PADD 1",IF($M7612="PADD II","PADD 2",IF($M7612="PADD III","PADD 3",IF($M7612="PADD IV","PADD 4",IF($M7612="PADD V","PADD 5","")))))</f>
        <v>PADD 5</v>
      </c>
      <c r="G7612" s="6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6" t="s">
        <v>471</v>
      </c>
      <c r="I7612" s="6" t="s">
        <v>775</v>
      </c>
      <c r="J7612" s="6" t="s">
        <v>398</v>
      </c>
      <c r="K7612" s="10">
        <v>8.4</v>
      </c>
      <c r="L7612" s="10">
        <v>12</v>
      </c>
      <c r="M7612" s="6" t="s">
        <v>436</v>
      </c>
      <c r="N7612" s="6" t="str">
        <f>IF(OR($G7612="FCC",$G7612="Hydrocracker",$G7612="Reformer"),IF(COUNTIFS($D:$D,$D7612,$A:$A,$A7612,$B:$B,$B7612,$G:$G,"CDU",$J:$J,"PLANNED")&gt;0,"tied","standalone"),"")</f>
        <v>tied</v>
      </c>
    </row>
    <row r="7613" spans="1:14">
      <c r="A7613" s="6">
        <v>2026</v>
      </c>
      <c r="B7613" s="6">
        <v>4</v>
      </c>
      <c r="C7613" s="6" t="s">
        <v>63</v>
      </c>
      <c r="D7613" s="6" t="s">
        <v>928</v>
      </c>
      <c r="E7613" s="6" t="s">
        <v>502</v>
      </c>
      <c r="F7613" s="6" t="str">
        <f>IF($M7613="PADD I","PADD 1",IF($M7613="PADD II","PADD 2",IF($M7613="PADD III","PADD 3",IF($M7613="PADD IV","PADD 4",IF($M7613="PADD V","PADD 5","")))))</f>
        <v>PADD 2</v>
      </c>
      <c r="G7613" s="6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6" t="s">
        <v>485</v>
      </c>
      <c r="I7613" s="6" t="s">
        <v>491</v>
      </c>
      <c r="J7613" s="6" t="s">
        <v>394</v>
      </c>
      <c r="K7613" s="10">
        <v>8.244999999999999</v>
      </c>
      <c r="L7613" s="10">
        <v>8.5</v>
      </c>
      <c r="M7613" s="6" t="s">
        <v>425</v>
      </c>
      <c r="N7613" s="6">
        <f>IF(OR($G7613="FCC",$G7613="Hydrocracker",$G7613="Reformer"),IF(COUNTIFS($D:$D,$D7613,$A:$A,$A7613,$B:$B,$B7613,$G:$G,"CDU",$J:$J,"PLANNED")&gt;0,"tied","standalone"),"")</f>
        <v/>
      </c>
    </row>
    <row r="7614" spans="1:14">
      <c r="A7614" s="6">
        <v>2026</v>
      </c>
      <c r="B7614" s="6">
        <v>4</v>
      </c>
      <c r="C7614" s="6" t="s">
        <v>63</v>
      </c>
      <c r="D7614" s="6" t="s">
        <v>930</v>
      </c>
      <c r="E7614" s="6" t="s">
        <v>931</v>
      </c>
      <c r="F7614" s="6" t="str">
        <f>IF($M7614="PADD I","PADD 1",IF($M7614="PADD II","PADD 2",IF($M7614="PADD III","PADD 3",IF($M7614="PADD IV","PADD 4",IF($M7614="PADD V","PADD 5","")))))</f>
        <v>PADD 3</v>
      </c>
      <c r="G7614" s="6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6" t="s">
        <v>39</v>
      </c>
      <c r="I7614" s="6" t="s">
        <v>132</v>
      </c>
      <c r="J7614" s="6" t="s">
        <v>398</v>
      </c>
      <c r="K7614" s="10">
        <v>8.1</v>
      </c>
      <c r="L7614" s="10">
        <v>13.5</v>
      </c>
      <c r="M7614" s="6" t="s">
        <v>421</v>
      </c>
      <c r="N7614" s="6">
        <f>IF(OR($G7614="FCC",$G7614="Hydrocracker",$G7614="Reformer"),IF(COUNTIFS($D:$D,$D7614,$A:$A,$A7614,$B:$B,$B7614,$G:$G,"CDU",$J:$J,"PLANNED")&gt;0,"tied","standalone"),"")</f>
        <v/>
      </c>
    </row>
    <row r="7615" spans="1:14">
      <c r="A7615" s="6">
        <v>2026</v>
      </c>
      <c r="B7615" s="6">
        <v>4</v>
      </c>
      <c r="C7615" s="6" t="s">
        <v>63</v>
      </c>
      <c r="D7615" s="6" t="s">
        <v>53</v>
      </c>
      <c r="E7615" s="6" t="s">
        <v>438</v>
      </c>
      <c r="F7615" s="6" t="str">
        <f>IF($M7615="PADD I","PADD 1",IF($M7615="PADD II","PADD 2",IF($M7615="PADD III","PADD 3",IF($M7615="PADD IV","PADD 4",IF($M7615="PADD V","PADD 5","")))))</f>
        <v>PADD 5</v>
      </c>
      <c r="G7615" s="6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6" t="s">
        <v>44</v>
      </c>
      <c r="I7615" s="6" t="s">
        <v>837</v>
      </c>
      <c r="J7615" s="6" t="s">
        <v>398</v>
      </c>
      <c r="K7615" s="10">
        <v>8.050000000000001</v>
      </c>
      <c r="L7615" s="10">
        <v>11.5</v>
      </c>
      <c r="M7615" s="6" t="s">
        <v>436</v>
      </c>
      <c r="N7615" s="6">
        <f>IF(OR($G7615="FCC",$G7615="Hydrocracker",$G7615="Reformer"),IF(COUNTIFS($D:$D,$D7615,$A:$A,$A7615,$B:$B,$B7615,$G:$G,"CDU",$J:$J,"PLANNED")&gt;0,"tied","standalone"),"")</f>
        <v/>
      </c>
    </row>
    <row r="7616" spans="1:14">
      <c r="A7616" s="6">
        <v>2026</v>
      </c>
      <c r="B7616" s="6">
        <v>4</v>
      </c>
      <c r="C7616" s="6" t="s">
        <v>63</v>
      </c>
      <c r="D7616" s="6" t="s">
        <v>772</v>
      </c>
      <c r="E7616" s="6" t="s">
        <v>502</v>
      </c>
      <c r="F7616" s="6" t="str">
        <f>IF($M7616="PADD I","PADD 1",IF($M7616="PADD II","PADD 2",IF($M7616="PADD III","PADD 3",IF($M7616="PADD IV","PADD 4",IF($M7616="PADD V","PADD 5","")))))</f>
        <v>PADD 4</v>
      </c>
      <c r="G7616" s="6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6" t="s">
        <v>471</v>
      </c>
      <c r="I7616" s="6" t="s">
        <v>1157</v>
      </c>
      <c r="J7616" s="6" t="s">
        <v>398</v>
      </c>
      <c r="K7616" s="10">
        <v>8</v>
      </c>
      <c r="L7616" s="10">
        <v>8</v>
      </c>
      <c r="M7616" s="6" t="s">
        <v>480</v>
      </c>
      <c r="N7616" s="6" t="str">
        <f>IF(OR($G7616="FCC",$G7616="Hydrocracker",$G7616="Reformer"),IF(COUNTIFS($D:$D,$D7616,$A:$A,$A7616,$B:$B,$B7616,$G:$G,"CDU",$J:$J,"PLANNED")&gt;0,"tied","standalone"),"")</f>
        <v>standalone</v>
      </c>
    </row>
    <row r="7617" spans="1:14">
      <c r="A7617" s="6">
        <v>2026</v>
      </c>
      <c r="B7617" s="6">
        <v>4</v>
      </c>
      <c r="C7617" s="6" t="s">
        <v>63</v>
      </c>
      <c r="D7617" s="6" t="s">
        <v>55</v>
      </c>
      <c r="E7617" s="6" t="s">
        <v>906</v>
      </c>
      <c r="F7617" s="6" t="str">
        <f>IF($M7617="PADD I","PADD 1",IF($M7617="PADD II","PADD 2",IF($M7617="PADD III","PADD 3",IF($M7617="PADD IV","PADD 4",IF($M7617="PADD V","PADD 5","")))))</f>
        <v>PADD 5</v>
      </c>
      <c r="G7617" s="6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6" t="s">
        <v>39</v>
      </c>
      <c r="I7617" s="6" t="s">
        <v>907</v>
      </c>
      <c r="J7617" s="6" t="s">
        <v>398</v>
      </c>
      <c r="K7617" s="10">
        <v>7.8</v>
      </c>
      <c r="L7617" s="10">
        <v>60</v>
      </c>
      <c r="M7617" s="6" t="s">
        <v>436</v>
      </c>
      <c r="N7617" s="6">
        <f>IF(OR($G7617="FCC",$G7617="Hydrocracker",$G7617="Reformer"),IF(COUNTIFS($D:$D,$D7617,$A:$A,$A7617,$B:$B,$B7617,$G:$G,"CDU",$J:$J,"PLANNED")&gt;0,"tied","standalone"),"")</f>
        <v/>
      </c>
    </row>
    <row r="7618" spans="1:14">
      <c r="A7618" s="6">
        <v>2026</v>
      </c>
      <c r="B7618" s="6">
        <v>4</v>
      </c>
      <c r="C7618" s="6" t="s">
        <v>63</v>
      </c>
      <c r="D7618" s="6" t="s">
        <v>576</v>
      </c>
      <c r="E7618" s="6" t="s">
        <v>455</v>
      </c>
      <c r="F7618" s="6" t="str">
        <f>IF($M7618="PADD I","PADD 1",IF($M7618="PADD II","PADD 2",IF($M7618="PADD III","PADD 3",IF($M7618="PADD IV","PADD 4",IF($M7618="PADD V","PADD 5","")))))</f>
        <v>PADD 3</v>
      </c>
      <c r="G7618" s="6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6" t="s">
        <v>44</v>
      </c>
      <c r="I7618" s="6" t="s">
        <v>1272</v>
      </c>
      <c r="J7618" s="6" t="s">
        <v>394</v>
      </c>
      <c r="K7618" s="10">
        <v>7.65</v>
      </c>
      <c r="L7618" s="10">
        <v>45</v>
      </c>
      <c r="M7618" s="6" t="s">
        <v>421</v>
      </c>
      <c r="N7618" s="6">
        <f>IF(OR($G7618="FCC",$G7618="Hydrocracker",$G7618="Reformer"),IF(COUNTIFS($D:$D,$D7618,$A:$A,$A7618,$B:$B,$B7618,$G:$G,"CDU",$J:$J,"PLANNED")&gt;0,"tied","standalone"),"")</f>
        <v/>
      </c>
    </row>
    <row r="7619" spans="1:14">
      <c r="A7619" s="6">
        <v>2026</v>
      </c>
      <c r="B7619" s="6">
        <v>4</v>
      </c>
      <c r="C7619" s="6" t="s">
        <v>63</v>
      </c>
      <c r="D7619" s="6" t="s">
        <v>496</v>
      </c>
      <c r="E7619" s="6" t="s">
        <v>441</v>
      </c>
      <c r="F7619" s="6" t="str">
        <f>IF($M7619="PADD I","PADD 1",IF($M7619="PADD II","PADD 2",IF($M7619="PADD III","PADD 3",IF($M7619="PADD IV","PADD 4",IF($M7619="PADD V","PADD 5","")))))</f>
        <v>PADD 3</v>
      </c>
      <c r="G7619" s="6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6" t="s">
        <v>428</v>
      </c>
      <c r="I7619" s="6" t="s">
        <v>1091</v>
      </c>
      <c r="J7619" s="6" t="s">
        <v>394</v>
      </c>
      <c r="K7619" s="10">
        <v>7.6</v>
      </c>
      <c r="L7619" s="10">
        <v>38</v>
      </c>
      <c r="M7619" s="6" t="s">
        <v>421</v>
      </c>
      <c r="N7619" s="6">
        <f>IF(OR($G7619="FCC",$G7619="Hydrocracker",$G7619="Reformer"),IF(COUNTIFS($D:$D,$D7619,$A:$A,$A7619,$B:$B,$B7619,$G:$G,"CDU",$J:$J,"PLANNED")&gt;0,"tied","standalone"),"")</f>
        <v/>
      </c>
    </row>
    <row r="7620" spans="1:14">
      <c r="A7620" s="6">
        <v>2026</v>
      </c>
      <c r="B7620" s="6">
        <v>4</v>
      </c>
      <c r="C7620" s="6" t="s">
        <v>63</v>
      </c>
      <c r="D7620" s="6" t="s">
        <v>592</v>
      </c>
      <c r="E7620" s="6" t="s">
        <v>593</v>
      </c>
      <c r="F7620" s="6" t="str">
        <f>IF($M7620="PADD I","PADD 1",IF($M7620="PADD II","PADD 2",IF($M7620="PADD III","PADD 3",IF($M7620="PADD IV","PADD 4",IF($M7620="PADD V","PADD 5","")))))</f>
        <v>PADD 2</v>
      </c>
      <c r="G7620" s="6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6" t="s">
        <v>39</v>
      </c>
      <c r="I7620" s="6" t="s">
        <v>924</v>
      </c>
      <c r="J7620" s="6" t="s">
        <v>394</v>
      </c>
      <c r="K7620" s="10">
        <v>7.5</v>
      </c>
      <c r="L7620" s="10">
        <v>250</v>
      </c>
      <c r="M7620" s="6" t="s">
        <v>425</v>
      </c>
      <c r="N7620" s="6">
        <f>IF(OR($G7620="FCC",$G7620="Hydrocracker",$G7620="Reformer"),IF(COUNTIFS($D:$D,$D7620,$A:$A,$A7620,$B:$B,$B7620,$G:$G,"CDU",$J:$J,"PLANNED")&gt;0,"tied","standalone"),"")</f>
        <v/>
      </c>
    </row>
    <row r="7621" spans="1:14">
      <c r="A7621" s="6">
        <v>2026</v>
      </c>
      <c r="B7621" s="6">
        <v>4</v>
      </c>
      <c r="C7621" s="6" t="s">
        <v>63</v>
      </c>
      <c r="D7621" s="6" t="s">
        <v>1093</v>
      </c>
      <c r="E7621" s="6" t="s">
        <v>438</v>
      </c>
      <c r="F7621" s="6" t="str">
        <f>IF($M7621="PADD I","PADD 1",IF($M7621="PADD II","PADD 2",IF($M7621="PADD III","PADD 3",IF($M7621="PADD IV","PADD 4",IF($M7621="PADD V","PADD 5","")))))</f>
        <v>PADD 2</v>
      </c>
      <c r="G7621" s="6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6" t="s">
        <v>44</v>
      </c>
      <c r="I7621" s="6" t="s">
        <v>1102</v>
      </c>
      <c r="J7621" s="6" t="s">
        <v>394</v>
      </c>
      <c r="K7621" s="10">
        <v>7.14</v>
      </c>
      <c r="L7621" s="10">
        <v>23.8</v>
      </c>
      <c r="M7621" s="6" t="s">
        <v>425</v>
      </c>
      <c r="N7621" s="6">
        <f>IF(OR($G7621="FCC",$G7621="Hydrocracker",$G7621="Reformer"),IF(COUNTIFS($D:$D,$D7621,$A:$A,$A7621,$B:$B,$B7621,$G:$G,"CDU",$J:$J,"PLANNED")&gt;0,"tied","standalone"),"")</f>
        <v/>
      </c>
    </row>
    <row r="7622" spans="1:14">
      <c r="A7622" s="6">
        <v>2026</v>
      </c>
      <c r="B7622" s="6">
        <v>4</v>
      </c>
      <c r="C7622" s="6" t="s">
        <v>63</v>
      </c>
      <c r="D7622" s="6" t="s">
        <v>479</v>
      </c>
      <c r="E7622" s="6" t="s">
        <v>438</v>
      </c>
      <c r="F7622" s="6" t="str">
        <f>IF($M7622="PADD I","PADD 1",IF($M7622="PADD II","PADD 2",IF($M7622="PADD III","PADD 3",IF($M7622="PADD IV","PADD 4",IF($M7622="PADD V","PADD 5","")))))</f>
        <v>PADD 4</v>
      </c>
      <c r="G7622" s="6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6" t="s">
        <v>426</v>
      </c>
      <c r="I7622" s="6" t="s">
        <v>106</v>
      </c>
      <c r="J7622" s="6" t="s">
        <v>394</v>
      </c>
      <c r="K7622" s="10">
        <v>7.128</v>
      </c>
      <c r="L7622" s="10">
        <v>26.4</v>
      </c>
      <c r="M7622" s="6" t="s">
        <v>480</v>
      </c>
      <c r="N7622" s="6" t="str">
        <f>IF(OR($G7622="FCC",$G7622="Hydrocracker",$G7622="Reformer"),IF(COUNTIFS($D:$D,$D7622,$A:$A,$A7622,$B:$B,$B7622,$G:$G,"CDU",$J:$J,"PLANNED")&gt;0,"tied","standalone"),"")</f>
        <v>standalone</v>
      </c>
    </row>
    <row r="7623" spans="1:14">
      <c r="A7623" s="6">
        <v>2026</v>
      </c>
      <c r="B7623" s="6">
        <v>4</v>
      </c>
      <c r="C7623" s="6" t="s">
        <v>63</v>
      </c>
      <c r="D7623" s="6" t="s">
        <v>1093</v>
      </c>
      <c r="E7623" s="6" t="s">
        <v>438</v>
      </c>
      <c r="F7623" s="6" t="str">
        <f>IF($M7623="PADD I","PADD 1",IF($M7623="PADD II","PADD 2",IF($M7623="PADD III","PADD 3",IF($M7623="PADD IV","PADD 4",IF($M7623="PADD V","PADD 5","")))))</f>
        <v>PADD 2</v>
      </c>
      <c r="G7623" s="6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6" t="s">
        <v>44</v>
      </c>
      <c r="I7623" s="6" t="s">
        <v>1106</v>
      </c>
      <c r="J7623" s="6" t="s">
        <v>398</v>
      </c>
      <c r="K7623" s="10">
        <v>7.05</v>
      </c>
      <c r="L7623" s="10">
        <v>15</v>
      </c>
      <c r="M7623" s="6" t="s">
        <v>425</v>
      </c>
      <c r="N7623" s="6">
        <f>IF(OR($G7623="FCC",$G7623="Hydrocracker",$G7623="Reformer"),IF(COUNTIFS($D:$D,$D7623,$A:$A,$A7623,$B:$B,$B7623,$G:$G,"CDU",$J:$J,"PLANNED")&gt;0,"tied","standalone"),"")</f>
        <v/>
      </c>
    </row>
    <row r="7624" spans="1:14">
      <c r="A7624" s="6">
        <v>2026</v>
      </c>
      <c r="B7624" s="6">
        <v>4</v>
      </c>
      <c r="C7624" s="6" t="s">
        <v>63</v>
      </c>
      <c r="D7624" s="6" t="s">
        <v>576</v>
      </c>
      <c r="E7624" s="6" t="s">
        <v>455</v>
      </c>
      <c r="F7624" s="6" t="str">
        <f>IF($M7624="PADD I","PADD 1",IF($M7624="PADD II","PADD 2",IF($M7624="PADD III","PADD 3",IF($M7624="PADD IV","PADD 4",IF($M7624="PADD V","PADD 5","")))))</f>
        <v>PADD 3</v>
      </c>
      <c r="G7624" s="6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6" t="s">
        <v>39</v>
      </c>
      <c r="I7624" s="6" t="s">
        <v>399</v>
      </c>
      <c r="J7624" s="6" t="s">
        <v>394</v>
      </c>
      <c r="K7624" s="10">
        <v>7</v>
      </c>
      <c r="L7624" s="10">
        <v>100</v>
      </c>
      <c r="M7624" s="6" t="s">
        <v>421</v>
      </c>
      <c r="N7624" s="6">
        <f>IF(OR($G7624="FCC",$G7624="Hydrocracker",$G7624="Reformer"),IF(COUNTIFS($D:$D,$D7624,$A:$A,$A7624,$B:$B,$B7624,$G:$G,"CDU",$J:$J,"PLANNED")&gt;0,"tied","standalone"),"")</f>
        <v/>
      </c>
    </row>
    <row r="7625" spans="1:14">
      <c r="A7625" s="6">
        <v>2026</v>
      </c>
      <c r="B7625" s="6">
        <v>4</v>
      </c>
      <c r="C7625" s="6" t="s">
        <v>63</v>
      </c>
      <c r="D7625" s="6" t="s">
        <v>576</v>
      </c>
      <c r="E7625" s="6" t="s">
        <v>455</v>
      </c>
      <c r="F7625" s="6" t="str">
        <f>IF($M7625="PADD I","PADD 1",IF($M7625="PADD II","PADD 2",IF($M7625="PADD III","PADD 3",IF($M7625="PADD IV","PADD 4",IF($M7625="PADD V","PADD 5","")))))</f>
        <v>PADD 3</v>
      </c>
      <c r="G7625" s="6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6" t="s">
        <v>485</v>
      </c>
      <c r="I7625" s="6" t="s">
        <v>1004</v>
      </c>
      <c r="J7625" s="6" t="s">
        <v>394</v>
      </c>
      <c r="K7625" s="10">
        <v>6.9</v>
      </c>
      <c r="L7625" s="10">
        <v>30</v>
      </c>
      <c r="M7625" s="6" t="s">
        <v>421</v>
      </c>
      <c r="N7625" s="6">
        <f>IF(OR($G7625="FCC",$G7625="Hydrocracker",$G7625="Reformer"),IF(COUNTIFS($D:$D,$D7625,$A:$A,$A7625,$B:$B,$B7625,$G:$G,"CDU",$J:$J,"PLANNED")&gt;0,"tied","standalone"),"")</f>
        <v/>
      </c>
    </row>
    <row r="7626" spans="1:14">
      <c r="A7626" s="6">
        <v>2026</v>
      </c>
      <c r="B7626" s="6">
        <v>4</v>
      </c>
      <c r="C7626" s="6" t="s">
        <v>63</v>
      </c>
      <c r="D7626" s="6" t="s">
        <v>576</v>
      </c>
      <c r="E7626" s="6" t="s">
        <v>455</v>
      </c>
      <c r="F7626" s="6" t="str">
        <f>IF($M7626="PADD I","PADD 1",IF($M7626="PADD II","PADD 2",IF($M7626="PADD III","PADD 3",IF($M7626="PADD IV","PADD 4",IF($M7626="PADD V","PADD 5","")))))</f>
        <v>PADD 3</v>
      </c>
      <c r="G7626" s="6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6" t="s">
        <v>471</v>
      </c>
      <c r="I7626" s="6" t="s">
        <v>647</v>
      </c>
      <c r="J7626" s="6" t="s">
        <v>394</v>
      </c>
      <c r="K7626" s="10">
        <v>6.89</v>
      </c>
      <c r="L7626" s="10">
        <v>53</v>
      </c>
      <c r="M7626" s="6" t="s">
        <v>421</v>
      </c>
      <c r="N7626" s="6" t="str">
        <f>IF(OR($G7626="FCC",$G7626="Hydrocracker",$G7626="Reformer"),IF(COUNTIFS($D:$D,$D7626,$A:$A,$A7626,$B:$B,$B7626,$G:$G,"CDU",$J:$J,"PLANNED")&gt;0,"tied","standalone"),"")</f>
        <v>standalone</v>
      </c>
    </row>
    <row r="7627" spans="1:14">
      <c r="A7627" s="6">
        <v>2026</v>
      </c>
      <c r="B7627" s="6">
        <v>4</v>
      </c>
      <c r="C7627" s="6" t="s">
        <v>63</v>
      </c>
      <c r="D7627" s="6" t="s">
        <v>512</v>
      </c>
      <c r="E7627" s="6" t="s">
        <v>488</v>
      </c>
      <c r="F7627" s="6" t="str">
        <f>IF($M7627="PADD I","PADD 1",IF($M7627="PADD II","PADD 2",IF($M7627="PADD III","PADD 3",IF($M7627="PADD IV","PADD 4",IF($M7627="PADD V","PADD 5","")))))</f>
        <v>PADD 4</v>
      </c>
      <c r="G7627" s="6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6" t="s">
        <v>44</v>
      </c>
      <c r="I7627" s="6" t="s">
        <v>545</v>
      </c>
      <c r="J7627" s="6" t="s">
        <v>398</v>
      </c>
      <c r="K7627" s="10">
        <v>6</v>
      </c>
      <c r="L7627" s="10">
        <v>20</v>
      </c>
      <c r="M7627" s="6" t="s">
        <v>480</v>
      </c>
      <c r="N7627" s="6">
        <f>IF(OR($G7627="FCC",$G7627="Hydrocracker",$G7627="Reformer"),IF(COUNTIFS($D:$D,$D7627,$A:$A,$A7627,$B:$B,$B7627,$G:$G,"CDU",$J:$J,"PLANNED")&gt;0,"tied","standalone"),"")</f>
        <v/>
      </c>
    </row>
    <row r="7628" spans="1:14">
      <c r="A7628" s="6">
        <v>2026</v>
      </c>
      <c r="B7628" s="6">
        <v>4</v>
      </c>
      <c r="C7628" s="6" t="s">
        <v>63</v>
      </c>
      <c r="D7628" s="6" t="s">
        <v>576</v>
      </c>
      <c r="E7628" s="6" t="s">
        <v>455</v>
      </c>
      <c r="F7628" s="6" t="str">
        <f>IF($M7628="PADD I","PADD 1",IF($M7628="PADD II","PADD 2",IF($M7628="PADD III","PADD 3",IF($M7628="PADD IV","PADD 4",IF($M7628="PADD V","PADD 5","")))))</f>
        <v>PADD 3</v>
      </c>
      <c r="G7628" s="6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6" t="s">
        <v>44</v>
      </c>
      <c r="I7628" s="6" t="s">
        <v>1415</v>
      </c>
      <c r="J7628" s="6" t="s">
        <v>394</v>
      </c>
      <c r="K7628" s="10">
        <v>6</v>
      </c>
      <c r="L7628" s="10">
        <v>30</v>
      </c>
      <c r="M7628" s="6" t="s">
        <v>421</v>
      </c>
      <c r="N7628" s="6">
        <f>IF(OR($G7628="FCC",$G7628="Hydrocracker",$G7628="Reformer"),IF(COUNTIFS($D:$D,$D7628,$A:$A,$A7628,$B:$B,$B7628,$G:$G,"CDU",$J:$J,"PLANNED")&gt;0,"tied","standalone"),"")</f>
        <v/>
      </c>
    </row>
    <row r="7629" spans="1:14">
      <c r="A7629" s="6">
        <v>2026</v>
      </c>
      <c r="B7629" s="6">
        <v>4</v>
      </c>
      <c r="C7629" s="6" t="s">
        <v>63</v>
      </c>
      <c r="D7629" s="6" t="s">
        <v>712</v>
      </c>
      <c r="E7629" s="6" t="s">
        <v>602</v>
      </c>
      <c r="F7629" s="6" t="str">
        <f>IF($M7629="PADD I","PADD 1",IF($M7629="PADD II","PADD 2",IF($M7629="PADD III","PADD 3",IF($M7629="PADD IV","PADD 4",IF($M7629="PADD V","PADD 5","")))))</f>
        <v>PADD 3</v>
      </c>
      <c r="G7629" s="6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6" t="s">
        <v>426</v>
      </c>
      <c r="I7629" s="6" t="s">
        <v>106</v>
      </c>
      <c r="J7629" s="6" t="s">
        <v>398</v>
      </c>
      <c r="K7629" s="10">
        <v>5.75</v>
      </c>
      <c r="L7629" s="10">
        <v>25</v>
      </c>
      <c r="M7629" s="6" t="s">
        <v>421</v>
      </c>
      <c r="N7629" s="6" t="str">
        <f>IF(OR($G7629="FCC",$G7629="Hydrocracker",$G7629="Reformer"),IF(COUNTIFS($D:$D,$D7629,$A:$A,$A7629,$B:$B,$B7629,$G:$G,"CDU",$J:$J,"PLANNED")&gt;0,"tied","standalone"),"")</f>
        <v>tied</v>
      </c>
    </row>
    <row r="7630" spans="1:14">
      <c r="A7630" s="6">
        <v>2026</v>
      </c>
      <c r="B7630" s="6">
        <v>4</v>
      </c>
      <c r="C7630" s="6" t="s">
        <v>63</v>
      </c>
      <c r="D7630" s="6" t="s">
        <v>789</v>
      </c>
      <c r="E7630" s="6" t="s">
        <v>455</v>
      </c>
      <c r="F7630" s="6" t="str">
        <f>IF($M7630="PADD I","PADD 1",IF($M7630="PADD II","PADD 2",IF($M7630="PADD III","PADD 3",IF($M7630="PADD IV","PADD 4",IF($M7630="PADD V","PADD 5","")))))</f>
        <v>PADD 2</v>
      </c>
      <c r="G7630" s="6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6" t="s">
        <v>471</v>
      </c>
      <c r="I7630" s="6" t="s">
        <v>832</v>
      </c>
      <c r="J7630" s="6" t="s">
        <v>394</v>
      </c>
      <c r="K7630" s="10">
        <v>5.67</v>
      </c>
      <c r="L7630" s="10">
        <v>21</v>
      </c>
      <c r="M7630" s="6" t="s">
        <v>425</v>
      </c>
      <c r="N7630" s="6" t="str">
        <f>IF(OR($G7630="FCC",$G7630="Hydrocracker",$G7630="Reformer"),IF(COUNTIFS($D:$D,$D7630,$A:$A,$A7630,$B:$B,$B7630,$G:$G,"CDU",$J:$J,"PLANNED")&gt;0,"tied","standalone"),"")</f>
        <v>standalone</v>
      </c>
    </row>
    <row r="7631" spans="1:14">
      <c r="A7631" s="6">
        <v>2026</v>
      </c>
      <c r="B7631" s="6">
        <v>4</v>
      </c>
      <c r="C7631" s="6" t="s">
        <v>63</v>
      </c>
      <c r="D7631" s="6" t="s">
        <v>576</v>
      </c>
      <c r="E7631" s="6" t="s">
        <v>455</v>
      </c>
      <c r="F7631" s="6" t="str">
        <f>IF($M7631="PADD I","PADD 1",IF($M7631="PADD II","PADD 2",IF($M7631="PADD III","PADD 3",IF($M7631="PADD IV","PADD 4",IF($M7631="PADD V","PADD 5","")))))</f>
        <v>PADD 3</v>
      </c>
      <c r="G7631" s="6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6" t="s">
        <v>44</v>
      </c>
      <c r="I7631" s="6" t="s">
        <v>1126</v>
      </c>
      <c r="J7631" s="6" t="s">
        <v>394</v>
      </c>
      <c r="K7631" s="10">
        <v>5.5</v>
      </c>
      <c r="L7631" s="10">
        <v>55</v>
      </c>
      <c r="M7631" s="6" t="s">
        <v>421</v>
      </c>
      <c r="N7631" s="6">
        <f>IF(OR($G7631="FCC",$G7631="Hydrocracker",$G7631="Reformer"),IF(COUNTIFS($D:$D,$D7631,$A:$A,$A7631,$B:$B,$B7631,$G:$G,"CDU",$J:$J,"PLANNED")&gt;0,"tied","standalone"),"")</f>
        <v/>
      </c>
    </row>
    <row r="7632" spans="1:14">
      <c r="A7632" s="6">
        <v>2026</v>
      </c>
      <c r="B7632" s="6">
        <v>4</v>
      </c>
      <c r="C7632" s="6" t="s">
        <v>63</v>
      </c>
      <c r="D7632" s="6" t="s">
        <v>370</v>
      </c>
      <c r="E7632" s="6" t="s">
        <v>431</v>
      </c>
      <c r="F7632" s="6" t="str">
        <f>IF($M7632="PADD I","PADD 1",IF($M7632="PADD II","PADD 2",IF($M7632="PADD III","PADD 3",IF($M7632="PADD IV","PADD 4",IF($M7632="PADD V","PADD 5","")))))</f>
        <v>PADD 2</v>
      </c>
      <c r="G7632" s="6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6" t="s">
        <v>426</v>
      </c>
      <c r="I7632" s="6" t="s">
        <v>106</v>
      </c>
      <c r="J7632" s="6" t="s">
        <v>398</v>
      </c>
      <c r="K7632" s="10">
        <v>5</v>
      </c>
      <c r="L7632" s="10">
        <v>25</v>
      </c>
      <c r="M7632" s="6" t="s">
        <v>425</v>
      </c>
      <c r="N7632" s="6" t="str">
        <f>IF(OR($G7632="FCC",$G7632="Hydrocracker",$G7632="Reformer"),IF(COUNTIFS($D:$D,$D7632,$A:$A,$A7632,$B:$B,$B7632,$G:$G,"CDU",$J:$J,"PLANNED")&gt;0,"tied","standalone"),"")</f>
        <v>tied</v>
      </c>
    </row>
    <row r="7633" spans="1:14">
      <c r="A7633" s="6">
        <v>2026</v>
      </c>
      <c r="B7633" s="6">
        <v>4</v>
      </c>
      <c r="C7633" s="6" t="s">
        <v>63</v>
      </c>
      <c r="D7633" s="6" t="s">
        <v>382</v>
      </c>
      <c r="E7633" s="6" t="s">
        <v>431</v>
      </c>
      <c r="F7633" s="6" t="str">
        <f>IF($M7633="PADD I","PADD 1",IF($M7633="PADD II","PADD 2",IF($M7633="PADD III","PADD 3",IF($M7633="PADD IV","PADD 4",IF($M7633="PADD V","PADD 5","")))))</f>
        <v>PADD 3</v>
      </c>
      <c r="G7633" s="6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6" t="s">
        <v>426</v>
      </c>
      <c r="I7633" s="6" t="s">
        <v>106</v>
      </c>
      <c r="J7633" s="6" t="s">
        <v>394</v>
      </c>
      <c r="K7633" s="10">
        <v>5</v>
      </c>
      <c r="L7633" s="10">
        <v>25</v>
      </c>
      <c r="M7633" s="6" t="s">
        <v>421</v>
      </c>
      <c r="N7633" s="6" t="str">
        <f>IF(OR($G7633="FCC",$G7633="Hydrocracker",$G7633="Reformer"),IF(COUNTIFS($D:$D,$D7633,$A:$A,$A7633,$B:$B,$B7633,$G:$G,"CDU",$J:$J,"PLANNED")&gt;0,"tied","standalone"),"")</f>
        <v>standalone</v>
      </c>
    </row>
    <row r="7634" spans="1:14">
      <c r="A7634" s="6">
        <v>2026</v>
      </c>
      <c r="B7634" s="6">
        <v>4</v>
      </c>
      <c r="C7634" s="6" t="s">
        <v>63</v>
      </c>
      <c r="D7634" s="6" t="s">
        <v>712</v>
      </c>
      <c r="E7634" s="6" t="s">
        <v>602</v>
      </c>
      <c r="F7634" s="6" t="str">
        <f>IF($M7634="PADD I","PADD 1",IF($M7634="PADD II","PADD 2",IF($M7634="PADD III","PADD 3",IF($M7634="PADD IV","PADD 4",IF($M7634="PADD V","PADD 5","")))))</f>
        <v>PADD 3</v>
      </c>
      <c r="G7634" s="6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6" t="s">
        <v>471</v>
      </c>
      <c r="I7634" s="6" t="s">
        <v>1100</v>
      </c>
      <c r="J7634" s="6" t="s">
        <v>398</v>
      </c>
      <c r="K7634" s="10">
        <v>4.83</v>
      </c>
      <c r="L7634" s="10">
        <v>21</v>
      </c>
      <c r="M7634" s="6" t="s">
        <v>421</v>
      </c>
      <c r="N7634" s="6" t="str">
        <f>IF(OR($G7634="FCC",$G7634="Hydrocracker",$G7634="Reformer"),IF(COUNTIFS($D:$D,$D7634,$A:$A,$A7634,$B:$B,$B7634,$G:$G,"CDU",$J:$J,"PLANNED")&gt;0,"tied","standalone"),"")</f>
        <v>tied</v>
      </c>
    </row>
    <row r="7635" spans="1:14">
      <c r="A7635" s="6">
        <v>2026</v>
      </c>
      <c r="B7635" s="6">
        <v>4</v>
      </c>
      <c r="C7635" s="6" t="s">
        <v>63</v>
      </c>
      <c r="D7635" s="6" t="s">
        <v>52</v>
      </c>
      <c r="E7635" s="6" t="s">
        <v>441</v>
      </c>
      <c r="F7635" s="6" t="str">
        <f>IF($M7635="PADD I","PADD 1",IF($M7635="PADD II","PADD 2",IF($M7635="PADD III","PADD 3",IF($M7635="PADD IV","PADD 4",IF($M7635="PADD V","PADD 5","")))))</f>
        <v>PADD 5</v>
      </c>
      <c r="G7635" s="6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6" t="s">
        <v>687</v>
      </c>
      <c r="I7635" s="6" t="s">
        <v>491</v>
      </c>
      <c r="J7635" s="6" t="s">
        <v>394</v>
      </c>
      <c r="K7635" s="10">
        <v>4.76</v>
      </c>
      <c r="L7635" s="10">
        <v>68</v>
      </c>
      <c r="M7635" s="6" t="s">
        <v>436</v>
      </c>
      <c r="N7635" s="6">
        <f>IF(OR($G7635="FCC",$G7635="Hydrocracker",$G7635="Reformer"),IF(COUNTIFS($D:$D,$D7635,$A:$A,$A7635,$B:$B,$B7635,$G:$G,"CDU",$J:$J,"PLANNED")&gt;0,"tied","standalone"),"")</f>
        <v/>
      </c>
    </row>
    <row r="7636" spans="1:14">
      <c r="A7636" s="6">
        <v>2026</v>
      </c>
      <c r="B7636" s="6">
        <v>4</v>
      </c>
      <c r="C7636" s="6" t="s">
        <v>63</v>
      </c>
      <c r="D7636" s="6" t="s">
        <v>479</v>
      </c>
      <c r="E7636" s="6" t="s">
        <v>438</v>
      </c>
      <c r="F7636" s="6" t="str">
        <f>IF($M7636="PADD I","PADD 1",IF($M7636="PADD II","PADD 2",IF($M7636="PADD III","PADD 3",IF($M7636="PADD IV","PADD 4",IF($M7636="PADD V","PADD 5","")))))</f>
        <v>PADD 4</v>
      </c>
      <c r="G7636" s="6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6" t="s">
        <v>44</v>
      </c>
      <c r="I7636" s="6" t="s">
        <v>564</v>
      </c>
      <c r="J7636" s="6" t="s">
        <v>394</v>
      </c>
      <c r="K7636" s="10">
        <v>4.617</v>
      </c>
      <c r="L7636" s="10">
        <v>17.1</v>
      </c>
      <c r="M7636" s="6" t="s">
        <v>480</v>
      </c>
      <c r="N7636" s="6">
        <f>IF(OR($G7636="FCC",$G7636="Hydrocracker",$G7636="Reformer"),IF(COUNTIFS($D:$D,$D7636,$A:$A,$A7636,$B:$B,$B7636,$G:$G,"CDU",$J:$J,"PLANNED")&gt;0,"tied","standalone"),"")</f>
        <v/>
      </c>
    </row>
    <row r="7637" spans="1:14">
      <c r="A7637" s="6">
        <v>2026</v>
      </c>
      <c r="B7637" s="6">
        <v>4</v>
      </c>
      <c r="C7637" s="6" t="s">
        <v>63</v>
      </c>
      <c r="D7637" s="6" t="s">
        <v>507</v>
      </c>
      <c r="E7637" s="6" t="s">
        <v>438</v>
      </c>
      <c r="F7637" s="6" t="str">
        <f>IF($M7637="PADD I","PADD 1",IF($M7637="PADD II","PADD 2",IF($M7637="PADD III","PADD 3",IF($M7637="PADD IV","PADD 4",IF($M7637="PADD V","PADD 5","")))))</f>
        <v>PADD 5</v>
      </c>
      <c r="G7637" s="6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6" t="s">
        <v>39</v>
      </c>
      <c r="I7637" s="6" t="s">
        <v>136</v>
      </c>
      <c r="J7637" s="6" t="s">
        <v>394</v>
      </c>
      <c r="K7637" s="10">
        <v>4.55</v>
      </c>
      <c r="L7637" s="10">
        <v>65</v>
      </c>
      <c r="M7637" s="6" t="s">
        <v>436</v>
      </c>
      <c r="N7637" s="6">
        <f>IF(OR($G7637="FCC",$G7637="Hydrocracker",$G7637="Reformer"),IF(COUNTIFS($D:$D,$D7637,$A:$A,$A7637,$B:$B,$B7637,$G:$G,"CDU",$J:$J,"PLANNED")&gt;0,"tied","standalone"),"")</f>
        <v/>
      </c>
    </row>
    <row r="7638" spans="1:14">
      <c r="A7638" s="6">
        <v>2026</v>
      </c>
      <c r="B7638" s="6">
        <v>4</v>
      </c>
      <c r="C7638" s="6" t="s">
        <v>63</v>
      </c>
      <c r="D7638" s="6" t="s">
        <v>576</v>
      </c>
      <c r="E7638" s="6" t="s">
        <v>455</v>
      </c>
      <c r="F7638" s="6" t="str">
        <f>IF($M7638="PADD I","PADD 1",IF($M7638="PADD II","PADD 2",IF($M7638="PADD III","PADD 3",IF($M7638="PADD IV","PADD 4",IF($M7638="PADD V","PADD 5","")))))</f>
        <v>PADD 3</v>
      </c>
      <c r="G7638" s="6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6" t="s">
        <v>471</v>
      </c>
      <c r="I7638" s="6" t="s">
        <v>978</v>
      </c>
      <c r="J7638" s="6" t="s">
        <v>394</v>
      </c>
      <c r="K7638" s="10">
        <v>4.5</v>
      </c>
      <c r="L7638" s="10">
        <v>15</v>
      </c>
      <c r="M7638" s="6" t="s">
        <v>421</v>
      </c>
      <c r="N7638" s="6" t="str">
        <f>IF(OR($G7638="FCC",$G7638="Hydrocracker",$G7638="Reformer"),IF(COUNTIFS($D:$D,$D7638,$A:$A,$A7638,$B:$B,$B7638,$G:$G,"CDU",$J:$J,"PLANNED")&gt;0,"tied","standalone"),"")</f>
        <v>standalone</v>
      </c>
    </row>
    <row r="7639" spans="1:14">
      <c r="A7639" s="6">
        <v>2026</v>
      </c>
      <c r="B7639" s="6">
        <v>4</v>
      </c>
      <c r="C7639" s="6" t="s">
        <v>63</v>
      </c>
      <c r="D7639" s="6" t="s">
        <v>996</v>
      </c>
      <c r="E7639" s="6" t="s">
        <v>455</v>
      </c>
      <c r="F7639" s="6" t="str">
        <f>IF($M7639="PADD I","PADD 1",IF($M7639="PADD II","PADD 2",IF($M7639="PADD III","PADD 3",IF($M7639="PADD IV","PADD 4",IF($M7639="PADD V","PADD 5","")))))</f>
        <v>PADD 5</v>
      </c>
      <c r="G7639" s="6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6" t="s">
        <v>510</v>
      </c>
      <c r="I7639" s="6" t="s">
        <v>1002</v>
      </c>
      <c r="J7639" s="6" t="s">
        <v>394</v>
      </c>
      <c r="K7639" s="10">
        <v>4.4</v>
      </c>
      <c r="L7639" s="10">
        <v>22</v>
      </c>
      <c r="M7639" s="6" t="s">
        <v>436</v>
      </c>
      <c r="N7639" s="6">
        <f>IF(OR($G7639="FCC",$G7639="Hydrocracker",$G7639="Reformer"),IF(COUNTIFS($D:$D,$D7639,$A:$A,$A7639,$B:$B,$B7639,$G:$G,"CDU",$J:$J,"PLANNED")&gt;0,"tied","standalone"),"")</f>
        <v/>
      </c>
    </row>
    <row r="7640" spans="1:14">
      <c r="A7640" s="6">
        <v>2026</v>
      </c>
      <c r="B7640" s="6">
        <v>4</v>
      </c>
      <c r="C7640" s="6" t="s">
        <v>63</v>
      </c>
      <c r="D7640" s="6" t="s">
        <v>505</v>
      </c>
      <c r="E7640" s="6" t="s">
        <v>455</v>
      </c>
      <c r="F7640" s="6" t="str">
        <f>IF($M7640="PADD I","PADD 1",IF($M7640="PADD II","PADD 2",IF($M7640="PADD III","PADD 3",IF($M7640="PADD IV","PADD 4",IF($M7640="PADD V","PADD 5","")))))</f>
        <v>PADD 3</v>
      </c>
      <c r="G7640" s="6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6" t="s">
        <v>494</v>
      </c>
      <c r="I7640" s="6" t="s">
        <v>506</v>
      </c>
      <c r="J7640" s="6" t="s">
        <v>394</v>
      </c>
      <c r="K7640" s="10">
        <v>4.2</v>
      </c>
      <c r="L7640" s="10">
        <v>60</v>
      </c>
      <c r="M7640" s="6" t="s">
        <v>421</v>
      </c>
      <c r="N7640" s="6" t="str">
        <f>IF(OR($G7640="FCC",$G7640="Hydrocracker",$G7640="Reformer"),IF(COUNTIFS($D:$D,$D7640,$A:$A,$A7640,$B:$B,$B7640,$G:$G,"CDU",$J:$J,"PLANNED")&gt;0,"tied","standalone"),"")</f>
        <v>standalone</v>
      </c>
    </row>
    <row r="7641" spans="1:14">
      <c r="A7641" s="6">
        <v>2026</v>
      </c>
      <c r="B7641" s="6">
        <v>4</v>
      </c>
      <c r="C7641" s="6" t="s">
        <v>63</v>
      </c>
      <c r="D7641" s="6" t="s">
        <v>370</v>
      </c>
      <c r="E7641" s="6" t="s">
        <v>431</v>
      </c>
      <c r="F7641" s="6" t="str">
        <f>IF($M7641="PADD I","PADD 1",IF($M7641="PADD II","PADD 2",IF($M7641="PADD III","PADD 3",IF($M7641="PADD IV","PADD 4",IF($M7641="PADD V","PADD 5","")))))</f>
        <v>PADD 2</v>
      </c>
      <c r="G7641" s="6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6" t="s">
        <v>471</v>
      </c>
      <c r="I7641" s="6" t="s">
        <v>240</v>
      </c>
      <c r="J7641" s="6" t="s">
        <v>394</v>
      </c>
      <c r="K7641" s="10">
        <v>4</v>
      </c>
      <c r="L7641" s="10">
        <v>20</v>
      </c>
      <c r="M7641" s="6" t="s">
        <v>425</v>
      </c>
      <c r="N7641" s="6" t="str">
        <f>IF(OR($G7641="FCC",$G7641="Hydrocracker",$G7641="Reformer"),IF(COUNTIFS($D:$D,$D7641,$A:$A,$A7641,$B:$B,$B7641,$G:$G,"CDU",$J:$J,"PLANNED")&gt;0,"tied","standalone"),"")</f>
        <v>tied</v>
      </c>
    </row>
    <row r="7642" spans="1:14">
      <c r="A7642" s="6">
        <v>2026</v>
      </c>
      <c r="B7642" s="6">
        <v>4</v>
      </c>
      <c r="C7642" s="6" t="s">
        <v>63</v>
      </c>
      <c r="D7642" s="6" t="s">
        <v>838</v>
      </c>
      <c r="E7642" s="6" t="s">
        <v>455</v>
      </c>
      <c r="F7642" s="6" t="str">
        <f>IF($M7642="PADD I","PADD 1",IF($M7642="PADD II","PADD 2",IF($M7642="PADD III","PADD 3",IF($M7642="PADD IV","PADD 4",IF($M7642="PADD V","PADD 5","")))))</f>
        <v>PADD 3</v>
      </c>
      <c r="G7642" s="6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6" t="s">
        <v>494</v>
      </c>
      <c r="I7642" s="6" t="s">
        <v>881</v>
      </c>
      <c r="J7642" s="6" t="s">
        <v>394</v>
      </c>
      <c r="K7642" s="10">
        <v>3.85</v>
      </c>
      <c r="L7642" s="10">
        <v>55</v>
      </c>
      <c r="M7642" s="6" t="s">
        <v>421</v>
      </c>
      <c r="N7642" s="6" t="str">
        <f>IF(OR($G7642="FCC",$G7642="Hydrocracker",$G7642="Reformer"),IF(COUNTIFS($D:$D,$D7642,$A:$A,$A7642,$B:$B,$B7642,$G:$G,"CDU",$J:$J,"PLANNED")&gt;0,"tied","standalone"),"")</f>
        <v>standalone</v>
      </c>
    </row>
    <row r="7643" spans="1:14">
      <c r="A7643" s="6">
        <v>2026</v>
      </c>
      <c r="B7643" s="6">
        <v>4</v>
      </c>
      <c r="C7643" s="6" t="s">
        <v>63</v>
      </c>
      <c r="D7643" s="6" t="s">
        <v>461</v>
      </c>
      <c r="E7643" s="6" t="s">
        <v>419</v>
      </c>
      <c r="F7643" s="6" t="str">
        <f>IF($M7643="PADD I","PADD 1",IF($M7643="PADD II","PADD 2",IF($M7643="PADD III","PADD 3",IF($M7643="PADD IV","PADD 4",IF($M7643="PADD V","PADD 5","")))))</f>
        <v>PADD 1</v>
      </c>
      <c r="G7643" s="6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6" t="s">
        <v>44</v>
      </c>
      <c r="I7643" s="6" t="s">
        <v>538</v>
      </c>
      <c r="J7643" s="6" t="s">
        <v>398</v>
      </c>
      <c r="K7643" s="10">
        <v>3.78</v>
      </c>
      <c r="L7643" s="10">
        <v>54</v>
      </c>
      <c r="M7643" s="6" t="s">
        <v>463</v>
      </c>
      <c r="N7643" s="6">
        <f>IF(OR($G7643="FCC",$G7643="Hydrocracker",$G7643="Reformer"),IF(COUNTIFS($D:$D,$D7643,$A:$A,$A7643,$B:$B,$B7643,$G:$G,"CDU",$J:$J,"PLANNED")&gt;0,"tied","standalone"),"")</f>
        <v/>
      </c>
    </row>
    <row r="7644" spans="1:14">
      <c r="A7644" s="6">
        <v>2026</v>
      </c>
      <c r="B7644" s="6">
        <v>4</v>
      </c>
      <c r="C7644" s="6" t="s">
        <v>63</v>
      </c>
      <c r="D7644" s="6" t="s">
        <v>1093</v>
      </c>
      <c r="E7644" s="6" t="s">
        <v>438</v>
      </c>
      <c r="F7644" s="6" t="str">
        <f>IF($M7644="PADD I","PADD 1",IF($M7644="PADD II","PADD 2",IF($M7644="PADD III","PADD 3",IF($M7644="PADD IV","PADD 4",IF($M7644="PADD V","PADD 5","")))))</f>
        <v>PADD 2</v>
      </c>
      <c r="G7644" s="6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6" t="s">
        <v>471</v>
      </c>
      <c r="I7644" s="6" t="s">
        <v>966</v>
      </c>
      <c r="J7644" s="6" t="s">
        <v>394</v>
      </c>
      <c r="K7644" s="10">
        <v>3.75</v>
      </c>
      <c r="L7644" s="10">
        <v>12.5</v>
      </c>
      <c r="M7644" s="6" t="s">
        <v>425</v>
      </c>
      <c r="N7644" s="6" t="str">
        <f>IF(OR($G7644="FCC",$G7644="Hydrocracker",$G7644="Reformer"),IF(COUNTIFS($D:$D,$D7644,$A:$A,$A7644,$B:$B,$B7644,$G:$G,"CDU",$J:$J,"PLANNED")&gt;0,"tied","standalone"),"")</f>
        <v>standalone</v>
      </c>
    </row>
    <row r="7645" spans="1:14">
      <c r="A7645" s="6">
        <v>2026</v>
      </c>
      <c r="B7645" s="6">
        <v>4</v>
      </c>
      <c r="C7645" s="6" t="s">
        <v>63</v>
      </c>
      <c r="D7645" s="6" t="s">
        <v>512</v>
      </c>
      <c r="E7645" s="6" t="s">
        <v>488</v>
      </c>
      <c r="F7645" s="6" t="str">
        <f>IF($M7645="PADD I","PADD 1",IF($M7645="PADD II","PADD 2",IF($M7645="PADD III","PADD 3",IF($M7645="PADD IV","PADD 4",IF($M7645="PADD V","PADD 5","")))))</f>
        <v>PADD 4</v>
      </c>
      <c r="G7645" s="6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6" t="s">
        <v>44</v>
      </c>
      <c r="I7645" s="6" t="s">
        <v>585</v>
      </c>
      <c r="J7645" s="6" t="s">
        <v>398</v>
      </c>
      <c r="K7645" s="10">
        <v>3.6</v>
      </c>
      <c r="L7645" s="10">
        <v>12</v>
      </c>
      <c r="M7645" s="6" t="s">
        <v>480</v>
      </c>
      <c r="N7645" s="6">
        <f>IF(OR($G7645="FCC",$G7645="Hydrocracker",$G7645="Reformer"),IF(COUNTIFS($D:$D,$D7645,$A:$A,$A7645,$B:$B,$B7645,$G:$G,"CDU",$J:$J,"PLANNED")&gt;0,"tied","standalone"),"")</f>
        <v/>
      </c>
    </row>
    <row r="7646" spans="1:14">
      <c r="A7646" s="6">
        <v>2026</v>
      </c>
      <c r="B7646" s="6">
        <v>4</v>
      </c>
      <c r="C7646" s="6" t="s">
        <v>63</v>
      </c>
      <c r="D7646" s="6" t="s">
        <v>792</v>
      </c>
      <c r="E7646" s="6" t="s">
        <v>438</v>
      </c>
      <c r="F7646" s="6" t="str">
        <f>IF($M7646="PADD I","PADD 1",IF($M7646="PADD II","PADD 2",IF($M7646="PADD III","PADD 3",IF($M7646="PADD IV","PADD 4",IF($M7646="PADD V","PADD 5","")))))</f>
        <v>PADD 5</v>
      </c>
      <c r="G7646" s="6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6" t="s">
        <v>618</v>
      </c>
      <c r="I7646" s="6" t="s">
        <v>818</v>
      </c>
      <c r="J7646" s="6" t="s">
        <v>398</v>
      </c>
      <c r="K7646" s="10">
        <v>3.5</v>
      </c>
      <c r="L7646" s="10">
        <v>3.5</v>
      </c>
      <c r="M7646" s="6" t="s">
        <v>436</v>
      </c>
      <c r="N7646" s="6">
        <f>IF(OR($G7646="FCC",$G7646="Hydrocracker",$G7646="Reformer"),IF(COUNTIFS($D:$D,$D7646,$A:$A,$A7646,$B:$B,$B7646,$G:$G,"CDU",$J:$J,"PLANNED")&gt;0,"tied","standalone"),"")</f>
        <v/>
      </c>
    </row>
    <row r="7647" spans="1:14">
      <c r="A7647" s="6">
        <v>2026</v>
      </c>
      <c r="B7647" s="6">
        <v>4</v>
      </c>
      <c r="C7647" s="6" t="s">
        <v>63</v>
      </c>
      <c r="D7647" s="6" t="s">
        <v>592</v>
      </c>
      <c r="E7647" s="6" t="s">
        <v>593</v>
      </c>
      <c r="F7647" s="6" t="str">
        <f>IF($M7647="PADD I","PADD 1",IF($M7647="PADD II","PADD 2",IF($M7647="PADD III","PADD 3",IF($M7647="PADD IV","PADD 4",IF($M7647="PADD V","PADD 5","")))))</f>
        <v>PADD 2</v>
      </c>
      <c r="G7647" s="6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6" t="s">
        <v>426</v>
      </c>
      <c r="I7647" s="6" t="s">
        <v>1160</v>
      </c>
      <c r="J7647" s="6" t="s">
        <v>394</v>
      </c>
      <c r="K7647" s="10">
        <v>3.3</v>
      </c>
      <c r="L7647" s="10">
        <v>110</v>
      </c>
      <c r="M7647" s="6" t="s">
        <v>425</v>
      </c>
      <c r="N7647" s="6" t="str">
        <f>IF(OR($G7647="FCC",$G7647="Hydrocracker",$G7647="Reformer"),IF(COUNTIFS($D:$D,$D7647,$A:$A,$A7647,$B:$B,$B7647,$G:$G,"CDU",$J:$J,"PLANNED")&gt;0,"tied","standalone"),"")</f>
        <v>standalone</v>
      </c>
    </row>
    <row r="7648" spans="1:14">
      <c r="A7648" s="6">
        <v>2026</v>
      </c>
      <c r="B7648" s="6">
        <v>4</v>
      </c>
      <c r="C7648" s="6" t="s">
        <v>63</v>
      </c>
      <c r="D7648" s="6" t="s">
        <v>592</v>
      </c>
      <c r="E7648" s="6" t="s">
        <v>593</v>
      </c>
      <c r="F7648" s="6" t="str">
        <f>IF($M7648="PADD I","PADD 1",IF($M7648="PADD II","PADD 2",IF($M7648="PADD III","PADD 3",IF($M7648="PADD IV","PADD 4",IF($M7648="PADD V","PADD 5","")))))</f>
        <v>PADD 2</v>
      </c>
      <c r="G7648" s="6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6" t="s">
        <v>44</v>
      </c>
      <c r="I7648" s="6" t="s">
        <v>963</v>
      </c>
      <c r="J7648" s="6" t="s">
        <v>394</v>
      </c>
      <c r="K7648" s="10">
        <v>3.15</v>
      </c>
      <c r="L7648" s="10">
        <v>105</v>
      </c>
      <c r="M7648" s="6" t="s">
        <v>425</v>
      </c>
      <c r="N7648" s="6">
        <f>IF(OR($G7648="FCC",$G7648="Hydrocracker",$G7648="Reformer"),IF(COUNTIFS($D:$D,$D7648,$A:$A,$A7648,$B:$B,$B7648,$G:$G,"CDU",$J:$J,"PLANNED")&gt;0,"tied","standalone"),"")</f>
        <v/>
      </c>
    </row>
    <row r="7649" spans="1:14">
      <c r="A7649" s="6">
        <v>2026</v>
      </c>
      <c r="B7649" s="6">
        <v>4</v>
      </c>
      <c r="C7649" s="6" t="s">
        <v>63</v>
      </c>
      <c r="D7649" s="6" t="s">
        <v>592</v>
      </c>
      <c r="E7649" s="6" t="s">
        <v>593</v>
      </c>
      <c r="F7649" s="6" t="str">
        <f>IF($M7649="PADD I","PADD 1",IF($M7649="PADD II","PADD 2",IF($M7649="PADD III","PADD 3",IF($M7649="PADD IV","PADD 4",IF($M7649="PADD V","PADD 5","")))))</f>
        <v>PADD 2</v>
      </c>
      <c r="G7649" s="6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6" t="s">
        <v>485</v>
      </c>
      <c r="I7649" s="6" t="s">
        <v>491</v>
      </c>
      <c r="J7649" s="6" t="s">
        <v>394</v>
      </c>
      <c r="K7649" s="10">
        <v>3.06</v>
      </c>
      <c r="L7649" s="10">
        <v>102</v>
      </c>
      <c r="M7649" s="6" t="s">
        <v>425</v>
      </c>
      <c r="N7649" s="6">
        <f>IF(OR($G7649="FCC",$G7649="Hydrocracker",$G7649="Reformer"),IF(COUNTIFS($D:$D,$D7649,$A:$A,$A7649,$B:$B,$B7649,$G:$G,"CDU",$J:$J,"PLANNED")&gt;0,"tied","standalone"),"")</f>
        <v/>
      </c>
    </row>
    <row r="7650" spans="1:14">
      <c r="A7650" s="6">
        <v>2026</v>
      </c>
      <c r="B7650" s="6">
        <v>4</v>
      </c>
      <c r="C7650" s="6" t="s">
        <v>63</v>
      </c>
      <c r="D7650" s="6" t="s">
        <v>487</v>
      </c>
      <c r="E7650" s="6" t="s">
        <v>488</v>
      </c>
      <c r="F7650" s="6" t="str">
        <f>IF($M7650="PADD I","PADD 1",IF($M7650="PADD II","PADD 2",IF($M7650="PADD III","PADD 3",IF($M7650="PADD IV","PADD 4",IF($M7650="PADD V","PADD 5","")))))</f>
        <v>PADD 4</v>
      </c>
      <c r="G7650" s="6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6" t="s">
        <v>428</v>
      </c>
      <c r="I7650" s="6" t="s">
        <v>606</v>
      </c>
      <c r="J7650" s="6" t="s">
        <v>398</v>
      </c>
      <c r="K7650" s="10">
        <v>3</v>
      </c>
      <c r="L7650" s="10">
        <v>10</v>
      </c>
      <c r="M7650" s="6" t="s">
        <v>480</v>
      </c>
      <c r="N7650" s="6">
        <f>IF(OR($G7650="FCC",$G7650="Hydrocracker",$G7650="Reformer"),IF(COUNTIFS($D:$D,$D7650,$A:$A,$A7650,$B:$B,$B7650,$G:$G,"CDU",$J:$J,"PLANNED")&gt;0,"tied","standalone"),"")</f>
        <v/>
      </c>
    </row>
    <row r="7651" spans="1:14">
      <c r="A7651" s="6">
        <v>2026</v>
      </c>
      <c r="B7651" s="6">
        <v>4</v>
      </c>
      <c r="C7651" s="6" t="s">
        <v>63</v>
      </c>
      <c r="D7651" s="6" t="s">
        <v>512</v>
      </c>
      <c r="E7651" s="6" t="s">
        <v>488</v>
      </c>
      <c r="F7651" s="6" t="str">
        <f>IF($M7651="PADD I","PADD 1",IF($M7651="PADD II","PADD 2",IF($M7651="PADD III","PADD 3",IF($M7651="PADD IV","PADD 4",IF($M7651="PADD V","PADD 5","")))))</f>
        <v>PADD 4</v>
      </c>
      <c r="G7651" s="6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6" t="s">
        <v>428</v>
      </c>
      <c r="I7651" s="6" t="s">
        <v>605</v>
      </c>
      <c r="J7651" s="6" t="s">
        <v>398</v>
      </c>
      <c r="K7651" s="10">
        <v>3</v>
      </c>
      <c r="L7651" s="10">
        <v>10</v>
      </c>
      <c r="M7651" s="6" t="s">
        <v>480</v>
      </c>
      <c r="N7651" s="6">
        <f>IF(OR($G7651="FCC",$G7651="Hydrocracker",$G7651="Reformer"),IF(COUNTIFS($D:$D,$D7651,$A:$A,$A7651,$B:$B,$B7651,$G:$G,"CDU",$J:$J,"PLANNED")&gt;0,"tied","standalone"),"")</f>
        <v/>
      </c>
    </row>
    <row r="7652" spans="1:14">
      <c r="A7652" s="6">
        <v>2026</v>
      </c>
      <c r="B7652" s="6">
        <v>4</v>
      </c>
      <c r="C7652" s="6" t="s">
        <v>63</v>
      </c>
      <c r="D7652" s="6" t="s">
        <v>512</v>
      </c>
      <c r="E7652" s="6" t="s">
        <v>488</v>
      </c>
      <c r="F7652" s="6" t="str">
        <f>IF($M7652="PADD I","PADD 1",IF($M7652="PADD II","PADD 2",IF($M7652="PADD III","PADD 3",IF($M7652="PADD IV","PADD 4",IF($M7652="PADD V","PADD 5","")))))</f>
        <v>PADD 4</v>
      </c>
      <c r="G7652" s="6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6" t="s">
        <v>44</v>
      </c>
      <c r="I7652" s="6" t="s">
        <v>608</v>
      </c>
      <c r="J7652" s="6" t="s">
        <v>398</v>
      </c>
      <c r="K7652" s="10">
        <v>3</v>
      </c>
      <c r="L7652" s="10">
        <v>10</v>
      </c>
      <c r="M7652" s="6" t="s">
        <v>480</v>
      </c>
      <c r="N7652" s="6">
        <f>IF(OR($G7652="FCC",$G7652="Hydrocracker",$G7652="Reformer"),IF(COUNTIFS($D:$D,$D7652,$A:$A,$A7652,$B:$B,$B7652,$G:$G,"CDU",$J:$J,"PLANNED")&gt;0,"tied","standalone"),"")</f>
        <v/>
      </c>
    </row>
    <row r="7653" spans="1:14">
      <c r="A7653" s="6">
        <v>2026</v>
      </c>
      <c r="B7653" s="6">
        <v>4</v>
      </c>
      <c r="C7653" s="6" t="s">
        <v>63</v>
      </c>
      <c r="D7653" s="6" t="s">
        <v>512</v>
      </c>
      <c r="E7653" s="6" t="s">
        <v>488</v>
      </c>
      <c r="F7653" s="6" t="str">
        <f>IF($M7653="PADD I","PADD 1",IF($M7653="PADD II","PADD 2",IF($M7653="PADD III","PADD 3",IF($M7653="PADD IV","PADD 4",IF($M7653="PADD V","PADD 5","")))))</f>
        <v>PADD 4</v>
      </c>
      <c r="G7653" s="6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6" t="s">
        <v>44</v>
      </c>
      <c r="I7653" s="6" t="s">
        <v>543</v>
      </c>
      <c r="J7653" s="6" t="s">
        <v>398</v>
      </c>
      <c r="K7653" s="10">
        <v>3</v>
      </c>
      <c r="L7653" s="10">
        <v>10</v>
      </c>
      <c r="M7653" s="6" t="s">
        <v>480</v>
      </c>
      <c r="N7653" s="6">
        <f>IF(OR($G7653="FCC",$G7653="Hydrocracker",$G7653="Reformer"),IF(COUNTIFS($D:$D,$D7653,$A:$A,$A7653,$B:$B,$B7653,$G:$G,"CDU",$J:$J,"PLANNED")&gt;0,"tied","standalone"),"")</f>
        <v/>
      </c>
    </row>
    <row r="7654" spans="1:14">
      <c r="A7654" s="6">
        <v>2026</v>
      </c>
      <c r="B7654" s="6">
        <v>4</v>
      </c>
      <c r="C7654" s="6" t="s">
        <v>63</v>
      </c>
      <c r="D7654" s="6" t="s">
        <v>518</v>
      </c>
      <c r="E7654" s="6" t="s">
        <v>419</v>
      </c>
      <c r="F7654" s="6" t="str">
        <f>IF($M7654="PADD I","PADD 1",IF($M7654="PADD II","PADD 2",IF($M7654="PADD III","PADD 3",IF($M7654="PADD IV","PADD 4",IF($M7654="PADD V","PADD 5","")))))</f>
        <v>PADD 3</v>
      </c>
      <c r="G7654" s="6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6" t="s">
        <v>426</v>
      </c>
      <c r="I7654" s="6" t="s">
        <v>523</v>
      </c>
      <c r="J7654" s="6" t="s">
        <v>394</v>
      </c>
      <c r="K7654" s="10">
        <v>3</v>
      </c>
      <c r="L7654" s="10">
        <v>30</v>
      </c>
      <c r="M7654" s="6" t="s">
        <v>421</v>
      </c>
      <c r="N7654" s="6" t="str">
        <f>IF(OR($G7654="FCC",$G7654="Hydrocracker",$G7654="Reformer"),IF(COUNTIFS($D:$D,$D7654,$A:$A,$A7654,$B:$B,$B7654,$G:$G,"CDU",$J:$J,"PLANNED")&gt;0,"tied","standalone"),"")</f>
        <v>standalone</v>
      </c>
    </row>
    <row r="7655" spans="1:14">
      <c r="A7655" s="6">
        <v>2026</v>
      </c>
      <c r="B7655" s="6">
        <v>4</v>
      </c>
      <c r="C7655" s="6" t="s">
        <v>63</v>
      </c>
      <c r="D7655" s="6" t="s">
        <v>592</v>
      </c>
      <c r="E7655" s="6" t="s">
        <v>593</v>
      </c>
      <c r="F7655" s="6" t="str">
        <f>IF($M7655="PADD I","PADD 1",IF($M7655="PADD II","PADD 2",IF($M7655="PADD III","PADD 3",IF($M7655="PADD IV","PADD 4",IF($M7655="PADD V","PADD 5","")))))</f>
        <v>PADD 2</v>
      </c>
      <c r="G7655" s="6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6" t="s">
        <v>44</v>
      </c>
      <c r="I7655" s="6" t="s">
        <v>601</v>
      </c>
      <c r="J7655" s="6" t="s">
        <v>394</v>
      </c>
      <c r="K7655" s="10">
        <v>3</v>
      </c>
      <c r="L7655" s="10">
        <v>100</v>
      </c>
      <c r="M7655" s="6" t="s">
        <v>425</v>
      </c>
      <c r="N7655" s="6">
        <f>IF(OR($G7655="FCC",$G7655="Hydrocracker",$G7655="Reformer"),IF(COUNTIFS($D:$D,$D7655,$A:$A,$A7655,$B:$B,$B7655,$G:$G,"CDU",$J:$J,"PLANNED")&gt;0,"tied","standalone"),"")</f>
        <v/>
      </c>
    </row>
    <row r="7656" spans="1:14">
      <c r="A7656" s="6">
        <v>2026</v>
      </c>
      <c r="B7656" s="6">
        <v>4</v>
      </c>
      <c r="C7656" s="6" t="s">
        <v>63</v>
      </c>
      <c r="D7656" s="6" t="s">
        <v>772</v>
      </c>
      <c r="E7656" s="6" t="s">
        <v>502</v>
      </c>
      <c r="F7656" s="6" t="str">
        <f>IF($M7656="PADD I","PADD 1",IF($M7656="PADD II","PADD 2",IF($M7656="PADD III","PADD 3",IF($M7656="PADD IV","PADD 4",IF($M7656="PADD V","PADD 5","")))))</f>
        <v>PADD 4</v>
      </c>
      <c r="G7656" s="6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6" t="s">
        <v>618</v>
      </c>
      <c r="I7656" s="6" t="s">
        <v>1417</v>
      </c>
      <c r="J7656" s="6" t="s">
        <v>398</v>
      </c>
      <c r="K7656" s="10">
        <v>3</v>
      </c>
      <c r="L7656" s="10">
        <v>3</v>
      </c>
      <c r="M7656" s="6" t="s">
        <v>480</v>
      </c>
      <c r="N7656" s="6">
        <f>IF(OR($G7656="FCC",$G7656="Hydrocracker",$G7656="Reformer"),IF(COUNTIFS($D:$D,$D7656,$A:$A,$A7656,$B:$B,$B7656,$G:$G,"CDU",$J:$J,"PLANNED")&gt;0,"tied","standalone"),"")</f>
        <v/>
      </c>
    </row>
    <row r="7657" spans="1:14">
      <c r="A7657" s="6">
        <v>2026</v>
      </c>
      <c r="B7657" s="6">
        <v>4</v>
      </c>
      <c r="C7657" s="6" t="s">
        <v>63</v>
      </c>
      <c r="D7657" s="6" t="s">
        <v>772</v>
      </c>
      <c r="E7657" s="6" t="s">
        <v>502</v>
      </c>
      <c r="F7657" s="6" t="str">
        <f>IF($M7657="PADD I","PADD 1",IF($M7657="PADD II","PADD 2",IF($M7657="PADD III","PADD 3",IF($M7657="PADD IV","PADD 4",IF($M7657="PADD V","PADD 5","")))))</f>
        <v>PADD 4</v>
      </c>
      <c r="G7657" s="6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6" t="s">
        <v>510</v>
      </c>
      <c r="I7657" s="6" t="s">
        <v>1159</v>
      </c>
      <c r="J7657" s="6" t="s">
        <v>398</v>
      </c>
      <c r="K7657" s="10">
        <v>2.9</v>
      </c>
      <c r="L7657" s="10">
        <v>2.9</v>
      </c>
      <c r="M7657" s="6" t="s">
        <v>480</v>
      </c>
      <c r="N7657" s="6">
        <f>IF(OR($G7657="FCC",$G7657="Hydrocracker",$G7657="Reformer"),IF(COUNTIFS($D:$D,$D7657,$A:$A,$A7657,$B:$B,$B7657,$G:$G,"CDU",$J:$J,"PLANNED")&gt;0,"tied","standalone"),"")</f>
        <v/>
      </c>
    </row>
    <row r="7658" spans="1:14">
      <c r="A7658" s="6">
        <v>2026</v>
      </c>
      <c r="B7658" s="6">
        <v>4</v>
      </c>
      <c r="C7658" s="6" t="s">
        <v>63</v>
      </c>
      <c r="D7658" s="6" t="s">
        <v>53</v>
      </c>
      <c r="E7658" s="6" t="s">
        <v>438</v>
      </c>
      <c r="F7658" s="6" t="str">
        <f>IF($M7658="PADD I","PADD 1",IF($M7658="PADD II","PADD 2",IF($M7658="PADD III","PADD 3",IF($M7658="PADD IV","PADD 4",IF($M7658="PADD V","PADD 5","")))))</f>
        <v>PADD 5</v>
      </c>
      <c r="G7658" s="6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6" t="s">
        <v>618</v>
      </c>
      <c r="I7658" s="6" t="s">
        <v>875</v>
      </c>
      <c r="J7658" s="6" t="s">
        <v>398</v>
      </c>
      <c r="K7658" s="10">
        <v>2.8</v>
      </c>
      <c r="L7658" s="10">
        <v>4</v>
      </c>
      <c r="M7658" s="6" t="s">
        <v>436</v>
      </c>
      <c r="N7658" s="6">
        <f>IF(OR($G7658="FCC",$G7658="Hydrocracker",$G7658="Reformer"),IF(COUNTIFS($D:$D,$D7658,$A:$A,$A7658,$B:$B,$B7658,$G:$G,"CDU",$J:$J,"PLANNED")&gt;0,"tied","standalone"),"")</f>
        <v/>
      </c>
    </row>
    <row r="7659" spans="1:14">
      <c r="A7659" s="6">
        <v>2026</v>
      </c>
      <c r="B7659" s="6">
        <v>4</v>
      </c>
      <c r="C7659" s="6" t="s">
        <v>63</v>
      </c>
      <c r="D7659" s="6" t="s">
        <v>422</v>
      </c>
      <c r="E7659" s="6" t="s">
        <v>423</v>
      </c>
      <c r="F7659" s="6" t="str">
        <f>IF($M7659="PADD I","PADD 1",IF($M7659="PADD II","PADD 2",IF($M7659="PADD III","PADD 3",IF($M7659="PADD IV","PADD 4",IF($M7659="PADD V","PADD 5","")))))</f>
        <v>PADD 2</v>
      </c>
      <c r="G7659" s="6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6" t="s">
        <v>485</v>
      </c>
      <c r="I7659" s="6" t="s">
        <v>634</v>
      </c>
      <c r="J7659" s="6" t="s">
        <v>394</v>
      </c>
      <c r="K7659" s="10">
        <v>2.775</v>
      </c>
      <c r="L7659" s="10">
        <v>7.5</v>
      </c>
      <c r="M7659" s="6" t="s">
        <v>425</v>
      </c>
      <c r="N7659" s="6">
        <f>IF(OR($G7659="FCC",$G7659="Hydrocracker",$G7659="Reformer"),IF(COUNTIFS($D:$D,$D7659,$A:$A,$A7659,$B:$B,$B7659,$G:$G,"CDU",$J:$J,"PLANNED")&gt;0,"tied","standalone"),"")</f>
        <v/>
      </c>
    </row>
    <row r="7660" spans="1:14">
      <c r="A7660" s="6">
        <v>2026</v>
      </c>
      <c r="B7660" s="6">
        <v>4</v>
      </c>
      <c r="C7660" s="6" t="s">
        <v>63</v>
      </c>
      <c r="D7660" s="6" t="s">
        <v>592</v>
      </c>
      <c r="E7660" s="6" t="s">
        <v>593</v>
      </c>
      <c r="F7660" s="6" t="str">
        <f>IF($M7660="PADD I","PADD 1",IF($M7660="PADD II","PADD 2",IF($M7660="PADD III","PADD 3",IF($M7660="PADD IV","PADD 4",IF($M7660="PADD V","PADD 5","")))))</f>
        <v>PADD 2</v>
      </c>
      <c r="G7660" s="6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6" t="s">
        <v>39</v>
      </c>
      <c r="I7660" s="6" t="s">
        <v>1165</v>
      </c>
      <c r="J7660" s="6" t="s">
        <v>394</v>
      </c>
      <c r="K7660" s="10">
        <v>2.7</v>
      </c>
      <c r="L7660" s="10">
        <v>90</v>
      </c>
      <c r="M7660" s="6" t="s">
        <v>425</v>
      </c>
      <c r="N7660" s="6">
        <f>IF(OR($G7660="FCC",$G7660="Hydrocracker",$G7660="Reformer"),IF(COUNTIFS($D:$D,$D7660,$A:$A,$A7660,$B:$B,$B7660,$G:$G,"CDU",$J:$J,"PLANNED")&gt;0,"tied","standalone"),"")</f>
        <v/>
      </c>
    </row>
    <row r="7661" spans="1:14">
      <c r="A7661" s="6">
        <v>2026</v>
      </c>
      <c r="B7661" s="6">
        <v>4</v>
      </c>
      <c r="C7661" s="6" t="s">
        <v>63</v>
      </c>
      <c r="D7661" s="6" t="s">
        <v>592</v>
      </c>
      <c r="E7661" s="6" t="s">
        <v>593</v>
      </c>
      <c r="F7661" s="6" t="str">
        <f>IF($M7661="PADD I","PADD 1",IF($M7661="PADD II","PADD 2",IF($M7661="PADD III","PADD 3",IF($M7661="PADD IV","PADD 4",IF($M7661="PADD V","PADD 5","")))))</f>
        <v>PADD 2</v>
      </c>
      <c r="G7661" s="6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6" t="s">
        <v>39</v>
      </c>
      <c r="I7661" s="6" t="s">
        <v>740</v>
      </c>
      <c r="J7661" s="6" t="s">
        <v>394</v>
      </c>
      <c r="K7661" s="10">
        <v>2.7</v>
      </c>
      <c r="L7661" s="10">
        <v>90</v>
      </c>
      <c r="M7661" s="6" t="s">
        <v>425</v>
      </c>
      <c r="N7661" s="6">
        <f>IF(OR($G7661="FCC",$G7661="Hydrocracker",$G7661="Reformer"),IF(COUNTIFS($D:$D,$D7661,$A:$A,$A7661,$B:$B,$B7661,$G:$G,"CDU",$J:$J,"PLANNED")&gt;0,"tied","standalone"),"")</f>
        <v/>
      </c>
    </row>
    <row r="7662" spans="1:14">
      <c r="A7662" s="6">
        <v>2026</v>
      </c>
      <c r="B7662" s="6">
        <v>4</v>
      </c>
      <c r="C7662" s="6" t="s">
        <v>63</v>
      </c>
      <c r="D7662" s="6" t="s">
        <v>592</v>
      </c>
      <c r="E7662" s="6" t="s">
        <v>593</v>
      </c>
      <c r="F7662" s="6" t="str">
        <f>IF($M7662="PADD I","PADD 1",IF($M7662="PADD II","PADD 2",IF($M7662="PADD III","PADD 3",IF($M7662="PADD IV","PADD 4",IF($M7662="PADD V","PADD 5","")))))</f>
        <v>PADD 2</v>
      </c>
      <c r="G7662" s="6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6" t="s">
        <v>44</v>
      </c>
      <c r="I7662" s="6" t="s">
        <v>1161</v>
      </c>
      <c r="J7662" s="6" t="s">
        <v>394</v>
      </c>
      <c r="K7662" s="10">
        <v>2.55</v>
      </c>
      <c r="L7662" s="10">
        <v>85</v>
      </c>
      <c r="M7662" s="6" t="s">
        <v>425</v>
      </c>
      <c r="N7662" s="6">
        <f>IF(OR($G7662="FCC",$G7662="Hydrocracker",$G7662="Reformer"),IF(COUNTIFS($D:$D,$D7662,$A:$A,$A7662,$B:$B,$B7662,$G:$G,"CDU",$J:$J,"PLANNED")&gt;0,"tied","standalone"),"")</f>
        <v/>
      </c>
    </row>
    <row r="7663" spans="1:14">
      <c r="A7663" s="6">
        <v>2026</v>
      </c>
      <c r="B7663" s="6">
        <v>4</v>
      </c>
      <c r="C7663" s="6" t="s">
        <v>63</v>
      </c>
      <c r="D7663" s="6" t="s">
        <v>375</v>
      </c>
      <c r="E7663" s="6" t="s">
        <v>435</v>
      </c>
      <c r="F7663" s="6" t="str">
        <f>IF($M7663="PADD I","PADD 1",IF($M7663="PADD II","PADD 2",IF($M7663="PADD III","PADD 3",IF($M7663="PADD IV","PADD 4",IF($M7663="PADD V","PADD 5","")))))</f>
        <v>PADD 5</v>
      </c>
      <c r="G7663" s="6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6" t="s">
        <v>485</v>
      </c>
      <c r="I7663" s="6" t="s">
        <v>863</v>
      </c>
      <c r="J7663" s="6" t="s">
        <v>394</v>
      </c>
      <c r="K7663" s="10">
        <v>2.5</v>
      </c>
      <c r="L7663" s="10">
        <v>25</v>
      </c>
      <c r="M7663" s="6" t="s">
        <v>436</v>
      </c>
      <c r="N7663" s="6">
        <f>IF(OR($G7663="FCC",$G7663="Hydrocracker",$G7663="Reformer"),IF(COUNTIFS($D:$D,$D7663,$A:$A,$A7663,$B:$B,$B7663,$G:$G,"CDU",$J:$J,"PLANNED")&gt;0,"tied","standalone"),"")</f>
        <v/>
      </c>
    </row>
    <row r="7664" spans="1:14">
      <c r="A7664" s="6">
        <v>2026</v>
      </c>
      <c r="B7664" s="6">
        <v>4</v>
      </c>
      <c r="C7664" s="6" t="s">
        <v>63</v>
      </c>
      <c r="D7664" s="6" t="s">
        <v>626</v>
      </c>
      <c r="E7664" s="6" t="s">
        <v>419</v>
      </c>
      <c r="F7664" s="6" t="str">
        <f>IF($M7664="PADD I","PADD 1",IF($M7664="PADD II","PADD 2",IF($M7664="PADD III","PADD 3",IF($M7664="PADD IV","PADD 4",IF($M7664="PADD V","PADD 5","")))))</f>
        <v>PADD 3</v>
      </c>
      <c r="G7664" s="6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6" t="s">
        <v>471</v>
      </c>
      <c r="I7664" s="6" t="s">
        <v>533</v>
      </c>
      <c r="J7664" s="6" t="s">
        <v>394</v>
      </c>
      <c r="K7664" s="10">
        <v>2.4</v>
      </c>
      <c r="L7664" s="10">
        <v>12</v>
      </c>
      <c r="M7664" s="6" t="s">
        <v>421</v>
      </c>
      <c r="N7664" s="6" t="str">
        <f>IF(OR($G7664="FCC",$G7664="Hydrocracker",$G7664="Reformer"),IF(COUNTIFS($D:$D,$D7664,$A:$A,$A7664,$B:$B,$B7664,$G:$G,"CDU",$J:$J,"PLANNED")&gt;0,"tied","standalone"),"")</f>
        <v>standalone</v>
      </c>
    </row>
    <row r="7665" spans="1:14">
      <c r="A7665" s="6">
        <v>2026</v>
      </c>
      <c r="B7665" s="6">
        <v>4</v>
      </c>
      <c r="C7665" s="6" t="s">
        <v>63</v>
      </c>
      <c r="D7665" s="6" t="s">
        <v>487</v>
      </c>
      <c r="E7665" s="6" t="s">
        <v>488</v>
      </c>
      <c r="F7665" s="6" t="str">
        <f>IF($M7665="PADD I","PADD 1",IF($M7665="PADD II","PADD 2",IF($M7665="PADD III","PADD 3",IF($M7665="PADD IV","PADD 4",IF($M7665="PADD V","PADD 5","")))))</f>
        <v>PADD 4</v>
      </c>
      <c r="G7665" s="6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6" t="s">
        <v>428</v>
      </c>
      <c r="I7665" s="6" t="s">
        <v>606</v>
      </c>
      <c r="J7665" s="6" t="s">
        <v>394</v>
      </c>
      <c r="K7665" s="10">
        <v>2.3</v>
      </c>
      <c r="L7665" s="10">
        <v>10</v>
      </c>
      <c r="M7665" s="6" t="s">
        <v>480</v>
      </c>
      <c r="N7665" s="6">
        <f>IF(OR($G7665="FCC",$G7665="Hydrocracker",$G7665="Reformer"),IF(COUNTIFS($D:$D,$D7665,$A:$A,$A7665,$B:$B,$B7665,$G:$G,"CDU",$J:$J,"PLANNED")&gt;0,"tied","standalone"),"")</f>
        <v/>
      </c>
    </row>
    <row r="7666" spans="1:14">
      <c r="A7666" s="6">
        <v>2026</v>
      </c>
      <c r="B7666" s="6">
        <v>4</v>
      </c>
      <c r="C7666" s="6" t="s">
        <v>63</v>
      </c>
      <c r="D7666" s="6" t="s">
        <v>1365</v>
      </c>
      <c r="E7666" s="6" t="s">
        <v>1366</v>
      </c>
      <c r="F7666" s="6" t="str">
        <f>IF($M7666="PADD I","PADD 1",IF($M7666="PADD II","PADD 2",IF($M7666="PADD III","PADD 3",IF($M7666="PADD IV","PADD 4",IF($M7666="PADD V","PADD 5","")))))</f>
        <v>PADD 1</v>
      </c>
      <c r="G7666" s="6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6" t="s">
        <v>471</v>
      </c>
      <c r="I7666" s="6" t="s">
        <v>621</v>
      </c>
      <c r="J7666" s="6" t="s">
        <v>394</v>
      </c>
      <c r="K7666" s="10">
        <v>2.2</v>
      </c>
      <c r="L7666" s="10">
        <v>2.2</v>
      </c>
      <c r="M7666" s="6" t="s">
        <v>463</v>
      </c>
      <c r="N7666" s="6" t="str">
        <f>IF(OR($G7666="FCC",$G7666="Hydrocracker",$G7666="Reformer"),IF(COUNTIFS($D:$D,$D7666,$A:$A,$A7666,$B:$B,$B7666,$G:$G,"CDU",$J:$J,"PLANNED")&gt;0,"tied","standalone"),"")</f>
        <v>standalone</v>
      </c>
    </row>
    <row r="7667" spans="1:14">
      <c r="A7667" s="6">
        <v>2026</v>
      </c>
      <c r="B7667" s="6">
        <v>4</v>
      </c>
      <c r="C7667" s="6" t="s">
        <v>63</v>
      </c>
      <c r="D7667" s="6" t="s">
        <v>592</v>
      </c>
      <c r="E7667" s="6" t="s">
        <v>593</v>
      </c>
      <c r="F7667" s="6" t="str">
        <f>IF($M7667="PADD I","PADD 1",IF($M7667="PADD II","PADD 2",IF($M7667="PADD III","PADD 3",IF($M7667="PADD IV","PADD 4",IF($M7667="PADD V","PADD 5","")))))</f>
        <v>PADD 2</v>
      </c>
      <c r="G7667" s="6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6" t="s">
        <v>44</v>
      </c>
      <c r="I7667" s="6" t="s">
        <v>809</v>
      </c>
      <c r="J7667" s="6" t="s">
        <v>394</v>
      </c>
      <c r="K7667" s="10">
        <v>2.1</v>
      </c>
      <c r="L7667" s="10">
        <v>70</v>
      </c>
      <c r="M7667" s="6" t="s">
        <v>425</v>
      </c>
      <c r="N7667" s="6">
        <f>IF(OR($G7667="FCC",$G7667="Hydrocracker",$G7667="Reformer"),IF(COUNTIFS($D:$D,$D7667,$A:$A,$A7667,$B:$B,$B7667,$G:$G,"CDU",$J:$J,"PLANNED")&gt;0,"tied","standalone"),"")</f>
        <v/>
      </c>
    </row>
    <row r="7668" spans="1:14">
      <c r="A7668" s="6">
        <v>2026</v>
      </c>
      <c r="B7668" s="6">
        <v>4</v>
      </c>
      <c r="C7668" s="6" t="s">
        <v>63</v>
      </c>
      <c r="D7668" s="6" t="s">
        <v>764</v>
      </c>
      <c r="E7668" s="6" t="s">
        <v>455</v>
      </c>
      <c r="F7668" s="6" t="str">
        <f>IF($M7668="PADD I","PADD 1",IF($M7668="PADD II","PADD 2",IF($M7668="PADD III","PADD 3",IF($M7668="PADD IV","PADD 4",IF($M7668="PADD V","PADD 5","")))))</f>
        <v>PADD 3</v>
      </c>
      <c r="G7668" s="6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6" t="s">
        <v>494</v>
      </c>
      <c r="I7668" s="6" t="s">
        <v>14</v>
      </c>
      <c r="J7668" s="6" t="s">
        <v>394</v>
      </c>
      <c r="K7668" s="10">
        <v>2.065</v>
      </c>
      <c r="L7668" s="10">
        <v>29.5</v>
      </c>
      <c r="M7668" s="6" t="s">
        <v>421</v>
      </c>
      <c r="N7668" s="6" t="str">
        <f>IF(OR($G7668="FCC",$G7668="Hydrocracker",$G7668="Reformer"),IF(COUNTIFS($D:$D,$D7668,$A:$A,$A7668,$B:$B,$B7668,$G:$G,"CDU",$J:$J,"PLANNED")&gt;0,"tied","standalone"),"")</f>
        <v>standalone</v>
      </c>
    </row>
    <row r="7669" spans="1:14">
      <c r="A7669" s="6">
        <v>2026</v>
      </c>
      <c r="B7669" s="6">
        <v>4</v>
      </c>
      <c r="C7669" s="6" t="s">
        <v>63</v>
      </c>
      <c r="D7669" s="6" t="s">
        <v>764</v>
      </c>
      <c r="E7669" s="6" t="s">
        <v>455</v>
      </c>
      <c r="F7669" s="6" t="str">
        <f>IF($M7669="PADD I","PADD 1",IF($M7669="PADD II","PADD 2",IF($M7669="PADD III","PADD 3",IF($M7669="PADD IV","PADD 4",IF($M7669="PADD V","PADD 5","")))))</f>
        <v>PADD 3</v>
      </c>
      <c r="G7669" s="6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6" t="s">
        <v>471</v>
      </c>
      <c r="I7669" s="6" t="s">
        <v>914</v>
      </c>
      <c r="J7669" s="6" t="s">
        <v>394</v>
      </c>
      <c r="K7669" s="10">
        <v>2.023</v>
      </c>
      <c r="L7669" s="10">
        <v>28.9</v>
      </c>
      <c r="M7669" s="6" t="s">
        <v>421</v>
      </c>
      <c r="N7669" s="6" t="str">
        <f>IF(OR($G7669="FCC",$G7669="Hydrocracker",$G7669="Reformer"),IF(COUNTIFS($D:$D,$D7669,$A:$A,$A7669,$B:$B,$B7669,$G:$G,"CDU",$J:$J,"PLANNED")&gt;0,"tied","standalone"),"")</f>
        <v>standalone</v>
      </c>
    </row>
    <row r="7670" spans="1:14">
      <c r="A7670" s="6">
        <v>2026</v>
      </c>
      <c r="B7670" s="6">
        <v>4</v>
      </c>
      <c r="C7670" s="6" t="s">
        <v>63</v>
      </c>
      <c r="D7670" s="6" t="s">
        <v>849</v>
      </c>
      <c r="E7670" s="6" t="s">
        <v>441</v>
      </c>
      <c r="F7670" s="6" t="str">
        <f>IF($M7670="PADD I","PADD 1",IF($M7670="PADD II","PADD 2",IF($M7670="PADD III","PADD 3",IF($M7670="PADD IV","PADD 4",IF($M7670="PADD V","PADD 5","")))))</f>
        <v>PADD 4</v>
      </c>
      <c r="G7670" s="6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6" t="s">
        <v>485</v>
      </c>
      <c r="I7670" s="6" t="s">
        <v>1238</v>
      </c>
      <c r="J7670" s="6" t="s">
        <v>394</v>
      </c>
      <c r="K7670" s="10">
        <v>2</v>
      </c>
      <c r="L7670" s="10">
        <v>10</v>
      </c>
      <c r="M7670" s="6" t="s">
        <v>480</v>
      </c>
      <c r="N7670" s="6">
        <f>IF(OR($G7670="FCC",$G7670="Hydrocracker",$G7670="Reformer"),IF(COUNTIFS($D:$D,$D7670,$A:$A,$A7670,$B:$B,$B7670,$G:$G,"CDU",$J:$J,"PLANNED")&gt;0,"tied","standalone"),"")</f>
        <v/>
      </c>
    </row>
    <row r="7671" spans="1:14">
      <c r="A7671" s="6">
        <v>2026</v>
      </c>
      <c r="B7671" s="6">
        <v>4</v>
      </c>
      <c r="C7671" s="6" t="s">
        <v>63</v>
      </c>
      <c r="D7671" s="6" t="s">
        <v>370</v>
      </c>
      <c r="E7671" s="6" t="s">
        <v>431</v>
      </c>
      <c r="F7671" s="6" t="str">
        <f>IF($M7671="PADD I","PADD 1",IF($M7671="PADD II","PADD 2",IF($M7671="PADD III","PADD 3",IF($M7671="PADD IV","PADD 4",IF($M7671="PADD V","PADD 5","")))))</f>
        <v>PADD 2</v>
      </c>
      <c r="G7671" s="6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6" t="s">
        <v>485</v>
      </c>
      <c r="I7671" s="6" t="s">
        <v>491</v>
      </c>
      <c r="J7671" s="6" t="s">
        <v>394</v>
      </c>
      <c r="K7671" s="10">
        <v>2</v>
      </c>
      <c r="L7671" s="10">
        <v>10</v>
      </c>
      <c r="M7671" s="6" t="s">
        <v>425</v>
      </c>
      <c r="N7671" s="6">
        <f>IF(OR($G7671="FCC",$G7671="Hydrocracker",$G7671="Reformer"),IF(COUNTIFS($D:$D,$D7671,$A:$A,$A7671,$B:$B,$B7671,$G:$G,"CDU",$J:$J,"PLANNED")&gt;0,"tied","standalone"),"")</f>
        <v/>
      </c>
    </row>
    <row r="7672" spans="1:14">
      <c r="A7672" s="6">
        <v>2026</v>
      </c>
      <c r="B7672" s="6">
        <v>4</v>
      </c>
      <c r="C7672" s="6" t="s">
        <v>63</v>
      </c>
      <c r="D7672" s="6" t="s">
        <v>368</v>
      </c>
      <c r="E7672" s="6" t="s">
        <v>715</v>
      </c>
      <c r="F7672" s="6" t="str">
        <f>IF($M7672="PADD I","PADD 1",IF($M7672="PADD II","PADD 2",IF($M7672="PADD III","PADD 3",IF($M7672="PADD IV","PADD 4",IF($M7672="PADD V","PADD 5","")))))</f>
        <v>PADD 3</v>
      </c>
      <c r="G7672" s="6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6" t="s">
        <v>426</v>
      </c>
      <c r="I7672" s="6" t="s">
        <v>925</v>
      </c>
      <c r="J7672" s="6" t="s">
        <v>394</v>
      </c>
      <c r="K7672" s="10">
        <v>2</v>
      </c>
      <c r="L7672" s="10">
        <v>20</v>
      </c>
      <c r="M7672" s="6" t="s">
        <v>421</v>
      </c>
      <c r="N7672" s="6" t="str">
        <f>IF(OR($G7672="FCC",$G7672="Hydrocracker",$G7672="Reformer"),IF(COUNTIFS($D:$D,$D7672,$A:$A,$A7672,$B:$B,$B7672,$G:$G,"CDU",$J:$J,"PLANNED")&gt;0,"tied","standalone"),"")</f>
        <v>standalone</v>
      </c>
    </row>
    <row r="7673" spans="1:14">
      <c r="A7673" s="6">
        <v>2026</v>
      </c>
      <c r="B7673" s="6">
        <v>4</v>
      </c>
      <c r="C7673" s="6" t="s">
        <v>63</v>
      </c>
      <c r="D7673" s="6" t="s">
        <v>592</v>
      </c>
      <c r="E7673" s="6" t="s">
        <v>593</v>
      </c>
      <c r="F7673" s="6" t="str">
        <f>IF($M7673="PADD I","PADD 1",IF($M7673="PADD II","PADD 2",IF($M7673="PADD III","PADD 3",IF($M7673="PADD IV","PADD 4",IF($M7673="PADD V","PADD 5","")))))</f>
        <v>PADD 2</v>
      </c>
      <c r="G7673" s="6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6" t="s">
        <v>426</v>
      </c>
      <c r="I7673" s="6" t="s">
        <v>1163</v>
      </c>
      <c r="J7673" s="6" t="s">
        <v>394</v>
      </c>
      <c r="K7673" s="10">
        <v>1.95</v>
      </c>
      <c r="L7673" s="10">
        <v>65</v>
      </c>
      <c r="M7673" s="6" t="s">
        <v>425</v>
      </c>
      <c r="N7673" s="6" t="str">
        <f>IF(OR($G7673="FCC",$G7673="Hydrocracker",$G7673="Reformer"),IF(COUNTIFS($D:$D,$D7673,$A:$A,$A7673,$B:$B,$B7673,$G:$G,"CDU",$J:$J,"PLANNED")&gt;0,"tied","standalone"),"")</f>
        <v>standalone</v>
      </c>
    </row>
    <row r="7674" spans="1:14">
      <c r="A7674" s="6">
        <v>2026</v>
      </c>
      <c r="B7674" s="6">
        <v>4</v>
      </c>
      <c r="C7674" s="6" t="s">
        <v>63</v>
      </c>
      <c r="D7674" s="6" t="s">
        <v>853</v>
      </c>
      <c r="E7674" s="6" t="s">
        <v>438</v>
      </c>
      <c r="F7674" s="6" t="str">
        <f>IF($M7674="PADD I","PADD 1",IF($M7674="PADD II","PADD 2",IF($M7674="PADD III","PADD 3",IF($M7674="PADD IV","PADD 4",IF($M7674="PADD V","PADD 5","")))))</f>
        <v>PADD 2</v>
      </c>
      <c r="G7674" s="6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6" t="s">
        <v>471</v>
      </c>
      <c r="I7674" s="6" t="s">
        <v>609</v>
      </c>
      <c r="J7674" s="6" t="s">
        <v>394</v>
      </c>
      <c r="K7674" s="10">
        <v>1.9125</v>
      </c>
      <c r="L7674" s="10">
        <v>11.25</v>
      </c>
      <c r="M7674" s="6" t="s">
        <v>425</v>
      </c>
      <c r="N7674" s="6" t="str">
        <f>IF(OR($G7674="FCC",$G7674="Hydrocracker",$G7674="Reformer"),IF(COUNTIFS($D:$D,$D7674,$A:$A,$A7674,$B:$B,$B7674,$G:$G,"CDU",$J:$J,"PLANNED")&gt;0,"tied","standalone"),"")</f>
        <v>standalone</v>
      </c>
    </row>
    <row r="7675" spans="1:14">
      <c r="A7675" s="6">
        <v>2026</v>
      </c>
      <c r="B7675" s="6">
        <v>4</v>
      </c>
      <c r="C7675" s="6" t="s">
        <v>63</v>
      </c>
      <c r="D7675" s="6" t="s">
        <v>853</v>
      </c>
      <c r="E7675" s="6" t="s">
        <v>438</v>
      </c>
      <c r="F7675" s="6" t="str">
        <f>IF($M7675="PADD I","PADD 1",IF($M7675="PADD II","PADD 2",IF($M7675="PADD III","PADD 3",IF($M7675="PADD IV","PADD 4",IF($M7675="PADD V","PADD 5","")))))</f>
        <v>PADD 2</v>
      </c>
      <c r="G7675" s="6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6" t="s">
        <v>471</v>
      </c>
      <c r="I7675" s="6" t="s">
        <v>609</v>
      </c>
      <c r="J7675" s="6" t="s">
        <v>394</v>
      </c>
      <c r="K7675" s="10">
        <v>1.9125</v>
      </c>
      <c r="L7675" s="10">
        <v>11.25</v>
      </c>
      <c r="M7675" s="6" t="s">
        <v>425</v>
      </c>
      <c r="N7675" s="6" t="str">
        <f>IF(OR($G7675="FCC",$G7675="Hydrocracker",$G7675="Reformer"),IF(COUNTIFS($D:$D,$D7675,$A:$A,$A7675,$B:$B,$B7675,$G:$G,"CDU",$J:$J,"PLANNED")&gt;0,"tied","standalone"),"")</f>
        <v>standalone</v>
      </c>
    </row>
    <row r="7676" spans="1:14">
      <c r="A7676" s="6">
        <v>2026</v>
      </c>
      <c r="B7676" s="6">
        <v>4</v>
      </c>
      <c r="C7676" s="6" t="s">
        <v>63</v>
      </c>
      <c r="D7676" s="6" t="s">
        <v>853</v>
      </c>
      <c r="E7676" s="6" t="s">
        <v>438</v>
      </c>
      <c r="F7676" s="6" t="str">
        <f>IF($M7676="PADD I","PADD 1",IF($M7676="PADD II","PADD 2",IF($M7676="PADD III","PADD 3",IF($M7676="PADD IV","PADD 4",IF($M7676="PADD V","PADD 5","")))))</f>
        <v>PADD 2</v>
      </c>
      <c r="G7676" s="6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6" t="s">
        <v>471</v>
      </c>
      <c r="I7676" s="6" t="s">
        <v>609</v>
      </c>
      <c r="J7676" s="6" t="s">
        <v>394</v>
      </c>
      <c r="K7676" s="10">
        <v>1.9125</v>
      </c>
      <c r="L7676" s="10">
        <v>11.25</v>
      </c>
      <c r="M7676" s="6" t="s">
        <v>425</v>
      </c>
      <c r="N7676" s="6" t="str">
        <f>IF(OR($G7676="FCC",$G7676="Hydrocracker",$G7676="Reformer"),IF(COUNTIFS($D:$D,$D7676,$A:$A,$A7676,$B:$B,$B7676,$G:$G,"CDU",$J:$J,"PLANNED")&gt;0,"tied","standalone"),"")</f>
        <v>standalone</v>
      </c>
    </row>
    <row r="7677" spans="1:14">
      <c r="A7677" s="6">
        <v>2026</v>
      </c>
      <c r="B7677" s="6">
        <v>4</v>
      </c>
      <c r="C7677" s="6" t="s">
        <v>63</v>
      </c>
      <c r="D7677" s="6" t="s">
        <v>853</v>
      </c>
      <c r="E7677" s="6" t="s">
        <v>438</v>
      </c>
      <c r="F7677" s="6" t="str">
        <f>IF($M7677="PADD I","PADD 1",IF($M7677="PADD II","PADD 2",IF($M7677="PADD III","PADD 3",IF($M7677="PADD IV","PADD 4",IF($M7677="PADD V","PADD 5","")))))</f>
        <v>PADD 2</v>
      </c>
      <c r="G7677" s="6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6" t="s">
        <v>471</v>
      </c>
      <c r="I7677" s="6" t="s">
        <v>609</v>
      </c>
      <c r="J7677" s="6" t="s">
        <v>394</v>
      </c>
      <c r="K7677" s="10">
        <v>1.9125</v>
      </c>
      <c r="L7677" s="10">
        <v>11.25</v>
      </c>
      <c r="M7677" s="6" t="s">
        <v>425</v>
      </c>
      <c r="N7677" s="6" t="str">
        <f>IF(OR($G7677="FCC",$G7677="Hydrocracker",$G7677="Reformer"),IF(COUNTIFS($D:$D,$D7677,$A:$A,$A7677,$B:$B,$B7677,$G:$G,"CDU",$J:$J,"PLANNED")&gt;0,"tied","standalone"),"")</f>
        <v>standalone</v>
      </c>
    </row>
    <row r="7678" spans="1:14">
      <c r="A7678" s="6">
        <v>2026</v>
      </c>
      <c r="B7678" s="6">
        <v>4</v>
      </c>
      <c r="C7678" s="6" t="s">
        <v>63</v>
      </c>
      <c r="D7678" s="6" t="s">
        <v>592</v>
      </c>
      <c r="E7678" s="6" t="s">
        <v>593</v>
      </c>
      <c r="F7678" s="6" t="str">
        <f>IF($M7678="PADD I","PADD 1",IF($M7678="PADD II","PADD 2",IF($M7678="PADD III","PADD 3",IF($M7678="PADD IV","PADD 4",IF($M7678="PADD V","PADD 5","")))))</f>
        <v>PADD 2</v>
      </c>
      <c r="G7678" s="6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6" t="s">
        <v>471</v>
      </c>
      <c r="I7678" s="6" t="s">
        <v>1164</v>
      </c>
      <c r="J7678" s="6" t="s">
        <v>394</v>
      </c>
      <c r="K7678" s="10">
        <v>1.8</v>
      </c>
      <c r="L7678" s="10">
        <v>60</v>
      </c>
      <c r="M7678" s="6" t="s">
        <v>425</v>
      </c>
      <c r="N7678" s="6" t="str">
        <f>IF(OR($G7678="FCC",$G7678="Hydrocracker",$G7678="Reformer"),IF(COUNTIFS($D:$D,$D7678,$A:$A,$A7678,$B:$B,$B7678,$G:$G,"CDU",$J:$J,"PLANNED")&gt;0,"tied","standalone"),"")</f>
        <v>standalone</v>
      </c>
    </row>
    <row r="7679" spans="1:14">
      <c r="A7679" s="6">
        <v>2026</v>
      </c>
      <c r="B7679" s="6">
        <v>4</v>
      </c>
      <c r="C7679" s="6" t="s">
        <v>63</v>
      </c>
      <c r="D7679" s="6" t="s">
        <v>380</v>
      </c>
      <c r="E7679" s="6" t="s">
        <v>423</v>
      </c>
      <c r="F7679" s="6" t="str">
        <f>IF($M7679="PADD I","PADD 1",IF($M7679="PADD II","PADD 2",IF($M7679="PADD III","PADD 3",IF($M7679="PADD IV","PADD 4",IF($M7679="PADD V","PADD 5","")))))</f>
        <v>PADD 2</v>
      </c>
      <c r="G7679" s="6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6" t="s">
        <v>485</v>
      </c>
      <c r="I7679" s="6" t="s">
        <v>491</v>
      </c>
      <c r="J7679" s="6" t="s">
        <v>394</v>
      </c>
      <c r="K7679" s="10">
        <v>1.61</v>
      </c>
      <c r="L7679" s="10">
        <v>23</v>
      </c>
      <c r="M7679" s="6" t="s">
        <v>425</v>
      </c>
      <c r="N7679" s="6">
        <f>IF(OR($G7679="FCC",$G7679="Hydrocracker",$G7679="Reformer"),IF(COUNTIFS($D:$D,$D7679,$A:$A,$A7679,$B:$B,$B7679,$G:$G,"CDU",$J:$J,"PLANNED")&gt;0,"tied","standalone"),"")</f>
        <v/>
      </c>
    </row>
    <row r="7680" spans="1:14">
      <c r="A7680" s="6">
        <v>2026</v>
      </c>
      <c r="B7680" s="6">
        <v>4</v>
      </c>
      <c r="C7680" s="6" t="s">
        <v>63</v>
      </c>
      <c r="D7680" s="6" t="s">
        <v>1093</v>
      </c>
      <c r="E7680" s="6" t="s">
        <v>438</v>
      </c>
      <c r="F7680" s="6" t="str">
        <f>IF($M7680="PADD I","PADD 1",IF($M7680="PADD II","PADD 2",IF($M7680="PADD III","PADD 3",IF($M7680="PADD IV","PADD 4",IF($M7680="PADD V","PADD 5","")))))</f>
        <v>PADD 2</v>
      </c>
      <c r="G7680" s="6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6" t="s">
        <v>44</v>
      </c>
      <c r="I7680" s="6" t="s">
        <v>514</v>
      </c>
      <c r="J7680" s="6" t="s">
        <v>394</v>
      </c>
      <c r="K7680" s="10">
        <v>1.591</v>
      </c>
      <c r="L7680" s="10">
        <v>4.3</v>
      </c>
      <c r="M7680" s="6" t="s">
        <v>425</v>
      </c>
      <c r="N7680" s="6">
        <f>IF(OR($G7680="FCC",$G7680="Hydrocracker",$G7680="Reformer"),IF(COUNTIFS($D:$D,$D7680,$A:$A,$A7680,$B:$B,$B7680,$G:$G,"CDU",$J:$J,"PLANNED")&gt;0,"tied","standalone"),"")</f>
        <v/>
      </c>
    </row>
    <row r="7681" spans="1:14">
      <c r="A7681" s="6">
        <v>2026</v>
      </c>
      <c r="B7681" s="6">
        <v>4</v>
      </c>
      <c r="C7681" s="6" t="s">
        <v>63</v>
      </c>
      <c r="D7681" s="6" t="s">
        <v>812</v>
      </c>
      <c r="E7681" s="6" t="s">
        <v>813</v>
      </c>
      <c r="F7681" s="6" t="str">
        <f>IF($M7681="PADD I","PADD 1",IF($M7681="PADD II","PADD 2",IF($M7681="PADD III","PADD 3",IF($M7681="PADD IV","PADD 4",IF($M7681="PADD V","PADD 5","")))))</f>
        <v>PADD 2</v>
      </c>
      <c r="G7681" s="6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6" t="s">
        <v>510</v>
      </c>
      <c r="I7681" s="6" t="s">
        <v>666</v>
      </c>
      <c r="J7681" s="6" t="s">
        <v>394</v>
      </c>
      <c r="K7681" s="10">
        <v>1.265</v>
      </c>
      <c r="L7681" s="10">
        <v>5.5</v>
      </c>
      <c r="M7681" s="6" t="s">
        <v>425</v>
      </c>
      <c r="N7681" s="6">
        <f>IF(OR($G7681="FCC",$G7681="Hydrocracker",$G7681="Reformer"),IF(COUNTIFS($D:$D,$D7681,$A:$A,$A7681,$B:$B,$B7681,$G:$G,"CDU",$J:$J,"PLANNED")&gt;0,"tied","standalone"),"")</f>
        <v/>
      </c>
    </row>
    <row r="7682" spans="1:14">
      <c r="A7682" s="6">
        <v>2026</v>
      </c>
      <c r="B7682" s="6">
        <v>4</v>
      </c>
      <c r="C7682" s="6" t="s">
        <v>63</v>
      </c>
      <c r="D7682" s="6" t="s">
        <v>592</v>
      </c>
      <c r="E7682" s="6" t="s">
        <v>593</v>
      </c>
      <c r="F7682" s="6" t="str">
        <f>IF($M7682="PADD I","PADD 1",IF($M7682="PADD II","PADD 2",IF($M7682="PADD III","PADD 3",IF($M7682="PADD IV","PADD 4",IF($M7682="PADD V","PADD 5","")))))</f>
        <v>PADD 2</v>
      </c>
      <c r="G7682" s="6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6" t="s">
        <v>44</v>
      </c>
      <c r="I7682" s="6" t="s">
        <v>965</v>
      </c>
      <c r="J7682" s="6" t="s">
        <v>394</v>
      </c>
      <c r="K7682" s="10">
        <v>1.2</v>
      </c>
      <c r="L7682" s="10">
        <v>40</v>
      </c>
      <c r="M7682" s="6" t="s">
        <v>425</v>
      </c>
      <c r="N7682" s="6">
        <f>IF(OR($G7682="FCC",$G7682="Hydrocracker",$G7682="Reformer"),IF(COUNTIFS($D:$D,$D7682,$A:$A,$A7682,$B:$B,$B7682,$G:$G,"CDU",$J:$J,"PLANNED")&gt;0,"tied","standalone"),"")</f>
        <v/>
      </c>
    </row>
    <row r="7683" spans="1:14">
      <c r="A7683" s="6">
        <v>2026</v>
      </c>
      <c r="B7683" s="6">
        <v>4</v>
      </c>
      <c r="C7683" s="6" t="s">
        <v>63</v>
      </c>
      <c r="D7683" s="6" t="s">
        <v>375</v>
      </c>
      <c r="E7683" s="6" t="s">
        <v>435</v>
      </c>
      <c r="F7683" s="6" t="str">
        <f>IF($M7683="PADD I","PADD 1",IF($M7683="PADD II","PADD 2",IF($M7683="PADD III","PADD 3",IF($M7683="PADD IV","PADD 4",IF($M7683="PADD V","PADD 5","")))))</f>
        <v>PADD 5</v>
      </c>
      <c r="G7683" s="6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6" t="s">
        <v>39</v>
      </c>
      <c r="I7683" s="6" t="s">
        <v>94</v>
      </c>
      <c r="J7683" s="6" t="s">
        <v>394</v>
      </c>
      <c r="K7683" s="10">
        <v>1.2</v>
      </c>
      <c r="L7683" s="10">
        <v>40</v>
      </c>
      <c r="M7683" s="6" t="s">
        <v>436</v>
      </c>
      <c r="N7683" s="6">
        <f>IF(OR($G7683="FCC",$G7683="Hydrocracker",$G7683="Reformer"),IF(COUNTIFS($D:$D,$D7683,$A:$A,$A7683,$B:$B,$B7683,$G:$G,"CDU",$J:$J,"PLANNED")&gt;0,"tied","standalone"),"")</f>
        <v/>
      </c>
    </row>
    <row r="7684" spans="1:14">
      <c r="A7684" s="6">
        <v>2026</v>
      </c>
      <c r="B7684" s="6">
        <v>4</v>
      </c>
      <c r="C7684" s="6" t="s">
        <v>63</v>
      </c>
      <c r="D7684" s="6" t="s">
        <v>592</v>
      </c>
      <c r="E7684" s="6" t="s">
        <v>593</v>
      </c>
      <c r="F7684" s="6" t="str">
        <f>IF($M7684="PADD I","PADD 1",IF($M7684="PADD II","PADD 2",IF($M7684="PADD III","PADD 3",IF($M7684="PADD IV","PADD 4",IF($M7684="PADD V","PADD 5","")))))</f>
        <v>PADD 2</v>
      </c>
      <c r="G7684" s="6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6" t="s">
        <v>44</v>
      </c>
      <c r="I7684" s="6" t="s">
        <v>1056</v>
      </c>
      <c r="J7684" s="6" t="s">
        <v>394</v>
      </c>
      <c r="K7684" s="10">
        <v>1.08</v>
      </c>
      <c r="L7684" s="10">
        <v>36</v>
      </c>
      <c r="M7684" s="6" t="s">
        <v>425</v>
      </c>
      <c r="N7684" s="6">
        <f>IF(OR($G7684="FCC",$G7684="Hydrocracker",$G7684="Reformer"),IF(COUNTIFS($D:$D,$D7684,$A:$A,$A7684,$B:$B,$B7684,$G:$G,"CDU",$J:$J,"PLANNED")&gt;0,"tied","standalone"),"")</f>
        <v/>
      </c>
    </row>
    <row r="7685" spans="1:14">
      <c r="A7685" s="6">
        <v>2026</v>
      </c>
      <c r="B7685" s="6">
        <v>4</v>
      </c>
      <c r="C7685" s="6" t="s">
        <v>63</v>
      </c>
      <c r="D7685" s="6" t="s">
        <v>921</v>
      </c>
      <c r="E7685" s="6" t="s">
        <v>922</v>
      </c>
      <c r="F7685" s="6" t="str">
        <f>IF($M7685="PADD I","PADD 1",IF($M7685="PADD II","PADD 2",IF($M7685="PADD III","PADD 3",IF($M7685="PADD IV","PADD 4",IF($M7685="PADD V","PADD 5","")))))</f>
        <v>PADD 4</v>
      </c>
      <c r="G7685" s="6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6" t="s">
        <v>39</v>
      </c>
      <c r="I7685" s="6" t="s">
        <v>82</v>
      </c>
      <c r="J7685" s="6" t="s">
        <v>398</v>
      </c>
      <c r="K7685" s="10">
        <v>1.02</v>
      </c>
      <c r="L7685" s="10">
        <v>3.4</v>
      </c>
      <c r="M7685" s="6" t="s">
        <v>480</v>
      </c>
      <c r="N7685" s="6">
        <f>IF(OR($G7685="FCC",$G7685="Hydrocracker",$G7685="Reformer"),IF(COUNTIFS($D:$D,$D7685,$A:$A,$A7685,$B:$B,$B7685,$G:$G,"CDU",$J:$J,"PLANNED")&gt;0,"tied","standalone"),"")</f>
        <v/>
      </c>
    </row>
    <row r="7686" spans="1:14">
      <c r="A7686" s="6">
        <v>2026</v>
      </c>
      <c r="B7686" s="6">
        <v>4</v>
      </c>
      <c r="C7686" s="6" t="s">
        <v>63</v>
      </c>
      <c r="D7686" s="6" t="s">
        <v>921</v>
      </c>
      <c r="E7686" s="6" t="s">
        <v>922</v>
      </c>
      <c r="F7686" s="6" t="str">
        <f>IF($M7686="PADD I","PADD 1",IF($M7686="PADD II","PADD 2",IF($M7686="PADD III","PADD 3",IF($M7686="PADD IV","PADD 4",IF($M7686="PADD V","PADD 5","")))))</f>
        <v>PADD 4</v>
      </c>
      <c r="G7686" s="6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6" t="s">
        <v>44</v>
      </c>
      <c r="I7686" s="6" t="s">
        <v>923</v>
      </c>
      <c r="J7686" s="6" t="s">
        <v>398</v>
      </c>
      <c r="K7686" s="10">
        <v>0.9</v>
      </c>
      <c r="L7686" s="10">
        <v>3</v>
      </c>
      <c r="M7686" s="6" t="s">
        <v>480</v>
      </c>
      <c r="N7686" s="6">
        <f>IF(OR($G7686="FCC",$G7686="Hydrocracker",$G7686="Reformer"),IF(COUNTIFS($D:$D,$D7686,$A:$A,$A7686,$B:$B,$B7686,$G:$G,"CDU",$J:$J,"PLANNED")&gt;0,"tied","standalone"),"")</f>
        <v/>
      </c>
    </row>
    <row r="7687" spans="1:14">
      <c r="A7687" s="6">
        <v>2026</v>
      </c>
      <c r="B7687" s="6">
        <v>4</v>
      </c>
      <c r="C7687" s="6" t="s">
        <v>63</v>
      </c>
      <c r="D7687" s="6" t="s">
        <v>921</v>
      </c>
      <c r="E7687" s="6" t="s">
        <v>922</v>
      </c>
      <c r="F7687" s="6" t="str">
        <f>IF($M7687="PADD I","PADD 1",IF($M7687="PADD II","PADD 2",IF($M7687="PADD III","PADD 3",IF($M7687="PADD IV","PADD 4",IF($M7687="PADD V","PADD 5","")))))</f>
        <v>PADD 4</v>
      </c>
      <c r="G7687" s="6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6" t="s">
        <v>471</v>
      </c>
      <c r="I7687" s="6" t="s">
        <v>15</v>
      </c>
      <c r="J7687" s="6" t="s">
        <v>398</v>
      </c>
      <c r="K7687" s="10">
        <v>0.9</v>
      </c>
      <c r="L7687" s="10">
        <v>3</v>
      </c>
      <c r="M7687" s="6" t="s">
        <v>480</v>
      </c>
      <c r="N7687" s="6" t="str">
        <f>IF(OR($G7687="FCC",$G7687="Hydrocracker",$G7687="Reformer"),IF(COUNTIFS($D:$D,$D7687,$A:$A,$A7687,$B:$B,$B7687,$G:$G,"CDU",$J:$J,"PLANNED")&gt;0,"tied","standalone"),"")</f>
        <v>tied</v>
      </c>
    </row>
    <row r="7688" spans="1:14">
      <c r="A7688" s="6">
        <v>2026</v>
      </c>
      <c r="B7688" s="6">
        <v>4</v>
      </c>
      <c r="C7688" s="6" t="s">
        <v>63</v>
      </c>
      <c r="D7688" s="6" t="s">
        <v>512</v>
      </c>
      <c r="E7688" s="6" t="s">
        <v>488</v>
      </c>
      <c r="F7688" s="6" t="str">
        <f>IF($M7688="PADD I","PADD 1",IF($M7688="PADD II","PADD 2",IF($M7688="PADD III","PADD 3",IF($M7688="PADD IV","PADD 4",IF($M7688="PADD V","PADD 5","")))))</f>
        <v>PADD 4</v>
      </c>
      <c r="G7688" s="6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6" t="s">
        <v>44</v>
      </c>
      <c r="I7688" s="6" t="s">
        <v>520</v>
      </c>
      <c r="J7688" s="6" t="s">
        <v>398</v>
      </c>
      <c r="K7688" s="10">
        <v>0.9</v>
      </c>
      <c r="L7688" s="10">
        <v>30</v>
      </c>
      <c r="M7688" s="6" t="s">
        <v>480</v>
      </c>
      <c r="N7688" s="6">
        <f>IF(OR($G7688="FCC",$G7688="Hydrocracker",$G7688="Reformer"),IF(COUNTIFS($D:$D,$D7688,$A:$A,$A7688,$B:$B,$B7688,$G:$G,"CDU",$J:$J,"PLANNED")&gt;0,"tied","standalone"),"")</f>
        <v/>
      </c>
    </row>
    <row r="7689" spans="1:14">
      <c r="A7689" s="6">
        <v>2026</v>
      </c>
      <c r="B7689" s="6">
        <v>4</v>
      </c>
      <c r="C7689" s="6" t="s">
        <v>63</v>
      </c>
      <c r="D7689" s="6" t="s">
        <v>592</v>
      </c>
      <c r="E7689" s="6" t="s">
        <v>593</v>
      </c>
      <c r="F7689" s="6" t="str">
        <f>IF($M7689="PADD I","PADD 1",IF($M7689="PADD II","PADD 2",IF($M7689="PADD III","PADD 3",IF($M7689="PADD IV","PADD 4",IF($M7689="PADD V","PADD 5","")))))</f>
        <v>PADD 2</v>
      </c>
      <c r="G7689" s="6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6" t="s">
        <v>510</v>
      </c>
      <c r="I7689" s="6" t="s">
        <v>511</v>
      </c>
      <c r="J7689" s="6" t="s">
        <v>394</v>
      </c>
      <c r="K7689" s="10">
        <v>0.87</v>
      </c>
      <c r="L7689" s="10">
        <v>29</v>
      </c>
      <c r="M7689" s="6" t="s">
        <v>425</v>
      </c>
      <c r="N7689" s="6">
        <f>IF(OR($G7689="FCC",$G7689="Hydrocracker",$G7689="Reformer"),IF(COUNTIFS($D:$D,$D7689,$A:$A,$A7689,$B:$B,$B7689,$G:$G,"CDU",$J:$J,"PLANNED")&gt;0,"tied","standalone"),"")</f>
        <v/>
      </c>
    </row>
    <row r="7690" spans="1:14">
      <c r="A7690" s="6">
        <v>2026</v>
      </c>
      <c r="B7690" s="6">
        <v>4</v>
      </c>
      <c r="C7690" s="6" t="s">
        <v>63</v>
      </c>
      <c r="D7690" s="6" t="s">
        <v>689</v>
      </c>
      <c r="E7690" s="6" t="s">
        <v>502</v>
      </c>
      <c r="F7690" s="6" t="str">
        <f>IF($M7690="PADD I","PADD 1",IF($M7690="PADD II","PADD 2",IF($M7690="PADD III","PADD 3",IF($M7690="PADD IV","PADD 4",IF($M7690="PADD V","PADD 5","")))))</f>
        <v>PADD 5</v>
      </c>
      <c r="G7690" s="6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6" t="s">
        <v>39</v>
      </c>
      <c r="I7690" s="6" t="s">
        <v>690</v>
      </c>
      <c r="J7690" s="6" t="s">
        <v>398</v>
      </c>
      <c r="K7690" s="10">
        <v>0.87</v>
      </c>
      <c r="L7690" s="10">
        <v>29</v>
      </c>
      <c r="M7690" s="6" t="s">
        <v>436</v>
      </c>
      <c r="N7690" s="6">
        <f>IF(OR($G7690="FCC",$G7690="Hydrocracker",$G7690="Reformer"),IF(COUNTIFS($D:$D,$D7690,$A:$A,$A7690,$B:$B,$B7690,$G:$G,"CDU",$J:$J,"PLANNED")&gt;0,"tied","standalone"),"")</f>
        <v/>
      </c>
    </row>
    <row r="7691" spans="1:14">
      <c r="A7691" s="6">
        <v>2026</v>
      </c>
      <c r="B7691" s="6">
        <v>4</v>
      </c>
      <c r="C7691" s="6" t="s">
        <v>63</v>
      </c>
      <c r="D7691" s="6" t="s">
        <v>592</v>
      </c>
      <c r="E7691" s="6" t="s">
        <v>593</v>
      </c>
      <c r="F7691" s="6" t="str">
        <f>IF($M7691="PADD I","PADD 1",IF($M7691="PADD II","PADD 2",IF($M7691="PADD III","PADD 3",IF($M7691="PADD IV","PADD 4",IF($M7691="PADD V","PADD 5","")))))</f>
        <v>PADD 2</v>
      </c>
      <c r="G7691" s="6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6" t="s">
        <v>618</v>
      </c>
      <c r="I7691" s="6" t="s">
        <v>654</v>
      </c>
      <c r="J7691" s="6" t="s">
        <v>394</v>
      </c>
      <c r="K7691" s="10">
        <v>0.837</v>
      </c>
      <c r="L7691" s="10">
        <v>27.9</v>
      </c>
      <c r="M7691" s="6" t="s">
        <v>425</v>
      </c>
      <c r="N7691" s="6">
        <f>IF(OR($G7691="FCC",$G7691="Hydrocracker",$G7691="Reformer"),IF(COUNTIFS($D:$D,$D7691,$A:$A,$A7691,$B:$B,$B7691,$G:$G,"CDU",$J:$J,"PLANNED")&gt;0,"tied","standalone"),"")</f>
        <v/>
      </c>
    </row>
    <row r="7692" spans="1:14">
      <c r="A7692" s="6">
        <v>2026</v>
      </c>
      <c r="B7692" s="6">
        <v>4</v>
      </c>
      <c r="C7692" s="6" t="s">
        <v>63</v>
      </c>
      <c r="D7692" s="6" t="s">
        <v>592</v>
      </c>
      <c r="E7692" s="6" t="s">
        <v>593</v>
      </c>
      <c r="F7692" s="6" t="str">
        <f>IF($M7692="PADD I","PADD 1",IF($M7692="PADD II","PADD 2",IF($M7692="PADD III","PADD 3",IF($M7692="PADD IV","PADD 4",IF($M7692="PADD V","PADD 5","")))))</f>
        <v>PADD 2</v>
      </c>
      <c r="G7692" s="6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6" t="s">
        <v>44</v>
      </c>
      <c r="I7692" s="6" t="s">
        <v>1162</v>
      </c>
      <c r="J7692" s="6" t="s">
        <v>394</v>
      </c>
      <c r="K7692" s="10">
        <v>0.729</v>
      </c>
      <c r="L7692" s="10">
        <v>24.3</v>
      </c>
      <c r="M7692" s="6" t="s">
        <v>425</v>
      </c>
      <c r="N7692" s="6">
        <f>IF(OR($G7692="FCC",$G7692="Hydrocracker",$G7692="Reformer"),IF(COUNTIFS($D:$D,$D7692,$A:$A,$A7692,$B:$B,$B7692,$G:$G,"CDU",$J:$J,"PLANNED")&gt;0,"tied","standalone"),"")</f>
        <v/>
      </c>
    </row>
    <row r="7693" spans="1:14">
      <c r="A7693" s="6">
        <v>2026</v>
      </c>
      <c r="B7693" s="6">
        <v>4</v>
      </c>
      <c r="C7693" s="6" t="s">
        <v>63</v>
      </c>
      <c r="D7693" s="6" t="s">
        <v>689</v>
      </c>
      <c r="E7693" s="6" t="s">
        <v>502</v>
      </c>
      <c r="F7693" s="6" t="str">
        <f>IF($M7693="PADD I","PADD 1",IF($M7693="PADD II","PADD 2",IF($M7693="PADD III","PADD 3",IF($M7693="PADD IV","PADD 4",IF($M7693="PADD V","PADD 5","")))))</f>
        <v>PADD 5</v>
      </c>
      <c r="G7693" s="6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6" t="s">
        <v>485</v>
      </c>
      <c r="I7693" s="6" t="s">
        <v>1146</v>
      </c>
      <c r="J7693" s="6" t="s">
        <v>398</v>
      </c>
      <c r="K7693" s="10">
        <v>0.72</v>
      </c>
      <c r="L7693" s="10">
        <v>24</v>
      </c>
      <c r="M7693" s="6" t="s">
        <v>436</v>
      </c>
      <c r="N7693" s="6">
        <f>IF(OR($G7693="FCC",$G7693="Hydrocracker",$G7693="Reformer"),IF(COUNTIFS($D:$D,$D7693,$A:$A,$A7693,$B:$B,$B7693,$G:$G,"CDU",$J:$J,"PLANNED")&gt;0,"tied","standalone"),"")</f>
        <v/>
      </c>
    </row>
    <row r="7694" spans="1:14">
      <c r="A7694" s="6">
        <v>2026</v>
      </c>
      <c r="B7694" s="6">
        <v>4</v>
      </c>
      <c r="C7694" s="6" t="s">
        <v>63</v>
      </c>
      <c r="D7694" s="6" t="s">
        <v>662</v>
      </c>
      <c r="E7694" s="6" t="s">
        <v>466</v>
      </c>
      <c r="F7694" s="6" t="str">
        <f>IF($M7694="PADD I","PADD 1",IF($M7694="PADD II","PADD 2",IF($M7694="PADD III","PADD 3",IF($M7694="PADD IV","PADD 4",IF($M7694="PADD V","PADD 5","")))))</f>
        <v>PADD 3</v>
      </c>
      <c r="G7694" s="6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6" t="s">
        <v>471</v>
      </c>
      <c r="I7694" s="6" t="s">
        <v>805</v>
      </c>
      <c r="J7694" s="6" t="s">
        <v>394</v>
      </c>
      <c r="K7694" s="10">
        <v>0.6</v>
      </c>
      <c r="L7694" s="10">
        <v>20</v>
      </c>
      <c r="M7694" s="6" t="s">
        <v>421</v>
      </c>
      <c r="N7694" s="6" t="str">
        <f>IF(OR($G7694="FCC",$G7694="Hydrocracker",$G7694="Reformer"),IF(COUNTIFS($D:$D,$D7694,$A:$A,$A7694,$B:$B,$B7694,$G:$G,"CDU",$J:$J,"PLANNED")&gt;0,"tied","standalone"),"")</f>
        <v>standalone</v>
      </c>
    </row>
    <row r="7695" spans="1:14">
      <c r="A7695" s="6">
        <v>2026</v>
      </c>
      <c r="B7695" s="6">
        <v>4</v>
      </c>
      <c r="C7695" s="6" t="s">
        <v>63</v>
      </c>
      <c r="D7695" s="6" t="s">
        <v>730</v>
      </c>
      <c r="E7695" s="6" t="s">
        <v>731</v>
      </c>
      <c r="F7695" s="6" t="str">
        <f>IF($M7695="PADD I","PADD 1",IF($M7695="PADD II","PADD 2",IF($M7695="PADD III","PADD 3",IF($M7695="PADD IV","PADD 4",IF($M7695="PADD V","PADD 5","")))))</f>
        <v>PADD 3</v>
      </c>
      <c r="G7695" s="6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6" t="s">
        <v>510</v>
      </c>
      <c r="I7695" s="6" t="s">
        <v>666</v>
      </c>
      <c r="J7695" s="6" t="s">
        <v>394</v>
      </c>
      <c r="K7695" s="10">
        <v>0.57</v>
      </c>
      <c r="L7695" s="10">
        <v>5.7</v>
      </c>
      <c r="M7695" s="6" t="s">
        <v>421</v>
      </c>
      <c r="N7695" s="6">
        <f>IF(OR($G7695="FCC",$G7695="Hydrocracker",$G7695="Reformer"),IF(COUNTIFS($D:$D,$D7695,$A:$A,$A7695,$B:$B,$B7695,$G:$G,"CDU",$J:$J,"PLANNED")&gt;0,"tied","standalone"),"")</f>
        <v/>
      </c>
    </row>
    <row r="7696" spans="1:14">
      <c r="A7696" s="6">
        <v>2026</v>
      </c>
      <c r="B7696" s="6">
        <v>4</v>
      </c>
      <c r="C7696" s="6" t="s">
        <v>63</v>
      </c>
      <c r="D7696" s="6" t="s">
        <v>370</v>
      </c>
      <c r="E7696" s="6" t="s">
        <v>431</v>
      </c>
      <c r="F7696" s="6" t="str">
        <f>IF($M7696="PADD I","PADD 1",IF($M7696="PADD II","PADD 2",IF($M7696="PADD III","PADD 3",IF($M7696="PADD IV","PADD 4",IF($M7696="PADD V","PADD 5","")))))</f>
        <v>PADD 2</v>
      </c>
      <c r="G7696" s="6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6" t="s">
        <v>471</v>
      </c>
      <c r="I7696" s="6" t="s">
        <v>240</v>
      </c>
      <c r="J7696" s="6" t="s">
        <v>398</v>
      </c>
      <c r="K7696" s="10">
        <v>0.54</v>
      </c>
      <c r="L7696" s="10">
        <v>2</v>
      </c>
      <c r="M7696" s="6" t="s">
        <v>425</v>
      </c>
      <c r="N7696" s="6" t="str">
        <f>IF(OR($G7696="FCC",$G7696="Hydrocracker",$G7696="Reformer"),IF(COUNTIFS($D:$D,$D7696,$A:$A,$A7696,$B:$B,$B7696,$G:$G,"CDU",$J:$J,"PLANNED")&gt;0,"tied","standalone"),"")</f>
        <v>tied</v>
      </c>
    </row>
    <row r="7697" spans="1:14">
      <c r="A7697" s="6">
        <v>2026</v>
      </c>
      <c r="B7697" s="6">
        <v>4</v>
      </c>
      <c r="C7697" s="6" t="s">
        <v>63</v>
      </c>
      <c r="D7697" s="6" t="s">
        <v>689</v>
      </c>
      <c r="E7697" s="6" t="s">
        <v>502</v>
      </c>
      <c r="F7697" s="6" t="str">
        <f>IF($M7697="PADD I","PADD 1",IF($M7697="PADD II","PADD 2",IF($M7697="PADD III","PADD 3",IF($M7697="PADD IV","PADD 4",IF($M7697="PADD V","PADD 5","")))))</f>
        <v>PADD 5</v>
      </c>
      <c r="G7697" s="6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6" t="s">
        <v>471</v>
      </c>
      <c r="I7697" s="6" t="s">
        <v>956</v>
      </c>
      <c r="J7697" s="6" t="s">
        <v>398</v>
      </c>
      <c r="K7697" s="10">
        <v>0.51</v>
      </c>
      <c r="L7697" s="10">
        <v>17</v>
      </c>
      <c r="M7697" s="6" t="s">
        <v>436</v>
      </c>
      <c r="N7697" s="6" t="str">
        <f>IF(OR($G7697="FCC",$G7697="Hydrocracker",$G7697="Reformer"),IF(COUNTIFS($D:$D,$D7697,$A:$A,$A7697,$B:$B,$B7697,$G:$G,"CDU",$J:$J,"PLANNED")&gt;0,"tied","standalone"),"")</f>
        <v>standalone</v>
      </c>
    </row>
    <row r="7698" spans="1:14">
      <c r="A7698" s="6">
        <v>2026</v>
      </c>
      <c r="B7698" s="6">
        <v>4</v>
      </c>
      <c r="C7698" s="6" t="s">
        <v>63</v>
      </c>
      <c r="D7698" s="6" t="s">
        <v>921</v>
      </c>
      <c r="E7698" s="6" t="s">
        <v>922</v>
      </c>
      <c r="F7698" s="6" t="str">
        <f>IF($M7698="PADD I","PADD 1",IF($M7698="PADD II","PADD 2",IF($M7698="PADD III","PADD 3",IF($M7698="PADD IV","PADD 4",IF($M7698="PADD V","PADD 5","")))))</f>
        <v>PADD 4</v>
      </c>
      <c r="G7698" s="6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6" t="s">
        <v>618</v>
      </c>
      <c r="I7698" s="6" t="s">
        <v>1252</v>
      </c>
      <c r="J7698" s="6" t="s">
        <v>398</v>
      </c>
      <c r="K7698" s="10">
        <v>0.3</v>
      </c>
      <c r="L7698" s="10">
        <v>1</v>
      </c>
      <c r="M7698" s="6" t="s">
        <v>480</v>
      </c>
      <c r="N7698" s="6">
        <f>IF(OR($G7698="FCC",$G7698="Hydrocracker",$G7698="Reformer"),IF(COUNTIFS($D:$D,$D7698,$A:$A,$A7698,$B:$B,$B7698,$G:$G,"CDU",$J:$J,"PLANNED")&gt;0,"tied","standalone"),"")</f>
        <v/>
      </c>
    </row>
    <row r="7699" spans="1:14">
      <c r="A7699" s="6">
        <v>2026</v>
      </c>
      <c r="B7699" s="6">
        <v>4</v>
      </c>
      <c r="C7699" s="6" t="s">
        <v>63</v>
      </c>
      <c r="D7699" s="6" t="s">
        <v>470</v>
      </c>
      <c r="E7699" s="6" t="s">
        <v>423</v>
      </c>
      <c r="F7699" s="6" t="str">
        <f>IF($M7699="PADD I","PADD 1",IF($M7699="PADD II","PADD 2",IF($M7699="PADD III","PADD 3",IF($M7699="PADD IV","PADD 4",IF($M7699="PADD V","PADD 5","")))))</f>
        <v>PADD 2</v>
      </c>
      <c r="G7699" s="6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6" t="s">
        <v>471</v>
      </c>
      <c r="I7699" s="6" t="s">
        <v>621</v>
      </c>
      <c r="J7699" s="6" t="s">
        <v>394</v>
      </c>
      <c r="K7699" s="10">
        <v>0.24</v>
      </c>
      <c r="L7699" s="10">
        <v>8</v>
      </c>
      <c r="M7699" s="6" t="s">
        <v>425</v>
      </c>
      <c r="N7699" s="6" t="str">
        <f>IF(OR($G7699="FCC",$G7699="Hydrocracker",$G7699="Reformer"),IF(COUNTIFS($D:$D,$D7699,$A:$A,$A7699,$B:$B,$B7699,$G:$G,"CDU",$J:$J,"PLANNED")&gt;0,"tied","standalone"),"")</f>
        <v>standalone</v>
      </c>
    </row>
    <row r="7700" spans="1:14">
      <c r="A7700" s="6">
        <v>2026</v>
      </c>
      <c r="B7700" s="6">
        <v>4</v>
      </c>
      <c r="C7700" s="6" t="s">
        <v>63</v>
      </c>
      <c r="D7700" s="6" t="s">
        <v>470</v>
      </c>
      <c r="E7700" s="6" t="s">
        <v>423</v>
      </c>
      <c r="F7700" s="6" t="str">
        <f>IF($M7700="PADD I","PADD 1",IF($M7700="PADD II","PADD 2",IF($M7700="PADD III","PADD 3",IF($M7700="PADD IV","PADD 4",IF($M7700="PADD V","PADD 5","")))))</f>
        <v>PADD 2</v>
      </c>
      <c r="G7700" s="6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6" t="s">
        <v>510</v>
      </c>
      <c r="I7700" s="6" t="s">
        <v>666</v>
      </c>
      <c r="J7700" s="6" t="s">
        <v>394</v>
      </c>
      <c r="K7700" s="10">
        <v>0.045</v>
      </c>
      <c r="L7700" s="10">
        <v>1.5</v>
      </c>
      <c r="M7700" s="6" t="s">
        <v>425</v>
      </c>
      <c r="N7700" s="6">
        <f>IF(OR($G7700="FCC",$G7700="Hydrocracker",$G7700="Reformer"),IF(COUNTIFS($D:$D,$D7700,$A:$A,$A7700,$B:$B,$B7700,$G:$G,"CDU",$J:$J,"PLANNED")&gt;0,"tied","standalone"),"")</f>
        <v/>
      </c>
    </row>
    <row r="7701" spans="1:14">
      <c r="A7701" s="6">
        <v>2026</v>
      </c>
      <c r="B7701" s="6">
        <v>5</v>
      </c>
      <c r="C7701" s="6" t="s">
        <v>64</v>
      </c>
      <c r="D7701" s="6" t="s">
        <v>49</v>
      </c>
      <c r="E7701" s="6" t="s">
        <v>438</v>
      </c>
      <c r="F7701" s="6" t="str">
        <f>IF($M7701="PADD I","PADD 1",IF($M7701="PADD II","PADD 2",IF($M7701="PADD III","PADD 3",IF($M7701="PADD IV","PADD 4",IF($M7701="PADD V","PADD 5","")))))</f>
        <v>PADD 2</v>
      </c>
      <c r="G7701" s="6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6" t="s">
        <v>39</v>
      </c>
      <c r="I7701" s="6" t="s">
        <v>770</v>
      </c>
      <c r="J7701" s="6" t="s">
        <v>398</v>
      </c>
      <c r="K7701" s="10">
        <v>180.7</v>
      </c>
      <c r="L7701" s="10">
        <v>278</v>
      </c>
      <c r="M7701" s="6" t="s">
        <v>425</v>
      </c>
      <c r="N7701" s="6">
        <f>IF(OR($G7701="FCC",$G7701="Hydrocracker",$G7701="Reformer"),IF(COUNTIFS($D:$D,$D7701,$A:$A,$A7701,$B:$B,$B7701,$G:$G,"CDU",$J:$J,"PLANNED")&gt;0,"tied","standalone"),"")</f>
        <v/>
      </c>
    </row>
    <row r="7702" spans="1:14">
      <c r="A7702" s="6">
        <v>2026</v>
      </c>
      <c r="B7702" s="6">
        <v>5</v>
      </c>
      <c r="C7702" s="6" t="s">
        <v>64</v>
      </c>
      <c r="D7702" s="6" t="s">
        <v>51</v>
      </c>
      <c r="E7702" s="6" t="s">
        <v>431</v>
      </c>
      <c r="F7702" s="6" t="str">
        <f>IF($M7702="PADD I","PADD 1",IF($M7702="PADD II","PADD 2",IF($M7702="PADD III","PADD 3",IF($M7702="PADD IV","PADD 4",IF($M7702="PADD V","PADD 5","")))))</f>
        <v>PADD 3</v>
      </c>
      <c r="G7702" s="6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6" t="s">
        <v>39</v>
      </c>
      <c r="I7702" s="6" t="s">
        <v>819</v>
      </c>
      <c r="J7702" s="6" t="s">
        <v>398</v>
      </c>
      <c r="K7702" s="10">
        <v>113.4</v>
      </c>
      <c r="L7702" s="10">
        <v>140</v>
      </c>
      <c r="M7702" s="6" t="s">
        <v>421</v>
      </c>
      <c r="N7702" s="6">
        <f>IF(OR($G7702="FCC",$G7702="Hydrocracker",$G7702="Reformer"),IF(COUNTIFS($D:$D,$D7702,$A:$A,$A7702,$B:$B,$B7702,$G:$G,"CDU",$J:$J,"PLANNED")&gt;0,"tied","standalone"),"")</f>
        <v/>
      </c>
    </row>
    <row r="7703" spans="1:14">
      <c r="A7703" s="6">
        <v>2026</v>
      </c>
      <c r="B7703" s="6">
        <v>5</v>
      </c>
      <c r="C7703" s="6" t="s">
        <v>64</v>
      </c>
      <c r="D7703" s="6" t="s">
        <v>52</v>
      </c>
      <c r="E7703" s="6" t="s">
        <v>441</v>
      </c>
      <c r="F7703" s="6" t="str">
        <f>IF($M7703="PADD I","PADD 1",IF($M7703="PADD II","PADD 2",IF($M7703="PADD III","PADD 3",IF($M7703="PADD IV","PADD 4",IF($M7703="PADD V","PADD 5","")))))</f>
        <v>PADD 5</v>
      </c>
      <c r="G7703" s="6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6" t="s">
        <v>44</v>
      </c>
      <c r="I7703" s="6" t="s">
        <v>1217</v>
      </c>
      <c r="J7703" s="6" t="s">
        <v>398</v>
      </c>
      <c r="K7703" s="10">
        <v>58.8</v>
      </c>
      <c r="L7703" s="10">
        <v>70</v>
      </c>
      <c r="M7703" s="6" t="s">
        <v>436</v>
      </c>
      <c r="N7703" s="6">
        <f>IF(OR($G7703="FCC",$G7703="Hydrocracker",$G7703="Reformer"),IF(COUNTIFS($D:$D,$D7703,$A:$A,$A7703,$B:$B,$B7703,$G:$G,"CDU",$J:$J,"PLANNED")&gt;0,"tied","standalone"),"")</f>
        <v/>
      </c>
    </row>
    <row r="7704" spans="1:14">
      <c r="A7704" s="6">
        <v>2026</v>
      </c>
      <c r="B7704" s="6">
        <v>5</v>
      </c>
      <c r="C7704" s="6" t="s">
        <v>64</v>
      </c>
      <c r="D7704" s="6" t="s">
        <v>53</v>
      </c>
      <c r="E7704" s="6" t="s">
        <v>438</v>
      </c>
      <c r="F7704" s="6" t="str">
        <f>IF($M7704="PADD I","PADD 1",IF($M7704="PADD II","PADD 2",IF($M7704="PADD III","PADD 3",IF($M7704="PADD IV","PADD 4",IF($M7704="PADD V","PADD 5","")))))</f>
        <v>PADD 5</v>
      </c>
      <c r="G7704" s="6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6" t="s">
        <v>39</v>
      </c>
      <c r="I7704" s="6" t="s">
        <v>82</v>
      </c>
      <c r="J7704" s="6" t="s">
        <v>398</v>
      </c>
      <c r="K7704" s="10">
        <v>53.28</v>
      </c>
      <c r="L7704" s="10">
        <v>72</v>
      </c>
      <c r="M7704" s="6" t="s">
        <v>436</v>
      </c>
      <c r="N7704" s="6">
        <f>IF(OR($G7704="FCC",$G7704="Hydrocracker",$G7704="Reformer"),IF(COUNTIFS($D:$D,$D7704,$A:$A,$A7704,$B:$B,$B7704,$G:$G,"CDU",$J:$J,"PLANNED")&gt;0,"tied","standalone"),"")</f>
        <v/>
      </c>
    </row>
    <row r="7705" spans="1:14">
      <c r="A7705" s="6">
        <v>2026</v>
      </c>
      <c r="B7705" s="6">
        <v>5</v>
      </c>
      <c r="C7705" s="6" t="s">
        <v>64</v>
      </c>
      <c r="D7705" s="6" t="s">
        <v>54</v>
      </c>
      <c r="E7705" s="6" t="s">
        <v>593</v>
      </c>
      <c r="F7705" s="6" t="str">
        <f>IF($M7705="PADD I","PADD 1",IF($M7705="PADD II","PADD 2",IF($M7705="PADD III","PADD 3",IF($M7705="PADD IV","PADD 4",IF($M7705="PADD V","PADD 5","")))))</f>
        <v>PADD 5</v>
      </c>
      <c r="G7705" s="6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6" t="s">
        <v>39</v>
      </c>
      <c r="I7705" s="6" t="s">
        <v>82</v>
      </c>
      <c r="J7705" s="6" t="s">
        <v>394</v>
      </c>
      <c r="K7705" s="10">
        <v>47.5</v>
      </c>
      <c r="L7705" s="10">
        <v>250</v>
      </c>
      <c r="M7705" s="6" t="s">
        <v>436</v>
      </c>
      <c r="N7705" s="6">
        <f>IF(OR($G7705="FCC",$G7705="Hydrocracker",$G7705="Reformer"),IF(COUNTIFS($D:$D,$D7705,$A:$A,$A7705,$B:$B,$B7705,$G:$G,"CDU",$J:$J,"PLANNED")&gt;0,"tied","standalone"),"")</f>
        <v/>
      </c>
    </row>
    <row r="7706" spans="1:14">
      <c r="A7706" s="6">
        <v>2026</v>
      </c>
      <c r="B7706" s="6">
        <v>5</v>
      </c>
      <c r="C7706" s="6" t="s">
        <v>64</v>
      </c>
      <c r="D7706" s="6" t="s">
        <v>576</v>
      </c>
      <c r="E7706" s="6" t="s">
        <v>455</v>
      </c>
      <c r="F7706" s="6" t="str">
        <f>IF($M7706="PADD I","PADD 1",IF($M7706="PADD II","PADD 2",IF($M7706="PADD III","PADD 3",IF($M7706="PADD IV","PADD 4",IF($M7706="PADD V","PADD 5","")))))</f>
        <v>PADD 3</v>
      </c>
      <c r="G7706" s="6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6" t="s">
        <v>44</v>
      </c>
      <c r="I7706" s="6" t="s">
        <v>1126</v>
      </c>
      <c r="J7706" s="6" t="s">
        <v>394</v>
      </c>
      <c r="K7706" s="10">
        <v>47</v>
      </c>
      <c r="L7706" s="10">
        <v>47</v>
      </c>
      <c r="M7706" s="6" t="s">
        <v>421</v>
      </c>
      <c r="N7706" s="6">
        <f>IF(OR($G7706="FCC",$G7706="Hydrocracker",$G7706="Reformer"),IF(COUNTIFS($D:$D,$D7706,$A:$A,$A7706,$B:$B,$B7706,$G:$G,"CDU",$J:$J,"PLANNED")&gt;0,"tied","standalone"),"")</f>
        <v/>
      </c>
    </row>
    <row r="7707" spans="1:14">
      <c r="A7707" s="6">
        <v>2026</v>
      </c>
      <c r="B7707" s="6">
        <v>5</v>
      </c>
      <c r="C7707" s="6" t="s">
        <v>64</v>
      </c>
      <c r="D7707" s="6" t="s">
        <v>55</v>
      </c>
      <c r="E7707" s="6" t="s">
        <v>906</v>
      </c>
      <c r="F7707" s="6" t="str">
        <f>IF($M7707="PADD I","PADD 1",IF($M7707="PADD II","PADD 2",IF($M7707="PADD III","PADD 3",IF($M7707="PADD IV","PADD 4",IF($M7707="PADD V","PADD 5","")))))</f>
        <v>PADD 5</v>
      </c>
      <c r="G7707" s="6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6" t="s">
        <v>39</v>
      </c>
      <c r="I7707" s="6" t="s">
        <v>907</v>
      </c>
      <c r="J7707" s="6" t="s">
        <v>398</v>
      </c>
      <c r="K7707" s="10">
        <v>34.8</v>
      </c>
      <c r="L7707" s="10">
        <v>60</v>
      </c>
      <c r="M7707" s="6" t="s">
        <v>436</v>
      </c>
      <c r="N7707" s="6">
        <f>IF(OR($G7707="FCC",$G7707="Hydrocracker",$G7707="Reformer"),IF(COUNTIFS($D:$D,$D7707,$A:$A,$A7707,$B:$B,$B7707,$G:$G,"CDU",$J:$J,"PLANNED")&gt;0,"tied","standalone"),"")</f>
        <v/>
      </c>
    </row>
    <row r="7708" spans="1:14">
      <c r="A7708" s="6">
        <v>2026</v>
      </c>
      <c r="B7708" s="6">
        <v>5</v>
      </c>
      <c r="C7708" s="6" t="s">
        <v>64</v>
      </c>
      <c r="D7708" s="6" t="s">
        <v>1113</v>
      </c>
      <c r="E7708" s="6" t="s">
        <v>438</v>
      </c>
      <c r="F7708" s="6" t="str">
        <f>IF($M7708="PADD I","PADD 1",IF($M7708="PADD II","PADD 2",IF($M7708="PADD III","PADD 3",IF($M7708="PADD IV","PADD 4",IF($M7708="PADD V","PADD 5","")))))</f>
        <v>PADD 2</v>
      </c>
      <c r="G7708" s="6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6" t="s">
        <v>44</v>
      </c>
      <c r="I7708" s="6" t="s">
        <v>543</v>
      </c>
      <c r="J7708" s="6" t="s">
        <v>394</v>
      </c>
      <c r="K7708" s="10">
        <v>34</v>
      </c>
      <c r="L7708" s="10">
        <v>34</v>
      </c>
      <c r="M7708" s="6" t="s">
        <v>425</v>
      </c>
      <c r="N7708" s="6">
        <f>IF(OR($G7708="FCC",$G7708="Hydrocracker",$G7708="Reformer"),IF(COUNTIFS($D:$D,$D7708,$A:$A,$A7708,$B:$B,$B7708,$G:$G,"CDU",$J:$J,"PLANNED")&gt;0,"tied","standalone"),"")</f>
        <v/>
      </c>
    </row>
    <row r="7709" spans="1:14">
      <c r="A7709" s="6">
        <v>2026</v>
      </c>
      <c r="B7709" s="6">
        <v>5</v>
      </c>
      <c r="C7709" s="6" t="s">
        <v>64</v>
      </c>
      <c r="D7709" s="6" t="s">
        <v>370</v>
      </c>
      <c r="E7709" s="6" t="s">
        <v>431</v>
      </c>
      <c r="F7709" s="6" t="str">
        <f>IF($M7709="PADD I","PADD 1",IF($M7709="PADD II","PADD 2",IF($M7709="PADD III","PADD 3",IF($M7709="PADD IV","PADD 4",IF($M7709="PADD V","PADD 5","")))))</f>
        <v>PADD 2</v>
      </c>
      <c r="G7709" s="6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6" t="s">
        <v>39</v>
      </c>
      <c r="I7709" s="6" t="s">
        <v>82</v>
      </c>
      <c r="J7709" s="6" t="s">
        <v>394</v>
      </c>
      <c r="K7709" s="10">
        <v>33.35</v>
      </c>
      <c r="L7709" s="10">
        <v>115</v>
      </c>
      <c r="M7709" s="6" t="s">
        <v>425</v>
      </c>
      <c r="N7709" s="6">
        <f>IF(OR($G7709="FCC",$G7709="Hydrocracker",$G7709="Reformer"),IF(COUNTIFS($D:$D,$D7709,$A:$A,$A7709,$B:$B,$B7709,$G:$G,"CDU",$J:$J,"PLANNED")&gt;0,"tied","standalone"),"")</f>
        <v/>
      </c>
    </row>
    <row r="7710" spans="1:14">
      <c r="A7710" s="6">
        <v>2026</v>
      </c>
      <c r="B7710" s="6">
        <v>5</v>
      </c>
      <c r="C7710" s="6" t="s">
        <v>64</v>
      </c>
      <c r="D7710" s="6" t="s">
        <v>395</v>
      </c>
      <c r="E7710" s="6" t="s">
        <v>433</v>
      </c>
      <c r="F7710" s="6" t="str">
        <f>IF($M7710="PADD I","PADD 1",IF($M7710="PADD II","PADD 2",IF($M7710="PADD III","PADD 3",IF($M7710="PADD IV","PADD 4",IF($M7710="PADD V","PADD 5","")))))</f>
        <v>PADD 2</v>
      </c>
      <c r="G7710" s="6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6" t="s">
        <v>426</v>
      </c>
      <c r="I7710" s="6" t="s">
        <v>106</v>
      </c>
      <c r="J7710" s="6" t="s">
        <v>394</v>
      </c>
      <c r="K7710" s="10">
        <v>33.18</v>
      </c>
      <c r="L7710" s="10">
        <v>79</v>
      </c>
      <c r="M7710" s="6" t="s">
        <v>425</v>
      </c>
      <c r="N7710" s="6" t="str">
        <f>IF(OR($G7710="FCC",$G7710="Hydrocracker",$G7710="Reformer"),IF(COUNTIFS($D:$D,$D7710,$A:$A,$A7710,$B:$B,$B7710,$G:$G,"CDU",$J:$J,"PLANNED")&gt;0,"tied","standalone"),"")</f>
        <v>standalone</v>
      </c>
    </row>
    <row r="7711" spans="1:14">
      <c r="A7711" s="6">
        <v>2026</v>
      </c>
      <c r="B7711" s="6">
        <v>5</v>
      </c>
      <c r="C7711" s="6" t="s">
        <v>64</v>
      </c>
      <c r="D7711" s="6" t="s">
        <v>395</v>
      </c>
      <c r="E7711" s="6" t="s">
        <v>433</v>
      </c>
      <c r="F7711" s="6" t="str">
        <f>IF($M7711="PADD I","PADD 1",IF($M7711="PADD II","PADD 2",IF($M7711="PADD III","PADD 3",IF($M7711="PADD IV","PADD 4",IF($M7711="PADD V","PADD 5","")))))</f>
        <v>PADD 2</v>
      </c>
      <c r="G7711" s="6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6" t="s">
        <v>426</v>
      </c>
      <c r="I7711" s="6" t="s">
        <v>106</v>
      </c>
      <c r="J7711" s="6" t="s">
        <v>394</v>
      </c>
      <c r="K7711" s="10">
        <v>31.98</v>
      </c>
      <c r="L7711" s="10">
        <v>82</v>
      </c>
      <c r="M7711" s="6" t="s">
        <v>425</v>
      </c>
      <c r="N7711" s="6" t="str">
        <f>IF(OR($G7711="FCC",$G7711="Hydrocracker",$G7711="Reformer"),IF(COUNTIFS($D:$D,$D7711,$A:$A,$A7711,$B:$B,$B7711,$G:$G,"CDU",$J:$J,"PLANNED")&gt;0,"tied","standalone"),"")</f>
        <v>standalone</v>
      </c>
    </row>
    <row r="7712" spans="1:14">
      <c r="A7712" s="6">
        <v>2026</v>
      </c>
      <c r="B7712" s="6">
        <v>5</v>
      </c>
      <c r="C7712" s="6" t="s">
        <v>64</v>
      </c>
      <c r="D7712" s="6" t="s">
        <v>54</v>
      </c>
      <c r="E7712" s="6" t="s">
        <v>593</v>
      </c>
      <c r="F7712" s="6" t="str">
        <f>IF($M7712="PADD I","PADD 1",IF($M7712="PADD II","PADD 2",IF($M7712="PADD III","PADD 3",IF($M7712="PADD IV","PADD 4",IF($M7712="PADD V","PADD 5","")))))</f>
        <v>PADD 5</v>
      </c>
      <c r="G7712" s="6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6" t="s">
        <v>428</v>
      </c>
      <c r="I7712" s="6" t="s">
        <v>481</v>
      </c>
      <c r="J7712" s="6" t="s">
        <v>394</v>
      </c>
      <c r="K7712" s="10">
        <v>31.97</v>
      </c>
      <c r="L7712" s="10">
        <v>139</v>
      </c>
      <c r="M7712" s="6" t="s">
        <v>436</v>
      </c>
      <c r="N7712" s="6">
        <f>IF(OR($G7712="FCC",$G7712="Hydrocracker",$G7712="Reformer"),IF(COUNTIFS($D:$D,$D7712,$A:$A,$A7712,$B:$B,$B7712,$G:$G,"CDU",$J:$J,"PLANNED")&gt;0,"tied","standalone"),"")</f>
        <v/>
      </c>
    </row>
    <row r="7713" spans="1:14">
      <c r="A7713" s="6">
        <v>2026</v>
      </c>
      <c r="B7713" s="6">
        <v>5</v>
      </c>
      <c r="C7713" s="6" t="s">
        <v>64</v>
      </c>
      <c r="D7713" s="6" t="s">
        <v>371</v>
      </c>
      <c r="E7713" s="6" t="s">
        <v>419</v>
      </c>
      <c r="F7713" s="6" t="str">
        <f>IF($M7713="PADD I","PADD 1",IF($M7713="PADD II","PADD 2",IF($M7713="PADD III","PADD 3",IF($M7713="PADD IV","PADD 4",IF($M7713="PADD V","PADD 5","")))))</f>
        <v>PADD 2</v>
      </c>
      <c r="G7713" s="6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6" t="s">
        <v>39</v>
      </c>
      <c r="I7713" s="6" t="s">
        <v>571</v>
      </c>
      <c r="J7713" s="6" t="s">
        <v>398</v>
      </c>
      <c r="K7713" s="10">
        <v>31.2</v>
      </c>
      <c r="L7713" s="10">
        <v>120</v>
      </c>
      <c r="M7713" s="6" t="s">
        <v>425</v>
      </c>
      <c r="N7713" s="6">
        <f>IF(OR($G7713="FCC",$G7713="Hydrocracker",$G7713="Reformer"),IF(COUNTIFS($D:$D,$D7713,$A:$A,$A7713,$B:$B,$B7713,$G:$G,"CDU",$J:$J,"PLANNED")&gt;0,"tied","standalone"),"")</f>
        <v/>
      </c>
    </row>
    <row r="7714" spans="1:14">
      <c r="A7714" s="6">
        <v>2026</v>
      </c>
      <c r="B7714" s="6">
        <v>5</v>
      </c>
      <c r="C7714" s="6" t="s">
        <v>64</v>
      </c>
      <c r="D7714" s="6" t="s">
        <v>384</v>
      </c>
      <c r="E7714" s="6" t="s">
        <v>419</v>
      </c>
      <c r="F7714" s="6" t="str">
        <f>IF($M7714="PADD I","PADD 1",IF($M7714="PADD II","PADD 2",IF($M7714="PADD III","PADD 3",IF($M7714="PADD IV","PADD 4",IF($M7714="PADD V","PADD 5","")))))</f>
        <v>PADD 3</v>
      </c>
      <c r="G7714" s="6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6" t="s">
        <v>426</v>
      </c>
      <c r="I7714" s="6" t="s">
        <v>522</v>
      </c>
      <c r="J7714" s="6" t="s">
        <v>394</v>
      </c>
      <c r="K7714" s="10">
        <v>30</v>
      </c>
      <c r="L7714" s="10">
        <v>30</v>
      </c>
      <c r="M7714" s="6" t="s">
        <v>421</v>
      </c>
      <c r="N7714" s="6" t="str">
        <f>IF(OR($G7714="FCC",$G7714="Hydrocracker",$G7714="Reformer"),IF(COUNTIFS($D:$D,$D7714,$A:$A,$A7714,$B:$B,$B7714,$G:$G,"CDU",$J:$J,"PLANNED")&gt;0,"tied","standalone"),"")</f>
        <v>standalone</v>
      </c>
    </row>
    <row r="7715" spans="1:14">
      <c r="A7715" s="6">
        <v>2026</v>
      </c>
      <c r="B7715" s="6">
        <v>5</v>
      </c>
      <c r="C7715" s="6" t="s">
        <v>64</v>
      </c>
      <c r="D7715" s="6" t="s">
        <v>984</v>
      </c>
      <c r="E7715" s="6" t="s">
        <v>438</v>
      </c>
      <c r="F7715" s="6" t="str">
        <f>IF($M7715="PADD I","PADD 1",IF($M7715="PADD II","PADD 2",IF($M7715="PADD III","PADD 3",IF($M7715="PADD IV","PADD 4",IF($M7715="PADD V","PADD 5","")))))</f>
        <v>PADD 3</v>
      </c>
      <c r="G7715" s="6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6" t="s">
        <v>39</v>
      </c>
      <c r="I7715" s="6" t="s">
        <v>136</v>
      </c>
      <c r="J7715" s="6" t="s">
        <v>398</v>
      </c>
      <c r="K7715" s="10">
        <v>29.25</v>
      </c>
      <c r="L7715" s="10">
        <v>75</v>
      </c>
      <c r="M7715" s="6" t="s">
        <v>421</v>
      </c>
      <c r="N7715" s="6">
        <f>IF(OR($G7715="FCC",$G7715="Hydrocracker",$G7715="Reformer"),IF(COUNTIFS($D:$D,$D7715,$A:$A,$A7715,$B:$B,$B7715,$G:$G,"CDU",$J:$J,"PLANNED")&gt;0,"tied","standalone"),"")</f>
        <v/>
      </c>
    </row>
    <row r="7716" spans="1:14">
      <c r="A7716" s="6">
        <v>2026</v>
      </c>
      <c r="B7716" s="6">
        <v>5</v>
      </c>
      <c r="C7716" s="6" t="s">
        <v>64</v>
      </c>
      <c r="D7716" s="6" t="s">
        <v>465</v>
      </c>
      <c r="E7716" s="6" t="s">
        <v>466</v>
      </c>
      <c r="F7716" s="6" t="str">
        <f>IF($M7716="PADD I","PADD 1",IF($M7716="PADD II","PADD 2",IF($M7716="PADD III","PADD 3",IF($M7716="PADD IV","PADD 4",IF($M7716="PADD V","PADD 5","")))))</f>
        <v>PADD 3</v>
      </c>
      <c r="G7716" s="6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6" t="s">
        <v>428</v>
      </c>
      <c r="I7716" s="6" t="s">
        <v>467</v>
      </c>
      <c r="J7716" s="6" t="s">
        <v>394</v>
      </c>
      <c r="K7716" s="10">
        <v>29</v>
      </c>
      <c r="L7716" s="10">
        <v>50</v>
      </c>
      <c r="M7716" s="6" t="s">
        <v>421</v>
      </c>
      <c r="N7716" s="6">
        <f>IF(OR($G7716="FCC",$G7716="Hydrocracker",$G7716="Reformer"),IF(COUNTIFS($D:$D,$D7716,$A:$A,$A7716,$B:$B,$B7716,$G:$G,"CDU",$J:$J,"PLANNED")&gt;0,"tied","standalone"),"")</f>
        <v/>
      </c>
    </row>
    <row r="7717" spans="1:14">
      <c r="A7717" s="6">
        <v>2026</v>
      </c>
      <c r="B7717" s="6">
        <v>5</v>
      </c>
      <c r="C7717" s="6" t="s">
        <v>64</v>
      </c>
      <c r="D7717" s="6" t="s">
        <v>395</v>
      </c>
      <c r="E7717" s="6" t="s">
        <v>433</v>
      </c>
      <c r="F7717" s="6" t="str">
        <f>IF($M7717="PADD I","PADD 1",IF($M7717="PADD II","PADD 2",IF($M7717="PADD III","PADD 3",IF($M7717="PADD IV","PADD 4",IF($M7717="PADD V","PADD 5","")))))</f>
        <v>PADD 2</v>
      </c>
      <c r="G7717" s="6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6" t="s">
        <v>426</v>
      </c>
      <c r="I7717" s="6" t="s">
        <v>106</v>
      </c>
      <c r="J7717" s="6" t="s">
        <v>394</v>
      </c>
      <c r="K7717" s="10">
        <v>28.7</v>
      </c>
      <c r="L7717" s="10">
        <v>82</v>
      </c>
      <c r="M7717" s="6" t="s">
        <v>425</v>
      </c>
      <c r="N7717" s="6" t="str">
        <f>IF(OR($G7717="FCC",$G7717="Hydrocracker",$G7717="Reformer"),IF(COUNTIFS($D:$D,$D7717,$A:$A,$A7717,$B:$B,$B7717,$G:$G,"CDU",$J:$J,"PLANNED")&gt;0,"tied","standalone"),"")</f>
        <v>standalone</v>
      </c>
    </row>
    <row r="7718" spans="1:14">
      <c r="A7718" s="6">
        <v>2026</v>
      </c>
      <c r="B7718" s="6">
        <v>5</v>
      </c>
      <c r="C7718" s="6" t="s">
        <v>64</v>
      </c>
      <c r="D7718" s="6" t="s">
        <v>49</v>
      </c>
      <c r="E7718" s="6" t="s">
        <v>438</v>
      </c>
      <c r="F7718" s="6" t="str">
        <f>IF($M7718="PADD I","PADD 1",IF($M7718="PADD II","PADD 2",IF($M7718="PADD III","PADD 3",IF($M7718="PADD IV","PADD 4",IF($M7718="PADD V","PADD 5","")))))</f>
        <v>PADD 2</v>
      </c>
      <c r="G7718" s="6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6" t="s">
        <v>494</v>
      </c>
      <c r="I7718" s="6" t="s">
        <v>808</v>
      </c>
      <c r="J7718" s="6" t="s">
        <v>398</v>
      </c>
      <c r="K7718" s="10">
        <v>28.6</v>
      </c>
      <c r="L7718" s="10">
        <v>44</v>
      </c>
      <c r="M7718" s="6" t="s">
        <v>425</v>
      </c>
      <c r="N7718" s="6" t="str">
        <f>IF(OR($G7718="FCC",$G7718="Hydrocracker",$G7718="Reformer"),IF(COUNTIFS($D:$D,$D7718,$A:$A,$A7718,$B:$B,$B7718,$G:$G,"CDU",$J:$J,"PLANNED")&gt;0,"tied","standalone"),"")</f>
        <v>tied</v>
      </c>
    </row>
    <row r="7719" spans="1:14">
      <c r="A7719" s="6">
        <v>2026</v>
      </c>
      <c r="B7719" s="6">
        <v>5</v>
      </c>
      <c r="C7719" s="6" t="s">
        <v>64</v>
      </c>
      <c r="D7719" s="6" t="s">
        <v>576</v>
      </c>
      <c r="E7719" s="6" t="s">
        <v>455</v>
      </c>
      <c r="F7719" s="6" t="str">
        <f>IF($M7719="PADD I","PADD 1",IF($M7719="PADD II","PADD 2",IF($M7719="PADD III","PADD 3",IF($M7719="PADD IV","PADD 4",IF($M7719="PADD V","PADD 5","")))))</f>
        <v>PADD 3</v>
      </c>
      <c r="G7719" s="6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6" t="s">
        <v>39</v>
      </c>
      <c r="I7719" s="6" t="s">
        <v>399</v>
      </c>
      <c r="J7719" s="6" t="s">
        <v>394</v>
      </c>
      <c r="K7719" s="10">
        <v>27.3</v>
      </c>
      <c r="L7719" s="10">
        <v>210</v>
      </c>
      <c r="M7719" s="6" t="s">
        <v>421</v>
      </c>
      <c r="N7719" s="6">
        <f>IF(OR($G7719="FCC",$G7719="Hydrocracker",$G7719="Reformer"),IF(COUNTIFS($D:$D,$D7719,$A:$A,$A7719,$B:$B,$B7719,$G:$G,"CDU",$J:$J,"PLANNED")&gt;0,"tied","standalone"),"")</f>
        <v/>
      </c>
    </row>
    <row r="7720" spans="1:14">
      <c r="A7720" s="6">
        <v>2026</v>
      </c>
      <c r="B7720" s="6">
        <v>5</v>
      </c>
      <c r="C7720" s="6" t="s">
        <v>64</v>
      </c>
      <c r="D7720" s="6" t="s">
        <v>370</v>
      </c>
      <c r="E7720" s="6" t="s">
        <v>431</v>
      </c>
      <c r="F7720" s="6" t="str">
        <f>IF($M7720="PADD I","PADD 1",IF($M7720="PADD II","PADD 2",IF($M7720="PADD III","PADD 3",IF($M7720="PADD IV","PADD 4",IF($M7720="PADD V","PADD 5","")))))</f>
        <v>PADD 2</v>
      </c>
      <c r="G7720" s="6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6" t="s">
        <v>426</v>
      </c>
      <c r="I7720" s="6" t="s">
        <v>106</v>
      </c>
      <c r="J7720" s="6" t="s">
        <v>394</v>
      </c>
      <c r="K7720" s="10">
        <v>25.48</v>
      </c>
      <c r="L7720" s="10">
        <v>98</v>
      </c>
      <c r="M7720" s="6" t="s">
        <v>425</v>
      </c>
      <c r="N7720" s="6" t="str">
        <f>IF(OR($G7720="FCC",$G7720="Hydrocracker",$G7720="Reformer"),IF(COUNTIFS($D:$D,$D7720,$A:$A,$A7720,$B:$B,$B7720,$G:$G,"CDU",$J:$J,"PLANNED")&gt;0,"tied","standalone"),"")</f>
        <v>standalone</v>
      </c>
    </row>
    <row r="7721" spans="1:14">
      <c r="A7721" s="6">
        <v>2026</v>
      </c>
      <c r="B7721" s="6">
        <v>5</v>
      </c>
      <c r="C7721" s="6" t="s">
        <v>64</v>
      </c>
      <c r="D7721" s="6" t="s">
        <v>49</v>
      </c>
      <c r="E7721" s="6" t="s">
        <v>438</v>
      </c>
      <c r="F7721" s="6" t="str">
        <f>IF($M7721="PADD I","PADD 1",IF($M7721="PADD II","PADD 2",IF($M7721="PADD III","PADD 3",IF($M7721="PADD IV","PADD 4",IF($M7721="PADD V","PADD 5","")))))</f>
        <v>PADD 2</v>
      </c>
      <c r="G7721" s="6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6" t="s">
        <v>428</v>
      </c>
      <c r="I7721" s="6" t="s">
        <v>481</v>
      </c>
      <c r="J7721" s="6" t="s">
        <v>398</v>
      </c>
      <c r="K7721" s="10">
        <v>25.35</v>
      </c>
      <c r="L7721" s="10">
        <v>65</v>
      </c>
      <c r="M7721" s="6" t="s">
        <v>425</v>
      </c>
      <c r="N7721" s="6">
        <f>IF(OR($G7721="FCC",$G7721="Hydrocracker",$G7721="Reformer"),IF(COUNTIFS($D:$D,$D7721,$A:$A,$A7721,$B:$B,$B7721,$G:$G,"CDU",$J:$J,"PLANNED")&gt;0,"tied","standalone"),"")</f>
        <v/>
      </c>
    </row>
    <row r="7722" spans="1:14">
      <c r="A7722" s="6">
        <v>2026</v>
      </c>
      <c r="B7722" s="6">
        <v>5</v>
      </c>
      <c r="C7722" s="6" t="s">
        <v>64</v>
      </c>
      <c r="D7722" s="6" t="s">
        <v>49</v>
      </c>
      <c r="E7722" s="6" t="s">
        <v>438</v>
      </c>
      <c r="F7722" s="6" t="str">
        <f>IF($M7722="PADD I","PADD 1",IF($M7722="PADD II","PADD 2",IF($M7722="PADD III","PADD 3",IF($M7722="PADD IV","PADD 4",IF($M7722="PADD V","PADD 5","")))))</f>
        <v>PADD 2</v>
      </c>
      <c r="G7722" s="6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6" t="s">
        <v>471</v>
      </c>
      <c r="I7722" s="6" t="s">
        <v>771</v>
      </c>
      <c r="J7722" s="6" t="s">
        <v>398</v>
      </c>
      <c r="K7722" s="10">
        <v>25.35</v>
      </c>
      <c r="L7722" s="10">
        <v>39</v>
      </c>
      <c r="M7722" s="6" t="s">
        <v>425</v>
      </c>
      <c r="N7722" s="6" t="str">
        <f>IF(OR($G7722="FCC",$G7722="Hydrocracker",$G7722="Reformer"),IF(COUNTIFS($D:$D,$D7722,$A:$A,$A7722,$B:$B,$B7722,$G:$G,"CDU",$J:$J,"PLANNED")&gt;0,"tied","standalone"),"")</f>
        <v>tied</v>
      </c>
    </row>
    <row r="7723" spans="1:14">
      <c r="A7723" s="6">
        <v>2026</v>
      </c>
      <c r="B7723" s="6">
        <v>5</v>
      </c>
      <c r="C7723" s="6" t="s">
        <v>64</v>
      </c>
      <c r="D7723" s="6" t="s">
        <v>496</v>
      </c>
      <c r="E7723" s="6" t="s">
        <v>441</v>
      </c>
      <c r="F7723" s="6" t="str">
        <f>IF($M7723="PADD I","PADD 1",IF($M7723="PADD II","PADD 2",IF($M7723="PADD III","PADD 3",IF($M7723="PADD IV","PADD 4",IF($M7723="PADD V","PADD 5","")))))</f>
        <v>PADD 3</v>
      </c>
      <c r="G7723" s="6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6" t="s">
        <v>428</v>
      </c>
      <c r="I7723" s="6" t="s">
        <v>1091</v>
      </c>
      <c r="J7723" s="6" t="s">
        <v>394</v>
      </c>
      <c r="K7723" s="10">
        <v>25.01</v>
      </c>
      <c r="L7723" s="10">
        <v>41</v>
      </c>
      <c r="M7723" s="6" t="s">
        <v>421</v>
      </c>
      <c r="N7723" s="6">
        <f>IF(OR($G7723="FCC",$G7723="Hydrocracker",$G7723="Reformer"),IF(COUNTIFS($D:$D,$D7723,$A:$A,$A7723,$B:$B,$B7723,$G:$G,"CDU",$J:$J,"PLANNED")&gt;0,"tied","standalone"),"")</f>
        <v/>
      </c>
    </row>
    <row r="7724" spans="1:14">
      <c r="A7724" s="6">
        <v>2026</v>
      </c>
      <c r="B7724" s="6">
        <v>5</v>
      </c>
      <c r="C7724" s="6" t="s">
        <v>64</v>
      </c>
      <c r="D7724" s="6" t="s">
        <v>696</v>
      </c>
      <c r="E7724" s="6" t="s">
        <v>455</v>
      </c>
      <c r="F7724" s="6" t="str">
        <f>IF($M7724="PADD I","PADD 1",IF($M7724="PADD II","PADD 2",IF($M7724="PADD III","PADD 3",IF($M7724="PADD IV","PADD 4",IF($M7724="PADD V","PADD 5","")))))</f>
        <v>PADD 3</v>
      </c>
      <c r="G7724" s="6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6" t="s">
        <v>39</v>
      </c>
      <c r="I7724" s="6" t="s">
        <v>127</v>
      </c>
      <c r="J7724" s="6" t="s">
        <v>394</v>
      </c>
      <c r="K7724" s="10">
        <v>24.96</v>
      </c>
      <c r="L7724" s="10">
        <v>96</v>
      </c>
      <c r="M7724" s="6" t="s">
        <v>421</v>
      </c>
      <c r="N7724" s="6">
        <f>IF(OR($G7724="FCC",$G7724="Hydrocracker",$G7724="Reformer"),IF(COUNTIFS($D:$D,$D7724,$A:$A,$A7724,$B:$B,$B7724,$G:$G,"CDU",$J:$J,"PLANNED")&gt;0,"tied","standalone"),"")</f>
        <v/>
      </c>
    </row>
    <row r="7725" spans="1:14">
      <c r="A7725" s="6">
        <v>2026</v>
      </c>
      <c r="B7725" s="6">
        <v>5</v>
      </c>
      <c r="C7725" s="6" t="s">
        <v>64</v>
      </c>
      <c r="D7725" s="6" t="s">
        <v>49</v>
      </c>
      <c r="E7725" s="6" t="s">
        <v>438</v>
      </c>
      <c r="F7725" s="6" t="str">
        <f>IF($M7725="PADD I","PADD 1",IF($M7725="PADD II","PADD 2",IF($M7725="PADD III","PADD 3",IF($M7725="PADD IV","PADD 4",IF($M7725="PADD V","PADD 5","")))))</f>
        <v>PADD 2</v>
      </c>
      <c r="G7725" s="6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6" t="s">
        <v>44</v>
      </c>
      <c r="I7725" s="6" t="s">
        <v>746</v>
      </c>
      <c r="J7725" s="6" t="s">
        <v>398</v>
      </c>
      <c r="K7725" s="10">
        <v>24.65</v>
      </c>
      <c r="L7725" s="10">
        <v>85</v>
      </c>
      <c r="M7725" s="6" t="s">
        <v>425</v>
      </c>
      <c r="N7725" s="6">
        <f>IF(OR($G7725="FCC",$G7725="Hydrocracker",$G7725="Reformer"),IF(COUNTIFS($D:$D,$D7725,$A:$A,$A7725,$B:$B,$B7725,$G:$G,"CDU",$J:$J,"PLANNED")&gt;0,"tied","standalone"),"")</f>
        <v/>
      </c>
    </row>
    <row r="7726" spans="1:14">
      <c r="A7726" s="6">
        <v>2026</v>
      </c>
      <c r="B7726" s="6">
        <v>5</v>
      </c>
      <c r="C7726" s="6" t="s">
        <v>64</v>
      </c>
      <c r="D7726" s="6" t="s">
        <v>49</v>
      </c>
      <c r="E7726" s="6" t="s">
        <v>438</v>
      </c>
      <c r="F7726" s="6" t="str">
        <f>IF($M7726="PADD I","PADD 1",IF($M7726="PADD II","PADD 2",IF($M7726="PADD III","PADD 3",IF($M7726="PADD IV","PADD 4",IF($M7726="PADD V","PADD 5","")))))</f>
        <v>PADD 2</v>
      </c>
      <c r="G7726" s="6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6" t="s">
        <v>44</v>
      </c>
      <c r="I7726" s="6" t="s">
        <v>746</v>
      </c>
      <c r="J7726" s="6" t="s">
        <v>398</v>
      </c>
      <c r="K7726" s="10">
        <v>24.65</v>
      </c>
      <c r="L7726" s="10">
        <v>85</v>
      </c>
      <c r="M7726" s="6" t="s">
        <v>425</v>
      </c>
      <c r="N7726" s="6">
        <f>IF(OR($G7726="FCC",$G7726="Hydrocracker",$G7726="Reformer"),IF(COUNTIFS($D:$D,$D7726,$A:$A,$A7726,$B:$B,$B7726,$G:$G,"CDU",$J:$J,"PLANNED")&gt;0,"tied","standalone"),"")</f>
        <v/>
      </c>
    </row>
    <row r="7727" spans="1:14">
      <c r="A7727" s="6">
        <v>2026</v>
      </c>
      <c r="B7727" s="6">
        <v>5</v>
      </c>
      <c r="C7727" s="6" t="s">
        <v>64</v>
      </c>
      <c r="D7727" s="6" t="s">
        <v>576</v>
      </c>
      <c r="E7727" s="6" t="s">
        <v>455</v>
      </c>
      <c r="F7727" s="6" t="str">
        <f>IF($M7727="PADD I","PADD 1",IF($M7727="PADD II","PADD 2",IF($M7727="PADD III","PADD 3",IF($M7727="PADD IV","PADD 4",IF($M7727="PADD V","PADD 5","")))))</f>
        <v>PADD 3</v>
      </c>
      <c r="G7727" s="6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6" t="s">
        <v>428</v>
      </c>
      <c r="I7727" s="6" t="s">
        <v>699</v>
      </c>
      <c r="J7727" s="6" t="s">
        <v>394</v>
      </c>
      <c r="K7727" s="10">
        <v>22.36</v>
      </c>
      <c r="L7727" s="10">
        <v>172</v>
      </c>
      <c r="M7727" s="6" t="s">
        <v>421</v>
      </c>
      <c r="N7727" s="6">
        <f>IF(OR($G7727="FCC",$G7727="Hydrocracker",$G7727="Reformer"),IF(COUNTIFS($D:$D,$D7727,$A:$A,$A7727,$B:$B,$B7727,$G:$G,"CDU",$J:$J,"PLANNED")&gt;0,"tied","standalone"),"")</f>
        <v/>
      </c>
    </row>
    <row r="7728" spans="1:14">
      <c r="A7728" s="6">
        <v>2026</v>
      </c>
      <c r="B7728" s="6">
        <v>5</v>
      </c>
      <c r="C7728" s="6" t="s">
        <v>64</v>
      </c>
      <c r="D7728" s="6" t="s">
        <v>576</v>
      </c>
      <c r="E7728" s="6" t="s">
        <v>455</v>
      </c>
      <c r="F7728" s="6" t="str">
        <f>IF($M7728="PADD I","PADD 1",IF($M7728="PADD II","PADD 2",IF($M7728="PADD III","PADD 3",IF($M7728="PADD IV","PADD 4",IF($M7728="PADD V","PADD 5","")))))</f>
        <v>PADD 3</v>
      </c>
      <c r="G7728" s="6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6" t="s">
        <v>39</v>
      </c>
      <c r="I7728" s="6" t="s">
        <v>399</v>
      </c>
      <c r="J7728" s="6" t="s">
        <v>394</v>
      </c>
      <c r="K7728" s="10">
        <v>22.05</v>
      </c>
      <c r="L7728" s="10">
        <v>63</v>
      </c>
      <c r="M7728" s="6" t="s">
        <v>421</v>
      </c>
      <c r="N7728" s="6">
        <f>IF(OR($G7728="FCC",$G7728="Hydrocracker",$G7728="Reformer"),IF(COUNTIFS($D:$D,$D7728,$A:$A,$A7728,$B:$B,$B7728,$G:$G,"CDU",$J:$J,"PLANNED")&gt;0,"tied","standalone"),"")</f>
        <v/>
      </c>
    </row>
    <row r="7729" spans="1:14">
      <c r="A7729" s="6">
        <v>2026</v>
      </c>
      <c r="B7729" s="6">
        <v>5</v>
      </c>
      <c r="C7729" s="6" t="s">
        <v>64</v>
      </c>
      <c r="D7729" s="6" t="s">
        <v>1088</v>
      </c>
      <c r="E7729" s="6" t="s">
        <v>1089</v>
      </c>
      <c r="F7729" s="6" t="str">
        <f>IF($M7729="PADD I","PADD 1",IF($M7729="PADD II","PADD 2",IF($M7729="PADD III","PADD 3",IF($M7729="PADD IV","PADD 4",IF($M7729="PADD V","PADD 5","")))))</f>
        <v>PADD 2</v>
      </c>
      <c r="G7729" s="6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6" t="s">
        <v>39</v>
      </c>
      <c r="I7729" s="6" t="s">
        <v>1090</v>
      </c>
      <c r="J7729" s="6" t="s">
        <v>394</v>
      </c>
      <c r="K7729" s="10">
        <v>21.85</v>
      </c>
      <c r="L7729" s="10">
        <v>95</v>
      </c>
      <c r="M7729" s="6" t="s">
        <v>425</v>
      </c>
      <c r="N7729" s="6">
        <f>IF(OR($G7729="FCC",$G7729="Hydrocracker",$G7729="Reformer"),IF(COUNTIFS($D:$D,$D7729,$A:$A,$A7729,$B:$B,$B7729,$G:$G,"CDU",$J:$J,"PLANNED")&gt;0,"tied","standalone"),"")</f>
        <v/>
      </c>
    </row>
    <row r="7730" spans="1:14">
      <c r="A7730" s="6">
        <v>2026</v>
      </c>
      <c r="B7730" s="6">
        <v>5</v>
      </c>
      <c r="C7730" s="6" t="s">
        <v>64</v>
      </c>
      <c r="D7730" s="6" t="s">
        <v>498</v>
      </c>
      <c r="E7730" s="6" t="s">
        <v>441</v>
      </c>
      <c r="F7730" s="6" t="str">
        <f>IF($M7730="PADD I","PADD 1",IF($M7730="PADD II","PADD 2",IF($M7730="PADD III","PADD 3",IF($M7730="PADD IV","PADD 4",IF($M7730="PADD V","PADD 5","")))))</f>
        <v>PADD 3</v>
      </c>
      <c r="G7730" s="6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6" t="s">
        <v>44</v>
      </c>
      <c r="I7730" s="6" t="s">
        <v>499</v>
      </c>
      <c r="J7730" s="6" t="s">
        <v>394</v>
      </c>
      <c r="K7730" s="10">
        <v>21.35</v>
      </c>
      <c r="L7730" s="10">
        <v>35</v>
      </c>
      <c r="M7730" s="6" t="s">
        <v>421</v>
      </c>
      <c r="N7730" s="6">
        <f>IF(OR($G7730="FCC",$G7730="Hydrocracker",$G7730="Reformer"),IF(COUNTIFS($D:$D,$D7730,$A:$A,$A7730,$B:$B,$B7730,$G:$G,"CDU",$J:$J,"PLANNED")&gt;0,"tied","standalone"),"")</f>
        <v/>
      </c>
    </row>
    <row r="7731" spans="1:14">
      <c r="A7731" s="6">
        <v>2026</v>
      </c>
      <c r="B7731" s="6">
        <v>5</v>
      </c>
      <c r="C7731" s="6" t="s">
        <v>64</v>
      </c>
      <c r="D7731" s="6" t="s">
        <v>49</v>
      </c>
      <c r="E7731" s="6" t="s">
        <v>438</v>
      </c>
      <c r="F7731" s="6" t="str">
        <f>IF($M7731="PADD I","PADD 1",IF($M7731="PADD II","PADD 2",IF($M7731="PADD III","PADD 3",IF($M7731="PADD IV","PADD 4",IF($M7731="PADD V","PADD 5","")))))</f>
        <v>PADD 2</v>
      </c>
      <c r="G7731" s="6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6" t="s">
        <v>44</v>
      </c>
      <c r="I7731" s="6" t="s">
        <v>811</v>
      </c>
      <c r="J7731" s="6" t="s">
        <v>394</v>
      </c>
      <c r="K7731" s="10">
        <v>20.88</v>
      </c>
      <c r="L7731" s="10">
        <v>24</v>
      </c>
      <c r="M7731" s="6" t="s">
        <v>425</v>
      </c>
      <c r="N7731" s="6">
        <f>IF(OR($G7731="FCC",$G7731="Hydrocracker",$G7731="Reformer"),IF(COUNTIFS($D:$D,$D7731,$A:$A,$A7731,$B:$B,$B7731,$G:$G,"CDU",$J:$J,"PLANNED")&gt;0,"tied","standalone"),"")</f>
        <v/>
      </c>
    </row>
    <row r="7732" spans="1:14">
      <c r="A7732" s="6">
        <v>2026</v>
      </c>
      <c r="B7732" s="6">
        <v>5</v>
      </c>
      <c r="C7732" s="6" t="s">
        <v>64</v>
      </c>
      <c r="D7732" s="6" t="s">
        <v>576</v>
      </c>
      <c r="E7732" s="6" t="s">
        <v>455</v>
      </c>
      <c r="F7732" s="6" t="str">
        <f>IF($M7732="PADD I","PADD 1",IF($M7732="PADD II","PADD 2",IF($M7732="PADD III","PADD 3",IF($M7732="PADD IV","PADD 4",IF($M7732="PADD V","PADD 5","")))))</f>
        <v>PADD 3</v>
      </c>
      <c r="G7732" s="6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6" t="s">
        <v>426</v>
      </c>
      <c r="I7732" s="6" t="s">
        <v>393</v>
      </c>
      <c r="J7732" s="6" t="s">
        <v>394</v>
      </c>
      <c r="K7732" s="10">
        <v>20.8</v>
      </c>
      <c r="L7732" s="10">
        <v>80</v>
      </c>
      <c r="M7732" s="6" t="s">
        <v>421</v>
      </c>
      <c r="N7732" s="6" t="str">
        <f>IF(OR($G7732="FCC",$G7732="Hydrocracker",$G7732="Reformer"),IF(COUNTIFS($D:$D,$D7732,$A:$A,$A7732,$B:$B,$B7732,$G:$G,"CDU",$J:$J,"PLANNED")&gt;0,"tied","standalone"),"")</f>
        <v>standalone</v>
      </c>
    </row>
    <row r="7733" spans="1:14">
      <c r="A7733" s="6">
        <v>2026</v>
      </c>
      <c r="B7733" s="6">
        <v>5</v>
      </c>
      <c r="C7733" s="6" t="s">
        <v>64</v>
      </c>
      <c r="D7733" s="6" t="s">
        <v>370</v>
      </c>
      <c r="E7733" s="6" t="s">
        <v>431</v>
      </c>
      <c r="F7733" s="6" t="str">
        <f>IF($M7733="PADD I","PADD 1",IF($M7733="PADD II","PADD 2",IF($M7733="PADD III","PADD 3",IF($M7733="PADD IV","PADD 4",IF($M7733="PADD V","PADD 5","")))))</f>
        <v>PADD 2</v>
      </c>
      <c r="G7733" s="6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6" t="s">
        <v>39</v>
      </c>
      <c r="I7733" s="6" t="s">
        <v>82</v>
      </c>
      <c r="J7733" s="6" t="s">
        <v>394</v>
      </c>
      <c r="K7733" s="10">
        <v>20.8</v>
      </c>
      <c r="L7733" s="10">
        <v>65</v>
      </c>
      <c r="M7733" s="6" t="s">
        <v>425</v>
      </c>
      <c r="N7733" s="6">
        <f>IF(OR($G7733="FCC",$G7733="Hydrocracker",$G7733="Reformer"),IF(COUNTIFS($D:$D,$D7733,$A:$A,$A7733,$B:$B,$B7733,$G:$G,"CDU",$J:$J,"PLANNED")&gt;0,"tied","standalone"),"")</f>
        <v/>
      </c>
    </row>
    <row r="7734" spans="1:14">
      <c r="A7734" s="6">
        <v>2026</v>
      </c>
      <c r="B7734" s="6">
        <v>5</v>
      </c>
      <c r="C7734" s="6" t="s">
        <v>64</v>
      </c>
      <c r="D7734" s="6" t="s">
        <v>496</v>
      </c>
      <c r="E7734" s="6" t="s">
        <v>441</v>
      </c>
      <c r="F7734" s="6" t="str">
        <f>IF($M7734="PADD I","PADD 1",IF($M7734="PADD II","PADD 2",IF($M7734="PADD III","PADD 3",IF($M7734="PADD IV","PADD 4",IF($M7734="PADD V","PADD 5","")))))</f>
        <v>PADD 3</v>
      </c>
      <c r="G7734" s="6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6" t="s">
        <v>471</v>
      </c>
      <c r="I7734" s="6" t="s">
        <v>533</v>
      </c>
      <c r="J7734" s="6" t="s">
        <v>394</v>
      </c>
      <c r="K7734" s="10">
        <v>20.16</v>
      </c>
      <c r="L7734" s="10">
        <v>24</v>
      </c>
      <c r="M7734" s="6" t="s">
        <v>421</v>
      </c>
      <c r="N7734" s="6" t="str">
        <f>IF(OR($G7734="FCC",$G7734="Hydrocracker",$G7734="Reformer"),IF(COUNTIFS($D:$D,$D7734,$A:$A,$A7734,$B:$B,$B7734,$G:$G,"CDU",$J:$J,"PLANNED")&gt;0,"tied","standalone"),"")</f>
        <v>standalone</v>
      </c>
    </row>
    <row r="7735" spans="1:14">
      <c r="A7735" s="6">
        <v>2026</v>
      </c>
      <c r="B7735" s="6">
        <v>5</v>
      </c>
      <c r="C7735" s="6" t="s">
        <v>64</v>
      </c>
      <c r="D7735" s="6" t="s">
        <v>440</v>
      </c>
      <c r="E7735" s="6" t="s">
        <v>441</v>
      </c>
      <c r="F7735" s="6" t="str">
        <f>IF($M7735="PADD I","PADD 1",IF($M7735="PADD II","PADD 2",IF($M7735="PADD III","PADD 3",IF($M7735="PADD IV","PADD 4",IF($M7735="PADD V","PADD 5","")))))</f>
        <v>PADD 3</v>
      </c>
      <c r="G7735" s="6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6" t="s">
        <v>39</v>
      </c>
      <c r="I7735" s="6" t="s">
        <v>442</v>
      </c>
      <c r="J7735" s="6" t="s">
        <v>394</v>
      </c>
      <c r="K7735" s="10">
        <v>20</v>
      </c>
      <c r="L7735" s="10">
        <v>200</v>
      </c>
      <c r="M7735" s="6" t="s">
        <v>421</v>
      </c>
      <c r="N7735" s="6">
        <f>IF(OR($G7735="FCC",$G7735="Hydrocracker",$G7735="Reformer"),IF(COUNTIFS($D:$D,$D7735,$A:$A,$A7735,$B:$B,$B7735,$G:$G,"CDU",$J:$J,"PLANNED")&gt;0,"tied","standalone"),"")</f>
        <v/>
      </c>
    </row>
    <row r="7736" spans="1:14">
      <c r="A7736" s="6">
        <v>2026</v>
      </c>
      <c r="B7736" s="6">
        <v>5</v>
      </c>
      <c r="C7736" s="6" t="s">
        <v>64</v>
      </c>
      <c r="D7736" s="6" t="s">
        <v>54</v>
      </c>
      <c r="E7736" s="6" t="s">
        <v>593</v>
      </c>
      <c r="F7736" s="6" t="str">
        <f>IF($M7736="PADD I","PADD 1",IF($M7736="PADD II","PADD 2",IF($M7736="PADD III","PADD 3",IF($M7736="PADD IV","PADD 4",IF($M7736="PADD V","PADD 5","")))))</f>
        <v>PADD 5</v>
      </c>
      <c r="G7736" s="6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6" t="s">
        <v>494</v>
      </c>
      <c r="I7736" s="6" t="s">
        <v>14</v>
      </c>
      <c r="J7736" s="6" t="s">
        <v>398</v>
      </c>
      <c r="K7736" s="10">
        <v>19.25</v>
      </c>
      <c r="L7736" s="10">
        <v>55</v>
      </c>
      <c r="M7736" s="6" t="s">
        <v>436</v>
      </c>
      <c r="N7736" s="6" t="str">
        <f>IF(OR($G7736="FCC",$G7736="Hydrocracker",$G7736="Reformer"),IF(COUNTIFS($D:$D,$D7736,$A:$A,$A7736,$B:$B,$B7736,$G:$G,"CDU",$J:$J,"PLANNED")&gt;0,"tied","standalone"),"")</f>
        <v>tied</v>
      </c>
    </row>
    <row r="7737" spans="1:14">
      <c r="A7737" s="6">
        <v>2026</v>
      </c>
      <c r="B7737" s="6">
        <v>5</v>
      </c>
      <c r="C7737" s="6" t="s">
        <v>64</v>
      </c>
      <c r="D7737" s="6" t="s">
        <v>576</v>
      </c>
      <c r="E7737" s="6" t="s">
        <v>455</v>
      </c>
      <c r="F7737" s="6" t="str">
        <f>IF($M7737="PADD I","PADD 1",IF($M7737="PADD II","PADD 2",IF($M7737="PADD III","PADD 3",IF($M7737="PADD IV","PADD 4",IF($M7737="PADD V","PADD 5","")))))</f>
        <v>PADD 3</v>
      </c>
      <c r="G7737" s="6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6" t="s">
        <v>44</v>
      </c>
      <c r="I7737" s="6" t="s">
        <v>1276</v>
      </c>
      <c r="J7737" s="6" t="s">
        <v>394</v>
      </c>
      <c r="K7737" s="10">
        <v>18.5</v>
      </c>
      <c r="L7737" s="10">
        <v>18.5</v>
      </c>
      <c r="M7737" s="6" t="s">
        <v>421</v>
      </c>
      <c r="N7737" s="6">
        <f>IF(OR($G7737="FCC",$G7737="Hydrocracker",$G7737="Reformer"),IF(COUNTIFS($D:$D,$D7737,$A:$A,$A7737,$B:$B,$B7737,$G:$G,"CDU",$J:$J,"PLANNED")&gt;0,"tied","standalone"),"")</f>
        <v/>
      </c>
    </row>
    <row r="7738" spans="1:14">
      <c r="A7738" s="6">
        <v>2026</v>
      </c>
      <c r="B7738" s="6">
        <v>5</v>
      </c>
      <c r="C7738" s="6" t="s">
        <v>64</v>
      </c>
      <c r="D7738" s="6" t="s">
        <v>370</v>
      </c>
      <c r="E7738" s="6" t="s">
        <v>431</v>
      </c>
      <c r="F7738" s="6" t="str">
        <f>IF($M7738="PADD I","PADD 1",IF($M7738="PADD II","PADD 2",IF($M7738="PADD III","PADD 3",IF($M7738="PADD IV","PADD 4",IF($M7738="PADD V","PADD 5","")))))</f>
        <v>PADD 2</v>
      </c>
      <c r="G7738" s="6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6" t="s">
        <v>44</v>
      </c>
      <c r="I7738" s="6" t="s">
        <v>1215</v>
      </c>
      <c r="J7738" s="6" t="s">
        <v>394</v>
      </c>
      <c r="K7738" s="10">
        <v>18.4</v>
      </c>
      <c r="L7738" s="10">
        <v>80</v>
      </c>
      <c r="M7738" s="6" t="s">
        <v>425</v>
      </c>
      <c r="N7738" s="6">
        <f>IF(OR($G7738="FCC",$G7738="Hydrocracker",$G7738="Reformer"),IF(COUNTIFS($D:$D,$D7738,$A:$A,$A7738,$B:$B,$B7738,$G:$G,"CDU",$J:$J,"PLANNED")&gt;0,"tied","standalone"),"")</f>
        <v/>
      </c>
    </row>
    <row r="7739" spans="1:14">
      <c r="A7739" s="6">
        <v>2026</v>
      </c>
      <c r="B7739" s="6">
        <v>5</v>
      </c>
      <c r="C7739" s="6" t="s">
        <v>64</v>
      </c>
      <c r="D7739" s="6" t="s">
        <v>375</v>
      </c>
      <c r="E7739" s="6" t="s">
        <v>435</v>
      </c>
      <c r="F7739" s="6" t="str">
        <f>IF($M7739="PADD I","PADD 1",IF($M7739="PADD II","PADD 2",IF($M7739="PADD III","PADD 3",IF($M7739="PADD IV","PADD 4",IF($M7739="PADD V","PADD 5","")))))</f>
        <v>PADD 5</v>
      </c>
      <c r="G7739" s="6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6" t="s">
        <v>426</v>
      </c>
      <c r="I7739" s="6" t="s">
        <v>554</v>
      </c>
      <c r="J7739" s="6" t="s">
        <v>394</v>
      </c>
      <c r="K7739" s="10">
        <v>18.2</v>
      </c>
      <c r="L7739" s="10">
        <v>70</v>
      </c>
      <c r="M7739" s="6" t="s">
        <v>436</v>
      </c>
      <c r="N7739" s="6" t="str">
        <f>IF(OR($G7739="FCC",$G7739="Hydrocracker",$G7739="Reformer"),IF(COUNTIFS($D:$D,$D7739,$A:$A,$A7739,$B:$B,$B7739,$G:$G,"CDU",$J:$J,"PLANNED")&gt;0,"tied","standalone"),"")</f>
        <v>standalone</v>
      </c>
    </row>
    <row r="7740" spans="1:14">
      <c r="A7740" s="6">
        <v>2026</v>
      </c>
      <c r="B7740" s="6">
        <v>5</v>
      </c>
      <c r="C7740" s="6" t="s">
        <v>64</v>
      </c>
      <c r="D7740" s="6" t="s">
        <v>984</v>
      </c>
      <c r="E7740" s="6" t="s">
        <v>438</v>
      </c>
      <c r="F7740" s="6" t="str">
        <f>IF($M7740="PADD I","PADD 1",IF($M7740="PADD II","PADD 2",IF($M7740="PADD III","PADD 3",IF($M7740="PADD IV","PADD 4",IF($M7740="PADD V","PADD 5","")))))</f>
        <v>PADD 3</v>
      </c>
      <c r="G7740" s="6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6" t="s">
        <v>426</v>
      </c>
      <c r="I7740" s="6" t="s">
        <v>106</v>
      </c>
      <c r="J7740" s="6" t="s">
        <v>398</v>
      </c>
      <c r="K7740" s="10">
        <v>17.995</v>
      </c>
      <c r="L7740" s="10">
        <v>29.5</v>
      </c>
      <c r="M7740" s="6" t="s">
        <v>421</v>
      </c>
      <c r="N7740" s="6" t="str">
        <f>IF(OR($G7740="FCC",$G7740="Hydrocracker",$G7740="Reformer"),IF(COUNTIFS($D:$D,$D7740,$A:$A,$A7740,$B:$B,$B7740,$G:$G,"CDU",$J:$J,"PLANNED")&gt;0,"tied","standalone"),"")</f>
        <v>tied</v>
      </c>
    </row>
    <row r="7741" spans="1:14">
      <c r="A7741" s="6">
        <v>2026</v>
      </c>
      <c r="B7741" s="6">
        <v>5</v>
      </c>
      <c r="C7741" s="6" t="s">
        <v>64</v>
      </c>
      <c r="D7741" s="6" t="s">
        <v>487</v>
      </c>
      <c r="E7741" s="6" t="s">
        <v>488</v>
      </c>
      <c r="F7741" s="6" t="str">
        <f>IF($M7741="PADD I","PADD 1",IF($M7741="PADD II","PADD 2",IF($M7741="PADD III","PADD 3",IF($M7741="PADD IV","PADD 4",IF($M7741="PADD V","PADD 5","")))))</f>
        <v>PADD 4</v>
      </c>
      <c r="G7741" s="6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6" t="s">
        <v>44</v>
      </c>
      <c r="I7741" s="6" t="s">
        <v>543</v>
      </c>
      <c r="J7741" s="6" t="s">
        <v>398</v>
      </c>
      <c r="K7741" s="10">
        <v>17.64</v>
      </c>
      <c r="L7741" s="10">
        <v>21</v>
      </c>
      <c r="M7741" s="6" t="s">
        <v>480</v>
      </c>
      <c r="N7741" s="6">
        <f>IF(OR($G7741="FCC",$G7741="Hydrocracker",$G7741="Reformer"),IF(COUNTIFS($D:$D,$D7741,$A:$A,$A7741,$B:$B,$B7741,$G:$G,"CDU",$J:$J,"PLANNED")&gt;0,"tied","standalone"),"")</f>
        <v/>
      </c>
    </row>
    <row r="7742" spans="1:14">
      <c r="A7742" s="6">
        <v>2026</v>
      </c>
      <c r="B7742" s="6">
        <v>5</v>
      </c>
      <c r="C7742" s="6" t="s">
        <v>64</v>
      </c>
      <c r="D7742" s="6" t="s">
        <v>597</v>
      </c>
      <c r="E7742" s="6" t="s">
        <v>441</v>
      </c>
      <c r="F7742" s="6" t="str">
        <f>IF($M7742="PADD I","PADD 1",IF($M7742="PADD II","PADD 2",IF($M7742="PADD III","PADD 3",IF($M7742="PADD IV","PADD 4",IF($M7742="PADD V","PADD 5","")))))</f>
        <v>PADD 5</v>
      </c>
      <c r="G7742" s="6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6" t="s">
        <v>426</v>
      </c>
      <c r="I7742" s="6" t="s">
        <v>106</v>
      </c>
      <c r="J7742" s="6" t="s">
        <v>394</v>
      </c>
      <c r="K7742" s="10">
        <v>17.1</v>
      </c>
      <c r="L7742" s="10">
        <v>90</v>
      </c>
      <c r="M7742" s="6" t="s">
        <v>436</v>
      </c>
      <c r="N7742" s="6" t="str">
        <f>IF(OR($G7742="FCC",$G7742="Hydrocracker",$G7742="Reformer"),IF(COUNTIFS($D:$D,$D7742,$A:$A,$A7742,$B:$B,$B7742,$G:$G,"CDU",$J:$J,"PLANNED")&gt;0,"tied","standalone"),"")</f>
        <v>standalone</v>
      </c>
    </row>
    <row r="7743" spans="1:14">
      <c r="A7743" s="6">
        <v>2026</v>
      </c>
      <c r="B7743" s="6">
        <v>5</v>
      </c>
      <c r="C7743" s="6" t="s">
        <v>64</v>
      </c>
      <c r="D7743" s="6" t="s">
        <v>371</v>
      </c>
      <c r="E7743" s="6" t="s">
        <v>419</v>
      </c>
      <c r="F7743" s="6" t="str">
        <f>IF($M7743="PADD I","PADD 1",IF($M7743="PADD II","PADD 2",IF($M7743="PADD III","PADD 3",IF($M7743="PADD IV","PADD 4",IF($M7743="PADD V","PADD 5","")))))</f>
        <v>PADD 2</v>
      </c>
      <c r="G7743" s="6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6" t="s">
        <v>485</v>
      </c>
      <c r="I7743" s="6" t="s">
        <v>491</v>
      </c>
      <c r="J7743" s="6" t="s">
        <v>398</v>
      </c>
      <c r="K7743" s="10">
        <v>16.9</v>
      </c>
      <c r="L7743" s="10">
        <v>65</v>
      </c>
      <c r="M7743" s="6" t="s">
        <v>425</v>
      </c>
      <c r="N7743" s="6">
        <f>IF(OR($G7743="FCC",$G7743="Hydrocracker",$G7743="Reformer"),IF(COUNTIFS($D:$D,$D7743,$A:$A,$A7743,$B:$B,$B7743,$G:$G,"CDU",$J:$J,"PLANNED")&gt;0,"tied","standalone"),"")</f>
        <v/>
      </c>
    </row>
    <row r="7744" spans="1:14">
      <c r="A7744" s="6">
        <v>2026</v>
      </c>
      <c r="B7744" s="6">
        <v>5</v>
      </c>
      <c r="C7744" s="6" t="s">
        <v>64</v>
      </c>
      <c r="D7744" s="6" t="s">
        <v>576</v>
      </c>
      <c r="E7744" s="6" t="s">
        <v>455</v>
      </c>
      <c r="F7744" s="6" t="str">
        <f>IF($M7744="PADD I","PADD 1",IF($M7744="PADD II","PADD 2",IF($M7744="PADD III","PADD 3",IF($M7744="PADD IV","PADD 4",IF($M7744="PADD V","PADD 5","")))))</f>
        <v>PADD 3</v>
      </c>
      <c r="G7744" s="6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6" t="s">
        <v>39</v>
      </c>
      <c r="I7744" s="6" t="s">
        <v>691</v>
      </c>
      <c r="J7744" s="6" t="s">
        <v>394</v>
      </c>
      <c r="K7744" s="10">
        <v>16.8</v>
      </c>
      <c r="L7744" s="10">
        <v>35</v>
      </c>
      <c r="M7744" s="6" t="s">
        <v>421</v>
      </c>
      <c r="N7744" s="6">
        <f>IF(OR($G7744="FCC",$G7744="Hydrocracker",$G7744="Reformer"),IF(COUNTIFS($D:$D,$D7744,$A:$A,$A7744,$B:$B,$B7744,$G:$G,"CDU",$J:$J,"PLANNED")&gt;0,"tied","standalone"),"")</f>
        <v/>
      </c>
    </row>
    <row r="7745" spans="1:14">
      <c r="A7745" s="6">
        <v>2026</v>
      </c>
      <c r="B7745" s="6">
        <v>5</v>
      </c>
      <c r="C7745" s="6" t="s">
        <v>64</v>
      </c>
      <c r="D7745" s="6" t="s">
        <v>51</v>
      </c>
      <c r="E7745" s="6" t="s">
        <v>431</v>
      </c>
      <c r="F7745" s="6" t="str">
        <f>IF($M7745="PADD I","PADD 1",IF($M7745="PADD II","PADD 2",IF($M7745="PADD III","PADD 3",IF($M7745="PADD IV","PADD 4",IF($M7745="PADD V","PADD 5","")))))</f>
        <v>PADD 3</v>
      </c>
      <c r="G7745" s="6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6" t="s">
        <v>426</v>
      </c>
      <c r="I7745" s="6" t="s">
        <v>103</v>
      </c>
      <c r="J7745" s="6" t="s">
        <v>394</v>
      </c>
      <c r="K7745" s="10">
        <v>16.25</v>
      </c>
      <c r="L7745" s="10">
        <v>31.25</v>
      </c>
      <c r="M7745" s="6" t="s">
        <v>421</v>
      </c>
      <c r="N7745" s="6" t="str">
        <f>IF(OR($G7745="FCC",$G7745="Hydrocracker",$G7745="Reformer"),IF(COUNTIFS($D:$D,$D7745,$A:$A,$A7745,$B:$B,$B7745,$G:$G,"CDU",$J:$J,"PLANNED")&gt;0,"tied","standalone"),"")</f>
        <v>tied</v>
      </c>
    </row>
    <row r="7746" spans="1:14">
      <c r="A7746" s="6">
        <v>2026</v>
      </c>
      <c r="B7746" s="6">
        <v>5</v>
      </c>
      <c r="C7746" s="6" t="s">
        <v>64</v>
      </c>
      <c r="D7746" s="6" t="s">
        <v>54</v>
      </c>
      <c r="E7746" s="6" t="s">
        <v>593</v>
      </c>
      <c r="F7746" s="6" t="str">
        <f>IF($M7746="PADD I","PADD 1",IF($M7746="PADD II","PADD 2",IF($M7746="PADD III","PADD 3",IF($M7746="PADD IV","PADD 4",IF($M7746="PADD V","PADD 5","")))))</f>
        <v>PADD 5</v>
      </c>
      <c r="G7746" s="6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6" t="s">
        <v>471</v>
      </c>
      <c r="I7746" s="6" t="s">
        <v>609</v>
      </c>
      <c r="J7746" s="6" t="s">
        <v>398</v>
      </c>
      <c r="K7746" s="10">
        <v>16</v>
      </c>
      <c r="L7746" s="10">
        <v>50</v>
      </c>
      <c r="M7746" s="6" t="s">
        <v>436</v>
      </c>
      <c r="N7746" s="6" t="str">
        <f>IF(OR($G7746="FCC",$G7746="Hydrocracker",$G7746="Reformer"),IF(COUNTIFS($D:$D,$D7746,$A:$A,$A7746,$B:$B,$B7746,$G:$G,"CDU",$J:$J,"PLANNED")&gt;0,"tied","standalone"),"")</f>
        <v>tied</v>
      </c>
    </row>
    <row r="7747" spans="1:14">
      <c r="A7747" s="6">
        <v>2026</v>
      </c>
      <c r="B7747" s="6">
        <v>5</v>
      </c>
      <c r="C7747" s="6" t="s">
        <v>64</v>
      </c>
      <c r="D7747" s="6" t="s">
        <v>49</v>
      </c>
      <c r="E7747" s="6" t="s">
        <v>438</v>
      </c>
      <c r="F7747" s="6" t="str">
        <f>IF($M7747="PADD I","PADD 1",IF($M7747="PADD II","PADD 2",IF($M7747="PADD III","PADD 3",IF($M7747="PADD IV","PADD 4",IF($M7747="PADD V","PADD 5","")))))</f>
        <v>PADD 2</v>
      </c>
      <c r="G7747" s="6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6" t="s">
        <v>44</v>
      </c>
      <c r="I7747" s="6" t="s">
        <v>791</v>
      </c>
      <c r="J7747" s="6" t="s">
        <v>398</v>
      </c>
      <c r="K7747" s="10">
        <v>15.37</v>
      </c>
      <c r="L7747" s="10">
        <v>53</v>
      </c>
      <c r="M7747" s="6" t="s">
        <v>425</v>
      </c>
      <c r="N7747" s="6">
        <f>IF(OR($G7747="FCC",$G7747="Hydrocracker",$G7747="Reformer"),IF(COUNTIFS($D:$D,$D7747,$A:$A,$A7747,$B:$B,$B7747,$G:$G,"CDU",$J:$J,"PLANNED")&gt;0,"tied","standalone"),"")</f>
        <v/>
      </c>
    </row>
    <row r="7748" spans="1:14">
      <c r="A7748" s="6">
        <v>2026</v>
      </c>
      <c r="B7748" s="6">
        <v>5</v>
      </c>
      <c r="C7748" s="6" t="s">
        <v>64</v>
      </c>
      <c r="D7748" s="6" t="s">
        <v>440</v>
      </c>
      <c r="E7748" s="6" t="s">
        <v>441</v>
      </c>
      <c r="F7748" s="6" t="str">
        <f>IF($M7748="PADD I","PADD 1",IF($M7748="PADD II","PADD 2",IF($M7748="PADD III","PADD 3",IF($M7748="PADD IV","PADD 4",IF($M7748="PADD V","PADD 5","")))))</f>
        <v>PADD 3</v>
      </c>
      <c r="G7748" s="6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6" t="s">
        <v>426</v>
      </c>
      <c r="I7748" s="6" t="s">
        <v>141</v>
      </c>
      <c r="J7748" s="6" t="s">
        <v>394</v>
      </c>
      <c r="K7748" s="10">
        <v>14.9625</v>
      </c>
      <c r="L7748" s="10">
        <v>78.75</v>
      </c>
      <c r="M7748" s="6" t="s">
        <v>421</v>
      </c>
      <c r="N7748" s="6" t="str">
        <f>IF(OR($G7748="FCC",$G7748="Hydrocracker",$G7748="Reformer"),IF(COUNTIFS($D:$D,$D7748,$A:$A,$A7748,$B:$B,$B7748,$G:$G,"CDU",$J:$J,"PLANNED")&gt;0,"tied","standalone"),"")</f>
        <v>standalone</v>
      </c>
    </row>
    <row r="7749" spans="1:14">
      <c r="A7749" s="6">
        <v>2026</v>
      </c>
      <c r="B7749" s="6">
        <v>5</v>
      </c>
      <c r="C7749" s="6" t="s">
        <v>64</v>
      </c>
      <c r="D7749" s="6" t="s">
        <v>49</v>
      </c>
      <c r="E7749" s="6" t="s">
        <v>438</v>
      </c>
      <c r="F7749" s="6" t="str">
        <f>IF($M7749="PADD I","PADD 1",IF($M7749="PADD II","PADD 2",IF($M7749="PADD III","PADD 3",IF($M7749="PADD IV","PADD 4",IF($M7749="PADD V","PADD 5","")))))</f>
        <v>PADD 2</v>
      </c>
      <c r="G7749" s="6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6" t="s">
        <v>39</v>
      </c>
      <c r="I7749" s="6" t="s">
        <v>770</v>
      </c>
      <c r="J7749" s="6" t="s">
        <v>398</v>
      </c>
      <c r="K7749" s="10">
        <v>13.8</v>
      </c>
      <c r="L7749" s="10">
        <v>60</v>
      </c>
      <c r="M7749" s="6" t="s">
        <v>425</v>
      </c>
      <c r="N7749" s="6">
        <f>IF(OR($G7749="FCC",$G7749="Hydrocracker",$G7749="Reformer"),IF(COUNTIFS($D:$D,$D7749,$A:$A,$A7749,$B:$B,$B7749,$G:$G,"CDU",$J:$J,"PLANNED")&gt;0,"tied","standalone"),"")</f>
        <v/>
      </c>
    </row>
    <row r="7750" spans="1:14">
      <c r="A7750" s="6">
        <v>2026</v>
      </c>
      <c r="B7750" s="6">
        <v>5</v>
      </c>
      <c r="C7750" s="6" t="s">
        <v>64</v>
      </c>
      <c r="D7750" s="6" t="s">
        <v>1373</v>
      </c>
      <c r="E7750" s="6" t="s">
        <v>419</v>
      </c>
      <c r="F7750" s="6" t="str">
        <f>IF($M7750="PADD I","PADD 1",IF($M7750="PADD II","PADD 2",IF($M7750="PADD III","PADD 3",IF($M7750="PADD IV","PADD 4",IF($M7750="PADD V","PADD 5","")))))</f>
        <v>PADD 5</v>
      </c>
      <c r="G7750" s="6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6" t="s">
        <v>39</v>
      </c>
      <c r="I7750" s="6" t="s">
        <v>82</v>
      </c>
      <c r="J7750" s="6" t="s">
        <v>394</v>
      </c>
      <c r="K7750" s="10">
        <v>13</v>
      </c>
      <c r="L7750" s="10">
        <v>100</v>
      </c>
      <c r="M7750" s="6" t="s">
        <v>436</v>
      </c>
      <c r="N7750" s="6">
        <f>IF(OR($G7750="FCC",$G7750="Hydrocracker",$G7750="Reformer"),IF(COUNTIFS($D:$D,$D7750,$A:$A,$A7750,$B:$B,$B7750,$G:$G,"CDU",$J:$J,"PLANNED")&gt;0,"tied","standalone"),"")</f>
        <v/>
      </c>
    </row>
    <row r="7751" spans="1:14">
      <c r="A7751" s="6">
        <v>2026</v>
      </c>
      <c r="B7751" s="6">
        <v>5</v>
      </c>
      <c r="C7751" s="6" t="s">
        <v>64</v>
      </c>
      <c r="D7751" s="6" t="s">
        <v>378</v>
      </c>
      <c r="E7751" s="6" t="s">
        <v>477</v>
      </c>
      <c r="F7751" s="6" t="str">
        <f>IF($M7751="PADD I","PADD 1",IF($M7751="PADD II","PADD 2",IF($M7751="PADD III","PADD 3",IF($M7751="PADD IV","PADD 4",IF($M7751="PADD V","PADD 5","")))))</f>
        <v>PADD 3</v>
      </c>
      <c r="G7751" s="6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6" t="s">
        <v>471</v>
      </c>
      <c r="I7751" s="6" t="s">
        <v>1212</v>
      </c>
      <c r="J7751" s="6" t="s">
        <v>394</v>
      </c>
      <c r="K7751" s="10">
        <v>12.95</v>
      </c>
      <c r="L7751" s="10">
        <v>17.5</v>
      </c>
      <c r="M7751" s="6" t="s">
        <v>421</v>
      </c>
      <c r="N7751" s="6" t="str">
        <f>IF(OR($G7751="FCC",$G7751="Hydrocracker",$G7751="Reformer"),IF(COUNTIFS($D:$D,$D7751,$A:$A,$A7751,$B:$B,$B7751,$G:$G,"CDU",$J:$J,"PLANNED")&gt;0,"tied","standalone"),"")</f>
        <v>standalone</v>
      </c>
    </row>
    <row r="7752" spans="1:14">
      <c r="A7752" s="6">
        <v>2026</v>
      </c>
      <c r="B7752" s="6">
        <v>5</v>
      </c>
      <c r="C7752" s="6" t="s">
        <v>64</v>
      </c>
      <c r="D7752" s="6" t="s">
        <v>53</v>
      </c>
      <c r="E7752" s="6" t="s">
        <v>438</v>
      </c>
      <c r="F7752" s="6" t="str">
        <f>IF($M7752="PADD I","PADD 1",IF($M7752="PADD II","PADD 2",IF($M7752="PADD III","PADD 3",IF($M7752="PADD IV","PADD 4",IF($M7752="PADD V","PADD 5","")))))</f>
        <v>PADD 5</v>
      </c>
      <c r="G7752" s="6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6" t="s">
        <v>428</v>
      </c>
      <c r="I7752" s="6" t="s">
        <v>481</v>
      </c>
      <c r="J7752" s="6" t="s">
        <v>398</v>
      </c>
      <c r="K7752" s="10">
        <v>12.21</v>
      </c>
      <c r="L7752" s="10">
        <v>16.5</v>
      </c>
      <c r="M7752" s="6" t="s">
        <v>436</v>
      </c>
      <c r="N7752" s="6">
        <f>IF(OR($G7752="FCC",$G7752="Hydrocracker",$G7752="Reformer"),IF(COUNTIFS($D:$D,$D7752,$A:$A,$A7752,$B:$B,$B7752,$G:$G,"CDU",$J:$J,"PLANNED")&gt;0,"tied","standalone"),"")</f>
        <v/>
      </c>
    </row>
    <row r="7753" spans="1:14">
      <c r="A7753" s="6">
        <v>2026</v>
      </c>
      <c r="B7753" s="6">
        <v>5</v>
      </c>
      <c r="C7753" s="6" t="s">
        <v>64</v>
      </c>
      <c r="D7753" s="6" t="s">
        <v>375</v>
      </c>
      <c r="E7753" s="6" t="s">
        <v>435</v>
      </c>
      <c r="F7753" s="6" t="str">
        <f>IF($M7753="PADD I","PADD 1",IF($M7753="PADD II","PADD 2",IF($M7753="PADD III","PADD 3",IF($M7753="PADD IV","PADD 4",IF($M7753="PADD V","PADD 5","")))))</f>
        <v>PADD 5</v>
      </c>
      <c r="G7753" s="6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6" t="s">
        <v>426</v>
      </c>
      <c r="I7753" s="6" t="s">
        <v>554</v>
      </c>
      <c r="J7753" s="6" t="s">
        <v>394</v>
      </c>
      <c r="K7753" s="10">
        <v>12.142</v>
      </c>
      <c r="L7753" s="10">
        <v>46.7</v>
      </c>
      <c r="M7753" s="6" t="s">
        <v>436</v>
      </c>
      <c r="N7753" s="6" t="str">
        <f>IF(OR($G7753="FCC",$G7753="Hydrocracker",$G7753="Reformer"),IF(COUNTIFS($D:$D,$D7753,$A:$A,$A7753,$B:$B,$B7753,$G:$G,"CDU",$J:$J,"PLANNED")&gt;0,"tied","standalone"),"")</f>
        <v>standalone</v>
      </c>
    </row>
    <row r="7754" spans="1:14">
      <c r="A7754" s="6">
        <v>2026</v>
      </c>
      <c r="B7754" s="6">
        <v>5</v>
      </c>
      <c r="C7754" s="6" t="s">
        <v>64</v>
      </c>
      <c r="D7754" s="6" t="s">
        <v>912</v>
      </c>
      <c r="E7754" s="6" t="s">
        <v>906</v>
      </c>
      <c r="F7754" s="6" t="str">
        <f>IF($M7754="PADD I","PADD 1",IF($M7754="PADD II","PADD 2",IF($M7754="PADD III","PADD 3",IF($M7754="PADD IV","PADD 4",IF($M7754="PADD V","PADD 5","")))))</f>
        <v>PADD 5</v>
      </c>
      <c r="G7754" s="6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6" t="s">
        <v>39</v>
      </c>
      <c r="I7754" s="6" t="s">
        <v>907</v>
      </c>
      <c r="J7754" s="6" t="s">
        <v>398</v>
      </c>
      <c r="K7754" s="10">
        <v>12.1</v>
      </c>
      <c r="L7754" s="10">
        <v>22</v>
      </c>
      <c r="M7754" s="6" t="s">
        <v>436</v>
      </c>
      <c r="N7754" s="6">
        <f>IF(OR($G7754="FCC",$G7754="Hydrocracker",$G7754="Reformer"),IF(COUNTIFS($D:$D,$D7754,$A:$A,$A7754,$B:$B,$B7754,$G:$G,"CDU",$J:$J,"PLANNED")&gt;0,"tied","standalone"),"")</f>
        <v/>
      </c>
    </row>
    <row r="7755" spans="1:14">
      <c r="A7755" s="6">
        <v>2026</v>
      </c>
      <c r="B7755" s="6">
        <v>5</v>
      </c>
      <c r="C7755" s="6" t="s">
        <v>64</v>
      </c>
      <c r="D7755" s="6" t="s">
        <v>370</v>
      </c>
      <c r="E7755" s="6" t="s">
        <v>431</v>
      </c>
      <c r="F7755" s="6" t="str">
        <f>IF($M7755="PADD I","PADD 1",IF($M7755="PADD II","PADD 2",IF($M7755="PADD III","PADD 3",IF($M7755="PADD IV","PADD 4",IF($M7755="PADD V","PADD 5","")))))</f>
        <v>PADD 2</v>
      </c>
      <c r="G7755" s="6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6" t="s">
        <v>39</v>
      </c>
      <c r="I7755" s="6" t="s">
        <v>82</v>
      </c>
      <c r="J7755" s="6" t="s">
        <v>394</v>
      </c>
      <c r="K7755" s="10">
        <v>11.7</v>
      </c>
      <c r="L7755" s="10">
        <v>45</v>
      </c>
      <c r="M7755" s="6" t="s">
        <v>425</v>
      </c>
      <c r="N7755" s="6">
        <f>IF(OR($G7755="FCC",$G7755="Hydrocracker",$G7755="Reformer"),IF(COUNTIFS($D:$D,$D7755,$A:$A,$A7755,$B:$B,$B7755,$G:$G,"CDU",$J:$J,"PLANNED")&gt;0,"tied","standalone"),"")</f>
        <v/>
      </c>
    </row>
    <row r="7756" spans="1:14">
      <c r="A7756" s="6">
        <v>2026</v>
      </c>
      <c r="B7756" s="6">
        <v>5</v>
      </c>
      <c r="C7756" s="6" t="s">
        <v>64</v>
      </c>
      <c r="D7756" s="6" t="s">
        <v>53</v>
      </c>
      <c r="E7756" s="6" t="s">
        <v>438</v>
      </c>
      <c r="F7756" s="6" t="str">
        <f>IF($M7756="PADD I","PADD 1",IF($M7756="PADD II","PADD 2",IF($M7756="PADD III","PADD 3",IF($M7756="PADD IV","PADD 4",IF($M7756="PADD V","PADD 5","")))))</f>
        <v>PADD 5</v>
      </c>
      <c r="G7756" s="6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6" t="s">
        <v>44</v>
      </c>
      <c r="I7756" s="6" t="s">
        <v>551</v>
      </c>
      <c r="J7756" s="6" t="s">
        <v>398</v>
      </c>
      <c r="K7756" s="10">
        <v>11.1</v>
      </c>
      <c r="L7756" s="10">
        <v>15</v>
      </c>
      <c r="M7756" s="6" t="s">
        <v>436</v>
      </c>
      <c r="N7756" s="6">
        <f>IF(OR($G7756="FCC",$G7756="Hydrocracker",$G7756="Reformer"),IF(COUNTIFS($D:$D,$D7756,$A:$A,$A7756,$B:$B,$B7756,$G:$G,"CDU",$J:$J,"PLANNED")&gt;0,"tied","standalone"),"")</f>
        <v/>
      </c>
    </row>
    <row r="7757" spans="1:14">
      <c r="A7757" s="6">
        <v>2026</v>
      </c>
      <c r="B7757" s="6">
        <v>5</v>
      </c>
      <c r="C7757" s="6" t="s">
        <v>64</v>
      </c>
      <c r="D7757" s="6" t="s">
        <v>49</v>
      </c>
      <c r="E7757" s="6" t="s">
        <v>438</v>
      </c>
      <c r="F7757" s="6" t="str">
        <f>IF($M7757="PADD I","PADD 1",IF($M7757="PADD II","PADD 2",IF($M7757="PADD III","PADD 3",IF($M7757="PADD IV","PADD 4",IF($M7757="PADD V","PADD 5","")))))</f>
        <v>PADD 2</v>
      </c>
      <c r="G7757" s="6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6" t="s">
        <v>44</v>
      </c>
      <c r="I7757" s="6" t="s">
        <v>776</v>
      </c>
      <c r="J7757" s="6" t="s">
        <v>398</v>
      </c>
      <c r="K7757" s="10">
        <v>11.02</v>
      </c>
      <c r="L7757" s="10">
        <v>38</v>
      </c>
      <c r="M7757" s="6" t="s">
        <v>425</v>
      </c>
      <c r="N7757" s="6">
        <f>IF(OR($G7757="FCC",$G7757="Hydrocracker",$G7757="Reformer"),IF(COUNTIFS($D:$D,$D7757,$A:$A,$A7757,$B:$B,$B7757,$G:$G,"CDU",$J:$J,"PLANNED")&gt;0,"tied","standalone"),"")</f>
        <v/>
      </c>
    </row>
    <row r="7758" spans="1:14">
      <c r="A7758" s="6">
        <v>2026</v>
      </c>
      <c r="B7758" s="6">
        <v>5</v>
      </c>
      <c r="C7758" s="6" t="s">
        <v>64</v>
      </c>
      <c r="D7758" s="6" t="s">
        <v>726</v>
      </c>
      <c r="E7758" s="6" t="s">
        <v>727</v>
      </c>
      <c r="F7758" s="6" t="str">
        <f>IF($M7758="PADD I","PADD 1",IF($M7758="PADD II","PADD 2",IF($M7758="PADD III","PADD 3",IF($M7758="PADD IV","PADD 4",IF($M7758="PADD V","PADD 5","")))))</f>
        <v>PADD 1</v>
      </c>
      <c r="G7758" s="6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6" t="s">
        <v>39</v>
      </c>
      <c r="I7758" s="6" t="s">
        <v>728</v>
      </c>
      <c r="J7758" s="6" t="s">
        <v>394</v>
      </c>
      <c r="K7758" s="10">
        <v>11</v>
      </c>
      <c r="L7758" s="10">
        <v>110</v>
      </c>
      <c r="M7758" s="6" t="s">
        <v>463</v>
      </c>
      <c r="N7758" s="6">
        <f>IF(OR($G7758="FCC",$G7758="Hydrocracker",$G7758="Reformer"),IF(COUNTIFS($D:$D,$D7758,$A:$A,$A7758,$B:$B,$B7758,$G:$G,"CDU",$J:$J,"PLANNED")&gt;0,"tied","standalone"),"")</f>
        <v/>
      </c>
    </row>
    <row r="7759" spans="1:14">
      <c r="A7759" s="6">
        <v>2026</v>
      </c>
      <c r="B7759" s="6">
        <v>5</v>
      </c>
      <c r="C7759" s="6" t="s">
        <v>64</v>
      </c>
      <c r="D7759" s="6" t="s">
        <v>54</v>
      </c>
      <c r="E7759" s="6" t="s">
        <v>593</v>
      </c>
      <c r="F7759" s="6" t="str">
        <f>IF($M7759="PADD I","PADD 1",IF($M7759="PADD II","PADD 2",IF($M7759="PADD III","PADD 3",IF($M7759="PADD IV","PADD 4",IF($M7759="PADD V","PADD 5","")))))</f>
        <v>PADD 5</v>
      </c>
      <c r="G7759" s="6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6" t="s">
        <v>44</v>
      </c>
      <c r="I7759" s="6" t="s">
        <v>1418</v>
      </c>
      <c r="J7759" s="6" t="s">
        <v>398</v>
      </c>
      <c r="K7759" s="10">
        <v>10.6808</v>
      </c>
      <c r="L7759" s="10">
        <v>20.54</v>
      </c>
      <c r="M7759" s="6" t="s">
        <v>436</v>
      </c>
      <c r="N7759" s="6">
        <f>IF(OR($G7759="FCC",$G7759="Hydrocracker",$G7759="Reformer"),IF(COUNTIFS($D:$D,$D7759,$A:$A,$A7759,$B:$B,$B7759,$G:$G,"CDU",$J:$J,"PLANNED")&gt;0,"tied","standalone"),"")</f>
        <v/>
      </c>
    </row>
    <row r="7760" spans="1:14">
      <c r="A7760" s="6">
        <v>2026</v>
      </c>
      <c r="B7760" s="6">
        <v>5</v>
      </c>
      <c r="C7760" s="6" t="s">
        <v>64</v>
      </c>
      <c r="D7760" s="6" t="s">
        <v>512</v>
      </c>
      <c r="E7760" s="6" t="s">
        <v>488</v>
      </c>
      <c r="F7760" s="6" t="str">
        <f>IF($M7760="PADD I","PADD 1",IF($M7760="PADD II","PADD 2",IF($M7760="PADD III","PADD 3",IF($M7760="PADD IV","PADD 4",IF($M7760="PADD V","PADD 5","")))))</f>
        <v>PADD 4</v>
      </c>
      <c r="G7760" s="6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6" t="s">
        <v>44</v>
      </c>
      <c r="I7760" s="6" t="s">
        <v>520</v>
      </c>
      <c r="J7760" s="6" t="s">
        <v>398</v>
      </c>
      <c r="K7760" s="10">
        <v>10.5</v>
      </c>
      <c r="L7760" s="10">
        <v>30</v>
      </c>
      <c r="M7760" s="6" t="s">
        <v>480</v>
      </c>
      <c r="N7760" s="6">
        <f>IF(OR($G7760="FCC",$G7760="Hydrocracker",$G7760="Reformer"),IF(COUNTIFS($D:$D,$D7760,$A:$A,$A7760,$B:$B,$B7760,$G:$G,"CDU",$J:$J,"PLANNED")&gt;0,"tied","standalone"),"")</f>
        <v/>
      </c>
    </row>
    <row r="7761" spans="1:14">
      <c r="A7761" s="6">
        <v>2026</v>
      </c>
      <c r="B7761" s="6">
        <v>5</v>
      </c>
      <c r="C7761" s="6" t="s">
        <v>64</v>
      </c>
      <c r="D7761" s="6" t="s">
        <v>696</v>
      </c>
      <c r="E7761" s="6" t="s">
        <v>455</v>
      </c>
      <c r="F7761" s="6" t="str">
        <f>IF($M7761="PADD I","PADD 1",IF($M7761="PADD II","PADD 2",IF($M7761="PADD III","PADD 3",IF($M7761="PADD IV","PADD 4",IF($M7761="PADD V","PADD 5","")))))</f>
        <v>PADD 3</v>
      </c>
      <c r="G7761" s="6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6" t="s">
        <v>44</v>
      </c>
      <c r="I7761" s="6" t="s">
        <v>697</v>
      </c>
      <c r="J7761" s="6" t="s">
        <v>394</v>
      </c>
      <c r="K7761" s="10">
        <v>10.45</v>
      </c>
      <c r="L7761" s="10">
        <v>55</v>
      </c>
      <c r="M7761" s="6" t="s">
        <v>421</v>
      </c>
      <c r="N7761" s="6">
        <f>IF(OR($G7761="FCC",$G7761="Hydrocracker",$G7761="Reformer"),IF(COUNTIFS($D:$D,$D7761,$A:$A,$A7761,$B:$B,$B7761,$G:$G,"CDU",$J:$J,"PLANNED")&gt;0,"tied","standalone"),"")</f>
        <v/>
      </c>
    </row>
    <row r="7762" spans="1:14">
      <c r="A7762" s="6">
        <v>2026</v>
      </c>
      <c r="B7762" s="6">
        <v>5</v>
      </c>
      <c r="C7762" s="6" t="s">
        <v>64</v>
      </c>
      <c r="D7762" s="6" t="s">
        <v>54</v>
      </c>
      <c r="E7762" s="6" t="s">
        <v>593</v>
      </c>
      <c r="F7762" s="6" t="str">
        <f>IF($M7762="PADD I","PADD 1",IF($M7762="PADD II","PADD 2",IF($M7762="PADD III","PADD 3",IF($M7762="PADD IV","PADD 4",IF($M7762="PADD V","PADD 5","")))))</f>
        <v>PADD 5</v>
      </c>
      <c r="G7762" s="6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6" t="s">
        <v>687</v>
      </c>
      <c r="I7762" s="6" t="s">
        <v>491</v>
      </c>
      <c r="J7762" s="6" t="s">
        <v>394</v>
      </c>
      <c r="K7762" s="10">
        <v>10.45</v>
      </c>
      <c r="L7762" s="10">
        <v>55</v>
      </c>
      <c r="M7762" s="6" t="s">
        <v>436</v>
      </c>
      <c r="N7762" s="6">
        <f>IF(OR($G7762="FCC",$G7762="Hydrocracker",$G7762="Reformer"),IF(COUNTIFS($D:$D,$D7762,$A:$A,$A7762,$B:$B,$B7762,$G:$G,"CDU",$J:$J,"PLANNED")&gt;0,"tied","standalone"),"")</f>
        <v/>
      </c>
    </row>
    <row r="7763" spans="1:14">
      <c r="A7763" s="6">
        <v>2026</v>
      </c>
      <c r="B7763" s="6">
        <v>5</v>
      </c>
      <c r="C7763" s="6" t="s">
        <v>64</v>
      </c>
      <c r="D7763" s="6" t="s">
        <v>901</v>
      </c>
      <c r="E7763" s="6" t="s">
        <v>902</v>
      </c>
      <c r="F7763" s="6" t="str">
        <f>IF($M7763="PADD I","PADD 1",IF($M7763="PADD II","PADD 2",IF($M7763="PADD III","PADD 3",IF($M7763="PADD IV","PADD 4",IF($M7763="PADD V","PADD 5","")))))</f>
        <v>PADD 3</v>
      </c>
      <c r="G7763" s="6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6" t="s">
        <v>39</v>
      </c>
      <c r="I7763" s="6" t="s">
        <v>904</v>
      </c>
      <c r="J7763" s="6" t="s">
        <v>398</v>
      </c>
      <c r="K7763" s="10">
        <v>10.4</v>
      </c>
      <c r="L7763" s="10">
        <v>65</v>
      </c>
      <c r="M7763" s="6" t="s">
        <v>421</v>
      </c>
      <c r="N7763" s="6">
        <f>IF(OR($G7763="FCC",$G7763="Hydrocracker",$G7763="Reformer"),IF(COUNTIFS($D:$D,$D7763,$A:$A,$A7763,$B:$B,$B7763,$G:$G,"CDU",$J:$J,"PLANNED")&gt;0,"tied","standalone"),"")</f>
        <v/>
      </c>
    </row>
    <row r="7764" spans="1:14">
      <c r="A7764" s="6">
        <v>2026</v>
      </c>
      <c r="B7764" s="6">
        <v>5</v>
      </c>
      <c r="C7764" s="6" t="s">
        <v>64</v>
      </c>
      <c r="D7764" s="6" t="s">
        <v>901</v>
      </c>
      <c r="E7764" s="6" t="s">
        <v>902</v>
      </c>
      <c r="F7764" s="6" t="str">
        <f>IF($M7764="PADD I","PADD 1",IF($M7764="PADD II","PADD 2",IF($M7764="PADD III","PADD 3",IF($M7764="PADD IV","PADD 4",IF($M7764="PADD V","PADD 5","")))))</f>
        <v>PADD 3</v>
      </c>
      <c r="G7764" s="6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6" t="s">
        <v>39</v>
      </c>
      <c r="I7764" s="6" t="s">
        <v>903</v>
      </c>
      <c r="J7764" s="6" t="s">
        <v>398</v>
      </c>
      <c r="K7764" s="10">
        <v>10.4</v>
      </c>
      <c r="L7764" s="10">
        <v>65</v>
      </c>
      <c r="M7764" s="6" t="s">
        <v>421</v>
      </c>
      <c r="N7764" s="6">
        <f>IF(OR($G7764="FCC",$G7764="Hydrocracker",$G7764="Reformer"),IF(COUNTIFS($D:$D,$D7764,$A:$A,$A7764,$B:$B,$B7764,$G:$G,"CDU",$J:$J,"PLANNED")&gt;0,"tied","standalone"),"")</f>
        <v/>
      </c>
    </row>
    <row r="7765" spans="1:14">
      <c r="A7765" s="6">
        <v>2026</v>
      </c>
      <c r="B7765" s="6">
        <v>5</v>
      </c>
      <c r="C7765" s="6" t="s">
        <v>64</v>
      </c>
      <c r="D7765" s="6" t="s">
        <v>375</v>
      </c>
      <c r="E7765" s="6" t="s">
        <v>435</v>
      </c>
      <c r="F7765" s="6" t="str">
        <f>IF($M7765="PADD I","PADD 1",IF($M7765="PADD II","PADD 2",IF($M7765="PADD III","PADD 3",IF($M7765="PADD IV","PADD 4",IF($M7765="PADD V","PADD 5","")))))</f>
        <v>PADD 5</v>
      </c>
      <c r="G7765" s="6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6" t="s">
        <v>39</v>
      </c>
      <c r="I7765" s="6" t="s">
        <v>94</v>
      </c>
      <c r="J7765" s="6" t="s">
        <v>394</v>
      </c>
      <c r="K7765" s="10">
        <v>10.4</v>
      </c>
      <c r="L7765" s="10">
        <v>40</v>
      </c>
      <c r="M7765" s="6" t="s">
        <v>436</v>
      </c>
      <c r="N7765" s="6">
        <f>IF(OR($G7765="FCC",$G7765="Hydrocracker",$G7765="Reformer"),IF(COUNTIFS($D:$D,$D7765,$A:$A,$A7765,$B:$B,$B7765,$G:$G,"CDU",$J:$J,"PLANNED")&gt;0,"tied","standalone"),"")</f>
        <v/>
      </c>
    </row>
    <row r="7766" spans="1:14">
      <c r="A7766" s="6">
        <v>2026</v>
      </c>
      <c r="B7766" s="6">
        <v>5</v>
      </c>
      <c r="C7766" s="6" t="s">
        <v>64</v>
      </c>
      <c r="D7766" s="6" t="s">
        <v>430</v>
      </c>
      <c r="E7766" s="6" t="s">
        <v>431</v>
      </c>
      <c r="F7766" s="6" t="str">
        <f>IF($M7766="PADD I","PADD 1",IF($M7766="PADD II","PADD 2",IF($M7766="PADD III","PADD 3",IF($M7766="PADD IV","PADD 4",IF($M7766="PADD V","PADD 5","")))))</f>
        <v>PADD 3</v>
      </c>
      <c r="G7766" s="6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6" t="s">
        <v>687</v>
      </c>
      <c r="I7766" s="6" t="s">
        <v>1309</v>
      </c>
      <c r="J7766" s="6" t="s">
        <v>398</v>
      </c>
      <c r="K7766" s="10">
        <v>10</v>
      </c>
      <c r="L7766" s="10">
        <v>10</v>
      </c>
      <c r="M7766" s="6" t="s">
        <v>421</v>
      </c>
      <c r="N7766" s="6">
        <f>IF(OR($G7766="FCC",$G7766="Hydrocracker",$G7766="Reformer"),IF(COUNTIFS($D:$D,$D7766,$A:$A,$A7766,$B:$B,$B7766,$G:$G,"CDU",$J:$J,"PLANNED")&gt;0,"tied","standalone"),"")</f>
        <v/>
      </c>
    </row>
    <row r="7767" spans="1:14">
      <c r="A7767" s="6">
        <v>2026</v>
      </c>
      <c r="B7767" s="6">
        <v>5</v>
      </c>
      <c r="C7767" s="6" t="s">
        <v>64</v>
      </c>
      <c r="D7767" s="6" t="s">
        <v>370</v>
      </c>
      <c r="E7767" s="6" t="s">
        <v>431</v>
      </c>
      <c r="F7767" s="6" t="str">
        <f>IF($M7767="PADD I","PADD 1",IF($M7767="PADD II","PADD 2",IF($M7767="PADD III","PADD 3",IF($M7767="PADD IV","PADD 4",IF($M7767="PADD V","PADD 5","")))))</f>
        <v>PADD 2</v>
      </c>
      <c r="G7767" s="6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6" t="s">
        <v>485</v>
      </c>
      <c r="I7767" s="6" t="s">
        <v>491</v>
      </c>
      <c r="J7767" s="6" t="s">
        <v>394</v>
      </c>
      <c r="K7767" s="10">
        <v>10</v>
      </c>
      <c r="L7767" s="10">
        <v>10</v>
      </c>
      <c r="M7767" s="6" t="s">
        <v>425</v>
      </c>
      <c r="N7767" s="6">
        <f>IF(OR($G7767="FCC",$G7767="Hydrocracker",$G7767="Reformer"),IF(COUNTIFS($D:$D,$D7767,$A:$A,$A7767,$B:$B,$B7767,$G:$G,"CDU",$J:$J,"PLANNED")&gt;0,"tied","standalone"),"")</f>
        <v/>
      </c>
    </row>
    <row r="7768" spans="1:14">
      <c r="A7768" s="6">
        <v>2026</v>
      </c>
      <c r="B7768" s="6">
        <v>5</v>
      </c>
      <c r="C7768" s="6" t="s">
        <v>64</v>
      </c>
      <c r="D7768" s="6" t="s">
        <v>660</v>
      </c>
      <c r="E7768" s="6" t="s">
        <v>661</v>
      </c>
      <c r="F7768" s="6" t="str">
        <f>IF($M7768="PADD I","PADD 1",IF($M7768="PADD II","PADD 2",IF($M7768="PADD III","PADD 3",IF($M7768="PADD IV","PADD 4",IF($M7768="PADD V","PADD 5","")))))</f>
        <v>PADD 2</v>
      </c>
      <c r="G7768" s="6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6" t="s">
        <v>39</v>
      </c>
      <c r="I7768" s="6" t="s">
        <v>424</v>
      </c>
      <c r="J7768" s="6" t="s">
        <v>394</v>
      </c>
      <c r="K7768" s="10">
        <v>9.880000000000001</v>
      </c>
      <c r="L7768" s="10">
        <v>76</v>
      </c>
      <c r="M7768" s="6" t="s">
        <v>425</v>
      </c>
      <c r="N7768" s="6">
        <f>IF(OR($G7768="FCC",$G7768="Hydrocracker",$G7768="Reformer"),IF(COUNTIFS($D:$D,$D7768,$A:$A,$A7768,$B:$B,$B7768,$G:$G,"CDU",$J:$J,"PLANNED")&gt;0,"tied","standalone"),"")</f>
        <v/>
      </c>
    </row>
    <row r="7769" spans="1:14">
      <c r="A7769" s="6">
        <v>2026</v>
      </c>
      <c r="B7769" s="6">
        <v>5</v>
      </c>
      <c r="C7769" s="6" t="s">
        <v>64</v>
      </c>
      <c r="D7769" s="6" t="s">
        <v>838</v>
      </c>
      <c r="E7769" s="6" t="s">
        <v>455</v>
      </c>
      <c r="F7769" s="6" t="str">
        <f>IF($M7769="PADD I","PADD 1",IF($M7769="PADD II","PADD 2",IF($M7769="PADD III","PADD 3",IF($M7769="PADD IV","PADD 4",IF($M7769="PADD V","PADD 5","")))))</f>
        <v>PADD 3</v>
      </c>
      <c r="G7769" s="6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6" t="s">
        <v>471</v>
      </c>
      <c r="I7769" s="6" t="s">
        <v>832</v>
      </c>
      <c r="J7769" s="6" t="s">
        <v>394</v>
      </c>
      <c r="K7769" s="10">
        <v>9.279999999999999</v>
      </c>
      <c r="L7769" s="10">
        <v>32</v>
      </c>
      <c r="M7769" s="6" t="s">
        <v>421</v>
      </c>
      <c r="N7769" s="6" t="str">
        <f>IF(OR($G7769="FCC",$G7769="Hydrocracker",$G7769="Reformer"),IF(COUNTIFS($D:$D,$D7769,$A:$A,$A7769,$B:$B,$B7769,$G:$G,"CDU",$J:$J,"PLANNED")&gt;0,"tied","standalone"),"")</f>
        <v>standalone</v>
      </c>
    </row>
    <row r="7770" spans="1:14">
      <c r="A7770" s="6">
        <v>2026</v>
      </c>
      <c r="B7770" s="6">
        <v>5</v>
      </c>
      <c r="C7770" s="6" t="s">
        <v>64</v>
      </c>
      <c r="D7770" s="6" t="s">
        <v>53</v>
      </c>
      <c r="E7770" s="6" t="s">
        <v>438</v>
      </c>
      <c r="F7770" s="6" t="str">
        <f>IF($M7770="PADD I","PADD 1",IF($M7770="PADD II","PADD 2",IF($M7770="PADD III","PADD 3",IF($M7770="PADD IV","PADD 4",IF($M7770="PADD V","PADD 5","")))))</f>
        <v>PADD 5</v>
      </c>
      <c r="G7770" s="6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6" t="s">
        <v>494</v>
      </c>
      <c r="I7770" s="6" t="s">
        <v>14</v>
      </c>
      <c r="J7770" s="6" t="s">
        <v>398</v>
      </c>
      <c r="K7770" s="10">
        <v>9.25</v>
      </c>
      <c r="L7770" s="10">
        <v>12.5</v>
      </c>
      <c r="M7770" s="6" t="s">
        <v>436</v>
      </c>
      <c r="N7770" s="6" t="str">
        <f>IF(OR($G7770="FCC",$G7770="Hydrocracker",$G7770="Reformer"),IF(COUNTIFS($D:$D,$D7770,$A:$A,$A7770,$B:$B,$B7770,$G:$G,"CDU",$J:$J,"PLANNED")&gt;0,"tied","standalone"),"")</f>
        <v>tied</v>
      </c>
    </row>
    <row r="7771" spans="1:14">
      <c r="A7771" s="6">
        <v>2026</v>
      </c>
      <c r="B7771" s="6">
        <v>5</v>
      </c>
      <c r="C7771" s="6" t="s">
        <v>64</v>
      </c>
      <c r="D7771" s="6" t="s">
        <v>53</v>
      </c>
      <c r="E7771" s="6" t="s">
        <v>438</v>
      </c>
      <c r="F7771" s="6" t="str">
        <f>IF($M7771="PADD I","PADD 1",IF($M7771="PADD II","PADD 2",IF($M7771="PADD III","PADD 3",IF($M7771="PADD IV","PADD 4",IF($M7771="PADD V","PADD 5","")))))</f>
        <v>PADD 5</v>
      </c>
      <c r="G7771" s="6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6" t="s">
        <v>471</v>
      </c>
      <c r="I7771" s="6" t="s">
        <v>775</v>
      </c>
      <c r="J7771" s="6" t="s">
        <v>398</v>
      </c>
      <c r="K7771" s="10">
        <v>8.880000000000001</v>
      </c>
      <c r="L7771" s="10">
        <v>12</v>
      </c>
      <c r="M7771" s="6" t="s">
        <v>436</v>
      </c>
      <c r="N7771" s="6" t="str">
        <f>IF(OR($G7771="FCC",$G7771="Hydrocracker",$G7771="Reformer"),IF(COUNTIFS($D:$D,$D7771,$A:$A,$A7771,$B:$B,$B7771,$G:$G,"CDU",$J:$J,"PLANNED")&gt;0,"tied","standalone"),"")</f>
        <v>tied</v>
      </c>
    </row>
    <row r="7772" spans="1:14">
      <c r="A7772" s="6">
        <v>2026</v>
      </c>
      <c r="B7772" s="6">
        <v>5</v>
      </c>
      <c r="C7772" s="6" t="s">
        <v>64</v>
      </c>
      <c r="D7772" s="6" t="s">
        <v>487</v>
      </c>
      <c r="E7772" s="6" t="s">
        <v>488</v>
      </c>
      <c r="F7772" s="6" t="str">
        <f>IF($M7772="PADD I","PADD 1",IF($M7772="PADD II","PADD 2",IF($M7772="PADD III","PADD 3",IF($M7772="PADD IV","PADD 4",IF($M7772="PADD V","PADD 5","")))))</f>
        <v>PADD 4</v>
      </c>
      <c r="G7772" s="6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6" t="s">
        <v>39</v>
      </c>
      <c r="I7772" s="6" t="s">
        <v>489</v>
      </c>
      <c r="J7772" s="6" t="s">
        <v>394</v>
      </c>
      <c r="K7772" s="10">
        <v>8.74</v>
      </c>
      <c r="L7772" s="10">
        <v>38</v>
      </c>
      <c r="M7772" s="6" t="s">
        <v>480</v>
      </c>
      <c r="N7772" s="6">
        <f>IF(OR($G7772="FCC",$G7772="Hydrocracker",$G7772="Reformer"),IF(COUNTIFS($D:$D,$D7772,$A:$A,$A7772,$B:$B,$B7772,$G:$G,"CDU",$J:$J,"PLANNED")&gt;0,"tied","standalone"),"")</f>
        <v/>
      </c>
    </row>
    <row r="7773" spans="1:14">
      <c r="A7773" s="6">
        <v>2026</v>
      </c>
      <c r="B7773" s="6">
        <v>5</v>
      </c>
      <c r="C7773" s="6" t="s">
        <v>64</v>
      </c>
      <c r="D7773" s="6" t="s">
        <v>395</v>
      </c>
      <c r="E7773" s="6" t="s">
        <v>433</v>
      </c>
      <c r="F7773" s="6" t="str">
        <f>IF($M7773="PADD I","PADD 1",IF($M7773="PADD II","PADD 2",IF($M7773="PADD III","PADD 3",IF($M7773="PADD IV","PADD 4",IF($M7773="PADD V","PADD 5","")))))</f>
        <v>PADD 2</v>
      </c>
      <c r="G7773" s="6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6" t="s">
        <v>471</v>
      </c>
      <c r="I7773" s="6" t="s">
        <v>521</v>
      </c>
      <c r="J7773" s="6" t="s">
        <v>394</v>
      </c>
      <c r="K7773" s="10">
        <v>8.699999999999999</v>
      </c>
      <c r="L7773" s="10">
        <v>30</v>
      </c>
      <c r="M7773" s="6" t="s">
        <v>425</v>
      </c>
      <c r="N7773" s="6" t="str">
        <f>IF(OR($G7773="FCC",$G7773="Hydrocracker",$G7773="Reformer"),IF(COUNTIFS($D:$D,$D7773,$A:$A,$A7773,$B:$B,$B7773,$G:$G,"CDU",$J:$J,"PLANNED")&gt;0,"tied","standalone"),"")</f>
        <v>standalone</v>
      </c>
    </row>
    <row r="7774" spans="1:14">
      <c r="A7774" s="6">
        <v>2026</v>
      </c>
      <c r="B7774" s="6">
        <v>5</v>
      </c>
      <c r="C7774" s="6" t="s">
        <v>64</v>
      </c>
      <c r="D7774" s="6" t="s">
        <v>53</v>
      </c>
      <c r="E7774" s="6" t="s">
        <v>438</v>
      </c>
      <c r="F7774" s="6" t="str">
        <f>IF($M7774="PADD I","PADD 1",IF($M7774="PADD II","PADD 2",IF($M7774="PADD III","PADD 3",IF($M7774="PADD IV","PADD 4",IF($M7774="PADD V","PADD 5","")))))</f>
        <v>PADD 5</v>
      </c>
      <c r="G7774" s="6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6" t="s">
        <v>44</v>
      </c>
      <c r="I7774" s="6" t="s">
        <v>837</v>
      </c>
      <c r="J7774" s="6" t="s">
        <v>398</v>
      </c>
      <c r="K7774" s="10">
        <v>8.51</v>
      </c>
      <c r="L7774" s="10">
        <v>11.5</v>
      </c>
      <c r="M7774" s="6" t="s">
        <v>436</v>
      </c>
      <c r="N7774" s="6">
        <f>IF(OR($G7774="FCC",$G7774="Hydrocracker",$G7774="Reformer"),IF(COUNTIFS($D:$D,$D7774,$A:$A,$A7774,$B:$B,$B7774,$G:$G,"CDU",$J:$J,"PLANNED")&gt;0,"tied","standalone"),"")</f>
        <v/>
      </c>
    </row>
    <row r="7775" spans="1:14">
      <c r="A7775" s="6">
        <v>2026</v>
      </c>
      <c r="B7775" s="6">
        <v>5</v>
      </c>
      <c r="C7775" s="6" t="s">
        <v>64</v>
      </c>
      <c r="D7775" s="6" t="s">
        <v>576</v>
      </c>
      <c r="E7775" s="6" t="s">
        <v>455</v>
      </c>
      <c r="F7775" s="6" t="str">
        <f>IF($M7775="PADD I","PADD 1",IF($M7775="PADD II","PADD 2",IF($M7775="PADD III","PADD 3",IF($M7775="PADD IV","PADD 4",IF($M7775="PADD V","PADD 5","")))))</f>
        <v>PADD 3</v>
      </c>
      <c r="G7775" s="6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6" t="s">
        <v>494</v>
      </c>
      <c r="I7775" s="6" t="s">
        <v>577</v>
      </c>
      <c r="J7775" s="6" t="s">
        <v>394</v>
      </c>
      <c r="K7775" s="10">
        <v>8.16</v>
      </c>
      <c r="L7775" s="10">
        <v>17</v>
      </c>
      <c r="M7775" s="6" t="s">
        <v>421</v>
      </c>
      <c r="N7775" s="6" t="str">
        <f>IF(OR($G7775="FCC",$G7775="Hydrocracker",$G7775="Reformer"),IF(COUNTIFS($D:$D,$D7775,$A:$A,$A7775,$B:$B,$B7775,$G:$G,"CDU",$J:$J,"PLANNED")&gt;0,"tied","standalone"),"")</f>
        <v>standalone</v>
      </c>
    </row>
    <row r="7776" spans="1:14">
      <c r="A7776" s="6">
        <v>2026</v>
      </c>
      <c r="B7776" s="6">
        <v>5</v>
      </c>
      <c r="C7776" s="6" t="s">
        <v>64</v>
      </c>
      <c r="D7776" s="6" t="s">
        <v>824</v>
      </c>
      <c r="E7776" s="6" t="s">
        <v>825</v>
      </c>
      <c r="F7776" s="6" t="str">
        <f>IF($M7776="PADD I","PADD 1",IF($M7776="PADD II","PADD 2",IF($M7776="PADD III","PADD 3",IF($M7776="PADD IV","PADD 4",IF($M7776="PADD V","PADD 5","")))))</f>
        <v>PADD 1</v>
      </c>
      <c r="G7776" s="6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6" t="s">
        <v>485</v>
      </c>
      <c r="I7776" s="6" t="s">
        <v>826</v>
      </c>
      <c r="J7776" s="6" t="s">
        <v>394</v>
      </c>
      <c r="K7776" s="10">
        <v>8</v>
      </c>
      <c r="L7776" s="10">
        <v>50</v>
      </c>
      <c r="M7776" s="6" t="s">
        <v>463</v>
      </c>
      <c r="N7776" s="6">
        <f>IF(OR($G7776="FCC",$G7776="Hydrocracker",$G7776="Reformer"),IF(COUNTIFS($D:$D,$D7776,$A:$A,$A7776,$B:$B,$B7776,$G:$G,"CDU",$J:$J,"PLANNED")&gt;0,"tied","standalone"),"")</f>
        <v/>
      </c>
    </row>
    <row r="7777" spans="1:14">
      <c r="A7777" s="6">
        <v>2026</v>
      </c>
      <c r="B7777" s="6">
        <v>5</v>
      </c>
      <c r="C7777" s="6" t="s">
        <v>64</v>
      </c>
      <c r="D7777" s="6" t="s">
        <v>377</v>
      </c>
      <c r="E7777" s="6" t="s">
        <v>466</v>
      </c>
      <c r="F7777" s="6" t="str">
        <f>IF($M7777="PADD I","PADD 1",IF($M7777="PADD II","PADD 2",IF($M7777="PADD III","PADD 3",IF($M7777="PADD IV","PADD 4",IF($M7777="PADD V","PADD 5","")))))</f>
        <v>PADD 2</v>
      </c>
      <c r="G7777" s="6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6" t="s">
        <v>39</v>
      </c>
      <c r="I7777" s="6" t="s">
        <v>92</v>
      </c>
      <c r="J7777" s="6" t="s">
        <v>398</v>
      </c>
      <c r="K7777" s="10">
        <v>7.8</v>
      </c>
      <c r="L7777" s="10">
        <v>60</v>
      </c>
      <c r="M7777" s="6" t="s">
        <v>425</v>
      </c>
      <c r="N7777" s="6">
        <f>IF(OR($G7777="FCC",$G7777="Hydrocracker",$G7777="Reformer"),IF(COUNTIFS($D:$D,$D7777,$A:$A,$A7777,$B:$B,$B7777,$G:$G,"CDU",$J:$J,"PLANNED")&gt;0,"tied","standalone"),"")</f>
        <v/>
      </c>
    </row>
    <row r="7778" spans="1:14">
      <c r="A7778" s="6">
        <v>2026</v>
      </c>
      <c r="B7778" s="6">
        <v>5</v>
      </c>
      <c r="C7778" s="6" t="s">
        <v>64</v>
      </c>
      <c r="D7778" s="6" t="s">
        <v>576</v>
      </c>
      <c r="E7778" s="6" t="s">
        <v>455</v>
      </c>
      <c r="F7778" s="6" t="str">
        <f>IF($M7778="PADD I","PADD 1",IF($M7778="PADD II","PADD 2",IF($M7778="PADD III","PADD 3",IF($M7778="PADD IV","PADD 4",IF($M7778="PADD V","PADD 5","")))))</f>
        <v>PADD 3</v>
      </c>
      <c r="G7778" s="6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6" t="s">
        <v>485</v>
      </c>
      <c r="I7778" s="6" t="s">
        <v>1004</v>
      </c>
      <c r="J7778" s="6" t="s">
        <v>394</v>
      </c>
      <c r="K7778" s="10">
        <v>7.8</v>
      </c>
      <c r="L7778" s="10">
        <v>30</v>
      </c>
      <c r="M7778" s="6" t="s">
        <v>421</v>
      </c>
      <c r="N7778" s="6">
        <f>IF(OR($G7778="FCC",$G7778="Hydrocracker",$G7778="Reformer"),IF(COUNTIFS($D:$D,$D7778,$A:$A,$A7778,$B:$B,$B7778,$G:$G,"CDU",$J:$J,"PLANNED")&gt;0,"tied","standalone"),"")</f>
        <v/>
      </c>
    </row>
    <row r="7779" spans="1:14">
      <c r="A7779" s="6">
        <v>2026</v>
      </c>
      <c r="B7779" s="6">
        <v>5</v>
      </c>
      <c r="C7779" s="6" t="s">
        <v>64</v>
      </c>
      <c r="D7779" s="6" t="s">
        <v>54</v>
      </c>
      <c r="E7779" s="6" t="s">
        <v>593</v>
      </c>
      <c r="F7779" s="6" t="str">
        <f>IF($M7779="PADD I","PADD 1",IF($M7779="PADD II","PADD 2",IF($M7779="PADD III","PADD 3",IF($M7779="PADD IV","PADD 4",IF($M7779="PADD V","PADD 5","")))))</f>
        <v>PADD 5</v>
      </c>
      <c r="G7779" s="6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6" t="s">
        <v>39</v>
      </c>
      <c r="I7779" s="6" t="s">
        <v>82</v>
      </c>
      <c r="J7779" s="6" t="s">
        <v>398</v>
      </c>
      <c r="K7779" s="10">
        <v>7.6</v>
      </c>
      <c r="L7779" s="10">
        <v>40</v>
      </c>
      <c r="M7779" s="6" t="s">
        <v>436</v>
      </c>
      <c r="N7779" s="6">
        <f>IF(OR($G7779="FCC",$G7779="Hydrocracker",$G7779="Reformer"),IF(COUNTIFS($D:$D,$D7779,$A:$A,$A7779,$B:$B,$B7779,$G:$G,"CDU",$J:$J,"PLANNED")&gt;0,"tied","standalone"),"")</f>
        <v/>
      </c>
    </row>
    <row r="7780" spans="1:14">
      <c r="A7780" s="6">
        <v>2026</v>
      </c>
      <c r="B7780" s="6">
        <v>5</v>
      </c>
      <c r="C7780" s="6" t="s">
        <v>64</v>
      </c>
      <c r="D7780" s="6" t="s">
        <v>377</v>
      </c>
      <c r="E7780" s="6" t="s">
        <v>466</v>
      </c>
      <c r="F7780" s="6" t="str">
        <f>IF($M7780="PADD I","PADD 1",IF($M7780="PADD II","PADD 2",IF($M7780="PADD III","PADD 3",IF($M7780="PADD IV","PADD 4",IF($M7780="PADD V","PADD 5","")))))</f>
        <v>PADD 2</v>
      </c>
      <c r="G7780" s="6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6" t="s">
        <v>426</v>
      </c>
      <c r="I7780" s="6" t="s">
        <v>1291</v>
      </c>
      <c r="J7780" s="6" t="s">
        <v>398</v>
      </c>
      <c r="K7780" s="10">
        <v>7.54</v>
      </c>
      <c r="L7780" s="10">
        <v>58</v>
      </c>
      <c r="M7780" s="6" t="s">
        <v>425</v>
      </c>
      <c r="N7780" s="6" t="str">
        <f>IF(OR($G7780="FCC",$G7780="Hydrocracker",$G7780="Reformer"),IF(COUNTIFS($D:$D,$D7780,$A:$A,$A7780,$B:$B,$B7780,$G:$G,"CDU",$J:$J,"PLANNED")&gt;0,"tied","standalone"),"")</f>
        <v>tied</v>
      </c>
    </row>
    <row r="7781" spans="1:14">
      <c r="A7781" s="6">
        <v>2026</v>
      </c>
      <c r="B7781" s="6">
        <v>5</v>
      </c>
      <c r="C7781" s="6" t="s">
        <v>64</v>
      </c>
      <c r="D7781" s="6" t="s">
        <v>512</v>
      </c>
      <c r="E7781" s="6" t="s">
        <v>488</v>
      </c>
      <c r="F7781" s="6" t="str">
        <f>IF($M7781="PADD I","PADD 1",IF($M7781="PADD II","PADD 2",IF($M7781="PADD III","PADD 3",IF($M7781="PADD IV","PADD 4",IF($M7781="PADD V","PADD 5","")))))</f>
        <v>PADD 4</v>
      </c>
      <c r="G7781" s="6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6" t="s">
        <v>39</v>
      </c>
      <c r="I7781" s="6" t="s">
        <v>124</v>
      </c>
      <c r="J7781" s="6" t="s">
        <v>394</v>
      </c>
      <c r="K7781" s="10">
        <v>7.36</v>
      </c>
      <c r="L7781" s="10">
        <v>32</v>
      </c>
      <c r="M7781" s="6" t="s">
        <v>480</v>
      </c>
      <c r="N7781" s="6">
        <f>IF(OR($G7781="FCC",$G7781="Hydrocracker",$G7781="Reformer"),IF(COUNTIFS($D:$D,$D7781,$A:$A,$A7781,$B:$B,$B7781,$G:$G,"CDU",$J:$J,"PLANNED")&gt;0,"tied","standalone"),"")</f>
        <v/>
      </c>
    </row>
    <row r="7782" spans="1:14">
      <c r="A7782" s="6">
        <v>2026</v>
      </c>
      <c r="B7782" s="6">
        <v>5</v>
      </c>
      <c r="C7782" s="6" t="s">
        <v>64</v>
      </c>
      <c r="D7782" s="6" t="s">
        <v>984</v>
      </c>
      <c r="E7782" s="6" t="s">
        <v>438</v>
      </c>
      <c r="F7782" s="6" t="str">
        <f>IF($M7782="PADD I","PADD 1",IF($M7782="PADD II","PADD 2",IF($M7782="PADD III","PADD 3",IF($M7782="PADD IV","PADD 4",IF($M7782="PADD V","PADD 5","")))))</f>
        <v>PADD 3</v>
      </c>
      <c r="G7782" s="6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6" t="s">
        <v>44</v>
      </c>
      <c r="I7782" s="6" t="s">
        <v>508</v>
      </c>
      <c r="J7782" s="6" t="s">
        <v>398</v>
      </c>
      <c r="K7782" s="10">
        <v>7.25</v>
      </c>
      <c r="L7782" s="10">
        <v>25</v>
      </c>
      <c r="M7782" s="6" t="s">
        <v>421</v>
      </c>
      <c r="N7782" s="6">
        <f>IF(OR($G7782="FCC",$G7782="Hydrocracker",$G7782="Reformer"),IF(COUNTIFS($D:$D,$D7782,$A:$A,$A7782,$B:$B,$B7782,$G:$G,"CDU",$J:$J,"PLANNED")&gt;0,"tied","standalone"),"")</f>
        <v/>
      </c>
    </row>
    <row r="7783" spans="1:14">
      <c r="A7783" s="6">
        <v>2026</v>
      </c>
      <c r="B7783" s="6">
        <v>5</v>
      </c>
      <c r="C7783" s="6" t="s">
        <v>64</v>
      </c>
      <c r="D7783" s="6" t="s">
        <v>576</v>
      </c>
      <c r="E7783" s="6" t="s">
        <v>455</v>
      </c>
      <c r="F7783" s="6" t="str">
        <f>IF($M7783="PADD I","PADD 1",IF($M7783="PADD II","PADD 2",IF($M7783="PADD III","PADD 3",IF($M7783="PADD IV","PADD 4",IF($M7783="PADD V","PADD 5","")))))</f>
        <v>PADD 3</v>
      </c>
      <c r="G7783" s="6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6" t="s">
        <v>471</v>
      </c>
      <c r="I7783" s="6" t="s">
        <v>978</v>
      </c>
      <c r="J7783" s="6" t="s">
        <v>394</v>
      </c>
      <c r="K7783" s="10">
        <v>7.2</v>
      </c>
      <c r="L7783" s="10">
        <v>15</v>
      </c>
      <c r="M7783" s="6" t="s">
        <v>421</v>
      </c>
      <c r="N7783" s="6" t="str">
        <f>IF(OR($G7783="FCC",$G7783="Hydrocracker",$G7783="Reformer"),IF(COUNTIFS($D:$D,$D7783,$A:$A,$A7783,$B:$B,$B7783,$G:$G,"CDU",$J:$J,"PLANNED")&gt;0,"tied","standalone"),"")</f>
        <v>standalone</v>
      </c>
    </row>
    <row r="7784" spans="1:14">
      <c r="A7784" s="6">
        <v>2026</v>
      </c>
      <c r="B7784" s="6">
        <v>5</v>
      </c>
      <c r="C7784" s="6" t="s">
        <v>64</v>
      </c>
      <c r="D7784" s="6" t="s">
        <v>49</v>
      </c>
      <c r="E7784" s="6" t="s">
        <v>438</v>
      </c>
      <c r="F7784" s="6" t="str">
        <f>IF($M7784="PADD I","PADD 1",IF($M7784="PADD II","PADD 2",IF($M7784="PADD III","PADD 3",IF($M7784="PADD IV","PADD 4",IF($M7784="PADD V","PADD 5","")))))</f>
        <v>PADD 2</v>
      </c>
      <c r="G7784" s="6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6" t="s">
        <v>485</v>
      </c>
      <c r="I7784" s="6" t="s">
        <v>681</v>
      </c>
      <c r="J7784" s="6" t="s">
        <v>398</v>
      </c>
      <c r="K7784" s="10">
        <v>7.2</v>
      </c>
      <c r="L7784" s="10">
        <v>15</v>
      </c>
      <c r="M7784" s="6" t="s">
        <v>425</v>
      </c>
      <c r="N7784" s="6">
        <f>IF(OR($G7784="FCC",$G7784="Hydrocracker",$G7784="Reformer"),IF(COUNTIFS($D:$D,$D7784,$A:$A,$A7784,$B:$B,$B7784,$G:$G,"CDU",$J:$J,"PLANNED")&gt;0,"tied","standalone"),"")</f>
        <v/>
      </c>
    </row>
    <row r="7785" spans="1:14">
      <c r="A7785" s="6">
        <v>2026</v>
      </c>
      <c r="B7785" s="6">
        <v>5</v>
      </c>
      <c r="C7785" s="6" t="s">
        <v>64</v>
      </c>
      <c r="D7785" s="6" t="s">
        <v>49</v>
      </c>
      <c r="E7785" s="6" t="s">
        <v>438</v>
      </c>
      <c r="F7785" s="6" t="str">
        <f>IF($M7785="PADD I","PADD 1",IF($M7785="PADD II","PADD 2",IF($M7785="PADD III","PADD 3",IF($M7785="PADD IV","PADD 4",IF($M7785="PADD V","PADD 5","")))))</f>
        <v>PADD 2</v>
      </c>
      <c r="G7785" s="6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6" t="s">
        <v>687</v>
      </c>
      <c r="I7785" s="6" t="s">
        <v>654</v>
      </c>
      <c r="J7785" s="6" t="s">
        <v>398</v>
      </c>
      <c r="K7785" s="10">
        <v>7.2</v>
      </c>
      <c r="L7785" s="10">
        <v>16</v>
      </c>
      <c r="M7785" s="6" t="s">
        <v>425</v>
      </c>
      <c r="N7785" s="6">
        <f>IF(OR($G7785="FCC",$G7785="Hydrocracker",$G7785="Reformer"),IF(COUNTIFS($D:$D,$D7785,$A:$A,$A7785,$B:$B,$B7785,$G:$G,"CDU",$J:$J,"PLANNED")&gt;0,"tied","standalone"),"")</f>
        <v/>
      </c>
    </row>
    <row r="7786" spans="1:14">
      <c r="A7786" s="6">
        <v>2026</v>
      </c>
      <c r="B7786" s="6">
        <v>5</v>
      </c>
      <c r="C7786" s="6" t="s">
        <v>64</v>
      </c>
      <c r="D7786" s="6" t="s">
        <v>440</v>
      </c>
      <c r="E7786" s="6" t="s">
        <v>441</v>
      </c>
      <c r="F7786" s="6" t="str">
        <f>IF($M7786="PADD I","PADD 1",IF($M7786="PADD II","PADD 2",IF($M7786="PADD III","PADD 3",IF($M7786="PADD IV","PADD 4",IF($M7786="PADD V","PADD 5","")))))</f>
        <v>PADD 3</v>
      </c>
      <c r="G7786" s="6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6" t="s">
        <v>471</v>
      </c>
      <c r="I7786" s="6" t="s">
        <v>1167</v>
      </c>
      <c r="J7786" s="6" t="s">
        <v>394</v>
      </c>
      <c r="K7786" s="10">
        <v>7.15</v>
      </c>
      <c r="L7786" s="10">
        <v>55</v>
      </c>
      <c r="M7786" s="6" t="s">
        <v>421</v>
      </c>
      <c r="N7786" s="6" t="str">
        <f>IF(OR($G7786="FCC",$G7786="Hydrocracker",$G7786="Reformer"),IF(COUNTIFS($D:$D,$D7786,$A:$A,$A7786,$B:$B,$B7786,$G:$G,"CDU",$J:$J,"PLANNED")&gt;0,"tied","standalone"),"")</f>
        <v>standalone</v>
      </c>
    </row>
    <row r="7787" spans="1:14">
      <c r="A7787" s="6">
        <v>2026</v>
      </c>
      <c r="B7787" s="6">
        <v>5</v>
      </c>
      <c r="C7787" s="6" t="s">
        <v>64</v>
      </c>
      <c r="D7787" s="6" t="s">
        <v>368</v>
      </c>
      <c r="E7787" s="6" t="s">
        <v>715</v>
      </c>
      <c r="F7787" s="6" t="str">
        <f>IF($M7787="PADD I","PADD 1",IF($M7787="PADD II","PADD 2",IF($M7787="PADD III","PADD 3",IF($M7787="PADD IV","PADD 4",IF($M7787="PADD V","PADD 5","")))))</f>
        <v>PADD 3</v>
      </c>
      <c r="G7787" s="6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6" t="s">
        <v>426</v>
      </c>
      <c r="I7787" s="6" t="s">
        <v>925</v>
      </c>
      <c r="J7787" s="6" t="s">
        <v>394</v>
      </c>
      <c r="K7787" s="10">
        <v>6.6</v>
      </c>
      <c r="L7787" s="10">
        <v>110</v>
      </c>
      <c r="M7787" s="6" t="s">
        <v>421</v>
      </c>
      <c r="N7787" s="6" t="str">
        <f>IF(OR($G7787="FCC",$G7787="Hydrocracker",$G7787="Reformer"),IF(COUNTIFS($D:$D,$D7787,$A:$A,$A7787,$B:$B,$B7787,$G:$G,"CDU",$J:$J,"PLANNED")&gt;0,"tied","standalone"),"")</f>
        <v>standalone</v>
      </c>
    </row>
    <row r="7788" spans="1:14">
      <c r="A7788" s="6">
        <v>2026</v>
      </c>
      <c r="B7788" s="6">
        <v>5</v>
      </c>
      <c r="C7788" s="6" t="s">
        <v>64</v>
      </c>
      <c r="D7788" s="6" t="s">
        <v>512</v>
      </c>
      <c r="E7788" s="6" t="s">
        <v>488</v>
      </c>
      <c r="F7788" s="6" t="str">
        <f>IF($M7788="PADD I","PADD 1",IF($M7788="PADD II","PADD 2",IF($M7788="PADD III","PADD 3",IF($M7788="PADD IV","PADD 4",IF($M7788="PADD V","PADD 5","")))))</f>
        <v>PADD 4</v>
      </c>
      <c r="G7788" s="6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6" t="s">
        <v>426</v>
      </c>
      <c r="I7788" s="6" t="s">
        <v>106</v>
      </c>
      <c r="J7788" s="6" t="s">
        <v>394</v>
      </c>
      <c r="K7788" s="10">
        <v>6.509</v>
      </c>
      <c r="L7788" s="10">
        <v>28.3</v>
      </c>
      <c r="M7788" s="6" t="s">
        <v>480</v>
      </c>
      <c r="N7788" s="6" t="str">
        <f>IF(OR($G7788="FCC",$G7788="Hydrocracker",$G7788="Reformer"),IF(COUNTIFS($D:$D,$D7788,$A:$A,$A7788,$B:$B,$B7788,$G:$G,"CDU",$J:$J,"PLANNED")&gt;0,"tied","standalone"),"")</f>
        <v>tied</v>
      </c>
    </row>
    <row r="7789" spans="1:14">
      <c r="A7789" s="6">
        <v>2026</v>
      </c>
      <c r="B7789" s="6">
        <v>5</v>
      </c>
      <c r="C7789" s="6" t="s">
        <v>64</v>
      </c>
      <c r="D7789" s="6" t="s">
        <v>487</v>
      </c>
      <c r="E7789" s="6" t="s">
        <v>488</v>
      </c>
      <c r="F7789" s="6" t="str">
        <f>IF($M7789="PADD I","PADD 1",IF($M7789="PADD II","PADD 2",IF($M7789="PADD III","PADD 3",IF($M7789="PADD IV","PADD 4",IF($M7789="PADD V","PADD 5","")))))</f>
        <v>PADD 4</v>
      </c>
      <c r="G7789" s="6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6" t="s">
        <v>39</v>
      </c>
      <c r="I7789" s="6" t="s">
        <v>379</v>
      </c>
      <c r="J7789" s="6" t="s">
        <v>394</v>
      </c>
      <c r="K7789" s="10">
        <v>6.44</v>
      </c>
      <c r="L7789" s="10">
        <v>28</v>
      </c>
      <c r="M7789" s="6" t="s">
        <v>480</v>
      </c>
      <c r="N7789" s="6">
        <f>IF(OR($G7789="FCC",$G7789="Hydrocracker",$G7789="Reformer"),IF(COUNTIFS($D:$D,$D7789,$A:$A,$A7789,$B:$B,$B7789,$G:$G,"CDU",$J:$J,"PLANNED")&gt;0,"tied","standalone"),"")</f>
        <v/>
      </c>
    </row>
    <row r="7790" spans="1:14">
      <c r="A7790" s="6">
        <v>2026</v>
      </c>
      <c r="B7790" s="6">
        <v>5</v>
      </c>
      <c r="C7790" s="6" t="s">
        <v>64</v>
      </c>
      <c r="D7790" s="6" t="s">
        <v>370</v>
      </c>
      <c r="E7790" s="6" t="s">
        <v>431</v>
      </c>
      <c r="F7790" s="6" t="str">
        <f>IF($M7790="PADD I","PADD 1",IF($M7790="PADD II","PADD 2",IF($M7790="PADD III","PADD 3",IF($M7790="PADD IV","PADD 4",IF($M7790="PADD V","PADD 5","")))))</f>
        <v>PADD 2</v>
      </c>
      <c r="G7790" s="6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6" t="s">
        <v>426</v>
      </c>
      <c r="I7790" s="6" t="s">
        <v>106</v>
      </c>
      <c r="J7790" s="6" t="s">
        <v>394</v>
      </c>
      <c r="K7790" s="10">
        <v>6.44</v>
      </c>
      <c r="L7790" s="10">
        <v>28</v>
      </c>
      <c r="M7790" s="6" t="s">
        <v>425</v>
      </c>
      <c r="N7790" s="6" t="str">
        <f>IF(OR($G7790="FCC",$G7790="Hydrocracker",$G7790="Reformer"),IF(COUNTIFS($D:$D,$D7790,$A:$A,$A7790,$B:$B,$B7790,$G:$G,"CDU",$J:$J,"PLANNED")&gt;0,"tied","standalone"),"")</f>
        <v>standalone</v>
      </c>
    </row>
    <row r="7791" spans="1:14">
      <c r="A7791" s="6">
        <v>2026</v>
      </c>
      <c r="B7791" s="6">
        <v>5</v>
      </c>
      <c r="C7791" s="6" t="s">
        <v>64</v>
      </c>
      <c r="D7791" s="6" t="s">
        <v>49</v>
      </c>
      <c r="E7791" s="6" t="s">
        <v>438</v>
      </c>
      <c r="F7791" s="6" t="str">
        <f>IF($M7791="PADD I","PADD 1",IF($M7791="PADD II","PADD 2",IF($M7791="PADD III","PADD 3",IF($M7791="PADD IV","PADD 4",IF($M7791="PADD V","PADD 5","")))))</f>
        <v>PADD 2</v>
      </c>
      <c r="G7791" s="6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6" t="s">
        <v>485</v>
      </c>
      <c r="I7791" s="6" t="s">
        <v>804</v>
      </c>
      <c r="J7791" s="6" t="s">
        <v>398</v>
      </c>
      <c r="K7791" s="10">
        <v>6.3</v>
      </c>
      <c r="L7791" s="10">
        <v>15</v>
      </c>
      <c r="M7791" s="6" t="s">
        <v>425</v>
      </c>
      <c r="N7791" s="6">
        <f>IF(OR($G7791="FCC",$G7791="Hydrocracker",$G7791="Reformer"),IF(COUNTIFS($D:$D,$D7791,$A:$A,$A7791,$B:$B,$B7791,$G:$G,"CDU",$J:$J,"PLANNED")&gt;0,"tied","standalone"),"")</f>
        <v/>
      </c>
    </row>
    <row r="7792" spans="1:14">
      <c r="A7792" s="6">
        <v>2026</v>
      </c>
      <c r="B7792" s="6">
        <v>5</v>
      </c>
      <c r="C7792" s="6" t="s">
        <v>64</v>
      </c>
      <c r="D7792" s="6" t="s">
        <v>576</v>
      </c>
      <c r="E7792" s="6" t="s">
        <v>455</v>
      </c>
      <c r="F7792" s="6" t="str">
        <f>IF($M7792="PADD I","PADD 1",IF($M7792="PADD II","PADD 2",IF($M7792="PADD III","PADD 3",IF($M7792="PADD IV","PADD 4",IF($M7792="PADD V","PADD 5","")))))</f>
        <v>PADD 3</v>
      </c>
      <c r="G7792" s="6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6" t="s">
        <v>426</v>
      </c>
      <c r="I7792" s="6" t="s">
        <v>393</v>
      </c>
      <c r="J7792" s="6" t="s">
        <v>394</v>
      </c>
      <c r="K7792" s="10">
        <v>6.3</v>
      </c>
      <c r="L7792" s="10">
        <v>15</v>
      </c>
      <c r="M7792" s="6" t="s">
        <v>421</v>
      </c>
      <c r="N7792" s="6" t="str">
        <f>IF(OR($G7792="FCC",$G7792="Hydrocracker",$G7792="Reformer"),IF(COUNTIFS($D:$D,$D7792,$A:$A,$A7792,$B:$B,$B7792,$G:$G,"CDU",$J:$J,"PLANNED")&gt;0,"tied","standalone"),"")</f>
        <v>standalone</v>
      </c>
    </row>
    <row r="7793" spans="1:14">
      <c r="A7793" s="6">
        <v>2026</v>
      </c>
      <c r="B7793" s="6">
        <v>5</v>
      </c>
      <c r="C7793" s="6" t="s">
        <v>64</v>
      </c>
      <c r="D7793" s="6" t="s">
        <v>440</v>
      </c>
      <c r="E7793" s="6" t="s">
        <v>441</v>
      </c>
      <c r="F7793" s="6" t="str">
        <f>IF($M7793="PADD I","PADD 1",IF($M7793="PADD II","PADD 2",IF($M7793="PADD III","PADD 3",IF($M7793="PADD IV","PADD 4",IF($M7793="PADD V","PADD 5","")))))</f>
        <v>PADD 3</v>
      </c>
      <c r="G7793" s="6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6" t="s">
        <v>494</v>
      </c>
      <c r="I7793" s="6" t="s">
        <v>1349</v>
      </c>
      <c r="J7793" s="6" t="s">
        <v>394</v>
      </c>
      <c r="K7793" s="10">
        <v>6.24</v>
      </c>
      <c r="L7793" s="10">
        <v>24</v>
      </c>
      <c r="M7793" s="6" t="s">
        <v>421</v>
      </c>
      <c r="N7793" s="6" t="str">
        <f>IF(OR($G7793="FCC",$G7793="Hydrocracker",$G7793="Reformer"),IF(COUNTIFS($D:$D,$D7793,$A:$A,$A7793,$B:$B,$B7793,$G:$G,"CDU",$J:$J,"PLANNED")&gt;0,"tied","standalone"),"")</f>
        <v>standalone</v>
      </c>
    </row>
    <row r="7794" spans="1:14">
      <c r="A7794" s="6">
        <v>2026</v>
      </c>
      <c r="B7794" s="6">
        <v>5</v>
      </c>
      <c r="C7794" s="6" t="s">
        <v>64</v>
      </c>
      <c r="D7794" s="6" t="s">
        <v>576</v>
      </c>
      <c r="E7794" s="6" t="s">
        <v>455</v>
      </c>
      <c r="F7794" s="6" t="str">
        <f>IF($M7794="PADD I","PADD 1",IF($M7794="PADD II","PADD 2",IF($M7794="PADD III","PADD 3",IF($M7794="PADD IV","PADD 4",IF($M7794="PADD V","PADD 5","")))))</f>
        <v>PADD 3</v>
      </c>
      <c r="G7794" s="6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6" t="s">
        <v>494</v>
      </c>
      <c r="I7794" s="6" t="s">
        <v>400</v>
      </c>
      <c r="J7794" s="6" t="s">
        <v>394</v>
      </c>
      <c r="K7794" s="10">
        <v>6.24</v>
      </c>
      <c r="L7794" s="10">
        <v>13</v>
      </c>
      <c r="M7794" s="6" t="s">
        <v>421</v>
      </c>
      <c r="N7794" s="6" t="str">
        <f>IF(OR($G7794="FCC",$G7794="Hydrocracker",$G7794="Reformer"),IF(COUNTIFS($D:$D,$D7794,$A:$A,$A7794,$B:$B,$B7794,$G:$G,"CDU",$J:$J,"PLANNED")&gt;0,"tied","standalone"),"")</f>
        <v>standalone</v>
      </c>
    </row>
    <row r="7795" spans="1:14">
      <c r="A7795" s="6">
        <v>2026</v>
      </c>
      <c r="B7795" s="6">
        <v>5</v>
      </c>
      <c r="C7795" s="6" t="s">
        <v>64</v>
      </c>
      <c r="D7795" s="6" t="s">
        <v>487</v>
      </c>
      <c r="E7795" s="6" t="s">
        <v>488</v>
      </c>
      <c r="F7795" s="6" t="str">
        <f>IF($M7795="PADD I","PADD 1",IF($M7795="PADD II","PADD 2",IF($M7795="PADD III","PADD 3",IF($M7795="PADD IV","PADD 4",IF($M7795="PADD V","PADD 5","")))))</f>
        <v>PADD 4</v>
      </c>
      <c r="G7795" s="6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6" t="s">
        <v>39</v>
      </c>
      <c r="I7795" s="6" t="s">
        <v>489</v>
      </c>
      <c r="J7795" s="6" t="s">
        <v>398</v>
      </c>
      <c r="K7795" s="10">
        <v>6.24</v>
      </c>
      <c r="L7795" s="10">
        <v>39</v>
      </c>
      <c r="M7795" s="6" t="s">
        <v>480</v>
      </c>
      <c r="N7795" s="6">
        <f>IF(OR($G7795="FCC",$G7795="Hydrocracker",$G7795="Reformer"),IF(COUNTIFS($D:$D,$D7795,$A:$A,$A7795,$B:$B,$B7795,$G:$G,"CDU",$J:$J,"PLANNED")&gt;0,"tied","standalone"),"")</f>
        <v/>
      </c>
    </row>
    <row r="7796" spans="1:14">
      <c r="A7796" s="6">
        <v>2026</v>
      </c>
      <c r="B7796" s="6">
        <v>5</v>
      </c>
      <c r="C7796" s="6" t="s">
        <v>64</v>
      </c>
      <c r="D7796" s="6" t="s">
        <v>984</v>
      </c>
      <c r="E7796" s="6" t="s">
        <v>438</v>
      </c>
      <c r="F7796" s="6" t="str">
        <f>IF($M7796="PADD I","PADD 1",IF($M7796="PADD II","PADD 2",IF($M7796="PADD III","PADD 3",IF($M7796="PADD IV","PADD 4",IF($M7796="PADD V","PADD 5","")))))</f>
        <v>PADD 3</v>
      </c>
      <c r="G7796" s="6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6" t="s">
        <v>510</v>
      </c>
      <c r="I7796" s="6" t="s">
        <v>511</v>
      </c>
      <c r="J7796" s="6" t="s">
        <v>398</v>
      </c>
      <c r="K7796" s="10">
        <v>6.1</v>
      </c>
      <c r="L7796" s="10">
        <v>10</v>
      </c>
      <c r="M7796" s="6" t="s">
        <v>421</v>
      </c>
      <c r="N7796" s="6">
        <f>IF(OR($G7796="FCC",$G7796="Hydrocracker",$G7796="Reformer"),IF(COUNTIFS($D:$D,$D7796,$A:$A,$A7796,$B:$B,$B7796,$G:$G,"CDU",$J:$J,"PLANNED")&gt;0,"tied","standalone"),"")</f>
        <v/>
      </c>
    </row>
    <row r="7797" spans="1:14">
      <c r="A7797" s="6">
        <v>2026</v>
      </c>
      <c r="B7797" s="6">
        <v>5</v>
      </c>
      <c r="C7797" s="6" t="s">
        <v>64</v>
      </c>
      <c r="D7797" s="6" t="s">
        <v>479</v>
      </c>
      <c r="E7797" s="6" t="s">
        <v>438</v>
      </c>
      <c r="F7797" s="6" t="str">
        <f>IF($M7797="PADD I","PADD 1",IF($M7797="PADD II","PADD 2",IF($M7797="PADD III","PADD 3",IF($M7797="PADD IV","PADD 4",IF($M7797="PADD V","PADD 5","")))))</f>
        <v>PADD 4</v>
      </c>
      <c r="G7797" s="6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6" t="s">
        <v>426</v>
      </c>
      <c r="I7797" s="6" t="s">
        <v>106</v>
      </c>
      <c r="J7797" s="6" t="s">
        <v>394</v>
      </c>
      <c r="K7797" s="10">
        <v>6.072</v>
      </c>
      <c r="L7797" s="10">
        <v>26.4</v>
      </c>
      <c r="M7797" s="6" t="s">
        <v>480</v>
      </c>
      <c r="N7797" s="6" t="str">
        <f>IF(OR($G7797="FCC",$G7797="Hydrocracker",$G7797="Reformer"),IF(COUNTIFS($D:$D,$D7797,$A:$A,$A7797,$B:$B,$B7797,$G:$G,"CDU",$J:$J,"PLANNED")&gt;0,"tied","standalone"),"")</f>
        <v>standalone</v>
      </c>
    </row>
    <row r="7798" spans="1:14">
      <c r="A7798" s="6">
        <v>2026</v>
      </c>
      <c r="B7798" s="6">
        <v>5</v>
      </c>
      <c r="C7798" s="6" t="s">
        <v>64</v>
      </c>
      <c r="D7798" s="6" t="s">
        <v>375</v>
      </c>
      <c r="E7798" s="6" t="s">
        <v>435</v>
      </c>
      <c r="F7798" s="6" t="str">
        <f>IF($M7798="PADD I","PADD 1",IF($M7798="PADD II","PADD 2",IF($M7798="PADD III","PADD 3",IF($M7798="PADD IV","PADD 4",IF($M7798="PADD V","PADD 5","")))))</f>
        <v>PADD 5</v>
      </c>
      <c r="G7798" s="6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6" t="s">
        <v>426</v>
      </c>
      <c r="I7798" s="6" t="s">
        <v>554</v>
      </c>
      <c r="J7798" s="6" t="s">
        <v>394</v>
      </c>
      <c r="K7798" s="10">
        <v>6.058</v>
      </c>
      <c r="L7798" s="10">
        <v>23.3</v>
      </c>
      <c r="M7798" s="6" t="s">
        <v>436</v>
      </c>
      <c r="N7798" s="6" t="str">
        <f>IF(OR($G7798="FCC",$G7798="Hydrocracker",$G7798="Reformer"),IF(COUNTIFS($D:$D,$D7798,$A:$A,$A7798,$B:$B,$B7798,$G:$G,"CDU",$J:$J,"PLANNED")&gt;0,"tied","standalone"),"")</f>
        <v>standalone</v>
      </c>
    </row>
    <row r="7799" spans="1:14">
      <c r="A7799" s="6">
        <v>2026</v>
      </c>
      <c r="B7799" s="6">
        <v>5</v>
      </c>
      <c r="C7799" s="6" t="s">
        <v>64</v>
      </c>
      <c r="D7799" s="6" t="s">
        <v>1373</v>
      </c>
      <c r="E7799" s="6" t="s">
        <v>419</v>
      </c>
      <c r="F7799" s="6" t="str">
        <f>IF($M7799="PADD I","PADD 1",IF($M7799="PADD II","PADD 2",IF($M7799="PADD III","PADD 3",IF($M7799="PADD IV","PADD 4",IF($M7799="PADD V","PADD 5","")))))</f>
        <v>PADD 5</v>
      </c>
      <c r="G7799" s="6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6" t="s">
        <v>428</v>
      </c>
      <c r="I7799" s="6" t="s">
        <v>481</v>
      </c>
      <c r="J7799" s="6" t="s">
        <v>394</v>
      </c>
      <c r="K7799" s="10">
        <v>6.045</v>
      </c>
      <c r="L7799" s="10">
        <v>46.5</v>
      </c>
      <c r="M7799" s="6" t="s">
        <v>436</v>
      </c>
      <c r="N7799" s="6">
        <f>IF(OR($G7799="FCC",$G7799="Hydrocracker",$G7799="Reformer"),IF(COUNTIFS($D:$D,$D7799,$A:$A,$A7799,$B:$B,$B7799,$G:$G,"CDU",$J:$J,"PLANNED")&gt;0,"tied","standalone"),"")</f>
        <v/>
      </c>
    </row>
    <row r="7800" spans="1:14">
      <c r="A7800" s="6">
        <v>2026</v>
      </c>
      <c r="B7800" s="6">
        <v>5</v>
      </c>
      <c r="C7800" s="6" t="s">
        <v>64</v>
      </c>
      <c r="D7800" s="6" t="s">
        <v>576</v>
      </c>
      <c r="E7800" s="6" t="s">
        <v>455</v>
      </c>
      <c r="F7800" s="6" t="str">
        <f>IF($M7800="PADD I","PADD 1",IF($M7800="PADD II","PADD 2",IF($M7800="PADD III","PADD 3",IF($M7800="PADD IV","PADD 4",IF($M7800="PADD V","PADD 5","")))))</f>
        <v>PADD 3</v>
      </c>
      <c r="G7800" s="6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6" t="s">
        <v>44</v>
      </c>
      <c r="I7800" s="6" t="s">
        <v>1272</v>
      </c>
      <c r="J7800" s="6" t="s">
        <v>398</v>
      </c>
      <c r="K7800" s="10">
        <v>5.85</v>
      </c>
      <c r="L7800" s="10">
        <v>45</v>
      </c>
      <c r="M7800" s="6" t="s">
        <v>421</v>
      </c>
      <c r="N7800" s="6">
        <f>IF(OR($G7800="FCC",$G7800="Hydrocracker",$G7800="Reformer"),IF(COUNTIFS($D:$D,$D7800,$A:$A,$A7800,$B:$B,$B7800,$G:$G,"CDU",$J:$J,"PLANNED")&gt;0,"tied","standalone"),"")</f>
        <v/>
      </c>
    </row>
    <row r="7801" spans="1:14">
      <c r="A7801" s="6">
        <v>2026</v>
      </c>
      <c r="B7801" s="6">
        <v>5</v>
      </c>
      <c r="C7801" s="6" t="s">
        <v>64</v>
      </c>
      <c r="D7801" s="6" t="s">
        <v>49</v>
      </c>
      <c r="E7801" s="6" t="s">
        <v>438</v>
      </c>
      <c r="F7801" s="6" t="str">
        <f>IF($M7801="PADD I","PADD 1",IF($M7801="PADD II","PADD 2",IF($M7801="PADD III","PADD 3",IF($M7801="PADD IV","PADD 4",IF($M7801="PADD V","PADD 5","")))))</f>
        <v>PADD 2</v>
      </c>
      <c r="G7801" s="6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6" t="s">
        <v>44</v>
      </c>
      <c r="I7801" s="6" t="s">
        <v>811</v>
      </c>
      <c r="J7801" s="6" t="s">
        <v>398</v>
      </c>
      <c r="K7801" s="10">
        <v>5.8</v>
      </c>
      <c r="L7801" s="10">
        <v>20</v>
      </c>
      <c r="M7801" s="6" t="s">
        <v>425</v>
      </c>
      <c r="N7801" s="6">
        <f>IF(OR($G7801="FCC",$G7801="Hydrocracker",$G7801="Reformer"),IF(COUNTIFS($D:$D,$D7801,$A:$A,$A7801,$B:$B,$B7801,$G:$G,"CDU",$J:$J,"PLANNED")&gt;0,"tied","standalone"),"")</f>
        <v/>
      </c>
    </row>
    <row r="7802" spans="1:14">
      <c r="A7802" s="6">
        <v>2026</v>
      </c>
      <c r="B7802" s="6">
        <v>5</v>
      </c>
      <c r="C7802" s="6" t="s">
        <v>64</v>
      </c>
      <c r="D7802" s="6" t="s">
        <v>375</v>
      </c>
      <c r="E7802" s="6" t="s">
        <v>435</v>
      </c>
      <c r="F7802" s="6" t="str">
        <f>IF($M7802="PADD I","PADD 1",IF($M7802="PADD II","PADD 2",IF($M7802="PADD III","PADD 3",IF($M7802="PADD IV","PADD 4",IF($M7802="PADD V","PADD 5","")))))</f>
        <v>PADD 5</v>
      </c>
      <c r="G7802" s="6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6" t="s">
        <v>39</v>
      </c>
      <c r="I7802" s="6" t="s">
        <v>94</v>
      </c>
      <c r="J7802" s="6" t="s">
        <v>394</v>
      </c>
      <c r="K7802" s="10">
        <v>5.8</v>
      </c>
      <c r="L7802" s="10">
        <v>20</v>
      </c>
      <c r="M7802" s="6" t="s">
        <v>436</v>
      </c>
      <c r="N7802" s="6">
        <f>IF(OR($G7802="FCC",$G7802="Hydrocracker",$G7802="Reformer"),IF(COUNTIFS($D:$D,$D7802,$A:$A,$A7802,$B:$B,$B7802,$G:$G,"CDU",$J:$J,"PLANNED")&gt;0,"tied","standalone"),"")</f>
        <v/>
      </c>
    </row>
    <row r="7803" spans="1:14">
      <c r="A7803" s="6">
        <v>2026</v>
      </c>
      <c r="B7803" s="6">
        <v>5</v>
      </c>
      <c r="C7803" s="6" t="s">
        <v>64</v>
      </c>
      <c r="D7803" s="6" t="s">
        <v>901</v>
      </c>
      <c r="E7803" s="6" t="s">
        <v>902</v>
      </c>
      <c r="F7803" s="6" t="str">
        <f>IF($M7803="PADD I","PADD 1",IF($M7803="PADD II","PADD 2",IF($M7803="PADD III","PADD 3",IF($M7803="PADD IV","PADD 4",IF($M7803="PADD V","PADD 5","")))))</f>
        <v>PADD 3</v>
      </c>
      <c r="G7803" s="6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6" t="s">
        <v>428</v>
      </c>
      <c r="I7803" s="6" t="s">
        <v>910</v>
      </c>
      <c r="J7803" s="6" t="s">
        <v>398</v>
      </c>
      <c r="K7803" s="10">
        <v>5.76</v>
      </c>
      <c r="L7803" s="10">
        <v>36</v>
      </c>
      <c r="M7803" s="6" t="s">
        <v>421</v>
      </c>
      <c r="N7803" s="6">
        <f>IF(OR($G7803="FCC",$G7803="Hydrocracker",$G7803="Reformer"),IF(COUNTIFS($D:$D,$D7803,$A:$A,$A7803,$B:$B,$B7803,$G:$G,"CDU",$J:$J,"PLANNED")&gt;0,"tied","standalone"),"")</f>
        <v/>
      </c>
    </row>
    <row r="7804" spans="1:14">
      <c r="A7804" s="6">
        <v>2026</v>
      </c>
      <c r="B7804" s="6">
        <v>5</v>
      </c>
      <c r="C7804" s="6" t="s">
        <v>64</v>
      </c>
      <c r="D7804" s="6" t="s">
        <v>720</v>
      </c>
      <c r="E7804" s="6" t="s">
        <v>455</v>
      </c>
      <c r="F7804" s="6" t="str">
        <f>IF($M7804="PADD I","PADD 1",IF($M7804="PADD II","PADD 2",IF($M7804="PADD III","PADD 3",IF($M7804="PADD IV","PADD 4",IF($M7804="PADD V","PADD 5","")))))</f>
        <v>PADD 2</v>
      </c>
      <c r="G7804" s="6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6" t="s">
        <v>471</v>
      </c>
      <c r="I7804" s="6" t="s">
        <v>240</v>
      </c>
      <c r="J7804" s="6" t="s">
        <v>394</v>
      </c>
      <c r="K7804" s="10">
        <v>5.76</v>
      </c>
      <c r="L7804" s="10">
        <v>36</v>
      </c>
      <c r="M7804" s="6" t="s">
        <v>425</v>
      </c>
      <c r="N7804" s="6" t="str">
        <f>IF(OR($G7804="FCC",$G7804="Hydrocracker",$G7804="Reformer"),IF(COUNTIFS($D:$D,$D7804,$A:$A,$A7804,$B:$B,$B7804,$G:$G,"CDU",$J:$J,"PLANNED")&gt;0,"tied","standalone"),"")</f>
        <v>standalone</v>
      </c>
    </row>
    <row r="7805" spans="1:14">
      <c r="A7805" s="6">
        <v>2026</v>
      </c>
      <c r="B7805" s="6">
        <v>5</v>
      </c>
      <c r="C7805" s="6" t="s">
        <v>64</v>
      </c>
      <c r="D7805" s="6" t="s">
        <v>696</v>
      </c>
      <c r="E7805" s="6" t="s">
        <v>455</v>
      </c>
      <c r="F7805" s="6" t="str">
        <f>IF($M7805="PADD I","PADD 1",IF($M7805="PADD II","PADD 2",IF($M7805="PADD III","PADD 3",IF($M7805="PADD IV","PADD 4",IF($M7805="PADD V","PADD 5","")))))</f>
        <v>PADD 3</v>
      </c>
      <c r="G7805" s="6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6" t="s">
        <v>44</v>
      </c>
      <c r="I7805" s="6" t="s">
        <v>1419</v>
      </c>
      <c r="J7805" s="6" t="s">
        <v>394</v>
      </c>
      <c r="K7805" s="10">
        <v>5.7</v>
      </c>
      <c r="L7805" s="10">
        <v>30</v>
      </c>
      <c r="M7805" s="6" t="s">
        <v>421</v>
      </c>
      <c r="N7805" s="6">
        <f>IF(OR($G7805="FCC",$G7805="Hydrocracker",$G7805="Reformer"),IF(COUNTIFS($D:$D,$D7805,$A:$A,$A7805,$B:$B,$B7805,$G:$G,"CDU",$J:$J,"PLANNED")&gt;0,"tied","standalone"),"")</f>
        <v/>
      </c>
    </row>
    <row r="7806" spans="1:14">
      <c r="A7806" s="6">
        <v>2026</v>
      </c>
      <c r="B7806" s="6">
        <v>5</v>
      </c>
      <c r="C7806" s="6" t="s">
        <v>64</v>
      </c>
      <c r="D7806" s="6" t="s">
        <v>915</v>
      </c>
      <c r="E7806" s="6" t="s">
        <v>419</v>
      </c>
      <c r="F7806" s="6" t="str">
        <f>IF($M7806="PADD I","PADD 1",IF($M7806="PADD II","PADD 2",IF($M7806="PADD III","PADD 3",IF($M7806="PADD IV","PADD 4",IF($M7806="PADD V","PADD 5","")))))</f>
        <v>PADD 4</v>
      </c>
      <c r="G7806" s="6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6" t="s">
        <v>426</v>
      </c>
      <c r="I7806" s="6" t="s">
        <v>1420</v>
      </c>
      <c r="J7806" s="6" t="s">
        <v>394</v>
      </c>
      <c r="K7806" s="10">
        <v>5.626</v>
      </c>
      <c r="L7806" s="10">
        <v>19.4</v>
      </c>
      <c r="M7806" s="6" t="s">
        <v>480</v>
      </c>
      <c r="N7806" s="6" t="str">
        <f>IF(OR($G7806="FCC",$G7806="Hydrocracker",$G7806="Reformer"),IF(COUNTIFS($D:$D,$D7806,$A:$A,$A7806,$B:$B,$B7806,$G:$G,"CDU",$J:$J,"PLANNED")&gt;0,"tied","standalone"),"")</f>
        <v>standalone</v>
      </c>
    </row>
    <row r="7807" spans="1:14">
      <c r="A7807" s="6">
        <v>2026</v>
      </c>
      <c r="B7807" s="6">
        <v>5</v>
      </c>
      <c r="C7807" s="6" t="s">
        <v>64</v>
      </c>
      <c r="D7807" s="6" t="s">
        <v>512</v>
      </c>
      <c r="E7807" s="6" t="s">
        <v>488</v>
      </c>
      <c r="F7807" s="6" t="str">
        <f>IF($M7807="PADD I","PADD 1",IF($M7807="PADD II","PADD 2",IF($M7807="PADD III","PADD 3",IF($M7807="PADD IV","PADD 4",IF($M7807="PADD V","PADD 5","")))))</f>
        <v>PADD 4</v>
      </c>
      <c r="G7807" s="6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6" t="s">
        <v>39</v>
      </c>
      <c r="I7807" s="6" t="s">
        <v>124</v>
      </c>
      <c r="J7807" s="6" t="s">
        <v>398</v>
      </c>
      <c r="K7807" s="10">
        <v>5.392</v>
      </c>
      <c r="L7807" s="10">
        <v>33.7</v>
      </c>
      <c r="M7807" s="6" t="s">
        <v>480</v>
      </c>
      <c r="N7807" s="6">
        <f>IF(OR($G7807="FCC",$G7807="Hydrocracker",$G7807="Reformer"),IF(COUNTIFS($D:$D,$D7807,$A:$A,$A7807,$B:$B,$B7807,$G:$G,"CDU",$J:$J,"PLANNED")&gt;0,"tied","standalone"),"")</f>
        <v/>
      </c>
    </row>
    <row r="7808" spans="1:14">
      <c r="A7808" s="6">
        <v>2026</v>
      </c>
      <c r="B7808" s="6">
        <v>5</v>
      </c>
      <c r="C7808" s="6" t="s">
        <v>64</v>
      </c>
      <c r="D7808" s="6" t="s">
        <v>512</v>
      </c>
      <c r="E7808" s="6" t="s">
        <v>488</v>
      </c>
      <c r="F7808" s="6" t="str">
        <f>IF($M7808="PADD I","PADD 1",IF($M7808="PADD II","PADD 2",IF($M7808="PADD III","PADD 3",IF($M7808="PADD IV","PADD 4",IF($M7808="PADD V","PADD 5","")))))</f>
        <v>PADD 4</v>
      </c>
      <c r="G7808" s="6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6" t="s">
        <v>426</v>
      </c>
      <c r="I7808" s="6" t="s">
        <v>106</v>
      </c>
      <c r="J7808" s="6" t="s">
        <v>398</v>
      </c>
      <c r="K7808" s="10">
        <v>5.377</v>
      </c>
      <c r="L7808" s="10">
        <v>28.3</v>
      </c>
      <c r="M7808" s="6" t="s">
        <v>480</v>
      </c>
      <c r="N7808" s="6" t="str">
        <f>IF(OR($G7808="FCC",$G7808="Hydrocracker",$G7808="Reformer"),IF(COUNTIFS($D:$D,$D7808,$A:$A,$A7808,$B:$B,$B7808,$G:$G,"CDU",$J:$J,"PLANNED")&gt;0,"tied","standalone"),"")</f>
        <v>tied</v>
      </c>
    </row>
    <row r="7809" spans="1:14">
      <c r="A7809" s="6">
        <v>2026</v>
      </c>
      <c r="B7809" s="6">
        <v>5</v>
      </c>
      <c r="C7809" s="6" t="s">
        <v>64</v>
      </c>
      <c r="D7809" s="6" t="s">
        <v>652</v>
      </c>
      <c r="E7809" s="6" t="s">
        <v>419</v>
      </c>
      <c r="F7809" s="6" t="str">
        <f>IF($M7809="PADD I","PADD 1",IF($M7809="PADD II","PADD 2",IF($M7809="PADD III","PADD 3",IF($M7809="PADD IV","PADD 4",IF($M7809="PADD V","PADD 5","")))))</f>
        <v>PADD 2</v>
      </c>
      <c r="G7809" s="6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6" t="s">
        <v>485</v>
      </c>
      <c r="I7809" s="6" t="s">
        <v>491</v>
      </c>
      <c r="J7809" s="6" t="s">
        <v>394</v>
      </c>
      <c r="K7809" s="10">
        <v>5.313</v>
      </c>
      <c r="L7809" s="10">
        <v>23.1</v>
      </c>
      <c r="M7809" s="6" t="s">
        <v>425</v>
      </c>
      <c r="N7809" s="6">
        <f>IF(OR($G7809="FCC",$G7809="Hydrocracker",$G7809="Reformer"),IF(COUNTIFS($D:$D,$D7809,$A:$A,$A7809,$B:$B,$B7809,$G:$G,"CDU",$J:$J,"PLANNED")&gt;0,"tied","standalone"),"")</f>
        <v/>
      </c>
    </row>
    <row r="7810" spans="1:14">
      <c r="A7810" s="6">
        <v>2026</v>
      </c>
      <c r="B7810" s="6">
        <v>5</v>
      </c>
      <c r="C7810" s="6" t="s">
        <v>64</v>
      </c>
      <c r="D7810" s="6" t="s">
        <v>1093</v>
      </c>
      <c r="E7810" s="6" t="s">
        <v>438</v>
      </c>
      <c r="F7810" s="6" t="str">
        <f>IF($M7810="PADD I","PADD 1",IF($M7810="PADD II","PADD 2",IF($M7810="PADD III","PADD 3",IF($M7810="PADD IV","PADD 4",IF($M7810="PADD V","PADD 5","")))))</f>
        <v>PADD 2</v>
      </c>
      <c r="G7810" s="6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6" t="s">
        <v>44</v>
      </c>
      <c r="I7810" s="6" t="s">
        <v>1106</v>
      </c>
      <c r="J7810" s="6" t="s">
        <v>398</v>
      </c>
      <c r="K7810" s="10">
        <v>5.25</v>
      </c>
      <c r="L7810" s="10">
        <v>15</v>
      </c>
      <c r="M7810" s="6" t="s">
        <v>425</v>
      </c>
      <c r="N7810" s="6">
        <f>IF(OR($G7810="FCC",$G7810="Hydrocracker",$G7810="Reformer"),IF(COUNTIFS($D:$D,$D7810,$A:$A,$A7810,$B:$B,$B7810,$G:$G,"CDU",$J:$J,"PLANNED")&gt;0,"tied","standalone"),"")</f>
        <v/>
      </c>
    </row>
    <row r="7811" spans="1:14">
      <c r="A7811" s="6">
        <v>2026</v>
      </c>
      <c r="B7811" s="6">
        <v>5</v>
      </c>
      <c r="C7811" s="6" t="s">
        <v>64</v>
      </c>
      <c r="D7811" s="6" t="s">
        <v>370</v>
      </c>
      <c r="E7811" s="6" t="s">
        <v>431</v>
      </c>
      <c r="F7811" s="6" t="str">
        <f>IF($M7811="PADD I","PADD 1",IF($M7811="PADD II","PADD 2",IF($M7811="PADD III","PADD 3",IF($M7811="PADD IV","PADD 4",IF($M7811="PADD V","PADD 5","")))))</f>
        <v>PADD 2</v>
      </c>
      <c r="G7811" s="6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6" t="s">
        <v>471</v>
      </c>
      <c r="I7811" s="6" t="s">
        <v>240</v>
      </c>
      <c r="J7811" s="6" t="s">
        <v>394</v>
      </c>
      <c r="K7811" s="10">
        <v>5.25</v>
      </c>
      <c r="L7811" s="10">
        <v>15</v>
      </c>
      <c r="M7811" s="6" t="s">
        <v>425</v>
      </c>
      <c r="N7811" s="6" t="str">
        <f>IF(OR($G7811="FCC",$G7811="Hydrocracker",$G7811="Reformer"),IF(COUNTIFS($D:$D,$D7811,$A:$A,$A7811,$B:$B,$B7811,$G:$G,"CDU",$J:$J,"PLANNED")&gt;0,"tied","standalone"),"")</f>
        <v>standalone</v>
      </c>
    </row>
    <row r="7812" spans="1:14">
      <c r="A7812" s="6">
        <v>2026</v>
      </c>
      <c r="B7812" s="6">
        <v>5</v>
      </c>
      <c r="C7812" s="6" t="s">
        <v>64</v>
      </c>
      <c r="D7812" s="6" t="s">
        <v>370</v>
      </c>
      <c r="E7812" s="6" t="s">
        <v>431</v>
      </c>
      <c r="F7812" s="6" t="str">
        <f>IF($M7812="PADD I","PADD 1",IF($M7812="PADD II","PADD 2",IF($M7812="PADD III","PADD 3",IF($M7812="PADD IV","PADD 4",IF($M7812="PADD V","PADD 5","")))))</f>
        <v>PADD 2</v>
      </c>
      <c r="G7812" s="6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6" t="s">
        <v>471</v>
      </c>
      <c r="I7812" s="6" t="s">
        <v>240</v>
      </c>
      <c r="J7812" s="6" t="s">
        <v>394</v>
      </c>
      <c r="K7812" s="10">
        <v>5.2</v>
      </c>
      <c r="L7812" s="10">
        <v>20</v>
      </c>
      <c r="M7812" s="6" t="s">
        <v>425</v>
      </c>
      <c r="N7812" s="6" t="str">
        <f>IF(OR($G7812="FCC",$G7812="Hydrocracker",$G7812="Reformer"),IF(COUNTIFS($D:$D,$D7812,$A:$A,$A7812,$B:$B,$B7812,$G:$G,"CDU",$J:$J,"PLANNED")&gt;0,"tied","standalone"),"")</f>
        <v>standalone</v>
      </c>
    </row>
    <row r="7813" spans="1:14">
      <c r="A7813" s="6">
        <v>2026</v>
      </c>
      <c r="B7813" s="6">
        <v>5</v>
      </c>
      <c r="C7813" s="6" t="s">
        <v>64</v>
      </c>
      <c r="D7813" s="6" t="s">
        <v>377</v>
      </c>
      <c r="E7813" s="6" t="s">
        <v>466</v>
      </c>
      <c r="F7813" s="6" t="str">
        <f>IF($M7813="PADD I","PADD 1",IF($M7813="PADD II","PADD 2",IF($M7813="PADD III","PADD 3",IF($M7813="PADD IV","PADD 4",IF($M7813="PADD V","PADD 5","")))))</f>
        <v>PADD 2</v>
      </c>
      <c r="G7813" s="6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6" t="s">
        <v>510</v>
      </c>
      <c r="I7813" s="6" t="s">
        <v>1413</v>
      </c>
      <c r="J7813" s="6" t="s">
        <v>398</v>
      </c>
      <c r="K7813" s="10">
        <v>5.184</v>
      </c>
      <c r="L7813" s="10">
        <v>16.2</v>
      </c>
      <c r="M7813" s="6" t="s">
        <v>425</v>
      </c>
      <c r="N7813" s="6">
        <f>IF(OR($G7813="FCC",$G7813="Hydrocracker",$G7813="Reformer"),IF(COUNTIFS($D:$D,$D7813,$A:$A,$A7813,$B:$B,$B7813,$G:$G,"CDU",$J:$J,"PLANNED")&gt;0,"tied","standalone"),"")</f>
        <v/>
      </c>
    </row>
    <row r="7814" spans="1:14">
      <c r="A7814" s="6">
        <v>2026</v>
      </c>
      <c r="B7814" s="6">
        <v>5</v>
      </c>
      <c r="C7814" s="6" t="s">
        <v>64</v>
      </c>
      <c r="D7814" s="6" t="s">
        <v>984</v>
      </c>
      <c r="E7814" s="6" t="s">
        <v>438</v>
      </c>
      <c r="F7814" s="6" t="str">
        <f>IF($M7814="PADD I","PADD 1",IF($M7814="PADD II","PADD 2",IF($M7814="PADD III","PADD 3",IF($M7814="PADD IV","PADD 4",IF($M7814="PADD V","PADD 5","")))))</f>
        <v>PADD 3</v>
      </c>
      <c r="G7814" s="6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6" t="s">
        <v>428</v>
      </c>
      <c r="I7814" s="6" t="s">
        <v>1014</v>
      </c>
      <c r="J7814" s="6" t="s">
        <v>398</v>
      </c>
      <c r="K7814" s="10">
        <v>4.93</v>
      </c>
      <c r="L7814" s="10">
        <v>17</v>
      </c>
      <c r="M7814" s="6" t="s">
        <v>421</v>
      </c>
      <c r="N7814" s="6">
        <f>IF(OR($G7814="FCC",$G7814="Hydrocracker",$G7814="Reformer"),IF(COUNTIFS($D:$D,$D7814,$A:$A,$A7814,$B:$B,$B7814,$G:$G,"CDU",$J:$J,"PLANNED")&gt;0,"tied","standalone"),"")</f>
        <v/>
      </c>
    </row>
    <row r="7815" spans="1:14">
      <c r="A7815" s="6">
        <v>2026</v>
      </c>
      <c r="B7815" s="6">
        <v>5</v>
      </c>
      <c r="C7815" s="6" t="s">
        <v>64</v>
      </c>
      <c r="D7815" s="6" t="s">
        <v>764</v>
      </c>
      <c r="E7815" s="6" t="s">
        <v>455</v>
      </c>
      <c r="F7815" s="6" t="str">
        <f>IF($M7815="PADD I","PADD 1",IF($M7815="PADD II","PADD 2",IF($M7815="PADD III","PADD 3",IF($M7815="PADD IV","PADD 4",IF($M7815="PADD V","PADD 5","")))))</f>
        <v>PADD 3</v>
      </c>
      <c r="G7815" s="6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6" t="s">
        <v>494</v>
      </c>
      <c r="I7815" s="6" t="s">
        <v>14</v>
      </c>
      <c r="J7815" s="6" t="s">
        <v>394</v>
      </c>
      <c r="K7815" s="10">
        <v>4.72</v>
      </c>
      <c r="L7815" s="10">
        <v>29.5</v>
      </c>
      <c r="M7815" s="6" t="s">
        <v>421</v>
      </c>
      <c r="N7815" s="6" t="str">
        <f>IF(OR($G7815="FCC",$G7815="Hydrocracker",$G7815="Reformer"),IF(COUNTIFS($D:$D,$D7815,$A:$A,$A7815,$B:$B,$B7815,$G:$G,"CDU",$J:$J,"PLANNED")&gt;0,"tied","standalone"),"")</f>
        <v>standalone</v>
      </c>
    </row>
    <row r="7816" spans="1:14">
      <c r="A7816" s="6">
        <v>2026</v>
      </c>
      <c r="B7816" s="6">
        <v>5</v>
      </c>
      <c r="C7816" s="6" t="s">
        <v>64</v>
      </c>
      <c r="D7816" s="6" t="s">
        <v>696</v>
      </c>
      <c r="E7816" s="6" t="s">
        <v>455</v>
      </c>
      <c r="F7816" s="6" t="str">
        <f>IF($M7816="PADD I","PADD 1",IF($M7816="PADD II","PADD 2",IF($M7816="PADD III","PADD 3",IF($M7816="PADD IV","PADD 4",IF($M7816="PADD V","PADD 5","")))))</f>
        <v>PADD 3</v>
      </c>
      <c r="G7816" s="6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6" t="s">
        <v>485</v>
      </c>
      <c r="I7816" s="6" t="s">
        <v>491</v>
      </c>
      <c r="J7816" s="6" t="s">
        <v>394</v>
      </c>
      <c r="K7816" s="10">
        <v>4.68</v>
      </c>
      <c r="L7816" s="10">
        <v>18</v>
      </c>
      <c r="M7816" s="6" t="s">
        <v>421</v>
      </c>
      <c r="N7816" s="6">
        <f>IF(OR($G7816="FCC",$G7816="Hydrocracker",$G7816="Reformer"),IF(COUNTIFS($D:$D,$D7816,$A:$A,$A7816,$B:$B,$B7816,$G:$G,"CDU",$J:$J,"PLANNED")&gt;0,"tied","standalone"),"")</f>
        <v/>
      </c>
    </row>
    <row r="7817" spans="1:14">
      <c r="A7817" s="6">
        <v>2026</v>
      </c>
      <c r="B7817" s="6">
        <v>5</v>
      </c>
      <c r="C7817" s="6" t="s">
        <v>64</v>
      </c>
      <c r="D7817" s="6" t="s">
        <v>764</v>
      </c>
      <c r="E7817" s="6" t="s">
        <v>455</v>
      </c>
      <c r="F7817" s="6" t="str">
        <f>IF($M7817="PADD I","PADD 1",IF($M7817="PADD II","PADD 2",IF($M7817="PADD III","PADD 3",IF($M7817="PADD IV","PADD 4",IF($M7817="PADD V","PADD 5","")))))</f>
        <v>PADD 3</v>
      </c>
      <c r="G7817" s="6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6" t="s">
        <v>471</v>
      </c>
      <c r="I7817" s="6" t="s">
        <v>914</v>
      </c>
      <c r="J7817" s="6" t="s">
        <v>394</v>
      </c>
      <c r="K7817" s="10">
        <v>4.624</v>
      </c>
      <c r="L7817" s="10">
        <v>28.9</v>
      </c>
      <c r="M7817" s="6" t="s">
        <v>421</v>
      </c>
      <c r="N7817" s="6" t="str">
        <f>IF(OR($G7817="FCC",$G7817="Hydrocracker",$G7817="Reformer"),IF(COUNTIFS($D:$D,$D7817,$A:$A,$A7817,$B:$B,$B7817,$G:$G,"CDU",$J:$J,"PLANNED")&gt;0,"tied","standalone"),"")</f>
        <v>standalone</v>
      </c>
    </row>
    <row r="7818" spans="1:14">
      <c r="A7818" s="6">
        <v>2026</v>
      </c>
      <c r="B7818" s="6">
        <v>5</v>
      </c>
      <c r="C7818" s="6" t="s">
        <v>64</v>
      </c>
      <c r="D7818" s="6" t="s">
        <v>487</v>
      </c>
      <c r="E7818" s="6" t="s">
        <v>488</v>
      </c>
      <c r="F7818" s="6" t="str">
        <f>IF($M7818="PADD I","PADD 1",IF($M7818="PADD II","PADD 2",IF($M7818="PADD III","PADD 3",IF($M7818="PADD IV","PADD 4",IF($M7818="PADD V","PADD 5","")))))</f>
        <v>PADD 4</v>
      </c>
      <c r="G7818" s="6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6" t="s">
        <v>428</v>
      </c>
      <c r="I7818" s="6" t="s">
        <v>544</v>
      </c>
      <c r="J7818" s="6" t="s">
        <v>394</v>
      </c>
      <c r="K7818" s="10">
        <v>4.6</v>
      </c>
      <c r="L7818" s="10">
        <v>20</v>
      </c>
      <c r="M7818" s="6" t="s">
        <v>480</v>
      </c>
      <c r="N7818" s="6">
        <f>IF(OR($G7818="FCC",$G7818="Hydrocracker",$G7818="Reformer"),IF(COUNTIFS($D:$D,$D7818,$A:$A,$A7818,$B:$B,$B7818,$G:$G,"CDU",$J:$J,"PLANNED")&gt;0,"tied","standalone"),"")</f>
        <v/>
      </c>
    </row>
    <row r="7819" spans="1:14">
      <c r="A7819" s="6">
        <v>2026</v>
      </c>
      <c r="B7819" s="6">
        <v>5</v>
      </c>
      <c r="C7819" s="6" t="s">
        <v>64</v>
      </c>
      <c r="D7819" s="6" t="s">
        <v>1373</v>
      </c>
      <c r="E7819" s="6" t="s">
        <v>419</v>
      </c>
      <c r="F7819" s="6" t="str">
        <f>IF($M7819="PADD I","PADD 1",IF($M7819="PADD II","PADD 2",IF($M7819="PADD III","PADD 3",IF($M7819="PADD IV","PADD 4",IF($M7819="PADD V","PADD 5","")))))</f>
        <v>PADD 5</v>
      </c>
      <c r="G7819" s="6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6" t="s">
        <v>426</v>
      </c>
      <c r="I7819" s="6" t="s">
        <v>106</v>
      </c>
      <c r="J7819" s="6" t="s">
        <v>394</v>
      </c>
      <c r="K7819" s="10">
        <v>4.55</v>
      </c>
      <c r="L7819" s="10">
        <v>35</v>
      </c>
      <c r="M7819" s="6" t="s">
        <v>436</v>
      </c>
      <c r="N7819" s="6" t="str">
        <f>IF(OR($G7819="FCC",$G7819="Hydrocracker",$G7819="Reformer"),IF(COUNTIFS($D:$D,$D7819,$A:$A,$A7819,$B:$B,$B7819,$G:$G,"CDU",$J:$J,"PLANNED")&gt;0,"tied","standalone"),"")</f>
        <v>standalone</v>
      </c>
    </row>
    <row r="7820" spans="1:14">
      <c r="A7820" s="6">
        <v>2026</v>
      </c>
      <c r="B7820" s="6">
        <v>5</v>
      </c>
      <c r="C7820" s="6" t="s">
        <v>64</v>
      </c>
      <c r="D7820" s="6" t="s">
        <v>576</v>
      </c>
      <c r="E7820" s="6" t="s">
        <v>455</v>
      </c>
      <c r="F7820" s="6" t="str">
        <f>IF($M7820="PADD I","PADD 1",IF($M7820="PADD II","PADD 2",IF($M7820="PADD III","PADD 3",IF($M7820="PADD IV","PADD 4",IF($M7820="PADD V","PADD 5","")))))</f>
        <v>PADD 3</v>
      </c>
      <c r="G7820" s="6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6" t="s">
        <v>485</v>
      </c>
      <c r="I7820" s="6" t="s">
        <v>736</v>
      </c>
      <c r="J7820" s="6" t="s">
        <v>394</v>
      </c>
      <c r="K7820" s="10">
        <v>4.55</v>
      </c>
      <c r="L7820" s="10">
        <v>17.5</v>
      </c>
      <c r="M7820" s="6" t="s">
        <v>421</v>
      </c>
      <c r="N7820" s="6">
        <f>IF(OR($G7820="FCC",$G7820="Hydrocracker",$G7820="Reformer"),IF(COUNTIFS($D:$D,$D7820,$A:$A,$A7820,$B:$B,$B7820,$G:$G,"CDU",$J:$J,"PLANNED")&gt;0,"tied","standalone"),"")</f>
        <v/>
      </c>
    </row>
    <row r="7821" spans="1:14">
      <c r="A7821" s="6">
        <v>2026</v>
      </c>
      <c r="B7821" s="6">
        <v>5</v>
      </c>
      <c r="C7821" s="6" t="s">
        <v>64</v>
      </c>
      <c r="D7821" s="6" t="s">
        <v>576</v>
      </c>
      <c r="E7821" s="6" t="s">
        <v>455</v>
      </c>
      <c r="F7821" s="6" t="str">
        <f>IF($M7821="PADD I","PADD 1",IF($M7821="PADD II","PADD 2",IF($M7821="PADD III","PADD 3",IF($M7821="PADD IV","PADD 4",IF($M7821="PADD V","PADD 5","")))))</f>
        <v>PADD 3</v>
      </c>
      <c r="G7821" s="6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6" t="s">
        <v>426</v>
      </c>
      <c r="I7821" s="6" t="s">
        <v>393</v>
      </c>
      <c r="J7821" s="6" t="s">
        <v>394</v>
      </c>
      <c r="K7821" s="10">
        <v>4.5</v>
      </c>
      <c r="L7821" s="10">
        <v>75</v>
      </c>
      <c r="M7821" s="6" t="s">
        <v>421</v>
      </c>
      <c r="N7821" s="6" t="str">
        <f>IF(OR($G7821="FCC",$G7821="Hydrocracker",$G7821="Reformer"),IF(COUNTIFS($D:$D,$D7821,$A:$A,$A7821,$B:$B,$B7821,$G:$G,"CDU",$J:$J,"PLANNED")&gt;0,"tied","standalone"),"")</f>
        <v>standalone</v>
      </c>
    </row>
    <row r="7822" spans="1:14">
      <c r="A7822" s="6">
        <v>2026</v>
      </c>
      <c r="B7822" s="6">
        <v>5</v>
      </c>
      <c r="C7822" s="6" t="s">
        <v>64</v>
      </c>
      <c r="D7822" s="6" t="s">
        <v>370</v>
      </c>
      <c r="E7822" s="6" t="s">
        <v>431</v>
      </c>
      <c r="F7822" s="6" t="str">
        <f>IF($M7822="PADD I","PADD 1",IF($M7822="PADD II","PADD 2",IF($M7822="PADD III","PADD 3",IF($M7822="PADD IV","PADD 4",IF($M7822="PADD V","PADD 5","")))))</f>
        <v>PADD 2</v>
      </c>
      <c r="G7822" s="6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6" t="s">
        <v>426</v>
      </c>
      <c r="I7822" s="6" t="s">
        <v>106</v>
      </c>
      <c r="J7822" s="6" t="s">
        <v>394</v>
      </c>
      <c r="K7822" s="10">
        <v>4.5</v>
      </c>
      <c r="L7822" s="10">
        <v>10</v>
      </c>
      <c r="M7822" s="6" t="s">
        <v>425</v>
      </c>
      <c r="N7822" s="6" t="str">
        <f>IF(OR($G7822="FCC",$G7822="Hydrocracker",$G7822="Reformer"),IF(COUNTIFS($D:$D,$D7822,$A:$A,$A7822,$B:$B,$B7822,$G:$G,"CDU",$J:$J,"PLANNED")&gt;0,"tied","standalone"),"")</f>
        <v>standalone</v>
      </c>
    </row>
    <row r="7823" spans="1:14">
      <c r="A7823" s="6">
        <v>2026</v>
      </c>
      <c r="B7823" s="6">
        <v>5</v>
      </c>
      <c r="C7823" s="6" t="s">
        <v>64</v>
      </c>
      <c r="D7823" s="6" t="s">
        <v>49</v>
      </c>
      <c r="E7823" s="6" t="s">
        <v>438</v>
      </c>
      <c r="F7823" s="6" t="str">
        <f>IF($M7823="PADD I","PADD 1",IF($M7823="PADD II","PADD 2",IF($M7823="PADD III","PADD 3",IF($M7823="PADD IV","PADD 4",IF($M7823="PADD V","PADD 5","")))))</f>
        <v>PADD 2</v>
      </c>
      <c r="G7823" s="6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6" t="s">
        <v>618</v>
      </c>
      <c r="I7823" s="6" t="s">
        <v>654</v>
      </c>
      <c r="J7823" s="6" t="s">
        <v>398</v>
      </c>
      <c r="K7823" s="10">
        <v>4.263</v>
      </c>
      <c r="L7823" s="10">
        <v>14.7</v>
      </c>
      <c r="M7823" s="6" t="s">
        <v>425</v>
      </c>
      <c r="N7823" s="6">
        <f>IF(OR($G7823="FCC",$G7823="Hydrocracker",$G7823="Reformer"),IF(COUNTIFS($D:$D,$D7823,$A:$A,$A7823,$B:$B,$B7823,$G:$G,"CDU",$J:$J,"PLANNED")&gt;0,"tied","standalone"),"")</f>
        <v/>
      </c>
    </row>
    <row r="7824" spans="1:14">
      <c r="A7824" s="6">
        <v>2026</v>
      </c>
      <c r="B7824" s="6">
        <v>5</v>
      </c>
      <c r="C7824" s="6" t="s">
        <v>64</v>
      </c>
      <c r="D7824" s="6" t="s">
        <v>479</v>
      </c>
      <c r="E7824" s="6" t="s">
        <v>438</v>
      </c>
      <c r="F7824" s="6" t="str">
        <f>IF($M7824="PADD I","PADD 1",IF($M7824="PADD II","PADD 2",IF($M7824="PADD III","PADD 3",IF($M7824="PADD IV","PADD 4",IF($M7824="PADD V","PADD 5","")))))</f>
        <v>PADD 4</v>
      </c>
      <c r="G7824" s="6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6" t="s">
        <v>426</v>
      </c>
      <c r="I7824" s="6" t="s">
        <v>106</v>
      </c>
      <c r="J7824" s="6" t="s">
        <v>394</v>
      </c>
      <c r="K7824" s="10">
        <v>4.224</v>
      </c>
      <c r="L7824" s="10">
        <v>26.4</v>
      </c>
      <c r="M7824" s="6" t="s">
        <v>480</v>
      </c>
      <c r="N7824" s="6" t="str">
        <f>IF(OR($G7824="FCC",$G7824="Hydrocracker",$G7824="Reformer"),IF(COUNTIFS($D:$D,$D7824,$A:$A,$A7824,$B:$B,$B7824,$G:$G,"CDU",$J:$J,"PLANNED")&gt;0,"tied","standalone"),"")</f>
        <v>standalone</v>
      </c>
    </row>
    <row r="7825" spans="1:14">
      <c r="A7825" s="6">
        <v>2026</v>
      </c>
      <c r="B7825" s="6">
        <v>5</v>
      </c>
      <c r="C7825" s="6" t="s">
        <v>64</v>
      </c>
      <c r="D7825" s="6" t="s">
        <v>1373</v>
      </c>
      <c r="E7825" s="6" t="s">
        <v>419</v>
      </c>
      <c r="F7825" s="6" t="str">
        <f>IF($M7825="PADD I","PADD 1",IF($M7825="PADD II","PADD 2",IF($M7825="PADD III","PADD 3",IF($M7825="PADD IV","PADD 4",IF($M7825="PADD V","PADD 5","")))))</f>
        <v>PADD 5</v>
      </c>
      <c r="G7825" s="6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6" t="s">
        <v>44</v>
      </c>
      <c r="I7825" s="6" t="s">
        <v>861</v>
      </c>
      <c r="J7825" s="6" t="s">
        <v>394</v>
      </c>
      <c r="K7825" s="10">
        <v>4.16</v>
      </c>
      <c r="L7825" s="10">
        <v>32</v>
      </c>
      <c r="M7825" s="6" t="s">
        <v>436</v>
      </c>
      <c r="N7825" s="6">
        <f>IF(OR($G7825="FCC",$G7825="Hydrocracker",$G7825="Reformer"),IF(COUNTIFS($D:$D,$D7825,$A:$A,$A7825,$B:$B,$B7825,$G:$G,"CDU",$J:$J,"PLANNED")&gt;0,"tied","standalone"),"")</f>
        <v/>
      </c>
    </row>
    <row r="7826" spans="1:14">
      <c r="A7826" s="6">
        <v>2026</v>
      </c>
      <c r="B7826" s="6">
        <v>5</v>
      </c>
      <c r="C7826" s="6" t="s">
        <v>64</v>
      </c>
      <c r="D7826" s="6" t="s">
        <v>928</v>
      </c>
      <c r="E7826" s="6" t="s">
        <v>502</v>
      </c>
      <c r="F7826" s="6" t="str">
        <f>IF($M7826="PADD I","PADD 1",IF($M7826="PADD II","PADD 2",IF($M7826="PADD III","PADD 3",IF($M7826="PADD IV","PADD 4",IF($M7826="PADD V","PADD 5","")))))</f>
        <v>PADD 2</v>
      </c>
      <c r="G7826" s="6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6" t="s">
        <v>485</v>
      </c>
      <c r="I7826" s="6" t="s">
        <v>491</v>
      </c>
      <c r="J7826" s="6" t="s">
        <v>394</v>
      </c>
      <c r="K7826" s="10">
        <v>4.08</v>
      </c>
      <c r="L7826" s="10">
        <v>8.5</v>
      </c>
      <c r="M7826" s="6" t="s">
        <v>425</v>
      </c>
      <c r="N7826" s="6">
        <f>IF(OR($G7826="FCC",$G7826="Hydrocracker",$G7826="Reformer"),IF(COUNTIFS($D:$D,$D7826,$A:$A,$A7826,$B:$B,$B7826,$G:$G,"CDU",$J:$J,"PLANNED")&gt;0,"tied","standalone"),"")</f>
        <v/>
      </c>
    </row>
    <row r="7827" spans="1:14">
      <c r="A7827" s="6">
        <v>2026</v>
      </c>
      <c r="B7827" s="6">
        <v>5</v>
      </c>
      <c r="C7827" s="6" t="s">
        <v>64</v>
      </c>
      <c r="D7827" s="6" t="s">
        <v>712</v>
      </c>
      <c r="E7827" s="6" t="s">
        <v>602</v>
      </c>
      <c r="F7827" s="6" t="str">
        <f>IF($M7827="PADD I","PADD 1",IF($M7827="PADD II","PADD 2",IF($M7827="PADD III","PADD 3",IF($M7827="PADD IV","PADD 4",IF($M7827="PADD V","PADD 5","")))))</f>
        <v>PADD 3</v>
      </c>
      <c r="G7827" s="6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6" t="s">
        <v>426</v>
      </c>
      <c r="I7827" s="6" t="s">
        <v>106</v>
      </c>
      <c r="J7827" s="6" t="s">
        <v>394</v>
      </c>
      <c r="K7827" s="10">
        <v>4</v>
      </c>
      <c r="L7827" s="10">
        <v>25</v>
      </c>
      <c r="M7827" s="6" t="s">
        <v>421</v>
      </c>
      <c r="N7827" s="6" t="str">
        <f>IF(OR($G7827="FCC",$G7827="Hydrocracker",$G7827="Reformer"),IF(COUNTIFS($D:$D,$D7827,$A:$A,$A7827,$B:$B,$B7827,$G:$G,"CDU",$J:$J,"PLANNED")&gt;0,"tied","standalone"),"")</f>
        <v>standalone</v>
      </c>
    </row>
    <row r="7828" spans="1:14">
      <c r="A7828" s="6">
        <v>2026</v>
      </c>
      <c r="B7828" s="6">
        <v>5</v>
      </c>
      <c r="C7828" s="6" t="s">
        <v>64</v>
      </c>
      <c r="D7828" s="6" t="s">
        <v>479</v>
      </c>
      <c r="E7828" s="6" t="s">
        <v>438</v>
      </c>
      <c r="F7828" s="6" t="str">
        <f>IF($M7828="PADD I","PADD 1",IF($M7828="PADD II","PADD 2",IF($M7828="PADD III","PADD 3",IF($M7828="PADD IV","PADD 4",IF($M7828="PADD V","PADD 5","")))))</f>
        <v>PADD 4</v>
      </c>
      <c r="G7828" s="6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6" t="s">
        <v>44</v>
      </c>
      <c r="I7828" s="6" t="s">
        <v>564</v>
      </c>
      <c r="J7828" s="6" t="s">
        <v>394</v>
      </c>
      <c r="K7828" s="10">
        <v>3.933</v>
      </c>
      <c r="L7828" s="10">
        <v>17.1</v>
      </c>
      <c r="M7828" s="6" t="s">
        <v>480</v>
      </c>
      <c r="N7828" s="6">
        <f>IF(OR($G7828="FCC",$G7828="Hydrocracker",$G7828="Reformer"),IF(COUNTIFS($D:$D,$D7828,$A:$A,$A7828,$B:$B,$B7828,$G:$G,"CDU",$J:$J,"PLANNED")&gt;0,"tied","standalone"),"")</f>
        <v/>
      </c>
    </row>
    <row r="7829" spans="1:14">
      <c r="A7829" s="6">
        <v>2026</v>
      </c>
      <c r="B7829" s="6">
        <v>5</v>
      </c>
      <c r="C7829" s="6" t="s">
        <v>64</v>
      </c>
      <c r="D7829" s="6" t="s">
        <v>370</v>
      </c>
      <c r="E7829" s="6" t="s">
        <v>431</v>
      </c>
      <c r="F7829" s="6" t="str">
        <f>IF($M7829="PADD I","PADD 1",IF($M7829="PADD II","PADD 2",IF($M7829="PADD III","PADD 3",IF($M7829="PADD IV","PADD 4",IF($M7829="PADD V","PADD 5","")))))</f>
        <v>PADD 2</v>
      </c>
      <c r="G7829" s="6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6" t="s">
        <v>471</v>
      </c>
      <c r="I7829" s="6" t="s">
        <v>240</v>
      </c>
      <c r="J7829" s="6" t="s">
        <v>394</v>
      </c>
      <c r="K7829" s="10">
        <v>3.9</v>
      </c>
      <c r="L7829" s="10">
        <v>10</v>
      </c>
      <c r="M7829" s="6" t="s">
        <v>425</v>
      </c>
      <c r="N7829" s="6" t="str">
        <f>IF(OR($G7829="FCC",$G7829="Hydrocracker",$G7829="Reformer"),IF(COUNTIFS($D:$D,$D7829,$A:$A,$A7829,$B:$B,$B7829,$G:$G,"CDU",$J:$J,"PLANNED")&gt;0,"tied","standalone"),"")</f>
        <v>standalone</v>
      </c>
    </row>
    <row r="7830" spans="1:14">
      <c r="A7830" s="6">
        <v>2026</v>
      </c>
      <c r="B7830" s="6">
        <v>5</v>
      </c>
      <c r="C7830" s="6" t="s">
        <v>64</v>
      </c>
      <c r="D7830" s="6" t="s">
        <v>696</v>
      </c>
      <c r="E7830" s="6" t="s">
        <v>455</v>
      </c>
      <c r="F7830" s="6" t="str">
        <f>IF($M7830="PADD I","PADD 1",IF($M7830="PADD II","PADD 2",IF($M7830="PADD III","PADD 3",IF($M7830="PADD IV","PADD 4",IF($M7830="PADD V","PADD 5","")))))</f>
        <v>PADD 3</v>
      </c>
      <c r="G7830" s="6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6" t="s">
        <v>44</v>
      </c>
      <c r="I7830" s="6" t="s">
        <v>893</v>
      </c>
      <c r="J7830" s="6" t="s">
        <v>394</v>
      </c>
      <c r="K7830" s="10">
        <v>3.8</v>
      </c>
      <c r="L7830" s="10">
        <v>20</v>
      </c>
      <c r="M7830" s="6" t="s">
        <v>421</v>
      </c>
      <c r="N7830" s="6">
        <f>IF(OR($G7830="FCC",$G7830="Hydrocracker",$G7830="Reformer"),IF(COUNTIFS($D:$D,$D7830,$A:$A,$A7830,$B:$B,$B7830,$G:$G,"CDU",$J:$J,"PLANNED")&gt;0,"tied","standalone"),"")</f>
        <v/>
      </c>
    </row>
    <row r="7831" spans="1:14">
      <c r="A7831" s="6">
        <v>2026</v>
      </c>
      <c r="B7831" s="6">
        <v>5</v>
      </c>
      <c r="C7831" s="6" t="s">
        <v>64</v>
      </c>
      <c r="D7831" s="6" t="s">
        <v>440</v>
      </c>
      <c r="E7831" s="6" t="s">
        <v>441</v>
      </c>
      <c r="F7831" s="6" t="str">
        <f>IF($M7831="PADD I","PADD 1",IF($M7831="PADD II","PADD 2",IF($M7831="PADD III","PADD 3",IF($M7831="PADD IV","PADD 4",IF($M7831="PADD V","PADD 5","")))))</f>
        <v>PADD 3</v>
      </c>
      <c r="G7831" s="6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6" t="s">
        <v>494</v>
      </c>
      <c r="I7831" s="6" t="s">
        <v>1313</v>
      </c>
      <c r="J7831" s="6" t="s">
        <v>394</v>
      </c>
      <c r="K7831" s="10">
        <v>3.77</v>
      </c>
      <c r="L7831" s="10">
        <v>29</v>
      </c>
      <c r="M7831" s="6" t="s">
        <v>421</v>
      </c>
      <c r="N7831" s="6" t="str">
        <f>IF(OR($G7831="FCC",$G7831="Hydrocracker",$G7831="Reformer"),IF(COUNTIFS($D:$D,$D7831,$A:$A,$A7831,$B:$B,$B7831,$G:$G,"CDU",$J:$J,"PLANNED")&gt;0,"tied","standalone"),"")</f>
        <v>standalone</v>
      </c>
    </row>
    <row r="7832" spans="1:14">
      <c r="A7832" s="6">
        <v>2026</v>
      </c>
      <c r="B7832" s="6">
        <v>5</v>
      </c>
      <c r="C7832" s="6" t="s">
        <v>64</v>
      </c>
      <c r="D7832" s="6" t="s">
        <v>496</v>
      </c>
      <c r="E7832" s="6" t="s">
        <v>441</v>
      </c>
      <c r="F7832" s="6" t="str">
        <f>IF($M7832="PADD I","PADD 1",IF($M7832="PADD II","PADD 2",IF($M7832="PADD III","PADD 3",IF($M7832="PADD IV","PADD 4",IF($M7832="PADD V","PADD 5","")))))</f>
        <v>PADD 3</v>
      </c>
      <c r="G7832" s="6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6" t="s">
        <v>510</v>
      </c>
      <c r="I7832" s="6" t="s">
        <v>630</v>
      </c>
      <c r="J7832" s="6" t="s">
        <v>394</v>
      </c>
      <c r="K7832" s="10">
        <v>3.744</v>
      </c>
      <c r="L7832" s="10">
        <v>7.2</v>
      </c>
      <c r="M7832" s="6" t="s">
        <v>421</v>
      </c>
      <c r="N7832" s="6">
        <f>IF(OR($G7832="FCC",$G7832="Hydrocracker",$G7832="Reformer"),IF(COUNTIFS($D:$D,$D7832,$A:$A,$A7832,$B:$B,$B7832,$G:$G,"CDU",$J:$J,"PLANNED")&gt;0,"tied","standalone"),"")</f>
        <v/>
      </c>
    </row>
    <row r="7833" spans="1:14">
      <c r="A7833" s="6">
        <v>2026</v>
      </c>
      <c r="B7833" s="6">
        <v>5</v>
      </c>
      <c r="C7833" s="6" t="s">
        <v>64</v>
      </c>
      <c r="D7833" s="6" t="s">
        <v>792</v>
      </c>
      <c r="E7833" s="6" t="s">
        <v>438</v>
      </c>
      <c r="F7833" s="6" t="str">
        <f>IF($M7833="PADD I","PADD 1",IF($M7833="PADD II","PADD 2",IF($M7833="PADD III","PADD 3",IF($M7833="PADD IV","PADD 4",IF($M7833="PADD V","PADD 5","")))))</f>
        <v>PADD 5</v>
      </c>
      <c r="G7833" s="6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6" t="s">
        <v>618</v>
      </c>
      <c r="I7833" s="6" t="s">
        <v>818</v>
      </c>
      <c r="J7833" s="6" t="s">
        <v>398</v>
      </c>
      <c r="K7833" s="10">
        <v>3.5</v>
      </c>
      <c r="L7833" s="10">
        <v>3.5</v>
      </c>
      <c r="M7833" s="6" t="s">
        <v>436</v>
      </c>
      <c r="N7833" s="6">
        <f>IF(OR($G7833="FCC",$G7833="Hydrocracker",$G7833="Reformer"),IF(COUNTIFS($D:$D,$D7833,$A:$A,$A7833,$B:$B,$B7833,$G:$G,"CDU",$J:$J,"PLANNED")&gt;0,"tied","standalone"),"")</f>
        <v/>
      </c>
    </row>
    <row r="7834" spans="1:14">
      <c r="A7834" s="6">
        <v>2026</v>
      </c>
      <c r="B7834" s="6">
        <v>5</v>
      </c>
      <c r="C7834" s="6" t="s">
        <v>64</v>
      </c>
      <c r="D7834" s="6" t="s">
        <v>550</v>
      </c>
      <c r="E7834" s="6" t="s">
        <v>438</v>
      </c>
      <c r="F7834" s="6" t="str">
        <f>IF($M7834="PADD I","PADD 1",IF($M7834="PADD II","PADD 2",IF($M7834="PADD III","PADD 3",IF($M7834="PADD IV","PADD 4",IF($M7834="PADD V","PADD 5","")))))</f>
        <v>PADD 2</v>
      </c>
      <c r="G7834" s="6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6" t="s">
        <v>426</v>
      </c>
      <c r="I7834" s="6" t="s">
        <v>106</v>
      </c>
      <c r="J7834" s="6" t="s">
        <v>394</v>
      </c>
      <c r="K7834" s="10">
        <v>3.38</v>
      </c>
      <c r="L7834" s="10">
        <v>26</v>
      </c>
      <c r="M7834" s="6" t="s">
        <v>425</v>
      </c>
      <c r="N7834" s="6" t="str">
        <f>IF(OR($G7834="FCC",$G7834="Hydrocracker",$G7834="Reformer"),IF(COUNTIFS($D:$D,$D7834,$A:$A,$A7834,$B:$B,$B7834,$G:$G,"CDU",$J:$J,"PLANNED")&gt;0,"tied","standalone"),"")</f>
        <v>standalone</v>
      </c>
    </row>
    <row r="7835" spans="1:14">
      <c r="A7835" s="6">
        <v>2026</v>
      </c>
      <c r="B7835" s="6">
        <v>5</v>
      </c>
      <c r="C7835" s="6" t="s">
        <v>64</v>
      </c>
      <c r="D7835" s="6" t="s">
        <v>440</v>
      </c>
      <c r="E7835" s="6" t="s">
        <v>441</v>
      </c>
      <c r="F7835" s="6" t="str">
        <f>IF($M7835="PADD I","PADD 1",IF($M7835="PADD II","PADD 2",IF($M7835="PADD III","PADD 3",IF($M7835="PADD IV","PADD 4",IF($M7835="PADD V","PADD 5","")))))</f>
        <v>PADD 3</v>
      </c>
      <c r="G7835" s="6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6" t="s">
        <v>485</v>
      </c>
      <c r="I7835" s="6" t="s">
        <v>1187</v>
      </c>
      <c r="J7835" s="6" t="s">
        <v>394</v>
      </c>
      <c r="K7835" s="10">
        <v>3.15</v>
      </c>
      <c r="L7835" s="10">
        <v>105</v>
      </c>
      <c r="M7835" s="6" t="s">
        <v>421</v>
      </c>
      <c r="N7835" s="6">
        <f>IF(OR($G7835="FCC",$G7835="Hydrocracker",$G7835="Reformer"),IF(COUNTIFS($D:$D,$D7835,$A:$A,$A7835,$B:$B,$B7835,$G:$G,"CDU",$J:$J,"PLANNED")&gt;0,"tied","standalone"),"")</f>
        <v/>
      </c>
    </row>
    <row r="7836" spans="1:14">
      <c r="A7836" s="6">
        <v>2026</v>
      </c>
      <c r="B7836" s="6">
        <v>5</v>
      </c>
      <c r="C7836" s="6" t="s">
        <v>64</v>
      </c>
      <c r="D7836" s="6" t="s">
        <v>581</v>
      </c>
      <c r="E7836" s="6" t="s">
        <v>582</v>
      </c>
      <c r="F7836" s="6" t="str">
        <f>IF($M7836="PADD I","PADD 1",IF($M7836="PADD II","PADD 2",IF($M7836="PADD III","PADD 3",IF($M7836="PADD IV","PADD 4",IF($M7836="PADD V","PADD 5","")))))</f>
        <v>PADD 5</v>
      </c>
      <c r="G7836" s="6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6" t="s">
        <v>494</v>
      </c>
      <c r="I7836" s="6" t="s">
        <v>14</v>
      </c>
      <c r="J7836" s="6" t="s">
        <v>394</v>
      </c>
      <c r="K7836" s="10">
        <v>3.12</v>
      </c>
      <c r="L7836" s="10">
        <v>24</v>
      </c>
      <c r="M7836" s="6" t="s">
        <v>436</v>
      </c>
      <c r="N7836" s="6" t="str">
        <f>IF(OR($G7836="FCC",$G7836="Hydrocracker",$G7836="Reformer"),IF(COUNTIFS($D:$D,$D7836,$A:$A,$A7836,$B:$B,$B7836,$G:$G,"CDU",$J:$J,"PLANNED")&gt;0,"tied","standalone"),"")</f>
        <v>standalone</v>
      </c>
    </row>
    <row r="7837" spans="1:14">
      <c r="A7837" s="6">
        <v>2026</v>
      </c>
      <c r="B7837" s="6">
        <v>5</v>
      </c>
      <c r="C7837" s="6" t="s">
        <v>64</v>
      </c>
      <c r="D7837" s="6" t="s">
        <v>53</v>
      </c>
      <c r="E7837" s="6" t="s">
        <v>438</v>
      </c>
      <c r="F7837" s="6" t="str">
        <f>IF($M7837="PADD I","PADD 1",IF($M7837="PADD II","PADD 2",IF($M7837="PADD III","PADD 3",IF($M7837="PADD IV","PADD 4",IF($M7837="PADD V","PADD 5","")))))</f>
        <v>PADD 5</v>
      </c>
      <c r="G7837" s="6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6" t="s">
        <v>618</v>
      </c>
      <c r="I7837" s="6" t="s">
        <v>875</v>
      </c>
      <c r="J7837" s="6" t="s">
        <v>398</v>
      </c>
      <c r="K7837" s="10">
        <v>2.96</v>
      </c>
      <c r="L7837" s="10">
        <v>4</v>
      </c>
      <c r="M7837" s="6" t="s">
        <v>436</v>
      </c>
      <c r="N7837" s="6">
        <f>IF(OR($G7837="FCC",$G7837="Hydrocracker",$G7837="Reformer"),IF(COUNTIFS($D:$D,$D7837,$A:$A,$A7837,$B:$B,$B7837,$G:$G,"CDU",$J:$J,"PLANNED")&gt;0,"tied","standalone"),"")</f>
        <v/>
      </c>
    </row>
    <row r="7838" spans="1:14">
      <c r="A7838" s="6">
        <v>2026</v>
      </c>
      <c r="B7838" s="6">
        <v>5</v>
      </c>
      <c r="C7838" s="6" t="s">
        <v>64</v>
      </c>
      <c r="D7838" s="6" t="s">
        <v>828</v>
      </c>
      <c r="E7838" s="6" t="s">
        <v>829</v>
      </c>
      <c r="F7838" s="6" t="str">
        <f>IF($M7838="PADD I","PADD 1",IF($M7838="PADD II","PADD 2",IF($M7838="PADD III","PADD 3",IF($M7838="PADD IV","PADD 4",IF($M7838="PADD V","PADD 5","")))))</f>
        <v>PADD 3</v>
      </c>
      <c r="G7838" s="6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6" t="s">
        <v>471</v>
      </c>
      <c r="I7838" s="6" t="s">
        <v>854</v>
      </c>
      <c r="J7838" s="6" t="s">
        <v>394</v>
      </c>
      <c r="K7838" s="10">
        <v>2.88</v>
      </c>
      <c r="L7838" s="10">
        <v>48</v>
      </c>
      <c r="M7838" s="6" t="s">
        <v>421</v>
      </c>
      <c r="N7838" s="6" t="str">
        <f>IF(OR($G7838="FCC",$G7838="Hydrocracker",$G7838="Reformer"),IF(COUNTIFS($D:$D,$D7838,$A:$A,$A7838,$B:$B,$B7838,$G:$G,"CDU",$J:$J,"PLANNED")&gt;0,"tied","standalone"),"")</f>
        <v>standalone</v>
      </c>
    </row>
    <row r="7839" spans="1:14">
      <c r="A7839" s="6">
        <v>2026</v>
      </c>
      <c r="B7839" s="6">
        <v>5</v>
      </c>
      <c r="C7839" s="6" t="s">
        <v>64</v>
      </c>
      <c r="D7839" s="6" t="s">
        <v>626</v>
      </c>
      <c r="E7839" s="6" t="s">
        <v>419</v>
      </c>
      <c r="F7839" s="6" t="str">
        <f>IF($M7839="PADD I","PADD 1",IF($M7839="PADD II","PADD 2",IF($M7839="PADD III","PADD 3",IF($M7839="PADD IV","PADD 4",IF($M7839="PADD V","PADD 5","")))))</f>
        <v>PADD 3</v>
      </c>
      <c r="G7839" s="6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6" t="s">
        <v>426</v>
      </c>
      <c r="I7839" s="6" t="s">
        <v>106</v>
      </c>
      <c r="J7839" s="6" t="s">
        <v>394</v>
      </c>
      <c r="K7839" s="10">
        <v>2.784</v>
      </c>
      <c r="L7839" s="10">
        <v>46.4</v>
      </c>
      <c r="M7839" s="6" t="s">
        <v>421</v>
      </c>
      <c r="N7839" s="6" t="str">
        <f>IF(OR($G7839="FCC",$G7839="Hydrocracker",$G7839="Reformer"),IF(COUNTIFS($D:$D,$D7839,$A:$A,$A7839,$B:$B,$B7839,$G:$G,"CDU",$J:$J,"PLANNED")&gt;0,"tied","standalone"),"")</f>
        <v>standalone</v>
      </c>
    </row>
    <row r="7840" spans="1:14">
      <c r="A7840" s="6">
        <v>2026</v>
      </c>
      <c r="B7840" s="6">
        <v>5</v>
      </c>
      <c r="C7840" s="6" t="s">
        <v>64</v>
      </c>
      <c r="D7840" s="6" t="s">
        <v>550</v>
      </c>
      <c r="E7840" s="6" t="s">
        <v>438</v>
      </c>
      <c r="F7840" s="6" t="str">
        <f>IF($M7840="PADD I","PADD 1",IF($M7840="PADD II","PADD 2",IF($M7840="PADD III","PADD 3",IF($M7840="PADD IV","PADD 4",IF($M7840="PADD V","PADD 5","")))))</f>
        <v>PADD 2</v>
      </c>
      <c r="G7840" s="6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6" t="s">
        <v>39</v>
      </c>
      <c r="I7840" s="6" t="s">
        <v>580</v>
      </c>
      <c r="J7840" s="6" t="s">
        <v>394</v>
      </c>
      <c r="K7840" s="10">
        <v>2.76</v>
      </c>
      <c r="L7840" s="10">
        <v>92</v>
      </c>
      <c r="M7840" s="6" t="s">
        <v>425</v>
      </c>
      <c r="N7840" s="6">
        <f>IF(OR($G7840="FCC",$G7840="Hydrocracker",$G7840="Reformer"),IF(COUNTIFS($D:$D,$D7840,$A:$A,$A7840,$B:$B,$B7840,$G:$G,"CDU",$J:$J,"PLANNED")&gt;0,"tied","standalone"),"")</f>
        <v/>
      </c>
    </row>
    <row r="7841" spans="1:14">
      <c r="A7841" s="6">
        <v>2026</v>
      </c>
      <c r="B7841" s="6">
        <v>5</v>
      </c>
      <c r="C7841" s="6" t="s">
        <v>64</v>
      </c>
      <c r="D7841" s="6" t="s">
        <v>665</v>
      </c>
      <c r="E7841" s="6" t="s">
        <v>455</v>
      </c>
      <c r="F7841" s="6" t="str">
        <f>IF($M7841="PADD I","PADD 1",IF($M7841="PADD II","PADD 2",IF($M7841="PADD III","PADD 3",IF($M7841="PADD IV","PADD 4",IF($M7841="PADD V","PADD 5","")))))</f>
        <v>PADD 5</v>
      </c>
      <c r="G7841" s="6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6" t="s">
        <v>44</v>
      </c>
      <c r="I7841" s="6" t="s">
        <v>1235</v>
      </c>
      <c r="J7841" s="6" t="s">
        <v>398</v>
      </c>
      <c r="K7841" s="10">
        <v>2.76</v>
      </c>
      <c r="L7841" s="10">
        <v>12</v>
      </c>
      <c r="M7841" s="6" t="s">
        <v>436</v>
      </c>
      <c r="N7841" s="6">
        <f>IF(OR($G7841="FCC",$G7841="Hydrocracker",$G7841="Reformer"),IF(COUNTIFS($D:$D,$D7841,$A:$A,$A7841,$B:$B,$B7841,$G:$G,"CDU",$J:$J,"PLANNED")&gt;0,"tied","standalone"),"")</f>
        <v/>
      </c>
    </row>
    <row r="7842" spans="1:14">
      <c r="A7842" s="6">
        <v>2026</v>
      </c>
      <c r="B7842" s="6">
        <v>5</v>
      </c>
      <c r="C7842" s="6" t="s">
        <v>64</v>
      </c>
      <c r="D7842" s="6" t="s">
        <v>772</v>
      </c>
      <c r="E7842" s="6" t="s">
        <v>502</v>
      </c>
      <c r="F7842" s="6" t="str">
        <f>IF($M7842="PADD I","PADD 1",IF($M7842="PADD II","PADD 2",IF($M7842="PADD III","PADD 3",IF($M7842="PADD IV","PADD 4",IF($M7842="PADD V","PADD 5","")))))</f>
        <v>PADD 4</v>
      </c>
      <c r="G7842" s="6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6" t="s">
        <v>426</v>
      </c>
      <c r="I7842" s="6" t="s">
        <v>478</v>
      </c>
      <c r="J7842" s="6" t="s">
        <v>394</v>
      </c>
      <c r="K7842" s="10">
        <v>2.72</v>
      </c>
      <c r="L7842" s="10">
        <v>8.5</v>
      </c>
      <c r="M7842" s="6" t="s">
        <v>480</v>
      </c>
      <c r="N7842" s="6" t="str">
        <f>IF(OR($G7842="FCC",$G7842="Hydrocracker",$G7842="Reformer"),IF(COUNTIFS($D:$D,$D7842,$A:$A,$A7842,$B:$B,$B7842,$G:$G,"CDU",$J:$J,"PLANNED")&gt;0,"tied","standalone"),"")</f>
        <v>standalone</v>
      </c>
    </row>
    <row r="7843" spans="1:14">
      <c r="A7843" s="6">
        <v>2026</v>
      </c>
      <c r="B7843" s="6">
        <v>5</v>
      </c>
      <c r="C7843" s="6" t="s">
        <v>64</v>
      </c>
      <c r="D7843" s="6" t="s">
        <v>696</v>
      </c>
      <c r="E7843" s="6" t="s">
        <v>455</v>
      </c>
      <c r="F7843" s="6" t="str">
        <f>IF($M7843="PADD I","PADD 1",IF($M7843="PADD II","PADD 2",IF($M7843="PADD III","PADD 3",IF($M7843="PADD IV","PADD 4",IF($M7843="PADD V","PADD 5","")))))</f>
        <v>PADD 3</v>
      </c>
      <c r="G7843" s="6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6" t="s">
        <v>44</v>
      </c>
      <c r="I7843" s="6" t="s">
        <v>1421</v>
      </c>
      <c r="J7843" s="6" t="s">
        <v>394</v>
      </c>
      <c r="K7843" s="10">
        <v>2.66</v>
      </c>
      <c r="L7843" s="10">
        <v>14</v>
      </c>
      <c r="M7843" s="6" t="s">
        <v>421</v>
      </c>
      <c r="N7843" s="6">
        <f>IF(OR($G7843="FCC",$G7843="Hydrocracker",$G7843="Reformer"),IF(COUNTIFS($D:$D,$D7843,$A:$A,$A7843,$B:$B,$B7843,$G:$G,"CDU",$J:$J,"PLANNED")&gt;0,"tied","standalone"),"")</f>
        <v/>
      </c>
    </row>
    <row r="7844" spans="1:14">
      <c r="A7844" s="6">
        <v>2026</v>
      </c>
      <c r="B7844" s="6">
        <v>5</v>
      </c>
      <c r="C7844" s="6" t="s">
        <v>64</v>
      </c>
      <c r="D7844" s="6" t="s">
        <v>512</v>
      </c>
      <c r="E7844" s="6" t="s">
        <v>488</v>
      </c>
      <c r="F7844" s="6" t="str">
        <f>IF($M7844="PADD I","PADD 1",IF($M7844="PADD II","PADD 2",IF($M7844="PADD III","PADD 3",IF($M7844="PADD IV","PADD 4",IF($M7844="PADD V","PADD 5","")))))</f>
        <v>PADD 4</v>
      </c>
      <c r="G7844" s="6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6" t="s">
        <v>44</v>
      </c>
      <c r="I7844" s="6" t="s">
        <v>545</v>
      </c>
      <c r="J7844" s="6" t="s">
        <v>394</v>
      </c>
      <c r="K7844" s="10">
        <v>2.6</v>
      </c>
      <c r="L7844" s="10">
        <v>20</v>
      </c>
      <c r="M7844" s="6" t="s">
        <v>480</v>
      </c>
      <c r="N7844" s="6">
        <f>IF(OR($G7844="FCC",$G7844="Hydrocracker",$G7844="Reformer"),IF(COUNTIFS($D:$D,$D7844,$A:$A,$A7844,$B:$B,$B7844,$G:$G,"CDU",$J:$J,"PLANNED")&gt;0,"tied","standalone"),"")</f>
        <v/>
      </c>
    </row>
    <row r="7845" spans="1:14">
      <c r="A7845" s="6">
        <v>2026</v>
      </c>
      <c r="B7845" s="6">
        <v>5</v>
      </c>
      <c r="C7845" s="6" t="s">
        <v>64</v>
      </c>
      <c r="D7845" s="6" t="s">
        <v>1373</v>
      </c>
      <c r="E7845" s="6" t="s">
        <v>419</v>
      </c>
      <c r="F7845" s="6" t="str">
        <f>IF($M7845="PADD I","PADD 1",IF($M7845="PADD II","PADD 2",IF($M7845="PADD III","PADD 3",IF($M7845="PADD IV","PADD 4",IF($M7845="PADD V","PADD 5","")))))</f>
        <v>PADD 5</v>
      </c>
      <c r="G7845" s="6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6" t="s">
        <v>44</v>
      </c>
      <c r="I7845" s="6" t="s">
        <v>508</v>
      </c>
      <c r="J7845" s="6" t="s">
        <v>394</v>
      </c>
      <c r="K7845" s="10">
        <v>2.6</v>
      </c>
      <c r="L7845" s="10">
        <v>20</v>
      </c>
      <c r="M7845" s="6" t="s">
        <v>436</v>
      </c>
      <c r="N7845" s="6">
        <f>IF(OR($G7845="FCC",$G7845="Hydrocracker",$G7845="Reformer"),IF(COUNTIFS($D:$D,$D7845,$A:$A,$A7845,$B:$B,$B7845,$G:$G,"CDU",$J:$J,"PLANNED")&gt;0,"tied","standalone"),"")</f>
        <v/>
      </c>
    </row>
    <row r="7846" spans="1:14">
      <c r="A7846" s="6">
        <v>2026</v>
      </c>
      <c r="B7846" s="6">
        <v>5</v>
      </c>
      <c r="C7846" s="6" t="s">
        <v>64</v>
      </c>
      <c r="D7846" s="6" t="s">
        <v>626</v>
      </c>
      <c r="E7846" s="6" t="s">
        <v>419</v>
      </c>
      <c r="F7846" s="6" t="str">
        <f>IF($M7846="PADD I","PADD 1",IF($M7846="PADD II","PADD 2",IF($M7846="PADD III","PADD 3",IF($M7846="PADD IV","PADD 4",IF($M7846="PADD V","PADD 5","")))))</f>
        <v>PADD 3</v>
      </c>
      <c r="G7846" s="6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6" t="s">
        <v>618</v>
      </c>
      <c r="I7846" s="6" t="s">
        <v>654</v>
      </c>
      <c r="J7846" s="6" t="s">
        <v>394</v>
      </c>
      <c r="K7846" s="10">
        <v>2.5</v>
      </c>
      <c r="L7846" s="10">
        <v>25</v>
      </c>
      <c r="M7846" s="6" t="s">
        <v>421</v>
      </c>
      <c r="N7846" s="6">
        <f>IF(OR($G7846="FCC",$G7846="Hydrocracker",$G7846="Reformer"),IF(COUNTIFS($D:$D,$D7846,$A:$A,$A7846,$B:$B,$B7846,$G:$G,"CDU",$J:$J,"PLANNED")&gt;0,"tied","standalone"),"")</f>
        <v/>
      </c>
    </row>
    <row r="7847" spans="1:14">
      <c r="A7847" s="6">
        <v>2026</v>
      </c>
      <c r="B7847" s="6">
        <v>5</v>
      </c>
      <c r="C7847" s="6" t="s">
        <v>64</v>
      </c>
      <c r="D7847" s="6" t="s">
        <v>1093</v>
      </c>
      <c r="E7847" s="6" t="s">
        <v>438</v>
      </c>
      <c r="F7847" s="6" t="str">
        <f>IF($M7847="PADD I","PADD 1",IF($M7847="PADD II","PADD 2",IF($M7847="PADD III","PADD 3",IF($M7847="PADD IV","PADD 4",IF($M7847="PADD V","PADD 5","")))))</f>
        <v>PADD 2</v>
      </c>
      <c r="G7847" s="6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6" t="s">
        <v>44</v>
      </c>
      <c r="I7847" s="6" t="s">
        <v>1102</v>
      </c>
      <c r="J7847" s="6" t="s">
        <v>394</v>
      </c>
      <c r="K7847" s="10">
        <v>2.38</v>
      </c>
      <c r="L7847" s="10">
        <v>23.8</v>
      </c>
      <c r="M7847" s="6" t="s">
        <v>425</v>
      </c>
      <c r="N7847" s="6">
        <f>IF(OR($G7847="FCC",$G7847="Hydrocracker",$G7847="Reformer"),IF(COUNTIFS($D:$D,$D7847,$A:$A,$A7847,$B:$B,$B7847,$G:$G,"CDU",$J:$J,"PLANNED")&gt;0,"tied","standalone"),"")</f>
        <v/>
      </c>
    </row>
    <row r="7848" spans="1:14">
      <c r="A7848" s="6">
        <v>2026</v>
      </c>
      <c r="B7848" s="6">
        <v>5</v>
      </c>
      <c r="C7848" s="6" t="s">
        <v>64</v>
      </c>
      <c r="D7848" s="6" t="s">
        <v>512</v>
      </c>
      <c r="E7848" s="6" t="s">
        <v>488</v>
      </c>
      <c r="F7848" s="6" t="str">
        <f>IF($M7848="PADD I","PADD 1",IF($M7848="PADD II","PADD 2",IF($M7848="PADD III","PADD 3",IF($M7848="PADD IV","PADD 4",IF($M7848="PADD V","PADD 5","")))))</f>
        <v>PADD 4</v>
      </c>
      <c r="G7848" s="6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6" t="s">
        <v>428</v>
      </c>
      <c r="I7848" s="6" t="s">
        <v>605</v>
      </c>
      <c r="J7848" s="6" t="s">
        <v>394</v>
      </c>
      <c r="K7848" s="10">
        <v>2.3</v>
      </c>
      <c r="L7848" s="10">
        <v>10</v>
      </c>
      <c r="M7848" s="6" t="s">
        <v>480</v>
      </c>
      <c r="N7848" s="6">
        <f>IF(OR($G7848="FCC",$G7848="Hydrocracker",$G7848="Reformer"),IF(COUNTIFS($D:$D,$D7848,$A:$A,$A7848,$B:$B,$B7848,$G:$G,"CDU",$J:$J,"PLANNED")&gt;0,"tied","standalone"),"")</f>
        <v/>
      </c>
    </row>
    <row r="7849" spans="1:14">
      <c r="A7849" s="6">
        <v>2026</v>
      </c>
      <c r="B7849" s="6">
        <v>5</v>
      </c>
      <c r="C7849" s="6" t="s">
        <v>64</v>
      </c>
      <c r="D7849" s="6" t="s">
        <v>487</v>
      </c>
      <c r="E7849" s="6" t="s">
        <v>488</v>
      </c>
      <c r="F7849" s="6" t="str">
        <f>IF($M7849="PADD I","PADD 1",IF($M7849="PADD II","PADD 2",IF($M7849="PADD III","PADD 3",IF($M7849="PADD IV","PADD 4",IF($M7849="PADD V","PADD 5","")))))</f>
        <v>PADD 4</v>
      </c>
      <c r="G7849" s="6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6" t="s">
        <v>471</v>
      </c>
      <c r="I7849" s="6" t="s">
        <v>607</v>
      </c>
      <c r="J7849" s="6" t="s">
        <v>394</v>
      </c>
      <c r="K7849" s="10">
        <v>2.3</v>
      </c>
      <c r="L7849" s="10">
        <v>10</v>
      </c>
      <c r="M7849" s="6" t="s">
        <v>480</v>
      </c>
      <c r="N7849" s="6" t="str">
        <f>IF(OR($G7849="FCC",$G7849="Hydrocracker",$G7849="Reformer"),IF(COUNTIFS($D:$D,$D7849,$A:$A,$A7849,$B:$B,$B7849,$G:$G,"CDU",$J:$J,"PLANNED")&gt;0,"tied","standalone"),"")</f>
        <v>tied</v>
      </c>
    </row>
    <row r="7850" spans="1:14">
      <c r="A7850" s="6">
        <v>2026</v>
      </c>
      <c r="B7850" s="6">
        <v>5</v>
      </c>
      <c r="C7850" s="6" t="s">
        <v>64</v>
      </c>
      <c r="D7850" s="6" t="s">
        <v>696</v>
      </c>
      <c r="E7850" s="6" t="s">
        <v>455</v>
      </c>
      <c r="F7850" s="6" t="str">
        <f>IF($M7850="PADD I","PADD 1",IF($M7850="PADD II","PADD 2",IF($M7850="PADD III","PADD 3",IF($M7850="PADD IV","PADD 4",IF($M7850="PADD V","PADD 5","")))))</f>
        <v>PADD 3</v>
      </c>
      <c r="G7850" s="6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6" t="s">
        <v>44</v>
      </c>
      <c r="I7850" s="6" t="s">
        <v>1422</v>
      </c>
      <c r="J7850" s="6" t="s">
        <v>394</v>
      </c>
      <c r="K7850" s="10">
        <v>2.28</v>
      </c>
      <c r="L7850" s="10">
        <v>12</v>
      </c>
      <c r="M7850" s="6" t="s">
        <v>421</v>
      </c>
      <c r="N7850" s="6">
        <f>IF(OR($G7850="FCC",$G7850="Hydrocracker",$G7850="Reformer"),IF(COUNTIFS($D:$D,$D7850,$A:$A,$A7850,$B:$B,$B7850,$G:$G,"CDU",$J:$J,"PLANNED")&gt;0,"tied","standalone"),"")</f>
        <v/>
      </c>
    </row>
    <row r="7851" spans="1:14">
      <c r="A7851" s="6">
        <v>2026</v>
      </c>
      <c r="B7851" s="6">
        <v>5</v>
      </c>
      <c r="C7851" s="6" t="s">
        <v>64</v>
      </c>
      <c r="D7851" s="6" t="s">
        <v>1373</v>
      </c>
      <c r="E7851" s="6" t="s">
        <v>419</v>
      </c>
      <c r="F7851" s="6" t="str">
        <f>IF($M7851="PADD I","PADD 1",IF($M7851="PADD II","PADD 2",IF($M7851="PADD III","PADD 3",IF($M7851="PADD IV","PADD 4",IF($M7851="PADD V","PADD 5","")))))</f>
        <v>PADD 5</v>
      </c>
      <c r="G7851" s="6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6" t="s">
        <v>44</v>
      </c>
      <c r="I7851" s="6" t="s">
        <v>1423</v>
      </c>
      <c r="J7851" s="6" t="s">
        <v>394</v>
      </c>
      <c r="K7851" s="10">
        <v>2.21</v>
      </c>
      <c r="L7851" s="10">
        <v>17</v>
      </c>
      <c r="M7851" s="6" t="s">
        <v>436</v>
      </c>
      <c r="N7851" s="6">
        <f>IF(OR($G7851="FCC",$G7851="Hydrocracker",$G7851="Reformer"),IF(COUNTIFS($D:$D,$D7851,$A:$A,$A7851,$B:$B,$B7851,$G:$G,"CDU",$J:$J,"PLANNED")&gt;0,"tied","standalone"),"")</f>
        <v/>
      </c>
    </row>
    <row r="7852" spans="1:14">
      <c r="A7852" s="6">
        <v>2026</v>
      </c>
      <c r="B7852" s="6">
        <v>5</v>
      </c>
      <c r="C7852" s="6" t="s">
        <v>64</v>
      </c>
      <c r="D7852" s="6" t="s">
        <v>1365</v>
      </c>
      <c r="E7852" s="6" t="s">
        <v>1366</v>
      </c>
      <c r="F7852" s="6" t="str">
        <f>IF($M7852="PADD I","PADD 1",IF($M7852="PADD II","PADD 2",IF($M7852="PADD III","PADD 3",IF($M7852="PADD IV","PADD 4",IF($M7852="PADD V","PADD 5","")))))</f>
        <v>PADD 1</v>
      </c>
      <c r="G7852" s="6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6" t="s">
        <v>471</v>
      </c>
      <c r="I7852" s="6" t="s">
        <v>621</v>
      </c>
      <c r="J7852" s="6" t="s">
        <v>394</v>
      </c>
      <c r="K7852" s="10">
        <v>2.2</v>
      </c>
      <c r="L7852" s="10">
        <v>2.2</v>
      </c>
      <c r="M7852" s="6" t="s">
        <v>463</v>
      </c>
      <c r="N7852" s="6" t="str">
        <f>IF(OR($G7852="FCC",$G7852="Hydrocracker",$G7852="Reformer"),IF(COUNTIFS($D:$D,$D7852,$A:$A,$A7852,$B:$B,$B7852,$G:$G,"CDU",$J:$J,"PLANNED")&gt;0,"tied","standalone"),"")</f>
        <v>standalone</v>
      </c>
    </row>
    <row r="7853" spans="1:14">
      <c r="A7853" s="6">
        <v>2026</v>
      </c>
      <c r="B7853" s="6">
        <v>5</v>
      </c>
      <c r="C7853" s="6" t="s">
        <v>64</v>
      </c>
      <c r="D7853" s="6" t="s">
        <v>1373</v>
      </c>
      <c r="E7853" s="6" t="s">
        <v>419</v>
      </c>
      <c r="F7853" s="6" t="str">
        <f>IF($M7853="PADD I","PADD 1",IF($M7853="PADD II","PADD 2",IF($M7853="PADD III","PADD 3",IF($M7853="PADD IV","PADD 4",IF($M7853="PADD V","PADD 5","")))))</f>
        <v>PADD 5</v>
      </c>
      <c r="G7853" s="6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6" t="s">
        <v>471</v>
      </c>
      <c r="I7853" s="6" t="s">
        <v>1153</v>
      </c>
      <c r="J7853" s="6" t="s">
        <v>394</v>
      </c>
      <c r="K7853" s="10">
        <v>2.08</v>
      </c>
      <c r="L7853" s="10">
        <v>16</v>
      </c>
      <c r="M7853" s="6" t="s">
        <v>436</v>
      </c>
      <c r="N7853" s="6" t="str">
        <f>IF(OR($G7853="FCC",$G7853="Hydrocracker",$G7853="Reformer"),IF(COUNTIFS($D:$D,$D7853,$A:$A,$A7853,$B:$B,$B7853,$G:$G,"CDU",$J:$J,"PLANNED")&gt;0,"tied","standalone"),"")</f>
        <v>standalone</v>
      </c>
    </row>
    <row r="7854" spans="1:14">
      <c r="A7854" s="6">
        <v>2026</v>
      </c>
      <c r="B7854" s="6">
        <v>5</v>
      </c>
      <c r="C7854" s="6" t="s">
        <v>64</v>
      </c>
      <c r="D7854" s="6" t="s">
        <v>470</v>
      </c>
      <c r="E7854" s="6" t="s">
        <v>423</v>
      </c>
      <c r="F7854" s="6" t="str">
        <f>IF($M7854="PADD I","PADD 1",IF($M7854="PADD II","PADD 2",IF($M7854="PADD III","PADD 3",IF($M7854="PADD IV","PADD 4",IF($M7854="PADD V","PADD 5","")))))</f>
        <v>PADD 2</v>
      </c>
      <c r="G7854" s="6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6" t="s">
        <v>471</v>
      </c>
      <c r="I7854" s="6" t="s">
        <v>621</v>
      </c>
      <c r="J7854" s="6" t="s">
        <v>394</v>
      </c>
      <c r="K7854" s="10">
        <v>2.08</v>
      </c>
      <c r="L7854" s="10">
        <v>8</v>
      </c>
      <c r="M7854" s="6" t="s">
        <v>425</v>
      </c>
      <c r="N7854" s="6" t="str">
        <f>IF(OR($G7854="FCC",$G7854="Hydrocracker",$G7854="Reformer"),IF(COUNTIFS($D:$D,$D7854,$A:$A,$A7854,$B:$B,$B7854,$G:$G,"CDU",$J:$J,"PLANNED")&gt;0,"tied","standalone"),"")</f>
        <v>standalone</v>
      </c>
    </row>
    <row r="7855" spans="1:14">
      <c r="A7855" s="6">
        <v>2026</v>
      </c>
      <c r="B7855" s="6">
        <v>5</v>
      </c>
      <c r="C7855" s="6" t="s">
        <v>64</v>
      </c>
      <c r="D7855" s="6" t="s">
        <v>550</v>
      </c>
      <c r="E7855" s="6" t="s">
        <v>438</v>
      </c>
      <c r="F7855" s="6" t="str">
        <f>IF($M7855="PADD I","PADD 1",IF($M7855="PADD II","PADD 2",IF($M7855="PADD III","PADD 3",IF($M7855="PADD IV","PADD 4",IF($M7855="PADD V","PADD 5","")))))</f>
        <v>PADD 2</v>
      </c>
      <c r="G7855" s="6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6" t="s">
        <v>44</v>
      </c>
      <c r="I7855" s="6" t="s">
        <v>551</v>
      </c>
      <c r="J7855" s="6" t="s">
        <v>394</v>
      </c>
      <c r="K7855" s="10">
        <v>2</v>
      </c>
      <c r="L7855" s="10">
        <v>20</v>
      </c>
      <c r="M7855" s="6" t="s">
        <v>425</v>
      </c>
      <c r="N7855" s="6">
        <f>IF(OR($G7855="FCC",$G7855="Hydrocracker",$G7855="Reformer"),IF(COUNTIFS($D:$D,$D7855,$A:$A,$A7855,$B:$B,$B7855,$G:$G,"CDU",$J:$J,"PLANNED")&gt;0,"tied","standalone"),"")</f>
        <v/>
      </c>
    </row>
    <row r="7856" spans="1:14">
      <c r="A7856" s="6">
        <v>2026</v>
      </c>
      <c r="B7856" s="6">
        <v>5</v>
      </c>
      <c r="C7856" s="6" t="s">
        <v>64</v>
      </c>
      <c r="D7856" s="6" t="s">
        <v>487</v>
      </c>
      <c r="E7856" s="6" t="s">
        <v>488</v>
      </c>
      <c r="F7856" s="6" t="str">
        <f>IF($M7856="PADD I","PADD 1",IF($M7856="PADD II","PADD 2",IF($M7856="PADD III","PADD 3",IF($M7856="PADD IV","PADD 4",IF($M7856="PADD V","PADD 5","")))))</f>
        <v>PADD 4</v>
      </c>
      <c r="G7856" s="6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6" t="s">
        <v>426</v>
      </c>
      <c r="I7856" s="6" t="s">
        <v>478</v>
      </c>
      <c r="J7856" s="6" t="s">
        <v>394</v>
      </c>
      <c r="K7856" s="10">
        <v>1.955</v>
      </c>
      <c r="L7856" s="10">
        <v>8.5</v>
      </c>
      <c r="M7856" s="6" t="s">
        <v>480</v>
      </c>
      <c r="N7856" s="6" t="str">
        <f>IF(OR($G7856="FCC",$G7856="Hydrocracker",$G7856="Reformer"),IF(COUNTIFS($D:$D,$D7856,$A:$A,$A7856,$B:$B,$B7856,$G:$G,"CDU",$J:$J,"PLANNED")&gt;0,"tied","standalone"),"")</f>
        <v>tied</v>
      </c>
    </row>
    <row r="7857" spans="1:14">
      <c r="A7857" s="6">
        <v>2026</v>
      </c>
      <c r="B7857" s="6">
        <v>5</v>
      </c>
      <c r="C7857" s="6" t="s">
        <v>64</v>
      </c>
      <c r="D7857" s="6" t="s">
        <v>772</v>
      </c>
      <c r="E7857" s="6" t="s">
        <v>502</v>
      </c>
      <c r="F7857" s="6" t="str">
        <f>IF($M7857="PADD I","PADD 1",IF($M7857="PADD II","PADD 2",IF($M7857="PADD III","PADD 3",IF($M7857="PADD IV","PADD 4",IF($M7857="PADD V","PADD 5","")))))</f>
        <v>PADD 4</v>
      </c>
      <c r="G7857" s="6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6" t="s">
        <v>494</v>
      </c>
      <c r="I7857" s="6" t="s">
        <v>1197</v>
      </c>
      <c r="J7857" s="6" t="s">
        <v>398</v>
      </c>
      <c r="K7857" s="10">
        <v>1.95</v>
      </c>
      <c r="L7857" s="10">
        <v>15</v>
      </c>
      <c r="M7857" s="6" t="s">
        <v>480</v>
      </c>
      <c r="N7857" s="6" t="str">
        <f>IF(OR($G7857="FCC",$G7857="Hydrocracker",$G7857="Reformer"),IF(COUNTIFS($D:$D,$D7857,$A:$A,$A7857,$B:$B,$B7857,$G:$G,"CDU",$J:$J,"PLANNED")&gt;0,"tied","standalone"),"")</f>
        <v>standalone</v>
      </c>
    </row>
    <row r="7858" spans="1:14">
      <c r="A7858" s="6">
        <v>2026</v>
      </c>
      <c r="B7858" s="6">
        <v>5</v>
      </c>
      <c r="C7858" s="6" t="s">
        <v>64</v>
      </c>
      <c r="D7858" s="6" t="s">
        <v>370</v>
      </c>
      <c r="E7858" s="6" t="s">
        <v>431</v>
      </c>
      <c r="F7858" s="6" t="str">
        <f>IF($M7858="PADD I","PADD 1",IF($M7858="PADD II","PADD 2",IF($M7858="PADD III","PADD 3",IF($M7858="PADD IV","PADD 4",IF($M7858="PADD V","PADD 5","")))))</f>
        <v>PADD 2</v>
      </c>
      <c r="G7858" s="6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6" t="s">
        <v>39</v>
      </c>
      <c r="I7858" s="6" t="s">
        <v>82</v>
      </c>
      <c r="J7858" s="6" t="s">
        <v>394</v>
      </c>
      <c r="K7858" s="10">
        <v>1.95</v>
      </c>
      <c r="L7858" s="10">
        <v>15</v>
      </c>
      <c r="M7858" s="6" t="s">
        <v>425</v>
      </c>
      <c r="N7858" s="6">
        <f>IF(OR($G7858="FCC",$G7858="Hydrocracker",$G7858="Reformer"),IF(COUNTIFS($D:$D,$D7858,$A:$A,$A7858,$B:$B,$B7858,$G:$G,"CDU",$J:$J,"PLANNED")&gt;0,"tied","standalone"),"")</f>
        <v/>
      </c>
    </row>
    <row r="7859" spans="1:14">
      <c r="A7859" s="6">
        <v>2026</v>
      </c>
      <c r="B7859" s="6">
        <v>5</v>
      </c>
      <c r="C7859" s="6" t="s">
        <v>64</v>
      </c>
      <c r="D7859" s="6" t="s">
        <v>512</v>
      </c>
      <c r="E7859" s="6" t="s">
        <v>488</v>
      </c>
      <c r="F7859" s="6" t="str">
        <f>IF($M7859="PADD I","PADD 1",IF($M7859="PADD II","PADD 2",IF($M7859="PADD III","PADD 3",IF($M7859="PADD IV","PADD 4",IF($M7859="PADD V","PADD 5","")))))</f>
        <v>PADD 4</v>
      </c>
      <c r="G7859" s="6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6" t="s">
        <v>428</v>
      </c>
      <c r="I7859" s="6" t="s">
        <v>605</v>
      </c>
      <c r="J7859" s="6" t="s">
        <v>394</v>
      </c>
      <c r="K7859" s="10">
        <v>1.9274</v>
      </c>
      <c r="L7859" s="10">
        <v>8.380000000000001</v>
      </c>
      <c r="M7859" s="6" t="s">
        <v>480</v>
      </c>
      <c r="N7859" s="6">
        <f>IF(OR($G7859="FCC",$G7859="Hydrocracker",$G7859="Reformer"),IF(COUNTIFS($D:$D,$D7859,$A:$A,$A7859,$B:$B,$B7859,$G:$G,"CDU",$J:$J,"PLANNED")&gt;0,"tied","standalone"),"")</f>
        <v/>
      </c>
    </row>
    <row r="7860" spans="1:14">
      <c r="A7860" s="6">
        <v>2026</v>
      </c>
      <c r="B7860" s="6">
        <v>5</v>
      </c>
      <c r="C7860" s="6" t="s">
        <v>64</v>
      </c>
      <c r="D7860" s="6" t="s">
        <v>49</v>
      </c>
      <c r="E7860" s="6" t="s">
        <v>438</v>
      </c>
      <c r="F7860" s="6" t="str">
        <f>IF($M7860="PADD I","PADD 1",IF($M7860="PADD II","PADD 2",IF($M7860="PADD III","PADD 3",IF($M7860="PADD IV","PADD 4",IF($M7860="PADD V","PADD 5","")))))</f>
        <v>PADD 2</v>
      </c>
      <c r="G7860" s="6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6" t="s">
        <v>485</v>
      </c>
      <c r="I7860" s="6" t="s">
        <v>804</v>
      </c>
      <c r="J7860" s="6" t="s">
        <v>394</v>
      </c>
      <c r="K7860" s="10">
        <v>1.85</v>
      </c>
      <c r="L7860" s="10">
        <v>18.5</v>
      </c>
      <c r="M7860" s="6" t="s">
        <v>425</v>
      </c>
      <c r="N7860" s="6">
        <f>IF(OR($G7860="FCC",$G7860="Hydrocracker",$G7860="Reformer"),IF(COUNTIFS($D:$D,$D7860,$A:$A,$A7860,$B:$B,$B7860,$G:$G,"CDU",$J:$J,"PLANNED")&gt;0,"tied","standalone"),"")</f>
        <v/>
      </c>
    </row>
    <row r="7861" spans="1:14">
      <c r="A7861" s="6">
        <v>2026</v>
      </c>
      <c r="B7861" s="6">
        <v>5</v>
      </c>
      <c r="C7861" s="6" t="s">
        <v>64</v>
      </c>
      <c r="D7861" s="6" t="s">
        <v>370</v>
      </c>
      <c r="E7861" s="6" t="s">
        <v>431</v>
      </c>
      <c r="F7861" s="6" t="str">
        <f>IF($M7861="PADD I","PADD 1",IF($M7861="PADD II","PADD 2",IF($M7861="PADD III","PADD 3",IF($M7861="PADD IV","PADD 4",IF($M7861="PADD V","PADD 5","")))))</f>
        <v>PADD 2</v>
      </c>
      <c r="G7861" s="6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6" t="s">
        <v>426</v>
      </c>
      <c r="I7861" s="6" t="s">
        <v>106</v>
      </c>
      <c r="J7861" s="6" t="s">
        <v>394</v>
      </c>
      <c r="K7861" s="10">
        <v>1.8</v>
      </c>
      <c r="L7861" s="10">
        <v>30</v>
      </c>
      <c r="M7861" s="6" t="s">
        <v>425</v>
      </c>
      <c r="N7861" s="6" t="str">
        <f>IF(OR($G7861="FCC",$G7861="Hydrocracker",$G7861="Reformer"),IF(COUNTIFS($D:$D,$D7861,$A:$A,$A7861,$B:$B,$B7861,$G:$G,"CDU",$J:$J,"PLANNED")&gt;0,"tied","standalone"),"")</f>
        <v>standalone</v>
      </c>
    </row>
    <row r="7862" spans="1:14">
      <c r="A7862" s="6">
        <v>2026</v>
      </c>
      <c r="B7862" s="6">
        <v>5</v>
      </c>
      <c r="C7862" s="6" t="s">
        <v>64</v>
      </c>
      <c r="D7862" s="6" t="s">
        <v>772</v>
      </c>
      <c r="E7862" s="6" t="s">
        <v>502</v>
      </c>
      <c r="F7862" s="6" t="str">
        <f>IF($M7862="PADD I","PADD 1",IF($M7862="PADD II","PADD 2",IF($M7862="PADD III","PADD 3",IF($M7862="PADD IV","PADD 4",IF($M7862="PADD V","PADD 5","")))))</f>
        <v>PADD 4</v>
      </c>
      <c r="G7862" s="6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6" t="s">
        <v>44</v>
      </c>
      <c r="I7862" s="6" t="s">
        <v>1412</v>
      </c>
      <c r="J7862" s="6" t="s">
        <v>398</v>
      </c>
      <c r="K7862" s="10">
        <v>1.625</v>
      </c>
      <c r="L7862" s="10">
        <v>12.5</v>
      </c>
      <c r="M7862" s="6" t="s">
        <v>480</v>
      </c>
      <c r="N7862" s="6">
        <f>IF(OR($G7862="FCC",$G7862="Hydrocracker",$G7862="Reformer"),IF(COUNTIFS($D:$D,$D7862,$A:$A,$A7862,$B:$B,$B7862,$G:$G,"CDU",$J:$J,"PLANNED")&gt;0,"tied","standalone"),"")</f>
        <v/>
      </c>
    </row>
    <row r="7863" spans="1:14">
      <c r="A7863" s="6">
        <v>2026</v>
      </c>
      <c r="B7863" s="6">
        <v>5</v>
      </c>
      <c r="C7863" s="6" t="s">
        <v>64</v>
      </c>
      <c r="D7863" s="6" t="s">
        <v>487</v>
      </c>
      <c r="E7863" s="6" t="s">
        <v>488</v>
      </c>
      <c r="F7863" s="6" t="str">
        <f>IF($M7863="PADD I","PADD 1",IF($M7863="PADD II","PADD 2",IF($M7863="PADD III","PADD 3",IF($M7863="PADD IV","PADD 4",IF($M7863="PADD V","PADD 5","")))))</f>
        <v>PADD 4</v>
      </c>
      <c r="G7863" s="6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6" t="s">
        <v>428</v>
      </c>
      <c r="I7863" s="6" t="s">
        <v>606</v>
      </c>
      <c r="J7863" s="6" t="s">
        <v>394</v>
      </c>
      <c r="K7863" s="10">
        <v>1.6</v>
      </c>
      <c r="L7863" s="10">
        <v>10</v>
      </c>
      <c r="M7863" s="6" t="s">
        <v>480</v>
      </c>
      <c r="N7863" s="6">
        <f>IF(OR($G7863="FCC",$G7863="Hydrocracker",$G7863="Reformer"),IF(COUNTIFS($D:$D,$D7863,$A:$A,$A7863,$B:$B,$B7863,$G:$G,"CDU",$J:$J,"PLANNED")&gt;0,"tied","standalone"),"")</f>
        <v/>
      </c>
    </row>
    <row r="7864" spans="1:14">
      <c r="A7864" s="6">
        <v>2026</v>
      </c>
      <c r="B7864" s="6">
        <v>5</v>
      </c>
      <c r="C7864" s="6" t="s">
        <v>64</v>
      </c>
      <c r="D7864" s="6" t="s">
        <v>512</v>
      </c>
      <c r="E7864" s="6" t="s">
        <v>488</v>
      </c>
      <c r="F7864" s="6" t="str">
        <f>IF($M7864="PADD I","PADD 1",IF($M7864="PADD II","PADD 2",IF($M7864="PADD III","PADD 3",IF($M7864="PADD IV","PADD 4",IF($M7864="PADD V","PADD 5","")))))</f>
        <v>PADD 4</v>
      </c>
      <c r="G7864" s="6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6" t="s">
        <v>44</v>
      </c>
      <c r="I7864" s="6" t="s">
        <v>585</v>
      </c>
      <c r="J7864" s="6" t="s">
        <v>394</v>
      </c>
      <c r="K7864" s="10">
        <v>1.56</v>
      </c>
      <c r="L7864" s="10">
        <v>12</v>
      </c>
      <c r="M7864" s="6" t="s">
        <v>480</v>
      </c>
      <c r="N7864" s="6">
        <f>IF(OR($G7864="FCC",$G7864="Hydrocracker",$G7864="Reformer"),IF(COUNTIFS($D:$D,$D7864,$A:$A,$A7864,$B:$B,$B7864,$G:$G,"CDU",$J:$J,"PLANNED")&gt;0,"tied","standalone"),"")</f>
        <v/>
      </c>
    </row>
    <row r="7865" spans="1:14">
      <c r="A7865" s="6">
        <v>2026</v>
      </c>
      <c r="B7865" s="6">
        <v>5</v>
      </c>
      <c r="C7865" s="6" t="s">
        <v>64</v>
      </c>
      <c r="D7865" s="6" t="s">
        <v>1093</v>
      </c>
      <c r="E7865" s="6" t="s">
        <v>438</v>
      </c>
      <c r="F7865" s="6" t="str">
        <f>IF($M7865="PADD I","PADD 1",IF($M7865="PADD II","PADD 2",IF($M7865="PADD III","PADD 3",IF($M7865="PADD IV","PADD 4",IF($M7865="PADD V","PADD 5","")))))</f>
        <v>PADD 2</v>
      </c>
      <c r="G7865" s="6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6" t="s">
        <v>44</v>
      </c>
      <c r="I7865" s="6" t="s">
        <v>514</v>
      </c>
      <c r="J7865" s="6" t="s">
        <v>394</v>
      </c>
      <c r="K7865" s="10">
        <v>1.505</v>
      </c>
      <c r="L7865" s="10">
        <v>4.3</v>
      </c>
      <c r="M7865" s="6" t="s">
        <v>425</v>
      </c>
      <c r="N7865" s="6">
        <f>IF(OR($G7865="FCC",$G7865="Hydrocracker",$G7865="Reformer"),IF(COUNTIFS($D:$D,$D7865,$A:$A,$A7865,$B:$B,$B7865,$G:$G,"CDU",$J:$J,"PLANNED")&gt;0,"tied","standalone"),"")</f>
        <v/>
      </c>
    </row>
    <row r="7866" spans="1:14">
      <c r="A7866" s="6">
        <v>2026</v>
      </c>
      <c r="B7866" s="6">
        <v>5</v>
      </c>
      <c r="C7866" s="6" t="s">
        <v>64</v>
      </c>
      <c r="D7866" s="6" t="s">
        <v>720</v>
      </c>
      <c r="E7866" s="6" t="s">
        <v>455</v>
      </c>
      <c r="F7866" s="6" t="str">
        <f>IF($M7866="PADD I","PADD 1",IF($M7866="PADD II","PADD 2",IF($M7866="PADD III","PADD 3",IF($M7866="PADD IV","PADD 4",IF($M7866="PADD V","PADD 5","")))))</f>
        <v>PADD 2</v>
      </c>
      <c r="G7866" s="6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6" t="s">
        <v>494</v>
      </c>
      <c r="I7866" s="6" t="s">
        <v>1368</v>
      </c>
      <c r="J7866" s="6" t="s">
        <v>394</v>
      </c>
      <c r="K7866" s="10">
        <v>1.47</v>
      </c>
      <c r="L7866" s="10">
        <v>24.5</v>
      </c>
      <c r="M7866" s="6" t="s">
        <v>425</v>
      </c>
      <c r="N7866" s="6" t="str">
        <f>IF(OR($G7866="FCC",$G7866="Hydrocracker",$G7866="Reformer"),IF(COUNTIFS($D:$D,$D7866,$A:$A,$A7866,$B:$B,$B7866,$G:$G,"CDU",$J:$J,"PLANNED")&gt;0,"tied","standalone"),"")</f>
        <v>standalone</v>
      </c>
    </row>
    <row r="7867" spans="1:14">
      <c r="A7867" s="6">
        <v>2026</v>
      </c>
      <c r="B7867" s="6">
        <v>5</v>
      </c>
      <c r="C7867" s="6" t="s">
        <v>64</v>
      </c>
      <c r="D7867" s="6" t="s">
        <v>512</v>
      </c>
      <c r="E7867" s="6" t="s">
        <v>488</v>
      </c>
      <c r="F7867" s="6" t="str">
        <f>IF($M7867="PADD I","PADD 1",IF($M7867="PADD II","PADD 2",IF($M7867="PADD III","PADD 3",IF($M7867="PADD IV","PADD 4",IF($M7867="PADD V","PADD 5","")))))</f>
        <v>PADD 4</v>
      </c>
      <c r="G7867" s="6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6" t="s">
        <v>471</v>
      </c>
      <c r="I7867" s="6" t="s">
        <v>609</v>
      </c>
      <c r="J7867" s="6" t="s">
        <v>394</v>
      </c>
      <c r="K7867" s="10">
        <v>1.3</v>
      </c>
      <c r="L7867" s="10">
        <v>10</v>
      </c>
      <c r="M7867" s="6" t="s">
        <v>480</v>
      </c>
      <c r="N7867" s="6" t="str">
        <f>IF(OR($G7867="FCC",$G7867="Hydrocracker",$G7867="Reformer"),IF(COUNTIFS($D:$D,$D7867,$A:$A,$A7867,$B:$B,$B7867,$G:$G,"CDU",$J:$J,"PLANNED")&gt;0,"tied","standalone"),"")</f>
        <v>tied</v>
      </c>
    </row>
    <row r="7868" spans="1:14">
      <c r="A7868" s="6">
        <v>2026</v>
      </c>
      <c r="B7868" s="6">
        <v>5</v>
      </c>
      <c r="C7868" s="6" t="s">
        <v>64</v>
      </c>
      <c r="D7868" s="6" t="s">
        <v>512</v>
      </c>
      <c r="E7868" s="6" t="s">
        <v>488</v>
      </c>
      <c r="F7868" s="6" t="str">
        <f>IF($M7868="PADD I","PADD 1",IF($M7868="PADD II","PADD 2",IF($M7868="PADD III","PADD 3",IF($M7868="PADD IV","PADD 4",IF($M7868="PADD V","PADD 5","")))))</f>
        <v>PADD 4</v>
      </c>
      <c r="G7868" s="6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6" t="s">
        <v>44</v>
      </c>
      <c r="I7868" s="6" t="s">
        <v>608</v>
      </c>
      <c r="J7868" s="6" t="s">
        <v>394</v>
      </c>
      <c r="K7868" s="10">
        <v>1.3</v>
      </c>
      <c r="L7868" s="10">
        <v>10</v>
      </c>
      <c r="M7868" s="6" t="s">
        <v>480</v>
      </c>
      <c r="N7868" s="6">
        <f>IF(OR($G7868="FCC",$G7868="Hydrocracker",$G7868="Reformer"),IF(COUNTIFS($D:$D,$D7868,$A:$A,$A7868,$B:$B,$B7868,$G:$G,"CDU",$J:$J,"PLANNED")&gt;0,"tied","standalone"),"")</f>
        <v/>
      </c>
    </row>
    <row r="7869" spans="1:14">
      <c r="A7869" s="6">
        <v>2026</v>
      </c>
      <c r="B7869" s="6">
        <v>5</v>
      </c>
      <c r="C7869" s="6" t="s">
        <v>64</v>
      </c>
      <c r="D7869" s="6" t="s">
        <v>512</v>
      </c>
      <c r="E7869" s="6" t="s">
        <v>488</v>
      </c>
      <c r="F7869" s="6" t="str">
        <f>IF($M7869="PADD I","PADD 1",IF($M7869="PADD II","PADD 2",IF($M7869="PADD III","PADD 3",IF($M7869="PADD IV","PADD 4",IF($M7869="PADD V","PADD 5","")))))</f>
        <v>PADD 4</v>
      </c>
      <c r="G7869" s="6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6" t="s">
        <v>44</v>
      </c>
      <c r="I7869" s="6" t="s">
        <v>543</v>
      </c>
      <c r="J7869" s="6" t="s">
        <v>394</v>
      </c>
      <c r="K7869" s="10">
        <v>1.3</v>
      </c>
      <c r="L7869" s="10">
        <v>10</v>
      </c>
      <c r="M7869" s="6" t="s">
        <v>480</v>
      </c>
      <c r="N7869" s="6">
        <f>IF(OR($G7869="FCC",$G7869="Hydrocracker",$G7869="Reformer"),IF(COUNTIFS($D:$D,$D7869,$A:$A,$A7869,$B:$B,$B7869,$G:$G,"CDU",$J:$J,"PLANNED")&gt;0,"tied","standalone"),"")</f>
        <v/>
      </c>
    </row>
    <row r="7870" spans="1:14">
      <c r="A7870" s="6">
        <v>2026</v>
      </c>
      <c r="B7870" s="6">
        <v>5</v>
      </c>
      <c r="C7870" s="6" t="s">
        <v>64</v>
      </c>
      <c r="D7870" s="6" t="s">
        <v>487</v>
      </c>
      <c r="E7870" s="6" t="s">
        <v>488</v>
      </c>
      <c r="F7870" s="6" t="str">
        <f>IF($M7870="PADD I","PADD 1",IF($M7870="PADD II","PADD 2",IF($M7870="PADD III","PADD 3",IF($M7870="PADD IV","PADD 4",IF($M7870="PADD V","PADD 5","")))))</f>
        <v>PADD 4</v>
      </c>
      <c r="G7870" s="6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6" t="s">
        <v>44</v>
      </c>
      <c r="I7870" s="6" t="s">
        <v>543</v>
      </c>
      <c r="J7870" s="6" t="s">
        <v>394</v>
      </c>
      <c r="K7870" s="10">
        <v>1.3</v>
      </c>
      <c r="L7870" s="10">
        <v>10</v>
      </c>
      <c r="M7870" s="6" t="s">
        <v>480</v>
      </c>
      <c r="N7870" s="6">
        <f>IF(OR($G7870="FCC",$G7870="Hydrocracker",$G7870="Reformer"),IF(COUNTIFS($D:$D,$D7870,$A:$A,$A7870,$B:$B,$B7870,$G:$G,"CDU",$J:$J,"PLANNED")&gt;0,"tied","standalone"),"")</f>
        <v/>
      </c>
    </row>
    <row r="7871" spans="1:14">
      <c r="A7871" s="6">
        <v>2026</v>
      </c>
      <c r="B7871" s="6">
        <v>5</v>
      </c>
      <c r="C7871" s="6" t="s">
        <v>64</v>
      </c>
      <c r="D7871" s="6" t="s">
        <v>772</v>
      </c>
      <c r="E7871" s="6" t="s">
        <v>502</v>
      </c>
      <c r="F7871" s="6" t="str">
        <f>IF($M7871="PADD I","PADD 1",IF($M7871="PADD II","PADD 2",IF($M7871="PADD III","PADD 3",IF($M7871="PADD IV","PADD 4",IF($M7871="PADD V","PADD 5","")))))</f>
        <v>PADD 4</v>
      </c>
      <c r="G7871" s="6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6" t="s">
        <v>44</v>
      </c>
      <c r="I7871" s="6" t="s">
        <v>1414</v>
      </c>
      <c r="J7871" s="6" t="s">
        <v>398</v>
      </c>
      <c r="K7871" s="10">
        <v>1.3</v>
      </c>
      <c r="L7871" s="10">
        <v>10</v>
      </c>
      <c r="M7871" s="6" t="s">
        <v>480</v>
      </c>
      <c r="N7871" s="6">
        <f>IF(OR($G7871="FCC",$G7871="Hydrocracker",$G7871="Reformer"),IF(COUNTIFS($D:$D,$D7871,$A:$A,$A7871,$B:$B,$B7871,$G:$G,"CDU",$J:$J,"PLANNED")&gt;0,"tied","standalone"),"")</f>
        <v/>
      </c>
    </row>
    <row r="7872" spans="1:14">
      <c r="A7872" s="6">
        <v>2026</v>
      </c>
      <c r="B7872" s="6">
        <v>5</v>
      </c>
      <c r="C7872" s="6" t="s">
        <v>64</v>
      </c>
      <c r="D7872" s="6" t="s">
        <v>1093</v>
      </c>
      <c r="E7872" s="6" t="s">
        <v>438</v>
      </c>
      <c r="F7872" s="6" t="str">
        <f>IF($M7872="PADD I","PADD 1",IF($M7872="PADD II","PADD 2",IF($M7872="PADD III","PADD 3",IF($M7872="PADD IV","PADD 4",IF($M7872="PADD V","PADD 5","")))))</f>
        <v>PADD 2</v>
      </c>
      <c r="G7872" s="6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6" t="s">
        <v>471</v>
      </c>
      <c r="I7872" s="6" t="s">
        <v>966</v>
      </c>
      <c r="J7872" s="6" t="s">
        <v>394</v>
      </c>
      <c r="K7872" s="10">
        <v>1.25</v>
      </c>
      <c r="L7872" s="10">
        <v>12.5</v>
      </c>
      <c r="M7872" s="6" t="s">
        <v>425</v>
      </c>
      <c r="N7872" s="6" t="str">
        <f>IF(OR($G7872="FCC",$G7872="Hydrocracker",$G7872="Reformer"),IF(COUNTIFS($D:$D,$D7872,$A:$A,$A7872,$B:$B,$B7872,$G:$G,"CDU",$J:$J,"PLANNED")&gt;0,"tied","standalone"),"")</f>
        <v>standalone</v>
      </c>
    </row>
    <row r="7873" spans="1:14">
      <c r="A7873" s="6">
        <v>2026</v>
      </c>
      <c r="B7873" s="6">
        <v>5</v>
      </c>
      <c r="C7873" s="6" t="s">
        <v>64</v>
      </c>
      <c r="D7873" s="6" t="s">
        <v>581</v>
      </c>
      <c r="E7873" s="6" t="s">
        <v>582</v>
      </c>
      <c r="F7873" s="6" t="str">
        <f>IF($M7873="PADD I","PADD 1",IF($M7873="PADD II","PADD 2",IF($M7873="PADD III","PADD 3",IF($M7873="PADD IV","PADD 4",IF($M7873="PADD V","PADD 5","")))))</f>
        <v>PADD 5</v>
      </c>
      <c r="G7873" s="6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6" t="s">
        <v>44</v>
      </c>
      <c r="I7873" s="6" t="s">
        <v>668</v>
      </c>
      <c r="J7873" s="6" t="s">
        <v>398</v>
      </c>
      <c r="K7873" s="10">
        <v>1.2</v>
      </c>
      <c r="L7873" s="10">
        <v>20</v>
      </c>
      <c r="M7873" s="6" t="s">
        <v>436</v>
      </c>
      <c r="N7873" s="6">
        <f>IF(OR($G7873="FCC",$G7873="Hydrocracker",$G7873="Reformer"),IF(COUNTIFS($D:$D,$D7873,$A:$A,$A7873,$B:$B,$B7873,$G:$G,"CDU",$J:$J,"PLANNED")&gt;0,"tied","standalone"),"")</f>
        <v/>
      </c>
    </row>
    <row r="7874" spans="1:14">
      <c r="A7874" s="6">
        <v>2026</v>
      </c>
      <c r="B7874" s="6">
        <v>5</v>
      </c>
      <c r="C7874" s="6" t="s">
        <v>64</v>
      </c>
      <c r="D7874" s="6" t="s">
        <v>696</v>
      </c>
      <c r="E7874" s="6" t="s">
        <v>455</v>
      </c>
      <c r="F7874" s="6" t="str">
        <f>IF($M7874="PADD I","PADD 1",IF($M7874="PADD II","PADD 2",IF($M7874="PADD III","PADD 3",IF($M7874="PADD IV","PADD 4",IF($M7874="PADD V","PADD 5","")))))</f>
        <v>PADD 3</v>
      </c>
      <c r="G7874" s="6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6" t="s">
        <v>39</v>
      </c>
      <c r="I7874" s="6" t="s">
        <v>127</v>
      </c>
      <c r="J7874" s="6" t="s">
        <v>394</v>
      </c>
      <c r="K7874" s="10">
        <v>1.2</v>
      </c>
      <c r="L7874" s="10">
        <v>40</v>
      </c>
      <c r="M7874" s="6" t="s">
        <v>421</v>
      </c>
      <c r="N7874" s="6">
        <f>IF(OR($G7874="FCC",$G7874="Hydrocracker",$G7874="Reformer"),IF(COUNTIFS($D:$D,$D7874,$A:$A,$A7874,$B:$B,$B7874,$G:$G,"CDU",$J:$J,"PLANNED")&gt;0,"tied","standalone"),"")</f>
        <v/>
      </c>
    </row>
    <row r="7875" spans="1:14">
      <c r="A7875" s="6">
        <v>2026</v>
      </c>
      <c r="B7875" s="6">
        <v>5</v>
      </c>
      <c r="C7875" s="6" t="s">
        <v>64</v>
      </c>
      <c r="D7875" s="6" t="s">
        <v>772</v>
      </c>
      <c r="E7875" s="6" t="s">
        <v>502</v>
      </c>
      <c r="F7875" s="6" t="str">
        <f>IF($M7875="PADD I","PADD 1",IF($M7875="PADD II","PADD 2",IF($M7875="PADD III","PADD 3",IF($M7875="PADD IV","PADD 4",IF($M7875="PADD V","PADD 5","")))))</f>
        <v>PADD 4</v>
      </c>
      <c r="G7875" s="6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6" t="s">
        <v>426</v>
      </c>
      <c r="I7875" s="6" t="s">
        <v>1156</v>
      </c>
      <c r="J7875" s="6" t="s">
        <v>398</v>
      </c>
      <c r="K7875" s="10">
        <v>1.157</v>
      </c>
      <c r="L7875" s="10">
        <v>8.9</v>
      </c>
      <c r="M7875" s="6" t="s">
        <v>480</v>
      </c>
      <c r="N7875" s="6" t="str">
        <f>IF(OR($G7875="FCC",$G7875="Hydrocracker",$G7875="Reformer"),IF(COUNTIFS($D:$D,$D7875,$A:$A,$A7875,$B:$B,$B7875,$G:$G,"CDU",$J:$J,"PLANNED")&gt;0,"tied","standalone"),"")</f>
        <v>standalone</v>
      </c>
    </row>
    <row r="7876" spans="1:14">
      <c r="A7876" s="6">
        <v>2026</v>
      </c>
      <c r="B7876" s="6">
        <v>5</v>
      </c>
      <c r="C7876" s="6" t="s">
        <v>64</v>
      </c>
      <c r="D7876" s="6" t="s">
        <v>1373</v>
      </c>
      <c r="E7876" s="6" t="s">
        <v>419</v>
      </c>
      <c r="F7876" s="6" t="str">
        <f>IF($M7876="PADD I","PADD 1",IF($M7876="PADD II","PADD 2",IF($M7876="PADD III","PADD 3",IF($M7876="PADD IV","PADD 4",IF($M7876="PADD V","PADD 5","")))))</f>
        <v>PADD 5</v>
      </c>
      <c r="G7876" s="6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6" t="s">
        <v>510</v>
      </c>
      <c r="I7876" s="6" t="s">
        <v>666</v>
      </c>
      <c r="J7876" s="6" t="s">
        <v>394</v>
      </c>
      <c r="K7876" s="10">
        <v>1.105</v>
      </c>
      <c r="L7876" s="10">
        <v>8.5</v>
      </c>
      <c r="M7876" s="6" t="s">
        <v>436</v>
      </c>
      <c r="N7876" s="6">
        <f>IF(OR($G7876="FCC",$G7876="Hydrocracker",$G7876="Reformer"),IF(COUNTIFS($D:$D,$D7876,$A:$A,$A7876,$B:$B,$B7876,$G:$G,"CDU",$J:$J,"PLANNED")&gt;0,"tied","standalone"),"")</f>
        <v/>
      </c>
    </row>
    <row r="7877" spans="1:14">
      <c r="A7877" s="6">
        <v>2026</v>
      </c>
      <c r="B7877" s="6">
        <v>5</v>
      </c>
      <c r="C7877" s="6" t="s">
        <v>64</v>
      </c>
      <c r="D7877" s="6" t="s">
        <v>772</v>
      </c>
      <c r="E7877" s="6" t="s">
        <v>502</v>
      </c>
      <c r="F7877" s="6" t="str">
        <f>IF($M7877="PADD I","PADD 1",IF($M7877="PADD II","PADD 2",IF($M7877="PADD III","PADD 3",IF($M7877="PADD IV","PADD 4",IF($M7877="PADD V","PADD 5","")))))</f>
        <v>PADD 4</v>
      </c>
      <c r="G7877" s="6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6" t="s">
        <v>471</v>
      </c>
      <c r="I7877" s="6" t="s">
        <v>1157</v>
      </c>
      <c r="J7877" s="6" t="s">
        <v>398</v>
      </c>
      <c r="K7877" s="10">
        <v>1.04</v>
      </c>
      <c r="L7877" s="10">
        <v>8</v>
      </c>
      <c r="M7877" s="6" t="s">
        <v>480</v>
      </c>
      <c r="N7877" s="6" t="str">
        <f>IF(OR($G7877="FCC",$G7877="Hydrocracker",$G7877="Reformer"),IF(COUNTIFS($D:$D,$D7877,$A:$A,$A7877,$B:$B,$B7877,$G:$G,"CDU",$J:$J,"PLANNED")&gt;0,"tied","standalone"),"")</f>
        <v>standalone</v>
      </c>
    </row>
    <row r="7878" spans="1:14">
      <c r="A7878" s="6">
        <v>2026</v>
      </c>
      <c r="B7878" s="6">
        <v>5</v>
      </c>
      <c r="C7878" s="6" t="s">
        <v>64</v>
      </c>
      <c r="D7878" s="6" t="s">
        <v>373</v>
      </c>
      <c r="E7878" s="6" t="s">
        <v>438</v>
      </c>
      <c r="F7878" s="6" t="str">
        <f>IF($M7878="PADD I","PADD 1",IF($M7878="PADD II","PADD 2",IF($M7878="PADD III","PADD 3",IF($M7878="PADD IV","PADD 4",IF($M7878="PADD V","PADD 5","")))))</f>
        <v>PADD 3</v>
      </c>
      <c r="G7878" s="6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6" t="s">
        <v>485</v>
      </c>
      <c r="I7878" s="6" t="s">
        <v>1012</v>
      </c>
      <c r="J7878" s="6" t="s">
        <v>394</v>
      </c>
      <c r="K7878" s="10">
        <v>1.035</v>
      </c>
      <c r="L7878" s="10">
        <v>34.5</v>
      </c>
      <c r="M7878" s="6" t="s">
        <v>421</v>
      </c>
      <c r="N7878" s="6">
        <f>IF(OR($G7878="FCC",$G7878="Hydrocracker",$G7878="Reformer"),IF(COUNTIFS($D:$D,$D7878,$A:$A,$A7878,$B:$B,$B7878,$G:$G,"CDU",$J:$J,"PLANNED")&gt;0,"tied","standalone"),"")</f>
        <v/>
      </c>
    </row>
    <row r="7879" spans="1:14">
      <c r="A7879" s="6">
        <v>2026</v>
      </c>
      <c r="B7879" s="6">
        <v>5</v>
      </c>
      <c r="C7879" s="6" t="s">
        <v>64</v>
      </c>
      <c r="D7879" s="6" t="s">
        <v>626</v>
      </c>
      <c r="E7879" s="6" t="s">
        <v>419</v>
      </c>
      <c r="F7879" s="6" t="str">
        <f>IF($M7879="PADD I","PADD 1",IF($M7879="PADD II","PADD 2",IF($M7879="PADD III","PADD 3",IF($M7879="PADD IV","PADD 4",IF($M7879="PADD V","PADD 5","")))))</f>
        <v>PADD 3</v>
      </c>
      <c r="G7879" s="6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6" t="s">
        <v>471</v>
      </c>
      <c r="I7879" s="6" t="s">
        <v>926</v>
      </c>
      <c r="J7879" s="6" t="s">
        <v>394</v>
      </c>
      <c r="K7879" s="10">
        <v>1.02</v>
      </c>
      <c r="L7879" s="10">
        <v>34</v>
      </c>
      <c r="M7879" s="6" t="s">
        <v>421</v>
      </c>
      <c r="N7879" s="6" t="str">
        <f>IF(OR($G7879="FCC",$G7879="Hydrocracker",$G7879="Reformer"),IF(COUNTIFS($D:$D,$D7879,$A:$A,$A7879,$B:$B,$B7879,$G:$G,"CDU",$J:$J,"PLANNED")&gt;0,"tied","standalone"),"")</f>
        <v>standalone</v>
      </c>
    </row>
    <row r="7880" spans="1:14">
      <c r="A7880" s="6">
        <v>2026</v>
      </c>
      <c r="B7880" s="6">
        <v>5</v>
      </c>
      <c r="C7880" s="6" t="s">
        <v>64</v>
      </c>
      <c r="D7880" s="6" t="s">
        <v>576</v>
      </c>
      <c r="E7880" s="6" t="s">
        <v>455</v>
      </c>
      <c r="F7880" s="6" t="str">
        <f>IF($M7880="PADD I","PADD 1",IF($M7880="PADD II","PADD 2",IF($M7880="PADD III","PADD 3",IF($M7880="PADD IV","PADD 4",IF($M7880="PADD V","PADD 5","")))))</f>
        <v>PADD 3</v>
      </c>
      <c r="G7880" s="6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6" t="s">
        <v>510</v>
      </c>
      <c r="I7880" s="6" t="s">
        <v>1416</v>
      </c>
      <c r="J7880" s="6" t="s">
        <v>394</v>
      </c>
      <c r="K7880" s="10">
        <v>1.014</v>
      </c>
      <c r="L7880" s="10">
        <v>16.9</v>
      </c>
      <c r="M7880" s="6" t="s">
        <v>421</v>
      </c>
      <c r="N7880" s="6">
        <f>IF(OR($G7880="FCC",$G7880="Hydrocracker",$G7880="Reformer"),IF(COUNTIFS($D:$D,$D7880,$A:$A,$A7880,$B:$B,$B7880,$G:$G,"CDU",$J:$J,"PLANNED")&gt;0,"tied","standalone"),"")</f>
        <v/>
      </c>
    </row>
    <row r="7881" spans="1:14">
      <c r="A7881" s="6">
        <v>2026</v>
      </c>
      <c r="B7881" s="6">
        <v>5</v>
      </c>
      <c r="C7881" s="6" t="s">
        <v>64</v>
      </c>
      <c r="D7881" s="6" t="s">
        <v>470</v>
      </c>
      <c r="E7881" s="6" t="s">
        <v>423</v>
      </c>
      <c r="F7881" s="6" t="str">
        <f>IF($M7881="PADD I","PADD 1",IF($M7881="PADD II","PADD 2",IF($M7881="PADD III","PADD 3",IF($M7881="PADD IV","PADD 4",IF($M7881="PADD V","PADD 5","")))))</f>
        <v>PADD 2</v>
      </c>
      <c r="G7881" s="6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6" t="s">
        <v>510</v>
      </c>
      <c r="I7881" s="6" t="s">
        <v>666</v>
      </c>
      <c r="J7881" s="6" t="s">
        <v>394</v>
      </c>
      <c r="K7881" s="10">
        <v>0.825</v>
      </c>
      <c r="L7881" s="10">
        <v>1.5</v>
      </c>
      <c r="M7881" s="6" t="s">
        <v>425</v>
      </c>
      <c r="N7881" s="6">
        <f>IF(OR($G7881="FCC",$G7881="Hydrocracker",$G7881="Reformer"),IF(COUNTIFS($D:$D,$D7881,$A:$A,$A7881,$B:$B,$B7881,$G:$G,"CDU",$J:$J,"PLANNED")&gt;0,"tied","standalone"),"")</f>
        <v/>
      </c>
    </row>
    <row r="7882" spans="1:14">
      <c r="A7882" s="6">
        <v>2026</v>
      </c>
      <c r="B7882" s="6">
        <v>5</v>
      </c>
      <c r="C7882" s="6" t="s">
        <v>64</v>
      </c>
      <c r="D7882" s="6" t="s">
        <v>49</v>
      </c>
      <c r="E7882" s="6" t="s">
        <v>438</v>
      </c>
      <c r="F7882" s="6" t="str">
        <f>IF($M7882="PADD I","PADD 1",IF($M7882="PADD II","PADD 2",IF($M7882="PADD III","PADD 3",IF($M7882="PADD IV","PADD 4",IF($M7882="PADD V","PADD 5","")))))</f>
        <v>PADD 2</v>
      </c>
      <c r="G7882" s="6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6" t="s">
        <v>485</v>
      </c>
      <c r="I7882" s="6" t="s">
        <v>681</v>
      </c>
      <c r="J7882" s="6" t="s">
        <v>394</v>
      </c>
      <c r="K7882" s="10">
        <v>0.72</v>
      </c>
      <c r="L7882" s="10">
        <v>12</v>
      </c>
      <c r="M7882" s="6" t="s">
        <v>425</v>
      </c>
      <c r="N7882" s="6">
        <f>IF(OR($G7882="FCC",$G7882="Hydrocracker",$G7882="Reformer"),IF(COUNTIFS($D:$D,$D7882,$A:$A,$A7882,$B:$B,$B7882,$G:$G,"CDU",$J:$J,"PLANNED")&gt;0,"tied","standalone"),"")</f>
        <v/>
      </c>
    </row>
    <row r="7883" spans="1:14">
      <c r="A7883" s="6">
        <v>2026</v>
      </c>
      <c r="B7883" s="6">
        <v>5</v>
      </c>
      <c r="C7883" s="6" t="s">
        <v>64</v>
      </c>
      <c r="D7883" s="6" t="s">
        <v>550</v>
      </c>
      <c r="E7883" s="6" t="s">
        <v>438</v>
      </c>
      <c r="F7883" s="6" t="str">
        <f>IF($M7883="PADD I","PADD 1",IF($M7883="PADD II","PADD 2",IF($M7883="PADD III","PADD 3",IF($M7883="PADD IV","PADD 4",IF($M7883="PADD V","PADD 5","")))))</f>
        <v>PADD 2</v>
      </c>
      <c r="G7883" s="6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6" t="s">
        <v>44</v>
      </c>
      <c r="I7883" s="6" t="s">
        <v>570</v>
      </c>
      <c r="J7883" s="6" t="s">
        <v>394</v>
      </c>
      <c r="K7883" s="10">
        <v>0.705</v>
      </c>
      <c r="L7883" s="10">
        <v>23.5</v>
      </c>
      <c r="M7883" s="6" t="s">
        <v>425</v>
      </c>
      <c r="N7883" s="6">
        <f>IF(OR($G7883="FCC",$G7883="Hydrocracker",$G7883="Reformer"),IF(COUNTIFS($D:$D,$D7883,$A:$A,$A7883,$B:$B,$B7883,$G:$G,"CDU",$J:$J,"PLANNED")&gt;0,"tied","standalone"),"")</f>
        <v/>
      </c>
    </row>
    <row r="7884" spans="1:14">
      <c r="A7884" s="6">
        <v>2026</v>
      </c>
      <c r="B7884" s="6">
        <v>5</v>
      </c>
      <c r="C7884" s="6" t="s">
        <v>64</v>
      </c>
      <c r="D7884" s="6" t="s">
        <v>550</v>
      </c>
      <c r="E7884" s="6" t="s">
        <v>438</v>
      </c>
      <c r="F7884" s="6" t="str">
        <f>IF($M7884="PADD I","PADD 1",IF($M7884="PADD II","PADD 2",IF($M7884="PADD III","PADD 3",IF($M7884="PADD IV","PADD 4",IF($M7884="PADD V","PADD 5","")))))</f>
        <v>PADD 2</v>
      </c>
      <c r="G7884" s="6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6" t="s">
        <v>471</v>
      </c>
      <c r="I7884" s="6" t="s">
        <v>589</v>
      </c>
      <c r="J7884" s="6" t="s">
        <v>394</v>
      </c>
      <c r="K7884" s="10">
        <v>0.645</v>
      </c>
      <c r="L7884" s="10">
        <v>21.5</v>
      </c>
      <c r="M7884" s="6" t="s">
        <v>425</v>
      </c>
      <c r="N7884" s="6" t="str">
        <f>IF(OR($G7884="FCC",$G7884="Hydrocracker",$G7884="Reformer"),IF(COUNTIFS($D:$D,$D7884,$A:$A,$A7884,$B:$B,$B7884,$G:$G,"CDU",$J:$J,"PLANNED")&gt;0,"tied","standalone"),"")</f>
        <v>standalone</v>
      </c>
    </row>
    <row r="7885" spans="1:14">
      <c r="A7885" s="6">
        <v>2026</v>
      </c>
      <c r="B7885" s="6">
        <v>5</v>
      </c>
      <c r="C7885" s="6" t="s">
        <v>64</v>
      </c>
      <c r="D7885" s="6" t="s">
        <v>550</v>
      </c>
      <c r="E7885" s="6" t="s">
        <v>438</v>
      </c>
      <c r="F7885" s="6" t="str">
        <f>IF($M7885="PADD I","PADD 1",IF($M7885="PADD II","PADD 2",IF($M7885="PADD III","PADD 3",IF($M7885="PADD IV","PADD 4",IF($M7885="PADD V","PADD 5","")))))</f>
        <v>PADD 2</v>
      </c>
      <c r="G7885" s="6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6" t="s">
        <v>44</v>
      </c>
      <c r="I7885" s="6" t="s">
        <v>570</v>
      </c>
      <c r="J7885" s="6" t="s">
        <v>394</v>
      </c>
      <c r="K7885" s="10">
        <v>0.6</v>
      </c>
      <c r="L7885" s="10">
        <v>20</v>
      </c>
      <c r="M7885" s="6" t="s">
        <v>425</v>
      </c>
      <c r="N7885" s="6">
        <f>IF(OR($G7885="FCC",$G7885="Hydrocracker",$G7885="Reformer"),IF(COUNTIFS($D:$D,$D7885,$A:$A,$A7885,$B:$B,$B7885,$G:$G,"CDU",$J:$J,"PLANNED")&gt;0,"tied","standalone"),"")</f>
        <v/>
      </c>
    </row>
    <row r="7886" spans="1:14">
      <c r="A7886" s="6">
        <v>2026</v>
      </c>
      <c r="B7886" s="6">
        <v>5</v>
      </c>
      <c r="C7886" s="6" t="s">
        <v>64</v>
      </c>
      <c r="D7886" s="6" t="s">
        <v>383</v>
      </c>
      <c r="E7886" s="6" t="s">
        <v>602</v>
      </c>
      <c r="F7886" s="6" t="str">
        <f>IF($M7886="PADD I","PADD 1",IF($M7886="PADD II","PADD 2",IF($M7886="PADD III","PADD 3",IF($M7886="PADD IV","PADD 4",IF($M7886="PADD V","PADD 5","")))))</f>
        <v>PADD 3</v>
      </c>
      <c r="G7886" s="6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6" t="s">
        <v>426</v>
      </c>
      <c r="I7886" s="6" t="s">
        <v>663</v>
      </c>
      <c r="J7886" s="6" t="s">
        <v>394</v>
      </c>
      <c r="K7886" s="10">
        <v>0.6</v>
      </c>
      <c r="L7886" s="10">
        <v>20</v>
      </c>
      <c r="M7886" s="6" t="s">
        <v>421</v>
      </c>
      <c r="N7886" s="6" t="str">
        <f>IF(OR($G7886="FCC",$G7886="Hydrocracker",$G7886="Reformer"),IF(COUNTIFS($D:$D,$D7886,$A:$A,$A7886,$B:$B,$B7886,$G:$G,"CDU",$J:$J,"PLANNED")&gt;0,"tied","standalone"),"")</f>
        <v>standalone</v>
      </c>
    </row>
    <row r="7887" spans="1:14">
      <c r="A7887" s="6">
        <v>2026</v>
      </c>
      <c r="B7887" s="6">
        <v>5</v>
      </c>
      <c r="C7887" s="6" t="s">
        <v>64</v>
      </c>
      <c r="D7887" s="6" t="s">
        <v>368</v>
      </c>
      <c r="E7887" s="6" t="s">
        <v>715</v>
      </c>
      <c r="F7887" s="6" t="str">
        <f>IF($M7887="PADD I","PADD 1",IF($M7887="PADD II","PADD 2",IF($M7887="PADD III","PADD 3",IF($M7887="PADD IV","PADD 4",IF($M7887="PADD V","PADD 5","")))))</f>
        <v>PADD 3</v>
      </c>
      <c r="G7887" s="6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6" t="s">
        <v>426</v>
      </c>
      <c r="I7887" s="6" t="s">
        <v>925</v>
      </c>
      <c r="J7887" s="6" t="s">
        <v>394</v>
      </c>
      <c r="K7887" s="10">
        <v>0.6</v>
      </c>
      <c r="L7887" s="10">
        <v>20</v>
      </c>
      <c r="M7887" s="6" t="s">
        <v>421</v>
      </c>
      <c r="N7887" s="6" t="str">
        <f>IF(OR($G7887="FCC",$G7887="Hydrocracker",$G7887="Reformer"),IF(COUNTIFS($D:$D,$D7887,$A:$A,$A7887,$B:$B,$B7887,$G:$G,"CDU",$J:$J,"PLANNED")&gt;0,"tied","standalone"),"")</f>
        <v>standalone</v>
      </c>
    </row>
    <row r="7888" spans="1:14">
      <c r="A7888" s="6">
        <v>2026</v>
      </c>
      <c r="B7888" s="6">
        <v>5</v>
      </c>
      <c r="C7888" s="6" t="s">
        <v>64</v>
      </c>
      <c r="D7888" s="6" t="s">
        <v>550</v>
      </c>
      <c r="E7888" s="6" t="s">
        <v>438</v>
      </c>
      <c r="F7888" s="6" t="str">
        <f>IF($M7888="PADD I","PADD 1",IF($M7888="PADD II","PADD 2",IF($M7888="PADD III","PADD 3",IF($M7888="PADD IV","PADD 4",IF($M7888="PADD V","PADD 5","")))))</f>
        <v>PADD 2</v>
      </c>
      <c r="G7888" s="6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6" t="s">
        <v>471</v>
      </c>
      <c r="I7888" s="6" t="s">
        <v>589</v>
      </c>
      <c r="J7888" s="6" t="s">
        <v>394</v>
      </c>
      <c r="K7888" s="10">
        <v>0.57</v>
      </c>
      <c r="L7888" s="10">
        <v>19</v>
      </c>
      <c r="M7888" s="6" t="s">
        <v>425</v>
      </c>
      <c r="N7888" s="6" t="str">
        <f>IF(OR($G7888="FCC",$G7888="Hydrocracker",$G7888="Reformer"),IF(COUNTIFS($D:$D,$D7888,$A:$A,$A7888,$B:$B,$B7888,$G:$G,"CDU",$J:$J,"PLANNED")&gt;0,"tied","standalone"),"")</f>
        <v>standalone</v>
      </c>
    </row>
    <row r="7889" spans="1:14">
      <c r="A7889" s="6">
        <v>2026</v>
      </c>
      <c r="B7889" s="6">
        <v>5</v>
      </c>
      <c r="C7889" s="6" t="s">
        <v>64</v>
      </c>
      <c r="D7889" s="6" t="s">
        <v>696</v>
      </c>
      <c r="E7889" s="6" t="s">
        <v>455</v>
      </c>
      <c r="F7889" s="6" t="str">
        <f>IF($M7889="PADD I","PADD 1",IF($M7889="PADD II","PADD 2",IF($M7889="PADD III","PADD 3",IF($M7889="PADD IV","PADD 4",IF($M7889="PADD V","PADD 5","")))))</f>
        <v>PADD 3</v>
      </c>
      <c r="G7889" s="6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6" t="s">
        <v>485</v>
      </c>
      <c r="I7889" s="6" t="s">
        <v>491</v>
      </c>
      <c r="J7889" s="6" t="s">
        <v>394</v>
      </c>
      <c r="K7889" s="10">
        <v>0.54</v>
      </c>
      <c r="L7889" s="10">
        <v>18</v>
      </c>
      <c r="M7889" s="6" t="s">
        <v>421</v>
      </c>
      <c r="N7889" s="6">
        <f>IF(OR($G7889="FCC",$G7889="Hydrocracker",$G7889="Reformer"),IF(COUNTIFS($D:$D,$D7889,$A:$A,$A7889,$B:$B,$B7889,$G:$G,"CDU",$J:$J,"PLANNED")&gt;0,"tied","standalone"),"")</f>
        <v/>
      </c>
    </row>
    <row r="7890" spans="1:14">
      <c r="A7890" s="6">
        <v>2026</v>
      </c>
      <c r="B7890" s="6">
        <v>5</v>
      </c>
      <c r="C7890" s="6" t="s">
        <v>64</v>
      </c>
      <c r="D7890" s="6" t="s">
        <v>772</v>
      </c>
      <c r="E7890" s="6" t="s">
        <v>502</v>
      </c>
      <c r="F7890" s="6" t="str">
        <f>IF($M7890="PADD I","PADD 1",IF($M7890="PADD II","PADD 2",IF($M7890="PADD III","PADD 3",IF($M7890="PADD IV","PADD 4",IF($M7890="PADD V","PADD 5","")))))</f>
        <v>PADD 4</v>
      </c>
      <c r="G7890" s="6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6" t="s">
        <v>618</v>
      </c>
      <c r="I7890" s="6" t="s">
        <v>1417</v>
      </c>
      <c r="J7890" s="6" t="s">
        <v>398</v>
      </c>
      <c r="K7890" s="10">
        <v>0.39</v>
      </c>
      <c r="L7890" s="10">
        <v>3</v>
      </c>
      <c r="M7890" s="6" t="s">
        <v>480</v>
      </c>
      <c r="N7890" s="6">
        <f>IF(OR($G7890="FCC",$G7890="Hydrocracker",$G7890="Reformer"),IF(COUNTIFS($D:$D,$D7890,$A:$A,$A7890,$B:$B,$B7890,$G:$G,"CDU",$J:$J,"PLANNED")&gt;0,"tied","standalone"),"")</f>
        <v/>
      </c>
    </row>
    <row r="7891" spans="1:14">
      <c r="A7891" s="6">
        <v>2026</v>
      </c>
      <c r="B7891" s="6">
        <v>5</v>
      </c>
      <c r="C7891" s="6" t="s">
        <v>64</v>
      </c>
      <c r="D7891" s="6" t="s">
        <v>772</v>
      </c>
      <c r="E7891" s="6" t="s">
        <v>502</v>
      </c>
      <c r="F7891" s="6" t="str">
        <f>IF($M7891="PADD I","PADD 1",IF($M7891="PADD II","PADD 2",IF($M7891="PADD III","PADD 3",IF($M7891="PADD IV","PADD 4",IF($M7891="PADD V","PADD 5","")))))</f>
        <v>PADD 4</v>
      </c>
      <c r="G7891" s="6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6" t="s">
        <v>510</v>
      </c>
      <c r="I7891" s="6" t="s">
        <v>1159</v>
      </c>
      <c r="J7891" s="6" t="s">
        <v>398</v>
      </c>
      <c r="K7891" s="10">
        <v>0.377</v>
      </c>
      <c r="L7891" s="10">
        <v>2.9</v>
      </c>
      <c r="M7891" s="6" t="s">
        <v>480</v>
      </c>
      <c r="N7891" s="6">
        <f>IF(OR($G7891="FCC",$G7891="Hydrocracker",$G7891="Reformer"),IF(COUNTIFS($D:$D,$D7891,$A:$A,$A7891,$B:$B,$B7891,$G:$G,"CDU",$J:$J,"PLANNED")&gt;0,"tied","standalone"),"")</f>
        <v/>
      </c>
    </row>
    <row r="7892" spans="1:14">
      <c r="A7892" s="6">
        <v>2026</v>
      </c>
      <c r="B7892" s="6">
        <v>6</v>
      </c>
      <c r="C7892" s="6" t="s">
        <v>65</v>
      </c>
      <c r="D7892" s="6" t="s">
        <v>662</v>
      </c>
      <c r="E7892" s="6" t="s">
        <v>466</v>
      </c>
      <c r="F7892" s="6" t="str">
        <f>IF($M7892="PADD I","PADD 1",IF($M7892="PADD II","PADD 2",IF($M7892="PADD III","PADD 3",IF($M7892="PADD IV","PADD 4",IF($M7892="PADD V","PADD 5","")))))</f>
        <v>PADD 3</v>
      </c>
      <c r="G7892" s="6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6" t="s">
        <v>39</v>
      </c>
      <c r="I7892" s="6" t="s">
        <v>82</v>
      </c>
      <c r="J7892" s="6" t="s">
        <v>394</v>
      </c>
      <c r="K7892" s="10">
        <v>103.95</v>
      </c>
      <c r="L7892" s="10">
        <v>165</v>
      </c>
      <c r="M7892" s="6" t="s">
        <v>421</v>
      </c>
      <c r="N7892" s="6">
        <f>IF(OR($G7892="FCC",$G7892="Hydrocracker",$G7892="Reformer"),IF(COUNTIFS($D:$D,$D7892,$A:$A,$A7892,$B:$B,$B7892,$G:$G,"CDU",$J:$J,"PLANNED")&gt;0,"tied","standalone"),"")</f>
        <v/>
      </c>
    </row>
    <row r="7893" spans="1:14">
      <c r="A7893" s="6">
        <v>2026</v>
      </c>
      <c r="B7893" s="6">
        <v>6</v>
      </c>
      <c r="C7893" s="6" t="s">
        <v>65</v>
      </c>
      <c r="D7893" s="6" t="s">
        <v>41</v>
      </c>
      <c r="E7893" s="6" t="s">
        <v>786</v>
      </c>
      <c r="F7893" s="6" t="str">
        <f>IF($M7893="PADD I","PADD 1",IF($M7893="PADD II","PADD 2",IF($M7893="PADD III","PADD 3",IF($M7893="PADD IV","PADD 4",IF($M7893="PADD V","PADD 5","")))))</f>
        <v>PADD 1</v>
      </c>
      <c r="G7893" s="6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6" t="s">
        <v>39</v>
      </c>
      <c r="I7893" s="6" t="s">
        <v>1030</v>
      </c>
      <c r="J7893" s="6" t="s">
        <v>394</v>
      </c>
      <c r="K7893" s="10">
        <v>52</v>
      </c>
      <c r="L7893" s="10">
        <v>104</v>
      </c>
      <c r="M7893" s="6" t="s">
        <v>463</v>
      </c>
      <c r="N7893" s="6">
        <f>IF(OR($G7893="FCC",$G7893="Hydrocracker",$G7893="Reformer"),IF(COUNTIFS($D:$D,$D7893,$A:$A,$A7893,$B:$B,$B7893,$G:$G,"CDU",$J:$J,"PLANNED")&gt;0,"tied","standalone"),"")</f>
        <v/>
      </c>
    </row>
    <row r="7894" spans="1:14">
      <c r="A7894" s="6">
        <v>2026</v>
      </c>
      <c r="B7894" s="6">
        <v>6</v>
      </c>
      <c r="C7894" s="6" t="s">
        <v>65</v>
      </c>
      <c r="D7894" s="6" t="s">
        <v>43</v>
      </c>
      <c r="E7894" s="6" t="s">
        <v>455</v>
      </c>
      <c r="F7894" s="6" t="str">
        <f>IF($M7894="PADD I","PADD 1",IF($M7894="PADD II","PADD 2",IF($M7894="PADD III","PADD 3",IF($M7894="PADD IV","PADD 4",IF($M7894="PADD V","PADD 5","")))))</f>
        <v>PADD 3</v>
      </c>
      <c r="G7894" s="6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6" t="s">
        <v>44</v>
      </c>
      <c r="I7894" s="6" t="s">
        <v>1138</v>
      </c>
      <c r="J7894" s="6" t="s">
        <v>394</v>
      </c>
      <c r="K7894" s="10">
        <v>51.7</v>
      </c>
      <c r="L7894" s="10">
        <v>110</v>
      </c>
      <c r="M7894" s="6" t="s">
        <v>421</v>
      </c>
      <c r="N7894" s="6">
        <f>IF(OR($G7894="FCC",$G7894="Hydrocracker",$G7894="Reformer"),IF(COUNTIFS($D:$D,$D7894,$A:$A,$A7894,$B:$B,$B7894,$G:$G,"CDU",$J:$J,"PLANNED")&gt;0,"tied","standalone"),"")</f>
        <v/>
      </c>
    </row>
    <row r="7895" spans="1:14">
      <c r="A7895" s="6">
        <v>2026</v>
      </c>
      <c r="B7895" s="6">
        <v>6</v>
      </c>
      <c r="C7895" s="6" t="s">
        <v>65</v>
      </c>
      <c r="D7895" s="6" t="s">
        <v>41</v>
      </c>
      <c r="E7895" s="6" t="s">
        <v>786</v>
      </c>
      <c r="F7895" s="6" t="str">
        <f>IF($M7895="PADD I","PADD 1",IF($M7895="PADD II","PADD 2",IF($M7895="PADD III","PADD 3",IF($M7895="PADD IV","PADD 4",IF($M7895="PADD V","PADD 5","")))))</f>
        <v>PADD 1</v>
      </c>
      <c r="G7895" s="6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6" t="s">
        <v>39</v>
      </c>
      <c r="I7895" s="6" t="s">
        <v>1039</v>
      </c>
      <c r="J7895" s="6" t="s">
        <v>394</v>
      </c>
      <c r="K7895" s="10">
        <v>48.88</v>
      </c>
      <c r="L7895" s="10">
        <v>104</v>
      </c>
      <c r="M7895" s="6" t="s">
        <v>463</v>
      </c>
      <c r="N7895" s="6">
        <f>IF(OR($G7895="FCC",$G7895="Hydrocracker",$G7895="Reformer"),IF(COUNTIFS($D:$D,$D7895,$A:$A,$A7895,$B:$B,$B7895,$G:$G,"CDU",$J:$J,"PLANNED")&gt;0,"tied","standalone"),"")</f>
        <v/>
      </c>
    </row>
    <row r="7896" spans="1:14">
      <c r="A7896" s="6">
        <v>2026</v>
      </c>
      <c r="B7896" s="6">
        <v>6</v>
      </c>
      <c r="C7896" s="6" t="s">
        <v>65</v>
      </c>
      <c r="D7896" s="6" t="s">
        <v>576</v>
      </c>
      <c r="E7896" s="6" t="s">
        <v>455</v>
      </c>
      <c r="F7896" s="6" t="str">
        <f>IF($M7896="PADD I","PADD 1",IF($M7896="PADD II","PADD 2",IF($M7896="PADD III","PADD 3",IF($M7896="PADD IV","PADD 4",IF($M7896="PADD V","PADD 5","")))))</f>
        <v>PADD 3</v>
      </c>
      <c r="G7896" s="6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6" t="s">
        <v>44</v>
      </c>
      <c r="I7896" s="6" t="s">
        <v>1126</v>
      </c>
      <c r="J7896" s="6" t="s">
        <v>394</v>
      </c>
      <c r="K7896" s="10">
        <v>47</v>
      </c>
      <c r="L7896" s="10">
        <v>47</v>
      </c>
      <c r="M7896" s="6" t="s">
        <v>421</v>
      </c>
      <c r="N7896" s="6">
        <f>IF(OR($G7896="FCC",$G7896="Hydrocracker",$G7896="Reformer"),IF(COUNTIFS($D:$D,$D7896,$A:$A,$A7896,$B:$B,$B7896,$G:$G,"CDU",$J:$J,"PLANNED")&gt;0,"tied","standalone"),"")</f>
        <v/>
      </c>
    </row>
    <row r="7897" spans="1:14">
      <c r="A7897" s="6">
        <v>2026</v>
      </c>
      <c r="B7897" s="6">
        <v>6</v>
      </c>
      <c r="C7897" s="6" t="s">
        <v>65</v>
      </c>
      <c r="D7897" s="6" t="s">
        <v>45</v>
      </c>
      <c r="E7897" s="6" t="s">
        <v>1389</v>
      </c>
      <c r="F7897" s="6" t="str">
        <f>IF($M7897="PADD I","PADD 1",IF($M7897="PADD II","PADD 2",IF($M7897="PADD III","PADD 3",IF($M7897="PADD IV","PADD 4",IF($M7897="PADD V","PADD 5","")))))</f>
        <v>PADD 5</v>
      </c>
      <c r="G7897" s="6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6" t="s">
        <v>39</v>
      </c>
      <c r="I7897" s="6" t="s">
        <v>1424</v>
      </c>
      <c r="J7897" s="6" t="s">
        <v>398</v>
      </c>
      <c r="K7897" s="10">
        <v>45</v>
      </c>
      <c r="L7897" s="10">
        <v>90</v>
      </c>
      <c r="M7897" s="6" t="s">
        <v>436</v>
      </c>
      <c r="N7897" s="6">
        <f>IF(OR($G7897="FCC",$G7897="Hydrocracker",$G7897="Reformer"),IF(COUNTIFS($D:$D,$D7897,$A:$A,$A7897,$B:$B,$B7897,$G:$G,"CDU",$J:$J,"PLANNED")&gt;0,"tied","standalone"),"")</f>
        <v/>
      </c>
    </row>
    <row r="7898" spans="1:14">
      <c r="A7898" s="6">
        <v>2026</v>
      </c>
      <c r="B7898" s="6">
        <v>6</v>
      </c>
      <c r="C7898" s="6" t="s">
        <v>65</v>
      </c>
      <c r="D7898" s="6" t="s">
        <v>458</v>
      </c>
      <c r="E7898" s="6" t="s">
        <v>459</v>
      </c>
      <c r="F7898" s="6" t="str">
        <f>IF($M7898="PADD I","PADD 1",IF($M7898="PADD II","PADD 2",IF($M7898="PADD III","PADD 3",IF($M7898="PADD IV","PADD 4",IF($M7898="PADD V","PADD 5","")))))</f>
        <v>PADD 3</v>
      </c>
      <c r="G7898" s="6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6" t="s">
        <v>39</v>
      </c>
      <c r="I7898" s="6" t="s">
        <v>460</v>
      </c>
      <c r="J7898" s="6" t="s">
        <v>394</v>
      </c>
      <c r="K7898" s="10">
        <v>40.5</v>
      </c>
      <c r="L7898" s="10">
        <v>150</v>
      </c>
      <c r="M7898" s="6" t="s">
        <v>421</v>
      </c>
      <c r="N7898" s="6">
        <f>IF(OR($G7898="FCC",$G7898="Hydrocracker",$G7898="Reformer"),IF(COUNTIFS($D:$D,$D7898,$A:$A,$A7898,$B:$B,$B7898,$G:$G,"CDU",$J:$J,"PLANNED")&gt;0,"tied","standalone"),"")</f>
        <v/>
      </c>
    </row>
    <row r="7899" spans="1:14">
      <c r="A7899" s="6">
        <v>2026</v>
      </c>
      <c r="B7899" s="6">
        <v>6</v>
      </c>
      <c r="C7899" s="6" t="s">
        <v>65</v>
      </c>
      <c r="D7899" s="6" t="s">
        <v>662</v>
      </c>
      <c r="E7899" s="6" t="s">
        <v>466</v>
      </c>
      <c r="F7899" s="6" t="str">
        <f>IF($M7899="PADD I","PADD 1",IF($M7899="PADD II","PADD 2",IF($M7899="PADD III","PADD 3",IF($M7899="PADD IV","PADD 4",IF($M7899="PADD V","PADD 5","")))))</f>
        <v>PADD 3</v>
      </c>
      <c r="G7899" s="6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6" t="s">
        <v>428</v>
      </c>
      <c r="I7899" s="6" t="s">
        <v>481</v>
      </c>
      <c r="J7899" s="6" t="s">
        <v>394</v>
      </c>
      <c r="K7899" s="10">
        <v>40</v>
      </c>
      <c r="L7899" s="10">
        <v>80</v>
      </c>
      <c r="M7899" s="6" t="s">
        <v>421</v>
      </c>
      <c r="N7899" s="6">
        <f>IF(OR($G7899="FCC",$G7899="Hydrocracker",$G7899="Reformer"),IF(COUNTIFS($D:$D,$D7899,$A:$A,$A7899,$B:$B,$B7899,$G:$G,"CDU",$J:$J,"PLANNED")&gt;0,"tied","standalone"),"")</f>
        <v/>
      </c>
    </row>
    <row r="7900" spans="1:14">
      <c r="A7900" s="6">
        <v>2026</v>
      </c>
      <c r="B7900" s="6">
        <v>6</v>
      </c>
      <c r="C7900" s="6" t="s">
        <v>65</v>
      </c>
      <c r="D7900" s="6" t="s">
        <v>437</v>
      </c>
      <c r="E7900" s="6" t="s">
        <v>438</v>
      </c>
      <c r="F7900" s="6" t="str">
        <f>IF($M7900="PADD I","PADD 1",IF($M7900="PADD II","PADD 2",IF($M7900="PADD III","PADD 3",IF($M7900="PADD IV","PADD 4",IF($M7900="PADD V","PADD 5","")))))</f>
        <v>PADD 3</v>
      </c>
      <c r="G7900" s="6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6" t="s">
        <v>471</v>
      </c>
      <c r="I7900" s="6" t="s">
        <v>633</v>
      </c>
      <c r="J7900" s="6" t="s">
        <v>394</v>
      </c>
      <c r="K7900" s="10">
        <v>32.5</v>
      </c>
      <c r="L7900" s="10">
        <v>65</v>
      </c>
      <c r="M7900" s="6" t="s">
        <v>421</v>
      </c>
      <c r="N7900" s="6" t="str">
        <f>IF(OR($G7900="FCC",$G7900="Hydrocracker",$G7900="Reformer"),IF(COUNTIFS($D:$D,$D7900,$A:$A,$A7900,$B:$B,$B7900,$G:$G,"CDU",$J:$J,"PLANNED")&gt;0,"tied","standalone"),"")</f>
        <v>standalone</v>
      </c>
    </row>
    <row r="7901" spans="1:14">
      <c r="A7901" s="6">
        <v>2026</v>
      </c>
      <c r="B7901" s="6">
        <v>6</v>
      </c>
      <c r="C7901" s="6" t="s">
        <v>65</v>
      </c>
      <c r="D7901" s="6" t="s">
        <v>41</v>
      </c>
      <c r="E7901" s="6" t="s">
        <v>786</v>
      </c>
      <c r="F7901" s="6" t="str">
        <f>IF($M7901="PADD I","PADD 1",IF($M7901="PADD II","PADD 2",IF($M7901="PADD III","PADD 3",IF($M7901="PADD IV","PADD 4",IF($M7901="PADD V","PADD 5","")))))</f>
        <v>PADD 1</v>
      </c>
      <c r="G7901" s="6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6" t="s">
        <v>44</v>
      </c>
      <c r="I7901" s="6" t="s">
        <v>1044</v>
      </c>
      <c r="J7901" s="6" t="s">
        <v>394</v>
      </c>
      <c r="K7901" s="10">
        <v>32.5</v>
      </c>
      <c r="L7901" s="10">
        <v>65</v>
      </c>
      <c r="M7901" s="6" t="s">
        <v>463</v>
      </c>
      <c r="N7901" s="6">
        <f>IF(OR($G7901="FCC",$G7901="Hydrocracker",$G7901="Reformer"),IF(COUNTIFS($D:$D,$D7901,$A:$A,$A7901,$B:$B,$B7901,$G:$G,"CDU",$J:$J,"PLANNED")&gt;0,"tied","standalone"),"")</f>
        <v/>
      </c>
    </row>
    <row r="7902" spans="1:14">
      <c r="A7902" s="6">
        <v>2026</v>
      </c>
      <c r="B7902" s="6">
        <v>6</v>
      </c>
      <c r="C7902" s="6" t="s">
        <v>65</v>
      </c>
      <c r="D7902" s="6" t="s">
        <v>41</v>
      </c>
      <c r="E7902" s="6" t="s">
        <v>786</v>
      </c>
      <c r="F7902" s="6" t="str">
        <f>IF($M7902="PADD I","PADD 1",IF($M7902="PADD II","PADD 2",IF($M7902="PADD III","PADD 3",IF($M7902="PADD IV","PADD 4",IF($M7902="PADD V","PADD 5","")))))</f>
        <v>PADD 1</v>
      </c>
      <c r="G7902" s="6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6" t="s">
        <v>426</v>
      </c>
      <c r="I7902" s="6" t="s">
        <v>787</v>
      </c>
      <c r="J7902" s="6" t="s">
        <v>394</v>
      </c>
      <c r="K7902" s="10">
        <v>31.96</v>
      </c>
      <c r="L7902" s="10">
        <v>68</v>
      </c>
      <c r="M7902" s="6" t="s">
        <v>463</v>
      </c>
      <c r="N7902" s="6" t="str">
        <f>IF(OR($G7902="FCC",$G7902="Hydrocracker",$G7902="Reformer"),IF(COUNTIFS($D:$D,$D7902,$A:$A,$A7902,$B:$B,$B7902,$G:$G,"CDU",$J:$J,"PLANNED")&gt;0,"tied","standalone"),"")</f>
        <v>standalone</v>
      </c>
    </row>
    <row r="7903" spans="1:14">
      <c r="A7903" s="6">
        <v>2026</v>
      </c>
      <c r="B7903" s="6">
        <v>6</v>
      </c>
      <c r="C7903" s="6" t="s">
        <v>65</v>
      </c>
      <c r="D7903" s="6" t="s">
        <v>41</v>
      </c>
      <c r="E7903" s="6" t="s">
        <v>786</v>
      </c>
      <c r="F7903" s="6" t="str">
        <f>IF($M7903="PADD I","PADD 1",IF($M7903="PADD II","PADD 2",IF($M7903="PADD III","PADD 3",IF($M7903="PADD IV","PADD 4",IF($M7903="PADD V","PADD 5","")))))</f>
        <v>PADD 1</v>
      </c>
      <c r="G7903" s="6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6" t="s">
        <v>44</v>
      </c>
      <c r="I7903" s="6" t="s">
        <v>543</v>
      </c>
      <c r="J7903" s="6" t="s">
        <v>394</v>
      </c>
      <c r="K7903" s="10">
        <v>30</v>
      </c>
      <c r="L7903" s="10">
        <v>60</v>
      </c>
      <c r="M7903" s="6" t="s">
        <v>463</v>
      </c>
      <c r="N7903" s="6">
        <f>IF(OR($G7903="FCC",$G7903="Hydrocracker",$G7903="Reformer"),IF(COUNTIFS($D:$D,$D7903,$A:$A,$A7903,$B:$B,$B7903,$G:$G,"CDU",$J:$J,"PLANNED")&gt;0,"tied","standalone"),"")</f>
        <v/>
      </c>
    </row>
    <row r="7904" spans="1:14">
      <c r="A7904" s="6">
        <v>2026</v>
      </c>
      <c r="B7904" s="6">
        <v>6</v>
      </c>
      <c r="C7904" s="6" t="s">
        <v>65</v>
      </c>
      <c r="D7904" s="6" t="s">
        <v>384</v>
      </c>
      <c r="E7904" s="6" t="s">
        <v>419</v>
      </c>
      <c r="F7904" s="6" t="str">
        <f>IF($M7904="PADD I","PADD 1",IF($M7904="PADD II","PADD 2",IF($M7904="PADD III","PADD 3",IF($M7904="PADD IV","PADD 4",IF($M7904="PADD V","PADD 5","")))))</f>
        <v>PADD 3</v>
      </c>
      <c r="G7904" s="6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6" t="s">
        <v>426</v>
      </c>
      <c r="I7904" s="6" t="s">
        <v>522</v>
      </c>
      <c r="J7904" s="6" t="s">
        <v>394</v>
      </c>
      <c r="K7904" s="10">
        <v>30</v>
      </c>
      <c r="L7904" s="10">
        <v>30</v>
      </c>
      <c r="M7904" s="6" t="s">
        <v>421</v>
      </c>
      <c r="N7904" s="6" t="str">
        <f>IF(OR($G7904="FCC",$G7904="Hydrocracker",$G7904="Reformer"),IF(COUNTIFS($D:$D,$D7904,$A:$A,$A7904,$B:$B,$B7904,$G:$G,"CDU",$J:$J,"PLANNED")&gt;0,"tied","standalone"),"")</f>
        <v>standalone</v>
      </c>
    </row>
    <row r="7905" spans="1:14">
      <c r="A7905" s="6">
        <v>2026</v>
      </c>
      <c r="B7905" s="6">
        <v>6</v>
      </c>
      <c r="C7905" s="6" t="s">
        <v>65</v>
      </c>
      <c r="D7905" s="6" t="s">
        <v>1113</v>
      </c>
      <c r="E7905" s="6" t="s">
        <v>438</v>
      </c>
      <c r="F7905" s="6" t="str">
        <f>IF($M7905="PADD I","PADD 1",IF($M7905="PADD II","PADD 2",IF($M7905="PADD III","PADD 3",IF($M7905="PADD IV","PADD 4",IF($M7905="PADD V","PADD 5","")))))</f>
        <v>PADD 2</v>
      </c>
      <c r="G7905" s="6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6" t="s">
        <v>44</v>
      </c>
      <c r="I7905" s="6" t="s">
        <v>543</v>
      </c>
      <c r="J7905" s="6" t="s">
        <v>394</v>
      </c>
      <c r="K7905" s="10">
        <v>29.58</v>
      </c>
      <c r="L7905" s="10">
        <v>34</v>
      </c>
      <c r="M7905" s="6" t="s">
        <v>425</v>
      </c>
      <c r="N7905" s="6">
        <f>IF(OR($G7905="FCC",$G7905="Hydrocracker",$G7905="Reformer"),IF(COUNTIFS($D:$D,$D7905,$A:$A,$A7905,$B:$B,$B7905,$G:$G,"CDU",$J:$J,"PLANNED")&gt;0,"tied","standalone"),"")</f>
        <v/>
      </c>
    </row>
    <row r="7906" spans="1:14">
      <c r="A7906" s="6">
        <v>2026</v>
      </c>
      <c r="B7906" s="6">
        <v>6</v>
      </c>
      <c r="C7906" s="6" t="s">
        <v>65</v>
      </c>
      <c r="D7906" s="6" t="s">
        <v>41</v>
      </c>
      <c r="E7906" s="6" t="s">
        <v>786</v>
      </c>
      <c r="F7906" s="6" t="str">
        <f>IF($M7906="PADD I","PADD 1",IF($M7906="PADD II","PADD 2",IF($M7906="PADD III","PADD 3",IF($M7906="PADD IV","PADD 4",IF($M7906="PADD V","PADD 5","")))))</f>
        <v>PADD 1</v>
      </c>
      <c r="G7906" s="6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6" t="s">
        <v>471</v>
      </c>
      <c r="I7906" s="6" t="s">
        <v>832</v>
      </c>
      <c r="J7906" s="6" t="s">
        <v>394</v>
      </c>
      <c r="K7906" s="10">
        <v>28.2</v>
      </c>
      <c r="L7906" s="10">
        <v>60</v>
      </c>
      <c r="M7906" s="6" t="s">
        <v>463</v>
      </c>
      <c r="N7906" s="6" t="str">
        <f>IF(OR($G7906="FCC",$G7906="Hydrocracker",$G7906="Reformer"),IF(COUNTIFS($D:$D,$D7906,$A:$A,$A7906,$B:$B,$B7906,$G:$G,"CDU",$J:$J,"PLANNED")&gt;0,"tied","standalone"),"")</f>
        <v>standalone</v>
      </c>
    </row>
    <row r="7907" spans="1:14">
      <c r="A7907" s="6">
        <v>2026</v>
      </c>
      <c r="B7907" s="6">
        <v>6</v>
      </c>
      <c r="C7907" s="6" t="s">
        <v>65</v>
      </c>
      <c r="D7907" s="6" t="s">
        <v>45</v>
      </c>
      <c r="E7907" s="6" t="s">
        <v>1389</v>
      </c>
      <c r="F7907" s="6" t="str">
        <f>IF($M7907="PADD I","PADD 1",IF($M7907="PADD II","PADD 2",IF($M7907="PADD III","PADD 3",IF($M7907="PADD IV","PADD 4",IF($M7907="PADD V","PADD 5","")))))</f>
        <v>PADD 5</v>
      </c>
      <c r="G7907" s="6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6" t="s">
        <v>39</v>
      </c>
      <c r="I7907" s="6" t="s">
        <v>1425</v>
      </c>
      <c r="J7907" s="6" t="s">
        <v>398</v>
      </c>
      <c r="K7907" s="10">
        <v>27</v>
      </c>
      <c r="L7907" s="10">
        <v>54</v>
      </c>
      <c r="M7907" s="6" t="s">
        <v>436</v>
      </c>
      <c r="N7907" s="6">
        <f>IF(OR($G7907="FCC",$G7907="Hydrocracker",$G7907="Reformer"),IF(COUNTIFS($D:$D,$D7907,$A:$A,$A7907,$B:$B,$B7907,$G:$G,"CDU",$J:$J,"PLANNED")&gt;0,"tied","standalone"),"")</f>
        <v/>
      </c>
    </row>
    <row r="7908" spans="1:14">
      <c r="A7908" s="6">
        <v>2026</v>
      </c>
      <c r="B7908" s="6">
        <v>6</v>
      </c>
      <c r="C7908" s="6" t="s">
        <v>65</v>
      </c>
      <c r="D7908" s="6" t="s">
        <v>901</v>
      </c>
      <c r="E7908" s="6" t="s">
        <v>902</v>
      </c>
      <c r="F7908" s="6" t="str">
        <f>IF($M7908="PADD I","PADD 1",IF($M7908="PADD II","PADD 2",IF($M7908="PADD III","PADD 3",IF($M7908="PADD IV","PADD 4",IF($M7908="PADD V","PADD 5","")))))</f>
        <v>PADD 3</v>
      </c>
      <c r="G7908" s="6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6" t="s">
        <v>39</v>
      </c>
      <c r="I7908" s="6" t="s">
        <v>903</v>
      </c>
      <c r="J7908" s="6" t="s">
        <v>398</v>
      </c>
      <c r="K7908" s="10">
        <v>24.05</v>
      </c>
      <c r="L7908" s="10">
        <v>65</v>
      </c>
      <c r="M7908" s="6" t="s">
        <v>421</v>
      </c>
      <c r="N7908" s="6">
        <f>IF(OR($G7908="FCC",$G7908="Hydrocracker",$G7908="Reformer"),IF(COUNTIFS($D:$D,$D7908,$A:$A,$A7908,$B:$B,$B7908,$G:$G,"CDU",$J:$J,"PLANNED")&gt;0,"tied","standalone"),"")</f>
        <v/>
      </c>
    </row>
    <row r="7909" spans="1:14">
      <c r="A7909" s="6">
        <v>2026</v>
      </c>
      <c r="B7909" s="6">
        <v>6</v>
      </c>
      <c r="C7909" s="6" t="s">
        <v>65</v>
      </c>
      <c r="D7909" s="6" t="s">
        <v>458</v>
      </c>
      <c r="E7909" s="6" t="s">
        <v>459</v>
      </c>
      <c r="F7909" s="6" t="str">
        <f>IF($M7909="PADD I","PADD 1",IF($M7909="PADD II","PADD 2",IF($M7909="PADD III","PADD 3",IF($M7909="PADD IV","PADD 4",IF($M7909="PADD V","PADD 5","")))))</f>
        <v>PADD 3</v>
      </c>
      <c r="G7909" s="6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6" t="s">
        <v>39</v>
      </c>
      <c r="I7909" s="6" t="s">
        <v>460</v>
      </c>
      <c r="J7909" s="6" t="s">
        <v>394</v>
      </c>
      <c r="K7909" s="10">
        <v>24</v>
      </c>
      <c r="L7909" s="10">
        <v>80</v>
      </c>
      <c r="M7909" s="6" t="s">
        <v>421</v>
      </c>
      <c r="N7909" s="6">
        <f>IF(OR($G7909="FCC",$G7909="Hydrocracker",$G7909="Reformer"),IF(COUNTIFS($D:$D,$D7909,$A:$A,$A7909,$B:$B,$B7909,$G:$G,"CDU",$J:$J,"PLANNED")&gt;0,"tied","standalone"),"")</f>
        <v/>
      </c>
    </row>
    <row r="7910" spans="1:14">
      <c r="A7910" s="6">
        <v>2026</v>
      </c>
      <c r="B7910" s="6">
        <v>6</v>
      </c>
      <c r="C7910" s="6" t="s">
        <v>65</v>
      </c>
      <c r="D7910" s="6" t="s">
        <v>534</v>
      </c>
      <c r="E7910" s="6" t="s">
        <v>459</v>
      </c>
      <c r="F7910" s="6" t="str">
        <f>IF($M7910="PADD I","PADD 1",IF($M7910="PADD II","PADD 2",IF($M7910="PADD III","PADD 3",IF($M7910="PADD IV","PADD 4",IF($M7910="PADD V","PADD 5","")))))</f>
        <v>PADD 3</v>
      </c>
      <c r="G7910" s="6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6" t="s">
        <v>44</v>
      </c>
      <c r="I7910" s="6" t="s">
        <v>551</v>
      </c>
      <c r="J7910" s="6" t="s">
        <v>394</v>
      </c>
      <c r="K7910" s="10">
        <v>21.385</v>
      </c>
      <c r="L7910" s="10">
        <v>45.5</v>
      </c>
      <c r="M7910" s="6" t="s">
        <v>421</v>
      </c>
      <c r="N7910" s="6">
        <f>IF(OR($G7910="FCC",$G7910="Hydrocracker",$G7910="Reformer"),IF(COUNTIFS($D:$D,$D7910,$A:$A,$A7910,$B:$B,$B7910,$G:$G,"CDU",$J:$J,"PLANNED")&gt;0,"tied","standalone"),"")</f>
        <v/>
      </c>
    </row>
    <row r="7911" spans="1:14">
      <c r="A7911" s="6">
        <v>2026</v>
      </c>
      <c r="B7911" s="6">
        <v>6</v>
      </c>
      <c r="C7911" s="6" t="s">
        <v>65</v>
      </c>
      <c r="D7911" s="6" t="s">
        <v>458</v>
      </c>
      <c r="E7911" s="6" t="s">
        <v>459</v>
      </c>
      <c r="F7911" s="6" t="str">
        <f>IF($M7911="PADD I","PADD 1",IF($M7911="PADD II","PADD 2",IF($M7911="PADD III","PADD 3",IF($M7911="PADD IV","PADD 4",IF($M7911="PADD V","PADD 5","")))))</f>
        <v>PADD 3</v>
      </c>
      <c r="G7911" s="6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6" t="s">
        <v>426</v>
      </c>
      <c r="I7911" s="6" t="s">
        <v>476</v>
      </c>
      <c r="J7911" s="6" t="s">
        <v>394</v>
      </c>
      <c r="K7911" s="10">
        <v>20.52</v>
      </c>
      <c r="L7911" s="10">
        <v>76</v>
      </c>
      <c r="M7911" s="6" t="s">
        <v>421</v>
      </c>
      <c r="N7911" s="6" t="str">
        <f>IF(OR($G7911="FCC",$G7911="Hydrocracker",$G7911="Reformer"),IF(COUNTIFS($D:$D,$D7911,$A:$A,$A7911,$B:$B,$B7911,$G:$G,"CDU",$J:$J,"PLANNED")&gt;0,"tied","standalone"),"")</f>
        <v>standalone</v>
      </c>
    </row>
    <row r="7912" spans="1:14">
      <c r="A7912" s="6">
        <v>2026</v>
      </c>
      <c r="B7912" s="6">
        <v>6</v>
      </c>
      <c r="C7912" s="6" t="s">
        <v>65</v>
      </c>
      <c r="D7912" s="6" t="s">
        <v>45</v>
      </c>
      <c r="E7912" s="6" t="s">
        <v>1389</v>
      </c>
      <c r="F7912" s="6" t="str">
        <f>IF($M7912="PADD I","PADD 1",IF($M7912="PADD II","PADD 2",IF($M7912="PADD III","PADD 3",IF($M7912="PADD IV","PADD 4",IF($M7912="PADD V","PADD 5","")))))</f>
        <v>PADD 5</v>
      </c>
      <c r="G7912" s="6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6" t="s">
        <v>428</v>
      </c>
      <c r="I7912" s="6" t="s">
        <v>1390</v>
      </c>
      <c r="J7912" s="6" t="s">
        <v>398</v>
      </c>
      <c r="K7912" s="10">
        <v>20</v>
      </c>
      <c r="L7912" s="10">
        <v>40</v>
      </c>
      <c r="M7912" s="6" t="s">
        <v>436</v>
      </c>
      <c r="N7912" s="6">
        <f>IF(OR($G7912="FCC",$G7912="Hydrocracker",$G7912="Reformer"),IF(COUNTIFS($D:$D,$D7912,$A:$A,$A7912,$B:$B,$B7912,$G:$G,"CDU",$J:$J,"PLANNED")&gt;0,"tied","standalone"),"")</f>
        <v/>
      </c>
    </row>
    <row r="7913" spans="1:14">
      <c r="A7913" s="6">
        <v>2026</v>
      </c>
      <c r="B7913" s="6">
        <v>6</v>
      </c>
      <c r="C7913" s="6" t="s">
        <v>65</v>
      </c>
      <c r="D7913" s="6" t="s">
        <v>41</v>
      </c>
      <c r="E7913" s="6" t="s">
        <v>786</v>
      </c>
      <c r="F7913" s="6" t="str">
        <f>IF($M7913="PADD I","PADD 1",IF($M7913="PADD II","PADD 2",IF($M7913="PADD III","PADD 3",IF($M7913="PADD IV","PADD 4",IF($M7913="PADD V","PADD 5","")))))</f>
        <v>PADD 1</v>
      </c>
      <c r="G7913" s="6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6" t="s">
        <v>44</v>
      </c>
      <c r="I7913" s="6" t="s">
        <v>1053</v>
      </c>
      <c r="J7913" s="6" t="s">
        <v>394</v>
      </c>
      <c r="K7913" s="10">
        <v>20</v>
      </c>
      <c r="L7913" s="10">
        <v>40</v>
      </c>
      <c r="M7913" s="6" t="s">
        <v>463</v>
      </c>
      <c r="N7913" s="6">
        <f>IF(OR($G7913="FCC",$G7913="Hydrocracker",$G7913="Reformer"),IF(COUNTIFS($D:$D,$D7913,$A:$A,$A7913,$B:$B,$B7913,$G:$G,"CDU",$J:$J,"PLANNED")&gt;0,"tied","standalone"),"")</f>
        <v/>
      </c>
    </row>
    <row r="7914" spans="1:14">
      <c r="A7914" s="6">
        <v>2026</v>
      </c>
      <c r="B7914" s="6">
        <v>6</v>
      </c>
      <c r="C7914" s="6" t="s">
        <v>65</v>
      </c>
      <c r="D7914" s="6" t="s">
        <v>534</v>
      </c>
      <c r="E7914" s="6" t="s">
        <v>459</v>
      </c>
      <c r="F7914" s="6" t="str">
        <f>IF($M7914="PADD I","PADD 1",IF($M7914="PADD II","PADD 2",IF($M7914="PADD III","PADD 3",IF($M7914="PADD IV","PADD 4",IF($M7914="PADD V","PADD 5","")))))</f>
        <v>PADD 3</v>
      </c>
      <c r="G7914" s="6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6" t="s">
        <v>44</v>
      </c>
      <c r="I7914" s="6" t="s">
        <v>535</v>
      </c>
      <c r="J7914" s="6" t="s">
        <v>394</v>
      </c>
      <c r="K7914" s="10">
        <v>19.8</v>
      </c>
      <c r="L7914" s="10">
        <v>66</v>
      </c>
      <c r="M7914" s="6" t="s">
        <v>421</v>
      </c>
      <c r="N7914" s="6">
        <f>IF(OR($G7914="FCC",$G7914="Hydrocracker",$G7914="Reformer"),IF(COUNTIFS($D:$D,$D7914,$A:$A,$A7914,$B:$B,$B7914,$G:$G,"CDU",$J:$J,"PLANNED")&gt;0,"tied","standalone"),"")</f>
        <v/>
      </c>
    </row>
    <row r="7915" spans="1:14">
      <c r="A7915" s="6">
        <v>2026</v>
      </c>
      <c r="B7915" s="6">
        <v>6</v>
      </c>
      <c r="C7915" s="6" t="s">
        <v>65</v>
      </c>
      <c r="D7915" s="6" t="s">
        <v>901</v>
      </c>
      <c r="E7915" s="6" t="s">
        <v>902</v>
      </c>
      <c r="F7915" s="6" t="str">
        <f>IF($M7915="PADD I","PADD 1",IF($M7915="PADD II","PADD 2",IF($M7915="PADD III","PADD 3",IF($M7915="PADD IV","PADD 4",IF($M7915="PADD V","PADD 5","")))))</f>
        <v>PADD 3</v>
      </c>
      <c r="G7915" s="6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6" t="s">
        <v>39</v>
      </c>
      <c r="I7915" s="6" t="s">
        <v>904</v>
      </c>
      <c r="J7915" s="6" t="s">
        <v>398</v>
      </c>
      <c r="K7915" s="10">
        <v>19.5</v>
      </c>
      <c r="L7915" s="10">
        <v>65</v>
      </c>
      <c r="M7915" s="6" t="s">
        <v>421</v>
      </c>
      <c r="N7915" s="6">
        <f>IF(OR($G7915="FCC",$G7915="Hydrocracker",$G7915="Reformer"),IF(COUNTIFS($D:$D,$D7915,$A:$A,$A7915,$B:$B,$B7915,$G:$G,"CDU",$J:$J,"PLANNED")&gt;0,"tied","standalone"),"")</f>
        <v/>
      </c>
    </row>
    <row r="7916" spans="1:14">
      <c r="A7916" s="6">
        <v>2026</v>
      </c>
      <c r="B7916" s="6">
        <v>6</v>
      </c>
      <c r="C7916" s="6" t="s">
        <v>65</v>
      </c>
      <c r="D7916" s="6" t="s">
        <v>370</v>
      </c>
      <c r="E7916" s="6" t="s">
        <v>431</v>
      </c>
      <c r="F7916" s="6" t="str">
        <f>IF($M7916="PADD I","PADD 1",IF($M7916="PADD II","PADD 2",IF($M7916="PADD III","PADD 3",IF($M7916="PADD IV","PADD 4",IF($M7916="PADD V","PADD 5","")))))</f>
        <v>PADD 2</v>
      </c>
      <c r="G7916" s="6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6" t="s">
        <v>426</v>
      </c>
      <c r="I7916" s="6" t="s">
        <v>106</v>
      </c>
      <c r="J7916" s="6" t="s">
        <v>394</v>
      </c>
      <c r="K7916" s="10">
        <v>18.9</v>
      </c>
      <c r="L7916" s="10">
        <v>30</v>
      </c>
      <c r="M7916" s="6" t="s">
        <v>425</v>
      </c>
      <c r="N7916" s="6" t="str">
        <f>IF(OR($G7916="FCC",$G7916="Hydrocracker",$G7916="Reformer"),IF(COUNTIFS($D:$D,$D7916,$A:$A,$A7916,$B:$B,$B7916,$G:$G,"CDU",$J:$J,"PLANNED")&gt;0,"tied","standalone"),"")</f>
        <v>standalone</v>
      </c>
    </row>
    <row r="7917" spans="1:14">
      <c r="A7917" s="6">
        <v>2026</v>
      </c>
      <c r="B7917" s="6">
        <v>6</v>
      </c>
      <c r="C7917" s="6" t="s">
        <v>65</v>
      </c>
      <c r="D7917" s="6" t="s">
        <v>395</v>
      </c>
      <c r="E7917" s="6" t="s">
        <v>433</v>
      </c>
      <c r="F7917" s="6" t="str">
        <f>IF($M7917="PADD I","PADD 1",IF($M7917="PADD II","PADD 2",IF($M7917="PADD III","PADD 3",IF($M7917="PADD IV","PADD 4",IF($M7917="PADD V","PADD 5","")))))</f>
        <v>PADD 2</v>
      </c>
      <c r="G7917" s="6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6" t="s">
        <v>426</v>
      </c>
      <c r="I7917" s="6" t="s">
        <v>106</v>
      </c>
      <c r="J7917" s="6" t="s">
        <v>394</v>
      </c>
      <c r="K7917" s="10">
        <v>18.86</v>
      </c>
      <c r="L7917" s="10">
        <v>82</v>
      </c>
      <c r="M7917" s="6" t="s">
        <v>425</v>
      </c>
      <c r="N7917" s="6" t="str">
        <f>IF(OR($G7917="FCC",$G7917="Hydrocracker",$G7917="Reformer"),IF(COUNTIFS($D:$D,$D7917,$A:$A,$A7917,$B:$B,$B7917,$G:$G,"CDU",$J:$J,"PLANNED")&gt;0,"tied","standalone"),"")</f>
        <v>standalone</v>
      </c>
    </row>
    <row r="7918" spans="1:14">
      <c r="A7918" s="6">
        <v>2026</v>
      </c>
      <c r="B7918" s="6">
        <v>6</v>
      </c>
      <c r="C7918" s="6" t="s">
        <v>65</v>
      </c>
      <c r="D7918" s="6" t="s">
        <v>576</v>
      </c>
      <c r="E7918" s="6" t="s">
        <v>455</v>
      </c>
      <c r="F7918" s="6" t="str">
        <f>IF($M7918="PADD I","PADD 1",IF($M7918="PADD II","PADD 2",IF($M7918="PADD III","PADD 3",IF($M7918="PADD IV","PADD 4",IF($M7918="PADD V","PADD 5","")))))</f>
        <v>PADD 3</v>
      </c>
      <c r="G7918" s="6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6" t="s">
        <v>44</v>
      </c>
      <c r="I7918" s="6" t="s">
        <v>1276</v>
      </c>
      <c r="J7918" s="6" t="s">
        <v>394</v>
      </c>
      <c r="K7918" s="10">
        <v>18.5</v>
      </c>
      <c r="L7918" s="10">
        <v>18.5</v>
      </c>
      <c r="M7918" s="6" t="s">
        <v>421</v>
      </c>
      <c r="N7918" s="6">
        <f>IF(OR($G7918="FCC",$G7918="Hydrocracker",$G7918="Reformer"),IF(COUNTIFS($D:$D,$D7918,$A:$A,$A7918,$B:$B,$B7918,$G:$G,"CDU",$J:$J,"PLANNED")&gt;0,"tied","standalone"),"")</f>
        <v/>
      </c>
    </row>
    <row r="7919" spans="1:14">
      <c r="A7919" s="6">
        <v>2026</v>
      </c>
      <c r="B7919" s="6">
        <v>6</v>
      </c>
      <c r="C7919" s="6" t="s">
        <v>65</v>
      </c>
      <c r="D7919" s="6" t="s">
        <v>458</v>
      </c>
      <c r="E7919" s="6" t="s">
        <v>459</v>
      </c>
      <c r="F7919" s="6" t="str">
        <f>IF($M7919="PADD I","PADD 1",IF($M7919="PADD II","PADD 2",IF($M7919="PADD III","PADD 3",IF($M7919="PADD IV","PADD 4",IF($M7919="PADD V","PADD 5","")))))</f>
        <v>PADD 3</v>
      </c>
      <c r="G7919" s="6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6" t="s">
        <v>44</v>
      </c>
      <c r="I7919" s="6" t="s">
        <v>514</v>
      </c>
      <c r="J7919" s="6" t="s">
        <v>394</v>
      </c>
      <c r="K7919" s="10">
        <v>18.5</v>
      </c>
      <c r="L7919" s="10">
        <v>50</v>
      </c>
      <c r="M7919" s="6" t="s">
        <v>421</v>
      </c>
      <c r="N7919" s="6">
        <f>IF(OR($G7919="FCC",$G7919="Hydrocracker",$G7919="Reformer"),IF(COUNTIFS($D:$D,$D7919,$A:$A,$A7919,$B:$B,$B7919,$G:$G,"CDU",$J:$J,"PLANNED")&gt;0,"tied","standalone"),"")</f>
        <v/>
      </c>
    </row>
    <row r="7920" spans="1:14">
      <c r="A7920" s="6">
        <v>2026</v>
      </c>
      <c r="B7920" s="6">
        <v>6</v>
      </c>
      <c r="C7920" s="6" t="s">
        <v>65</v>
      </c>
      <c r="D7920" s="6" t="s">
        <v>378</v>
      </c>
      <c r="E7920" s="6" t="s">
        <v>477</v>
      </c>
      <c r="F7920" s="6" t="str">
        <f>IF($M7920="PADD I","PADD 1",IF($M7920="PADD II","PADD 2",IF($M7920="PADD III","PADD 3",IF($M7920="PADD IV","PADD 4",IF($M7920="PADD V","PADD 5","")))))</f>
        <v>PADD 3</v>
      </c>
      <c r="G7920" s="6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6" t="s">
        <v>471</v>
      </c>
      <c r="I7920" s="6" t="s">
        <v>1212</v>
      </c>
      <c r="J7920" s="6" t="s">
        <v>394</v>
      </c>
      <c r="K7920" s="10">
        <v>17.5</v>
      </c>
      <c r="L7920" s="10">
        <v>17.5</v>
      </c>
      <c r="M7920" s="6" t="s">
        <v>421</v>
      </c>
      <c r="N7920" s="6" t="str">
        <f>IF(OR($G7920="FCC",$G7920="Hydrocracker",$G7920="Reformer"),IF(COUNTIFS($D:$D,$D7920,$A:$A,$A7920,$B:$B,$B7920,$G:$G,"CDU",$J:$J,"PLANNED")&gt;0,"tied","standalone"),"")</f>
        <v>standalone</v>
      </c>
    </row>
    <row r="7921" spans="1:14">
      <c r="A7921" s="6">
        <v>2026</v>
      </c>
      <c r="B7921" s="6">
        <v>6</v>
      </c>
      <c r="C7921" s="6" t="s">
        <v>65</v>
      </c>
      <c r="D7921" s="6" t="s">
        <v>458</v>
      </c>
      <c r="E7921" s="6" t="s">
        <v>459</v>
      </c>
      <c r="F7921" s="6" t="str">
        <f>IF($M7921="PADD I","PADD 1",IF($M7921="PADD II","PADD 2",IF($M7921="PADD III","PADD 3",IF($M7921="PADD IV","PADD 4",IF($M7921="PADD V","PADD 5","")))))</f>
        <v>PADD 3</v>
      </c>
      <c r="G7921" s="6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6" t="s">
        <v>485</v>
      </c>
      <c r="I7921" s="6" t="s">
        <v>509</v>
      </c>
      <c r="J7921" s="6" t="s">
        <v>394</v>
      </c>
      <c r="K7921" s="10">
        <v>16.2</v>
      </c>
      <c r="L7921" s="10">
        <v>60</v>
      </c>
      <c r="M7921" s="6" t="s">
        <v>421</v>
      </c>
      <c r="N7921" s="6">
        <f>IF(OR($G7921="FCC",$G7921="Hydrocracker",$G7921="Reformer"),IF(COUNTIFS($D:$D,$D7921,$A:$A,$A7921,$B:$B,$B7921,$G:$G,"CDU",$J:$J,"PLANNED")&gt;0,"tied","standalone"),"")</f>
        <v/>
      </c>
    </row>
    <row r="7922" spans="1:14">
      <c r="A7922" s="6">
        <v>2026</v>
      </c>
      <c r="B7922" s="6">
        <v>6</v>
      </c>
      <c r="C7922" s="6" t="s">
        <v>65</v>
      </c>
      <c r="D7922" s="6" t="s">
        <v>458</v>
      </c>
      <c r="E7922" s="6" t="s">
        <v>459</v>
      </c>
      <c r="F7922" s="6" t="str">
        <f>IF($M7922="PADD I","PADD 1",IF($M7922="PADD II","PADD 2",IF($M7922="PADD III","PADD 3",IF($M7922="PADD IV","PADD 4",IF($M7922="PADD V","PADD 5","")))))</f>
        <v>PADD 3</v>
      </c>
      <c r="G7922" s="6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6" t="s">
        <v>428</v>
      </c>
      <c r="I7922" s="6" t="s">
        <v>539</v>
      </c>
      <c r="J7922" s="6" t="s">
        <v>394</v>
      </c>
      <c r="K7922" s="10">
        <v>16.2</v>
      </c>
      <c r="L7922" s="10">
        <v>60</v>
      </c>
      <c r="M7922" s="6" t="s">
        <v>421</v>
      </c>
      <c r="N7922" s="6">
        <f>IF(OR($G7922="FCC",$G7922="Hydrocracker",$G7922="Reformer"),IF(COUNTIFS($D:$D,$D7922,$A:$A,$A7922,$B:$B,$B7922,$G:$G,"CDU",$J:$J,"PLANNED")&gt;0,"tied","standalone"),"")</f>
        <v/>
      </c>
    </row>
    <row r="7923" spans="1:14">
      <c r="A7923" s="6">
        <v>2026</v>
      </c>
      <c r="B7923" s="6">
        <v>6</v>
      </c>
      <c r="C7923" s="6" t="s">
        <v>65</v>
      </c>
      <c r="D7923" s="6" t="s">
        <v>395</v>
      </c>
      <c r="E7923" s="6" t="s">
        <v>433</v>
      </c>
      <c r="F7923" s="6" t="str">
        <f>IF($M7923="PADD I","PADD 1",IF($M7923="PADD II","PADD 2",IF($M7923="PADD III","PADD 3",IF($M7923="PADD IV","PADD 4",IF($M7923="PADD V","PADD 5","")))))</f>
        <v>PADD 2</v>
      </c>
      <c r="G7923" s="6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6" t="s">
        <v>426</v>
      </c>
      <c r="I7923" s="6" t="s">
        <v>106</v>
      </c>
      <c r="J7923" s="6" t="s">
        <v>394</v>
      </c>
      <c r="K7923" s="10">
        <v>15.8</v>
      </c>
      <c r="L7923" s="10">
        <v>79</v>
      </c>
      <c r="M7923" s="6" t="s">
        <v>425</v>
      </c>
      <c r="N7923" s="6" t="str">
        <f>IF(OR($G7923="FCC",$G7923="Hydrocracker",$G7923="Reformer"),IF(COUNTIFS($D:$D,$D7923,$A:$A,$A7923,$B:$B,$B7923,$G:$G,"CDU",$J:$J,"PLANNED")&gt;0,"tied","standalone"),"")</f>
        <v>standalone</v>
      </c>
    </row>
    <row r="7924" spans="1:14">
      <c r="A7924" s="6">
        <v>2026</v>
      </c>
      <c r="B7924" s="6">
        <v>6</v>
      </c>
      <c r="C7924" s="6" t="s">
        <v>65</v>
      </c>
      <c r="D7924" s="6" t="s">
        <v>458</v>
      </c>
      <c r="E7924" s="6" t="s">
        <v>459</v>
      </c>
      <c r="F7924" s="6" t="str">
        <f>IF($M7924="PADD I","PADD 1",IF($M7924="PADD II","PADD 2",IF($M7924="PADD III","PADD 3",IF($M7924="PADD IV","PADD 4",IF($M7924="PADD V","PADD 5","")))))</f>
        <v>PADD 3</v>
      </c>
      <c r="G7924" s="6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6" t="s">
        <v>428</v>
      </c>
      <c r="I7924" s="6" t="s">
        <v>556</v>
      </c>
      <c r="J7924" s="6" t="s">
        <v>394</v>
      </c>
      <c r="K7924" s="10">
        <v>15.6</v>
      </c>
      <c r="L7924" s="10">
        <v>52</v>
      </c>
      <c r="M7924" s="6" t="s">
        <v>421</v>
      </c>
      <c r="N7924" s="6">
        <f>IF(OR($G7924="FCC",$G7924="Hydrocracker",$G7924="Reformer"),IF(COUNTIFS($D:$D,$D7924,$A:$A,$A7924,$B:$B,$B7924,$G:$G,"CDU",$J:$J,"PLANNED")&gt;0,"tied","standalone"),"")</f>
        <v/>
      </c>
    </row>
    <row r="7925" spans="1:14">
      <c r="A7925" s="6">
        <v>2026</v>
      </c>
      <c r="B7925" s="6">
        <v>6</v>
      </c>
      <c r="C7925" s="6" t="s">
        <v>65</v>
      </c>
      <c r="D7925" s="6" t="s">
        <v>458</v>
      </c>
      <c r="E7925" s="6" t="s">
        <v>459</v>
      </c>
      <c r="F7925" s="6" t="str">
        <f>IF($M7925="PADD I","PADD 1",IF($M7925="PADD II","PADD 2",IF($M7925="PADD III","PADD 3",IF($M7925="PADD IV","PADD 4",IF($M7925="PADD V","PADD 5","")))))</f>
        <v>PADD 3</v>
      </c>
      <c r="G7925" s="6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6" t="s">
        <v>44</v>
      </c>
      <c r="I7925" s="6" t="s">
        <v>528</v>
      </c>
      <c r="J7925" s="6" t="s">
        <v>394</v>
      </c>
      <c r="K7925" s="10">
        <v>15.54</v>
      </c>
      <c r="L7925" s="10">
        <v>42</v>
      </c>
      <c r="M7925" s="6" t="s">
        <v>421</v>
      </c>
      <c r="N7925" s="6">
        <f>IF(OR($G7925="FCC",$G7925="Hydrocracker",$G7925="Reformer"),IF(COUNTIFS($D:$D,$D7925,$A:$A,$A7925,$B:$B,$B7925,$G:$G,"CDU",$J:$J,"PLANNED")&gt;0,"tied","standalone"),"")</f>
        <v/>
      </c>
    </row>
    <row r="7926" spans="1:14">
      <c r="A7926" s="6">
        <v>2026</v>
      </c>
      <c r="B7926" s="6">
        <v>6</v>
      </c>
      <c r="C7926" s="6" t="s">
        <v>65</v>
      </c>
      <c r="D7926" s="6" t="s">
        <v>592</v>
      </c>
      <c r="E7926" s="6" t="s">
        <v>593</v>
      </c>
      <c r="F7926" s="6" t="str">
        <f>IF($M7926="PADD I","PADD 1",IF($M7926="PADD II","PADD 2",IF($M7926="PADD III","PADD 3",IF($M7926="PADD IV","PADD 4",IF($M7926="PADD V","PADD 5","")))))</f>
        <v>PADD 2</v>
      </c>
      <c r="G7926" s="6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6" t="s">
        <v>39</v>
      </c>
      <c r="I7926" s="6" t="s">
        <v>1165</v>
      </c>
      <c r="J7926" s="6" t="s">
        <v>394</v>
      </c>
      <c r="K7926" s="10">
        <v>15.3</v>
      </c>
      <c r="L7926" s="10">
        <v>90</v>
      </c>
      <c r="M7926" s="6" t="s">
        <v>425</v>
      </c>
      <c r="N7926" s="6">
        <f>IF(OR($G7926="FCC",$G7926="Hydrocracker",$G7926="Reformer"),IF(COUNTIFS($D:$D,$D7926,$A:$A,$A7926,$B:$B,$B7926,$G:$G,"CDU",$J:$J,"PLANNED")&gt;0,"tied","standalone"),"")</f>
        <v/>
      </c>
    </row>
    <row r="7927" spans="1:14">
      <c r="A7927" s="6">
        <v>2026</v>
      </c>
      <c r="B7927" s="6">
        <v>6</v>
      </c>
      <c r="C7927" s="6" t="s">
        <v>65</v>
      </c>
      <c r="D7927" s="6" t="s">
        <v>458</v>
      </c>
      <c r="E7927" s="6" t="s">
        <v>459</v>
      </c>
      <c r="F7927" s="6" t="str">
        <f>IF($M7927="PADD I","PADD 1",IF($M7927="PADD II","PADD 2",IF($M7927="PADD III","PADD 3",IF($M7927="PADD IV","PADD 4",IF($M7927="PADD V","PADD 5","")))))</f>
        <v>PADD 3</v>
      </c>
      <c r="G7927" s="6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6" t="s">
        <v>471</v>
      </c>
      <c r="I7927" s="6" t="s">
        <v>583</v>
      </c>
      <c r="J7927" s="6" t="s">
        <v>394</v>
      </c>
      <c r="K7927" s="10">
        <v>15.05</v>
      </c>
      <c r="L7927" s="10">
        <v>35</v>
      </c>
      <c r="M7927" s="6" t="s">
        <v>421</v>
      </c>
      <c r="N7927" s="6" t="str">
        <f>IF(OR($G7927="FCC",$G7927="Hydrocracker",$G7927="Reformer"),IF(COUNTIFS($D:$D,$D7927,$A:$A,$A7927,$B:$B,$B7927,$G:$G,"CDU",$J:$J,"PLANNED")&gt;0,"tied","standalone"),"")</f>
        <v>standalone</v>
      </c>
    </row>
    <row r="7928" spans="1:14">
      <c r="A7928" s="6">
        <v>2026</v>
      </c>
      <c r="B7928" s="6">
        <v>6</v>
      </c>
      <c r="C7928" s="6" t="s">
        <v>65</v>
      </c>
      <c r="D7928" s="6" t="s">
        <v>41</v>
      </c>
      <c r="E7928" s="6" t="s">
        <v>786</v>
      </c>
      <c r="F7928" s="6" t="str">
        <f>IF($M7928="PADD I","PADD 1",IF($M7928="PADD II","PADD 2",IF($M7928="PADD III","PADD 3",IF($M7928="PADD IV","PADD 4",IF($M7928="PADD V","PADD 5","")))))</f>
        <v>PADD 1</v>
      </c>
      <c r="G7928" s="6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6" t="s">
        <v>44</v>
      </c>
      <c r="I7928" s="6" t="s">
        <v>1064</v>
      </c>
      <c r="J7928" s="6" t="s">
        <v>394</v>
      </c>
      <c r="K7928" s="10">
        <v>14</v>
      </c>
      <c r="L7928" s="10">
        <v>28</v>
      </c>
      <c r="M7928" s="6" t="s">
        <v>463</v>
      </c>
      <c r="N7928" s="6">
        <f>IF(OR($G7928="FCC",$G7928="Hydrocracker",$G7928="Reformer"),IF(COUNTIFS($D:$D,$D7928,$A:$A,$A7928,$B:$B,$B7928,$G:$G,"CDU",$J:$J,"PLANNED")&gt;0,"tied","standalone"),"")</f>
        <v/>
      </c>
    </row>
    <row r="7929" spans="1:14">
      <c r="A7929" s="6">
        <v>2026</v>
      </c>
      <c r="B7929" s="6">
        <v>6</v>
      </c>
      <c r="C7929" s="6" t="s">
        <v>65</v>
      </c>
      <c r="D7929" s="6" t="s">
        <v>458</v>
      </c>
      <c r="E7929" s="6" t="s">
        <v>459</v>
      </c>
      <c r="F7929" s="6" t="str">
        <f>IF($M7929="PADD I","PADD 1",IF($M7929="PADD II","PADD 2",IF($M7929="PADD III","PADD 3",IF($M7929="PADD IV","PADD 4",IF($M7929="PADD V","PADD 5","")))))</f>
        <v>PADD 3</v>
      </c>
      <c r="G7929" s="6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6" t="s">
        <v>428</v>
      </c>
      <c r="I7929" s="6" t="s">
        <v>556</v>
      </c>
      <c r="J7929" s="6" t="s">
        <v>394</v>
      </c>
      <c r="K7929" s="10">
        <v>13.77</v>
      </c>
      <c r="L7929" s="10">
        <v>51</v>
      </c>
      <c r="M7929" s="6" t="s">
        <v>421</v>
      </c>
      <c r="N7929" s="6">
        <f>IF(OR($G7929="FCC",$G7929="Hydrocracker",$G7929="Reformer"),IF(COUNTIFS($D:$D,$D7929,$A:$A,$A7929,$B:$B,$B7929,$G:$G,"CDU",$J:$J,"PLANNED")&gt;0,"tied","standalone"),"")</f>
        <v/>
      </c>
    </row>
    <row r="7930" spans="1:14">
      <c r="A7930" s="6">
        <v>2026</v>
      </c>
      <c r="B7930" s="6">
        <v>6</v>
      </c>
      <c r="C7930" s="6" t="s">
        <v>65</v>
      </c>
      <c r="D7930" s="6" t="s">
        <v>662</v>
      </c>
      <c r="E7930" s="6" t="s">
        <v>466</v>
      </c>
      <c r="F7930" s="6" t="str">
        <f>IF($M7930="PADD I","PADD 1",IF($M7930="PADD II","PADD 2",IF($M7930="PADD III","PADD 3",IF($M7930="PADD IV","PADD 4",IF($M7930="PADD V","PADD 5","")))))</f>
        <v>PADD 3</v>
      </c>
      <c r="G7930" s="6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6" t="s">
        <v>485</v>
      </c>
      <c r="I7930" s="6" t="s">
        <v>491</v>
      </c>
      <c r="J7930" s="6" t="s">
        <v>394</v>
      </c>
      <c r="K7930" s="10">
        <v>11.88</v>
      </c>
      <c r="L7930" s="10">
        <v>44</v>
      </c>
      <c r="M7930" s="6" t="s">
        <v>421</v>
      </c>
      <c r="N7930" s="6">
        <f>IF(OR($G7930="FCC",$G7930="Hydrocracker",$G7930="Reformer"),IF(COUNTIFS($D:$D,$D7930,$A:$A,$A7930,$B:$B,$B7930,$G:$G,"CDU",$J:$J,"PLANNED")&gt;0,"tied","standalone"),"")</f>
        <v/>
      </c>
    </row>
    <row r="7931" spans="1:14">
      <c r="A7931" s="6">
        <v>2026</v>
      </c>
      <c r="B7931" s="6">
        <v>6</v>
      </c>
      <c r="C7931" s="6" t="s">
        <v>65</v>
      </c>
      <c r="D7931" s="6" t="s">
        <v>458</v>
      </c>
      <c r="E7931" s="6" t="s">
        <v>459</v>
      </c>
      <c r="F7931" s="6" t="str">
        <f>IF($M7931="PADD I","PADD 1",IF($M7931="PADD II","PADD 2",IF($M7931="PADD III","PADD 3",IF($M7931="PADD IV","PADD 4",IF($M7931="PADD V","PADD 5","")))))</f>
        <v>PADD 3</v>
      </c>
      <c r="G7931" s="6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6" t="s">
        <v>44</v>
      </c>
      <c r="I7931" s="6" t="s">
        <v>547</v>
      </c>
      <c r="J7931" s="6" t="s">
        <v>394</v>
      </c>
      <c r="K7931" s="10">
        <v>11.47</v>
      </c>
      <c r="L7931" s="10">
        <v>31</v>
      </c>
      <c r="M7931" s="6" t="s">
        <v>421</v>
      </c>
      <c r="N7931" s="6">
        <f>IF(OR($G7931="FCC",$G7931="Hydrocracker",$G7931="Reformer"),IF(COUNTIFS($D:$D,$D7931,$A:$A,$A7931,$B:$B,$B7931,$G:$G,"CDU",$J:$J,"PLANNED")&gt;0,"tied","standalone"),"")</f>
        <v/>
      </c>
    </row>
    <row r="7932" spans="1:14">
      <c r="A7932" s="6">
        <v>2026</v>
      </c>
      <c r="B7932" s="6">
        <v>6</v>
      </c>
      <c r="C7932" s="6" t="s">
        <v>65</v>
      </c>
      <c r="D7932" s="6" t="s">
        <v>41</v>
      </c>
      <c r="E7932" s="6" t="s">
        <v>786</v>
      </c>
      <c r="F7932" s="6" t="str">
        <f>IF($M7932="PADD I","PADD 1",IF($M7932="PADD II","PADD 2",IF($M7932="PADD III","PADD 3",IF($M7932="PADD IV","PADD 4",IF($M7932="PADD V","PADD 5","")))))</f>
        <v>PADD 1</v>
      </c>
      <c r="G7932" s="6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6" t="s">
        <v>494</v>
      </c>
      <c r="I7932" s="6" t="s">
        <v>495</v>
      </c>
      <c r="J7932" s="6" t="s">
        <v>394</v>
      </c>
      <c r="K7932" s="10">
        <v>11.28</v>
      </c>
      <c r="L7932" s="10">
        <v>24</v>
      </c>
      <c r="M7932" s="6" t="s">
        <v>463</v>
      </c>
      <c r="N7932" s="6" t="str">
        <f>IF(OR($G7932="FCC",$G7932="Hydrocracker",$G7932="Reformer"),IF(COUNTIFS($D:$D,$D7932,$A:$A,$A7932,$B:$B,$B7932,$G:$G,"CDU",$J:$J,"PLANNED")&gt;0,"tied","standalone"),"")</f>
        <v>standalone</v>
      </c>
    </row>
    <row r="7933" spans="1:14">
      <c r="A7933" s="6">
        <v>2026</v>
      </c>
      <c r="B7933" s="6">
        <v>6</v>
      </c>
      <c r="C7933" s="6" t="s">
        <v>65</v>
      </c>
      <c r="D7933" s="6" t="s">
        <v>798</v>
      </c>
      <c r="E7933" s="6" t="s">
        <v>438</v>
      </c>
      <c r="F7933" s="6" t="str">
        <f>IF($M7933="PADD I","PADD 1",IF($M7933="PADD II","PADD 2",IF($M7933="PADD III","PADD 3",IF($M7933="PADD IV","PADD 4",IF($M7933="PADD V","PADD 5","")))))</f>
        <v>PADD 3</v>
      </c>
      <c r="G7933" s="6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6" t="s">
        <v>39</v>
      </c>
      <c r="I7933" s="6" t="s">
        <v>799</v>
      </c>
      <c r="J7933" s="6" t="s">
        <v>394</v>
      </c>
      <c r="K7933" s="10">
        <v>11.2</v>
      </c>
      <c r="L7933" s="10">
        <v>56</v>
      </c>
      <c r="M7933" s="6" t="s">
        <v>421</v>
      </c>
      <c r="N7933" s="6">
        <f>IF(OR($G7933="FCC",$G7933="Hydrocracker",$G7933="Reformer"),IF(COUNTIFS($D:$D,$D7933,$A:$A,$A7933,$B:$B,$B7933,$G:$G,"CDU",$J:$J,"PLANNED")&gt;0,"tied","standalone"),"")</f>
        <v/>
      </c>
    </row>
    <row r="7934" spans="1:14">
      <c r="A7934" s="6">
        <v>2026</v>
      </c>
      <c r="B7934" s="6">
        <v>6</v>
      </c>
      <c r="C7934" s="6" t="s">
        <v>65</v>
      </c>
      <c r="D7934" s="6" t="s">
        <v>41</v>
      </c>
      <c r="E7934" s="6" t="s">
        <v>786</v>
      </c>
      <c r="F7934" s="6" t="str">
        <f>IF($M7934="PADD I","PADD 1",IF($M7934="PADD II","PADD 2",IF($M7934="PADD III","PADD 3",IF($M7934="PADD IV","PADD 4",IF($M7934="PADD V","PADD 5","")))))</f>
        <v>PADD 1</v>
      </c>
      <c r="G7934" s="6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6" t="s">
        <v>44</v>
      </c>
      <c r="I7934" s="6" t="s">
        <v>1061</v>
      </c>
      <c r="J7934" s="6" t="s">
        <v>394</v>
      </c>
      <c r="K7934" s="10">
        <v>11.18</v>
      </c>
      <c r="L7934" s="10">
        <v>26</v>
      </c>
      <c r="M7934" s="6" t="s">
        <v>463</v>
      </c>
      <c r="N7934" s="6">
        <f>IF(OR($G7934="FCC",$G7934="Hydrocracker",$G7934="Reformer"),IF(COUNTIFS($D:$D,$D7934,$A:$A,$A7934,$B:$B,$B7934,$G:$G,"CDU",$J:$J,"PLANNED")&gt;0,"tied","standalone"),"")</f>
        <v/>
      </c>
    </row>
    <row r="7935" spans="1:14">
      <c r="A7935" s="6">
        <v>2026</v>
      </c>
      <c r="B7935" s="6">
        <v>6</v>
      </c>
      <c r="C7935" s="6" t="s">
        <v>65</v>
      </c>
      <c r="D7935" s="6" t="s">
        <v>458</v>
      </c>
      <c r="E7935" s="6" t="s">
        <v>459</v>
      </c>
      <c r="F7935" s="6" t="str">
        <f>IF($M7935="PADD I","PADD 1",IF($M7935="PADD II","PADD 2",IF($M7935="PADD III","PADD 3",IF($M7935="PADD IV","PADD 4",IF($M7935="PADD V","PADD 5","")))))</f>
        <v>PADD 3</v>
      </c>
      <c r="G7935" s="6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6" t="s">
        <v>44</v>
      </c>
      <c r="I7935" s="6" t="s">
        <v>552</v>
      </c>
      <c r="J7935" s="6" t="s">
        <v>394</v>
      </c>
      <c r="K7935" s="10">
        <v>11.1</v>
      </c>
      <c r="L7935" s="10">
        <v>30</v>
      </c>
      <c r="M7935" s="6" t="s">
        <v>421</v>
      </c>
      <c r="N7935" s="6">
        <f>IF(OR($G7935="FCC",$G7935="Hydrocracker",$G7935="Reformer"),IF(COUNTIFS($D:$D,$D7935,$A:$A,$A7935,$B:$B,$B7935,$G:$G,"CDU",$J:$J,"PLANNED")&gt;0,"tied","standalone"),"")</f>
        <v/>
      </c>
    </row>
    <row r="7936" spans="1:14">
      <c r="A7936" s="6">
        <v>2026</v>
      </c>
      <c r="B7936" s="6">
        <v>6</v>
      </c>
      <c r="C7936" s="6" t="s">
        <v>65</v>
      </c>
      <c r="D7936" s="6" t="s">
        <v>901</v>
      </c>
      <c r="E7936" s="6" t="s">
        <v>902</v>
      </c>
      <c r="F7936" s="6" t="str">
        <f>IF($M7936="PADD I","PADD 1",IF($M7936="PADD II","PADD 2",IF($M7936="PADD III","PADD 3",IF($M7936="PADD IV","PADD 4",IF($M7936="PADD V","PADD 5","")))))</f>
        <v>PADD 3</v>
      </c>
      <c r="G7936" s="6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6" t="s">
        <v>428</v>
      </c>
      <c r="I7936" s="6" t="s">
        <v>910</v>
      </c>
      <c r="J7936" s="6" t="s">
        <v>398</v>
      </c>
      <c r="K7936" s="10">
        <v>10.8</v>
      </c>
      <c r="L7936" s="10">
        <v>36</v>
      </c>
      <c r="M7936" s="6" t="s">
        <v>421</v>
      </c>
      <c r="N7936" s="6">
        <f>IF(OR($G7936="FCC",$G7936="Hydrocracker",$G7936="Reformer"),IF(COUNTIFS($D:$D,$D7936,$A:$A,$A7936,$B:$B,$B7936,$G:$G,"CDU",$J:$J,"PLANNED")&gt;0,"tied","standalone"),"")</f>
        <v/>
      </c>
    </row>
    <row r="7937" spans="1:14">
      <c r="A7937" s="6">
        <v>2026</v>
      </c>
      <c r="B7937" s="6">
        <v>6</v>
      </c>
      <c r="C7937" s="6" t="s">
        <v>65</v>
      </c>
      <c r="D7937" s="6" t="s">
        <v>41</v>
      </c>
      <c r="E7937" s="6" t="s">
        <v>786</v>
      </c>
      <c r="F7937" s="6" t="str">
        <f>IF($M7937="PADD I","PADD 1",IF($M7937="PADD II","PADD 2",IF($M7937="PADD III","PADD 3",IF($M7937="PADD IV","PADD 4",IF($M7937="PADD V","PADD 5","")))))</f>
        <v>PADD 1</v>
      </c>
      <c r="G7937" s="6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6" t="s">
        <v>428</v>
      </c>
      <c r="I7937" s="6" t="s">
        <v>1013</v>
      </c>
      <c r="J7937" s="6" t="s">
        <v>394</v>
      </c>
      <c r="K7937" s="10">
        <v>10.4619</v>
      </c>
      <c r="L7937" s="10">
        <v>24.33</v>
      </c>
      <c r="M7937" s="6" t="s">
        <v>463</v>
      </c>
      <c r="N7937" s="6">
        <f>IF(OR($G7937="FCC",$G7937="Hydrocracker",$G7937="Reformer"),IF(COUNTIFS($D:$D,$D7937,$A:$A,$A7937,$B:$B,$B7937,$G:$G,"CDU",$J:$J,"PLANNED")&gt;0,"tied","standalone"),"")</f>
        <v/>
      </c>
    </row>
    <row r="7938" spans="1:14">
      <c r="A7938" s="6">
        <v>2026</v>
      </c>
      <c r="B7938" s="6">
        <v>6</v>
      </c>
      <c r="C7938" s="6" t="s">
        <v>65</v>
      </c>
      <c r="D7938" s="6" t="s">
        <v>41</v>
      </c>
      <c r="E7938" s="6" t="s">
        <v>786</v>
      </c>
      <c r="F7938" s="6" t="str">
        <f>IF($M7938="PADD I","PADD 1",IF($M7938="PADD II","PADD 2",IF($M7938="PADD III","PADD 3",IF($M7938="PADD IV","PADD 4",IF($M7938="PADD V","PADD 5","")))))</f>
        <v>PADD 1</v>
      </c>
      <c r="G7938" s="6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6" t="s">
        <v>428</v>
      </c>
      <c r="I7938" s="6" t="s">
        <v>1059</v>
      </c>
      <c r="J7938" s="6" t="s">
        <v>394</v>
      </c>
      <c r="K7938" s="10">
        <v>10.4619</v>
      </c>
      <c r="L7938" s="10">
        <v>24.33</v>
      </c>
      <c r="M7938" s="6" t="s">
        <v>463</v>
      </c>
      <c r="N7938" s="6">
        <f>IF(OR($G7938="FCC",$G7938="Hydrocracker",$G7938="Reformer"),IF(COUNTIFS($D:$D,$D7938,$A:$A,$A7938,$B:$B,$B7938,$G:$G,"CDU",$J:$J,"PLANNED")&gt;0,"tied","standalone"),"")</f>
        <v/>
      </c>
    </row>
    <row r="7939" spans="1:14">
      <c r="A7939" s="6">
        <v>2026</v>
      </c>
      <c r="B7939" s="6">
        <v>6</v>
      </c>
      <c r="C7939" s="6" t="s">
        <v>65</v>
      </c>
      <c r="D7939" s="6" t="s">
        <v>41</v>
      </c>
      <c r="E7939" s="6" t="s">
        <v>786</v>
      </c>
      <c r="F7939" s="6" t="str">
        <f>IF($M7939="PADD I","PADD 1",IF($M7939="PADD II","PADD 2",IF($M7939="PADD III","PADD 3",IF($M7939="PADD IV","PADD 4",IF($M7939="PADD V","PADD 5","")))))</f>
        <v>PADD 1</v>
      </c>
      <c r="G7939" s="6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6" t="s">
        <v>428</v>
      </c>
      <c r="I7939" s="6" t="s">
        <v>1060</v>
      </c>
      <c r="J7939" s="6" t="s">
        <v>394</v>
      </c>
      <c r="K7939" s="10">
        <v>10.4619</v>
      </c>
      <c r="L7939" s="10">
        <v>24.33</v>
      </c>
      <c r="M7939" s="6" t="s">
        <v>463</v>
      </c>
      <c r="N7939" s="6">
        <f>IF(OR($G7939="FCC",$G7939="Hydrocracker",$G7939="Reformer"),IF(COUNTIFS($D:$D,$D7939,$A:$A,$A7939,$B:$B,$B7939,$G:$G,"CDU",$J:$J,"PLANNED")&gt;0,"tied","standalone"),"")</f>
        <v/>
      </c>
    </row>
    <row r="7940" spans="1:14">
      <c r="A7940" s="6">
        <v>2026</v>
      </c>
      <c r="B7940" s="6">
        <v>6</v>
      </c>
      <c r="C7940" s="6" t="s">
        <v>65</v>
      </c>
      <c r="D7940" s="6" t="s">
        <v>465</v>
      </c>
      <c r="E7940" s="6" t="s">
        <v>466</v>
      </c>
      <c r="F7940" s="6" t="str">
        <f>IF($M7940="PADD I","PADD 1",IF($M7940="PADD II","PADD 2",IF($M7940="PADD III","PADD 3",IF($M7940="PADD IV","PADD 4",IF($M7940="PADD V","PADD 5","")))))</f>
        <v>PADD 3</v>
      </c>
      <c r="G7940" s="6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6" t="s">
        <v>428</v>
      </c>
      <c r="I7940" s="6" t="s">
        <v>467</v>
      </c>
      <c r="J7940" s="6" t="s">
        <v>394</v>
      </c>
      <c r="K7940" s="10">
        <v>10</v>
      </c>
      <c r="L7940" s="10">
        <v>50</v>
      </c>
      <c r="M7940" s="6" t="s">
        <v>421</v>
      </c>
      <c r="N7940" s="6">
        <f>IF(OR($G7940="FCC",$G7940="Hydrocracker",$G7940="Reformer"),IF(COUNTIFS($D:$D,$D7940,$A:$A,$A7940,$B:$B,$B7940,$G:$G,"CDU",$J:$J,"PLANNED")&gt;0,"tied","standalone"),"")</f>
        <v/>
      </c>
    </row>
    <row r="7941" spans="1:14">
      <c r="A7941" s="6">
        <v>2026</v>
      </c>
      <c r="B7941" s="6">
        <v>6</v>
      </c>
      <c r="C7941" s="6" t="s">
        <v>65</v>
      </c>
      <c r="D7941" s="6" t="s">
        <v>370</v>
      </c>
      <c r="E7941" s="6" t="s">
        <v>431</v>
      </c>
      <c r="F7941" s="6" t="str">
        <f>IF($M7941="PADD I","PADD 1",IF($M7941="PADD II","PADD 2",IF($M7941="PADD III","PADD 3",IF($M7941="PADD IV","PADD 4",IF($M7941="PADD V","PADD 5","")))))</f>
        <v>PADD 2</v>
      </c>
      <c r="G7941" s="6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6" t="s">
        <v>485</v>
      </c>
      <c r="I7941" s="6" t="s">
        <v>491</v>
      </c>
      <c r="J7941" s="6" t="s">
        <v>394</v>
      </c>
      <c r="K7941" s="10">
        <v>9.4</v>
      </c>
      <c r="L7941" s="10">
        <v>47</v>
      </c>
      <c r="M7941" s="6" t="s">
        <v>425</v>
      </c>
      <c r="N7941" s="6">
        <f>IF(OR($G7941="FCC",$G7941="Hydrocracker",$G7941="Reformer"),IF(COUNTIFS($D:$D,$D7941,$A:$A,$A7941,$B:$B,$B7941,$G:$G,"CDU",$J:$J,"PLANNED")&gt;0,"tied","standalone"),"")</f>
        <v/>
      </c>
    </row>
    <row r="7942" spans="1:14">
      <c r="A7942" s="6">
        <v>2026</v>
      </c>
      <c r="B7942" s="6">
        <v>6</v>
      </c>
      <c r="C7942" s="6" t="s">
        <v>65</v>
      </c>
      <c r="D7942" s="6" t="s">
        <v>458</v>
      </c>
      <c r="E7942" s="6" t="s">
        <v>459</v>
      </c>
      <c r="F7942" s="6" t="str">
        <f>IF($M7942="PADD I","PADD 1",IF($M7942="PADD II","PADD 2",IF($M7942="PADD III","PADD 3",IF($M7942="PADD IV","PADD 4",IF($M7942="PADD V","PADD 5","")))))</f>
        <v>PADD 3</v>
      </c>
      <c r="G7942" s="6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6" t="s">
        <v>44</v>
      </c>
      <c r="I7942" s="6" t="s">
        <v>567</v>
      </c>
      <c r="J7942" s="6" t="s">
        <v>394</v>
      </c>
      <c r="K7942" s="10">
        <v>8.880000000000001</v>
      </c>
      <c r="L7942" s="10">
        <v>24</v>
      </c>
      <c r="M7942" s="6" t="s">
        <v>421</v>
      </c>
      <c r="N7942" s="6">
        <f>IF(OR($G7942="FCC",$G7942="Hydrocracker",$G7942="Reformer"),IF(COUNTIFS($D:$D,$D7942,$A:$A,$A7942,$B:$B,$B7942,$G:$G,"CDU",$J:$J,"PLANNED")&gt;0,"tied","standalone"),"")</f>
        <v/>
      </c>
    </row>
    <row r="7943" spans="1:14">
      <c r="A7943" s="6">
        <v>2026</v>
      </c>
      <c r="B7943" s="6">
        <v>6</v>
      </c>
      <c r="C7943" s="6" t="s">
        <v>65</v>
      </c>
      <c r="D7943" s="6" t="s">
        <v>370</v>
      </c>
      <c r="E7943" s="6" t="s">
        <v>431</v>
      </c>
      <c r="F7943" s="6" t="str">
        <f>IF($M7943="PADD I","PADD 1",IF($M7943="PADD II","PADD 2",IF($M7943="PADD III","PADD 3",IF($M7943="PADD IV","PADD 4",IF($M7943="PADD V","PADD 5","")))))</f>
        <v>PADD 2</v>
      </c>
      <c r="G7943" s="6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6" t="s">
        <v>39</v>
      </c>
      <c r="I7943" s="6" t="s">
        <v>82</v>
      </c>
      <c r="J7943" s="6" t="s">
        <v>394</v>
      </c>
      <c r="K7943" s="10">
        <v>8.550000000000001</v>
      </c>
      <c r="L7943" s="10">
        <v>15</v>
      </c>
      <c r="M7943" s="6" t="s">
        <v>425</v>
      </c>
      <c r="N7943" s="6">
        <f>IF(OR($G7943="FCC",$G7943="Hydrocracker",$G7943="Reformer"),IF(COUNTIFS($D:$D,$D7943,$A:$A,$A7943,$B:$B,$B7943,$G:$G,"CDU",$J:$J,"PLANNED")&gt;0,"tied","standalone"),"")</f>
        <v/>
      </c>
    </row>
    <row r="7944" spans="1:14">
      <c r="A7944" s="6">
        <v>2026</v>
      </c>
      <c r="B7944" s="6">
        <v>6</v>
      </c>
      <c r="C7944" s="6" t="s">
        <v>65</v>
      </c>
      <c r="D7944" s="6" t="s">
        <v>49</v>
      </c>
      <c r="E7944" s="6" t="s">
        <v>438</v>
      </c>
      <c r="F7944" s="6" t="str">
        <f>IF($M7944="PADD I","PADD 1",IF($M7944="PADD II","PADD 2",IF($M7944="PADD III","PADD 3",IF($M7944="PADD IV","PADD 4",IF($M7944="PADD V","PADD 5","")))))</f>
        <v>PADD 2</v>
      </c>
      <c r="G7944" s="6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6" t="s">
        <v>471</v>
      </c>
      <c r="I7944" s="6" t="s">
        <v>771</v>
      </c>
      <c r="J7944" s="6" t="s">
        <v>394</v>
      </c>
      <c r="K7944" s="10">
        <v>7.31</v>
      </c>
      <c r="L7944" s="10">
        <v>43</v>
      </c>
      <c r="M7944" s="6" t="s">
        <v>425</v>
      </c>
      <c r="N7944" s="6" t="str">
        <f>IF(OR($G7944="FCC",$G7944="Hydrocracker",$G7944="Reformer"),IF(COUNTIFS($D:$D,$D7944,$A:$A,$A7944,$B:$B,$B7944,$G:$G,"CDU",$J:$J,"PLANNED")&gt;0,"tied","standalone"),"")</f>
        <v>standalone</v>
      </c>
    </row>
    <row r="7945" spans="1:14">
      <c r="A7945" s="6">
        <v>2026</v>
      </c>
      <c r="B7945" s="6">
        <v>6</v>
      </c>
      <c r="C7945" s="6" t="s">
        <v>65</v>
      </c>
      <c r="D7945" s="6" t="s">
        <v>592</v>
      </c>
      <c r="E7945" s="6" t="s">
        <v>593</v>
      </c>
      <c r="F7945" s="6" t="str">
        <f>IF($M7945="PADD I","PADD 1",IF($M7945="PADD II","PADD 2",IF($M7945="PADD III","PADD 3",IF($M7945="PADD IV","PADD 4",IF($M7945="PADD V","PADD 5","")))))</f>
        <v>PADD 2</v>
      </c>
      <c r="G7945" s="6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6" t="s">
        <v>44</v>
      </c>
      <c r="I7945" s="6" t="s">
        <v>1056</v>
      </c>
      <c r="J7945" s="6" t="s">
        <v>398</v>
      </c>
      <c r="K7945" s="10">
        <v>7.2</v>
      </c>
      <c r="L7945" s="10">
        <v>36</v>
      </c>
      <c r="M7945" s="6" t="s">
        <v>425</v>
      </c>
      <c r="N7945" s="6">
        <f>IF(OR($G7945="FCC",$G7945="Hydrocracker",$G7945="Reformer"),IF(COUNTIFS($D:$D,$D7945,$A:$A,$A7945,$B:$B,$B7945,$G:$G,"CDU",$J:$J,"PLANNED")&gt;0,"tied","standalone"),"")</f>
        <v/>
      </c>
    </row>
    <row r="7946" spans="1:14">
      <c r="A7946" s="6">
        <v>2026</v>
      </c>
      <c r="B7946" s="6">
        <v>6</v>
      </c>
      <c r="C7946" s="6" t="s">
        <v>65</v>
      </c>
      <c r="D7946" s="6" t="s">
        <v>41</v>
      </c>
      <c r="E7946" s="6" t="s">
        <v>786</v>
      </c>
      <c r="F7946" s="6" t="str">
        <f>IF($M7946="PADD I","PADD 1",IF($M7946="PADD II","PADD 2",IF($M7946="PADD III","PADD 3",IF($M7946="PADD IV","PADD 4",IF($M7946="PADD V","PADD 5","")))))</f>
        <v>PADD 1</v>
      </c>
      <c r="G7946" s="6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6" t="s">
        <v>687</v>
      </c>
      <c r="I7946" s="6" t="s">
        <v>1069</v>
      </c>
      <c r="J7946" s="6" t="s">
        <v>394</v>
      </c>
      <c r="K7946" s="10">
        <v>7</v>
      </c>
      <c r="L7946" s="10">
        <v>14</v>
      </c>
      <c r="M7946" s="6" t="s">
        <v>463</v>
      </c>
      <c r="N7946" s="6">
        <f>IF(OR($G7946="FCC",$G7946="Hydrocracker",$G7946="Reformer"),IF(COUNTIFS($D:$D,$D7946,$A:$A,$A7946,$B:$B,$B7946,$G:$G,"CDU",$J:$J,"PLANNED")&gt;0,"tied","standalone"),"")</f>
        <v/>
      </c>
    </row>
    <row r="7947" spans="1:14">
      <c r="A7947" s="6">
        <v>2026</v>
      </c>
      <c r="B7947" s="6">
        <v>6</v>
      </c>
      <c r="C7947" s="6" t="s">
        <v>65</v>
      </c>
      <c r="D7947" s="6" t="s">
        <v>395</v>
      </c>
      <c r="E7947" s="6" t="s">
        <v>433</v>
      </c>
      <c r="F7947" s="6" t="str">
        <f>IF($M7947="PADD I","PADD 1",IF($M7947="PADD II","PADD 2",IF($M7947="PADD III","PADD 3",IF($M7947="PADD IV","PADD 4",IF($M7947="PADD V","PADD 5","")))))</f>
        <v>PADD 2</v>
      </c>
      <c r="G7947" s="6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6" t="s">
        <v>471</v>
      </c>
      <c r="I7947" s="6" t="s">
        <v>521</v>
      </c>
      <c r="J7947" s="6" t="s">
        <v>394</v>
      </c>
      <c r="K7947" s="10">
        <v>6.9</v>
      </c>
      <c r="L7947" s="10">
        <v>30</v>
      </c>
      <c r="M7947" s="6" t="s">
        <v>425</v>
      </c>
      <c r="N7947" s="6" t="str">
        <f>IF(OR($G7947="FCC",$G7947="Hydrocracker",$G7947="Reformer"),IF(COUNTIFS($D:$D,$D7947,$A:$A,$A7947,$B:$B,$B7947,$G:$G,"CDU",$J:$J,"PLANNED")&gt;0,"tied","standalone"),"")</f>
        <v>standalone</v>
      </c>
    </row>
    <row r="7948" spans="1:14">
      <c r="A7948" s="6">
        <v>2026</v>
      </c>
      <c r="B7948" s="6">
        <v>6</v>
      </c>
      <c r="C7948" s="6" t="s">
        <v>65</v>
      </c>
      <c r="D7948" s="6" t="s">
        <v>45</v>
      </c>
      <c r="E7948" s="6" t="s">
        <v>1389</v>
      </c>
      <c r="F7948" s="6" t="str">
        <f>IF($M7948="PADD I","PADD 1",IF($M7948="PADD II","PADD 2",IF($M7948="PADD III","PADD 3",IF($M7948="PADD IV","PADD 4",IF($M7948="PADD V","PADD 5","")))))</f>
        <v>PADD 5</v>
      </c>
      <c r="G7948" s="6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6" t="s">
        <v>494</v>
      </c>
      <c r="I7948" s="6" t="s">
        <v>1426</v>
      </c>
      <c r="J7948" s="6" t="s">
        <v>398</v>
      </c>
      <c r="K7948" s="10">
        <v>6.5</v>
      </c>
      <c r="L7948" s="10">
        <v>13</v>
      </c>
      <c r="M7948" s="6" t="s">
        <v>436</v>
      </c>
      <c r="N7948" s="6" t="str">
        <f>IF(OR($G7948="FCC",$G7948="Hydrocracker",$G7948="Reformer"),IF(COUNTIFS($D:$D,$D7948,$A:$A,$A7948,$B:$B,$B7948,$G:$G,"CDU",$J:$J,"PLANNED")&gt;0,"tied","standalone"),"")</f>
        <v>tied</v>
      </c>
    </row>
    <row r="7949" spans="1:14">
      <c r="A7949" s="6">
        <v>2026</v>
      </c>
      <c r="B7949" s="6">
        <v>6</v>
      </c>
      <c r="C7949" s="6" t="s">
        <v>65</v>
      </c>
      <c r="D7949" s="6" t="s">
        <v>45</v>
      </c>
      <c r="E7949" s="6" t="s">
        <v>1389</v>
      </c>
      <c r="F7949" s="6" t="str">
        <f>IF($M7949="PADD I","PADD 1",IF($M7949="PADD II","PADD 2",IF($M7949="PADD III","PADD 3",IF($M7949="PADD IV","PADD 4",IF($M7949="PADD V","PADD 5","")))))</f>
        <v>PADD 5</v>
      </c>
      <c r="G7949" s="6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6" t="s">
        <v>471</v>
      </c>
      <c r="I7949" s="6" t="s">
        <v>1427</v>
      </c>
      <c r="J7949" s="6" t="s">
        <v>398</v>
      </c>
      <c r="K7949" s="10">
        <v>6.5</v>
      </c>
      <c r="L7949" s="10">
        <v>13</v>
      </c>
      <c r="M7949" s="6" t="s">
        <v>436</v>
      </c>
      <c r="N7949" s="6" t="str">
        <f>IF(OR($G7949="FCC",$G7949="Hydrocracker",$G7949="Reformer"),IF(COUNTIFS($D:$D,$D7949,$A:$A,$A7949,$B:$B,$B7949,$G:$G,"CDU",$J:$J,"PLANNED")&gt;0,"tied","standalone"),"")</f>
        <v>tied</v>
      </c>
    </row>
    <row r="7950" spans="1:14">
      <c r="A7950" s="6">
        <v>2026</v>
      </c>
      <c r="B7950" s="6">
        <v>6</v>
      </c>
      <c r="C7950" s="6" t="s">
        <v>65</v>
      </c>
      <c r="D7950" s="6" t="s">
        <v>370</v>
      </c>
      <c r="E7950" s="6" t="s">
        <v>431</v>
      </c>
      <c r="F7950" s="6" t="str">
        <f>IF($M7950="PADD I","PADD 1",IF($M7950="PADD II","PADD 2",IF($M7950="PADD III","PADD 3",IF($M7950="PADD IV","PADD 4",IF($M7950="PADD V","PADD 5","")))))</f>
        <v>PADD 2</v>
      </c>
      <c r="G7950" s="6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6" t="s">
        <v>471</v>
      </c>
      <c r="I7950" s="6" t="s">
        <v>240</v>
      </c>
      <c r="J7950" s="6" t="s">
        <v>394</v>
      </c>
      <c r="K7950" s="10">
        <v>6.3</v>
      </c>
      <c r="L7950" s="10">
        <v>10</v>
      </c>
      <c r="M7950" s="6" t="s">
        <v>425</v>
      </c>
      <c r="N7950" s="6" t="str">
        <f>IF(OR($G7950="FCC",$G7950="Hydrocracker",$G7950="Reformer"),IF(COUNTIFS($D:$D,$D7950,$A:$A,$A7950,$B:$B,$B7950,$G:$G,"CDU",$J:$J,"PLANNED")&gt;0,"tied","standalone"),"")</f>
        <v>standalone</v>
      </c>
    </row>
    <row r="7951" spans="1:14">
      <c r="A7951" s="6">
        <v>2026</v>
      </c>
      <c r="B7951" s="6">
        <v>6</v>
      </c>
      <c r="C7951" s="6" t="s">
        <v>65</v>
      </c>
      <c r="D7951" s="6" t="s">
        <v>41</v>
      </c>
      <c r="E7951" s="6" t="s">
        <v>786</v>
      </c>
      <c r="F7951" s="6" t="str">
        <f>IF($M7951="PADD I","PADD 1",IF($M7951="PADD II","PADD 2",IF($M7951="PADD III","PADD 3",IF($M7951="PADD IV","PADD 4",IF($M7951="PADD V","PADD 5","")))))</f>
        <v>PADD 1</v>
      </c>
      <c r="G7951" s="6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6" t="s">
        <v>44</v>
      </c>
      <c r="I7951" s="6" t="s">
        <v>1071</v>
      </c>
      <c r="J7951" s="6" t="s">
        <v>394</v>
      </c>
      <c r="K7951" s="10">
        <v>5.75</v>
      </c>
      <c r="L7951" s="10">
        <v>11.5</v>
      </c>
      <c r="M7951" s="6" t="s">
        <v>463</v>
      </c>
      <c r="N7951" s="6">
        <f>IF(OR($G7951="FCC",$G7951="Hydrocracker",$G7951="Reformer"),IF(COUNTIFS($D:$D,$D7951,$A:$A,$A7951,$B:$B,$B7951,$G:$G,"CDU",$J:$J,"PLANNED")&gt;0,"tied","standalone"),"")</f>
        <v/>
      </c>
    </row>
    <row r="7952" spans="1:14">
      <c r="A7952" s="6">
        <v>2026</v>
      </c>
      <c r="B7952" s="6">
        <v>6</v>
      </c>
      <c r="C7952" s="6" t="s">
        <v>65</v>
      </c>
      <c r="D7952" s="6" t="s">
        <v>41</v>
      </c>
      <c r="E7952" s="6" t="s">
        <v>786</v>
      </c>
      <c r="F7952" s="6" t="str">
        <f>IF($M7952="PADD I","PADD 1",IF($M7952="PADD II","PADD 2",IF($M7952="PADD III","PADD 3",IF($M7952="PADD IV","PADD 4",IF($M7952="PADD V","PADD 5","")))))</f>
        <v>PADD 1</v>
      </c>
      <c r="G7952" s="6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6" t="s">
        <v>510</v>
      </c>
      <c r="I7952" s="6" t="s">
        <v>810</v>
      </c>
      <c r="J7952" s="6" t="s">
        <v>394</v>
      </c>
      <c r="K7952" s="10">
        <v>5.64</v>
      </c>
      <c r="L7952" s="10">
        <v>12</v>
      </c>
      <c r="M7952" s="6" t="s">
        <v>463</v>
      </c>
      <c r="N7952" s="6">
        <f>IF(OR($G7952="FCC",$G7952="Hydrocracker",$G7952="Reformer"),IF(COUNTIFS($D:$D,$D7952,$A:$A,$A7952,$B:$B,$B7952,$G:$G,"CDU",$J:$J,"PLANNED")&gt;0,"tied","standalone"),"")</f>
        <v/>
      </c>
    </row>
    <row r="7953" spans="1:14">
      <c r="A7953" s="6">
        <v>2026</v>
      </c>
      <c r="B7953" s="6">
        <v>6</v>
      </c>
      <c r="C7953" s="6" t="s">
        <v>65</v>
      </c>
      <c r="D7953" s="6" t="s">
        <v>45</v>
      </c>
      <c r="E7953" s="6" t="s">
        <v>1389</v>
      </c>
      <c r="F7953" s="6" t="str">
        <f>IF($M7953="PADD I","PADD 1",IF($M7953="PADD II","PADD 2",IF($M7953="PADD III","PADD 3",IF($M7953="PADD IV","PADD 4",IF($M7953="PADD V","PADD 5","")))))</f>
        <v>PADD 5</v>
      </c>
      <c r="G7953" s="6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6" t="s">
        <v>39</v>
      </c>
      <c r="I7953" s="6" t="s">
        <v>1428</v>
      </c>
      <c r="J7953" s="6" t="s">
        <v>398</v>
      </c>
      <c r="K7953" s="10">
        <v>5.5</v>
      </c>
      <c r="L7953" s="10">
        <v>11</v>
      </c>
      <c r="M7953" s="6" t="s">
        <v>436</v>
      </c>
      <c r="N7953" s="6">
        <f>IF(OR($G7953="FCC",$G7953="Hydrocracker",$G7953="Reformer"),IF(COUNTIFS($D:$D,$D7953,$A:$A,$A7953,$B:$B,$B7953,$G:$G,"CDU",$J:$J,"PLANNED")&gt;0,"tied","standalone"),"")</f>
        <v/>
      </c>
    </row>
    <row r="7954" spans="1:14">
      <c r="A7954" s="6">
        <v>2026</v>
      </c>
      <c r="B7954" s="6">
        <v>6</v>
      </c>
      <c r="C7954" s="6" t="s">
        <v>65</v>
      </c>
      <c r="D7954" s="6" t="s">
        <v>458</v>
      </c>
      <c r="E7954" s="6" t="s">
        <v>459</v>
      </c>
      <c r="F7954" s="6" t="str">
        <f>IF($M7954="PADD I","PADD 1",IF($M7954="PADD II","PADD 2",IF($M7954="PADD III","PADD 3",IF($M7954="PADD IV","PADD 4",IF($M7954="PADD V","PADD 5","")))))</f>
        <v>PADD 3</v>
      </c>
      <c r="G7954" s="6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6" t="s">
        <v>618</v>
      </c>
      <c r="I7954" s="6" t="s">
        <v>619</v>
      </c>
      <c r="J7954" s="6" t="s">
        <v>394</v>
      </c>
      <c r="K7954" s="10">
        <v>4.995</v>
      </c>
      <c r="L7954" s="10">
        <v>13.5</v>
      </c>
      <c r="M7954" s="6" t="s">
        <v>421</v>
      </c>
      <c r="N7954" s="6">
        <f>IF(OR($G7954="FCC",$G7954="Hydrocracker",$G7954="Reformer"),IF(COUNTIFS($D:$D,$D7954,$A:$A,$A7954,$B:$B,$B7954,$G:$G,"CDU",$J:$J,"PLANNED")&gt;0,"tied","standalone"),"")</f>
        <v/>
      </c>
    </row>
    <row r="7955" spans="1:14">
      <c r="A7955" s="6">
        <v>2026</v>
      </c>
      <c r="B7955" s="6">
        <v>6</v>
      </c>
      <c r="C7955" s="6" t="s">
        <v>65</v>
      </c>
      <c r="D7955" s="6" t="s">
        <v>772</v>
      </c>
      <c r="E7955" s="6" t="s">
        <v>502</v>
      </c>
      <c r="F7955" s="6" t="str">
        <f>IF($M7955="PADD I","PADD 1",IF($M7955="PADD II","PADD 2",IF($M7955="PADD III","PADD 3",IF($M7955="PADD IV","PADD 4",IF($M7955="PADD V","PADD 5","")))))</f>
        <v>PADD 4</v>
      </c>
      <c r="G7955" s="6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6" t="s">
        <v>426</v>
      </c>
      <c r="I7955" s="6" t="s">
        <v>1156</v>
      </c>
      <c r="J7955" s="6" t="s">
        <v>394</v>
      </c>
      <c r="K7955" s="10">
        <v>4.5</v>
      </c>
      <c r="L7955" s="10">
        <v>9</v>
      </c>
      <c r="M7955" s="6" t="s">
        <v>480</v>
      </c>
      <c r="N7955" s="6" t="str">
        <f>IF(OR($G7955="FCC",$G7955="Hydrocracker",$G7955="Reformer"),IF(COUNTIFS($D:$D,$D7955,$A:$A,$A7955,$B:$B,$B7955,$G:$G,"CDU",$J:$J,"PLANNED")&gt;0,"tied","standalone"),"")</f>
        <v>standalone</v>
      </c>
    </row>
    <row r="7956" spans="1:14">
      <c r="A7956" s="6">
        <v>2026</v>
      </c>
      <c r="B7956" s="6">
        <v>6</v>
      </c>
      <c r="C7956" s="6" t="s">
        <v>65</v>
      </c>
      <c r="D7956" s="6" t="s">
        <v>437</v>
      </c>
      <c r="E7956" s="6" t="s">
        <v>438</v>
      </c>
      <c r="F7956" s="6" t="str">
        <f>IF($M7956="PADD I","PADD 1",IF($M7956="PADD II","PADD 2",IF($M7956="PADD III","PADD 3",IF($M7956="PADD IV","PADD 4",IF($M7956="PADD V","PADD 5","")))))</f>
        <v>PADD 3</v>
      </c>
      <c r="G7956" s="6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6" t="s">
        <v>426</v>
      </c>
      <c r="I7956" s="6" t="s">
        <v>522</v>
      </c>
      <c r="J7956" s="6" t="s">
        <v>394</v>
      </c>
      <c r="K7956" s="10">
        <v>4.2</v>
      </c>
      <c r="L7956" s="10">
        <v>140</v>
      </c>
      <c r="M7956" s="6" t="s">
        <v>421</v>
      </c>
      <c r="N7956" s="6" t="str">
        <f>IF(OR($G7956="FCC",$G7956="Hydrocracker",$G7956="Reformer"),IF(COUNTIFS($D:$D,$D7956,$A:$A,$A7956,$B:$B,$B7956,$G:$G,"CDU",$J:$J,"PLANNED")&gt;0,"tied","standalone"),"")</f>
        <v>standalone</v>
      </c>
    </row>
    <row r="7957" spans="1:14">
      <c r="A7957" s="6">
        <v>2026</v>
      </c>
      <c r="B7957" s="6">
        <v>6</v>
      </c>
      <c r="C7957" s="6" t="s">
        <v>65</v>
      </c>
      <c r="D7957" s="6" t="s">
        <v>1274</v>
      </c>
      <c r="E7957" s="6" t="s">
        <v>731</v>
      </c>
      <c r="F7957" s="6" t="str">
        <f>IF($M7957="PADD I","PADD 1",IF($M7957="PADD II","PADD 2",IF($M7957="PADD III","PADD 3",IF($M7957="PADD IV","PADD 4",IF($M7957="PADD V","PADD 5","")))))</f>
        <v>PADD 3</v>
      </c>
      <c r="G7957" s="6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6" t="s">
        <v>471</v>
      </c>
      <c r="I7957" s="6" t="s">
        <v>15</v>
      </c>
      <c r="J7957" s="6" t="s">
        <v>394</v>
      </c>
      <c r="K7957" s="10">
        <v>4.08</v>
      </c>
      <c r="L7957" s="10">
        <v>24</v>
      </c>
      <c r="M7957" s="6" t="s">
        <v>421</v>
      </c>
      <c r="N7957" s="6" t="str">
        <f>IF(OR($G7957="FCC",$G7957="Hydrocracker",$G7957="Reformer"),IF(COUNTIFS($D:$D,$D7957,$A:$A,$A7957,$B:$B,$B7957,$G:$G,"CDU",$J:$J,"PLANNED")&gt;0,"tied","standalone"),"")</f>
        <v>standalone</v>
      </c>
    </row>
    <row r="7958" spans="1:14">
      <c r="A7958" s="6">
        <v>2026</v>
      </c>
      <c r="B7958" s="6">
        <v>6</v>
      </c>
      <c r="C7958" s="6" t="s">
        <v>65</v>
      </c>
      <c r="D7958" s="6" t="s">
        <v>696</v>
      </c>
      <c r="E7958" s="6" t="s">
        <v>455</v>
      </c>
      <c r="F7958" s="6" t="str">
        <f>IF($M7958="PADD I","PADD 1",IF($M7958="PADD II","PADD 2",IF($M7958="PADD III","PADD 3",IF($M7958="PADD IV","PADD 4",IF($M7958="PADD V","PADD 5","")))))</f>
        <v>PADD 3</v>
      </c>
      <c r="G7958" s="6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6" t="s">
        <v>39</v>
      </c>
      <c r="I7958" s="6" t="s">
        <v>127</v>
      </c>
      <c r="J7958" s="6" t="s">
        <v>394</v>
      </c>
      <c r="K7958" s="10">
        <v>4</v>
      </c>
      <c r="L7958" s="10">
        <v>40</v>
      </c>
      <c r="M7958" s="6" t="s">
        <v>421</v>
      </c>
      <c r="N7958" s="6">
        <f>IF(OR($G7958="FCC",$G7958="Hydrocracker",$G7958="Reformer"),IF(COUNTIFS($D:$D,$D7958,$A:$A,$A7958,$B:$B,$B7958,$G:$G,"CDU",$J:$J,"PLANNED")&gt;0,"tied","standalone"),"")</f>
        <v/>
      </c>
    </row>
    <row r="7959" spans="1:14">
      <c r="A7959" s="6">
        <v>2026</v>
      </c>
      <c r="B7959" s="6">
        <v>6</v>
      </c>
      <c r="C7959" s="6" t="s">
        <v>65</v>
      </c>
      <c r="D7959" s="6" t="s">
        <v>437</v>
      </c>
      <c r="E7959" s="6" t="s">
        <v>438</v>
      </c>
      <c r="F7959" s="6" t="str">
        <f>IF($M7959="PADD I","PADD 1",IF($M7959="PADD II","PADD 2",IF($M7959="PADD III","PADD 3",IF($M7959="PADD IV","PADD 4",IF($M7959="PADD V","PADD 5","")))))</f>
        <v>PADD 3</v>
      </c>
      <c r="G7959" s="6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6" t="s">
        <v>428</v>
      </c>
      <c r="I7959" s="6" t="s">
        <v>492</v>
      </c>
      <c r="J7959" s="6" t="s">
        <v>394</v>
      </c>
      <c r="K7959" s="10">
        <v>3.84</v>
      </c>
      <c r="L7959" s="10">
        <v>128</v>
      </c>
      <c r="M7959" s="6" t="s">
        <v>421</v>
      </c>
      <c r="N7959" s="6">
        <f>IF(OR($G7959="FCC",$G7959="Hydrocracker",$G7959="Reformer"),IF(COUNTIFS($D:$D,$D7959,$A:$A,$A7959,$B:$B,$B7959,$G:$G,"CDU",$J:$J,"PLANNED")&gt;0,"tied","standalone"),"")</f>
        <v/>
      </c>
    </row>
    <row r="7960" spans="1:14">
      <c r="A7960" s="6">
        <v>2026</v>
      </c>
      <c r="B7960" s="6">
        <v>6</v>
      </c>
      <c r="C7960" s="6" t="s">
        <v>65</v>
      </c>
      <c r="D7960" s="6" t="s">
        <v>851</v>
      </c>
      <c r="E7960" s="6" t="s">
        <v>829</v>
      </c>
      <c r="F7960" s="6" t="str">
        <f>IF($M7960="PADD I","PADD 1",IF($M7960="PADD II","PADD 2",IF($M7960="PADD III","PADD 3",IF($M7960="PADD IV","PADD 4",IF($M7960="PADD V","PADD 5","")))))</f>
        <v>PADD 2</v>
      </c>
      <c r="G7960" s="6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6" t="s">
        <v>494</v>
      </c>
      <c r="I7960" s="6" t="s">
        <v>1042</v>
      </c>
      <c r="J7960" s="6" t="s">
        <v>394</v>
      </c>
      <c r="K7960" s="10">
        <v>3.6</v>
      </c>
      <c r="L7960" s="10">
        <v>36</v>
      </c>
      <c r="M7960" s="6" t="s">
        <v>425</v>
      </c>
      <c r="N7960" s="6" t="str">
        <f>IF(OR($G7960="FCC",$G7960="Hydrocracker",$G7960="Reformer"),IF(COUNTIFS($D:$D,$D7960,$A:$A,$A7960,$B:$B,$B7960,$G:$G,"CDU",$J:$J,"PLANNED")&gt;0,"tied","standalone"),"")</f>
        <v>standalone</v>
      </c>
    </row>
    <row r="7961" spans="1:14">
      <c r="A7961" s="6">
        <v>2026</v>
      </c>
      <c r="B7961" s="6">
        <v>6</v>
      </c>
      <c r="C7961" s="6" t="s">
        <v>65</v>
      </c>
      <c r="D7961" s="6" t="s">
        <v>792</v>
      </c>
      <c r="E7961" s="6" t="s">
        <v>438</v>
      </c>
      <c r="F7961" s="6" t="str">
        <f>IF($M7961="PADD I","PADD 1",IF($M7961="PADD II","PADD 2",IF($M7961="PADD III","PADD 3",IF($M7961="PADD IV","PADD 4",IF($M7961="PADD V","PADD 5","")))))</f>
        <v>PADD 5</v>
      </c>
      <c r="G7961" s="6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6" t="s">
        <v>618</v>
      </c>
      <c r="I7961" s="6" t="s">
        <v>818</v>
      </c>
      <c r="J7961" s="6" t="s">
        <v>398</v>
      </c>
      <c r="K7961" s="10">
        <v>3.5</v>
      </c>
      <c r="L7961" s="10">
        <v>3.5</v>
      </c>
      <c r="M7961" s="6" t="s">
        <v>436</v>
      </c>
      <c r="N7961" s="6">
        <f>IF(OR($G7961="FCC",$G7961="Hydrocracker",$G7961="Reformer"),IF(COUNTIFS($D:$D,$D7961,$A:$A,$A7961,$B:$B,$B7961,$G:$G,"CDU",$J:$J,"PLANNED")&gt;0,"tied","standalone"),"")</f>
        <v/>
      </c>
    </row>
    <row r="7962" spans="1:14">
      <c r="A7962" s="6">
        <v>2026</v>
      </c>
      <c r="B7962" s="6">
        <v>6</v>
      </c>
      <c r="C7962" s="6" t="s">
        <v>65</v>
      </c>
      <c r="D7962" s="6" t="s">
        <v>465</v>
      </c>
      <c r="E7962" s="6" t="s">
        <v>466</v>
      </c>
      <c r="F7962" s="6" t="str">
        <f>IF($M7962="PADD I","PADD 1",IF($M7962="PADD II","PADD 2",IF($M7962="PADD III","PADD 3",IF($M7962="PADD IV","PADD 4",IF($M7962="PADD V","PADD 5","")))))</f>
        <v>PADD 3</v>
      </c>
      <c r="G7962" s="6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6" t="s">
        <v>428</v>
      </c>
      <c r="I7962" s="6" t="s">
        <v>467</v>
      </c>
      <c r="J7962" s="6" t="s">
        <v>394</v>
      </c>
      <c r="K7962" s="10">
        <v>3.5</v>
      </c>
      <c r="L7962" s="10">
        <v>50</v>
      </c>
      <c r="M7962" s="6" t="s">
        <v>421</v>
      </c>
      <c r="N7962" s="6">
        <f>IF(OR($G7962="FCC",$G7962="Hydrocracker",$G7962="Reformer"),IF(COUNTIFS($D:$D,$D7962,$A:$A,$A7962,$B:$B,$B7962,$G:$G,"CDU",$J:$J,"PLANNED")&gt;0,"tied","standalone"),"")</f>
        <v/>
      </c>
    </row>
    <row r="7963" spans="1:14">
      <c r="A7963" s="6">
        <v>2026</v>
      </c>
      <c r="B7963" s="6">
        <v>6</v>
      </c>
      <c r="C7963" s="6" t="s">
        <v>65</v>
      </c>
      <c r="D7963" s="6" t="s">
        <v>534</v>
      </c>
      <c r="E7963" s="6" t="s">
        <v>459</v>
      </c>
      <c r="F7963" s="6" t="str">
        <f>IF($M7963="PADD I","PADD 1",IF($M7963="PADD II","PADD 2",IF($M7963="PADD III","PADD 3",IF($M7963="PADD IV","PADD 4",IF($M7963="PADD V","PADD 5","")))))</f>
        <v>PADD 3</v>
      </c>
      <c r="G7963" s="6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6" t="s">
        <v>44</v>
      </c>
      <c r="I7963" s="6" t="s">
        <v>543</v>
      </c>
      <c r="J7963" s="6" t="s">
        <v>394</v>
      </c>
      <c r="K7963" s="10">
        <v>3</v>
      </c>
      <c r="L7963" s="10">
        <v>10</v>
      </c>
      <c r="M7963" s="6" t="s">
        <v>421</v>
      </c>
      <c r="N7963" s="6">
        <f>IF(OR($G7963="FCC",$G7963="Hydrocracker",$G7963="Reformer"),IF(COUNTIFS($D:$D,$D7963,$A:$A,$A7963,$B:$B,$B7963,$G:$G,"CDU",$J:$J,"PLANNED")&gt;0,"tied","standalone"),"")</f>
        <v/>
      </c>
    </row>
    <row r="7964" spans="1:14">
      <c r="A7964" s="6">
        <v>2026</v>
      </c>
      <c r="B7964" s="6">
        <v>6</v>
      </c>
      <c r="C7964" s="6" t="s">
        <v>65</v>
      </c>
      <c r="D7964" s="6" t="s">
        <v>1259</v>
      </c>
      <c r="E7964" s="6" t="s">
        <v>1260</v>
      </c>
      <c r="F7964" s="6" t="str">
        <f>IF($M7964="PADD I","PADD 1",IF($M7964="PADD II","PADD 2",IF($M7964="PADD III","PADD 3",IF($M7964="PADD IV","PADD 4",IF($M7964="PADD V","PADD 5","")))))</f>
        <v>PADD 5</v>
      </c>
      <c r="G7964" s="6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6" t="s">
        <v>39</v>
      </c>
      <c r="I7964" s="6" t="s">
        <v>1429</v>
      </c>
      <c r="J7964" s="6" t="s">
        <v>398</v>
      </c>
      <c r="K7964" s="10">
        <v>2.8</v>
      </c>
      <c r="L7964" s="10">
        <v>7</v>
      </c>
      <c r="M7964" s="6" t="s">
        <v>436</v>
      </c>
      <c r="N7964" s="6">
        <f>IF(OR($G7964="FCC",$G7964="Hydrocracker",$G7964="Reformer"),IF(COUNTIFS($D:$D,$D7964,$A:$A,$A7964,$B:$B,$B7964,$G:$G,"CDU",$J:$J,"PLANNED")&gt;0,"tied","standalone"),"")</f>
        <v/>
      </c>
    </row>
    <row r="7965" spans="1:14">
      <c r="A7965" s="6">
        <v>2026</v>
      </c>
      <c r="B7965" s="6">
        <v>6</v>
      </c>
      <c r="C7965" s="6" t="s">
        <v>65</v>
      </c>
      <c r="D7965" s="6" t="s">
        <v>1259</v>
      </c>
      <c r="E7965" s="6" t="s">
        <v>1260</v>
      </c>
      <c r="F7965" s="6" t="str">
        <f>IF($M7965="PADD I","PADD 1",IF($M7965="PADD II","PADD 2",IF($M7965="PADD III","PADD 3",IF($M7965="PADD IV","PADD 4",IF($M7965="PADD V","PADD 5","")))))</f>
        <v>PADD 5</v>
      </c>
      <c r="G7965" s="6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6" t="s">
        <v>39</v>
      </c>
      <c r="I7965" s="6" t="s">
        <v>1261</v>
      </c>
      <c r="J7965" s="6" t="s">
        <v>398</v>
      </c>
      <c r="K7965" s="10">
        <v>2.8</v>
      </c>
      <c r="L7965" s="10">
        <v>7</v>
      </c>
      <c r="M7965" s="6" t="s">
        <v>436</v>
      </c>
      <c r="N7965" s="6">
        <f>IF(OR($G7965="FCC",$G7965="Hydrocracker",$G7965="Reformer"),IF(COUNTIFS($D:$D,$D7965,$A:$A,$A7965,$B:$B,$B7965,$G:$G,"CDU",$J:$J,"PLANNED")&gt;0,"tied","standalone"),"")</f>
        <v/>
      </c>
    </row>
    <row r="7966" spans="1:14">
      <c r="A7966" s="6">
        <v>2026</v>
      </c>
      <c r="B7966" s="6">
        <v>6</v>
      </c>
      <c r="C7966" s="6" t="s">
        <v>65</v>
      </c>
      <c r="D7966" s="6" t="s">
        <v>380</v>
      </c>
      <c r="E7966" s="6" t="s">
        <v>423</v>
      </c>
      <c r="F7966" s="6" t="str">
        <f>IF($M7966="PADD I","PADD 1",IF($M7966="PADD II","PADD 2",IF($M7966="PADD III","PADD 3",IF($M7966="PADD IV","PADD 4",IF($M7966="PADD V","PADD 5","")))))</f>
        <v>PADD 2</v>
      </c>
      <c r="G7966" s="6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6" t="s">
        <v>471</v>
      </c>
      <c r="I7966" s="6" t="s">
        <v>966</v>
      </c>
      <c r="J7966" s="6" t="s">
        <v>394</v>
      </c>
      <c r="K7966" s="10">
        <v>2.8</v>
      </c>
      <c r="L7966" s="10">
        <v>40</v>
      </c>
      <c r="M7966" s="6" t="s">
        <v>425</v>
      </c>
      <c r="N7966" s="6" t="str">
        <f>IF(OR($G7966="FCC",$G7966="Hydrocracker",$G7966="Reformer"),IF(COUNTIFS($D:$D,$D7966,$A:$A,$A7966,$B:$B,$B7966,$G:$G,"CDU",$J:$J,"PLANNED")&gt;0,"tied","standalone"),"")</f>
        <v>standalone</v>
      </c>
    </row>
    <row r="7967" spans="1:14">
      <c r="A7967" s="6">
        <v>2026</v>
      </c>
      <c r="B7967" s="6">
        <v>6</v>
      </c>
      <c r="C7967" s="6" t="s">
        <v>65</v>
      </c>
      <c r="D7967" s="6" t="s">
        <v>812</v>
      </c>
      <c r="E7967" s="6" t="s">
        <v>813</v>
      </c>
      <c r="F7967" s="6" t="str">
        <f>IF($M7967="PADD I","PADD 1",IF($M7967="PADD II","PADD 2",IF($M7967="PADD III","PADD 3",IF($M7967="PADD IV","PADD 4",IF($M7967="PADD V","PADD 5","")))))</f>
        <v>PADD 2</v>
      </c>
      <c r="G7967" s="6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6" t="s">
        <v>426</v>
      </c>
      <c r="I7967" s="6" t="s">
        <v>106</v>
      </c>
      <c r="J7967" s="6" t="s">
        <v>394</v>
      </c>
      <c r="K7967" s="10">
        <v>2.665</v>
      </c>
      <c r="L7967" s="10">
        <v>20.5</v>
      </c>
      <c r="M7967" s="6" t="s">
        <v>425</v>
      </c>
      <c r="N7967" s="6" t="str">
        <f>IF(OR($G7967="FCC",$G7967="Hydrocracker",$G7967="Reformer"),IF(COUNTIFS($D:$D,$D7967,$A:$A,$A7967,$B:$B,$B7967,$G:$G,"CDU",$J:$J,"PLANNED")&gt;0,"tied","standalone"),"")</f>
        <v>standalone</v>
      </c>
    </row>
    <row r="7968" spans="1:14">
      <c r="A7968" s="6">
        <v>2026</v>
      </c>
      <c r="B7968" s="6">
        <v>6</v>
      </c>
      <c r="C7968" s="6" t="s">
        <v>65</v>
      </c>
      <c r="D7968" s="6" t="s">
        <v>928</v>
      </c>
      <c r="E7968" s="6" t="s">
        <v>502</v>
      </c>
      <c r="F7968" s="6" t="str">
        <f>IF($M7968="PADD I","PADD 1",IF($M7968="PADD II","PADD 2",IF($M7968="PADD III","PADD 3",IF($M7968="PADD IV","PADD 4",IF($M7968="PADD V","PADD 5","")))))</f>
        <v>PADD 2</v>
      </c>
      <c r="G7968" s="6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6" t="s">
        <v>485</v>
      </c>
      <c r="I7968" s="6" t="s">
        <v>491</v>
      </c>
      <c r="J7968" s="6" t="s">
        <v>394</v>
      </c>
      <c r="K7968" s="10">
        <v>2.55</v>
      </c>
      <c r="L7968" s="10">
        <v>8.5</v>
      </c>
      <c r="M7968" s="6" t="s">
        <v>425</v>
      </c>
      <c r="N7968" s="6">
        <f>IF(OR($G7968="FCC",$G7968="Hydrocracker",$G7968="Reformer"),IF(COUNTIFS($D:$D,$D7968,$A:$A,$A7968,$B:$B,$B7968,$G:$G,"CDU",$J:$J,"PLANNED")&gt;0,"tied","standalone"),"")</f>
        <v/>
      </c>
    </row>
    <row r="7969" spans="1:14">
      <c r="A7969" s="6">
        <v>2026</v>
      </c>
      <c r="B7969" s="6">
        <v>6</v>
      </c>
      <c r="C7969" s="6" t="s">
        <v>65</v>
      </c>
      <c r="D7969" s="6" t="s">
        <v>1365</v>
      </c>
      <c r="E7969" s="6" t="s">
        <v>1366</v>
      </c>
      <c r="F7969" s="6" t="str">
        <f>IF($M7969="PADD I","PADD 1",IF($M7969="PADD II","PADD 2",IF($M7969="PADD III","PADD 3",IF($M7969="PADD IV","PADD 4",IF($M7969="PADD V","PADD 5","")))))</f>
        <v>PADD 1</v>
      </c>
      <c r="G7969" s="6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6" t="s">
        <v>471</v>
      </c>
      <c r="I7969" s="6" t="s">
        <v>621</v>
      </c>
      <c r="J7969" s="6" t="s">
        <v>394</v>
      </c>
      <c r="K7969" s="10">
        <v>2.2</v>
      </c>
      <c r="L7969" s="10">
        <v>2.2</v>
      </c>
      <c r="M7969" s="6" t="s">
        <v>463</v>
      </c>
      <c r="N7969" s="6" t="str">
        <f>IF(OR($G7969="FCC",$G7969="Hydrocracker",$G7969="Reformer"),IF(COUNTIFS($D:$D,$D7969,$A:$A,$A7969,$B:$B,$B7969,$G:$G,"CDU",$J:$J,"PLANNED")&gt;0,"tied","standalone"),"")</f>
        <v>standalone</v>
      </c>
    </row>
    <row r="7970" spans="1:14">
      <c r="A7970" s="6">
        <v>2026</v>
      </c>
      <c r="B7970" s="6">
        <v>6</v>
      </c>
      <c r="C7970" s="6" t="s">
        <v>65</v>
      </c>
      <c r="D7970" s="6" t="s">
        <v>41</v>
      </c>
      <c r="E7970" s="6" t="s">
        <v>786</v>
      </c>
      <c r="F7970" s="6" t="str">
        <f>IF($M7970="PADD I","PADD 1",IF($M7970="PADD II","PADD 2",IF($M7970="PADD III","PADD 3",IF($M7970="PADD IV","PADD 4",IF($M7970="PADD V","PADD 5","")))))</f>
        <v>PADD 1</v>
      </c>
      <c r="G7970" s="6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6" t="s">
        <v>44</v>
      </c>
      <c r="I7970" s="6" t="s">
        <v>1079</v>
      </c>
      <c r="J7970" s="6" t="s">
        <v>394</v>
      </c>
      <c r="K7970" s="10">
        <v>2.1</v>
      </c>
      <c r="L7970" s="10">
        <v>4.2</v>
      </c>
      <c r="M7970" s="6" t="s">
        <v>463</v>
      </c>
      <c r="N7970" s="6">
        <f>IF(OR($G7970="FCC",$G7970="Hydrocracker",$G7970="Reformer"),IF(COUNTIFS($D:$D,$D7970,$A:$A,$A7970,$B:$B,$B7970,$G:$G,"CDU",$J:$J,"PLANNED")&gt;0,"tied","standalone"),"")</f>
        <v/>
      </c>
    </row>
    <row r="7971" spans="1:14">
      <c r="A7971" s="6">
        <v>2026</v>
      </c>
      <c r="B7971" s="6">
        <v>6</v>
      </c>
      <c r="C7971" s="6" t="s">
        <v>65</v>
      </c>
      <c r="D7971" s="6" t="s">
        <v>487</v>
      </c>
      <c r="E7971" s="6" t="s">
        <v>488</v>
      </c>
      <c r="F7971" s="6" t="str">
        <f>IF($M7971="PADD I","PADD 1",IF($M7971="PADD II","PADD 2",IF($M7971="PADD III","PADD 3",IF($M7971="PADD IV","PADD 4",IF($M7971="PADD V","PADD 5","")))))</f>
        <v>PADD 4</v>
      </c>
      <c r="G7971" s="6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6" t="s">
        <v>44</v>
      </c>
      <c r="I7971" s="6" t="s">
        <v>543</v>
      </c>
      <c r="J7971" s="6" t="s">
        <v>394</v>
      </c>
      <c r="K7971" s="10">
        <v>2.1</v>
      </c>
      <c r="L7971" s="10">
        <v>21</v>
      </c>
      <c r="M7971" s="6" t="s">
        <v>480</v>
      </c>
      <c r="N7971" s="6">
        <f>IF(OR($G7971="FCC",$G7971="Hydrocracker",$G7971="Reformer"),IF(COUNTIFS($D:$D,$D7971,$A:$A,$A7971,$B:$B,$B7971,$G:$G,"CDU",$J:$J,"PLANNED")&gt;0,"tied","standalone"),"")</f>
        <v/>
      </c>
    </row>
    <row r="7972" spans="1:14">
      <c r="A7972" s="6">
        <v>2026</v>
      </c>
      <c r="B7972" s="6">
        <v>6</v>
      </c>
      <c r="C7972" s="6" t="s">
        <v>65</v>
      </c>
      <c r="D7972" s="6" t="s">
        <v>458</v>
      </c>
      <c r="E7972" s="6" t="s">
        <v>459</v>
      </c>
      <c r="F7972" s="6" t="str">
        <f>IF($M7972="PADD I","PADD 1",IF($M7972="PADD II","PADD 2",IF($M7972="PADD III","PADD 3",IF($M7972="PADD IV","PADD 4",IF($M7972="PADD V","PADD 5","")))))</f>
        <v>PADD 3</v>
      </c>
      <c r="G7972" s="6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6" t="s">
        <v>510</v>
      </c>
      <c r="I7972" s="6" t="s">
        <v>656</v>
      </c>
      <c r="J7972" s="6" t="s">
        <v>394</v>
      </c>
      <c r="K7972" s="10">
        <v>1.85</v>
      </c>
      <c r="L7972" s="10">
        <v>5</v>
      </c>
      <c r="M7972" s="6" t="s">
        <v>421</v>
      </c>
      <c r="N7972" s="6">
        <f>IF(OR($G7972="FCC",$G7972="Hydrocracker",$G7972="Reformer"),IF(COUNTIFS($D:$D,$D7972,$A:$A,$A7972,$B:$B,$B7972,$G:$G,"CDU",$J:$J,"PLANNED")&gt;0,"tied","standalone"),"")</f>
        <v/>
      </c>
    </row>
    <row r="7973" spans="1:14">
      <c r="A7973" s="6">
        <v>2026</v>
      </c>
      <c r="B7973" s="6">
        <v>6</v>
      </c>
      <c r="C7973" s="6" t="s">
        <v>65</v>
      </c>
      <c r="D7973" s="6" t="s">
        <v>696</v>
      </c>
      <c r="E7973" s="6" t="s">
        <v>455</v>
      </c>
      <c r="F7973" s="6" t="str">
        <f>IF($M7973="PADD I","PADD 1",IF($M7973="PADD II","PADD 2",IF($M7973="PADD III","PADD 3",IF($M7973="PADD IV","PADD 4",IF($M7973="PADD V","PADD 5","")))))</f>
        <v>PADD 3</v>
      </c>
      <c r="G7973" s="6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6" t="s">
        <v>485</v>
      </c>
      <c r="I7973" s="6" t="s">
        <v>491</v>
      </c>
      <c r="J7973" s="6" t="s">
        <v>394</v>
      </c>
      <c r="K7973" s="10">
        <v>1.8</v>
      </c>
      <c r="L7973" s="10">
        <v>18</v>
      </c>
      <c r="M7973" s="6" t="s">
        <v>421</v>
      </c>
      <c r="N7973" s="6">
        <f>IF(OR($G7973="FCC",$G7973="Hydrocracker",$G7973="Reformer"),IF(COUNTIFS($D:$D,$D7973,$A:$A,$A7973,$B:$B,$B7973,$G:$G,"CDU",$J:$J,"PLANNED")&gt;0,"tied","standalone"),"")</f>
        <v/>
      </c>
    </row>
    <row r="7974" spans="1:14">
      <c r="A7974" s="6">
        <v>2026</v>
      </c>
      <c r="B7974" s="6">
        <v>6</v>
      </c>
      <c r="C7974" s="6" t="s">
        <v>65</v>
      </c>
      <c r="D7974" s="6" t="s">
        <v>370</v>
      </c>
      <c r="E7974" s="6" t="s">
        <v>431</v>
      </c>
      <c r="F7974" s="6" t="str">
        <f>IF($M7974="PADD I","PADD 1",IF($M7974="PADD II","PADD 2",IF($M7974="PADD III","PADD 3",IF($M7974="PADD IV","PADD 4",IF($M7974="PADD V","PADD 5","")))))</f>
        <v>PADD 2</v>
      </c>
      <c r="G7974" s="6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6" t="s">
        <v>485</v>
      </c>
      <c r="I7974" s="6" t="s">
        <v>491</v>
      </c>
      <c r="J7974" s="6" t="s">
        <v>394</v>
      </c>
      <c r="K7974" s="10">
        <v>1.7</v>
      </c>
      <c r="L7974" s="10">
        <v>10</v>
      </c>
      <c r="M7974" s="6" t="s">
        <v>425</v>
      </c>
      <c r="N7974" s="6">
        <f>IF(OR($G7974="FCC",$G7974="Hydrocracker",$G7974="Reformer"),IF(COUNTIFS($D:$D,$D7974,$A:$A,$A7974,$B:$B,$B7974,$G:$G,"CDU",$J:$J,"PLANNED")&gt;0,"tied","standalone"),"")</f>
        <v/>
      </c>
    </row>
    <row r="7975" spans="1:14">
      <c r="A7975" s="6">
        <v>2026</v>
      </c>
      <c r="B7975" s="6">
        <v>6</v>
      </c>
      <c r="C7975" s="6" t="s">
        <v>65</v>
      </c>
      <c r="D7975" s="6" t="s">
        <v>430</v>
      </c>
      <c r="E7975" s="6" t="s">
        <v>431</v>
      </c>
      <c r="F7975" s="6" t="str">
        <f>IF($M7975="PADD I","PADD 1",IF($M7975="PADD II","PADD 2",IF($M7975="PADD III","PADD 3",IF($M7975="PADD IV","PADD 4",IF($M7975="PADD V","PADD 5","")))))</f>
        <v>PADD 3</v>
      </c>
      <c r="G7975" s="6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6" t="s">
        <v>687</v>
      </c>
      <c r="I7975" s="6" t="s">
        <v>1309</v>
      </c>
      <c r="J7975" s="6" t="s">
        <v>398</v>
      </c>
      <c r="K7975" s="10">
        <v>1.3</v>
      </c>
      <c r="L7975" s="10">
        <v>10</v>
      </c>
      <c r="M7975" s="6" t="s">
        <v>421</v>
      </c>
      <c r="N7975" s="6">
        <f>IF(OR($G7975="FCC",$G7975="Hydrocracker",$G7975="Reformer"),IF(COUNTIFS($D:$D,$D7975,$A:$A,$A7975,$B:$B,$B7975,$G:$G,"CDU",$J:$J,"PLANNED")&gt;0,"tied","standalone"),"")</f>
        <v/>
      </c>
    </row>
    <row r="7976" spans="1:14">
      <c r="A7976" s="6">
        <v>2026</v>
      </c>
      <c r="B7976" s="6">
        <v>6</v>
      </c>
      <c r="C7976" s="6" t="s">
        <v>65</v>
      </c>
      <c r="D7976" s="6" t="s">
        <v>49</v>
      </c>
      <c r="E7976" s="6" t="s">
        <v>438</v>
      </c>
      <c r="F7976" s="6" t="str">
        <f>IF($M7976="PADD I","PADD 1",IF($M7976="PADD II","PADD 2",IF($M7976="PADD III","PADD 3",IF($M7976="PADD IV","PADD 4",IF($M7976="PADD V","PADD 5","")))))</f>
        <v>PADD 2</v>
      </c>
      <c r="G7976" s="6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6" t="s">
        <v>471</v>
      </c>
      <c r="I7976" s="6" t="s">
        <v>771</v>
      </c>
      <c r="J7976" s="6" t="s">
        <v>394</v>
      </c>
      <c r="K7976" s="10">
        <v>1.17</v>
      </c>
      <c r="L7976" s="10">
        <v>39</v>
      </c>
      <c r="M7976" s="6" t="s">
        <v>425</v>
      </c>
      <c r="N7976" s="6" t="str">
        <f>IF(OR($G7976="FCC",$G7976="Hydrocracker",$G7976="Reformer"),IF(COUNTIFS($D:$D,$D7976,$A:$A,$A7976,$B:$B,$B7976,$G:$G,"CDU",$J:$J,"PLANNED")&gt;0,"tied","standalone"),"")</f>
        <v>standalone</v>
      </c>
    </row>
    <row r="7977" spans="1:14">
      <c r="A7977" s="6">
        <v>2026</v>
      </c>
      <c r="B7977" s="6">
        <v>6</v>
      </c>
      <c r="C7977" s="6" t="s">
        <v>65</v>
      </c>
      <c r="D7977" s="6" t="s">
        <v>613</v>
      </c>
      <c r="E7977" s="6" t="s">
        <v>446</v>
      </c>
      <c r="F7977" s="6" t="str">
        <f>IF($M7977="PADD I","PADD 1",IF($M7977="PADD II","PADD 2",IF($M7977="PADD III","PADD 3",IF($M7977="PADD IV","PADD 4",IF($M7977="PADD V","PADD 5","")))))</f>
        <v>PADD 3</v>
      </c>
      <c r="G7977" s="6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6" t="s">
        <v>44</v>
      </c>
      <c r="I7977" s="6" t="s">
        <v>499</v>
      </c>
      <c r="J7977" s="6" t="s">
        <v>394</v>
      </c>
      <c r="K7977" s="10">
        <v>1.155</v>
      </c>
      <c r="L7977" s="10">
        <v>38.5</v>
      </c>
      <c r="M7977" s="6" t="s">
        <v>421</v>
      </c>
      <c r="N7977" s="6">
        <f>IF(OR($G7977="FCC",$G7977="Hydrocracker",$G7977="Reformer"),IF(COUNTIFS($D:$D,$D7977,$A:$A,$A7977,$B:$B,$B7977,$G:$G,"CDU",$J:$J,"PLANNED")&gt;0,"tied","standalone"),"")</f>
        <v/>
      </c>
    </row>
    <row r="7978" spans="1:14">
      <c r="A7978" s="6">
        <v>2026</v>
      </c>
      <c r="B7978" s="6">
        <v>7</v>
      </c>
      <c r="C7978" s="6" t="s">
        <v>66</v>
      </c>
      <c r="D7978" s="6" t="s">
        <v>41</v>
      </c>
      <c r="E7978" s="6" t="s">
        <v>786</v>
      </c>
      <c r="F7978" s="6" t="str">
        <f>IF($M7978="PADD I","PADD 1",IF($M7978="PADD II","PADD 2",IF($M7978="PADD III","PADD 3",IF($M7978="PADD IV","PADD 4",IF($M7978="PADD V","PADD 5","")))))</f>
        <v>PADD 1</v>
      </c>
      <c r="G7978" s="6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6" t="s">
        <v>39</v>
      </c>
      <c r="I7978" s="6" t="s">
        <v>1030</v>
      </c>
      <c r="J7978" s="6" t="s">
        <v>394</v>
      </c>
      <c r="K7978" s="10">
        <v>104</v>
      </c>
      <c r="L7978" s="10">
        <v>104</v>
      </c>
      <c r="M7978" s="6" t="s">
        <v>463</v>
      </c>
      <c r="N7978" s="6">
        <f>IF(OR($G7978="FCC",$G7978="Hydrocracker",$G7978="Reformer"),IF(COUNTIFS($D:$D,$D7978,$A:$A,$A7978,$B:$B,$B7978,$G:$G,"CDU",$J:$J,"PLANNED")&gt;0,"tied","standalone"),"")</f>
        <v/>
      </c>
    </row>
    <row r="7979" spans="1:14">
      <c r="A7979" s="6">
        <v>2026</v>
      </c>
      <c r="B7979" s="6">
        <v>7</v>
      </c>
      <c r="C7979" s="6" t="s">
        <v>66</v>
      </c>
      <c r="D7979" s="6" t="s">
        <v>41</v>
      </c>
      <c r="E7979" s="6" t="s">
        <v>786</v>
      </c>
      <c r="F7979" s="6" t="str">
        <f>IF($M7979="PADD I","PADD 1",IF($M7979="PADD II","PADD 2",IF($M7979="PADD III","PADD 3",IF($M7979="PADD IV","PADD 4",IF($M7979="PADD V","PADD 5","")))))</f>
        <v>PADD 1</v>
      </c>
      <c r="G7979" s="6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6" t="s">
        <v>39</v>
      </c>
      <c r="I7979" s="6" t="s">
        <v>1039</v>
      </c>
      <c r="J7979" s="6" t="s">
        <v>394</v>
      </c>
      <c r="K7979" s="10">
        <v>104</v>
      </c>
      <c r="L7979" s="10">
        <v>104</v>
      </c>
      <c r="M7979" s="6" t="s">
        <v>463</v>
      </c>
      <c r="N7979" s="6">
        <f>IF(OR($G7979="FCC",$G7979="Hydrocracker",$G7979="Reformer"),IF(COUNTIFS($D:$D,$D7979,$A:$A,$A7979,$B:$B,$B7979,$G:$G,"CDU",$J:$J,"PLANNED")&gt;0,"tied","standalone"),"")</f>
        <v/>
      </c>
    </row>
    <row r="7980" spans="1:14">
      <c r="A7980" s="6">
        <v>2026</v>
      </c>
      <c r="B7980" s="6">
        <v>7</v>
      </c>
      <c r="C7980" s="6" t="s">
        <v>66</v>
      </c>
      <c r="D7980" s="6" t="s">
        <v>41</v>
      </c>
      <c r="E7980" s="6" t="s">
        <v>786</v>
      </c>
      <c r="F7980" s="6" t="str">
        <f>IF($M7980="PADD I","PADD 1",IF($M7980="PADD II","PADD 2",IF($M7980="PADD III","PADD 3",IF($M7980="PADD IV","PADD 4",IF($M7980="PADD V","PADD 5","")))))</f>
        <v>PADD 1</v>
      </c>
      <c r="G7980" s="6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6" t="s">
        <v>426</v>
      </c>
      <c r="I7980" s="6" t="s">
        <v>787</v>
      </c>
      <c r="J7980" s="6" t="s">
        <v>394</v>
      </c>
      <c r="K7980" s="10">
        <v>68</v>
      </c>
      <c r="L7980" s="10">
        <v>68</v>
      </c>
      <c r="M7980" s="6" t="s">
        <v>463</v>
      </c>
      <c r="N7980" s="6" t="str">
        <f>IF(OR($G7980="FCC",$G7980="Hydrocracker",$G7980="Reformer"),IF(COUNTIFS($D:$D,$D7980,$A:$A,$A7980,$B:$B,$B7980,$G:$G,"CDU",$J:$J,"PLANNED")&gt;0,"tied","standalone"),"")</f>
        <v>standalone</v>
      </c>
    </row>
    <row r="7981" spans="1:14">
      <c r="A7981" s="6">
        <v>2026</v>
      </c>
      <c r="B7981" s="6">
        <v>7</v>
      </c>
      <c r="C7981" s="6" t="s">
        <v>66</v>
      </c>
      <c r="D7981" s="6" t="s">
        <v>41</v>
      </c>
      <c r="E7981" s="6" t="s">
        <v>786</v>
      </c>
      <c r="F7981" s="6" t="str">
        <f>IF($M7981="PADD I","PADD 1",IF($M7981="PADD II","PADD 2",IF($M7981="PADD III","PADD 3",IF($M7981="PADD IV","PADD 4",IF($M7981="PADD V","PADD 5","")))))</f>
        <v>PADD 1</v>
      </c>
      <c r="G7981" s="6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6" t="s">
        <v>44</v>
      </c>
      <c r="I7981" s="6" t="s">
        <v>1044</v>
      </c>
      <c r="J7981" s="6" t="s">
        <v>394</v>
      </c>
      <c r="K7981" s="10">
        <v>65</v>
      </c>
      <c r="L7981" s="10">
        <v>65</v>
      </c>
      <c r="M7981" s="6" t="s">
        <v>463</v>
      </c>
      <c r="N7981" s="6">
        <f>IF(OR($G7981="FCC",$G7981="Hydrocracker",$G7981="Reformer"),IF(COUNTIFS($D:$D,$D7981,$A:$A,$A7981,$B:$B,$B7981,$G:$G,"CDU",$J:$J,"PLANNED")&gt;0,"tied","standalone"),"")</f>
        <v/>
      </c>
    </row>
    <row r="7982" spans="1:14">
      <c r="A7982" s="6">
        <v>2026</v>
      </c>
      <c r="B7982" s="6">
        <v>7</v>
      </c>
      <c r="C7982" s="6" t="s">
        <v>66</v>
      </c>
      <c r="D7982" s="6" t="s">
        <v>41</v>
      </c>
      <c r="E7982" s="6" t="s">
        <v>786</v>
      </c>
      <c r="F7982" s="6" t="str">
        <f>IF($M7982="PADD I","PADD 1",IF($M7982="PADD II","PADD 2",IF($M7982="PADD III","PADD 3",IF($M7982="PADD IV","PADD 4",IF($M7982="PADD V","PADD 5","")))))</f>
        <v>PADD 1</v>
      </c>
      <c r="G7982" s="6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6" t="s">
        <v>44</v>
      </c>
      <c r="I7982" s="6" t="s">
        <v>543</v>
      </c>
      <c r="J7982" s="6" t="s">
        <v>394</v>
      </c>
      <c r="K7982" s="10">
        <v>60</v>
      </c>
      <c r="L7982" s="10">
        <v>60</v>
      </c>
      <c r="M7982" s="6" t="s">
        <v>463</v>
      </c>
      <c r="N7982" s="6">
        <f>IF(OR($G7982="FCC",$G7982="Hydrocracker",$G7982="Reformer"),IF(COUNTIFS($D:$D,$D7982,$A:$A,$A7982,$B:$B,$B7982,$G:$G,"CDU",$J:$J,"PLANNED")&gt;0,"tied","standalone"),"")</f>
        <v/>
      </c>
    </row>
    <row r="7983" spans="1:14">
      <c r="A7983" s="6">
        <v>2026</v>
      </c>
      <c r="B7983" s="6">
        <v>7</v>
      </c>
      <c r="C7983" s="6" t="s">
        <v>66</v>
      </c>
      <c r="D7983" s="6" t="s">
        <v>41</v>
      </c>
      <c r="E7983" s="6" t="s">
        <v>786</v>
      </c>
      <c r="F7983" s="6" t="str">
        <f>IF($M7983="PADD I","PADD 1",IF($M7983="PADD II","PADD 2",IF($M7983="PADD III","PADD 3",IF($M7983="PADD IV","PADD 4",IF($M7983="PADD V","PADD 5","")))))</f>
        <v>PADD 1</v>
      </c>
      <c r="G7983" s="6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6" t="s">
        <v>471</v>
      </c>
      <c r="I7983" s="6" t="s">
        <v>832</v>
      </c>
      <c r="J7983" s="6" t="s">
        <v>394</v>
      </c>
      <c r="K7983" s="10">
        <v>60</v>
      </c>
      <c r="L7983" s="10">
        <v>60</v>
      </c>
      <c r="M7983" s="6" t="s">
        <v>463</v>
      </c>
      <c r="N7983" s="6" t="str">
        <f>IF(OR($G7983="FCC",$G7983="Hydrocracker",$G7983="Reformer"),IF(COUNTIFS($D:$D,$D7983,$A:$A,$A7983,$B:$B,$B7983,$G:$G,"CDU",$J:$J,"PLANNED")&gt;0,"tied","standalone"),"")</f>
        <v>standalone</v>
      </c>
    </row>
    <row r="7984" spans="1:14">
      <c r="A7984" s="6">
        <v>2026</v>
      </c>
      <c r="B7984" s="6">
        <v>7</v>
      </c>
      <c r="C7984" s="6" t="s">
        <v>66</v>
      </c>
      <c r="D7984" s="6" t="s">
        <v>382</v>
      </c>
      <c r="E7984" s="6" t="s">
        <v>431</v>
      </c>
      <c r="F7984" s="6" t="str">
        <f>IF($M7984="PADD I","PADD 1",IF($M7984="PADD II","PADD 2",IF($M7984="PADD III","PADD 3",IF($M7984="PADD IV","PADD 4",IF($M7984="PADD V","PADD 5","")))))</f>
        <v>PADD 3</v>
      </c>
      <c r="G7984" s="6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6" t="s">
        <v>39</v>
      </c>
      <c r="I7984" s="6" t="s">
        <v>729</v>
      </c>
      <c r="J7984" s="6" t="s">
        <v>398</v>
      </c>
      <c r="K7984" s="10">
        <v>50</v>
      </c>
      <c r="L7984" s="10">
        <v>50</v>
      </c>
      <c r="M7984" s="6" t="s">
        <v>421</v>
      </c>
      <c r="N7984" s="6">
        <f>IF(OR($G7984="FCC",$G7984="Hydrocracker",$G7984="Reformer"),IF(COUNTIFS($D:$D,$D7984,$A:$A,$A7984,$B:$B,$B7984,$G:$G,"CDU",$J:$J,"PLANNED")&gt;0,"tied","standalone"),"")</f>
        <v/>
      </c>
    </row>
    <row r="7985" spans="1:14">
      <c r="A7985" s="6">
        <v>2026</v>
      </c>
      <c r="B7985" s="6">
        <v>7</v>
      </c>
      <c r="C7985" s="6" t="s">
        <v>66</v>
      </c>
      <c r="D7985" s="6" t="s">
        <v>576</v>
      </c>
      <c r="E7985" s="6" t="s">
        <v>455</v>
      </c>
      <c r="F7985" s="6" t="str">
        <f>IF($M7985="PADD I","PADD 1",IF($M7985="PADD II","PADD 2",IF($M7985="PADD III","PADD 3",IF($M7985="PADD IV","PADD 4",IF($M7985="PADD V","PADD 5","")))))</f>
        <v>PADD 3</v>
      </c>
      <c r="G7985" s="6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6" t="s">
        <v>44</v>
      </c>
      <c r="I7985" s="6" t="s">
        <v>1126</v>
      </c>
      <c r="J7985" s="6" t="s">
        <v>394</v>
      </c>
      <c r="K7985" s="10">
        <v>47</v>
      </c>
      <c r="L7985" s="10">
        <v>47</v>
      </c>
      <c r="M7985" s="6" t="s">
        <v>421</v>
      </c>
      <c r="N7985" s="6">
        <f>IF(OR($G7985="FCC",$G7985="Hydrocracker",$G7985="Reformer"),IF(COUNTIFS($D:$D,$D7985,$A:$A,$A7985,$B:$B,$B7985,$G:$G,"CDU",$J:$J,"PLANNED")&gt;0,"tied","standalone"),"")</f>
        <v/>
      </c>
    </row>
    <row r="7986" spans="1:14">
      <c r="A7986" s="6">
        <v>2026</v>
      </c>
      <c r="B7986" s="6">
        <v>7</v>
      </c>
      <c r="C7986" s="6" t="s">
        <v>66</v>
      </c>
      <c r="D7986" s="6" t="s">
        <v>45</v>
      </c>
      <c r="E7986" s="6" t="s">
        <v>1389</v>
      </c>
      <c r="F7986" s="6" t="str">
        <f>IF($M7986="PADD I","PADD 1",IF($M7986="PADD II","PADD 2",IF($M7986="PADD III","PADD 3",IF($M7986="PADD IV","PADD 4",IF($M7986="PADD V","PADD 5","")))))</f>
        <v>PADD 5</v>
      </c>
      <c r="G7986" s="6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6" t="s">
        <v>39</v>
      </c>
      <c r="I7986" s="6" t="s">
        <v>1424</v>
      </c>
      <c r="J7986" s="6" t="s">
        <v>398</v>
      </c>
      <c r="K7986" s="10">
        <v>43.2</v>
      </c>
      <c r="L7986" s="10">
        <v>90</v>
      </c>
      <c r="M7986" s="6" t="s">
        <v>436</v>
      </c>
      <c r="N7986" s="6">
        <f>IF(OR($G7986="FCC",$G7986="Hydrocracker",$G7986="Reformer"),IF(COUNTIFS($D:$D,$D7986,$A:$A,$A7986,$B:$B,$B7986,$G:$G,"CDU",$J:$J,"PLANNED")&gt;0,"tied","standalone"),"")</f>
        <v/>
      </c>
    </row>
    <row r="7987" spans="1:14">
      <c r="A7987" s="6">
        <v>2026</v>
      </c>
      <c r="B7987" s="6">
        <v>7</v>
      </c>
      <c r="C7987" s="6" t="s">
        <v>66</v>
      </c>
      <c r="D7987" s="6" t="s">
        <v>592</v>
      </c>
      <c r="E7987" s="6" t="s">
        <v>593</v>
      </c>
      <c r="F7987" s="6" t="str">
        <f>IF($M7987="PADD I","PADD 1",IF($M7987="PADD II","PADD 2",IF($M7987="PADD III","PADD 3",IF($M7987="PADD IV","PADD 4",IF($M7987="PADD V","PADD 5","")))))</f>
        <v>PADD 2</v>
      </c>
      <c r="G7987" s="6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6" t="s">
        <v>44</v>
      </c>
      <c r="I7987" s="6" t="s">
        <v>1056</v>
      </c>
      <c r="J7987" s="6" t="s">
        <v>398</v>
      </c>
      <c r="K7987" s="10">
        <v>36</v>
      </c>
      <c r="L7987" s="10">
        <v>36</v>
      </c>
      <c r="M7987" s="6" t="s">
        <v>425</v>
      </c>
      <c r="N7987" s="6">
        <f>IF(OR($G7987="FCC",$G7987="Hydrocracker",$G7987="Reformer"),IF(COUNTIFS($D:$D,$D7987,$A:$A,$A7987,$B:$B,$B7987,$G:$G,"CDU",$J:$J,"PLANNED")&gt;0,"tied","standalone"),"")</f>
        <v/>
      </c>
    </row>
    <row r="7988" spans="1:14">
      <c r="A7988" s="6">
        <v>2026</v>
      </c>
      <c r="B7988" s="6">
        <v>7</v>
      </c>
      <c r="C7988" s="6" t="s">
        <v>66</v>
      </c>
      <c r="D7988" s="6" t="s">
        <v>41</v>
      </c>
      <c r="E7988" s="6" t="s">
        <v>786</v>
      </c>
      <c r="F7988" s="6" t="str">
        <f>IF($M7988="PADD I","PADD 1",IF($M7988="PADD II","PADD 2",IF($M7988="PADD III","PADD 3",IF($M7988="PADD IV","PADD 4",IF($M7988="PADD V","PADD 5","")))))</f>
        <v>PADD 1</v>
      </c>
      <c r="G7988" s="6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6" t="s">
        <v>44</v>
      </c>
      <c r="I7988" s="6" t="s">
        <v>1064</v>
      </c>
      <c r="J7988" s="6" t="s">
        <v>394</v>
      </c>
      <c r="K7988" s="10">
        <v>28</v>
      </c>
      <c r="L7988" s="10">
        <v>28</v>
      </c>
      <c r="M7988" s="6" t="s">
        <v>463</v>
      </c>
      <c r="N7988" s="6">
        <f>IF(OR($G7988="FCC",$G7988="Hydrocracker",$G7988="Reformer"),IF(COUNTIFS($D:$D,$D7988,$A:$A,$A7988,$B:$B,$B7988,$G:$G,"CDU",$J:$J,"PLANNED")&gt;0,"tied","standalone"),"")</f>
        <v/>
      </c>
    </row>
    <row r="7989" spans="1:14">
      <c r="A7989" s="6">
        <v>2026</v>
      </c>
      <c r="B7989" s="6">
        <v>7</v>
      </c>
      <c r="C7989" s="6" t="s">
        <v>66</v>
      </c>
      <c r="D7989" s="6" t="s">
        <v>41</v>
      </c>
      <c r="E7989" s="6" t="s">
        <v>786</v>
      </c>
      <c r="F7989" s="6" t="str">
        <f>IF($M7989="PADD I","PADD 1",IF($M7989="PADD II","PADD 2",IF($M7989="PADD III","PADD 3",IF($M7989="PADD IV","PADD 4",IF($M7989="PADD V","PADD 5","")))))</f>
        <v>PADD 1</v>
      </c>
      <c r="G7989" s="6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6" t="s">
        <v>44</v>
      </c>
      <c r="I7989" s="6" t="s">
        <v>1061</v>
      </c>
      <c r="J7989" s="6" t="s">
        <v>394</v>
      </c>
      <c r="K7989" s="10">
        <v>26</v>
      </c>
      <c r="L7989" s="10">
        <v>26</v>
      </c>
      <c r="M7989" s="6" t="s">
        <v>463</v>
      </c>
      <c r="N7989" s="6">
        <f>IF(OR($G7989="FCC",$G7989="Hydrocracker",$G7989="Reformer"),IF(COUNTIFS($D:$D,$D7989,$A:$A,$A7989,$B:$B,$B7989,$G:$G,"CDU",$J:$J,"PLANNED")&gt;0,"tied","standalone"),"")</f>
        <v/>
      </c>
    </row>
    <row r="7990" spans="1:14">
      <c r="A7990" s="6">
        <v>2026</v>
      </c>
      <c r="B7990" s="6">
        <v>7</v>
      </c>
      <c r="C7990" s="6" t="s">
        <v>66</v>
      </c>
      <c r="D7990" s="6" t="s">
        <v>45</v>
      </c>
      <c r="E7990" s="6" t="s">
        <v>1389</v>
      </c>
      <c r="F7990" s="6" t="str">
        <f>IF($M7990="PADD I","PADD 1",IF($M7990="PADD II","PADD 2",IF($M7990="PADD III","PADD 3",IF($M7990="PADD IV","PADD 4",IF($M7990="PADD V","PADD 5","")))))</f>
        <v>PADD 5</v>
      </c>
      <c r="G7990" s="6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6" t="s">
        <v>39</v>
      </c>
      <c r="I7990" s="6" t="s">
        <v>1425</v>
      </c>
      <c r="J7990" s="6" t="s">
        <v>398</v>
      </c>
      <c r="K7990" s="10">
        <v>25.92</v>
      </c>
      <c r="L7990" s="10">
        <v>54</v>
      </c>
      <c r="M7990" s="6" t="s">
        <v>436</v>
      </c>
      <c r="N7990" s="6">
        <f>IF(OR($G7990="FCC",$G7990="Hydrocracker",$G7990="Reformer"),IF(COUNTIFS($D:$D,$D7990,$A:$A,$A7990,$B:$B,$B7990,$G:$G,"CDU",$J:$J,"PLANNED")&gt;0,"tied","standalone"),"")</f>
        <v/>
      </c>
    </row>
    <row r="7991" spans="1:14">
      <c r="A7991" s="6">
        <v>2026</v>
      </c>
      <c r="B7991" s="6">
        <v>7</v>
      </c>
      <c r="C7991" s="6" t="s">
        <v>66</v>
      </c>
      <c r="D7991" s="6" t="s">
        <v>382</v>
      </c>
      <c r="E7991" s="6" t="s">
        <v>431</v>
      </c>
      <c r="F7991" s="6" t="str">
        <f>IF($M7991="PADD I","PADD 1",IF($M7991="PADD II","PADD 2",IF($M7991="PADD III","PADD 3",IF($M7991="PADD IV","PADD 4",IF($M7991="PADD V","PADD 5","")))))</f>
        <v>PADD 3</v>
      </c>
      <c r="G7991" s="6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6" t="s">
        <v>485</v>
      </c>
      <c r="I7991" s="6" t="s">
        <v>491</v>
      </c>
      <c r="J7991" s="6" t="s">
        <v>398</v>
      </c>
      <c r="K7991" s="10">
        <v>25</v>
      </c>
      <c r="L7991" s="10">
        <v>25</v>
      </c>
      <c r="M7991" s="6" t="s">
        <v>421</v>
      </c>
      <c r="N7991" s="6">
        <f>IF(OR($G7991="FCC",$G7991="Hydrocracker",$G7991="Reformer"),IF(COUNTIFS($D:$D,$D7991,$A:$A,$A7991,$B:$B,$B7991,$G:$G,"CDU",$J:$J,"PLANNED")&gt;0,"tied","standalone"),"")</f>
        <v/>
      </c>
    </row>
    <row r="7992" spans="1:14">
      <c r="A7992" s="6">
        <v>2026</v>
      </c>
      <c r="B7992" s="6">
        <v>7</v>
      </c>
      <c r="C7992" s="6" t="s">
        <v>66</v>
      </c>
      <c r="D7992" s="6" t="s">
        <v>41</v>
      </c>
      <c r="E7992" s="6" t="s">
        <v>786</v>
      </c>
      <c r="F7992" s="6" t="str">
        <f>IF($M7992="PADD I","PADD 1",IF($M7992="PADD II","PADD 2",IF($M7992="PADD III","PADD 3",IF($M7992="PADD IV","PADD 4",IF($M7992="PADD V","PADD 5","")))))</f>
        <v>PADD 1</v>
      </c>
      <c r="G7992" s="6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6" t="s">
        <v>428</v>
      </c>
      <c r="I7992" s="6" t="s">
        <v>1013</v>
      </c>
      <c r="J7992" s="6" t="s">
        <v>394</v>
      </c>
      <c r="K7992" s="10">
        <v>24.33</v>
      </c>
      <c r="L7992" s="10">
        <v>24.33</v>
      </c>
      <c r="M7992" s="6" t="s">
        <v>463</v>
      </c>
      <c r="N7992" s="6">
        <f>IF(OR($G7992="FCC",$G7992="Hydrocracker",$G7992="Reformer"),IF(COUNTIFS($D:$D,$D7992,$A:$A,$A7992,$B:$B,$B7992,$G:$G,"CDU",$J:$J,"PLANNED")&gt;0,"tied","standalone"),"")</f>
        <v/>
      </c>
    </row>
    <row r="7993" spans="1:14">
      <c r="A7993" s="6">
        <v>2026</v>
      </c>
      <c r="B7993" s="6">
        <v>7</v>
      </c>
      <c r="C7993" s="6" t="s">
        <v>66</v>
      </c>
      <c r="D7993" s="6" t="s">
        <v>41</v>
      </c>
      <c r="E7993" s="6" t="s">
        <v>786</v>
      </c>
      <c r="F7993" s="6" t="str">
        <f>IF($M7993="PADD I","PADD 1",IF($M7993="PADD II","PADD 2",IF($M7993="PADD III","PADD 3",IF($M7993="PADD IV","PADD 4",IF($M7993="PADD V","PADD 5","")))))</f>
        <v>PADD 1</v>
      </c>
      <c r="G7993" s="6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6" t="s">
        <v>428</v>
      </c>
      <c r="I7993" s="6" t="s">
        <v>1059</v>
      </c>
      <c r="J7993" s="6" t="s">
        <v>394</v>
      </c>
      <c r="K7993" s="10">
        <v>24.33</v>
      </c>
      <c r="L7993" s="10">
        <v>24.33</v>
      </c>
      <c r="M7993" s="6" t="s">
        <v>463</v>
      </c>
      <c r="N7993" s="6">
        <f>IF(OR($G7993="FCC",$G7993="Hydrocracker",$G7993="Reformer"),IF(COUNTIFS($D:$D,$D7993,$A:$A,$A7993,$B:$B,$B7993,$G:$G,"CDU",$J:$J,"PLANNED")&gt;0,"tied","standalone"),"")</f>
        <v/>
      </c>
    </row>
    <row r="7994" spans="1:14">
      <c r="A7994" s="6">
        <v>2026</v>
      </c>
      <c r="B7994" s="6">
        <v>7</v>
      </c>
      <c r="C7994" s="6" t="s">
        <v>66</v>
      </c>
      <c r="D7994" s="6" t="s">
        <v>41</v>
      </c>
      <c r="E7994" s="6" t="s">
        <v>786</v>
      </c>
      <c r="F7994" s="6" t="str">
        <f>IF($M7994="PADD I","PADD 1",IF($M7994="PADD II","PADD 2",IF($M7994="PADD III","PADD 3",IF($M7994="PADD IV","PADD 4",IF($M7994="PADD V","PADD 5","")))))</f>
        <v>PADD 1</v>
      </c>
      <c r="G7994" s="6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6" t="s">
        <v>428</v>
      </c>
      <c r="I7994" s="6" t="s">
        <v>1060</v>
      </c>
      <c r="J7994" s="6" t="s">
        <v>394</v>
      </c>
      <c r="K7994" s="10">
        <v>24.33</v>
      </c>
      <c r="L7994" s="10">
        <v>24.33</v>
      </c>
      <c r="M7994" s="6" t="s">
        <v>463</v>
      </c>
      <c r="N7994" s="6">
        <f>IF(OR($G7994="FCC",$G7994="Hydrocracker",$G7994="Reformer"),IF(COUNTIFS($D:$D,$D7994,$A:$A,$A7994,$B:$B,$B7994,$G:$G,"CDU",$J:$J,"PLANNED")&gt;0,"tied","standalone"),"")</f>
        <v/>
      </c>
    </row>
    <row r="7995" spans="1:14">
      <c r="A7995" s="6">
        <v>2026</v>
      </c>
      <c r="B7995" s="6">
        <v>7</v>
      </c>
      <c r="C7995" s="6" t="s">
        <v>66</v>
      </c>
      <c r="D7995" s="6" t="s">
        <v>41</v>
      </c>
      <c r="E7995" s="6" t="s">
        <v>786</v>
      </c>
      <c r="F7995" s="6" t="str">
        <f>IF($M7995="PADD I","PADD 1",IF($M7995="PADD II","PADD 2",IF($M7995="PADD III","PADD 3",IF($M7995="PADD IV","PADD 4",IF($M7995="PADD V","PADD 5","")))))</f>
        <v>PADD 1</v>
      </c>
      <c r="G7995" s="6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6" t="s">
        <v>494</v>
      </c>
      <c r="I7995" s="6" t="s">
        <v>495</v>
      </c>
      <c r="J7995" s="6" t="s">
        <v>394</v>
      </c>
      <c r="K7995" s="10">
        <v>24</v>
      </c>
      <c r="L7995" s="10">
        <v>24</v>
      </c>
      <c r="M7995" s="6" t="s">
        <v>463</v>
      </c>
      <c r="N7995" s="6" t="str">
        <f>IF(OR($G7995="FCC",$G7995="Hydrocracker",$G7995="Reformer"),IF(COUNTIFS($D:$D,$D7995,$A:$A,$A7995,$B:$B,$B7995,$G:$G,"CDU",$J:$J,"PLANNED")&gt;0,"tied","standalone"),"")</f>
        <v>standalone</v>
      </c>
    </row>
    <row r="7996" spans="1:14">
      <c r="A7996" s="6">
        <v>2026</v>
      </c>
      <c r="B7996" s="6">
        <v>7</v>
      </c>
      <c r="C7996" s="6" t="s">
        <v>66</v>
      </c>
      <c r="D7996" s="6" t="s">
        <v>822</v>
      </c>
      <c r="E7996" s="6" t="s">
        <v>455</v>
      </c>
      <c r="F7996" s="6" t="str">
        <f>IF($M7996="PADD I","PADD 1",IF($M7996="PADD II","PADD 2",IF($M7996="PADD III","PADD 3",IF($M7996="PADD IV","PADD 4",IF($M7996="PADD V","PADD 5","")))))</f>
        <v>PADD 3</v>
      </c>
      <c r="G7996" s="6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6" t="s">
        <v>39</v>
      </c>
      <c r="I7996" s="6" t="s">
        <v>1147</v>
      </c>
      <c r="J7996" s="6" t="s">
        <v>398</v>
      </c>
      <c r="K7996" s="10">
        <v>22.692</v>
      </c>
      <c r="L7996" s="10">
        <v>37.2</v>
      </c>
      <c r="M7996" s="6" t="s">
        <v>421</v>
      </c>
      <c r="N7996" s="6">
        <f>IF(OR($G7996="FCC",$G7996="Hydrocracker",$G7996="Reformer"),IF(COUNTIFS($D:$D,$D7996,$A:$A,$A7996,$B:$B,$B7996,$G:$G,"CDU",$J:$J,"PLANNED")&gt;0,"tied","standalone"),"")</f>
        <v/>
      </c>
    </row>
    <row r="7997" spans="1:14">
      <c r="A7997" s="6">
        <v>2026</v>
      </c>
      <c r="B7997" s="6">
        <v>7</v>
      </c>
      <c r="C7997" s="6" t="s">
        <v>66</v>
      </c>
      <c r="D7997" s="6" t="s">
        <v>45</v>
      </c>
      <c r="E7997" s="6" t="s">
        <v>1389</v>
      </c>
      <c r="F7997" s="6" t="str">
        <f>IF($M7997="PADD I","PADD 1",IF($M7997="PADD II","PADD 2",IF($M7997="PADD III","PADD 3",IF($M7997="PADD IV","PADD 4",IF($M7997="PADD V","PADD 5","")))))</f>
        <v>PADD 5</v>
      </c>
      <c r="G7997" s="6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6" t="s">
        <v>428</v>
      </c>
      <c r="I7997" s="6" t="s">
        <v>1390</v>
      </c>
      <c r="J7997" s="6" t="s">
        <v>398</v>
      </c>
      <c r="K7997" s="10">
        <v>19.2</v>
      </c>
      <c r="L7997" s="10">
        <v>40</v>
      </c>
      <c r="M7997" s="6" t="s">
        <v>436</v>
      </c>
      <c r="N7997" s="6">
        <f>IF(OR($G7997="FCC",$G7997="Hydrocracker",$G7997="Reformer"),IF(COUNTIFS($D:$D,$D7997,$A:$A,$A7997,$B:$B,$B7997,$G:$G,"CDU",$J:$J,"PLANNED")&gt;0,"tied","standalone"),"")</f>
        <v/>
      </c>
    </row>
    <row r="7998" spans="1:14">
      <c r="A7998" s="6">
        <v>2026</v>
      </c>
      <c r="B7998" s="6">
        <v>7</v>
      </c>
      <c r="C7998" s="6" t="s">
        <v>66</v>
      </c>
      <c r="D7998" s="6" t="s">
        <v>576</v>
      </c>
      <c r="E7998" s="6" t="s">
        <v>455</v>
      </c>
      <c r="F7998" s="6" t="str">
        <f>IF($M7998="PADD I","PADD 1",IF($M7998="PADD II","PADD 2",IF($M7998="PADD III","PADD 3",IF($M7998="PADD IV","PADD 4",IF($M7998="PADD V","PADD 5","")))))</f>
        <v>PADD 3</v>
      </c>
      <c r="G7998" s="6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6" t="s">
        <v>44</v>
      </c>
      <c r="I7998" s="6" t="s">
        <v>1276</v>
      </c>
      <c r="J7998" s="6" t="s">
        <v>394</v>
      </c>
      <c r="K7998" s="10">
        <v>18.5</v>
      </c>
      <c r="L7998" s="10">
        <v>18.5</v>
      </c>
      <c r="M7998" s="6" t="s">
        <v>421</v>
      </c>
      <c r="N7998" s="6">
        <f>IF(OR($G7998="FCC",$G7998="Hydrocracker",$G7998="Reformer"),IF(COUNTIFS($D:$D,$D7998,$A:$A,$A7998,$B:$B,$B7998,$G:$G,"CDU",$J:$J,"PLANNED")&gt;0,"tied","standalone"),"")</f>
        <v/>
      </c>
    </row>
    <row r="7999" spans="1:14">
      <c r="A7999" s="6">
        <v>2026</v>
      </c>
      <c r="B7999" s="6">
        <v>7</v>
      </c>
      <c r="C7999" s="6" t="s">
        <v>66</v>
      </c>
      <c r="D7999" s="6" t="s">
        <v>822</v>
      </c>
      <c r="E7999" s="6" t="s">
        <v>455</v>
      </c>
      <c r="F7999" s="6" t="str">
        <f>IF($M7999="PADD I","PADD 1",IF($M7999="PADD II","PADD 2",IF($M7999="PADD III","PADD 3",IF($M7999="PADD IV","PADD 4",IF($M7999="PADD V","PADD 5","")))))</f>
        <v>PADD 3</v>
      </c>
      <c r="G7999" s="6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6" t="s">
        <v>428</v>
      </c>
      <c r="I7999" s="6" t="s">
        <v>481</v>
      </c>
      <c r="J7999" s="6" t="s">
        <v>398</v>
      </c>
      <c r="K7999" s="10">
        <v>18.3</v>
      </c>
      <c r="L7999" s="10">
        <v>30</v>
      </c>
      <c r="M7999" s="6" t="s">
        <v>421</v>
      </c>
      <c r="N7999" s="6">
        <f>IF(OR($G7999="FCC",$G7999="Hydrocracker",$G7999="Reformer"),IF(COUNTIFS($D:$D,$D7999,$A:$A,$A7999,$B:$B,$B7999,$G:$G,"CDU",$J:$J,"PLANNED")&gt;0,"tied","standalone"),"")</f>
        <v/>
      </c>
    </row>
    <row r="8000" spans="1:14">
      <c r="A8000" s="6">
        <v>2026</v>
      </c>
      <c r="B8000" s="6">
        <v>7</v>
      </c>
      <c r="C8000" s="6" t="s">
        <v>66</v>
      </c>
      <c r="D8000" s="6" t="s">
        <v>378</v>
      </c>
      <c r="E8000" s="6" t="s">
        <v>477</v>
      </c>
      <c r="F8000" s="6" t="str">
        <f>IF($M8000="PADD I","PADD 1",IF($M8000="PADD II","PADD 2",IF($M8000="PADD III","PADD 3",IF($M8000="PADD IV","PADD 4",IF($M8000="PADD V","PADD 5","")))))</f>
        <v>PADD 3</v>
      </c>
      <c r="G8000" s="6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6" t="s">
        <v>471</v>
      </c>
      <c r="I8000" s="6" t="s">
        <v>1212</v>
      </c>
      <c r="J8000" s="6" t="s">
        <v>394</v>
      </c>
      <c r="K8000" s="10">
        <v>17.5</v>
      </c>
      <c r="L8000" s="10">
        <v>17.5</v>
      </c>
      <c r="M8000" s="6" t="s">
        <v>421</v>
      </c>
      <c r="N8000" s="6" t="str">
        <f>IF(OR($G8000="FCC",$G8000="Hydrocracker",$G8000="Reformer"),IF(COUNTIFS($D:$D,$D8000,$A:$A,$A8000,$B:$B,$B8000,$G:$G,"CDU",$J:$J,"PLANNED")&gt;0,"tied","standalone"),"")</f>
        <v>standalone</v>
      </c>
    </row>
    <row r="8001" spans="1:14">
      <c r="A8001" s="6">
        <v>2026</v>
      </c>
      <c r="B8001" s="6">
        <v>7</v>
      </c>
      <c r="C8001" s="6" t="s">
        <v>66</v>
      </c>
      <c r="D8001" s="6" t="s">
        <v>458</v>
      </c>
      <c r="E8001" s="6" t="s">
        <v>459</v>
      </c>
      <c r="F8001" s="6" t="str">
        <f>IF($M8001="PADD I","PADD 1",IF($M8001="PADD II","PADD 2",IF($M8001="PADD III","PADD 3",IF($M8001="PADD IV","PADD 4",IF($M8001="PADD V","PADD 5","")))))</f>
        <v>PADD 3</v>
      </c>
      <c r="G8001" s="6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6" t="s">
        <v>39</v>
      </c>
      <c r="I8001" s="6" t="s">
        <v>460</v>
      </c>
      <c r="J8001" s="6" t="s">
        <v>394</v>
      </c>
      <c r="K8001" s="10">
        <v>15.2</v>
      </c>
      <c r="L8001" s="10">
        <v>80</v>
      </c>
      <c r="M8001" s="6" t="s">
        <v>421</v>
      </c>
      <c r="N8001" s="6">
        <f>IF(OR($G8001="FCC",$G8001="Hydrocracker",$G8001="Reformer"),IF(COUNTIFS($D:$D,$D8001,$A:$A,$A8001,$B:$B,$B8001,$G:$G,"CDU",$J:$J,"PLANNED")&gt;0,"tied","standalone"),"")</f>
        <v/>
      </c>
    </row>
    <row r="8002" spans="1:14">
      <c r="A8002" s="6">
        <v>2026</v>
      </c>
      <c r="B8002" s="6">
        <v>7</v>
      </c>
      <c r="C8002" s="6" t="s">
        <v>66</v>
      </c>
      <c r="D8002" s="6" t="s">
        <v>41</v>
      </c>
      <c r="E8002" s="6" t="s">
        <v>786</v>
      </c>
      <c r="F8002" s="6" t="str">
        <f>IF($M8002="PADD I","PADD 1",IF($M8002="PADD II","PADD 2",IF($M8002="PADD III","PADD 3",IF($M8002="PADD IV","PADD 4",IF($M8002="PADD V","PADD 5","")))))</f>
        <v>PADD 1</v>
      </c>
      <c r="G8002" s="6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6" t="s">
        <v>687</v>
      </c>
      <c r="I8002" s="6" t="s">
        <v>1069</v>
      </c>
      <c r="J8002" s="6" t="s">
        <v>394</v>
      </c>
      <c r="K8002" s="10">
        <v>14</v>
      </c>
      <c r="L8002" s="10">
        <v>14</v>
      </c>
      <c r="M8002" s="6" t="s">
        <v>463</v>
      </c>
      <c r="N8002" s="6">
        <f>IF(OR($G8002="FCC",$G8002="Hydrocracker",$G8002="Reformer"),IF(COUNTIFS($D:$D,$D8002,$A:$A,$A8002,$B:$B,$B8002,$G:$G,"CDU",$J:$J,"PLANNED")&gt;0,"tied","standalone"),"")</f>
        <v/>
      </c>
    </row>
    <row r="8003" spans="1:14">
      <c r="A8003" s="6">
        <v>2026</v>
      </c>
      <c r="B8003" s="6">
        <v>7</v>
      </c>
      <c r="C8003" s="6" t="s">
        <v>66</v>
      </c>
      <c r="D8003" s="6" t="s">
        <v>49</v>
      </c>
      <c r="E8003" s="6" t="s">
        <v>438</v>
      </c>
      <c r="F8003" s="6" t="str">
        <f>IF($M8003="PADD I","PADD 1",IF($M8003="PADD II","PADD 2",IF($M8003="PADD III","PADD 3",IF($M8003="PADD IV","PADD 4",IF($M8003="PADD V","PADD 5","")))))</f>
        <v>PADD 2</v>
      </c>
      <c r="G8003" s="6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6" t="s">
        <v>471</v>
      </c>
      <c r="I8003" s="6" t="s">
        <v>771</v>
      </c>
      <c r="J8003" s="6" t="s">
        <v>394</v>
      </c>
      <c r="K8003" s="10">
        <v>13.76</v>
      </c>
      <c r="L8003" s="10">
        <v>43</v>
      </c>
      <c r="M8003" s="6" t="s">
        <v>425</v>
      </c>
      <c r="N8003" s="6" t="str">
        <f>IF(OR($G8003="FCC",$G8003="Hydrocracker",$G8003="Reformer"),IF(COUNTIFS($D:$D,$D8003,$A:$A,$A8003,$B:$B,$B8003,$G:$G,"CDU",$J:$J,"PLANNED")&gt;0,"tied","standalone"),"")</f>
        <v>standalone</v>
      </c>
    </row>
    <row r="8004" spans="1:14">
      <c r="A8004" s="6">
        <v>2026</v>
      </c>
      <c r="B8004" s="6">
        <v>7</v>
      </c>
      <c r="C8004" s="6" t="s">
        <v>66</v>
      </c>
      <c r="D8004" s="6" t="s">
        <v>534</v>
      </c>
      <c r="E8004" s="6" t="s">
        <v>459</v>
      </c>
      <c r="F8004" s="6" t="str">
        <f>IF($M8004="PADD I","PADD 1",IF($M8004="PADD II","PADD 2",IF($M8004="PADD III","PADD 3",IF($M8004="PADD IV","PADD 4",IF($M8004="PADD V","PADD 5","")))))</f>
        <v>PADD 3</v>
      </c>
      <c r="G8004" s="6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6" t="s">
        <v>44</v>
      </c>
      <c r="I8004" s="6" t="s">
        <v>535</v>
      </c>
      <c r="J8004" s="6" t="s">
        <v>394</v>
      </c>
      <c r="K8004" s="10">
        <v>12.54</v>
      </c>
      <c r="L8004" s="10">
        <v>66</v>
      </c>
      <c r="M8004" s="6" t="s">
        <v>421</v>
      </c>
      <c r="N8004" s="6">
        <f>IF(OR($G8004="FCC",$G8004="Hydrocracker",$G8004="Reformer"),IF(COUNTIFS($D:$D,$D8004,$A:$A,$A8004,$B:$B,$B8004,$G:$G,"CDU",$J:$J,"PLANNED")&gt;0,"tied","standalone"),"")</f>
        <v/>
      </c>
    </row>
    <row r="8005" spans="1:14">
      <c r="A8005" s="6">
        <v>2026</v>
      </c>
      <c r="B8005" s="6">
        <v>7</v>
      </c>
      <c r="C8005" s="6" t="s">
        <v>66</v>
      </c>
      <c r="D8005" s="6" t="s">
        <v>41</v>
      </c>
      <c r="E8005" s="6" t="s">
        <v>786</v>
      </c>
      <c r="F8005" s="6" t="str">
        <f>IF($M8005="PADD I","PADD 1",IF($M8005="PADD II","PADD 2",IF($M8005="PADD III","PADD 3",IF($M8005="PADD IV","PADD 4",IF($M8005="PADD V","PADD 5","")))))</f>
        <v>PADD 1</v>
      </c>
      <c r="G8005" s="6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6" t="s">
        <v>510</v>
      </c>
      <c r="I8005" s="6" t="s">
        <v>810</v>
      </c>
      <c r="J8005" s="6" t="s">
        <v>394</v>
      </c>
      <c r="K8005" s="10">
        <v>12</v>
      </c>
      <c r="L8005" s="10">
        <v>12</v>
      </c>
      <c r="M8005" s="6" t="s">
        <v>463</v>
      </c>
      <c r="N8005" s="6">
        <f>IF(OR($G8005="FCC",$G8005="Hydrocracker",$G8005="Reformer"),IF(COUNTIFS($D:$D,$D8005,$A:$A,$A8005,$B:$B,$B8005,$G:$G,"CDU",$J:$J,"PLANNED")&gt;0,"tied","standalone"),"")</f>
        <v/>
      </c>
    </row>
    <row r="8006" spans="1:14">
      <c r="A8006" s="6">
        <v>2026</v>
      </c>
      <c r="B8006" s="6">
        <v>7</v>
      </c>
      <c r="C8006" s="6" t="s">
        <v>66</v>
      </c>
      <c r="D8006" s="6" t="s">
        <v>41</v>
      </c>
      <c r="E8006" s="6" t="s">
        <v>786</v>
      </c>
      <c r="F8006" s="6" t="str">
        <f>IF($M8006="PADD I","PADD 1",IF($M8006="PADD II","PADD 2",IF($M8006="PADD III","PADD 3",IF($M8006="PADD IV","PADD 4",IF($M8006="PADD V","PADD 5","")))))</f>
        <v>PADD 1</v>
      </c>
      <c r="G8006" s="6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6" t="s">
        <v>44</v>
      </c>
      <c r="I8006" s="6" t="s">
        <v>1071</v>
      </c>
      <c r="J8006" s="6" t="s">
        <v>394</v>
      </c>
      <c r="K8006" s="10">
        <v>11.5</v>
      </c>
      <c r="L8006" s="10">
        <v>11.5</v>
      </c>
      <c r="M8006" s="6" t="s">
        <v>463</v>
      </c>
      <c r="N8006" s="6">
        <f>IF(OR($G8006="FCC",$G8006="Hydrocracker",$G8006="Reformer"),IF(COUNTIFS($D:$D,$D8006,$A:$A,$A8006,$B:$B,$B8006,$G:$G,"CDU",$J:$J,"PLANNED")&gt;0,"tied","standalone"),"")</f>
        <v/>
      </c>
    </row>
    <row r="8007" spans="1:14">
      <c r="A8007" s="6">
        <v>2026</v>
      </c>
      <c r="B8007" s="6">
        <v>7</v>
      </c>
      <c r="C8007" s="6" t="s">
        <v>66</v>
      </c>
      <c r="D8007" s="6" t="s">
        <v>458</v>
      </c>
      <c r="E8007" s="6" t="s">
        <v>459</v>
      </c>
      <c r="F8007" s="6" t="str">
        <f>IF($M8007="PADD I","PADD 1",IF($M8007="PADD II","PADD 2",IF($M8007="PADD III","PADD 3",IF($M8007="PADD IV","PADD 4",IF($M8007="PADD V","PADD 5","")))))</f>
        <v>PADD 3</v>
      </c>
      <c r="G8007" s="6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6" t="s">
        <v>428</v>
      </c>
      <c r="I8007" s="6" t="s">
        <v>556</v>
      </c>
      <c r="J8007" s="6" t="s">
        <v>394</v>
      </c>
      <c r="K8007" s="10">
        <v>9.880000000000001</v>
      </c>
      <c r="L8007" s="10">
        <v>52</v>
      </c>
      <c r="M8007" s="6" t="s">
        <v>421</v>
      </c>
      <c r="N8007" s="6">
        <f>IF(OR($G8007="FCC",$G8007="Hydrocracker",$G8007="Reformer"),IF(COUNTIFS($D:$D,$D8007,$A:$A,$A8007,$B:$B,$B8007,$G:$G,"CDU",$J:$J,"PLANNED")&gt;0,"tied","standalone"),"")</f>
        <v/>
      </c>
    </row>
    <row r="8008" spans="1:14">
      <c r="A8008" s="6">
        <v>2026</v>
      </c>
      <c r="B8008" s="6">
        <v>7</v>
      </c>
      <c r="C8008" s="6" t="s">
        <v>66</v>
      </c>
      <c r="D8008" s="6" t="s">
        <v>422</v>
      </c>
      <c r="E8008" s="6" t="s">
        <v>423</v>
      </c>
      <c r="F8008" s="6" t="str">
        <f>IF($M8008="PADD I","PADD 1",IF($M8008="PADD II","PADD 2",IF($M8008="PADD III","PADD 3",IF($M8008="PADD IV","PADD 4",IF($M8008="PADD V","PADD 5","")))))</f>
        <v>PADD 2</v>
      </c>
      <c r="G8008" s="6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6" t="s">
        <v>44</v>
      </c>
      <c r="I8008" s="6" t="s">
        <v>529</v>
      </c>
      <c r="J8008" s="6" t="s">
        <v>398</v>
      </c>
      <c r="K8008" s="10">
        <v>8</v>
      </c>
      <c r="L8008" s="10">
        <v>25</v>
      </c>
      <c r="M8008" s="6" t="s">
        <v>425</v>
      </c>
      <c r="N8008" s="6">
        <f>IF(OR($G8008="FCC",$G8008="Hydrocracker",$G8008="Reformer"),IF(COUNTIFS($D:$D,$D8008,$A:$A,$A8008,$B:$B,$B8008,$G:$G,"CDU",$J:$J,"PLANNED")&gt;0,"tied","standalone"),"")</f>
        <v/>
      </c>
    </row>
    <row r="8009" spans="1:14">
      <c r="A8009" s="6">
        <v>2026</v>
      </c>
      <c r="B8009" s="6">
        <v>7</v>
      </c>
      <c r="C8009" s="6" t="s">
        <v>66</v>
      </c>
      <c r="D8009" s="6" t="s">
        <v>45</v>
      </c>
      <c r="E8009" s="6" t="s">
        <v>1389</v>
      </c>
      <c r="F8009" s="6" t="str">
        <f>IF($M8009="PADD I","PADD 1",IF($M8009="PADD II","PADD 2",IF($M8009="PADD III","PADD 3",IF($M8009="PADD IV","PADD 4",IF($M8009="PADD V","PADD 5","")))))</f>
        <v>PADD 5</v>
      </c>
      <c r="G8009" s="6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6" t="s">
        <v>494</v>
      </c>
      <c r="I8009" s="6" t="s">
        <v>1426</v>
      </c>
      <c r="J8009" s="6" t="s">
        <v>398</v>
      </c>
      <c r="K8009" s="10">
        <v>6.24</v>
      </c>
      <c r="L8009" s="10">
        <v>13</v>
      </c>
      <c r="M8009" s="6" t="s">
        <v>436</v>
      </c>
      <c r="N8009" s="6" t="str">
        <f>IF(OR($G8009="FCC",$G8009="Hydrocracker",$G8009="Reformer"),IF(COUNTIFS($D:$D,$D8009,$A:$A,$A8009,$B:$B,$B8009,$G:$G,"CDU",$J:$J,"PLANNED")&gt;0,"tied","standalone"),"")</f>
        <v>tied</v>
      </c>
    </row>
    <row r="8010" spans="1:14">
      <c r="A8010" s="6">
        <v>2026</v>
      </c>
      <c r="B8010" s="6">
        <v>7</v>
      </c>
      <c r="C8010" s="6" t="s">
        <v>66</v>
      </c>
      <c r="D8010" s="6" t="s">
        <v>45</v>
      </c>
      <c r="E8010" s="6" t="s">
        <v>1389</v>
      </c>
      <c r="F8010" s="6" t="str">
        <f>IF($M8010="PADD I","PADD 1",IF($M8010="PADD II","PADD 2",IF($M8010="PADD III","PADD 3",IF($M8010="PADD IV","PADD 4",IF($M8010="PADD V","PADD 5","")))))</f>
        <v>PADD 5</v>
      </c>
      <c r="G8010" s="6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6" t="s">
        <v>471</v>
      </c>
      <c r="I8010" s="6" t="s">
        <v>1427</v>
      </c>
      <c r="J8010" s="6" t="s">
        <v>398</v>
      </c>
      <c r="K8010" s="10">
        <v>6.24</v>
      </c>
      <c r="L8010" s="10">
        <v>13</v>
      </c>
      <c r="M8010" s="6" t="s">
        <v>436</v>
      </c>
      <c r="N8010" s="6" t="str">
        <f>IF(OR($G8010="FCC",$G8010="Hydrocracker",$G8010="Reformer"),IF(COUNTIFS($D:$D,$D8010,$A:$A,$A8010,$B:$B,$B8010,$G:$G,"CDU",$J:$J,"PLANNED")&gt;0,"tied","standalone"),"")</f>
        <v>tied</v>
      </c>
    </row>
    <row r="8011" spans="1:14">
      <c r="A8011" s="6">
        <v>2026</v>
      </c>
      <c r="B8011" s="6">
        <v>7</v>
      </c>
      <c r="C8011" s="6" t="s">
        <v>66</v>
      </c>
      <c r="D8011" s="6" t="s">
        <v>45</v>
      </c>
      <c r="E8011" s="6" t="s">
        <v>1389</v>
      </c>
      <c r="F8011" s="6" t="str">
        <f>IF($M8011="PADD I","PADD 1",IF($M8011="PADD II","PADD 2",IF($M8011="PADD III","PADD 3",IF($M8011="PADD IV","PADD 4",IF($M8011="PADD V","PADD 5","")))))</f>
        <v>PADD 5</v>
      </c>
      <c r="G8011" s="6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6" t="s">
        <v>39</v>
      </c>
      <c r="I8011" s="6" t="s">
        <v>1428</v>
      </c>
      <c r="J8011" s="6" t="s">
        <v>398</v>
      </c>
      <c r="K8011" s="10">
        <v>5.28</v>
      </c>
      <c r="L8011" s="10">
        <v>11</v>
      </c>
      <c r="M8011" s="6" t="s">
        <v>436</v>
      </c>
      <c r="N8011" s="6">
        <f>IF(OR($G8011="FCC",$G8011="Hydrocracker",$G8011="Reformer"),IF(COUNTIFS($D:$D,$D8011,$A:$A,$A8011,$B:$B,$B8011,$G:$G,"CDU",$J:$J,"PLANNED")&gt;0,"tied","standalone"),"")</f>
        <v/>
      </c>
    </row>
    <row r="8012" spans="1:14">
      <c r="A8012" s="6">
        <v>2026</v>
      </c>
      <c r="B8012" s="6">
        <v>7</v>
      </c>
      <c r="C8012" s="6" t="s">
        <v>66</v>
      </c>
      <c r="D8012" s="6" t="s">
        <v>662</v>
      </c>
      <c r="E8012" s="6" t="s">
        <v>466</v>
      </c>
      <c r="F8012" s="6" t="str">
        <f>IF($M8012="PADD I","PADD 1",IF($M8012="PADD II","PADD 2",IF($M8012="PADD III","PADD 3",IF($M8012="PADD IV","PADD 4",IF($M8012="PADD V","PADD 5","")))))</f>
        <v>PADD 3</v>
      </c>
      <c r="G8012" s="6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6" t="s">
        <v>39</v>
      </c>
      <c r="I8012" s="6" t="s">
        <v>82</v>
      </c>
      <c r="J8012" s="6" t="s">
        <v>394</v>
      </c>
      <c r="K8012" s="10">
        <v>4.95</v>
      </c>
      <c r="L8012" s="10">
        <v>165</v>
      </c>
      <c r="M8012" s="6" t="s">
        <v>421</v>
      </c>
      <c r="N8012" s="6">
        <f>IF(OR($G8012="FCC",$G8012="Hydrocracker",$G8012="Reformer"),IF(COUNTIFS($D:$D,$D8012,$A:$A,$A8012,$B:$B,$B8012,$G:$G,"CDU",$J:$J,"PLANNED")&gt;0,"tied","standalone"),"")</f>
        <v/>
      </c>
    </row>
    <row r="8013" spans="1:14">
      <c r="A8013" s="6">
        <v>2026</v>
      </c>
      <c r="B8013" s="6">
        <v>7</v>
      </c>
      <c r="C8013" s="6" t="s">
        <v>66</v>
      </c>
      <c r="D8013" s="6" t="s">
        <v>41</v>
      </c>
      <c r="E8013" s="6" t="s">
        <v>786</v>
      </c>
      <c r="F8013" s="6" t="str">
        <f>IF($M8013="PADD I","PADD 1",IF($M8013="PADD II","PADD 2",IF($M8013="PADD III","PADD 3",IF($M8013="PADD IV","PADD 4",IF($M8013="PADD V","PADD 5","")))))</f>
        <v>PADD 1</v>
      </c>
      <c r="G8013" s="6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6" t="s">
        <v>44</v>
      </c>
      <c r="I8013" s="6" t="s">
        <v>1079</v>
      </c>
      <c r="J8013" s="6" t="s">
        <v>394</v>
      </c>
      <c r="K8013" s="10">
        <v>4.2</v>
      </c>
      <c r="L8013" s="10">
        <v>4.2</v>
      </c>
      <c r="M8013" s="6" t="s">
        <v>463</v>
      </c>
      <c r="N8013" s="6">
        <f>IF(OR($G8013="FCC",$G8013="Hydrocracker",$G8013="Reformer"),IF(COUNTIFS($D:$D,$D8013,$A:$A,$A8013,$B:$B,$B8013,$G:$G,"CDU",$J:$J,"PLANNED")&gt;0,"tied","standalone"),"")</f>
        <v/>
      </c>
    </row>
    <row r="8014" spans="1:14">
      <c r="A8014" s="6">
        <v>2026</v>
      </c>
      <c r="B8014" s="6">
        <v>7</v>
      </c>
      <c r="C8014" s="6" t="s">
        <v>66</v>
      </c>
      <c r="D8014" s="6" t="s">
        <v>792</v>
      </c>
      <c r="E8014" s="6" t="s">
        <v>438</v>
      </c>
      <c r="F8014" s="6" t="str">
        <f>IF($M8014="PADD I","PADD 1",IF($M8014="PADD II","PADD 2",IF($M8014="PADD III","PADD 3",IF($M8014="PADD IV","PADD 4",IF($M8014="PADD V","PADD 5","")))))</f>
        <v>PADD 5</v>
      </c>
      <c r="G8014" s="6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6" t="s">
        <v>618</v>
      </c>
      <c r="I8014" s="6" t="s">
        <v>818</v>
      </c>
      <c r="J8014" s="6" t="s">
        <v>398</v>
      </c>
      <c r="K8014" s="10">
        <v>3.5</v>
      </c>
      <c r="L8014" s="10">
        <v>3.5</v>
      </c>
      <c r="M8014" s="6" t="s">
        <v>436</v>
      </c>
      <c r="N8014" s="6">
        <f>IF(OR($G8014="FCC",$G8014="Hydrocracker",$G8014="Reformer"),IF(COUNTIFS($D:$D,$D8014,$A:$A,$A8014,$B:$B,$B8014,$G:$G,"CDU",$J:$J,"PLANNED")&gt;0,"tied","standalone"),"")</f>
        <v/>
      </c>
    </row>
    <row r="8015" spans="1:14">
      <c r="A8015" s="6">
        <v>2026</v>
      </c>
      <c r="B8015" s="6">
        <v>7</v>
      </c>
      <c r="C8015" s="6" t="s">
        <v>66</v>
      </c>
      <c r="D8015" s="6" t="s">
        <v>798</v>
      </c>
      <c r="E8015" s="6" t="s">
        <v>438</v>
      </c>
      <c r="F8015" s="6" t="str">
        <f>IF($M8015="PADD I","PADD 1",IF($M8015="PADD II","PADD 2",IF($M8015="PADD III","PADD 3",IF($M8015="PADD IV","PADD 4",IF($M8015="PADD V","PADD 5","")))))</f>
        <v>PADD 3</v>
      </c>
      <c r="G8015" s="6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6" t="s">
        <v>39</v>
      </c>
      <c r="I8015" s="6" t="s">
        <v>799</v>
      </c>
      <c r="J8015" s="6" t="s">
        <v>394</v>
      </c>
      <c r="K8015" s="10">
        <v>3.36</v>
      </c>
      <c r="L8015" s="10">
        <v>56</v>
      </c>
      <c r="M8015" s="6" t="s">
        <v>421</v>
      </c>
      <c r="N8015" s="6">
        <f>IF(OR($G8015="FCC",$G8015="Hydrocracker",$G8015="Reformer"),IF(COUNTIFS($D:$D,$D8015,$A:$A,$A8015,$B:$B,$B8015,$G:$G,"CDU",$J:$J,"PLANNED")&gt;0,"tied","standalone"),"")</f>
        <v/>
      </c>
    </row>
    <row r="8016" spans="1:14">
      <c r="A8016" s="6">
        <v>2026</v>
      </c>
      <c r="B8016" s="6">
        <v>7</v>
      </c>
      <c r="C8016" s="6" t="s">
        <v>66</v>
      </c>
      <c r="D8016" s="6" t="s">
        <v>43</v>
      </c>
      <c r="E8016" s="6" t="s">
        <v>455</v>
      </c>
      <c r="F8016" s="6" t="str">
        <f>IF($M8016="PADD I","PADD 1",IF($M8016="PADD II","PADD 2",IF($M8016="PADD III","PADD 3",IF($M8016="PADD IV","PADD 4",IF($M8016="PADD V","PADD 5","")))))</f>
        <v>PADD 3</v>
      </c>
      <c r="G8016" s="6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6" t="s">
        <v>44</v>
      </c>
      <c r="I8016" s="6" t="s">
        <v>1138</v>
      </c>
      <c r="J8016" s="6" t="s">
        <v>394</v>
      </c>
      <c r="K8016" s="10">
        <v>3.3</v>
      </c>
      <c r="L8016" s="10">
        <v>110</v>
      </c>
      <c r="M8016" s="6" t="s">
        <v>421</v>
      </c>
      <c r="N8016" s="6">
        <f>IF(OR($G8016="FCC",$G8016="Hydrocracker",$G8016="Reformer"),IF(COUNTIFS($D:$D,$D8016,$A:$A,$A8016,$B:$B,$B8016,$G:$G,"CDU",$J:$J,"PLANNED")&gt;0,"tied","standalone"),"")</f>
        <v/>
      </c>
    </row>
    <row r="8017" spans="1:14">
      <c r="A8017" s="6">
        <v>2026</v>
      </c>
      <c r="B8017" s="6">
        <v>7</v>
      </c>
      <c r="C8017" s="6" t="s">
        <v>66</v>
      </c>
      <c r="D8017" s="6" t="s">
        <v>534</v>
      </c>
      <c r="E8017" s="6" t="s">
        <v>459</v>
      </c>
      <c r="F8017" s="6" t="str">
        <f>IF($M8017="PADD I","PADD 1",IF($M8017="PADD II","PADD 2",IF($M8017="PADD III","PADD 3",IF($M8017="PADD IV","PADD 4",IF($M8017="PADD V","PADD 5","")))))</f>
        <v>PADD 3</v>
      </c>
      <c r="G8017" s="6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6" t="s">
        <v>44</v>
      </c>
      <c r="I8017" s="6" t="s">
        <v>543</v>
      </c>
      <c r="J8017" s="6" t="s">
        <v>394</v>
      </c>
      <c r="K8017" s="10">
        <v>1.9</v>
      </c>
      <c r="L8017" s="10">
        <v>10</v>
      </c>
      <c r="M8017" s="6" t="s">
        <v>421</v>
      </c>
      <c r="N8017" s="6">
        <f>IF(OR($G8017="FCC",$G8017="Hydrocracker",$G8017="Reformer"),IF(COUNTIFS($D:$D,$D8017,$A:$A,$A8017,$B:$B,$B8017,$G:$G,"CDU",$J:$J,"PLANNED")&gt;0,"tied","standalone"),"")</f>
        <v/>
      </c>
    </row>
    <row r="8018" spans="1:14">
      <c r="A8018" s="6">
        <v>2026</v>
      </c>
      <c r="B8018" s="6">
        <v>7</v>
      </c>
      <c r="C8018" s="6" t="s">
        <v>66</v>
      </c>
      <c r="D8018" s="6" t="s">
        <v>384</v>
      </c>
      <c r="E8018" s="6" t="s">
        <v>419</v>
      </c>
      <c r="F8018" s="6" t="str">
        <f>IF($M8018="PADD I","PADD 1",IF($M8018="PADD II","PADD 2",IF($M8018="PADD III","PADD 3",IF($M8018="PADD IV","PADD 4",IF($M8018="PADD V","PADD 5","")))))</f>
        <v>PADD 3</v>
      </c>
      <c r="G8018" s="6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6" t="s">
        <v>426</v>
      </c>
      <c r="I8018" s="6" t="s">
        <v>522</v>
      </c>
      <c r="J8018" s="6" t="s">
        <v>394</v>
      </c>
      <c r="K8018" s="10">
        <v>1.8</v>
      </c>
      <c r="L8018" s="10">
        <v>30</v>
      </c>
      <c r="M8018" s="6" t="s">
        <v>421</v>
      </c>
      <c r="N8018" s="6" t="str">
        <f>IF(OR($G8018="FCC",$G8018="Hydrocracker",$G8018="Reformer"),IF(COUNTIFS($D:$D,$D8018,$A:$A,$A8018,$B:$B,$B8018,$G:$G,"CDU",$J:$J,"PLANNED")&gt;0,"tied","standalone"),"")</f>
        <v>standalone</v>
      </c>
    </row>
    <row r="8019" spans="1:14">
      <c r="A8019" s="6">
        <v>2026</v>
      </c>
      <c r="B8019" s="6">
        <v>7</v>
      </c>
      <c r="C8019" s="6" t="s">
        <v>66</v>
      </c>
      <c r="D8019" s="6" t="s">
        <v>534</v>
      </c>
      <c r="E8019" s="6" t="s">
        <v>459</v>
      </c>
      <c r="F8019" s="6" t="str">
        <f>IF($M8019="PADD I","PADD 1",IF($M8019="PADD II","PADD 2",IF($M8019="PADD III","PADD 3",IF($M8019="PADD IV","PADD 4",IF($M8019="PADD V","PADD 5","")))))</f>
        <v>PADD 3</v>
      </c>
      <c r="G8019" s="6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6" t="s">
        <v>44</v>
      </c>
      <c r="I8019" s="6" t="s">
        <v>551</v>
      </c>
      <c r="J8019" s="6" t="s">
        <v>394</v>
      </c>
      <c r="K8019" s="10">
        <v>1.365</v>
      </c>
      <c r="L8019" s="10">
        <v>45.5</v>
      </c>
      <c r="M8019" s="6" t="s">
        <v>421</v>
      </c>
      <c r="N8019" s="6">
        <f>IF(OR($G8019="FCC",$G8019="Hydrocracker",$G8019="Reformer"),IF(COUNTIFS($D:$D,$D8019,$A:$A,$A8019,$B:$B,$B8019,$G:$G,"CDU",$J:$J,"PLANNED")&gt;0,"tied","standalone"),"")</f>
        <v/>
      </c>
    </row>
    <row r="8020" spans="1:14">
      <c r="A8020" s="6">
        <v>2026</v>
      </c>
      <c r="B8020" s="6">
        <v>7</v>
      </c>
      <c r="C8020" s="6" t="s">
        <v>66</v>
      </c>
      <c r="D8020" s="6" t="s">
        <v>1365</v>
      </c>
      <c r="E8020" s="6" t="s">
        <v>1366</v>
      </c>
      <c r="F8020" s="6" t="str">
        <f>IF($M8020="PADD I","PADD 1",IF($M8020="PADD II","PADD 2",IF($M8020="PADD III","PADD 3",IF($M8020="PADD IV","PADD 4",IF($M8020="PADD V","PADD 5","")))))</f>
        <v>PADD 1</v>
      </c>
      <c r="G8020" s="6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6" t="s">
        <v>471</v>
      </c>
      <c r="I8020" s="6" t="s">
        <v>621</v>
      </c>
      <c r="J8020" s="6" t="s">
        <v>394</v>
      </c>
      <c r="K8020" s="10">
        <v>0.704</v>
      </c>
      <c r="L8020" s="10">
        <v>2.2</v>
      </c>
      <c r="M8020" s="6" t="s">
        <v>463</v>
      </c>
      <c r="N8020" s="6" t="str">
        <f>IF(OR($G8020="FCC",$G8020="Hydrocracker",$G8020="Reformer"),IF(COUNTIFS($D:$D,$D8020,$A:$A,$A8020,$B:$B,$B8020,$G:$G,"CDU",$J:$J,"PLANNED")&gt;0,"tied","standalone"),"")</f>
        <v>standalone</v>
      </c>
    </row>
    <row r="8021" spans="1:14">
      <c r="A8021" s="6">
        <v>2026</v>
      </c>
      <c r="B8021" s="6">
        <v>8</v>
      </c>
      <c r="C8021" s="6" t="s">
        <v>67</v>
      </c>
      <c r="D8021" s="6" t="s">
        <v>576</v>
      </c>
      <c r="E8021" s="6" t="s">
        <v>455</v>
      </c>
      <c r="F8021" s="6" t="str">
        <f>IF($M8021="PADD I","PADD 1",IF($M8021="PADD II","PADD 2",IF($M8021="PADD III","PADD 3",IF($M8021="PADD IV","PADD 4",IF($M8021="PADD V","PADD 5","")))))</f>
        <v>PADD 3</v>
      </c>
      <c r="G8021" s="6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6" t="s">
        <v>44</v>
      </c>
      <c r="I8021" s="6" t="s">
        <v>1126</v>
      </c>
      <c r="J8021" s="6" t="s">
        <v>394</v>
      </c>
      <c r="K8021" s="10">
        <v>47</v>
      </c>
      <c r="L8021" s="10">
        <v>47</v>
      </c>
      <c r="M8021" s="6" t="s">
        <v>421</v>
      </c>
      <c r="N8021" s="6">
        <f>IF(OR($G8021="FCC",$G8021="Hydrocracker",$G8021="Reformer"),IF(COUNTIFS($D:$D,$D8021,$A:$A,$A8021,$B:$B,$B8021,$G:$G,"CDU",$J:$J,"PLANNED")&gt;0,"tied","standalone"),"")</f>
        <v/>
      </c>
    </row>
    <row r="8022" spans="1:14">
      <c r="A8022" s="6">
        <v>2026</v>
      </c>
      <c r="B8022" s="6">
        <v>8</v>
      </c>
      <c r="C8022" s="6" t="s">
        <v>67</v>
      </c>
      <c r="D8022" s="6" t="s">
        <v>41</v>
      </c>
      <c r="E8022" s="6" t="s">
        <v>786</v>
      </c>
      <c r="F8022" s="6" t="str">
        <f>IF($M8022="PADD I","PADD 1",IF($M8022="PADD II","PADD 2",IF($M8022="PADD III","PADD 3",IF($M8022="PADD IV","PADD 4",IF($M8022="PADD V","PADD 5","")))))</f>
        <v>PADD 1</v>
      </c>
      <c r="G8022" s="6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6" t="s">
        <v>39</v>
      </c>
      <c r="I8022" s="6" t="s">
        <v>1030</v>
      </c>
      <c r="J8022" s="6" t="s">
        <v>394</v>
      </c>
      <c r="K8022" s="10">
        <v>46.8</v>
      </c>
      <c r="L8022" s="10">
        <v>104</v>
      </c>
      <c r="M8022" s="6" t="s">
        <v>463</v>
      </c>
      <c r="N8022" s="6">
        <f>IF(OR($G8022="FCC",$G8022="Hydrocracker",$G8022="Reformer"),IF(COUNTIFS($D:$D,$D8022,$A:$A,$A8022,$B:$B,$B8022,$G:$G,"CDU",$J:$J,"PLANNED")&gt;0,"tied","standalone"),"")</f>
        <v/>
      </c>
    </row>
    <row r="8023" spans="1:14">
      <c r="A8023" s="6">
        <v>2026</v>
      </c>
      <c r="B8023" s="6">
        <v>8</v>
      </c>
      <c r="C8023" s="6" t="s">
        <v>67</v>
      </c>
      <c r="D8023" s="6" t="s">
        <v>41</v>
      </c>
      <c r="E8023" s="6" t="s">
        <v>786</v>
      </c>
      <c r="F8023" s="6" t="str">
        <f>IF($M8023="PADD I","PADD 1",IF($M8023="PADD II","PADD 2",IF($M8023="PADD III","PADD 3",IF($M8023="PADD IV","PADD 4",IF($M8023="PADD V","PADD 5","")))))</f>
        <v>PADD 1</v>
      </c>
      <c r="G8023" s="6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6" t="s">
        <v>39</v>
      </c>
      <c r="I8023" s="6" t="s">
        <v>1039</v>
      </c>
      <c r="J8023" s="6" t="s">
        <v>394</v>
      </c>
      <c r="K8023" s="10">
        <v>46.8</v>
      </c>
      <c r="L8023" s="10">
        <v>104</v>
      </c>
      <c r="M8023" s="6" t="s">
        <v>463</v>
      </c>
      <c r="N8023" s="6">
        <f>IF(OR($G8023="FCC",$G8023="Hydrocracker",$G8023="Reformer"),IF(COUNTIFS($D:$D,$D8023,$A:$A,$A8023,$B:$B,$B8023,$G:$G,"CDU",$J:$J,"PLANNED")&gt;0,"tied","standalone"),"")</f>
        <v/>
      </c>
    </row>
    <row r="8024" spans="1:14">
      <c r="A8024" s="6">
        <v>2026</v>
      </c>
      <c r="B8024" s="6">
        <v>8</v>
      </c>
      <c r="C8024" s="6" t="s">
        <v>67</v>
      </c>
      <c r="D8024" s="6" t="s">
        <v>505</v>
      </c>
      <c r="E8024" s="6" t="s">
        <v>455</v>
      </c>
      <c r="F8024" s="6" t="str">
        <f>IF($M8024="PADD I","PADD 1",IF($M8024="PADD II","PADD 2",IF($M8024="PADD III","PADD 3",IF($M8024="PADD IV","PADD 4",IF($M8024="PADD V","PADD 5","")))))</f>
        <v>PADD 3</v>
      </c>
      <c r="G8024" s="6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6" t="s">
        <v>494</v>
      </c>
      <c r="I8024" s="6" t="s">
        <v>506</v>
      </c>
      <c r="J8024" s="6" t="s">
        <v>398</v>
      </c>
      <c r="K8024" s="10">
        <v>36</v>
      </c>
      <c r="L8024" s="10">
        <v>75</v>
      </c>
      <c r="M8024" s="6" t="s">
        <v>421</v>
      </c>
      <c r="N8024" s="6" t="str">
        <f>IF(OR($G8024="FCC",$G8024="Hydrocracker",$G8024="Reformer"),IF(COUNTIFS($D:$D,$D8024,$A:$A,$A8024,$B:$B,$B8024,$G:$G,"CDU",$J:$J,"PLANNED")&gt;0,"tied","standalone"),"")</f>
        <v>standalone</v>
      </c>
    </row>
    <row r="8025" spans="1:14">
      <c r="A8025" s="6">
        <v>2026</v>
      </c>
      <c r="B8025" s="6">
        <v>8</v>
      </c>
      <c r="C8025" s="6" t="s">
        <v>67</v>
      </c>
      <c r="D8025" s="6" t="s">
        <v>1191</v>
      </c>
      <c r="E8025" s="6" t="s">
        <v>1129</v>
      </c>
      <c r="F8025" s="6" t="str">
        <f>IF($M8025="PADD I","PADD 1",IF($M8025="PADD II","PADD 2",IF($M8025="PADD III","PADD 3",IF($M8025="PADD IV","PADD 4",IF($M8025="PADD V","PADD 5","")))))</f>
        <v>PADD 3</v>
      </c>
      <c r="G8025" s="6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6" t="s">
        <v>39</v>
      </c>
      <c r="I8025" s="6" t="s">
        <v>136</v>
      </c>
      <c r="J8025" s="6" t="s">
        <v>398</v>
      </c>
      <c r="K8025" s="10">
        <v>32.4</v>
      </c>
      <c r="L8025" s="10">
        <v>40</v>
      </c>
      <c r="M8025" s="6" t="s">
        <v>421</v>
      </c>
      <c r="N8025" s="6">
        <f>IF(OR($G8025="FCC",$G8025="Hydrocracker",$G8025="Reformer"),IF(COUNTIFS($D:$D,$D8025,$A:$A,$A8025,$B:$B,$B8025,$G:$G,"CDU",$J:$J,"PLANNED")&gt;0,"tied","standalone"),"")</f>
        <v/>
      </c>
    </row>
    <row r="8026" spans="1:14">
      <c r="A8026" s="6">
        <v>2026</v>
      </c>
      <c r="B8026" s="6">
        <v>8</v>
      </c>
      <c r="C8026" s="6" t="s">
        <v>67</v>
      </c>
      <c r="D8026" s="6" t="s">
        <v>41</v>
      </c>
      <c r="E8026" s="6" t="s">
        <v>786</v>
      </c>
      <c r="F8026" s="6" t="str">
        <f>IF($M8026="PADD I","PADD 1",IF($M8026="PADD II","PADD 2",IF($M8026="PADD III","PADD 3",IF($M8026="PADD IV","PADD 4",IF($M8026="PADD V","PADD 5","")))))</f>
        <v>PADD 1</v>
      </c>
      <c r="G8026" s="6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6" t="s">
        <v>426</v>
      </c>
      <c r="I8026" s="6" t="s">
        <v>787</v>
      </c>
      <c r="J8026" s="6" t="s">
        <v>394</v>
      </c>
      <c r="K8026" s="10">
        <v>30.6</v>
      </c>
      <c r="L8026" s="10">
        <v>68</v>
      </c>
      <c r="M8026" s="6" t="s">
        <v>463</v>
      </c>
      <c r="N8026" s="6" t="str">
        <f>IF(OR($G8026="FCC",$G8026="Hydrocracker",$G8026="Reformer"),IF(COUNTIFS($D:$D,$D8026,$A:$A,$A8026,$B:$B,$B8026,$G:$G,"CDU",$J:$J,"PLANNED")&gt;0,"tied","standalone"),"")</f>
        <v>standalone</v>
      </c>
    </row>
    <row r="8027" spans="1:14">
      <c r="A8027" s="6">
        <v>2026</v>
      </c>
      <c r="B8027" s="6">
        <v>8</v>
      </c>
      <c r="C8027" s="6" t="s">
        <v>67</v>
      </c>
      <c r="D8027" s="6" t="s">
        <v>52</v>
      </c>
      <c r="E8027" s="6" t="s">
        <v>441</v>
      </c>
      <c r="F8027" s="6" t="str">
        <f>IF($M8027="PADD I","PADD 1",IF($M8027="PADD II","PADD 2",IF($M8027="PADD III","PADD 3",IF($M8027="PADD IV","PADD 4",IF($M8027="PADD V","PADD 5","")))))</f>
        <v>PADD 5</v>
      </c>
      <c r="G8027" s="6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6" t="s">
        <v>44</v>
      </c>
      <c r="I8027" s="6" t="s">
        <v>909</v>
      </c>
      <c r="J8027" s="6" t="s">
        <v>398</v>
      </c>
      <c r="K8027" s="10">
        <v>29.6</v>
      </c>
      <c r="L8027" s="10">
        <v>40</v>
      </c>
      <c r="M8027" s="6" t="s">
        <v>436</v>
      </c>
      <c r="N8027" s="6">
        <f>IF(OR($G8027="FCC",$G8027="Hydrocracker",$G8027="Reformer"),IF(COUNTIFS($D:$D,$D8027,$A:$A,$A8027,$B:$B,$B8027,$G:$G,"CDU",$J:$J,"PLANNED")&gt;0,"tied","standalone"),"")</f>
        <v/>
      </c>
    </row>
    <row r="8028" spans="1:14">
      <c r="A8028" s="6">
        <v>2026</v>
      </c>
      <c r="B8028" s="6">
        <v>8</v>
      </c>
      <c r="C8028" s="6" t="s">
        <v>67</v>
      </c>
      <c r="D8028" s="6" t="s">
        <v>41</v>
      </c>
      <c r="E8028" s="6" t="s">
        <v>786</v>
      </c>
      <c r="F8028" s="6" t="str">
        <f>IF($M8028="PADD I","PADD 1",IF($M8028="PADD II","PADD 2",IF($M8028="PADD III","PADD 3",IF($M8028="PADD IV","PADD 4",IF($M8028="PADD V","PADD 5","")))))</f>
        <v>PADD 1</v>
      </c>
      <c r="G8028" s="6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6" t="s">
        <v>44</v>
      </c>
      <c r="I8028" s="6" t="s">
        <v>1044</v>
      </c>
      <c r="J8028" s="6" t="s">
        <v>394</v>
      </c>
      <c r="K8028" s="10">
        <v>29.25</v>
      </c>
      <c r="L8028" s="10">
        <v>65</v>
      </c>
      <c r="M8028" s="6" t="s">
        <v>463</v>
      </c>
      <c r="N8028" s="6">
        <f>IF(OR($G8028="FCC",$G8028="Hydrocracker",$G8028="Reformer"),IF(COUNTIFS($D:$D,$D8028,$A:$A,$A8028,$B:$B,$B8028,$G:$G,"CDU",$J:$J,"PLANNED")&gt;0,"tied","standalone"),"")</f>
        <v/>
      </c>
    </row>
    <row r="8029" spans="1:14">
      <c r="A8029" s="6">
        <v>2026</v>
      </c>
      <c r="B8029" s="6">
        <v>8</v>
      </c>
      <c r="C8029" s="6" t="s">
        <v>67</v>
      </c>
      <c r="D8029" s="6" t="s">
        <v>41</v>
      </c>
      <c r="E8029" s="6" t="s">
        <v>786</v>
      </c>
      <c r="F8029" s="6" t="str">
        <f>IF($M8029="PADD I","PADD 1",IF($M8029="PADD II","PADD 2",IF($M8029="PADD III","PADD 3",IF($M8029="PADD IV","PADD 4",IF($M8029="PADD V","PADD 5","")))))</f>
        <v>PADD 1</v>
      </c>
      <c r="G8029" s="6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6" t="s">
        <v>44</v>
      </c>
      <c r="I8029" s="6" t="s">
        <v>543</v>
      </c>
      <c r="J8029" s="6" t="s">
        <v>394</v>
      </c>
      <c r="K8029" s="10">
        <v>27</v>
      </c>
      <c r="L8029" s="10">
        <v>60</v>
      </c>
      <c r="M8029" s="6" t="s">
        <v>463</v>
      </c>
      <c r="N8029" s="6">
        <f>IF(OR($G8029="FCC",$G8029="Hydrocracker",$G8029="Reformer"),IF(COUNTIFS($D:$D,$D8029,$A:$A,$A8029,$B:$B,$B8029,$G:$G,"CDU",$J:$J,"PLANNED")&gt;0,"tied","standalone"),"")</f>
        <v/>
      </c>
    </row>
    <row r="8030" spans="1:14">
      <c r="A8030" s="6">
        <v>2026</v>
      </c>
      <c r="B8030" s="6">
        <v>8</v>
      </c>
      <c r="C8030" s="6" t="s">
        <v>67</v>
      </c>
      <c r="D8030" s="6" t="s">
        <v>41</v>
      </c>
      <c r="E8030" s="6" t="s">
        <v>786</v>
      </c>
      <c r="F8030" s="6" t="str">
        <f>IF($M8030="PADD I","PADD 1",IF($M8030="PADD II","PADD 2",IF($M8030="PADD III","PADD 3",IF($M8030="PADD IV","PADD 4",IF($M8030="PADD V","PADD 5","")))))</f>
        <v>PADD 1</v>
      </c>
      <c r="G8030" s="6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6" t="s">
        <v>471</v>
      </c>
      <c r="I8030" s="6" t="s">
        <v>832</v>
      </c>
      <c r="J8030" s="6" t="s">
        <v>394</v>
      </c>
      <c r="K8030" s="10">
        <v>27</v>
      </c>
      <c r="L8030" s="10">
        <v>60</v>
      </c>
      <c r="M8030" s="6" t="s">
        <v>463</v>
      </c>
      <c r="N8030" s="6" t="str">
        <f>IF(OR($G8030="FCC",$G8030="Hydrocracker",$G8030="Reformer"),IF(COUNTIFS($D:$D,$D8030,$A:$A,$A8030,$B:$B,$B8030,$G:$G,"CDU",$J:$J,"PLANNED")&gt;0,"tied","standalone"),"")</f>
        <v>standalone</v>
      </c>
    </row>
    <row r="8031" spans="1:14">
      <c r="A8031" s="6">
        <v>2026</v>
      </c>
      <c r="B8031" s="6">
        <v>8</v>
      </c>
      <c r="C8031" s="6" t="s">
        <v>67</v>
      </c>
      <c r="D8031" s="6" t="s">
        <v>1191</v>
      </c>
      <c r="E8031" s="6" t="s">
        <v>1129</v>
      </c>
      <c r="F8031" s="6" t="str">
        <f>IF($M8031="PADD I","PADD 1",IF($M8031="PADD II","PADD 2",IF($M8031="PADD III","PADD 3",IF($M8031="PADD IV","PADD 4",IF($M8031="PADD V","PADD 5","")))))</f>
        <v>PADD 3</v>
      </c>
      <c r="G8031" s="6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6" t="s">
        <v>44</v>
      </c>
      <c r="I8031" s="6" t="s">
        <v>1430</v>
      </c>
      <c r="J8031" s="6" t="s">
        <v>398</v>
      </c>
      <c r="K8031" s="10">
        <v>24.3</v>
      </c>
      <c r="L8031" s="10">
        <v>30</v>
      </c>
      <c r="M8031" s="6" t="s">
        <v>421</v>
      </c>
      <c r="N8031" s="6">
        <f>IF(OR($G8031="FCC",$G8031="Hydrocracker",$G8031="Reformer"),IF(COUNTIFS($D:$D,$D8031,$A:$A,$A8031,$B:$B,$B8031,$G:$G,"CDU",$J:$J,"PLANNED")&gt;0,"tied","standalone"),"")</f>
        <v/>
      </c>
    </row>
    <row r="8032" spans="1:14">
      <c r="A8032" s="6">
        <v>2026</v>
      </c>
      <c r="B8032" s="6">
        <v>8</v>
      </c>
      <c r="C8032" s="6" t="s">
        <v>67</v>
      </c>
      <c r="D8032" s="6" t="s">
        <v>445</v>
      </c>
      <c r="E8032" s="6" t="s">
        <v>446</v>
      </c>
      <c r="F8032" s="6" t="str">
        <f>IF($M8032="PADD I","PADD 1",IF($M8032="PADD II","PADD 2",IF($M8032="PADD III","PADD 3",IF($M8032="PADD IV","PADD 4",IF($M8032="PADD V","PADD 5","")))))</f>
        <v>PADD 3</v>
      </c>
      <c r="G8032" s="6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6" t="s">
        <v>44</v>
      </c>
      <c r="I8032" s="6" t="s">
        <v>595</v>
      </c>
      <c r="J8032" s="6" t="s">
        <v>398</v>
      </c>
      <c r="K8032" s="10">
        <v>20.64</v>
      </c>
      <c r="L8032" s="10">
        <v>43</v>
      </c>
      <c r="M8032" s="6" t="s">
        <v>421</v>
      </c>
      <c r="N8032" s="6">
        <f>IF(OR($G8032="FCC",$G8032="Hydrocracker",$G8032="Reformer"),IF(COUNTIFS($D:$D,$D8032,$A:$A,$A8032,$B:$B,$B8032,$G:$G,"CDU",$J:$J,"PLANNED")&gt;0,"tied","standalone"),"")</f>
        <v/>
      </c>
    </row>
    <row r="8033" spans="1:14">
      <c r="A8033" s="6">
        <v>2026</v>
      </c>
      <c r="B8033" s="6">
        <v>8</v>
      </c>
      <c r="C8033" s="6" t="s">
        <v>67</v>
      </c>
      <c r="D8033" s="6" t="s">
        <v>764</v>
      </c>
      <c r="E8033" s="6" t="s">
        <v>455</v>
      </c>
      <c r="F8033" s="6" t="str">
        <f>IF($M8033="PADD I","PADD 1",IF($M8033="PADD II","PADD 2",IF($M8033="PADD III","PADD 3",IF($M8033="PADD IV","PADD 4",IF($M8033="PADD V","PADD 5","")))))</f>
        <v>PADD 3</v>
      </c>
      <c r="G8033" s="6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6" t="s">
        <v>494</v>
      </c>
      <c r="I8033" s="6" t="s">
        <v>14</v>
      </c>
      <c r="J8033" s="6" t="s">
        <v>398</v>
      </c>
      <c r="K8033" s="10">
        <v>17.4</v>
      </c>
      <c r="L8033" s="10">
        <v>30</v>
      </c>
      <c r="M8033" s="6" t="s">
        <v>421</v>
      </c>
      <c r="N8033" s="6" t="str">
        <f>IF(OR($G8033="FCC",$G8033="Hydrocracker",$G8033="Reformer"),IF(COUNTIFS($D:$D,$D8033,$A:$A,$A8033,$B:$B,$B8033,$G:$G,"CDU",$J:$J,"PLANNED")&gt;0,"tied","standalone"),"")</f>
        <v>standalone</v>
      </c>
    </row>
    <row r="8034" spans="1:14">
      <c r="A8034" s="6">
        <v>2026</v>
      </c>
      <c r="B8034" s="6">
        <v>8</v>
      </c>
      <c r="C8034" s="6" t="s">
        <v>67</v>
      </c>
      <c r="D8034" s="6" t="s">
        <v>1191</v>
      </c>
      <c r="E8034" s="6" t="s">
        <v>1129</v>
      </c>
      <c r="F8034" s="6" t="str">
        <f>IF($M8034="PADD I","PADD 1",IF($M8034="PADD II","PADD 2",IF($M8034="PADD III","PADD 3",IF($M8034="PADD IV","PADD 4",IF($M8034="PADD V","PADD 5","")))))</f>
        <v>PADD 3</v>
      </c>
      <c r="G8034" s="6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6" t="s">
        <v>428</v>
      </c>
      <c r="I8034" s="6" t="s">
        <v>481</v>
      </c>
      <c r="J8034" s="6" t="s">
        <v>398</v>
      </c>
      <c r="K8034" s="10">
        <v>14.58</v>
      </c>
      <c r="L8034" s="10">
        <v>18</v>
      </c>
      <c r="M8034" s="6" t="s">
        <v>421</v>
      </c>
      <c r="N8034" s="6">
        <f>IF(OR($G8034="FCC",$G8034="Hydrocracker",$G8034="Reformer"),IF(COUNTIFS($D:$D,$D8034,$A:$A,$A8034,$B:$B,$B8034,$G:$G,"CDU",$J:$J,"PLANNED")&gt;0,"tied","standalone"),"")</f>
        <v/>
      </c>
    </row>
    <row r="8035" spans="1:14">
      <c r="A8035" s="6">
        <v>2026</v>
      </c>
      <c r="B8035" s="6">
        <v>8</v>
      </c>
      <c r="C8035" s="6" t="s">
        <v>67</v>
      </c>
      <c r="D8035" s="6" t="s">
        <v>41</v>
      </c>
      <c r="E8035" s="6" t="s">
        <v>786</v>
      </c>
      <c r="F8035" s="6" t="str">
        <f>IF($M8035="PADD I","PADD 1",IF($M8035="PADD II","PADD 2",IF($M8035="PADD III","PADD 3",IF($M8035="PADD IV","PADD 4",IF($M8035="PADD V","PADD 5","")))))</f>
        <v>PADD 1</v>
      </c>
      <c r="G8035" s="6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6" t="s">
        <v>44</v>
      </c>
      <c r="I8035" s="6" t="s">
        <v>1064</v>
      </c>
      <c r="J8035" s="6" t="s">
        <v>394</v>
      </c>
      <c r="K8035" s="10">
        <v>12.6</v>
      </c>
      <c r="L8035" s="10">
        <v>28</v>
      </c>
      <c r="M8035" s="6" t="s">
        <v>463</v>
      </c>
      <c r="N8035" s="6">
        <f>IF(OR($G8035="FCC",$G8035="Hydrocracker",$G8035="Reformer"),IF(COUNTIFS($D:$D,$D8035,$A:$A,$A8035,$B:$B,$B8035,$G:$G,"CDU",$J:$J,"PLANNED")&gt;0,"tied","standalone"),"")</f>
        <v/>
      </c>
    </row>
    <row r="8036" spans="1:14">
      <c r="A8036" s="6">
        <v>2026</v>
      </c>
      <c r="B8036" s="6">
        <v>8</v>
      </c>
      <c r="C8036" s="6" t="s">
        <v>67</v>
      </c>
      <c r="D8036" s="6" t="s">
        <v>41</v>
      </c>
      <c r="E8036" s="6" t="s">
        <v>786</v>
      </c>
      <c r="F8036" s="6" t="str">
        <f>IF($M8036="PADD I","PADD 1",IF($M8036="PADD II","PADD 2",IF($M8036="PADD III","PADD 3",IF($M8036="PADD IV","PADD 4",IF($M8036="PADD V","PADD 5","")))))</f>
        <v>PADD 1</v>
      </c>
      <c r="G8036" s="6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6" t="s">
        <v>44</v>
      </c>
      <c r="I8036" s="6" t="s">
        <v>1061</v>
      </c>
      <c r="J8036" s="6" t="s">
        <v>394</v>
      </c>
      <c r="K8036" s="10">
        <v>11.7</v>
      </c>
      <c r="L8036" s="10">
        <v>26</v>
      </c>
      <c r="M8036" s="6" t="s">
        <v>463</v>
      </c>
      <c r="N8036" s="6">
        <f>IF(OR($G8036="FCC",$G8036="Hydrocracker",$G8036="Reformer"),IF(COUNTIFS($D:$D,$D8036,$A:$A,$A8036,$B:$B,$B8036,$G:$G,"CDU",$J:$J,"PLANNED")&gt;0,"tied","standalone"),"")</f>
        <v/>
      </c>
    </row>
    <row r="8037" spans="1:14">
      <c r="A8037" s="6">
        <v>2026</v>
      </c>
      <c r="B8037" s="6">
        <v>8</v>
      </c>
      <c r="C8037" s="6" t="s">
        <v>67</v>
      </c>
      <c r="D8037" s="6" t="s">
        <v>41</v>
      </c>
      <c r="E8037" s="6" t="s">
        <v>786</v>
      </c>
      <c r="F8037" s="6" t="str">
        <f>IF($M8037="PADD I","PADD 1",IF($M8037="PADD II","PADD 2",IF($M8037="PADD III","PADD 3",IF($M8037="PADD IV","PADD 4",IF($M8037="PADD V","PADD 5","")))))</f>
        <v>PADD 1</v>
      </c>
      <c r="G8037" s="6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6" t="s">
        <v>428</v>
      </c>
      <c r="I8037" s="6" t="s">
        <v>1013</v>
      </c>
      <c r="J8037" s="6" t="s">
        <v>394</v>
      </c>
      <c r="K8037" s="10">
        <v>10.9485</v>
      </c>
      <c r="L8037" s="10">
        <v>24.33</v>
      </c>
      <c r="M8037" s="6" t="s">
        <v>463</v>
      </c>
      <c r="N8037" s="6">
        <f>IF(OR($G8037="FCC",$G8037="Hydrocracker",$G8037="Reformer"),IF(COUNTIFS($D:$D,$D8037,$A:$A,$A8037,$B:$B,$B8037,$G:$G,"CDU",$J:$J,"PLANNED")&gt;0,"tied","standalone"),"")</f>
        <v/>
      </c>
    </row>
    <row r="8038" spans="1:14">
      <c r="A8038" s="6">
        <v>2026</v>
      </c>
      <c r="B8038" s="6">
        <v>8</v>
      </c>
      <c r="C8038" s="6" t="s">
        <v>67</v>
      </c>
      <c r="D8038" s="6" t="s">
        <v>41</v>
      </c>
      <c r="E8038" s="6" t="s">
        <v>786</v>
      </c>
      <c r="F8038" s="6" t="str">
        <f>IF($M8038="PADD I","PADD 1",IF($M8038="PADD II","PADD 2",IF($M8038="PADD III","PADD 3",IF($M8038="PADD IV","PADD 4",IF($M8038="PADD V","PADD 5","")))))</f>
        <v>PADD 1</v>
      </c>
      <c r="G8038" s="6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6" t="s">
        <v>428</v>
      </c>
      <c r="I8038" s="6" t="s">
        <v>1059</v>
      </c>
      <c r="J8038" s="6" t="s">
        <v>394</v>
      </c>
      <c r="K8038" s="10">
        <v>10.9485</v>
      </c>
      <c r="L8038" s="10">
        <v>24.33</v>
      </c>
      <c r="M8038" s="6" t="s">
        <v>463</v>
      </c>
      <c r="N8038" s="6">
        <f>IF(OR($G8038="FCC",$G8038="Hydrocracker",$G8038="Reformer"),IF(COUNTIFS($D:$D,$D8038,$A:$A,$A8038,$B:$B,$B8038,$G:$G,"CDU",$J:$J,"PLANNED")&gt;0,"tied","standalone"),"")</f>
        <v/>
      </c>
    </row>
    <row r="8039" spans="1:14">
      <c r="A8039" s="6">
        <v>2026</v>
      </c>
      <c r="B8039" s="6">
        <v>8</v>
      </c>
      <c r="C8039" s="6" t="s">
        <v>67</v>
      </c>
      <c r="D8039" s="6" t="s">
        <v>41</v>
      </c>
      <c r="E8039" s="6" t="s">
        <v>786</v>
      </c>
      <c r="F8039" s="6" t="str">
        <f>IF($M8039="PADD I","PADD 1",IF($M8039="PADD II","PADD 2",IF($M8039="PADD III","PADD 3",IF($M8039="PADD IV","PADD 4",IF($M8039="PADD V","PADD 5","")))))</f>
        <v>PADD 1</v>
      </c>
      <c r="G8039" s="6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6" t="s">
        <v>428</v>
      </c>
      <c r="I8039" s="6" t="s">
        <v>1060</v>
      </c>
      <c r="J8039" s="6" t="s">
        <v>394</v>
      </c>
      <c r="K8039" s="10">
        <v>10.9485</v>
      </c>
      <c r="L8039" s="10">
        <v>24.33</v>
      </c>
      <c r="M8039" s="6" t="s">
        <v>463</v>
      </c>
      <c r="N8039" s="6">
        <f>IF(OR($G8039="FCC",$G8039="Hydrocracker",$G8039="Reformer"),IF(COUNTIFS($D:$D,$D8039,$A:$A,$A8039,$B:$B,$B8039,$G:$G,"CDU",$J:$J,"PLANNED")&gt;0,"tied","standalone"),"")</f>
        <v/>
      </c>
    </row>
    <row r="8040" spans="1:14">
      <c r="A8040" s="6">
        <v>2026</v>
      </c>
      <c r="B8040" s="6">
        <v>8</v>
      </c>
      <c r="C8040" s="6" t="s">
        <v>67</v>
      </c>
      <c r="D8040" s="6" t="s">
        <v>41</v>
      </c>
      <c r="E8040" s="6" t="s">
        <v>786</v>
      </c>
      <c r="F8040" s="6" t="str">
        <f>IF($M8040="PADD I","PADD 1",IF($M8040="PADD II","PADD 2",IF($M8040="PADD III","PADD 3",IF($M8040="PADD IV","PADD 4",IF($M8040="PADD V","PADD 5","")))))</f>
        <v>PADD 1</v>
      </c>
      <c r="G8040" s="6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6" t="s">
        <v>494</v>
      </c>
      <c r="I8040" s="6" t="s">
        <v>495</v>
      </c>
      <c r="J8040" s="6" t="s">
        <v>394</v>
      </c>
      <c r="K8040" s="10">
        <v>10.8</v>
      </c>
      <c r="L8040" s="10">
        <v>24</v>
      </c>
      <c r="M8040" s="6" t="s">
        <v>463</v>
      </c>
      <c r="N8040" s="6" t="str">
        <f>IF(OR($G8040="FCC",$G8040="Hydrocracker",$G8040="Reformer"),IF(COUNTIFS($D:$D,$D8040,$A:$A,$A8040,$B:$B,$B8040,$G:$G,"CDU",$J:$J,"PLANNED")&gt;0,"tied","standalone"),"")</f>
        <v>standalone</v>
      </c>
    </row>
    <row r="8041" spans="1:14">
      <c r="A8041" s="6">
        <v>2026</v>
      </c>
      <c r="B8041" s="6">
        <v>8</v>
      </c>
      <c r="C8041" s="6" t="s">
        <v>67</v>
      </c>
      <c r="D8041" s="6" t="s">
        <v>378</v>
      </c>
      <c r="E8041" s="6" t="s">
        <v>477</v>
      </c>
      <c r="F8041" s="6" t="str">
        <f>IF($M8041="PADD I","PADD 1",IF($M8041="PADD II","PADD 2",IF($M8041="PADD III","PADD 3",IF($M8041="PADD IV","PADD 4",IF($M8041="PADD V","PADD 5","")))))</f>
        <v>PADD 3</v>
      </c>
      <c r="G8041" s="6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6" t="s">
        <v>471</v>
      </c>
      <c r="I8041" s="6" t="s">
        <v>1212</v>
      </c>
      <c r="J8041" s="6" t="s">
        <v>394</v>
      </c>
      <c r="K8041" s="10">
        <v>8.4</v>
      </c>
      <c r="L8041" s="10">
        <v>17.5</v>
      </c>
      <c r="M8041" s="6" t="s">
        <v>421</v>
      </c>
      <c r="N8041" s="6" t="str">
        <f>IF(OR($G8041="FCC",$G8041="Hydrocracker",$G8041="Reformer"),IF(COUNTIFS($D:$D,$D8041,$A:$A,$A8041,$B:$B,$B8041,$G:$G,"CDU",$J:$J,"PLANNED")&gt;0,"tied","standalone"),"")</f>
        <v>standalone</v>
      </c>
    </row>
    <row r="8042" spans="1:14">
      <c r="A8042" s="6">
        <v>2026</v>
      </c>
      <c r="B8042" s="6">
        <v>8</v>
      </c>
      <c r="C8042" s="6" t="s">
        <v>67</v>
      </c>
      <c r="D8042" s="6" t="s">
        <v>41</v>
      </c>
      <c r="E8042" s="6" t="s">
        <v>786</v>
      </c>
      <c r="F8042" s="6" t="str">
        <f>IF($M8042="PADD I","PADD 1",IF($M8042="PADD II","PADD 2",IF($M8042="PADD III","PADD 3",IF($M8042="PADD IV","PADD 4",IF($M8042="PADD V","PADD 5","")))))</f>
        <v>PADD 1</v>
      </c>
      <c r="G8042" s="6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6" t="s">
        <v>687</v>
      </c>
      <c r="I8042" s="6" t="s">
        <v>1069</v>
      </c>
      <c r="J8042" s="6" t="s">
        <v>394</v>
      </c>
      <c r="K8042" s="10">
        <v>6.3</v>
      </c>
      <c r="L8042" s="10">
        <v>14</v>
      </c>
      <c r="M8042" s="6" t="s">
        <v>463</v>
      </c>
      <c r="N8042" s="6">
        <f>IF(OR($G8042="FCC",$G8042="Hydrocracker",$G8042="Reformer"),IF(COUNTIFS($D:$D,$D8042,$A:$A,$A8042,$B:$B,$B8042,$G:$G,"CDU",$J:$J,"PLANNED")&gt;0,"tied","standalone"),"")</f>
        <v/>
      </c>
    </row>
    <row r="8043" spans="1:14">
      <c r="A8043" s="6">
        <v>2026</v>
      </c>
      <c r="B8043" s="6">
        <v>8</v>
      </c>
      <c r="C8043" s="6" t="s">
        <v>67</v>
      </c>
      <c r="D8043" s="6" t="s">
        <v>1191</v>
      </c>
      <c r="E8043" s="6" t="s">
        <v>1129</v>
      </c>
      <c r="F8043" s="6" t="str">
        <f>IF($M8043="PADD I","PADD 1",IF($M8043="PADD II","PADD 2",IF($M8043="PADD III","PADD 3",IF($M8043="PADD IV","PADD 4",IF($M8043="PADD V","PADD 5","")))))</f>
        <v>PADD 3</v>
      </c>
      <c r="G8043" s="6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6" t="s">
        <v>471</v>
      </c>
      <c r="I8043" s="6" t="s">
        <v>607</v>
      </c>
      <c r="J8043" s="6" t="s">
        <v>398</v>
      </c>
      <c r="K8043" s="10">
        <v>5.67</v>
      </c>
      <c r="L8043" s="10">
        <v>7</v>
      </c>
      <c r="M8043" s="6" t="s">
        <v>421</v>
      </c>
      <c r="N8043" s="6" t="str">
        <f>IF(OR($G8043="FCC",$G8043="Hydrocracker",$G8043="Reformer"),IF(COUNTIFS($D:$D,$D8043,$A:$A,$A8043,$B:$B,$B8043,$G:$G,"CDU",$J:$J,"PLANNED")&gt;0,"tied","standalone"),"")</f>
        <v>tied</v>
      </c>
    </row>
    <row r="8044" spans="1:14">
      <c r="A8044" s="6">
        <v>2026</v>
      </c>
      <c r="B8044" s="6">
        <v>8</v>
      </c>
      <c r="C8044" s="6" t="s">
        <v>67</v>
      </c>
      <c r="D8044" s="6" t="s">
        <v>373</v>
      </c>
      <c r="E8044" s="6" t="s">
        <v>438</v>
      </c>
      <c r="F8044" s="6" t="str">
        <f>IF($M8044="PADD I","PADD 1",IF($M8044="PADD II","PADD 2",IF($M8044="PADD III","PADD 3",IF($M8044="PADD IV","PADD 4",IF($M8044="PADD V","PADD 5","")))))</f>
        <v>PADD 3</v>
      </c>
      <c r="G8044" s="6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6" t="s">
        <v>44</v>
      </c>
      <c r="I8044" s="6" t="s">
        <v>743</v>
      </c>
      <c r="J8044" s="6" t="s">
        <v>398</v>
      </c>
      <c r="K8044" s="10">
        <v>5.59</v>
      </c>
      <c r="L8044" s="10">
        <v>43</v>
      </c>
      <c r="M8044" s="6" t="s">
        <v>421</v>
      </c>
      <c r="N8044" s="6">
        <f>IF(OR($G8044="FCC",$G8044="Hydrocracker",$G8044="Reformer"),IF(COUNTIFS($D:$D,$D8044,$A:$A,$A8044,$B:$B,$B8044,$G:$G,"CDU",$J:$J,"PLANNED")&gt;0,"tied","standalone"),"")</f>
        <v/>
      </c>
    </row>
    <row r="8045" spans="1:14">
      <c r="A8045" s="6">
        <v>2026</v>
      </c>
      <c r="B8045" s="6">
        <v>8</v>
      </c>
      <c r="C8045" s="6" t="s">
        <v>67</v>
      </c>
      <c r="D8045" s="6" t="s">
        <v>375</v>
      </c>
      <c r="E8045" s="6" t="s">
        <v>435</v>
      </c>
      <c r="F8045" s="6" t="str">
        <f>IF($M8045="PADD I","PADD 1",IF($M8045="PADD II","PADD 2",IF($M8045="PADD III","PADD 3",IF($M8045="PADD IV","PADD 4",IF($M8045="PADD V","PADD 5","")))))</f>
        <v>PADD 5</v>
      </c>
      <c r="G8045" s="6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6" t="s">
        <v>494</v>
      </c>
      <c r="I8045" s="6" t="s">
        <v>548</v>
      </c>
      <c r="J8045" s="6" t="s">
        <v>398</v>
      </c>
      <c r="K8045" s="10">
        <v>5.46</v>
      </c>
      <c r="L8045" s="10">
        <v>42</v>
      </c>
      <c r="M8045" s="6" t="s">
        <v>436</v>
      </c>
      <c r="N8045" s="6" t="str">
        <f>IF(OR($G8045="FCC",$G8045="Hydrocracker",$G8045="Reformer"),IF(COUNTIFS($D:$D,$D8045,$A:$A,$A8045,$B:$B,$B8045,$G:$G,"CDU",$J:$J,"PLANNED")&gt;0,"tied","standalone"),"")</f>
        <v>standalone</v>
      </c>
    </row>
    <row r="8046" spans="1:14">
      <c r="A8046" s="6">
        <v>2026</v>
      </c>
      <c r="B8046" s="6">
        <v>8</v>
      </c>
      <c r="C8046" s="6" t="s">
        <v>67</v>
      </c>
      <c r="D8046" s="6" t="s">
        <v>41</v>
      </c>
      <c r="E8046" s="6" t="s">
        <v>786</v>
      </c>
      <c r="F8046" s="6" t="str">
        <f>IF($M8046="PADD I","PADD 1",IF($M8046="PADD II","PADD 2",IF($M8046="PADD III","PADD 3",IF($M8046="PADD IV","PADD 4",IF($M8046="PADD V","PADD 5","")))))</f>
        <v>PADD 1</v>
      </c>
      <c r="G8046" s="6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6" t="s">
        <v>510</v>
      </c>
      <c r="I8046" s="6" t="s">
        <v>810</v>
      </c>
      <c r="J8046" s="6" t="s">
        <v>394</v>
      </c>
      <c r="K8046" s="10">
        <v>5.4</v>
      </c>
      <c r="L8046" s="10">
        <v>12</v>
      </c>
      <c r="M8046" s="6" t="s">
        <v>463</v>
      </c>
      <c r="N8046" s="6">
        <f>IF(OR($G8046="FCC",$G8046="Hydrocracker",$G8046="Reformer"),IF(COUNTIFS($D:$D,$D8046,$A:$A,$A8046,$B:$B,$B8046,$G:$G,"CDU",$J:$J,"PLANNED")&gt;0,"tied","standalone"),"")</f>
        <v/>
      </c>
    </row>
    <row r="8047" spans="1:14">
      <c r="A8047" s="6">
        <v>2026</v>
      </c>
      <c r="B8047" s="6">
        <v>8</v>
      </c>
      <c r="C8047" s="6" t="s">
        <v>67</v>
      </c>
      <c r="D8047" s="6" t="s">
        <v>41</v>
      </c>
      <c r="E8047" s="6" t="s">
        <v>786</v>
      </c>
      <c r="F8047" s="6" t="str">
        <f>IF($M8047="PADD I","PADD 1",IF($M8047="PADD II","PADD 2",IF($M8047="PADD III","PADD 3",IF($M8047="PADD IV","PADD 4",IF($M8047="PADD V","PADD 5","")))))</f>
        <v>PADD 1</v>
      </c>
      <c r="G8047" s="6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6" t="s">
        <v>44</v>
      </c>
      <c r="I8047" s="6" t="s">
        <v>1071</v>
      </c>
      <c r="J8047" s="6" t="s">
        <v>394</v>
      </c>
      <c r="K8047" s="10">
        <v>5.175</v>
      </c>
      <c r="L8047" s="10">
        <v>11.5</v>
      </c>
      <c r="M8047" s="6" t="s">
        <v>463</v>
      </c>
      <c r="N8047" s="6">
        <f>IF(OR($G8047="FCC",$G8047="Hydrocracker",$G8047="Reformer"),IF(COUNTIFS($D:$D,$D8047,$A:$A,$A8047,$B:$B,$B8047,$G:$G,"CDU",$J:$J,"PLANNED")&gt;0,"tied","standalone"),"")</f>
        <v/>
      </c>
    </row>
    <row r="8048" spans="1:14">
      <c r="A8048" s="6">
        <v>2026</v>
      </c>
      <c r="B8048" s="6">
        <v>8</v>
      </c>
      <c r="C8048" s="6" t="s">
        <v>67</v>
      </c>
      <c r="D8048" s="6" t="s">
        <v>375</v>
      </c>
      <c r="E8048" s="6" t="s">
        <v>435</v>
      </c>
      <c r="F8048" s="6" t="str">
        <f>IF($M8048="PADD I","PADD 1",IF($M8048="PADD II","PADD 2",IF($M8048="PADD III","PADD 3",IF($M8048="PADD IV","PADD 4",IF($M8048="PADD V","PADD 5","")))))</f>
        <v>PADD 5</v>
      </c>
      <c r="G8048" s="6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6" t="s">
        <v>471</v>
      </c>
      <c r="I8048" s="6" t="s">
        <v>15</v>
      </c>
      <c r="J8048" s="6" t="s">
        <v>398</v>
      </c>
      <c r="K8048" s="10">
        <v>3.835</v>
      </c>
      <c r="L8048" s="10">
        <v>29.5</v>
      </c>
      <c r="M8048" s="6" t="s">
        <v>436</v>
      </c>
      <c r="N8048" s="6" t="str">
        <f>IF(OR($G8048="FCC",$G8048="Hydrocracker",$G8048="Reformer"),IF(COUNTIFS($D:$D,$D8048,$A:$A,$A8048,$B:$B,$B8048,$G:$G,"CDU",$J:$J,"PLANNED")&gt;0,"tied","standalone"),"")</f>
        <v>standalone</v>
      </c>
    </row>
    <row r="8049" spans="1:14">
      <c r="A8049" s="6">
        <v>2026</v>
      </c>
      <c r="B8049" s="6">
        <v>8</v>
      </c>
      <c r="C8049" s="6" t="s">
        <v>67</v>
      </c>
      <c r="D8049" s="6" t="s">
        <v>792</v>
      </c>
      <c r="E8049" s="6" t="s">
        <v>438</v>
      </c>
      <c r="F8049" s="6" t="str">
        <f>IF($M8049="PADD I","PADD 1",IF($M8049="PADD II","PADD 2",IF($M8049="PADD III","PADD 3",IF($M8049="PADD IV","PADD 4",IF($M8049="PADD V","PADD 5","")))))</f>
        <v>PADD 5</v>
      </c>
      <c r="G8049" s="6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6" t="s">
        <v>618</v>
      </c>
      <c r="I8049" s="6" t="s">
        <v>818</v>
      </c>
      <c r="J8049" s="6" t="s">
        <v>398</v>
      </c>
      <c r="K8049" s="10">
        <v>3.5</v>
      </c>
      <c r="L8049" s="10">
        <v>3.5</v>
      </c>
      <c r="M8049" s="6" t="s">
        <v>436</v>
      </c>
      <c r="N8049" s="6">
        <f>IF(OR($G8049="FCC",$G8049="Hydrocracker",$G8049="Reformer"),IF(COUNTIFS($D:$D,$D8049,$A:$A,$A8049,$B:$B,$B8049,$G:$G,"CDU",$J:$J,"PLANNED")&gt;0,"tied","standalone"),"")</f>
        <v/>
      </c>
    </row>
    <row r="8050" spans="1:14">
      <c r="A8050" s="6">
        <v>2026</v>
      </c>
      <c r="B8050" s="6">
        <v>8</v>
      </c>
      <c r="C8050" s="6" t="s">
        <v>67</v>
      </c>
      <c r="D8050" s="6" t="s">
        <v>375</v>
      </c>
      <c r="E8050" s="6" t="s">
        <v>435</v>
      </c>
      <c r="F8050" s="6" t="str">
        <f>IF($M8050="PADD I","PADD 1",IF($M8050="PADD II","PADD 2",IF($M8050="PADD III","PADD 3",IF($M8050="PADD IV","PADD 4",IF($M8050="PADD V","PADD 5","")))))</f>
        <v>PADD 5</v>
      </c>
      <c r="G8050" s="6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6" t="s">
        <v>44</v>
      </c>
      <c r="I8050" s="6" t="s">
        <v>1233</v>
      </c>
      <c r="J8050" s="6" t="s">
        <v>398</v>
      </c>
      <c r="K8050" s="10">
        <v>3.38</v>
      </c>
      <c r="L8050" s="10">
        <v>26</v>
      </c>
      <c r="M8050" s="6" t="s">
        <v>436</v>
      </c>
      <c r="N8050" s="6">
        <f>IF(OR($G8050="FCC",$G8050="Hydrocracker",$G8050="Reformer"),IF(COUNTIFS($D:$D,$D8050,$A:$A,$A8050,$B:$B,$B8050,$G:$G,"CDU",$J:$J,"PLANNED")&gt;0,"tied","standalone"),"")</f>
        <v/>
      </c>
    </row>
    <row r="8051" spans="1:14">
      <c r="A8051" s="6">
        <v>2026</v>
      </c>
      <c r="B8051" s="6">
        <v>8</v>
      </c>
      <c r="C8051" s="6" t="s">
        <v>67</v>
      </c>
      <c r="D8051" s="6" t="s">
        <v>41</v>
      </c>
      <c r="E8051" s="6" t="s">
        <v>786</v>
      </c>
      <c r="F8051" s="6" t="str">
        <f>IF($M8051="PADD I","PADD 1",IF($M8051="PADD II","PADD 2",IF($M8051="PADD III","PADD 3",IF($M8051="PADD IV","PADD 4",IF($M8051="PADD V","PADD 5","")))))</f>
        <v>PADD 1</v>
      </c>
      <c r="G8051" s="6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6" t="s">
        <v>44</v>
      </c>
      <c r="I8051" s="6" t="s">
        <v>1079</v>
      </c>
      <c r="J8051" s="6" t="s">
        <v>394</v>
      </c>
      <c r="K8051" s="10">
        <v>1.89</v>
      </c>
      <c r="L8051" s="10">
        <v>4.2</v>
      </c>
      <c r="M8051" s="6" t="s">
        <v>463</v>
      </c>
      <c r="N8051" s="6">
        <f>IF(OR($G8051="FCC",$G8051="Hydrocracker",$G8051="Reformer"),IF(COUNTIFS($D:$D,$D8051,$A:$A,$A8051,$B:$B,$B8051,$G:$G,"CDU",$J:$J,"PLANNED")&gt;0,"tied","standalone"),"")</f>
        <v/>
      </c>
    </row>
    <row r="8052" spans="1:14">
      <c r="A8052" s="6">
        <v>2026</v>
      </c>
      <c r="B8052" s="6">
        <v>8</v>
      </c>
      <c r="C8052" s="6" t="s">
        <v>67</v>
      </c>
      <c r="D8052" s="6" t="s">
        <v>52</v>
      </c>
      <c r="E8052" s="6" t="s">
        <v>441</v>
      </c>
      <c r="F8052" s="6" t="str">
        <f>IF($M8052="PADD I","PADD 1",IF($M8052="PADD II","PADD 2",IF($M8052="PADD III","PADD 3",IF($M8052="PADD IV","PADD 4",IF($M8052="PADD V","PADD 5","")))))</f>
        <v>PADD 5</v>
      </c>
      <c r="G8052" s="6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6" t="s">
        <v>44</v>
      </c>
      <c r="I8052" s="6" t="s">
        <v>1257</v>
      </c>
      <c r="J8052" s="6" t="s">
        <v>398</v>
      </c>
      <c r="K8052" s="10">
        <v>1.56</v>
      </c>
      <c r="L8052" s="10">
        <v>12</v>
      </c>
      <c r="M8052" s="6" t="s">
        <v>436</v>
      </c>
      <c r="N8052" s="6">
        <f>IF(OR($G8052="FCC",$G8052="Hydrocracker",$G8052="Reformer"),IF(COUNTIFS($D:$D,$D8052,$A:$A,$A8052,$B:$B,$B8052,$G:$G,"CDU",$J:$J,"PLANNED")&gt;0,"tied","standalone"),"")</f>
        <v/>
      </c>
    </row>
    <row r="8053" spans="1:14">
      <c r="A8053" s="6">
        <v>2026</v>
      </c>
      <c r="B8053" s="6">
        <v>8</v>
      </c>
      <c r="C8053" s="6" t="s">
        <v>67</v>
      </c>
      <c r="D8053" s="6" t="s">
        <v>375</v>
      </c>
      <c r="E8053" s="6" t="s">
        <v>435</v>
      </c>
      <c r="F8053" s="6" t="str">
        <f>IF($M8053="PADD I","PADD 1",IF($M8053="PADD II","PADD 2",IF($M8053="PADD III","PADD 3",IF($M8053="PADD IV","PADD 4",IF($M8053="PADD V","PADD 5","")))))</f>
        <v>PADD 5</v>
      </c>
      <c r="G8053" s="6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6" t="s">
        <v>618</v>
      </c>
      <c r="I8053" s="6" t="s">
        <v>654</v>
      </c>
      <c r="J8053" s="6" t="s">
        <v>398</v>
      </c>
      <c r="K8053" s="10">
        <v>0.195</v>
      </c>
      <c r="L8053" s="10">
        <v>1.5</v>
      </c>
      <c r="M8053" s="6" t="s">
        <v>436</v>
      </c>
      <c r="N8053" s="6">
        <f>IF(OR($G8053="FCC",$G8053="Hydrocracker",$G8053="Reformer"),IF(COUNTIFS($D:$D,$D8053,$A:$A,$A8053,$B:$B,$B8053,$G:$G,"CDU",$J:$J,"PLANNED")&gt;0,"tied","standalone"),"")</f>
        <v/>
      </c>
    </row>
    <row r="8054" spans="1:14">
      <c r="A8054" s="6">
        <v>2026</v>
      </c>
      <c r="B8054" s="6">
        <v>9</v>
      </c>
      <c r="C8054" s="6" t="s">
        <v>68</v>
      </c>
      <c r="D8054" s="6" t="s">
        <v>378</v>
      </c>
      <c r="E8054" s="6" t="s">
        <v>477</v>
      </c>
      <c r="F8054" s="6" t="str">
        <f>IF($M8054="PADD I","PADD 1",IF($M8054="PADD II","PADD 2",IF($M8054="PADD III","PADD 3",IF($M8054="PADD IV","PADD 4",IF($M8054="PADD V","PADD 5","")))))</f>
        <v>PADD 3</v>
      </c>
      <c r="G8054" s="6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6" t="s">
        <v>39</v>
      </c>
      <c r="I8054" s="6" t="s">
        <v>379</v>
      </c>
      <c r="J8054" s="6" t="s">
        <v>398</v>
      </c>
      <c r="K8054" s="10">
        <v>96</v>
      </c>
      <c r="L8054" s="10">
        <v>96</v>
      </c>
      <c r="M8054" s="6" t="s">
        <v>421</v>
      </c>
      <c r="N8054" s="6">
        <f>IF(OR($G8054="FCC",$G8054="Hydrocracker",$G8054="Reformer"),IF(COUNTIFS($D:$D,$D8054,$A:$A,$A8054,$B:$B,$B8054,$G:$G,"CDU",$J:$J,"PLANNED")&gt;0,"tied","standalone"),"")</f>
        <v/>
      </c>
    </row>
    <row r="8055" spans="1:14">
      <c r="A8055" s="6">
        <v>2026</v>
      </c>
      <c r="B8055" s="6">
        <v>9</v>
      </c>
      <c r="C8055" s="6" t="s">
        <v>68</v>
      </c>
      <c r="D8055" s="6" t="s">
        <v>465</v>
      </c>
      <c r="E8055" s="6" t="s">
        <v>466</v>
      </c>
      <c r="F8055" s="6" t="str">
        <f>IF($M8055="PADD I","PADD 1",IF($M8055="PADD II","PADD 2",IF($M8055="PADD III","PADD 3",IF($M8055="PADD IV","PADD 4",IF($M8055="PADD V","PADD 5","")))))</f>
        <v>PADD 3</v>
      </c>
      <c r="G8055" s="6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6" t="s">
        <v>39</v>
      </c>
      <c r="I8055" s="6" t="s">
        <v>1431</v>
      </c>
      <c r="J8055" s="6" t="s">
        <v>398</v>
      </c>
      <c r="K8055" s="10">
        <v>88.34999999999999</v>
      </c>
      <c r="L8055" s="10">
        <v>155</v>
      </c>
      <c r="M8055" s="6" t="s">
        <v>421</v>
      </c>
      <c r="N8055" s="6">
        <f>IF(OR($G8055="FCC",$G8055="Hydrocracker",$G8055="Reformer"),IF(COUNTIFS($D:$D,$D8055,$A:$A,$A8055,$B:$B,$B8055,$G:$G,"CDU",$J:$J,"PLANNED")&gt;0,"tied","standalone"),"")</f>
        <v/>
      </c>
    </row>
    <row r="8056" spans="1:14">
      <c r="A8056" s="6">
        <v>2026</v>
      </c>
      <c r="B8056" s="6">
        <v>9</v>
      </c>
      <c r="C8056" s="6" t="s">
        <v>68</v>
      </c>
      <c r="D8056" s="6" t="s">
        <v>652</v>
      </c>
      <c r="E8056" s="6" t="s">
        <v>419</v>
      </c>
      <c r="F8056" s="6" t="str">
        <f>IF($M8056="PADD I","PADD 1",IF($M8056="PADD II","PADD 2",IF($M8056="PADD III","PADD 3",IF($M8056="PADD IV","PADD 4",IF($M8056="PADD V","PADD 5","")))))</f>
        <v>PADD 2</v>
      </c>
      <c r="G8056" s="6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6" t="s">
        <v>39</v>
      </c>
      <c r="I8056" s="6" t="s">
        <v>1285</v>
      </c>
      <c r="J8056" s="6" t="s">
        <v>398</v>
      </c>
      <c r="K8056" s="10">
        <v>85</v>
      </c>
      <c r="L8056" s="10">
        <v>85</v>
      </c>
      <c r="M8056" s="6" t="s">
        <v>425</v>
      </c>
      <c r="N8056" s="6">
        <f>IF(OR($G8056="FCC",$G8056="Hydrocracker",$G8056="Reformer"),IF(COUNTIFS($D:$D,$D8056,$A:$A,$A8056,$B:$B,$B8056,$G:$G,"CDU",$J:$J,"PLANNED")&gt;0,"tied","standalone"),"")</f>
        <v/>
      </c>
    </row>
    <row r="8057" spans="1:14">
      <c r="A8057" s="6">
        <v>2026</v>
      </c>
      <c r="B8057" s="6">
        <v>9</v>
      </c>
      <c r="C8057" s="6" t="s">
        <v>68</v>
      </c>
      <c r="D8057" s="6" t="s">
        <v>380</v>
      </c>
      <c r="E8057" s="6" t="s">
        <v>423</v>
      </c>
      <c r="F8057" s="6" t="str">
        <f>IF($M8057="PADD I","PADD 1",IF($M8057="PADD II","PADD 2",IF($M8057="PADD III","PADD 3",IF($M8057="PADD IV","PADD 4",IF($M8057="PADD V","PADD 5","")))))</f>
        <v>PADD 2</v>
      </c>
      <c r="G8057" s="6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6" t="s">
        <v>39</v>
      </c>
      <c r="I8057" s="6" t="s">
        <v>381</v>
      </c>
      <c r="J8057" s="6" t="s">
        <v>398</v>
      </c>
      <c r="K8057" s="10">
        <v>68.8</v>
      </c>
      <c r="L8057" s="10">
        <v>172</v>
      </c>
      <c r="M8057" s="6" t="s">
        <v>425</v>
      </c>
      <c r="N8057" s="6">
        <f>IF(OR($G8057="FCC",$G8057="Hydrocracker",$G8057="Reformer"),IF(COUNTIFS($D:$D,$D8057,$A:$A,$A8057,$B:$B,$B8057,$G:$G,"CDU",$J:$J,"PLANNED")&gt;0,"tied","standalone"),"")</f>
        <v/>
      </c>
    </row>
    <row r="8058" spans="1:14">
      <c r="A8058" s="6">
        <v>2026</v>
      </c>
      <c r="B8058" s="6">
        <v>9</v>
      </c>
      <c r="C8058" s="6" t="s">
        <v>68</v>
      </c>
      <c r="D8058" s="6" t="s">
        <v>395</v>
      </c>
      <c r="E8058" s="6" t="s">
        <v>433</v>
      </c>
      <c r="F8058" s="6" t="str">
        <f>IF($M8058="PADD I","PADD 1",IF($M8058="PADD II","PADD 2",IF($M8058="PADD III","PADD 3",IF($M8058="PADD IV","PADD 4",IF($M8058="PADD V","PADD 5","")))))</f>
        <v>PADD 2</v>
      </c>
      <c r="G8058" s="6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6" t="s">
        <v>39</v>
      </c>
      <c r="I8058" s="6" t="s">
        <v>1108</v>
      </c>
      <c r="J8058" s="6" t="s">
        <v>398</v>
      </c>
      <c r="K8058" s="10">
        <v>58.29</v>
      </c>
      <c r="L8058" s="10">
        <v>87</v>
      </c>
      <c r="M8058" s="6" t="s">
        <v>425</v>
      </c>
      <c r="N8058" s="6">
        <f>IF(OR($G8058="FCC",$G8058="Hydrocracker",$G8058="Reformer"),IF(COUNTIFS($D:$D,$D8058,$A:$A,$A8058,$B:$B,$B8058,$G:$G,"CDU",$J:$J,"PLANNED")&gt;0,"tied","standalone"),"")</f>
        <v/>
      </c>
    </row>
    <row r="8059" spans="1:14">
      <c r="A8059" s="6">
        <v>2026</v>
      </c>
      <c r="B8059" s="6">
        <v>9</v>
      </c>
      <c r="C8059" s="6" t="s">
        <v>68</v>
      </c>
      <c r="D8059" s="6" t="s">
        <v>395</v>
      </c>
      <c r="E8059" s="6" t="s">
        <v>433</v>
      </c>
      <c r="F8059" s="6" t="str">
        <f>IF($M8059="PADD I","PADD 1",IF($M8059="PADD II","PADD 2",IF($M8059="PADD III","PADD 3",IF($M8059="PADD IV","PADD 4",IF($M8059="PADD V","PADD 5","")))))</f>
        <v>PADD 2</v>
      </c>
      <c r="G8059" s="6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6" t="s">
        <v>426</v>
      </c>
      <c r="I8059" s="6" t="s">
        <v>106</v>
      </c>
      <c r="J8059" s="6" t="s">
        <v>398</v>
      </c>
      <c r="K8059" s="10">
        <v>52.93</v>
      </c>
      <c r="L8059" s="10">
        <v>79</v>
      </c>
      <c r="M8059" s="6" t="s">
        <v>425</v>
      </c>
      <c r="N8059" s="6" t="str">
        <f>IF(OR($G8059="FCC",$G8059="Hydrocracker",$G8059="Reformer"),IF(COUNTIFS($D:$D,$D8059,$A:$A,$A8059,$B:$B,$B8059,$G:$G,"CDU",$J:$J,"PLANNED")&gt;0,"tied","standalone"),"")</f>
        <v>tied</v>
      </c>
    </row>
    <row r="8060" spans="1:14">
      <c r="A8060" s="6">
        <v>2026</v>
      </c>
      <c r="B8060" s="6">
        <v>9</v>
      </c>
      <c r="C8060" s="6" t="s">
        <v>68</v>
      </c>
      <c r="D8060" s="6" t="s">
        <v>726</v>
      </c>
      <c r="E8060" s="6" t="s">
        <v>727</v>
      </c>
      <c r="F8060" s="6" t="str">
        <f>IF($M8060="PADD I","PADD 1",IF($M8060="PADD II","PADD 2",IF($M8060="PADD III","PADD 3",IF($M8060="PADD IV","PADD 4",IF($M8060="PADD V","PADD 5","")))))</f>
        <v>PADD 1</v>
      </c>
      <c r="G8060" s="6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6" t="s">
        <v>39</v>
      </c>
      <c r="I8060" s="6" t="s">
        <v>728</v>
      </c>
      <c r="J8060" s="6" t="s">
        <v>398</v>
      </c>
      <c r="K8060" s="10">
        <v>51.7</v>
      </c>
      <c r="L8060" s="10">
        <v>110</v>
      </c>
      <c r="M8060" s="6" t="s">
        <v>463</v>
      </c>
      <c r="N8060" s="6">
        <f>IF(OR($G8060="FCC",$G8060="Hydrocracker",$G8060="Reformer"),IF(COUNTIFS($D:$D,$D8060,$A:$A,$A8060,$B:$B,$B8060,$G:$G,"CDU",$J:$J,"PLANNED")&gt;0,"tied","standalone"),"")</f>
        <v/>
      </c>
    </row>
    <row r="8061" spans="1:14">
      <c r="A8061" s="6">
        <v>2026</v>
      </c>
      <c r="B8061" s="6">
        <v>9</v>
      </c>
      <c r="C8061" s="6" t="s">
        <v>68</v>
      </c>
      <c r="D8061" s="6" t="s">
        <v>437</v>
      </c>
      <c r="E8061" s="6" t="s">
        <v>438</v>
      </c>
      <c r="F8061" s="6" t="str">
        <f>IF($M8061="PADD I","PADD 1",IF($M8061="PADD II","PADD 2",IF($M8061="PADD III","PADD 3",IF($M8061="PADD IV","PADD 4",IF($M8061="PADD V","PADD 5","")))))</f>
        <v>PADD 3</v>
      </c>
      <c r="G8061" s="6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6" t="s">
        <v>471</v>
      </c>
      <c r="I8061" s="6" t="s">
        <v>633</v>
      </c>
      <c r="J8061" s="6" t="s">
        <v>398</v>
      </c>
      <c r="K8061" s="10">
        <v>50.05</v>
      </c>
      <c r="L8061" s="10">
        <v>65</v>
      </c>
      <c r="M8061" s="6" t="s">
        <v>421</v>
      </c>
      <c r="N8061" s="6" t="str">
        <f>IF(OR($G8061="FCC",$G8061="Hydrocracker",$G8061="Reformer"),IF(COUNTIFS($D:$D,$D8061,$A:$A,$A8061,$B:$B,$B8061,$G:$G,"CDU",$J:$J,"PLANNED")&gt;0,"tied","standalone"),"")</f>
        <v>standalone</v>
      </c>
    </row>
    <row r="8062" spans="1:14">
      <c r="A8062" s="6">
        <v>2026</v>
      </c>
      <c r="B8062" s="6">
        <v>9</v>
      </c>
      <c r="C8062" s="6" t="s">
        <v>68</v>
      </c>
      <c r="D8062" s="6" t="s">
        <v>576</v>
      </c>
      <c r="E8062" s="6" t="s">
        <v>455</v>
      </c>
      <c r="F8062" s="6" t="str">
        <f>IF($M8062="PADD I","PADD 1",IF($M8062="PADD II","PADD 2",IF($M8062="PADD III","PADD 3",IF($M8062="PADD IV","PADD 4",IF($M8062="PADD V","PADD 5","")))))</f>
        <v>PADD 3</v>
      </c>
      <c r="G8062" s="6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6" t="s">
        <v>44</v>
      </c>
      <c r="I8062" s="6" t="s">
        <v>1126</v>
      </c>
      <c r="J8062" s="6" t="s">
        <v>394</v>
      </c>
      <c r="K8062" s="10">
        <v>47</v>
      </c>
      <c r="L8062" s="10">
        <v>47</v>
      </c>
      <c r="M8062" s="6" t="s">
        <v>421</v>
      </c>
      <c r="N8062" s="6">
        <f>IF(OR($G8062="FCC",$G8062="Hydrocracker",$G8062="Reformer"),IF(COUNTIFS($D:$D,$D8062,$A:$A,$A8062,$B:$B,$B8062,$G:$G,"CDU",$J:$J,"PLANNED")&gt;0,"tied","standalone"),"")</f>
        <v/>
      </c>
    </row>
    <row r="8063" spans="1:14">
      <c r="A8063" s="6">
        <v>2026</v>
      </c>
      <c r="B8063" s="6">
        <v>9</v>
      </c>
      <c r="C8063" s="6" t="s">
        <v>68</v>
      </c>
      <c r="D8063" s="6" t="s">
        <v>720</v>
      </c>
      <c r="E8063" s="6" t="s">
        <v>455</v>
      </c>
      <c r="F8063" s="6" t="str">
        <f>IF($M8063="PADD I","PADD 1",IF($M8063="PADD II","PADD 2",IF($M8063="PADD III","PADD 3",IF($M8063="PADD IV","PADD 4",IF($M8063="PADD V","PADD 5","")))))</f>
        <v>PADD 2</v>
      </c>
      <c r="G8063" s="6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6" t="s">
        <v>44</v>
      </c>
      <c r="I8063" s="6" t="s">
        <v>964</v>
      </c>
      <c r="J8063" s="6" t="s">
        <v>398</v>
      </c>
      <c r="K8063" s="10">
        <v>45</v>
      </c>
      <c r="L8063" s="10">
        <v>45</v>
      </c>
      <c r="M8063" s="6" t="s">
        <v>425</v>
      </c>
      <c r="N8063" s="6">
        <f>IF(OR($G8063="FCC",$G8063="Hydrocracker",$G8063="Reformer"),IF(COUNTIFS($D:$D,$D8063,$A:$A,$A8063,$B:$B,$B8063,$G:$G,"CDU",$J:$J,"PLANNED")&gt;0,"tied","standalone"),"")</f>
        <v/>
      </c>
    </row>
    <row r="8064" spans="1:14">
      <c r="A8064" s="6">
        <v>2026</v>
      </c>
      <c r="B8064" s="6">
        <v>9</v>
      </c>
      <c r="C8064" s="6" t="s">
        <v>68</v>
      </c>
      <c r="D8064" s="6" t="s">
        <v>375</v>
      </c>
      <c r="E8064" s="6" t="s">
        <v>435</v>
      </c>
      <c r="F8064" s="6" t="str">
        <f>IF($M8064="PADD I","PADD 1",IF($M8064="PADD II","PADD 2",IF($M8064="PADD III","PADD 3",IF($M8064="PADD IV","PADD 4",IF($M8064="PADD V","PADD 5","")))))</f>
        <v>PADD 5</v>
      </c>
      <c r="G8064" s="6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6" t="s">
        <v>494</v>
      </c>
      <c r="I8064" s="6" t="s">
        <v>548</v>
      </c>
      <c r="J8064" s="6" t="s">
        <v>398</v>
      </c>
      <c r="K8064" s="10">
        <v>42</v>
      </c>
      <c r="L8064" s="10">
        <v>42</v>
      </c>
      <c r="M8064" s="6" t="s">
        <v>436</v>
      </c>
      <c r="N8064" s="6" t="str">
        <f>IF(OR($G8064="FCC",$G8064="Hydrocracker",$G8064="Reformer"),IF(COUNTIFS($D:$D,$D8064,$A:$A,$A8064,$B:$B,$B8064,$G:$G,"CDU",$J:$J,"PLANNED")&gt;0,"tied","standalone"),"")</f>
        <v>standalone</v>
      </c>
    </row>
    <row r="8065" spans="1:14">
      <c r="A8065" s="6">
        <v>2026</v>
      </c>
      <c r="B8065" s="6">
        <v>9</v>
      </c>
      <c r="C8065" s="6" t="s">
        <v>68</v>
      </c>
      <c r="D8065" s="6" t="s">
        <v>505</v>
      </c>
      <c r="E8065" s="6" t="s">
        <v>455</v>
      </c>
      <c r="F8065" s="6" t="str">
        <f>IF($M8065="PADD I","PADD 1",IF($M8065="PADD II","PADD 2",IF($M8065="PADD III","PADD 3",IF($M8065="PADD IV","PADD 4",IF($M8065="PADD V","PADD 5","")))))</f>
        <v>PADD 3</v>
      </c>
      <c r="G8065" s="6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6" t="s">
        <v>494</v>
      </c>
      <c r="I8065" s="6" t="s">
        <v>506</v>
      </c>
      <c r="J8065" s="6" t="s">
        <v>398</v>
      </c>
      <c r="K8065" s="10">
        <v>39.75</v>
      </c>
      <c r="L8065" s="10">
        <v>75</v>
      </c>
      <c r="M8065" s="6" t="s">
        <v>421</v>
      </c>
      <c r="N8065" s="6" t="str">
        <f>IF(OR($G8065="FCC",$G8065="Hydrocracker",$G8065="Reformer"),IF(COUNTIFS($D:$D,$D8065,$A:$A,$A8065,$B:$B,$B8065,$G:$G,"CDU",$J:$J,"PLANNED")&gt;0,"tied","standalone"),"")</f>
        <v>standalone</v>
      </c>
    </row>
    <row r="8066" spans="1:14">
      <c r="A8066" s="6">
        <v>2026</v>
      </c>
      <c r="B8066" s="6">
        <v>9</v>
      </c>
      <c r="C8066" s="6" t="s">
        <v>68</v>
      </c>
      <c r="D8066" s="6" t="s">
        <v>465</v>
      </c>
      <c r="E8066" s="6" t="s">
        <v>466</v>
      </c>
      <c r="F8066" s="6" t="str">
        <f>IF($M8066="PADD I","PADD 1",IF($M8066="PADD II","PADD 2",IF($M8066="PADD III","PADD 3",IF($M8066="PADD IV","PADD 4",IF($M8066="PADD V","PADD 5","")))))</f>
        <v>PADD 3</v>
      </c>
      <c r="G8066" s="6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6" t="s">
        <v>485</v>
      </c>
      <c r="I8066" s="6" t="s">
        <v>1219</v>
      </c>
      <c r="J8066" s="6" t="s">
        <v>398</v>
      </c>
      <c r="K8066" s="10">
        <v>34.2</v>
      </c>
      <c r="L8066" s="10">
        <v>60</v>
      </c>
      <c r="M8066" s="6" t="s">
        <v>421</v>
      </c>
      <c r="N8066" s="6">
        <f>IF(OR($G8066="FCC",$G8066="Hydrocracker",$G8066="Reformer"),IF(COUNTIFS($D:$D,$D8066,$A:$A,$A8066,$B:$B,$B8066,$G:$G,"CDU",$J:$J,"PLANNED")&gt;0,"tied","standalone"),"")</f>
        <v/>
      </c>
    </row>
    <row r="8067" spans="1:14">
      <c r="A8067" s="6">
        <v>2026</v>
      </c>
      <c r="B8067" s="6">
        <v>9</v>
      </c>
      <c r="C8067" s="6" t="s">
        <v>68</v>
      </c>
      <c r="D8067" s="6" t="s">
        <v>720</v>
      </c>
      <c r="E8067" s="6" t="s">
        <v>455</v>
      </c>
      <c r="F8067" s="6" t="str">
        <f>IF($M8067="PADD I","PADD 1",IF($M8067="PADD II","PADD 2",IF($M8067="PADD III","PADD 3",IF($M8067="PADD IV","PADD 4",IF($M8067="PADD V","PADD 5","")))))</f>
        <v>PADD 2</v>
      </c>
      <c r="G8067" s="6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6" t="s">
        <v>494</v>
      </c>
      <c r="I8067" s="6" t="s">
        <v>1368</v>
      </c>
      <c r="J8067" s="6" t="s">
        <v>398</v>
      </c>
      <c r="K8067" s="10">
        <v>33</v>
      </c>
      <c r="L8067" s="10">
        <v>33</v>
      </c>
      <c r="M8067" s="6" t="s">
        <v>425</v>
      </c>
      <c r="N8067" s="6" t="str">
        <f>IF(OR($G8067="FCC",$G8067="Hydrocracker",$G8067="Reformer"),IF(COUNTIFS($D:$D,$D8067,$A:$A,$A8067,$B:$B,$B8067,$G:$G,"CDU",$J:$J,"PLANNED")&gt;0,"tied","standalone"),"")</f>
        <v>standalone</v>
      </c>
    </row>
    <row r="8068" spans="1:14">
      <c r="A8068" s="6">
        <v>2026</v>
      </c>
      <c r="B8068" s="6">
        <v>9</v>
      </c>
      <c r="C8068" s="6" t="s">
        <v>68</v>
      </c>
      <c r="D8068" s="6" t="s">
        <v>652</v>
      </c>
      <c r="E8068" s="6" t="s">
        <v>419</v>
      </c>
      <c r="F8068" s="6" t="str">
        <f>IF($M8068="PADD I","PADD 1",IF($M8068="PADD II","PADD 2",IF($M8068="PADD III","PADD 3",IF($M8068="PADD IV","PADD 4",IF($M8068="PADD V","PADD 5","")))))</f>
        <v>PADD 2</v>
      </c>
      <c r="G8068" s="6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6" t="s">
        <v>485</v>
      </c>
      <c r="I8068" s="6" t="s">
        <v>491</v>
      </c>
      <c r="J8068" s="6" t="s">
        <v>398</v>
      </c>
      <c r="K8068" s="10">
        <v>31</v>
      </c>
      <c r="L8068" s="10">
        <v>31</v>
      </c>
      <c r="M8068" s="6" t="s">
        <v>425</v>
      </c>
      <c r="N8068" s="6">
        <f>IF(OR($G8068="FCC",$G8068="Hydrocracker",$G8068="Reformer"),IF(COUNTIFS($D:$D,$D8068,$A:$A,$A8068,$B:$B,$B8068,$G:$G,"CDU",$J:$J,"PLANNED")&gt;0,"tied","standalone"),"")</f>
        <v/>
      </c>
    </row>
    <row r="8069" spans="1:14">
      <c r="A8069" s="6">
        <v>2026</v>
      </c>
      <c r="B8069" s="6">
        <v>9</v>
      </c>
      <c r="C8069" s="6" t="s">
        <v>68</v>
      </c>
      <c r="D8069" s="6" t="s">
        <v>378</v>
      </c>
      <c r="E8069" s="6" t="s">
        <v>477</v>
      </c>
      <c r="F8069" s="6" t="str">
        <f>IF($M8069="PADD I","PADD 1",IF($M8069="PADD II","PADD 2",IF($M8069="PADD III","PADD 3",IF($M8069="PADD IV","PADD 4",IF($M8069="PADD V","PADD 5","")))))</f>
        <v>PADD 3</v>
      </c>
      <c r="G8069" s="6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6" t="s">
        <v>485</v>
      </c>
      <c r="I8069" s="6" t="s">
        <v>1298</v>
      </c>
      <c r="J8069" s="6" t="s">
        <v>398</v>
      </c>
      <c r="K8069" s="10">
        <v>30</v>
      </c>
      <c r="L8069" s="10">
        <v>30</v>
      </c>
      <c r="M8069" s="6" t="s">
        <v>421</v>
      </c>
      <c r="N8069" s="6">
        <f>IF(OR($G8069="FCC",$G8069="Hydrocracker",$G8069="Reformer"),IF(COUNTIFS($D:$D,$D8069,$A:$A,$A8069,$B:$B,$B8069,$G:$G,"CDU",$J:$J,"PLANNED")&gt;0,"tied","standalone"),"")</f>
        <v/>
      </c>
    </row>
    <row r="8070" spans="1:14">
      <c r="A8070" s="6">
        <v>2026</v>
      </c>
      <c r="B8070" s="6">
        <v>9</v>
      </c>
      <c r="C8070" s="6" t="s">
        <v>68</v>
      </c>
      <c r="D8070" s="6" t="s">
        <v>375</v>
      </c>
      <c r="E8070" s="6" t="s">
        <v>435</v>
      </c>
      <c r="F8070" s="6" t="str">
        <f>IF($M8070="PADD I","PADD 1",IF($M8070="PADD II","PADD 2",IF($M8070="PADD III","PADD 3",IF($M8070="PADD IV","PADD 4",IF($M8070="PADD V","PADD 5","")))))</f>
        <v>PADD 5</v>
      </c>
      <c r="G8070" s="6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6" t="s">
        <v>471</v>
      </c>
      <c r="I8070" s="6" t="s">
        <v>15</v>
      </c>
      <c r="J8070" s="6" t="s">
        <v>398</v>
      </c>
      <c r="K8070" s="10">
        <v>29.5</v>
      </c>
      <c r="L8070" s="10">
        <v>29.5</v>
      </c>
      <c r="M8070" s="6" t="s">
        <v>436</v>
      </c>
      <c r="N8070" s="6" t="str">
        <f>IF(OR($G8070="FCC",$G8070="Hydrocracker",$G8070="Reformer"),IF(COUNTIFS($D:$D,$D8070,$A:$A,$A8070,$B:$B,$B8070,$G:$G,"CDU",$J:$J,"PLANNED")&gt;0,"tied","standalone"),"")</f>
        <v>standalone</v>
      </c>
    </row>
    <row r="8071" spans="1:14">
      <c r="A8071" s="6">
        <v>2026</v>
      </c>
      <c r="B8071" s="6">
        <v>9</v>
      </c>
      <c r="C8071" s="6" t="s">
        <v>68</v>
      </c>
      <c r="D8071" s="6" t="s">
        <v>375</v>
      </c>
      <c r="E8071" s="6" t="s">
        <v>435</v>
      </c>
      <c r="F8071" s="6" t="str">
        <f>IF($M8071="PADD I","PADD 1",IF($M8071="PADD II","PADD 2",IF($M8071="PADD III","PADD 3",IF($M8071="PADD IV","PADD 4",IF($M8071="PADD V","PADD 5","")))))</f>
        <v>PADD 5</v>
      </c>
      <c r="G8071" s="6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6" t="s">
        <v>44</v>
      </c>
      <c r="I8071" s="6" t="s">
        <v>1233</v>
      </c>
      <c r="J8071" s="6" t="s">
        <v>398</v>
      </c>
      <c r="K8071" s="10">
        <v>26</v>
      </c>
      <c r="L8071" s="10">
        <v>26</v>
      </c>
      <c r="M8071" s="6" t="s">
        <v>436</v>
      </c>
      <c r="N8071" s="6">
        <f>IF(OR($G8071="FCC",$G8071="Hydrocracker",$G8071="Reformer"),IF(COUNTIFS($D:$D,$D8071,$A:$A,$A8071,$B:$B,$B8071,$G:$G,"CDU",$J:$J,"PLANNED")&gt;0,"tied","standalone"),"")</f>
        <v/>
      </c>
    </row>
    <row r="8072" spans="1:14">
      <c r="A8072" s="6">
        <v>2026</v>
      </c>
      <c r="B8072" s="6">
        <v>9</v>
      </c>
      <c r="C8072" s="6" t="s">
        <v>68</v>
      </c>
      <c r="D8072" s="6" t="s">
        <v>380</v>
      </c>
      <c r="E8072" s="6" t="s">
        <v>423</v>
      </c>
      <c r="F8072" s="6" t="str">
        <f>IF($M8072="PADD I","PADD 1",IF($M8072="PADD II","PADD 2",IF($M8072="PADD III","PADD 3",IF($M8072="PADD IV","PADD 4",IF($M8072="PADD V","PADD 5","")))))</f>
        <v>PADD 2</v>
      </c>
      <c r="G8072" s="6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6" t="s">
        <v>44</v>
      </c>
      <c r="I8072" s="6" t="s">
        <v>960</v>
      </c>
      <c r="J8072" s="6" t="s">
        <v>398</v>
      </c>
      <c r="K8072" s="10">
        <v>25.2</v>
      </c>
      <c r="L8072" s="10">
        <v>63</v>
      </c>
      <c r="M8072" s="6" t="s">
        <v>425</v>
      </c>
      <c r="N8072" s="6">
        <f>IF(OR($G8072="FCC",$G8072="Hydrocracker",$G8072="Reformer"),IF(COUNTIFS($D:$D,$D8072,$A:$A,$A8072,$B:$B,$B8072,$G:$G,"CDU",$J:$J,"PLANNED")&gt;0,"tied","standalone"),"")</f>
        <v/>
      </c>
    </row>
    <row r="8073" spans="1:14">
      <c r="A8073" s="6">
        <v>2026</v>
      </c>
      <c r="B8073" s="6">
        <v>9</v>
      </c>
      <c r="C8073" s="6" t="s">
        <v>68</v>
      </c>
      <c r="D8073" s="6" t="s">
        <v>764</v>
      </c>
      <c r="E8073" s="6" t="s">
        <v>455</v>
      </c>
      <c r="F8073" s="6" t="str">
        <f>IF($M8073="PADD I","PADD 1",IF($M8073="PADD II","PADD 2",IF($M8073="PADD III","PADD 3",IF($M8073="PADD IV","PADD 4",IF($M8073="PADD V","PADD 5","")))))</f>
        <v>PADD 3</v>
      </c>
      <c r="G8073" s="6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6" t="s">
        <v>494</v>
      </c>
      <c r="I8073" s="6" t="s">
        <v>14</v>
      </c>
      <c r="J8073" s="6" t="s">
        <v>398</v>
      </c>
      <c r="K8073" s="10">
        <v>24</v>
      </c>
      <c r="L8073" s="10">
        <v>30</v>
      </c>
      <c r="M8073" s="6" t="s">
        <v>421</v>
      </c>
      <c r="N8073" s="6" t="str">
        <f>IF(OR($G8073="FCC",$G8073="Hydrocracker",$G8073="Reformer"),IF(COUNTIFS($D:$D,$D8073,$A:$A,$A8073,$B:$B,$B8073,$G:$G,"CDU",$J:$J,"PLANNED")&gt;0,"tied","standalone"),"")</f>
        <v>standalone</v>
      </c>
    </row>
    <row r="8074" spans="1:14">
      <c r="A8074" s="6">
        <v>2026</v>
      </c>
      <c r="B8074" s="6">
        <v>9</v>
      </c>
      <c r="C8074" s="6" t="s">
        <v>68</v>
      </c>
      <c r="D8074" s="6" t="s">
        <v>380</v>
      </c>
      <c r="E8074" s="6" t="s">
        <v>423</v>
      </c>
      <c r="F8074" s="6" t="str">
        <f>IF($M8074="PADD I","PADD 1",IF($M8074="PADD II","PADD 2",IF($M8074="PADD III","PADD 3",IF($M8074="PADD IV","PADD 4",IF($M8074="PADD V","PADD 5","")))))</f>
        <v>PADD 2</v>
      </c>
      <c r="G8074" s="6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6" t="s">
        <v>428</v>
      </c>
      <c r="I8074" s="6" t="s">
        <v>481</v>
      </c>
      <c r="J8074" s="6" t="s">
        <v>398</v>
      </c>
      <c r="K8074" s="10">
        <v>20.8</v>
      </c>
      <c r="L8074" s="10">
        <v>52</v>
      </c>
      <c r="M8074" s="6" t="s">
        <v>425</v>
      </c>
      <c r="N8074" s="6">
        <f>IF(OR($G8074="FCC",$G8074="Hydrocracker",$G8074="Reformer"),IF(COUNTIFS($D:$D,$D8074,$A:$A,$A8074,$B:$B,$B8074,$G:$G,"CDU",$J:$J,"PLANNED")&gt;0,"tied","standalone"),"")</f>
        <v/>
      </c>
    </row>
    <row r="8075" spans="1:14">
      <c r="A8075" s="6">
        <v>2026</v>
      </c>
      <c r="B8075" s="6">
        <v>9</v>
      </c>
      <c r="C8075" s="6" t="s">
        <v>68</v>
      </c>
      <c r="D8075" s="6" t="s">
        <v>41</v>
      </c>
      <c r="E8075" s="6" t="s">
        <v>786</v>
      </c>
      <c r="F8075" s="6" t="str">
        <f>IF($M8075="PADD I","PADD 1",IF($M8075="PADD II","PADD 2",IF($M8075="PADD III","PADD 3",IF($M8075="PADD IV","PADD 4",IF($M8075="PADD V","PADD 5","")))))</f>
        <v>PADD 1</v>
      </c>
      <c r="G8075" s="6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6" t="s">
        <v>428</v>
      </c>
      <c r="I8075" s="6" t="s">
        <v>1013</v>
      </c>
      <c r="J8075" s="6" t="s">
        <v>398</v>
      </c>
      <c r="K8075" s="10">
        <v>20.1939</v>
      </c>
      <c r="L8075" s="10">
        <v>24.33</v>
      </c>
      <c r="M8075" s="6" t="s">
        <v>463</v>
      </c>
      <c r="N8075" s="6">
        <f>IF(OR($G8075="FCC",$G8075="Hydrocracker",$G8075="Reformer"),IF(COUNTIFS($D:$D,$D8075,$A:$A,$A8075,$B:$B,$B8075,$G:$G,"CDU",$J:$J,"PLANNED")&gt;0,"tied","standalone"),"")</f>
        <v/>
      </c>
    </row>
    <row r="8076" spans="1:14">
      <c r="A8076" s="6">
        <v>2026</v>
      </c>
      <c r="B8076" s="6">
        <v>9</v>
      </c>
      <c r="C8076" s="6" t="s">
        <v>68</v>
      </c>
      <c r="D8076" s="6" t="s">
        <v>652</v>
      </c>
      <c r="E8076" s="6" t="s">
        <v>419</v>
      </c>
      <c r="F8076" s="6" t="str">
        <f>IF($M8076="PADD I","PADD 1",IF($M8076="PADD II","PADD 2",IF($M8076="PADD III","PADD 3",IF($M8076="PADD IV","PADD 4",IF($M8076="PADD V","PADD 5","")))))</f>
        <v>PADD 2</v>
      </c>
      <c r="G8076" s="6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6" t="s">
        <v>471</v>
      </c>
      <c r="I8076" s="6" t="s">
        <v>747</v>
      </c>
      <c r="J8076" s="6" t="s">
        <v>398</v>
      </c>
      <c r="K8076" s="10">
        <v>20</v>
      </c>
      <c r="L8076" s="10">
        <v>20</v>
      </c>
      <c r="M8076" s="6" t="s">
        <v>425</v>
      </c>
      <c r="N8076" s="6" t="str">
        <f>IF(OR($G8076="FCC",$G8076="Hydrocracker",$G8076="Reformer"),IF(COUNTIFS($D:$D,$D8076,$A:$A,$A8076,$B:$B,$B8076,$G:$G,"CDU",$J:$J,"PLANNED")&gt;0,"tied","standalone"),"")</f>
        <v>tied</v>
      </c>
    </row>
    <row r="8077" spans="1:14">
      <c r="A8077" s="6">
        <v>2026</v>
      </c>
      <c r="B8077" s="6">
        <v>9</v>
      </c>
      <c r="C8077" s="6" t="s">
        <v>68</v>
      </c>
      <c r="D8077" s="6" t="s">
        <v>652</v>
      </c>
      <c r="E8077" s="6" t="s">
        <v>419</v>
      </c>
      <c r="F8077" s="6" t="str">
        <f>IF($M8077="PADD I","PADD 1",IF($M8077="PADD II","PADD 2",IF($M8077="PADD III","PADD 3",IF($M8077="PADD IV","PADD 4",IF($M8077="PADD V","PADD 5","")))))</f>
        <v>PADD 2</v>
      </c>
      <c r="G8077" s="6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6" t="s">
        <v>471</v>
      </c>
      <c r="I8077" s="6" t="s">
        <v>1173</v>
      </c>
      <c r="J8077" s="6" t="s">
        <v>398</v>
      </c>
      <c r="K8077" s="10">
        <v>20</v>
      </c>
      <c r="L8077" s="10">
        <v>20</v>
      </c>
      <c r="M8077" s="6" t="s">
        <v>425</v>
      </c>
      <c r="N8077" s="6" t="str">
        <f>IF(OR($G8077="FCC",$G8077="Hydrocracker",$G8077="Reformer"),IF(COUNTIFS($D:$D,$D8077,$A:$A,$A8077,$B:$B,$B8077,$G:$G,"CDU",$J:$J,"PLANNED")&gt;0,"tied","standalone"),"")</f>
        <v>tied</v>
      </c>
    </row>
    <row r="8078" spans="1:14">
      <c r="A8078" s="6">
        <v>2026</v>
      </c>
      <c r="B8078" s="6">
        <v>9</v>
      </c>
      <c r="C8078" s="6" t="s">
        <v>68</v>
      </c>
      <c r="D8078" s="6" t="s">
        <v>853</v>
      </c>
      <c r="E8078" s="6" t="s">
        <v>438</v>
      </c>
      <c r="F8078" s="6" t="str">
        <f>IF($M8078="PADD I","PADD 1",IF($M8078="PADD II","PADD 2",IF($M8078="PADD III","PADD 3",IF($M8078="PADD IV","PADD 4",IF($M8078="PADD V","PADD 5","")))))</f>
        <v>PADD 2</v>
      </c>
      <c r="G8078" s="6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6" t="s">
        <v>44</v>
      </c>
      <c r="I8078" s="6" t="s">
        <v>1227</v>
      </c>
      <c r="J8078" s="6" t="s">
        <v>398</v>
      </c>
      <c r="K8078" s="10">
        <v>20</v>
      </c>
      <c r="L8078" s="10">
        <v>20</v>
      </c>
      <c r="M8078" s="6" t="s">
        <v>425</v>
      </c>
      <c r="N8078" s="6">
        <f>IF(OR($G8078="FCC",$G8078="Hydrocracker",$G8078="Reformer"),IF(COUNTIFS($D:$D,$D8078,$A:$A,$A8078,$B:$B,$B8078,$G:$G,"CDU",$J:$J,"PLANNED")&gt;0,"tied","standalone"),"")</f>
        <v/>
      </c>
    </row>
    <row r="8079" spans="1:14">
      <c r="A8079" s="6">
        <v>2026</v>
      </c>
      <c r="B8079" s="6">
        <v>9</v>
      </c>
      <c r="C8079" s="6" t="s">
        <v>68</v>
      </c>
      <c r="D8079" s="6" t="s">
        <v>373</v>
      </c>
      <c r="E8079" s="6" t="s">
        <v>438</v>
      </c>
      <c r="F8079" s="6" t="str">
        <f>IF($M8079="PADD I","PADD 1",IF($M8079="PADD II","PADD 2",IF($M8079="PADD III","PADD 3",IF($M8079="PADD IV","PADD 4",IF($M8079="PADD V","PADD 5","")))))</f>
        <v>PADD 3</v>
      </c>
      <c r="G8079" s="6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6" t="s">
        <v>44</v>
      </c>
      <c r="I8079" s="6" t="s">
        <v>743</v>
      </c>
      <c r="J8079" s="6" t="s">
        <v>398</v>
      </c>
      <c r="K8079" s="10">
        <v>17.2</v>
      </c>
      <c r="L8079" s="10">
        <v>43</v>
      </c>
      <c r="M8079" s="6" t="s">
        <v>421</v>
      </c>
      <c r="N8079" s="6">
        <f>IF(OR($G8079="FCC",$G8079="Hydrocracker",$G8079="Reformer"),IF(COUNTIFS($D:$D,$D8079,$A:$A,$A8079,$B:$B,$B8079,$G:$G,"CDU",$J:$J,"PLANNED")&gt;0,"tied","standalone"),"")</f>
        <v/>
      </c>
    </row>
    <row r="8080" spans="1:14">
      <c r="A8080" s="6">
        <v>2026</v>
      </c>
      <c r="B8080" s="6">
        <v>9</v>
      </c>
      <c r="C8080" s="6" t="s">
        <v>68</v>
      </c>
      <c r="D8080" s="6" t="s">
        <v>652</v>
      </c>
      <c r="E8080" s="6" t="s">
        <v>419</v>
      </c>
      <c r="F8080" s="6" t="str">
        <f>IF($M8080="PADD I","PADD 1",IF($M8080="PADD II","PADD 2",IF($M8080="PADD III","PADD 3",IF($M8080="PADD IV","PADD 4",IF($M8080="PADD V","PADD 5","")))))</f>
        <v>PADD 2</v>
      </c>
      <c r="G8080" s="6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6" t="s">
        <v>44</v>
      </c>
      <c r="I8080" s="6" t="s">
        <v>758</v>
      </c>
      <c r="J8080" s="6" t="s">
        <v>398</v>
      </c>
      <c r="K8080" s="10">
        <v>16</v>
      </c>
      <c r="L8080" s="10">
        <v>16</v>
      </c>
      <c r="M8080" s="6" t="s">
        <v>425</v>
      </c>
      <c r="N8080" s="6">
        <f>IF(OR($G8080="FCC",$G8080="Hydrocracker",$G8080="Reformer"),IF(COUNTIFS($D:$D,$D8080,$A:$A,$A8080,$B:$B,$B8080,$G:$G,"CDU",$J:$J,"PLANNED")&gt;0,"tied","standalone"),"")</f>
        <v/>
      </c>
    </row>
    <row r="8081" spans="1:14">
      <c r="A8081" s="6">
        <v>2026</v>
      </c>
      <c r="B8081" s="6">
        <v>9</v>
      </c>
      <c r="C8081" s="6" t="s">
        <v>68</v>
      </c>
      <c r="D8081" s="6" t="s">
        <v>380</v>
      </c>
      <c r="E8081" s="6" t="s">
        <v>423</v>
      </c>
      <c r="F8081" s="6" t="str">
        <f>IF($M8081="PADD I","PADD 1",IF($M8081="PADD II","PADD 2",IF($M8081="PADD III","PADD 3",IF($M8081="PADD IV","PADD 4",IF($M8081="PADD V","PADD 5","")))))</f>
        <v>PADD 2</v>
      </c>
      <c r="G8081" s="6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6" t="s">
        <v>426</v>
      </c>
      <c r="I8081" s="6" t="s">
        <v>106</v>
      </c>
      <c r="J8081" s="6" t="s">
        <v>398</v>
      </c>
      <c r="K8081" s="10">
        <v>16</v>
      </c>
      <c r="L8081" s="10">
        <v>40</v>
      </c>
      <c r="M8081" s="6" t="s">
        <v>425</v>
      </c>
      <c r="N8081" s="6" t="str">
        <f>IF(OR($G8081="FCC",$G8081="Hydrocracker",$G8081="Reformer"),IF(COUNTIFS($D:$D,$D8081,$A:$A,$A8081,$B:$B,$B8081,$G:$G,"CDU",$J:$J,"PLANNED")&gt;0,"tied","standalone"),"")</f>
        <v>tied</v>
      </c>
    </row>
    <row r="8082" spans="1:14">
      <c r="A8082" s="6">
        <v>2026</v>
      </c>
      <c r="B8082" s="6">
        <v>9</v>
      </c>
      <c r="C8082" s="6" t="s">
        <v>68</v>
      </c>
      <c r="D8082" s="6" t="s">
        <v>380</v>
      </c>
      <c r="E8082" s="6" t="s">
        <v>423</v>
      </c>
      <c r="F8082" s="6" t="str">
        <f>IF($M8082="PADD I","PADD 1",IF($M8082="PADD II","PADD 2",IF($M8082="PADD III","PADD 3",IF($M8082="PADD IV","PADD 4",IF($M8082="PADD V","PADD 5","")))))</f>
        <v>PADD 2</v>
      </c>
      <c r="G8082" s="6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6" t="s">
        <v>471</v>
      </c>
      <c r="I8082" s="6" t="s">
        <v>966</v>
      </c>
      <c r="J8082" s="6" t="s">
        <v>398</v>
      </c>
      <c r="K8082" s="10">
        <v>16</v>
      </c>
      <c r="L8082" s="10">
        <v>40</v>
      </c>
      <c r="M8082" s="6" t="s">
        <v>425</v>
      </c>
      <c r="N8082" s="6" t="str">
        <f>IF(OR($G8082="FCC",$G8082="Hydrocracker",$G8082="Reformer"),IF(COUNTIFS($D:$D,$D8082,$A:$A,$A8082,$B:$B,$B8082,$G:$G,"CDU",$J:$J,"PLANNED")&gt;0,"tied","standalone"),"")</f>
        <v>tied</v>
      </c>
    </row>
    <row r="8083" spans="1:14">
      <c r="A8083" s="6">
        <v>2026</v>
      </c>
      <c r="B8083" s="6">
        <v>9</v>
      </c>
      <c r="C8083" s="6" t="s">
        <v>68</v>
      </c>
      <c r="D8083" s="6" t="s">
        <v>373</v>
      </c>
      <c r="E8083" s="6" t="s">
        <v>438</v>
      </c>
      <c r="F8083" s="6" t="str">
        <f>IF($M8083="PADD I","PADD 1",IF($M8083="PADD II","PADD 2",IF($M8083="PADD III","PADD 3",IF($M8083="PADD IV","PADD 4",IF($M8083="PADD V","PADD 5","")))))</f>
        <v>PADD 3</v>
      </c>
      <c r="G8083" s="6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6" t="s">
        <v>44</v>
      </c>
      <c r="I8083" s="6" t="s">
        <v>998</v>
      </c>
      <c r="J8083" s="6" t="s">
        <v>398</v>
      </c>
      <c r="K8083" s="10">
        <v>15.98</v>
      </c>
      <c r="L8083" s="10">
        <v>94</v>
      </c>
      <c r="M8083" s="6" t="s">
        <v>421</v>
      </c>
      <c r="N8083" s="6">
        <f>IF(OR($G8083="FCC",$G8083="Hydrocracker",$G8083="Reformer"),IF(COUNTIFS($D:$D,$D8083,$A:$A,$A8083,$B:$B,$B8083,$G:$G,"CDU",$J:$J,"PLANNED")&gt;0,"tied","standalone"),"")</f>
        <v/>
      </c>
    </row>
    <row r="8084" spans="1:14">
      <c r="A8084" s="6">
        <v>2026</v>
      </c>
      <c r="B8084" s="6">
        <v>9</v>
      </c>
      <c r="C8084" s="6" t="s">
        <v>68</v>
      </c>
      <c r="D8084" s="6" t="s">
        <v>380</v>
      </c>
      <c r="E8084" s="6" t="s">
        <v>423</v>
      </c>
      <c r="F8084" s="6" t="str">
        <f>IF($M8084="PADD I","PADD 1",IF($M8084="PADD II","PADD 2",IF($M8084="PADD III","PADD 3",IF($M8084="PADD IV","PADD 4",IF($M8084="PADD V","PADD 5","")))))</f>
        <v>PADD 2</v>
      </c>
      <c r="G8084" s="6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6" t="s">
        <v>44</v>
      </c>
      <c r="I8084" s="6" t="s">
        <v>508</v>
      </c>
      <c r="J8084" s="6" t="s">
        <v>398</v>
      </c>
      <c r="K8084" s="10">
        <v>14</v>
      </c>
      <c r="L8084" s="10">
        <v>35</v>
      </c>
      <c r="M8084" s="6" t="s">
        <v>425</v>
      </c>
      <c r="N8084" s="6">
        <f>IF(OR($G8084="FCC",$G8084="Hydrocracker",$G8084="Reformer"),IF(COUNTIFS($D:$D,$D8084,$A:$A,$A8084,$B:$B,$B8084,$G:$G,"CDU",$J:$J,"PLANNED")&gt;0,"tied","standalone"),"")</f>
        <v/>
      </c>
    </row>
    <row r="8085" spans="1:14">
      <c r="A8085" s="6">
        <v>2026</v>
      </c>
      <c r="B8085" s="6">
        <v>9</v>
      </c>
      <c r="C8085" s="6" t="s">
        <v>68</v>
      </c>
      <c r="D8085" s="6" t="s">
        <v>380</v>
      </c>
      <c r="E8085" s="6" t="s">
        <v>423</v>
      </c>
      <c r="F8085" s="6" t="str">
        <f>IF($M8085="PADD I","PADD 1",IF($M8085="PADD II","PADD 2",IF($M8085="PADD III","PADD 3",IF($M8085="PADD IV","PADD 4",IF($M8085="PADD V","PADD 5","")))))</f>
        <v>PADD 2</v>
      </c>
      <c r="G8085" s="6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6" t="s">
        <v>485</v>
      </c>
      <c r="I8085" s="6" t="s">
        <v>491</v>
      </c>
      <c r="J8085" s="6" t="s">
        <v>398</v>
      </c>
      <c r="K8085" s="10">
        <v>12.52</v>
      </c>
      <c r="L8085" s="10">
        <v>31.3</v>
      </c>
      <c r="M8085" s="6" t="s">
        <v>425</v>
      </c>
      <c r="N8085" s="6">
        <f>IF(OR($G8085="FCC",$G8085="Hydrocracker",$G8085="Reformer"),IF(COUNTIFS($D:$D,$D8085,$A:$A,$A8085,$B:$B,$B8085,$G:$G,"CDU",$J:$J,"PLANNED")&gt;0,"tied","standalone"),"")</f>
        <v/>
      </c>
    </row>
    <row r="8086" spans="1:14">
      <c r="A8086" s="6">
        <v>2026</v>
      </c>
      <c r="B8086" s="6">
        <v>9</v>
      </c>
      <c r="C8086" s="6" t="s">
        <v>68</v>
      </c>
      <c r="D8086" s="6" t="s">
        <v>380</v>
      </c>
      <c r="E8086" s="6" t="s">
        <v>423</v>
      </c>
      <c r="F8086" s="6" t="str">
        <f>IF($M8086="PADD I","PADD 1",IF($M8086="PADD II","PADD 2",IF($M8086="PADD III","PADD 3",IF($M8086="PADD IV","PADD 4",IF($M8086="PADD V","PADD 5","")))))</f>
        <v>PADD 2</v>
      </c>
      <c r="G8086" s="6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6" t="s">
        <v>494</v>
      </c>
      <c r="I8086" s="6" t="s">
        <v>495</v>
      </c>
      <c r="J8086" s="6" t="s">
        <v>398</v>
      </c>
      <c r="K8086" s="10">
        <v>10.4</v>
      </c>
      <c r="L8086" s="10">
        <v>26</v>
      </c>
      <c r="M8086" s="6" t="s">
        <v>425</v>
      </c>
      <c r="N8086" s="6" t="str">
        <f>IF(OR($G8086="FCC",$G8086="Hydrocracker",$G8086="Reformer"),IF(COUNTIFS($D:$D,$D8086,$A:$A,$A8086,$B:$B,$B8086,$G:$G,"CDU",$J:$J,"PLANNED")&gt;0,"tied","standalone"),"")</f>
        <v>tied</v>
      </c>
    </row>
    <row r="8087" spans="1:14">
      <c r="A8087" s="6">
        <v>2026</v>
      </c>
      <c r="B8087" s="6">
        <v>9</v>
      </c>
      <c r="C8087" s="6" t="s">
        <v>68</v>
      </c>
      <c r="D8087" s="6" t="s">
        <v>678</v>
      </c>
      <c r="E8087" s="6" t="s">
        <v>438</v>
      </c>
      <c r="F8087" s="6" t="str">
        <f>IF($M8087="PADD I","PADD 1",IF($M8087="PADD II","PADD 2",IF($M8087="PADD III","PADD 3",IF($M8087="PADD IV","PADD 4",IF($M8087="PADD V","PADD 5","")))))</f>
        <v>PADD 3</v>
      </c>
      <c r="G8087" s="6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6" t="s">
        <v>687</v>
      </c>
      <c r="I8087" s="6" t="s">
        <v>1303</v>
      </c>
      <c r="J8087" s="6" t="s">
        <v>398</v>
      </c>
      <c r="K8087" s="10">
        <v>8.1</v>
      </c>
      <c r="L8087" s="10">
        <v>9</v>
      </c>
      <c r="M8087" s="6" t="s">
        <v>421</v>
      </c>
      <c r="N8087" s="6">
        <f>IF(OR($G8087="FCC",$G8087="Hydrocracker",$G8087="Reformer"),IF(COUNTIFS($D:$D,$D8087,$A:$A,$A8087,$B:$B,$B8087,$G:$G,"CDU",$J:$J,"PLANNED")&gt;0,"tied","standalone"),"")</f>
        <v/>
      </c>
    </row>
    <row r="8088" spans="1:14">
      <c r="A8088" s="6">
        <v>2026</v>
      </c>
      <c r="B8088" s="6">
        <v>9</v>
      </c>
      <c r="C8088" s="6" t="s">
        <v>68</v>
      </c>
      <c r="D8088" s="6" t="s">
        <v>380</v>
      </c>
      <c r="E8088" s="6" t="s">
        <v>423</v>
      </c>
      <c r="F8088" s="6" t="str">
        <f>IF($M8088="PADD I","PADD 1",IF($M8088="PADD II","PADD 2",IF($M8088="PADD III","PADD 3",IF($M8088="PADD IV","PADD 4",IF($M8088="PADD V","PADD 5","")))))</f>
        <v>PADD 2</v>
      </c>
      <c r="G8088" s="6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6" t="s">
        <v>44</v>
      </c>
      <c r="I8088" s="6" t="s">
        <v>975</v>
      </c>
      <c r="J8088" s="6" t="s">
        <v>398</v>
      </c>
      <c r="K8088" s="10">
        <v>8</v>
      </c>
      <c r="L8088" s="10">
        <v>20</v>
      </c>
      <c r="M8088" s="6" t="s">
        <v>425</v>
      </c>
      <c r="N8088" s="6">
        <f>IF(OR($G8088="FCC",$G8088="Hydrocracker",$G8088="Reformer"),IF(COUNTIFS($D:$D,$D8088,$A:$A,$A8088,$B:$B,$B8088,$G:$G,"CDU",$J:$J,"PLANNED")&gt;0,"tied","standalone"),"")</f>
        <v/>
      </c>
    </row>
    <row r="8089" spans="1:14">
      <c r="A8089" s="6">
        <v>2026</v>
      </c>
      <c r="B8089" s="6">
        <v>9</v>
      </c>
      <c r="C8089" s="6" t="s">
        <v>68</v>
      </c>
      <c r="D8089" s="6" t="s">
        <v>52</v>
      </c>
      <c r="E8089" s="6" t="s">
        <v>441</v>
      </c>
      <c r="F8089" s="6" t="str">
        <f>IF($M8089="PADD I","PADD 1",IF($M8089="PADD II","PADD 2",IF($M8089="PADD III","PADD 3",IF($M8089="PADD IV","PADD 4",IF($M8089="PADD V","PADD 5","")))))</f>
        <v>PADD 5</v>
      </c>
      <c r="G8089" s="6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6" t="s">
        <v>44</v>
      </c>
      <c r="I8089" s="6" t="s">
        <v>1257</v>
      </c>
      <c r="J8089" s="6" t="s">
        <v>398</v>
      </c>
      <c r="K8089" s="10">
        <v>7.56</v>
      </c>
      <c r="L8089" s="10">
        <v>12</v>
      </c>
      <c r="M8089" s="6" t="s">
        <v>436</v>
      </c>
      <c r="N8089" s="6">
        <f>IF(OR($G8089="FCC",$G8089="Hydrocracker",$G8089="Reformer"),IF(COUNTIFS($D:$D,$D8089,$A:$A,$A8089,$B:$B,$B8089,$G:$G,"CDU",$J:$J,"PLANNED")&gt;0,"tied","standalone"),"")</f>
        <v/>
      </c>
    </row>
    <row r="8090" spans="1:14">
      <c r="A8090" s="6">
        <v>2026</v>
      </c>
      <c r="B8090" s="6">
        <v>9</v>
      </c>
      <c r="C8090" s="6" t="s">
        <v>68</v>
      </c>
      <c r="D8090" s="6" t="s">
        <v>440</v>
      </c>
      <c r="E8090" s="6" t="s">
        <v>441</v>
      </c>
      <c r="F8090" s="6" t="str">
        <f>IF($M8090="PADD I","PADD 1",IF($M8090="PADD II","PADD 2",IF($M8090="PADD III","PADD 3",IF($M8090="PADD IV","PADD 4",IF($M8090="PADD V","PADD 5","")))))</f>
        <v>PADD 3</v>
      </c>
      <c r="G8090" s="6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6" t="s">
        <v>44</v>
      </c>
      <c r="I8090" s="6" t="s">
        <v>701</v>
      </c>
      <c r="J8090" s="6" t="s">
        <v>398</v>
      </c>
      <c r="K8090" s="10">
        <v>6.8</v>
      </c>
      <c r="L8090" s="10">
        <v>40</v>
      </c>
      <c r="M8090" s="6" t="s">
        <v>421</v>
      </c>
      <c r="N8090" s="6">
        <f>IF(OR($G8090="FCC",$G8090="Hydrocracker",$G8090="Reformer"),IF(COUNTIFS($D:$D,$D8090,$A:$A,$A8090,$B:$B,$B8090,$G:$G,"CDU",$J:$J,"PLANNED")&gt;0,"tied","standalone"),"")</f>
        <v/>
      </c>
    </row>
    <row r="8091" spans="1:14">
      <c r="A8091" s="6">
        <v>2026</v>
      </c>
      <c r="B8091" s="6">
        <v>9</v>
      </c>
      <c r="C8091" s="6" t="s">
        <v>68</v>
      </c>
      <c r="D8091" s="6" t="s">
        <v>792</v>
      </c>
      <c r="E8091" s="6" t="s">
        <v>438</v>
      </c>
      <c r="F8091" s="6" t="str">
        <f>IF($M8091="PADD I","PADD 1",IF($M8091="PADD II","PADD 2",IF($M8091="PADD III","PADD 3",IF($M8091="PADD IV","PADD 4",IF($M8091="PADD V","PADD 5","")))))</f>
        <v>PADD 5</v>
      </c>
      <c r="G8091" s="6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6" t="s">
        <v>618</v>
      </c>
      <c r="I8091" s="6" t="s">
        <v>818</v>
      </c>
      <c r="J8091" s="6" t="s">
        <v>398</v>
      </c>
      <c r="K8091" s="10">
        <v>3.5</v>
      </c>
      <c r="L8091" s="10">
        <v>3.5</v>
      </c>
      <c r="M8091" s="6" t="s">
        <v>436</v>
      </c>
      <c r="N8091" s="6">
        <f>IF(OR($G8091="FCC",$G8091="Hydrocracker",$G8091="Reformer"),IF(COUNTIFS($D:$D,$D8091,$A:$A,$A8091,$B:$B,$B8091,$G:$G,"CDU",$J:$J,"PLANNED")&gt;0,"tied","standalone"),"")</f>
        <v/>
      </c>
    </row>
    <row r="8092" spans="1:14">
      <c r="A8092" s="6">
        <v>2026</v>
      </c>
      <c r="B8092" s="6">
        <v>9</v>
      </c>
      <c r="C8092" s="6" t="s">
        <v>68</v>
      </c>
      <c r="D8092" s="6" t="s">
        <v>678</v>
      </c>
      <c r="E8092" s="6" t="s">
        <v>438</v>
      </c>
      <c r="F8092" s="6" t="str">
        <f>IF($M8092="PADD I","PADD 1",IF($M8092="PADD II","PADD 2",IF($M8092="PADD III","PADD 3",IF($M8092="PADD IV","PADD 4",IF($M8092="PADD V","PADD 5","")))))</f>
        <v>PADD 3</v>
      </c>
      <c r="G8092" s="6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6" t="s">
        <v>687</v>
      </c>
      <c r="I8092" s="6" t="s">
        <v>1432</v>
      </c>
      <c r="J8092" s="6" t="s">
        <v>398</v>
      </c>
      <c r="K8092" s="10">
        <v>2.151</v>
      </c>
      <c r="L8092" s="10">
        <v>2.39</v>
      </c>
      <c r="M8092" s="6" t="s">
        <v>421</v>
      </c>
      <c r="N8092" s="6">
        <f>IF(OR($G8092="FCC",$G8092="Hydrocracker",$G8092="Reformer"),IF(COUNTIFS($D:$D,$D8092,$A:$A,$A8092,$B:$B,$B8092,$G:$G,"CDU",$J:$J,"PLANNED")&gt;0,"tied","standalone"),"")</f>
        <v/>
      </c>
    </row>
    <row r="8093" spans="1:14">
      <c r="A8093" s="6">
        <v>2026</v>
      </c>
      <c r="B8093" s="6">
        <v>9</v>
      </c>
      <c r="C8093" s="6" t="s">
        <v>68</v>
      </c>
      <c r="D8093" s="6" t="s">
        <v>662</v>
      </c>
      <c r="E8093" s="6" t="s">
        <v>466</v>
      </c>
      <c r="F8093" s="6" t="str">
        <f>IF($M8093="PADD I","PADD 1",IF($M8093="PADD II","PADD 2",IF($M8093="PADD III","PADD 3",IF($M8093="PADD IV","PADD 4",IF($M8093="PADD V","PADD 5","")))))</f>
        <v>PADD 3</v>
      </c>
      <c r="G8093" s="6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6" t="s">
        <v>44</v>
      </c>
      <c r="I8093" s="6" t="s">
        <v>887</v>
      </c>
      <c r="J8093" s="6" t="s">
        <v>398</v>
      </c>
      <c r="K8093" s="10">
        <v>2</v>
      </c>
      <c r="L8093" s="10">
        <v>20</v>
      </c>
      <c r="M8093" s="6" t="s">
        <v>421</v>
      </c>
      <c r="N8093" s="6">
        <f>IF(OR($G8093="FCC",$G8093="Hydrocracker",$G8093="Reformer"),IF(COUNTIFS($D:$D,$D8093,$A:$A,$A8093,$B:$B,$B8093,$G:$G,"CDU",$J:$J,"PLANNED")&gt;0,"tied","standalone"),"")</f>
        <v/>
      </c>
    </row>
    <row r="8094" spans="1:14">
      <c r="A8094" s="6">
        <v>2026</v>
      </c>
      <c r="B8094" s="6">
        <v>9</v>
      </c>
      <c r="C8094" s="6" t="s">
        <v>68</v>
      </c>
      <c r="D8094" s="6" t="s">
        <v>662</v>
      </c>
      <c r="E8094" s="6" t="s">
        <v>466</v>
      </c>
      <c r="F8094" s="6" t="str">
        <f>IF($M8094="PADD I","PADD 1",IF($M8094="PADD II","PADD 2",IF($M8094="PADD III","PADD 3",IF($M8094="PADD IV","PADD 4",IF($M8094="PADD V","PADD 5","")))))</f>
        <v>PADD 3</v>
      </c>
      <c r="G8094" s="6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6" t="s">
        <v>471</v>
      </c>
      <c r="I8094" s="6" t="s">
        <v>805</v>
      </c>
      <c r="J8094" s="6" t="s">
        <v>398</v>
      </c>
      <c r="K8094" s="10">
        <v>2</v>
      </c>
      <c r="L8094" s="10">
        <v>20</v>
      </c>
      <c r="M8094" s="6" t="s">
        <v>421</v>
      </c>
      <c r="N8094" s="6" t="str">
        <f>IF(OR($G8094="FCC",$G8094="Hydrocracker",$G8094="Reformer"),IF(COUNTIFS($D:$D,$D8094,$A:$A,$A8094,$B:$B,$B8094,$G:$G,"CDU",$J:$J,"PLANNED")&gt;0,"tied","standalone"),"")</f>
        <v>standalone</v>
      </c>
    </row>
    <row r="8095" spans="1:14">
      <c r="A8095" s="6">
        <v>2026</v>
      </c>
      <c r="B8095" s="6">
        <v>9</v>
      </c>
      <c r="C8095" s="6" t="s">
        <v>68</v>
      </c>
      <c r="D8095" s="6" t="s">
        <v>375</v>
      </c>
      <c r="E8095" s="6" t="s">
        <v>435</v>
      </c>
      <c r="F8095" s="6" t="str">
        <f>IF($M8095="PADD I","PADD 1",IF($M8095="PADD II","PADD 2",IF($M8095="PADD III","PADD 3",IF($M8095="PADD IV","PADD 4",IF($M8095="PADD V","PADD 5","")))))</f>
        <v>PADD 5</v>
      </c>
      <c r="G8095" s="6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6" t="s">
        <v>618</v>
      </c>
      <c r="I8095" s="6" t="s">
        <v>654</v>
      </c>
      <c r="J8095" s="6" t="s">
        <v>398</v>
      </c>
      <c r="K8095" s="10">
        <v>1.5</v>
      </c>
      <c r="L8095" s="10">
        <v>1.5</v>
      </c>
      <c r="M8095" s="6" t="s">
        <v>436</v>
      </c>
      <c r="N8095" s="6">
        <f>IF(OR($G8095="FCC",$G8095="Hydrocracker",$G8095="Reformer"),IF(COUNTIFS($D:$D,$D8095,$A:$A,$A8095,$B:$B,$B8095,$G:$G,"CDU",$J:$J,"PLANNED")&gt;0,"tied","standalone"),"")</f>
        <v/>
      </c>
    </row>
    <row r="8096" spans="1:14">
      <c r="A8096" s="6">
        <v>2026</v>
      </c>
      <c r="B8096" s="6">
        <v>9</v>
      </c>
      <c r="C8096" s="6" t="s">
        <v>68</v>
      </c>
      <c r="D8096" s="6" t="s">
        <v>662</v>
      </c>
      <c r="E8096" s="6" t="s">
        <v>466</v>
      </c>
      <c r="F8096" s="6" t="str">
        <f>IF($M8096="PADD I","PADD 1",IF($M8096="PADD II","PADD 2",IF($M8096="PADD III","PADD 3",IF($M8096="PADD IV","PADD 4",IF($M8096="PADD V","PADD 5","")))))</f>
        <v>PADD 3</v>
      </c>
      <c r="G8096" s="6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6" t="s">
        <v>947</v>
      </c>
      <c r="I8096" s="6" t="s">
        <v>948</v>
      </c>
      <c r="J8096" s="6" t="s">
        <v>398</v>
      </c>
      <c r="K8096" s="10">
        <v>0.36</v>
      </c>
      <c r="L8096" s="10">
        <v>3.6</v>
      </c>
      <c r="M8096" s="6" t="s">
        <v>421</v>
      </c>
      <c r="N8096" s="6">
        <f>IF(OR($G8096="FCC",$G8096="Hydrocracker",$G8096="Reformer"),IF(COUNTIFS($D:$D,$D8096,$A:$A,$A8096,$B:$B,$B8096,$G:$G,"CDU",$J:$J,"PLANNED")&gt;0,"tied","standalone"),"")</f>
        <v/>
      </c>
    </row>
    <row r="8097" spans="1:14">
      <c r="A8097" s="6">
        <v>2026</v>
      </c>
      <c r="B8097" s="6">
        <v>10</v>
      </c>
      <c r="C8097" s="6" t="s">
        <v>69</v>
      </c>
      <c r="D8097" s="6" t="s">
        <v>380</v>
      </c>
      <c r="E8097" s="6" t="s">
        <v>423</v>
      </c>
      <c r="F8097" s="6" t="str">
        <f>IF($M8097="PADD I","PADD 1",IF($M8097="PADD II","PADD 2",IF($M8097="PADD III","PADD 3",IF($M8097="PADD IV","PADD 4",IF($M8097="PADD V","PADD 5","")))))</f>
        <v>PADD 2</v>
      </c>
      <c r="G8097" s="6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6" t="s">
        <v>39</v>
      </c>
      <c r="I8097" s="6" t="s">
        <v>381</v>
      </c>
      <c r="J8097" s="6" t="s">
        <v>398</v>
      </c>
      <c r="K8097" s="10">
        <v>127.28</v>
      </c>
      <c r="L8097" s="10">
        <v>172</v>
      </c>
      <c r="M8097" s="6" t="s">
        <v>425</v>
      </c>
      <c r="N8097" s="6">
        <f>IF(OR($G8097="FCC",$G8097="Hydrocracker",$G8097="Reformer"),IF(COUNTIFS($D:$D,$D8097,$A:$A,$A8097,$B:$B,$B8097,$G:$G,"CDU",$J:$J,"PLANNED")&gt;0,"tied","standalone"),"")</f>
        <v/>
      </c>
    </row>
    <row r="8098" spans="1:14">
      <c r="A8098" s="6">
        <v>2026</v>
      </c>
      <c r="B8098" s="6">
        <v>10</v>
      </c>
      <c r="C8098" s="6" t="s">
        <v>69</v>
      </c>
      <c r="D8098" s="6" t="s">
        <v>378</v>
      </c>
      <c r="E8098" s="6" t="s">
        <v>477</v>
      </c>
      <c r="F8098" s="6" t="str">
        <f>IF($M8098="PADD I","PADD 1",IF($M8098="PADD II","PADD 2",IF($M8098="PADD III","PADD 3",IF($M8098="PADD IV","PADD 4",IF($M8098="PADD V","PADD 5","")))))</f>
        <v>PADD 3</v>
      </c>
      <c r="G8098" s="6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6" t="s">
        <v>39</v>
      </c>
      <c r="I8098" s="6" t="s">
        <v>379</v>
      </c>
      <c r="J8098" s="6" t="s">
        <v>398</v>
      </c>
      <c r="K8098" s="10">
        <v>96</v>
      </c>
      <c r="L8098" s="10">
        <v>96</v>
      </c>
      <c r="M8098" s="6" t="s">
        <v>421</v>
      </c>
      <c r="N8098" s="6">
        <f>IF(OR($G8098="FCC",$G8098="Hydrocracker",$G8098="Reformer"),IF(COUNTIFS($D:$D,$D8098,$A:$A,$A8098,$B:$B,$B8098,$G:$G,"CDU",$J:$J,"PLANNED")&gt;0,"tied","standalone"),"")</f>
        <v/>
      </c>
    </row>
    <row r="8099" spans="1:14">
      <c r="A8099" s="6">
        <v>2026</v>
      </c>
      <c r="B8099" s="6">
        <v>10</v>
      </c>
      <c r="C8099" s="6" t="s">
        <v>69</v>
      </c>
      <c r="D8099" s="6" t="s">
        <v>725</v>
      </c>
      <c r="E8099" s="6" t="s">
        <v>502</v>
      </c>
      <c r="F8099" s="6" t="str">
        <f>IF($M8099="PADD I","PADD 1",IF($M8099="PADD II","PADD 2",IF($M8099="PADD III","PADD 3",IF($M8099="PADD IV","PADD 4",IF($M8099="PADD V","PADD 5","")))))</f>
        <v>PADD 2</v>
      </c>
      <c r="G8099" s="6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6" t="s">
        <v>39</v>
      </c>
      <c r="I8099" s="6" t="s">
        <v>82</v>
      </c>
      <c r="J8099" s="6" t="s">
        <v>398</v>
      </c>
      <c r="K8099" s="10">
        <v>77.76000000000001</v>
      </c>
      <c r="L8099" s="10">
        <v>162</v>
      </c>
      <c r="M8099" s="6" t="s">
        <v>425</v>
      </c>
      <c r="N8099" s="6">
        <f>IF(OR($G8099="FCC",$G8099="Hydrocracker",$G8099="Reformer"),IF(COUNTIFS($D:$D,$D8099,$A:$A,$A8099,$B:$B,$B8099,$G:$G,"CDU",$J:$J,"PLANNED")&gt;0,"tied","standalone"),"")</f>
        <v/>
      </c>
    </row>
    <row r="8100" spans="1:14">
      <c r="A8100" s="6">
        <v>2026</v>
      </c>
      <c r="B8100" s="6">
        <v>10</v>
      </c>
      <c r="C8100" s="6" t="s">
        <v>69</v>
      </c>
      <c r="D8100" s="6" t="s">
        <v>780</v>
      </c>
      <c r="E8100" s="6" t="s">
        <v>781</v>
      </c>
      <c r="F8100" s="6" t="str">
        <f>IF($M8100="PADD I","PADD 1",IF($M8100="PADD II","PADD 2",IF($M8100="PADD III","PADD 3",IF($M8100="PADD IV","PADD 4",IF($M8100="PADD V","PADD 5","")))))</f>
        <v>PADD 3</v>
      </c>
      <c r="G8100" s="6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6" t="s">
        <v>39</v>
      </c>
      <c r="I8100" s="6" t="s">
        <v>82</v>
      </c>
      <c r="J8100" s="6" t="s">
        <v>398</v>
      </c>
      <c r="K8100" s="10">
        <v>75.2</v>
      </c>
      <c r="L8100" s="10">
        <v>80</v>
      </c>
      <c r="M8100" s="6" t="s">
        <v>421</v>
      </c>
      <c r="N8100" s="6">
        <f>IF(OR($G8100="FCC",$G8100="Hydrocracker",$G8100="Reformer"),IF(COUNTIFS($D:$D,$D8100,$A:$A,$A8100,$B:$B,$B8100,$G:$G,"CDU",$J:$J,"PLANNED")&gt;0,"tied","standalone"),"")</f>
        <v/>
      </c>
    </row>
    <row r="8101" spans="1:14">
      <c r="A8101" s="6">
        <v>2026</v>
      </c>
      <c r="B8101" s="6">
        <v>10</v>
      </c>
      <c r="C8101" s="6" t="s">
        <v>69</v>
      </c>
      <c r="D8101" s="6" t="s">
        <v>726</v>
      </c>
      <c r="E8101" s="6" t="s">
        <v>727</v>
      </c>
      <c r="F8101" s="6" t="str">
        <f>IF($M8101="PADD I","PADD 1",IF($M8101="PADD II","PADD 2",IF($M8101="PADD III","PADD 3",IF($M8101="PADD IV","PADD 4",IF($M8101="PADD V","PADD 5","")))))</f>
        <v>PADD 1</v>
      </c>
      <c r="G8101" s="6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6" t="s">
        <v>39</v>
      </c>
      <c r="I8101" s="6" t="s">
        <v>728</v>
      </c>
      <c r="J8101" s="6" t="s">
        <v>398</v>
      </c>
      <c r="K8101" s="10">
        <v>74.8</v>
      </c>
      <c r="L8101" s="10">
        <v>110</v>
      </c>
      <c r="M8101" s="6" t="s">
        <v>463</v>
      </c>
      <c r="N8101" s="6">
        <f>IF(OR($G8101="FCC",$G8101="Hydrocracker",$G8101="Reformer"),IF(COUNTIFS($D:$D,$D8101,$A:$A,$A8101,$B:$B,$B8101,$G:$G,"CDU",$J:$J,"PLANNED")&gt;0,"tied","standalone"),"")</f>
        <v/>
      </c>
    </row>
    <row r="8102" spans="1:14">
      <c r="A8102" s="6">
        <v>2026</v>
      </c>
      <c r="B8102" s="6">
        <v>10</v>
      </c>
      <c r="C8102" s="6" t="s">
        <v>69</v>
      </c>
      <c r="D8102" s="6" t="s">
        <v>395</v>
      </c>
      <c r="E8102" s="6" t="s">
        <v>433</v>
      </c>
      <c r="F8102" s="6" t="str">
        <f>IF($M8102="PADD I","PADD 1",IF($M8102="PADD II","PADD 2",IF($M8102="PADD III","PADD 3",IF($M8102="PADD IV","PADD 4",IF($M8102="PADD V","PADD 5","")))))</f>
        <v>PADD 2</v>
      </c>
      <c r="G8102" s="6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6" t="s">
        <v>39</v>
      </c>
      <c r="I8102" s="6" t="s">
        <v>1108</v>
      </c>
      <c r="J8102" s="6" t="s">
        <v>398</v>
      </c>
      <c r="K8102" s="10">
        <v>70.47</v>
      </c>
      <c r="L8102" s="10">
        <v>87</v>
      </c>
      <c r="M8102" s="6" t="s">
        <v>425</v>
      </c>
      <c r="N8102" s="6">
        <f>IF(OR($G8102="FCC",$G8102="Hydrocracker",$G8102="Reformer"),IF(COUNTIFS($D:$D,$D8102,$A:$A,$A8102,$B:$B,$B8102,$G:$G,"CDU",$J:$J,"PLANNED")&gt;0,"tied","standalone"),"")</f>
        <v/>
      </c>
    </row>
    <row r="8103" spans="1:14">
      <c r="A8103" s="6">
        <v>2026</v>
      </c>
      <c r="B8103" s="6">
        <v>10</v>
      </c>
      <c r="C8103" s="6" t="s">
        <v>69</v>
      </c>
      <c r="D8103" s="6" t="s">
        <v>465</v>
      </c>
      <c r="E8103" s="6" t="s">
        <v>466</v>
      </c>
      <c r="F8103" s="6" t="str">
        <f>IF($M8103="PADD I","PADD 1",IF($M8103="PADD II","PADD 2",IF($M8103="PADD III","PADD 3",IF($M8103="PADD IV","PADD 4",IF($M8103="PADD V","PADD 5","")))))</f>
        <v>PADD 3</v>
      </c>
      <c r="G8103" s="6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6" t="s">
        <v>39</v>
      </c>
      <c r="I8103" s="6" t="s">
        <v>1431</v>
      </c>
      <c r="J8103" s="6" t="s">
        <v>398</v>
      </c>
      <c r="K8103" s="10">
        <v>65.09999999999999</v>
      </c>
      <c r="L8103" s="10">
        <v>155</v>
      </c>
      <c r="M8103" s="6" t="s">
        <v>421</v>
      </c>
      <c r="N8103" s="6">
        <f>IF(OR($G8103="FCC",$G8103="Hydrocracker",$G8103="Reformer"),IF(COUNTIFS($D:$D,$D8103,$A:$A,$A8103,$B:$B,$B8103,$G:$G,"CDU",$J:$J,"PLANNED")&gt;0,"tied","standalone"),"")</f>
        <v/>
      </c>
    </row>
    <row r="8104" spans="1:14">
      <c r="A8104" s="6">
        <v>2026</v>
      </c>
      <c r="B8104" s="6">
        <v>10</v>
      </c>
      <c r="C8104" s="6" t="s">
        <v>69</v>
      </c>
      <c r="D8104" s="6" t="s">
        <v>437</v>
      </c>
      <c r="E8104" s="6" t="s">
        <v>438</v>
      </c>
      <c r="F8104" s="6" t="str">
        <f>IF($M8104="PADD I","PADD 1",IF($M8104="PADD II","PADD 2",IF($M8104="PADD III","PADD 3",IF($M8104="PADD IV","PADD 4",IF($M8104="PADD V","PADD 5","")))))</f>
        <v>PADD 3</v>
      </c>
      <c r="G8104" s="6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6" t="s">
        <v>471</v>
      </c>
      <c r="I8104" s="6" t="s">
        <v>633</v>
      </c>
      <c r="J8104" s="6" t="s">
        <v>398</v>
      </c>
      <c r="K8104" s="10">
        <v>65</v>
      </c>
      <c r="L8104" s="10">
        <v>65</v>
      </c>
      <c r="M8104" s="6" t="s">
        <v>421</v>
      </c>
      <c r="N8104" s="6" t="str">
        <f>IF(OR($G8104="FCC",$G8104="Hydrocracker",$G8104="Reformer"),IF(COUNTIFS($D:$D,$D8104,$A:$A,$A8104,$B:$B,$B8104,$G:$G,"CDU",$J:$J,"PLANNED")&gt;0,"tied","standalone"),"")</f>
        <v>standalone</v>
      </c>
    </row>
    <row r="8105" spans="1:14">
      <c r="A8105" s="6">
        <v>2026</v>
      </c>
      <c r="B8105" s="6">
        <v>10</v>
      </c>
      <c r="C8105" s="6" t="s">
        <v>69</v>
      </c>
      <c r="D8105" s="6" t="s">
        <v>395</v>
      </c>
      <c r="E8105" s="6" t="s">
        <v>433</v>
      </c>
      <c r="F8105" s="6" t="str">
        <f>IF($M8105="PADD I","PADD 1",IF($M8105="PADD II","PADD 2",IF($M8105="PADD III","PADD 3",IF($M8105="PADD IV","PADD 4",IF($M8105="PADD V","PADD 5","")))))</f>
        <v>PADD 2</v>
      </c>
      <c r="G8105" s="6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6" t="s">
        <v>426</v>
      </c>
      <c r="I8105" s="6" t="s">
        <v>106</v>
      </c>
      <c r="J8105" s="6" t="s">
        <v>398</v>
      </c>
      <c r="K8105" s="10">
        <v>63.99</v>
      </c>
      <c r="L8105" s="10">
        <v>79</v>
      </c>
      <c r="M8105" s="6" t="s">
        <v>425</v>
      </c>
      <c r="N8105" s="6" t="str">
        <f>IF(OR($G8105="FCC",$G8105="Hydrocracker",$G8105="Reformer"),IF(COUNTIFS($D:$D,$D8105,$A:$A,$A8105,$B:$B,$B8105,$G:$G,"CDU",$J:$J,"PLANNED")&gt;0,"tied","standalone"),"")</f>
        <v>tied</v>
      </c>
    </row>
    <row r="8106" spans="1:14">
      <c r="A8106" s="6">
        <v>2026</v>
      </c>
      <c r="B8106" s="6">
        <v>10</v>
      </c>
      <c r="C8106" s="6" t="s">
        <v>69</v>
      </c>
      <c r="D8106" s="6" t="s">
        <v>597</v>
      </c>
      <c r="E8106" s="6" t="s">
        <v>441</v>
      </c>
      <c r="F8106" s="6" t="str">
        <f>IF($M8106="PADD I","PADD 1",IF($M8106="PADD II","PADD 2",IF($M8106="PADD III","PADD 3",IF($M8106="PADD IV","PADD 4",IF($M8106="PADD V","PADD 5","")))))</f>
        <v>PADD 5</v>
      </c>
      <c r="G8106" s="6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6" t="s">
        <v>426</v>
      </c>
      <c r="I8106" s="6" t="s">
        <v>106</v>
      </c>
      <c r="J8106" s="6" t="s">
        <v>398</v>
      </c>
      <c r="K8106" s="10">
        <v>59.2</v>
      </c>
      <c r="L8106" s="10">
        <v>80</v>
      </c>
      <c r="M8106" s="6" t="s">
        <v>436</v>
      </c>
      <c r="N8106" s="6" t="str">
        <f>IF(OR($G8106="FCC",$G8106="Hydrocracker",$G8106="Reformer"),IF(COUNTIFS($D:$D,$D8106,$A:$A,$A8106,$B:$B,$B8106,$G:$G,"CDU",$J:$J,"PLANNED")&gt;0,"tied","standalone"),"")</f>
        <v>standalone</v>
      </c>
    </row>
    <row r="8107" spans="1:14">
      <c r="A8107" s="6">
        <v>2026</v>
      </c>
      <c r="B8107" s="6">
        <v>10</v>
      </c>
      <c r="C8107" s="6" t="s">
        <v>69</v>
      </c>
      <c r="D8107" s="6" t="s">
        <v>1169</v>
      </c>
      <c r="E8107" s="6" t="s">
        <v>1170</v>
      </c>
      <c r="F8107" s="6" t="str">
        <f>IF($M8107="PADD I","PADD 1",IF($M8107="PADD II","PADD 2",IF($M8107="PADD III","PADD 3",IF($M8107="PADD IV","PADD 4",IF($M8107="PADD V","PADD 5","")))))</f>
        <v>PADD 3</v>
      </c>
      <c r="G8107" s="6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6" t="s">
        <v>39</v>
      </c>
      <c r="I8107" s="6" t="s">
        <v>1171</v>
      </c>
      <c r="J8107" s="6" t="s">
        <v>398</v>
      </c>
      <c r="K8107" s="10">
        <v>50</v>
      </c>
      <c r="L8107" s="10">
        <v>50</v>
      </c>
      <c r="M8107" s="6" t="s">
        <v>421</v>
      </c>
      <c r="N8107" s="6">
        <f>IF(OR($G8107="FCC",$G8107="Hydrocracker",$G8107="Reformer"),IF(COUNTIFS($D:$D,$D8107,$A:$A,$A8107,$B:$B,$B8107,$G:$G,"CDU",$J:$J,"PLANNED")&gt;0,"tied","standalone"),"")</f>
        <v/>
      </c>
    </row>
    <row r="8108" spans="1:14">
      <c r="A8108" s="6">
        <v>2026</v>
      </c>
      <c r="B8108" s="6">
        <v>10</v>
      </c>
      <c r="C8108" s="6" t="s">
        <v>69</v>
      </c>
      <c r="D8108" s="6" t="s">
        <v>576</v>
      </c>
      <c r="E8108" s="6" t="s">
        <v>455</v>
      </c>
      <c r="F8108" s="6" t="str">
        <f>IF($M8108="PADD I","PADD 1",IF($M8108="PADD II","PADD 2",IF($M8108="PADD III","PADD 3",IF($M8108="PADD IV","PADD 4",IF($M8108="PADD V","PADD 5","")))))</f>
        <v>PADD 3</v>
      </c>
      <c r="G8108" s="6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6" t="s">
        <v>44</v>
      </c>
      <c r="I8108" s="6" t="s">
        <v>1126</v>
      </c>
      <c r="J8108" s="6" t="s">
        <v>394</v>
      </c>
      <c r="K8108" s="10">
        <v>47</v>
      </c>
      <c r="L8108" s="10">
        <v>47</v>
      </c>
      <c r="M8108" s="6" t="s">
        <v>421</v>
      </c>
      <c r="N8108" s="6">
        <f>IF(OR($G8108="FCC",$G8108="Hydrocracker",$G8108="Reformer"),IF(COUNTIFS($D:$D,$D8108,$A:$A,$A8108,$B:$B,$B8108,$G:$G,"CDU",$J:$J,"PLANNED")&gt;0,"tied","standalone"),"")</f>
        <v/>
      </c>
    </row>
    <row r="8109" spans="1:14">
      <c r="A8109" s="6">
        <v>2026</v>
      </c>
      <c r="B8109" s="6">
        <v>10</v>
      </c>
      <c r="C8109" s="6" t="s">
        <v>69</v>
      </c>
      <c r="D8109" s="6" t="s">
        <v>380</v>
      </c>
      <c r="E8109" s="6" t="s">
        <v>423</v>
      </c>
      <c r="F8109" s="6" t="str">
        <f>IF($M8109="PADD I","PADD 1",IF($M8109="PADD II","PADD 2",IF($M8109="PADD III","PADD 3",IF($M8109="PADD IV","PADD 4",IF($M8109="PADD V","PADD 5","")))))</f>
        <v>PADD 2</v>
      </c>
      <c r="G8109" s="6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6" t="s">
        <v>44</v>
      </c>
      <c r="I8109" s="6" t="s">
        <v>960</v>
      </c>
      <c r="J8109" s="6" t="s">
        <v>398</v>
      </c>
      <c r="K8109" s="10">
        <v>46.62</v>
      </c>
      <c r="L8109" s="10">
        <v>63</v>
      </c>
      <c r="M8109" s="6" t="s">
        <v>425</v>
      </c>
      <c r="N8109" s="6">
        <f>IF(OR($G8109="FCC",$G8109="Hydrocracker",$G8109="Reformer"),IF(COUNTIFS($D:$D,$D8109,$A:$A,$A8109,$B:$B,$B8109,$G:$G,"CDU",$J:$J,"PLANNED")&gt;0,"tied","standalone"),"")</f>
        <v/>
      </c>
    </row>
    <row r="8110" spans="1:14">
      <c r="A8110" s="6">
        <v>2026</v>
      </c>
      <c r="B8110" s="6">
        <v>10</v>
      </c>
      <c r="C8110" s="6" t="s">
        <v>69</v>
      </c>
      <c r="D8110" s="6" t="s">
        <v>445</v>
      </c>
      <c r="E8110" s="6" t="s">
        <v>446</v>
      </c>
      <c r="F8110" s="6" t="str">
        <f>IF($M8110="PADD I","PADD 1",IF($M8110="PADD II","PADD 2",IF($M8110="PADD III","PADD 3",IF($M8110="PADD IV","PADD 4",IF($M8110="PADD V","PADD 5","")))))</f>
        <v>PADD 3</v>
      </c>
      <c r="G8110" s="6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6" t="s">
        <v>44</v>
      </c>
      <c r="I8110" s="6" t="s">
        <v>599</v>
      </c>
      <c r="J8110" s="6" t="s">
        <v>398</v>
      </c>
      <c r="K8110" s="10">
        <v>41.5</v>
      </c>
      <c r="L8110" s="10">
        <v>41.5</v>
      </c>
      <c r="M8110" s="6" t="s">
        <v>421</v>
      </c>
      <c r="N8110" s="6">
        <f>IF(OR($G8110="FCC",$G8110="Hydrocracker",$G8110="Reformer"),IF(COUNTIFS($D:$D,$D8110,$A:$A,$A8110,$B:$B,$B8110,$G:$G,"CDU",$J:$J,"PLANNED")&gt;0,"tied","standalone"),"")</f>
        <v/>
      </c>
    </row>
    <row r="8111" spans="1:14">
      <c r="A8111" s="6">
        <v>2026</v>
      </c>
      <c r="B8111" s="6">
        <v>10</v>
      </c>
      <c r="C8111" s="6" t="s">
        <v>69</v>
      </c>
      <c r="D8111" s="6" t="s">
        <v>380</v>
      </c>
      <c r="E8111" s="6" t="s">
        <v>423</v>
      </c>
      <c r="F8111" s="6" t="str">
        <f>IF($M8111="PADD I","PADD 1",IF($M8111="PADD II","PADD 2",IF($M8111="PADD III","PADD 3",IF($M8111="PADD IV","PADD 4",IF($M8111="PADD V","PADD 5","")))))</f>
        <v>PADD 2</v>
      </c>
      <c r="G8111" s="6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6" t="s">
        <v>428</v>
      </c>
      <c r="I8111" s="6" t="s">
        <v>481</v>
      </c>
      <c r="J8111" s="6" t="s">
        <v>398</v>
      </c>
      <c r="K8111" s="10">
        <v>38.48</v>
      </c>
      <c r="L8111" s="10">
        <v>52</v>
      </c>
      <c r="M8111" s="6" t="s">
        <v>425</v>
      </c>
      <c r="N8111" s="6">
        <f>IF(OR($G8111="FCC",$G8111="Hydrocracker",$G8111="Reformer"),IF(COUNTIFS($D:$D,$D8111,$A:$A,$A8111,$B:$B,$B8111,$G:$G,"CDU",$J:$J,"PLANNED")&gt;0,"tied","standalone"),"")</f>
        <v/>
      </c>
    </row>
    <row r="8112" spans="1:14">
      <c r="A8112" s="6">
        <v>2026</v>
      </c>
      <c r="B8112" s="6">
        <v>10</v>
      </c>
      <c r="C8112" s="6" t="s">
        <v>69</v>
      </c>
      <c r="D8112" s="6" t="s">
        <v>484</v>
      </c>
      <c r="E8112" s="6" t="s">
        <v>438</v>
      </c>
      <c r="F8112" s="6" t="str">
        <f>IF($M8112="PADD I","PADD 1",IF($M8112="PADD II","PADD 2",IF($M8112="PADD III","PADD 3",IF($M8112="PADD IV","PADD 4",IF($M8112="PADD V","PADD 5","")))))</f>
        <v>PADD 5</v>
      </c>
      <c r="G8112" s="6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6" t="s">
        <v>494</v>
      </c>
      <c r="I8112" s="6" t="s">
        <v>14</v>
      </c>
      <c r="J8112" s="6" t="s">
        <v>398</v>
      </c>
      <c r="K8112" s="10">
        <v>36.8</v>
      </c>
      <c r="L8112" s="10">
        <v>36.8</v>
      </c>
      <c r="M8112" s="6" t="s">
        <v>436</v>
      </c>
      <c r="N8112" s="6" t="str">
        <f>IF(OR($G8112="FCC",$G8112="Hydrocracker",$G8112="Reformer"),IF(COUNTIFS($D:$D,$D8112,$A:$A,$A8112,$B:$B,$B8112,$G:$G,"CDU",$J:$J,"PLANNED")&gt;0,"tied","standalone"),"")</f>
        <v>standalone</v>
      </c>
    </row>
    <row r="8113" spans="1:14">
      <c r="A8113" s="6">
        <v>2026</v>
      </c>
      <c r="B8113" s="6">
        <v>10</v>
      </c>
      <c r="C8113" s="6" t="s">
        <v>69</v>
      </c>
      <c r="D8113" s="6" t="s">
        <v>373</v>
      </c>
      <c r="E8113" s="6" t="s">
        <v>438</v>
      </c>
      <c r="F8113" s="6" t="str">
        <f>IF($M8113="PADD I","PADD 1",IF($M8113="PADD II","PADD 2",IF($M8113="PADD III","PADD 3",IF($M8113="PADD IV","PADD 4",IF($M8113="PADD V","PADD 5","")))))</f>
        <v>PADD 3</v>
      </c>
      <c r="G8113" s="6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6" t="s">
        <v>44</v>
      </c>
      <c r="I8113" s="6" t="s">
        <v>998</v>
      </c>
      <c r="J8113" s="6" t="s">
        <v>398</v>
      </c>
      <c r="K8113" s="10">
        <v>30.08</v>
      </c>
      <c r="L8113" s="10">
        <v>94</v>
      </c>
      <c r="M8113" s="6" t="s">
        <v>421</v>
      </c>
      <c r="N8113" s="6">
        <f>IF(OR($G8113="FCC",$G8113="Hydrocracker",$G8113="Reformer"),IF(COUNTIFS($D:$D,$D8113,$A:$A,$A8113,$B:$B,$B8113,$G:$G,"CDU",$J:$J,"PLANNED")&gt;0,"tied","standalone"),"")</f>
        <v/>
      </c>
    </row>
    <row r="8114" spans="1:14">
      <c r="A8114" s="6">
        <v>2026</v>
      </c>
      <c r="B8114" s="6">
        <v>10</v>
      </c>
      <c r="C8114" s="6" t="s">
        <v>69</v>
      </c>
      <c r="D8114" s="6" t="s">
        <v>378</v>
      </c>
      <c r="E8114" s="6" t="s">
        <v>477</v>
      </c>
      <c r="F8114" s="6" t="str">
        <f>IF($M8114="PADD I","PADD 1",IF($M8114="PADD II","PADD 2",IF($M8114="PADD III","PADD 3",IF($M8114="PADD IV","PADD 4",IF($M8114="PADD V","PADD 5","")))))</f>
        <v>PADD 3</v>
      </c>
      <c r="G8114" s="6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6" t="s">
        <v>485</v>
      </c>
      <c r="I8114" s="6" t="s">
        <v>1298</v>
      </c>
      <c r="J8114" s="6" t="s">
        <v>398</v>
      </c>
      <c r="K8114" s="10">
        <v>30</v>
      </c>
      <c r="L8114" s="10">
        <v>30</v>
      </c>
      <c r="M8114" s="6" t="s">
        <v>421</v>
      </c>
      <c r="N8114" s="6">
        <f>IF(OR($G8114="FCC",$G8114="Hydrocracker",$G8114="Reformer"),IF(COUNTIFS($D:$D,$D8114,$A:$A,$A8114,$B:$B,$B8114,$G:$G,"CDU",$J:$J,"PLANNED")&gt;0,"tied","standalone"),"")</f>
        <v/>
      </c>
    </row>
    <row r="8115" spans="1:14">
      <c r="A8115" s="6">
        <v>2026</v>
      </c>
      <c r="B8115" s="6">
        <v>10</v>
      </c>
      <c r="C8115" s="6" t="s">
        <v>69</v>
      </c>
      <c r="D8115" s="6" t="s">
        <v>380</v>
      </c>
      <c r="E8115" s="6" t="s">
        <v>423</v>
      </c>
      <c r="F8115" s="6" t="str">
        <f>IF($M8115="PADD I","PADD 1",IF($M8115="PADD II","PADD 2",IF($M8115="PADD III","PADD 3",IF($M8115="PADD IV","PADD 4",IF($M8115="PADD V","PADD 5","")))))</f>
        <v>PADD 2</v>
      </c>
      <c r="G8115" s="6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6" t="s">
        <v>426</v>
      </c>
      <c r="I8115" s="6" t="s">
        <v>106</v>
      </c>
      <c r="J8115" s="6" t="s">
        <v>398</v>
      </c>
      <c r="K8115" s="10">
        <v>29.6</v>
      </c>
      <c r="L8115" s="10">
        <v>40</v>
      </c>
      <c r="M8115" s="6" t="s">
        <v>425</v>
      </c>
      <c r="N8115" s="6" t="str">
        <f>IF(OR($G8115="FCC",$G8115="Hydrocracker",$G8115="Reformer"),IF(COUNTIFS($D:$D,$D8115,$A:$A,$A8115,$B:$B,$B8115,$G:$G,"CDU",$J:$J,"PLANNED")&gt;0,"tied","standalone"),"")</f>
        <v>tied</v>
      </c>
    </row>
    <row r="8116" spans="1:14">
      <c r="A8116" s="6">
        <v>2026</v>
      </c>
      <c r="B8116" s="6">
        <v>10</v>
      </c>
      <c r="C8116" s="6" t="s">
        <v>69</v>
      </c>
      <c r="D8116" s="6" t="s">
        <v>380</v>
      </c>
      <c r="E8116" s="6" t="s">
        <v>423</v>
      </c>
      <c r="F8116" s="6" t="str">
        <f>IF($M8116="PADD I","PADD 1",IF($M8116="PADD II","PADD 2",IF($M8116="PADD III","PADD 3",IF($M8116="PADD IV","PADD 4",IF($M8116="PADD V","PADD 5","")))))</f>
        <v>PADD 2</v>
      </c>
      <c r="G8116" s="6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6" t="s">
        <v>471</v>
      </c>
      <c r="I8116" s="6" t="s">
        <v>966</v>
      </c>
      <c r="J8116" s="6" t="s">
        <v>398</v>
      </c>
      <c r="K8116" s="10">
        <v>29.6</v>
      </c>
      <c r="L8116" s="10">
        <v>40</v>
      </c>
      <c r="M8116" s="6" t="s">
        <v>425</v>
      </c>
      <c r="N8116" s="6" t="str">
        <f>IF(OR($G8116="FCC",$G8116="Hydrocracker",$G8116="Reformer"),IF(COUNTIFS($D:$D,$D8116,$A:$A,$A8116,$B:$B,$B8116,$G:$G,"CDU",$J:$J,"PLANNED")&gt;0,"tied","standalone"),"")</f>
        <v>tied</v>
      </c>
    </row>
    <row r="8117" spans="1:14">
      <c r="A8117" s="6">
        <v>2026</v>
      </c>
      <c r="B8117" s="6">
        <v>10</v>
      </c>
      <c r="C8117" s="6" t="s">
        <v>69</v>
      </c>
      <c r="D8117" s="6" t="s">
        <v>725</v>
      </c>
      <c r="E8117" s="6" t="s">
        <v>502</v>
      </c>
      <c r="F8117" s="6" t="str">
        <f>IF($M8117="PADD I","PADD 1",IF($M8117="PADD II","PADD 2",IF($M8117="PADD III","PADD 3",IF($M8117="PADD IV","PADD 4",IF($M8117="PADD V","PADD 5","")))))</f>
        <v>PADD 2</v>
      </c>
      <c r="G8117" s="6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6" t="s">
        <v>428</v>
      </c>
      <c r="I8117" s="6" t="s">
        <v>481</v>
      </c>
      <c r="J8117" s="6" t="s">
        <v>398</v>
      </c>
      <c r="K8117" s="10">
        <v>26.88</v>
      </c>
      <c r="L8117" s="10">
        <v>56</v>
      </c>
      <c r="M8117" s="6" t="s">
        <v>425</v>
      </c>
      <c r="N8117" s="6">
        <f>IF(OR($G8117="FCC",$G8117="Hydrocracker",$G8117="Reformer"),IF(COUNTIFS($D:$D,$D8117,$A:$A,$A8117,$B:$B,$B8117,$G:$G,"CDU",$J:$J,"PLANNED")&gt;0,"tied","standalone"),"")</f>
        <v/>
      </c>
    </row>
    <row r="8118" spans="1:14">
      <c r="A8118" s="6">
        <v>2026</v>
      </c>
      <c r="B8118" s="6">
        <v>10</v>
      </c>
      <c r="C8118" s="6" t="s">
        <v>69</v>
      </c>
      <c r="D8118" s="6" t="s">
        <v>581</v>
      </c>
      <c r="E8118" s="6" t="s">
        <v>582</v>
      </c>
      <c r="F8118" s="6" t="str">
        <f>IF($M8118="PADD I","PADD 1",IF($M8118="PADD II","PADD 2",IF($M8118="PADD III","PADD 3",IF($M8118="PADD IV","PADD 4",IF($M8118="PADD V","PADD 5","")))))</f>
        <v>PADD 5</v>
      </c>
      <c r="G8118" s="6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6" t="s">
        <v>485</v>
      </c>
      <c r="I8118" s="6" t="s">
        <v>664</v>
      </c>
      <c r="J8118" s="6" t="s">
        <v>398</v>
      </c>
      <c r="K8118" s="10">
        <v>26.19</v>
      </c>
      <c r="L8118" s="10">
        <v>27</v>
      </c>
      <c r="M8118" s="6" t="s">
        <v>436</v>
      </c>
      <c r="N8118" s="6">
        <f>IF(OR($G8118="FCC",$G8118="Hydrocracker",$G8118="Reformer"),IF(COUNTIFS($D:$D,$D8118,$A:$A,$A8118,$B:$B,$B8118,$G:$G,"CDU",$J:$J,"PLANNED")&gt;0,"tied","standalone"),"")</f>
        <v/>
      </c>
    </row>
    <row r="8119" spans="1:14">
      <c r="A8119" s="6">
        <v>2026</v>
      </c>
      <c r="B8119" s="6">
        <v>10</v>
      </c>
      <c r="C8119" s="6" t="s">
        <v>69</v>
      </c>
      <c r="D8119" s="6" t="s">
        <v>380</v>
      </c>
      <c r="E8119" s="6" t="s">
        <v>423</v>
      </c>
      <c r="F8119" s="6" t="str">
        <f>IF($M8119="PADD I","PADD 1",IF($M8119="PADD II","PADD 2",IF($M8119="PADD III","PADD 3",IF($M8119="PADD IV","PADD 4",IF($M8119="PADD V","PADD 5","")))))</f>
        <v>PADD 2</v>
      </c>
      <c r="G8119" s="6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6" t="s">
        <v>44</v>
      </c>
      <c r="I8119" s="6" t="s">
        <v>508</v>
      </c>
      <c r="J8119" s="6" t="s">
        <v>398</v>
      </c>
      <c r="K8119" s="10">
        <v>25.9</v>
      </c>
      <c r="L8119" s="10">
        <v>35</v>
      </c>
      <c r="M8119" s="6" t="s">
        <v>425</v>
      </c>
      <c r="N8119" s="6">
        <f>IF(OR($G8119="FCC",$G8119="Hydrocracker",$G8119="Reformer"),IF(COUNTIFS($D:$D,$D8119,$A:$A,$A8119,$B:$B,$B8119,$G:$G,"CDU",$J:$J,"PLANNED")&gt;0,"tied","standalone"),"")</f>
        <v/>
      </c>
    </row>
    <row r="8120" spans="1:14">
      <c r="A8120" s="6">
        <v>2026</v>
      </c>
      <c r="B8120" s="6">
        <v>10</v>
      </c>
      <c r="C8120" s="6" t="s">
        <v>69</v>
      </c>
      <c r="D8120" s="6" t="s">
        <v>465</v>
      </c>
      <c r="E8120" s="6" t="s">
        <v>466</v>
      </c>
      <c r="F8120" s="6" t="str">
        <f>IF($M8120="PADD I","PADD 1",IF($M8120="PADD II","PADD 2",IF($M8120="PADD III","PADD 3",IF($M8120="PADD IV","PADD 4",IF($M8120="PADD V","PADD 5","")))))</f>
        <v>PADD 3</v>
      </c>
      <c r="G8120" s="6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6" t="s">
        <v>485</v>
      </c>
      <c r="I8120" s="6" t="s">
        <v>1219</v>
      </c>
      <c r="J8120" s="6" t="s">
        <v>398</v>
      </c>
      <c r="K8120" s="10">
        <v>25.2</v>
      </c>
      <c r="L8120" s="10">
        <v>60</v>
      </c>
      <c r="M8120" s="6" t="s">
        <v>421</v>
      </c>
      <c r="N8120" s="6">
        <f>IF(OR($G8120="FCC",$G8120="Hydrocracker",$G8120="Reformer"),IF(COUNTIFS($D:$D,$D8120,$A:$A,$A8120,$B:$B,$B8120,$G:$G,"CDU",$J:$J,"PLANNED")&gt;0,"tied","standalone"),"")</f>
        <v/>
      </c>
    </row>
    <row r="8121" spans="1:14">
      <c r="A8121" s="6">
        <v>2026</v>
      </c>
      <c r="B8121" s="6">
        <v>10</v>
      </c>
      <c r="C8121" s="6" t="s">
        <v>69</v>
      </c>
      <c r="D8121" s="6" t="s">
        <v>380</v>
      </c>
      <c r="E8121" s="6" t="s">
        <v>423</v>
      </c>
      <c r="F8121" s="6" t="str">
        <f>IF($M8121="PADD I","PADD 1",IF($M8121="PADD II","PADD 2",IF($M8121="PADD III","PADD 3",IF($M8121="PADD IV","PADD 4",IF($M8121="PADD V","PADD 5","")))))</f>
        <v>PADD 2</v>
      </c>
      <c r="G8121" s="6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6" t="s">
        <v>485</v>
      </c>
      <c r="I8121" s="6" t="s">
        <v>491</v>
      </c>
      <c r="J8121" s="6" t="s">
        <v>398</v>
      </c>
      <c r="K8121" s="10">
        <v>23.162</v>
      </c>
      <c r="L8121" s="10">
        <v>31.3</v>
      </c>
      <c r="M8121" s="6" t="s">
        <v>425</v>
      </c>
      <c r="N8121" s="6">
        <f>IF(OR($G8121="FCC",$G8121="Hydrocracker",$G8121="Reformer"),IF(COUNTIFS($D:$D,$D8121,$A:$A,$A8121,$B:$B,$B8121,$G:$G,"CDU",$J:$J,"PLANNED")&gt;0,"tied","standalone"),"")</f>
        <v/>
      </c>
    </row>
    <row r="8122" spans="1:14">
      <c r="A8122" s="6">
        <v>2026</v>
      </c>
      <c r="B8122" s="6">
        <v>10</v>
      </c>
      <c r="C8122" s="6" t="s">
        <v>69</v>
      </c>
      <c r="D8122" s="6" t="s">
        <v>662</v>
      </c>
      <c r="E8122" s="6" t="s">
        <v>466</v>
      </c>
      <c r="F8122" s="6" t="str">
        <f>IF($M8122="PADD I","PADD 1",IF($M8122="PADD II","PADD 2",IF($M8122="PADD III","PADD 3",IF($M8122="PADD IV","PADD 4",IF($M8122="PADD V","PADD 5","")))))</f>
        <v>PADD 3</v>
      </c>
      <c r="G8122" s="6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6" t="s">
        <v>44</v>
      </c>
      <c r="I8122" s="6" t="s">
        <v>887</v>
      </c>
      <c r="J8122" s="6" t="s">
        <v>398</v>
      </c>
      <c r="K8122" s="10">
        <v>19.4</v>
      </c>
      <c r="L8122" s="10">
        <v>20</v>
      </c>
      <c r="M8122" s="6" t="s">
        <v>421</v>
      </c>
      <c r="N8122" s="6">
        <f>IF(OR($G8122="FCC",$G8122="Hydrocracker",$G8122="Reformer"),IF(COUNTIFS($D:$D,$D8122,$A:$A,$A8122,$B:$B,$B8122,$G:$G,"CDU",$J:$J,"PLANNED")&gt;0,"tied","standalone"),"")</f>
        <v/>
      </c>
    </row>
    <row r="8123" spans="1:14">
      <c r="A8123" s="6">
        <v>2026</v>
      </c>
      <c r="B8123" s="6">
        <v>10</v>
      </c>
      <c r="C8123" s="6" t="s">
        <v>69</v>
      </c>
      <c r="D8123" s="6" t="s">
        <v>662</v>
      </c>
      <c r="E8123" s="6" t="s">
        <v>466</v>
      </c>
      <c r="F8123" s="6" t="str">
        <f>IF($M8123="PADD I","PADD 1",IF($M8123="PADD II","PADD 2",IF($M8123="PADD III","PADD 3",IF($M8123="PADD IV","PADD 4",IF($M8123="PADD V","PADD 5","")))))</f>
        <v>PADD 3</v>
      </c>
      <c r="G8123" s="6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6" t="s">
        <v>471</v>
      </c>
      <c r="I8123" s="6" t="s">
        <v>805</v>
      </c>
      <c r="J8123" s="6" t="s">
        <v>398</v>
      </c>
      <c r="K8123" s="10">
        <v>19.4</v>
      </c>
      <c r="L8123" s="10">
        <v>20</v>
      </c>
      <c r="M8123" s="6" t="s">
        <v>421</v>
      </c>
      <c r="N8123" s="6" t="str">
        <f>IF(OR($G8123="FCC",$G8123="Hydrocracker",$G8123="Reformer"),IF(COUNTIFS($D:$D,$D8123,$A:$A,$A8123,$B:$B,$B8123,$G:$G,"CDU",$J:$J,"PLANNED")&gt;0,"tied","standalone"),"")</f>
        <v>standalone</v>
      </c>
    </row>
    <row r="8124" spans="1:14">
      <c r="A8124" s="6">
        <v>2026</v>
      </c>
      <c r="B8124" s="6">
        <v>10</v>
      </c>
      <c r="C8124" s="6" t="s">
        <v>69</v>
      </c>
      <c r="D8124" s="6" t="s">
        <v>380</v>
      </c>
      <c r="E8124" s="6" t="s">
        <v>423</v>
      </c>
      <c r="F8124" s="6" t="str">
        <f>IF($M8124="PADD I","PADD 1",IF($M8124="PADD II","PADD 2",IF($M8124="PADD III","PADD 3",IF($M8124="PADD IV","PADD 4",IF($M8124="PADD V","PADD 5","")))))</f>
        <v>PADD 2</v>
      </c>
      <c r="G8124" s="6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6" t="s">
        <v>494</v>
      </c>
      <c r="I8124" s="6" t="s">
        <v>495</v>
      </c>
      <c r="J8124" s="6" t="s">
        <v>398</v>
      </c>
      <c r="K8124" s="10">
        <v>19.24</v>
      </c>
      <c r="L8124" s="10">
        <v>26</v>
      </c>
      <c r="M8124" s="6" t="s">
        <v>425</v>
      </c>
      <c r="N8124" s="6" t="str">
        <f>IF(OR($G8124="FCC",$G8124="Hydrocracker",$G8124="Reformer"),IF(COUNTIFS($D:$D,$D8124,$A:$A,$A8124,$B:$B,$B8124,$G:$G,"CDU",$J:$J,"PLANNED")&gt;0,"tied","standalone"),"")</f>
        <v>tied</v>
      </c>
    </row>
    <row r="8125" spans="1:14">
      <c r="A8125" s="6">
        <v>2026</v>
      </c>
      <c r="B8125" s="6">
        <v>10</v>
      </c>
      <c r="C8125" s="6" t="s">
        <v>69</v>
      </c>
      <c r="D8125" s="6" t="s">
        <v>725</v>
      </c>
      <c r="E8125" s="6" t="s">
        <v>502</v>
      </c>
      <c r="F8125" s="6" t="str">
        <f>IF($M8125="PADD I","PADD 1",IF($M8125="PADD II","PADD 2",IF($M8125="PADD III","PADD 3",IF($M8125="PADD IV","PADD 4",IF($M8125="PADD V","PADD 5","")))))</f>
        <v>PADD 2</v>
      </c>
      <c r="G8125" s="6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6" t="s">
        <v>426</v>
      </c>
      <c r="I8125" s="6" t="s">
        <v>106</v>
      </c>
      <c r="J8125" s="6" t="s">
        <v>398</v>
      </c>
      <c r="K8125" s="10">
        <v>18.72</v>
      </c>
      <c r="L8125" s="10">
        <v>39</v>
      </c>
      <c r="M8125" s="6" t="s">
        <v>425</v>
      </c>
      <c r="N8125" s="6" t="str">
        <f>IF(OR($G8125="FCC",$G8125="Hydrocracker",$G8125="Reformer"),IF(COUNTIFS($D:$D,$D8125,$A:$A,$A8125,$B:$B,$B8125,$G:$G,"CDU",$J:$J,"PLANNED")&gt;0,"tied","standalone"),"")</f>
        <v>tied</v>
      </c>
    </row>
    <row r="8126" spans="1:14">
      <c r="A8126" s="6">
        <v>2026</v>
      </c>
      <c r="B8126" s="6">
        <v>10</v>
      </c>
      <c r="C8126" s="6" t="s">
        <v>69</v>
      </c>
      <c r="D8126" s="6" t="s">
        <v>445</v>
      </c>
      <c r="E8126" s="6" t="s">
        <v>446</v>
      </c>
      <c r="F8126" s="6" t="str">
        <f>IF($M8126="PADD I","PADD 1",IF($M8126="PADD II","PADD 2",IF($M8126="PADD III","PADD 3",IF($M8126="PADD IV","PADD 4",IF($M8126="PADD V","PADD 5","")))))</f>
        <v>PADD 3</v>
      </c>
      <c r="G8126" s="6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6" t="s">
        <v>426</v>
      </c>
      <c r="I8126" s="6" t="s">
        <v>106</v>
      </c>
      <c r="J8126" s="6" t="s">
        <v>398</v>
      </c>
      <c r="K8126" s="10">
        <v>17.5</v>
      </c>
      <c r="L8126" s="10">
        <v>17.5</v>
      </c>
      <c r="M8126" s="6" t="s">
        <v>421</v>
      </c>
      <c r="N8126" s="6" t="str">
        <f>IF(OR($G8126="FCC",$G8126="Hydrocracker",$G8126="Reformer"),IF(COUNTIFS($D:$D,$D8126,$A:$A,$A8126,$B:$B,$B8126,$G:$G,"CDU",$J:$J,"PLANNED")&gt;0,"tied","standalone"),"")</f>
        <v>standalone</v>
      </c>
    </row>
    <row r="8127" spans="1:14">
      <c r="A8127" s="6">
        <v>2026</v>
      </c>
      <c r="B8127" s="6">
        <v>10</v>
      </c>
      <c r="C8127" s="6" t="s">
        <v>69</v>
      </c>
      <c r="D8127" s="6" t="s">
        <v>445</v>
      </c>
      <c r="E8127" s="6" t="s">
        <v>446</v>
      </c>
      <c r="F8127" s="6" t="str">
        <f>IF($M8127="PADD I","PADD 1",IF($M8127="PADD II","PADD 2",IF($M8127="PADD III","PADD 3",IF($M8127="PADD IV","PADD 4",IF($M8127="PADD V","PADD 5","")))))</f>
        <v>PADD 3</v>
      </c>
      <c r="G8127" s="6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6" t="s">
        <v>510</v>
      </c>
      <c r="I8127" s="6" t="s">
        <v>511</v>
      </c>
      <c r="J8127" s="6" t="s">
        <v>398</v>
      </c>
      <c r="K8127" s="10">
        <v>16.296</v>
      </c>
      <c r="L8127" s="10">
        <v>16.8</v>
      </c>
      <c r="M8127" s="6" t="s">
        <v>421</v>
      </c>
      <c r="N8127" s="6">
        <f>IF(OR($G8127="FCC",$G8127="Hydrocracker",$G8127="Reformer"),IF(COUNTIFS($D:$D,$D8127,$A:$A,$A8127,$B:$B,$B8127,$G:$G,"CDU",$J:$J,"PLANNED")&gt;0,"tied","standalone"),"")</f>
        <v/>
      </c>
    </row>
    <row r="8128" spans="1:14">
      <c r="A8128" s="6">
        <v>2026</v>
      </c>
      <c r="B8128" s="6">
        <v>10</v>
      </c>
      <c r="C8128" s="6" t="s">
        <v>69</v>
      </c>
      <c r="D8128" s="6" t="s">
        <v>484</v>
      </c>
      <c r="E8128" s="6" t="s">
        <v>438</v>
      </c>
      <c r="F8128" s="6" t="str">
        <f>IF($M8128="PADD I","PADD 1",IF($M8128="PADD II","PADD 2",IF($M8128="PADD III","PADD 3",IF($M8128="PADD IV","PADD 4",IF($M8128="PADD V","PADD 5","")))))</f>
        <v>PADD 5</v>
      </c>
      <c r="G8128" s="6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6" t="s">
        <v>471</v>
      </c>
      <c r="I8128" s="6" t="s">
        <v>721</v>
      </c>
      <c r="J8128" s="6" t="s">
        <v>398</v>
      </c>
      <c r="K8128" s="10">
        <v>15</v>
      </c>
      <c r="L8128" s="10">
        <v>15</v>
      </c>
      <c r="M8128" s="6" t="s">
        <v>436</v>
      </c>
      <c r="N8128" s="6" t="str">
        <f>IF(OR($G8128="FCC",$G8128="Hydrocracker",$G8128="Reformer"),IF(COUNTIFS($D:$D,$D8128,$A:$A,$A8128,$B:$B,$B8128,$G:$G,"CDU",$J:$J,"PLANNED")&gt;0,"tied","standalone"),"")</f>
        <v>standalone</v>
      </c>
    </row>
    <row r="8129" spans="1:14">
      <c r="A8129" s="6">
        <v>2026</v>
      </c>
      <c r="B8129" s="6">
        <v>10</v>
      </c>
      <c r="C8129" s="6" t="s">
        <v>69</v>
      </c>
      <c r="D8129" s="6" t="s">
        <v>597</v>
      </c>
      <c r="E8129" s="6" t="s">
        <v>441</v>
      </c>
      <c r="F8129" s="6" t="str">
        <f>IF($M8129="PADD I","PADD 1",IF($M8129="PADD II","PADD 2",IF($M8129="PADD III","PADD 3",IF($M8129="PADD IV","PADD 4",IF($M8129="PADD V","PADD 5","")))))</f>
        <v>PADD 5</v>
      </c>
      <c r="G8129" s="6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6" t="s">
        <v>510</v>
      </c>
      <c r="I8129" s="6" t="s">
        <v>511</v>
      </c>
      <c r="J8129" s="6" t="s">
        <v>398</v>
      </c>
      <c r="K8129" s="10">
        <v>14.8</v>
      </c>
      <c r="L8129" s="10">
        <v>20</v>
      </c>
      <c r="M8129" s="6" t="s">
        <v>436</v>
      </c>
      <c r="N8129" s="6">
        <f>IF(OR($G8129="FCC",$G8129="Hydrocracker",$G8129="Reformer"),IF(COUNTIFS($D:$D,$D8129,$A:$A,$A8129,$B:$B,$B8129,$G:$G,"CDU",$J:$J,"PLANNED")&gt;0,"tied","standalone"),"")</f>
        <v/>
      </c>
    </row>
    <row r="8130" spans="1:14">
      <c r="A8130" s="6">
        <v>2026</v>
      </c>
      <c r="B8130" s="6">
        <v>10</v>
      </c>
      <c r="C8130" s="6" t="s">
        <v>69</v>
      </c>
      <c r="D8130" s="6" t="s">
        <v>380</v>
      </c>
      <c r="E8130" s="6" t="s">
        <v>423</v>
      </c>
      <c r="F8130" s="6" t="str">
        <f>IF($M8130="PADD I","PADD 1",IF($M8130="PADD II","PADD 2",IF($M8130="PADD III","PADD 3",IF($M8130="PADD IV","PADD 4",IF($M8130="PADD V","PADD 5","")))))</f>
        <v>PADD 2</v>
      </c>
      <c r="G8130" s="6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6" t="s">
        <v>44</v>
      </c>
      <c r="I8130" s="6" t="s">
        <v>975</v>
      </c>
      <c r="J8130" s="6" t="s">
        <v>398</v>
      </c>
      <c r="K8130" s="10">
        <v>14.8</v>
      </c>
      <c r="L8130" s="10">
        <v>20</v>
      </c>
      <c r="M8130" s="6" t="s">
        <v>425</v>
      </c>
      <c r="N8130" s="6">
        <f>IF(OR($G8130="FCC",$G8130="Hydrocracker",$G8130="Reformer"),IF(COUNTIFS($D:$D,$D8130,$A:$A,$A8130,$B:$B,$B8130,$G:$G,"CDU",$J:$J,"PLANNED")&gt;0,"tied","standalone"),"")</f>
        <v/>
      </c>
    </row>
    <row r="8131" spans="1:14">
      <c r="A8131" s="6">
        <v>2026</v>
      </c>
      <c r="B8131" s="6">
        <v>10</v>
      </c>
      <c r="C8131" s="6" t="s">
        <v>69</v>
      </c>
      <c r="D8131" s="6" t="s">
        <v>375</v>
      </c>
      <c r="E8131" s="6" t="s">
        <v>435</v>
      </c>
      <c r="F8131" s="6" t="str">
        <f>IF($M8131="PADD I","PADD 1",IF($M8131="PADD II","PADD 2",IF($M8131="PADD III","PADD 3",IF($M8131="PADD IV","PADD 4",IF($M8131="PADD V","PADD 5","")))))</f>
        <v>PADD 5</v>
      </c>
      <c r="G8131" s="6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6" t="s">
        <v>494</v>
      </c>
      <c r="I8131" s="6" t="s">
        <v>548</v>
      </c>
      <c r="J8131" s="6" t="s">
        <v>398</v>
      </c>
      <c r="K8131" s="10">
        <v>14.7</v>
      </c>
      <c r="L8131" s="10">
        <v>42</v>
      </c>
      <c r="M8131" s="6" t="s">
        <v>436</v>
      </c>
      <c r="N8131" s="6" t="str">
        <f>IF(OR($G8131="FCC",$G8131="Hydrocracker",$G8131="Reformer"),IF(COUNTIFS($D:$D,$D8131,$A:$A,$A8131,$B:$B,$B8131,$G:$G,"CDU",$J:$J,"PLANNED")&gt;0,"tied","standalone"),"")</f>
        <v>standalone</v>
      </c>
    </row>
    <row r="8132" spans="1:14">
      <c r="A8132" s="6">
        <v>2026</v>
      </c>
      <c r="B8132" s="6">
        <v>10</v>
      </c>
      <c r="C8132" s="6" t="s">
        <v>69</v>
      </c>
      <c r="D8132" s="6" t="s">
        <v>725</v>
      </c>
      <c r="E8132" s="6" t="s">
        <v>502</v>
      </c>
      <c r="F8132" s="6" t="str">
        <f>IF($M8132="PADD I","PADD 1",IF($M8132="PADD II","PADD 2",IF($M8132="PADD III","PADD 3",IF($M8132="PADD IV","PADD 4",IF($M8132="PADD V","PADD 5","")))))</f>
        <v>PADD 2</v>
      </c>
      <c r="G8132" s="6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6" t="s">
        <v>471</v>
      </c>
      <c r="I8132" s="6" t="s">
        <v>748</v>
      </c>
      <c r="J8132" s="6" t="s">
        <v>398</v>
      </c>
      <c r="K8132" s="10">
        <v>10.56</v>
      </c>
      <c r="L8132" s="10">
        <v>22</v>
      </c>
      <c r="M8132" s="6" t="s">
        <v>425</v>
      </c>
      <c r="N8132" s="6" t="str">
        <f>IF(OR($G8132="FCC",$G8132="Hydrocracker",$G8132="Reformer"),IF(COUNTIFS($D:$D,$D8132,$A:$A,$A8132,$B:$B,$B8132,$G:$G,"CDU",$J:$J,"PLANNED")&gt;0,"tied","standalone"),"")</f>
        <v>tied</v>
      </c>
    </row>
    <row r="8133" spans="1:14">
      <c r="A8133" s="6">
        <v>2026</v>
      </c>
      <c r="B8133" s="6">
        <v>10</v>
      </c>
      <c r="C8133" s="6" t="s">
        <v>69</v>
      </c>
      <c r="D8133" s="6" t="s">
        <v>375</v>
      </c>
      <c r="E8133" s="6" t="s">
        <v>435</v>
      </c>
      <c r="F8133" s="6" t="str">
        <f>IF($M8133="PADD I","PADD 1",IF($M8133="PADD II","PADD 2",IF($M8133="PADD III","PADD 3",IF($M8133="PADD IV","PADD 4",IF($M8133="PADD V","PADD 5","")))))</f>
        <v>PADD 5</v>
      </c>
      <c r="G8133" s="6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6" t="s">
        <v>471</v>
      </c>
      <c r="I8133" s="6" t="s">
        <v>15</v>
      </c>
      <c r="J8133" s="6" t="s">
        <v>398</v>
      </c>
      <c r="K8133" s="10">
        <v>10.325</v>
      </c>
      <c r="L8133" s="10">
        <v>29.5</v>
      </c>
      <c r="M8133" s="6" t="s">
        <v>436</v>
      </c>
      <c r="N8133" s="6" t="str">
        <f>IF(OR($G8133="FCC",$G8133="Hydrocracker",$G8133="Reformer"),IF(COUNTIFS($D:$D,$D8133,$A:$A,$A8133,$B:$B,$B8133,$G:$G,"CDU",$J:$J,"PLANNED")&gt;0,"tied","standalone"),"")</f>
        <v>standalone</v>
      </c>
    </row>
    <row r="8134" spans="1:14">
      <c r="A8134" s="6">
        <v>2026</v>
      </c>
      <c r="B8134" s="6">
        <v>10</v>
      </c>
      <c r="C8134" s="6" t="s">
        <v>69</v>
      </c>
      <c r="D8134" s="6" t="s">
        <v>725</v>
      </c>
      <c r="E8134" s="6" t="s">
        <v>502</v>
      </c>
      <c r="F8134" s="6" t="str">
        <f>IF($M8134="PADD I","PADD 1",IF($M8134="PADD II","PADD 2",IF($M8134="PADD III","PADD 3",IF($M8134="PADD IV","PADD 4",IF($M8134="PADD V","PADD 5","")))))</f>
        <v>PADD 2</v>
      </c>
      <c r="G8134" s="6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6" t="s">
        <v>485</v>
      </c>
      <c r="I8134" s="6" t="s">
        <v>491</v>
      </c>
      <c r="J8134" s="6" t="s">
        <v>398</v>
      </c>
      <c r="K8134" s="10">
        <v>9.84</v>
      </c>
      <c r="L8134" s="10">
        <v>20.5</v>
      </c>
      <c r="M8134" s="6" t="s">
        <v>425</v>
      </c>
      <c r="N8134" s="6">
        <f>IF(OR($G8134="FCC",$G8134="Hydrocracker",$G8134="Reformer"),IF(COUNTIFS($D:$D,$D8134,$A:$A,$A8134,$B:$B,$B8134,$G:$G,"CDU",$J:$J,"PLANNED")&gt;0,"tied","standalone"),"")</f>
        <v/>
      </c>
    </row>
    <row r="8135" spans="1:14">
      <c r="A8135" s="6">
        <v>2026</v>
      </c>
      <c r="B8135" s="6">
        <v>10</v>
      </c>
      <c r="C8135" s="6" t="s">
        <v>69</v>
      </c>
      <c r="D8135" s="6" t="s">
        <v>725</v>
      </c>
      <c r="E8135" s="6" t="s">
        <v>502</v>
      </c>
      <c r="F8135" s="6" t="str">
        <f>IF($M8135="PADD I","PADD 1",IF($M8135="PADD II","PADD 2",IF($M8135="PADD III","PADD 3",IF($M8135="PADD IV","PADD 4",IF($M8135="PADD V","PADD 5","")))))</f>
        <v>PADD 2</v>
      </c>
      <c r="G8135" s="6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6" t="s">
        <v>485</v>
      </c>
      <c r="I8135" s="6" t="s">
        <v>491</v>
      </c>
      <c r="J8135" s="6" t="s">
        <v>398</v>
      </c>
      <c r="K8135" s="10">
        <v>9.84</v>
      </c>
      <c r="L8135" s="10">
        <v>20.5</v>
      </c>
      <c r="M8135" s="6" t="s">
        <v>425</v>
      </c>
      <c r="N8135" s="6">
        <f>IF(OR($G8135="FCC",$G8135="Hydrocracker",$G8135="Reformer"),IF(COUNTIFS($D:$D,$D8135,$A:$A,$A8135,$B:$B,$B8135,$G:$G,"CDU",$J:$J,"PLANNED")&gt;0,"tied","standalone"),"")</f>
        <v/>
      </c>
    </row>
    <row r="8136" spans="1:14">
      <c r="A8136" s="6">
        <v>2026</v>
      </c>
      <c r="B8136" s="6">
        <v>10</v>
      </c>
      <c r="C8136" s="6" t="s">
        <v>69</v>
      </c>
      <c r="D8136" s="6" t="s">
        <v>375</v>
      </c>
      <c r="E8136" s="6" t="s">
        <v>435</v>
      </c>
      <c r="F8136" s="6" t="str">
        <f>IF($M8136="PADD I","PADD 1",IF($M8136="PADD II","PADD 2",IF($M8136="PADD III","PADD 3",IF($M8136="PADD IV","PADD 4",IF($M8136="PADD V","PADD 5","")))))</f>
        <v>PADD 5</v>
      </c>
      <c r="G8136" s="6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6" t="s">
        <v>44</v>
      </c>
      <c r="I8136" s="6" t="s">
        <v>1233</v>
      </c>
      <c r="J8136" s="6" t="s">
        <v>398</v>
      </c>
      <c r="K8136" s="10">
        <v>9.1</v>
      </c>
      <c r="L8136" s="10">
        <v>26</v>
      </c>
      <c r="M8136" s="6" t="s">
        <v>436</v>
      </c>
      <c r="N8136" s="6">
        <f>IF(OR($G8136="FCC",$G8136="Hydrocracker",$G8136="Reformer"),IF(COUNTIFS($D:$D,$D8136,$A:$A,$A8136,$B:$B,$B8136,$G:$G,"CDU",$J:$J,"PLANNED")&gt;0,"tied","standalone"),"")</f>
        <v/>
      </c>
    </row>
    <row r="8137" spans="1:14">
      <c r="A8137" s="6">
        <v>2026</v>
      </c>
      <c r="B8137" s="6">
        <v>10</v>
      </c>
      <c r="C8137" s="6" t="s">
        <v>69</v>
      </c>
      <c r="D8137" s="6" t="s">
        <v>725</v>
      </c>
      <c r="E8137" s="6" t="s">
        <v>502</v>
      </c>
      <c r="F8137" s="6" t="str">
        <f>IF($M8137="PADD I","PADD 1",IF($M8137="PADD II","PADD 2",IF($M8137="PADD III","PADD 3",IF($M8137="PADD IV","PADD 4",IF($M8137="PADD V","PADD 5","")))))</f>
        <v>PADD 2</v>
      </c>
      <c r="G8137" s="6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6" t="s">
        <v>44</v>
      </c>
      <c r="I8137" s="6" t="s">
        <v>754</v>
      </c>
      <c r="J8137" s="6" t="s">
        <v>398</v>
      </c>
      <c r="K8137" s="10">
        <v>8.640000000000001</v>
      </c>
      <c r="L8137" s="10">
        <v>18</v>
      </c>
      <c r="M8137" s="6" t="s">
        <v>425</v>
      </c>
      <c r="N8137" s="6">
        <f>IF(OR($G8137="FCC",$G8137="Hydrocracker",$G8137="Reformer"),IF(COUNTIFS($D:$D,$D8137,$A:$A,$A8137,$B:$B,$B8137,$G:$G,"CDU",$J:$J,"PLANNED")&gt;0,"tied","standalone"),"")</f>
        <v/>
      </c>
    </row>
    <row r="8138" spans="1:14">
      <c r="A8138" s="6">
        <v>2026</v>
      </c>
      <c r="B8138" s="6">
        <v>10</v>
      </c>
      <c r="C8138" s="6" t="s">
        <v>69</v>
      </c>
      <c r="D8138" s="6" t="s">
        <v>725</v>
      </c>
      <c r="E8138" s="6" t="s">
        <v>502</v>
      </c>
      <c r="F8138" s="6" t="str">
        <f>IF($M8138="PADD I","PADD 1",IF($M8138="PADD II","PADD 2",IF($M8138="PADD III","PADD 3",IF($M8138="PADD IV","PADD 4",IF($M8138="PADD V","PADD 5","")))))</f>
        <v>PADD 2</v>
      </c>
      <c r="G8138" s="6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6" t="s">
        <v>44</v>
      </c>
      <c r="I8138" s="6" t="s">
        <v>755</v>
      </c>
      <c r="J8138" s="6" t="s">
        <v>398</v>
      </c>
      <c r="K8138" s="10">
        <v>8.640000000000001</v>
      </c>
      <c r="L8138" s="10">
        <v>18</v>
      </c>
      <c r="M8138" s="6" t="s">
        <v>425</v>
      </c>
      <c r="N8138" s="6">
        <f>IF(OR($G8138="FCC",$G8138="Hydrocracker",$G8138="Reformer"),IF(COUNTIFS($D:$D,$D8138,$A:$A,$A8138,$B:$B,$B8138,$G:$G,"CDU",$J:$J,"PLANNED")&gt;0,"tied","standalone"),"")</f>
        <v/>
      </c>
    </row>
    <row r="8139" spans="1:14">
      <c r="A8139" s="6">
        <v>2026</v>
      </c>
      <c r="B8139" s="6">
        <v>10</v>
      </c>
      <c r="C8139" s="6" t="s">
        <v>69</v>
      </c>
      <c r="D8139" s="6" t="s">
        <v>652</v>
      </c>
      <c r="E8139" s="6" t="s">
        <v>419</v>
      </c>
      <c r="F8139" s="6" t="str">
        <f>IF($M8139="PADD I","PADD 1",IF($M8139="PADD II","PADD 2",IF($M8139="PADD III","PADD 3",IF($M8139="PADD IV","PADD 4",IF($M8139="PADD V","PADD 5","")))))</f>
        <v>PADD 2</v>
      </c>
      <c r="G8139" s="6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6" t="s">
        <v>39</v>
      </c>
      <c r="I8139" s="6" t="s">
        <v>1285</v>
      </c>
      <c r="J8139" s="6" t="s">
        <v>398</v>
      </c>
      <c r="K8139" s="10">
        <v>8.5</v>
      </c>
      <c r="L8139" s="10">
        <v>85</v>
      </c>
      <c r="M8139" s="6" t="s">
        <v>425</v>
      </c>
      <c r="N8139" s="6">
        <f>IF(OR($G8139="FCC",$G8139="Hydrocracker",$G8139="Reformer"),IF(COUNTIFS($D:$D,$D8139,$A:$A,$A8139,$B:$B,$B8139,$G:$G,"CDU",$J:$J,"PLANNED")&gt;0,"tied","standalone"),"")</f>
        <v/>
      </c>
    </row>
    <row r="8140" spans="1:14">
      <c r="A8140" s="6">
        <v>2026</v>
      </c>
      <c r="B8140" s="6">
        <v>10</v>
      </c>
      <c r="C8140" s="6" t="s">
        <v>69</v>
      </c>
      <c r="D8140" s="6" t="s">
        <v>484</v>
      </c>
      <c r="E8140" s="6" t="s">
        <v>438</v>
      </c>
      <c r="F8140" s="6" t="str">
        <f>IF($M8140="PADD I","PADD 1",IF($M8140="PADD II","PADD 2",IF($M8140="PADD III","PADD 3",IF($M8140="PADD IV","PADD 4",IF($M8140="PADD V","PADD 5","")))))</f>
        <v>PADD 5</v>
      </c>
      <c r="G8140" s="6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6" t="s">
        <v>618</v>
      </c>
      <c r="I8140" s="6" t="s">
        <v>959</v>
      </c>
      <c r="J8140" s="6" t="s">
        <v>398</v>
      </c>
      <c r="K8140" s="10">
        <v>8</v>
      </c>
      <c r="L8140" s="10">
        <v>8</v>
      </c>
      <c r="M8140" s="6" t="s">
        <v>436</v>
      </c>
      <c r="N8140" s="6">
        <f>IF(OR($G8140="FCC",$G8140="Hydrocracker",$G8140="Reformer"),IF(COUNTIFS($D:$D,$D8140,$A:$A,$A8140,$B:$B,$B8140,$G:$G,"CDU",$J:$J,"PLANNED")&gt;0,"tied","standalone"),"")</f>
        <v/>
      </c>
    </row>
    <row r="8141" spans="1:14">
      <c r="A8141" s="6">
        <v>2026</v>
      </c>
      <c r="B8141" s="6">
        <v>10</v>
      </c>
      <c r="C8141" s="6" t="s">
        <v>69</v>
      </c>
      <c r="D8141" s="6" t="s">
        <v>41</v>
      </c>
      <c r="E8141" s="6" t="s">
        <v>786</v>
      </c>
      <c r="F8141" s="6" t="str">
        <f>IF($M8141="PADD I","PADD 1",IF($M8141="PADD II","PADD 2",IF($M8141="PADD III","PADD 3",IF($M8141="PADD IV","PADD 4",IF($M8141="PADD V","PADD 5","")))))</f>
        <v>PADD 1</v>
      </c>
      <c r="G8141" s="6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6" t="s">
        <v>428</v>
      </c>
      <c r="I8141" s="6" t="s">
        <v>1013</v>
      </c>
      <c r="J8141" s="6" t="s">
        <v>398</v>
      </c>
      <c r="K8141" s="10">
        <v>7.7856</v>
      </c>
      <c r="L8141" s="10">
        <v>24.33</v>
      </c>
      <c r="M8141" s="6" t="s">
        <v>463</v>
      </c>
      <c r="N8141" s="6">
        <f>IF(OR($G8141="FCC",$G8141="Hydrocracker",$G8141="Reformer"),IF(COUNTIFS($D:$D,$D8141,$A:$A,$A8141,$B:$B,$B8141,$G:$G,"CDU",$J:$J,"PLANNED")&gt;0,"tied","standalone"),"")</f>
        <v/>
      </c>
    </row>
    <row r="8142" spans="1:14">
      <c r="A8142" s="6">
        <v>2026</v>
      </c>
      <c r="B8142" s="6">
        <v>10</v>
      </c>
      <c r="C8142" s="6" t="s">
        <v>69</v>
      </c>
      <c r="D8142" s="6" t="s">
        <v>1151</v>
      </c>
      <c r="E8142" s="6" t="s">
        <v>931</v>
      </c>
      <c r="F8142" s="6" t="str">
        <f>IF($M8142="PADD I","PADD 1",IF($M8142="PADD II","PADD 2",IF($M8142="PADD III","PADD 3",IF($M8142="PADD IV","PADD 4",IF($M8142="PADD V","PADD 5","")))))</f>
        <v>PADD 3</v>
      </c>
      <c r="G8142" s="6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6" t="s">
        <v>39</v>
      </c>
      <c r="I8142" s="6" t="s">
        <v>82</v>
      </c>
      <c r="J8142" s="6" t="s">
        <v>398</v>
      </c>
      <c r="K8142" s="10">
        <v>7.4</v>
      </c>
      <c r="L8142" s="10">
        <v>10</v>
      </c>
      <c r="M8142" s="6" t="s">
        <v>421</v>
      </c>
      <c r="N8142" s="6">
        <f>IF(OR($G8142="FCC",$G8142="Hydrocracker",$G8142="Reformer"),IF(COUNTIFS($D:$D,$D8142,$A:$A,$A8142,$B:$B,$B8142,$G:$G,"CDU",$J:$J,"PLANNED")&gt;0,"tied","standalone"),"")</f>
        <v/>
      </c>
    </row>
    <row r="8143" spans="1:14">
      <c r="A8143" s="6">
        <v>2026</v>
      </c>
      <c r="B8143" s="6">
        <v>10</v>
      </c>
      <c r="C8143" s="6" t="s">
        <v>69</v>
      </c>
      <c r="D8143" s="6" t="s">
        <v>725</v>
      </c>
      <c r="E8143" s="6" t="s">
        <v>502</v>
      </c>
      <c r="F8143" s="6" t="str">
        <f>IF($M8143="PADD I","PADD 1",IF($M8143="PADD II","PADD 2",IF($M8143="PADD III","PADD 3",IF($M8143="PADD IV","PADD 4",IF($M8143="PADD V","PADD 5","")))))</f>
        <v>PADD 2</v>
      </c>
      <c r="G8143" s="6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6" t="s">
        <v>618</v>
      </c>
      <c r="I8143" s="6" t="s">
        <v>654</v>
      </c>
      <c r="J8143" s="6" t="s">
        <v>398</v>
      </c>
      <c r="K8143" s="10">
        <v>7.2</v>
      </c>
      <c r="L8143" s="10">
        <v>15</v>
      </c>
      <c r="M8143" s="6" t="s">
        <v>425</v>
      </c>
      <c r="N8143" s="6">
        <f>IF(OR($G8143="FCC",$G8143="Hydrocracker",$G8143="Reformer"),IF(COUNTIFS($D:$D,$D8143,$A:$A,$A8143,$B:$B,$B8143,$G:$G,"CDU",$J:$J,"PLANNED")&gt;0,"tied","standalone"),"")</f>
        <v/>
      </c>
    </row>
    <row r="8144" spans="1:14">
      <c r="A8144" s="6">
        <v>2026</v>
      </c>
      <c r="B8144" s="6">
        <v>10</v>
      </c>
      <c r="C8144" s="6" t="s">
        <v>69</v>
      </c>
      <c r="D8144" s="6" t="s">
        <v>1151</v>
      </c>
      <c r="E8144" s="6" t="s">
        <v>931</v>
      </c>
      <c r="F8144" s="6" t="str">
        <f>IF($M8144="PADD I","PADD 1",IF($M8144="PADD II","PADD 2",IF($M8144="PADD III","PADD 3",IF($M8144="PADD IV","PADD 4",IF($M8144="PADD V","PADD 5","")))))</f>
        <v>PADD 3</v>
      </c>
      <c r="G8144" s="6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6" t="s">
        <v>428</v>
      </c>
      <c r="I8144" s="6" t="s">
        <v>481</v>
      </c>
      <c r="J8144" s="6" t="s">
        <v>398</v>
      </c>
      <c r="K8144" s="10">
        <v>6.364</v>
      </c>
      <c r="L8144" s="10">
        <v>8.6</v>
      </c>
      <c r="M8144" s="6" t="s">
        <v>421</v>
      </c>
      <c r="N8144" s="6">
        <f>IF(OR($G8144="FCC",$G8144="Hydrocracker",$G8144="Reformer"),IF(COUNTIFS($D:$D,$D8144,$A:$A,$A8144,$B:$B,$B8144,$G:$G,"CDU",$J:$J,"PLANNED")&gt;0,"tied","standalone"),"")</f>
        <v/>
      </c>
    </row>
    <row r="8145" spans="1:14">
      <c r="A8145" s="6">
        <v>2026</v>
      </c>
      <c r="B8145" s="6">
        <v>10</v>
      </c>
      <c r="C8145" s="6" t="s">
        <v>69</v>
      </c>
      <c r="D8145" s="6" t="s">
        <v>1151</v>
      </c>
      <c r="E8145" s="6" t="s">
        <v>931</v>
      </c>
      <c r="F8145" s="6" t="str">
        <f>IF($M8145="PADD I","PADD 1",IF($M8145="PADD II","PADD 2",IF($M8145="PADD III","PADD 3",IF($M8145="PADD IV","PADD 4",IF($M8145="PADD V","PADD 5","")))))</f>
        <v>PADD 3</v>
      </c>
      <c r="G8145" s="6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6" t="s">
        <v>44</v>
      </c>
      <c r="I8145" s="6" t="s">
        <v>1152</v>
      </c>
      <c r="J8145" s="6" t="s">
        <v>398</v>
      </c>
      <c r="K8145" s="10">
        <v>5.92</v>
      </c>
      <c r="L8145" s="10">
        <v>8</v>
      </c>
      <c r="M8145" s="6" t="s">
        <v>421</v>
      </c>
      <c r="N8145" s="6">
        <f>IF(OR($G8145="FCC",$G8145="Hydrocracker",$G8145="Reformer"),IF(COUNTIFS($D:$D,$D8145,$A:$A,$A8145,$B:$B,$B8145,$G:$G,"CDU",$J:$J,"PLANNED")&gt;0,"tied","standalone"),"")</f>
        <v/>
      </c>
    </row>
    <row r="8146" spans="1:14">
      <c r="A8146" s="6">
        <v>2026</v>
      </c>
      <c r="B8146" s="6">
        <v>10</v>
      </c>
      <c r="C8146" s="6" t="s">
        <v>69</v>
      </c>
      <c r="D8146" s="6" t="s">
        <v>1289</v>
      </c>
      <c r="E8146" s="6" t="s">
        <v>922</v>
      </c>
      <c r="F8146" s="6" t="str">
        <f>IF($M8146="PADD I","PADD 1",IF($M8146="PADD II","PADD 2",IF($M8146="PADD III","PADD 3",IF($M8146="PADD IV","PADD 4",IF($M8146="PADD V","PADD 5","")))))</f>
        <v>PADD 4</v>
      </c>
      <c r="G8146" s="6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6" t="s">
        <v>39</v>
      </c>
      <c r="I8146" s="6" t="s">
        <v>82</v>
      </c>
      <c r="J8146" s="6" t="s">
        <v>398</v>
      </c>
      <c r="K8146" s="10">
        <v>5.625</v>
      </c>
      <c r="L8146" s="10">
        <v>12.5</v>
      </c>
      <c r="M8146" s="6" t="s">
        <v>480</v>
      </c>
      <c r="N8146" s="6">
        <f>IF(OR($G8146="FCC",$G8146="Hydrocracker",$G8146="Reformer"),IF(COUNTIFS($D:$D,$D8146,$A:$A,$A8146,$B:$B,$B8146,$G:$G,"CDU",$J:$J,"PLANNED")&gt;0,"tied","standalone"),"")</f>
        <v/>
      </c>
    </row>
    <row r="8147" spans="1:14">
      <c r="A8147" s="6">
        <v>2026</v>
      </c>
      <c r="B8147" s="6">
        <v>10</v>
      </c>
      <c r="C8147" s="6" t="s">
        <v>69</v>
      </c>
      <c r="D8147" s="6" t="s">
        <v>725</v>
      </c>
      <c r="E8147" s="6" t="s">
        <v>502</v>
      </c>
      <c r="F8147" s="6" t="str">
        <f>IF($M8147="PADD I","PADD 1",IF($M8147="PADD II","PADD 2",IF($M8147="PADD III","PADD 3",IF($M8147="PADD IV","PADD 4",IF($M8147="PADD V","PADD 5","")))))</f>
        <v>PADD 2</v>
      </c>
      <c r="G8147" s="6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6" t="s">
        <v>510</v>
      </c>
      <c r="I8147" s="6" t="s">
        <v>666</v>
      </c>
      <c r="J8147" s="6" t="s">
        <v>398</v>
      </c>
      <c r="K8147" s="10">
        <v>5.52</v>
      </c>
      <c r="L8147" s="10">
        <v>11.5</v>
      </c>
      <c r="M8147" s="6" t="s">
        <v>425</v>
      </c>
      <c r="N8147" s="6">
        <f>IF(OR($G8147="FCC",$G8147="Hydrocracker",$G8147="Reformer"),IF(COUNTIFS($D:$D,$D8147,$A:$A,$A8147,$B:$B,$B8147,$G:$G,"CDU",$J:$J,"PLANNED")&gt;0,"tied","standalone"),"")</f>
        <v/>
      </c>
    </row>
    <row r="8148" spans="1:14">
      <c r="A8148" s="6">
        <v>2026</v>
      </c>
      <c r="B8148" s="6">
        <v>10</v>
      </c>
      <c r="C8148" s="6" t="s">
        <v>69</v>
      </c>
      <c r="D8148" s="6" t="s">
        <v>696</v>
      </c>
      <c r="E8148" s="6" t="s">
        <v>455</v>
      </c>
      <c r="F8148" s="6" t="str">
        <f>IF($M8148="PADD I","PADD 1",IF($M8148="PADD II","PADD 2",IF($M8148="PADD III","PADD 3",IF($M8148="PADD IV","PADD 4",IF($M8148="PADD V","PADD 5","")))))</f>
        <v>PADD 3</v>
      </c>
      <c r="G8148" s="6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6" t="s">
        <v>44</v>
      </c>
      <c r="I8148" s="6" t="s">
        <v>1419</v>
      </c>
      <c r="J8148" s="6" t="s">
        <v>398</v>
      </c>
      <c r="K8148" s="10">
        <v>4.8</v>
      </c>
      <c r="L8148" s="10">
        <v>30</v>
      </c>
      <c r="M8148" s="6" t="s">
        <v>421</v>
      </c>
      <c r="N8148" s="6">
        <f>IF(OR($G8148="FCC",$G8148="Hydrocracker",$G8148="Reformer"),IF(COUNTIFS($D:$D,$D8148,$A:$A,$A8148,$B:$B,$B8148,$G:$G,"CDU",$J:$J,"PLANNED")&gt;0,"tied","standalone"),"")</f>
        <v/>
      </c>
    </row>
    <row r="8149" spans="1:14">
      <c r="A8149" s="6">
        <v>2026</v>
      </c>
      <c r="B8149" s="6">
        <v>10</v>
      </c>
      <c r="C8149" s="6" t="s">
        <v>69</v>
      </c>
      <c r="D8149" s="6" t="s">
        <v>592</v>
      </c>
      <c r="E8149" s="6" t="s">
        <v>593</v>
      </c>
      <c r="F8149" s="6" t="str">
        <f>IF($M8149="PADD I","PADD 1",IF($M8149="PADD II","PADD 2",IF($M8149="PADD III","PADD 3",IF($M8149="PADD IV","PADD 4",IF($M8149="PADD V","PADD 5","")))))</f>
        <v>PADD 2</v>
      </c>
      <c r="G8149" s="6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6" t="s">
        <v>618</v>
      </c>
      <c r="I8149" s="6" t="s">
        <v>654</v>
      </c>
      <c r="J8149" s="6" t="s">
        <v>398</v>
      </c>
      <c r="K8149" s="10">
        <v>4.464</v>
      </c>
      <c r="L8149" s="10">
        <v>27.9</v>
      </c>
      <c r="M8149" s="6" t="s">
        <v>425</v>
      </c>
      <c r="N8149" s="6">
        <f>IF(OR($G8149="FCC",$G8149="Hydrocracker",$G8149="Reformer"),IF(COUNTIFS($D:$D,$D8149,$A:$A,$A8149,$B:$B,$B8149,$G:$G,"CDU",$J:$J,"PLANNED")&gt;0,"tied","standalone"),"")</f>
        <v/>
      </c>
    </row>
    <row r="8150" spans="1:14">
      <c r="A8150" s="6">
        <v>2026</v>
      </c>
      <c r="B8150" s="6">
        <v>10</v>
      </c>
      <c r="C8150" s="6" t="s">
        <v>69</v>
      </c>
      <c r="D8150" s="6" t="s">
        <v>725</v>
      </c>
      <c r="E8150" s="6" t="s">
        <v>502</v>
      </c>
      <c r="F8150" s="6" t="str">
        <f>IF($M8150="PADD I","PADD 1",IF($M8150="PADD II","PADD 2",IF($M8150="PADD III","PADD 3",IF($M8150="PADD IV","PADD 4",IF($M8150="PADD V","PADD 5","")))))</f>
        <v>PADD 2</v>
      </c>
      <c r="G8150" s="6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6" t="s">
        <v>471</v>
      </c>
      <c r="I8150" s="6" t="s">
        <v>397</v>
      </c>
      <c r="J8150" s="6" t="s">
        <v>398</v>
      </c>
      <c r="K8150" s="10">
        <v>3.6</v>
      </c>
      <c r="L8150" s="10">
        <v>7.5</v>
      </c>
      <c r="M8150" s="6" t="s">
        <v>425</v>
      </c>
      <c r="N8150" s="6" t="str">
        <f>IF(OR($G8150="FCC",$G8150="Hydrocracker",$G8150="Reformer"),IF(COUNTIFS($D:$D,$D8150,$A:$A,$A8150,$B:$B,$B8150,$G:$G,"CDU",$J:$J,"PLANNED")&gt;0,"tied","standalone"),"")</f>
        <v>tied</v>
      </c>
    </row>
    <row r="8151" spans="1:14">
      <c r="A8151" s="6">
        <v>2026</v>
      </c>
      <c r="B8151" s="6">
        <v>10</v>
      </c>
      <c r="C8151" s="6" t="s">
        <v>69</v>
      </c>
      <c r="D8151" s="6" t="s">
        <v>725</v>
      </c>
      <c r="E8151" s="6" t="s">
        <v>502</v>
      </c>
      <c r="F8151" s="6" t="str">
        <f>IF($M8151="PADD I","PADD 1",IF($M8151="PADD II","PADD 2",IF($M8151="PADD III","PADD 3",IF($M8151="PADD IV","PADD 4",IF($M8151="PADD V","PADD 5","")))))</f>
        <v>PADD 2</v>
      </c>
      <c r="G8151" s="6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6" t="s">
        <v>471</v>
      </c>
      <c r="I8151" s="6" t="s">
        <v>397</v>
      </c>
      <c r="J8151" s="6" t="s">
        <v>398</v>
      </c>
      <c r="K8151" s="10">
        <v>3.6</v>
      </c>
      <c r="L8151" s="10">
        <v>7.5</v>
      </c>
      <c r="M8151" s="6" t="s">
        <v>425</v>
      </c>
      <c r="N8151" s="6" t="str">
        <f>IF(OR($G8151="FCC",$G8151="Hydrocracker",$G8151="Reformer"),IF(COUNTIFS($D:$D,$D8151,$A:$A,$A8151,$B:$B,$B8151,$G:$G,"CDU",$J:$J,"PLANNED")&gt;0,"tied","standalone"),"")</f>
        <v>tied</v>
      </c>
    </row>
    <row r="8152" spans="1:14">
      <c r="A8152" s="6">
        <v>2026</v>
      </c>
      <c r="B8152" s="6">
        <v>10</v>
      </c>
      <c r="C8152" s="6" t="s">
        <v>69</v>
      </c>
      <c r="D8152" s="6" t="s">
        <v>792</v>
      </c>
      <c r="E8152" s="6" t="s">
        <v>438</v>
      </c>
      <c r="F8152" s="6" t="str">
        <f>IF($M8152="PADD I","PADD 1",IF($M8152="PADD II","PADD 2",IF($M8152="PADD III","PADD 3",IF($M8152="PADD IV","PADD 4",IF($M8152="PADD V","PADD 5","")))))</f>
        <v>PADD 5</v>
      </c>
      <c r="G8152" s="6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6" t="s">
        <v>618</v>
      </c>
      <c r="I8152" s="6" t="s">
        <v>818</v>
      </c>
      <c r="J8152" s="6" t="s">
        <v>398</v>
      </c>
      <c r="K8152" s="10">
        <v>3.5</v>
      </c>
      <c r="L8152" s="10">
        <v>3.5</v>
      </c>
      <c r="M8152" s="6" t="s">
        <v>436</v>
      </c>
      <c r="N8152" s="6">
        <f>IF(OR($G8152="FCC",$G8152="Hydrocracker",$G8152="Reformer"),IF(COUNTIFS($D:$D,$D8152,$A:$A,$A8152,$B:$B,$B8152,$G:$G,"CDU",$J:$J,"PLANNED")&gt;0,"tied","standalone"),"")</f>
        <v/>
      </c>
    </row>
    <row r="8153" spans="1:14">
      <c r="A8153" s="6">
        <v>2026</v>
      </c>
      <c r="B8153" s="6">
        <v>10</v>
      </c>
      <c r="C8153" s="6" t="s">
        <v>69</v>
      </c>
      <c r="D8153" s="6" t="s">
        <v>662</v>
      </c>
      <c r="E8153" s="6" t="s">
        <v>466</v>
      </c>
      <c r="F8153" s="6" t="str">
        <f>IF($M8153="PADD I","PADD 1",IF($M8153="PADD II","PADD 2",IF($M8153="PADD III","PADD 3",IF($M8153="PADD IV","PADD 4",IF($M8153="PADD V","PADD 5","")))))</f>
        <v>PADD 3</v>
      </c>
      <c r="G8153" s="6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6" t="s">
        <v>947</v>
      </c>
      <c r="I8153" s="6" t="s">
        <v>948</v>
      </c>
      <c r="J8153" s="6" t="s">
        <v>398</v>
      </c>
      <c r="K8153" s="10">
        <v>3.492</v>
      </c>
      <c r="L8153" s="10">
        <v>3.6</v>
      </c>
      <c r="M8153" s="6" t="s">
        <v>421</v>
      </c>
      <c r="N8153" s="6">
        <f>IF(OR($G8153="FCC",$G8153="Hydrocracker",$G8153="Reformer"),IF(COUNTIFS($D:$D,$D8153,$A:$A,$A8153,$B:$B,$B8153,$G:$G,"CDU",$J:$J,"PLANNED")&gt;0,"tied","standalone"),"")</f>
        <v/>
      </c>
    </row>
    <row r="8154" spans="1:14">
      <c r="A8154" s="6">
        <v>2026</v>
      </c>
      <c r="B8154" s="6">
        <v>10</v>
      </c>
      <c r="C8154" s="6" t="s">
        <v>69</v>
      </c>
      <c r="D8154" s="6" t="s">
        <v>652</v>
      </c>
      <c r="E8154" s="6" t="s">
        <v>419</v>
      </c>
      <c r="F8154" s="6" t="str">
        <f>IF($M8154="PADD I","PADD 1",IF($M8154="PADD II","PADD 2",IF($M8154="PADD III","PADD 3",IF($M8154="PADD IV","PADD 4",IF($M8154="PADD V","PADD 5","")))))</f>
        <v>PADD 2</v>
      </c>
      <c r="G8154" s="6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6" t="s">
        <v>485</v>
      </c>
      <c r="I8154" s="6" t="s">
        <v>491</v>
      </c>
      <c r="J8154" s="6" t="s">
        <v>398</v>
      </c>
      <c r="K8154" s="10">
        <v>3.1</v>
      </c>
      <c r="L8154" s="10">
        <v>31</v>
      </c>
      <c r="M8154" s="6" t="s">
        <v>425</v>
      </c>
      <c r="N8154" s="6">
        <f>IF(OR($G8154="FCC",$G8154="Hydrocracker",$G8154="Reformer"),IF(COUNTIFS($D:$D,$D8154,$A:$A,$A8154,$B:$B,$B8154,$G:$G,"CDU",$J:$J,"PLANNED")&gt;0,"tied","standalone"),"")</f>
        <v/>
      </c>
    </row>
    <row r="8155" spans="1:14">
      <c r="A8155" s="6">
        <v>2026</v>
      </c>
      <c r="B8155" s="6">
        <v>10</v>
      </c>
      <c r="C8155" s="6" t="s">
        <v>69</v>
      </c>
      <c r="D8155" s="6" t="s">
        <v>1151</v>
      </c>
      <c r="E8155" s="6" t="s">
        <v>931</v>
      </c>
      <c r="F8155" s="6" t="str">
        <f>IF($M8155="PADD I","PADD 1",IF($M8155="PADD II","PADD 2",IF($M8155="PADD III","PADD 3",IF($M8155="PADD IV","PADD 4",IF($M8155="PADD V","PADD 5","")))))</f>
        <v>PADD 3</v>
      </c>
      <c r="G8155" s="6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6" t="s">
        <v>471</v>
      </c>
      <c r="I8155" s="6" t="s">
        <v>15</v>
      </c>
      <c r="J8155" s="6" t="s">
        <v>398</v>
      </c>
      <c r="K8155" s="10">
        <v>2.96</v>
      </c>
      <c r="L8155" s="10">
        <v>4</v>
      </c>
      <c r="M8155" s="6" t="s">
        <v>421</v>
      </c>
      <c r="N8155" s="6" t="str">
        <f>IF(OR($G8155="FCC",$G8155="Hydrocracker",$G8155="Reformer"),IF(COUNTIFS($D:$D,$D8155,$A:$A,$A8155,$B:$B,$B8155,$G:$G,"CDU",$J:$J,"PLANNED")&gt;0,"tied","standalone"),"")</f>
        <v>tied</v>
      </c>
    </row>
    <row r="8156" spans="1:14">
      <c r="A8156" s="6">
        <v>2026</v>
      </c>
      <c r="B8156" s="6">
        <v>10</v>
      </c>
      <c r="C8156" s="6" t="s">
        <v>69</v>
      </c>
      <c r="D8156" s="6" t="s">
        <v>1289</v>
      </c>
      <c r="E8156" s="6" t="s">
        <v>922</v>
      </c>
      <c r="F8156" s="6" t="str">
        <f>IF($M8156="PADD I","PADD 1",IF($M8156="PADD II","PADD 2",IF($M8156="PADD III","PADD 3",IF($M8156="PADD IV","PADD 4",IF($M8156="PADD V","PADD 5","")))))</f>
        <v>PADD 4</v>
      </c>
      <c r="G8156" s="6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6" t="s">
        <v>428</v>
      </c>
      <c r="I8156" s="6" t="s">
        <v>481</v>
      </c>
      <c r="J8156" s="6" t="s">
        <v>398</v>
      </c>
      <c r="K8156" s="10">
        <v>2.7</v>
      </c>
      <c r="L8156" s="10">
        <v>6</v>
      </c>
      <c r="M8156" s="6" t="s">
        <v>480</v>
      </c>
      <c r="N8156" s="6">
        <f>IF(OR($G8156="FCC",$G8156="Hydrocracker",$G8156="Reformer"),IF(COUNTIFS($D:$D,$D8156,$A:$A,$A8156,$B:$B,$B8156,$G:$G,"CDU",$J:$J,"PLANNED")&gt;0,"tied","standalone"),"")</f>
        <v/>
      </c>
    </row>
    <row r="8157" spans="1:14">
      <c r="A8157" s="6">
        <v>2026</v>
      </c>
      <c r="B8157" s="6">
        <v>10</v>
      </c>
      <c r="C8157" s="6" t="s">
        <v>69</v>
      </c>
      <c r="D8157" s="6" t="s">
        <v>1191</v>
      </c>
      <c r="E8157" s="6" t="s">
        <v>1129</v>
      </c>
      <c r="F8157" s="6" t="str">
        <f>IF($M8157="PADD I","PADD 1",IF($M8157="PADD II","PADD 2",IF($M8157="PADD III","PADD 3",IF($M8157="PADD IV","PADD 4",IF($M8157="PADD V","PADD 5","")))))</f>
        <v>PADD 3</v>
      </c>
      <c r="G8157" s="6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6" t="s">
        <v>44</v>
      </c>
      <c r="I8157" s="6" t="s">
        <v>834</v>
      </c>
      <c r="J8157" s="6" t="s">
        <v>398</v>
      </c>
      <c r="K8157" s="10">
        <v>2.4</v>
      </c>
      <c r="L8157" s="10">
        <v>15</v>
      </c>
      <c r="M8157" s="6" t="s">
        <v>421</v>
      </c>
      <c r="N8157" s="6">
        <f>IF(OR($G8157="FCC",$G8157="Hydrocracker",$G8157="Reformer"),IF(COUNTIFS($D:$D,$D8157,$A:$A,$A8157,$B:$B,$B8157,$G:$G,"CDU",$J:$J,"PLANNED")&gt;0,"tied","standalone"),"")</f>
        <v/>
      </c>
    </row>
    <row r="8158" spans="1:14">
      <c r="A8158" s="6">
        <v>2026</v>
      </c>
      <c r="B8158" s="6">
        <v>10</v>
      </c>
      <c r="C8158" s="6" t="s">
        <v>69</v>
      </c>
      <c r="D8158" s="6" t="s">
        <v>1289</v>
      </c>
      <c r="E8158" s="6" t="s">
        <v>922</v>
      </c>
      <c r="F8158" s="6" t="str">
        <f>IF($M8158="PADD I","PADD 1",IF($M8158="PADD II","PADD 2",IF($M8158="PADD III","PADD 3",IF($M8158="PADD IV","PADD 4",IF($M8158="PADD V","PADD 5","")))))</f>
        <v>PADD 4</v>
      </c>
      <c r="G8158" s="6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6" t="s">
        <v>494</v>
      </c>
      <c r="I8158" s="6" t="s">
        <v>1295</v>
      </c>
      <c r="J8158" s="6" t="s">
        <v>398</v>
      </c>
      <c r="K8158" s="10">
        <v>2.25</v>
      </c>
      <c r="L8158" s="10">
        <v>5</v>
      </c>
      <c r="M8158" s="6" t="s">
        <v>480</v>
      </c>
      <c r="N8158" s="6" t="str">
        <f>IF(OR($G8158="FCC",$G8158="Hydrocracker",$G8158="Reformer"),IF(COUNTIFS($D:$D,$D8158,$A:$A,$A8158,$B:$B,$B8158,$G:$G,"CDU",$J:$J,"PLANNED")&gt;0,"tied","standalone"),"")</f>
        <v>tied</v>
      </c>
    </row>
    <row r="8159" spans="1:14">
      <c r="A8159" s="6">
        <v>2026</v>
      </c>
      <c r="B8159" s="6">
        <v>10</v>
      </c>
      <c r="C8159" s="6" t="s">
        <v>69</v>
      </c>
      <c r="D8159" s="6" t="s">
        <v>652</v>
      </c>
      <c r="E8159" s="6" t="s">
        <v>419</v>
      </c>
      <c r="F8159" s="6" t="str">
        <f>IF($M8159="PADD I","PADD 1",IF($M8159="PADD II","PADD 2",IF($M8159="PADD III","PADD 3",IF($M8159="PADD IV","PADD 4",IF($M8159="PADD V","PADD 5","")))))</f>
        <v>PADD 2</v>
      </c>
      <c r="G8159" s="6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6" t="s">
        <v>471</v>
      </c>
      <c r="I8159" s="6" t="s">
        <v>747</v>
      </c>
      <c r="J8159" s="6" t="s">
        <v>398</v>
      </c>
      <c r="K8159" s="10">
        <v>2</v>
      </c>
      <c r="L8159" s="10">
        <v>20</v>
      </c>
      <c r="M8159" s="6" t="s">
        <v>425</v>
      </c>
      <c r="N8159" s="6" t="str">
        <f>IF(OR($G8159="FCC",$G8159="Hydrocracker",$G8159="Reformer"),IF(COUNTIFS($D:$D,$D8159,$A:$A,$A8159,$B:$B,$B8159,$G:$G,"CDU",$J:$J,"PLANNED")&gt;0,"tied","standalone"),"")</f>
        <v>tied</v>
      </c>
    </row>
    <row r="8160" spans="1:14">
      <c r="A8160" s="6">
        <v>2026</v>
      </c>
      <c r="B8160" s="6">
        <v>10</v>
      </c>
      <c r="C8160" s="6" t="s">
        <v>69</v>
      </c>
      <c r="D8160" s="6" t="s">
        <v>652</v>
      </c>
      <c r="E8160" s="6" t="s">
        <v>419</v>
      </c>
      <c r="F8160" s="6" t="str">
        <f>IF($M8160="PADD I","PADD 1",IF($M8160="PADD II","PADD 2",IF($M8160="PADD III","PADD 3",IF($M8160="PADD IV","PADD 4",IF($M8160="PADD V","PADD 5","")))))</f>
        <v>PADD 2</v>
      </c>
      <c r="G8160" s="6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6" t="s">
        <v>471</v>
      </c>
      <c r="I8160" s="6" t="s">
        <v>1173</v>
      </c>
      <c r="J8160" s="6" t="s">
        <v>398</v>
      </c>
      <c r="K8160" s="10">
        <v>2</v>
      </c>
      <c r="L8160" s="10">
        <v>20</v>
      </c>
      <c r="M8160" s="6" t="s">
        <v>425</v>
      </c>
      <c r="N8160" s="6" t="str">
        <f>IF(OR($G8160="FCC",$G8160="Hydrocracker",$G8160="Reformer"),IF(COUNTIFS($D:$D,$D8160,$A:$A,$A8160,$B:$B,$B8160,$G:$G,"CDU",$J:$J,"PLANNED")&gt;0,"tied","standalone"),"")</f>
        <v>tied</v>
      </c>
    </row>
    <row r="8161" spans="1:14">
      <c r="A8161" s="6">
        <v>2026</v>
      </c>
      <c r="B8161" s="6">
        <v>10</v>
      </c>
      <c r="C8161" s="6" t="s">
        <v>69</v>
      </c>
      <c r="D8161" s="6" t="s">
        <v>1433</v>
      </c>
      <c r="E8161" s="6" t="s">
        <v>1434</v>
      </c>
      <c r="F8161" s="6" t="str">
        <f>IF($M8161="PADD I","PADD 1",IF($M8161="PADD II","PADD 2",IF($M8161="PADD III","PADD 3",IF($M8161="PADD IV","PADD 4",IF($M8161="PADD V","PADD 5","")))))</f>
        <v>PADD 3</v>
      </c>
      <c r="G8161" s="6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6" t="s">
        <v>39</v>
      </c>
      <c r="I8161" s="6" t="s">
        <v>973</v>
      </c>
      <c r="J8161" s="6" t="s">
        <v>398</v>
      </c>
      <c r="K8161" s="10">
        <v>1.968</v>
      </c>
      <c r="L8161" s="10">
        <v>4.1</v>
      </c>
      <c r="M8161" s="6" t="s">
        <v>421</v>
      </c>
      <c r="N8161" s="6">
        <f>IF(OR($G8161="FCC",$G8161="Hydrocracker",$G8161="Reformer"),IF(COUNTIFS($D:$D,$D8161,$A:$A,$A8161,$B:$B,$B8161,$G:$G,"CDU",$J:$J,"PLANNED")&gt;0,"tied","standalone"),"")</f>
        <v/>
      </c>
    </row>
    <row r="8162" spans="1:14">
      <c r="A8162" s="6">
        <v>2026</v>
      </c>
      <c r="B8162" s="6">
        <v>10</v>
      </c>
      <c r="C8162" s="6" t="s">
        <v>69</v>
      </c>
      <c r="D8162" s="6" t="s">
        <v>652</v>
      </c>
      <c r="E8162" s="6" t="s">
        <v>419</v>
      </c>
      <c r="F8162" s="6" t="str">
        <f>IF($M8162="PADD I","PADD 1",IF($M8162="PADD II","PADD 2",IF($M8162="PADD III","PADD 3",IF($M8162="PADD IV","PADD 4",IF($M8162="PADD V","PADD 5","")))))</f>
        <v>PADD 2</v>
      </c>
      <c r="G8162" s="6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6" t="s">
        <v>44</v>
      </c>
      <c r="I8162" s="6" t="s">
        <v>758</v>
      </c>
      <c r="J8162" s="6" t="s">
        <v>398</v>
      </c>
      <c r="K8162" s="10">
        <v>1.6</v>
      </c>
      <c r="L8162" s="10">
        <v>16</v>
      </c>
      <c r="M8162" s="6" t="s">
        <v>425</v>
      </c>
      <c r="N8162" s="6">
        <f>IF(OR($G8162="FCC",$G8162="Hydrocracker",$G8162="Reformer"),IF(COUNTIFS($D:$D,$D8162,$A:$A,$A8162,$B:$B,$B8162,$G:$G,"CDU",$J:$J,"PLANNED")&gt;0,"tied","standalone"),"")</f>
        <v/>
      </c>
    </row>
    <row r="8163" spans="1:14">
      <c r="A8163" s="6">
        <v>2026</v>
      </c>
      <c r="B8163" s="6">
        <v>10</v>
      </c>
      <c r="C8163" s="6" t="s">
        <v>69</v>
      </c>
      <c r="D8163" s="6" t="s">
        <v>1289</v>
      </c>
      <c r="E8163" s="6" t="s">
        <v>922</v>
      </c>
      <c r="F8163" s="6" t="str">
        <f>IF($M8163="PADD I","PADD 1",IF($M8163="PADD II","PADD 2",IF($M8163="PADD III","PADD 3",IF($M8163="PADD IV","PADD 4",IF($M8163="PADD V","PADD 5","")))))</f>
        <v>PADD 4</v>
      </c>
      <c r="G8163" s="6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6" t="s">
        <v>44</v>
      </c>
      <c r="I8163" s="6" t="s">
        <v>979</v>
      </c>
      <c r="J8163" s="6" t="s">
        <v>398</v>
      </c>
      <c r="K8163" s="10">
        <v>1.575</v>
      </c>
      <c r="L8163" s="10">
        <v>3.5</v>
      </c>
      <c r="M8163" s="6" t="s">
        <v>480</v>
      </c>
      <c r="N8163" s="6">
        <f>IF(OR($G8163="FCC",$G8163="Hydrocracker",$G8163="Reformer"),IF(COUNTIFS($D:$D,$D8163,$A:$A,$A8163,$B:$B,$B8163,$G:$G,"CDU",$J:$J,"PLANNED")&gt;0,"tied","standalone"),"")</f>
        <v/>
      </c>
    </row>
    <row r="8164" spans="1:14">
      <c r="A8164" s="6">
        <v>2026</v>
      </c>
      <c r="B8164" s="6">
        <v>10</v>
      </c>
      <c r="C8164" s="6" t="s">
        <v>69</v>
      </c>
      <c r="D8164" s="6" t="s">
        <v>921</v>
      </c>
      <c r="E8164" s="6" t="s">
        <v>922</v>
      </c>
      <c r="F8164" s="6" t="str">
        <f>IF($M8164="PADD I","PADD 1",IF($M8164="PADD II","PADD 2",IF($M8164="PADD III","PADD 3",IF($M8164="PADD IV","PADD 4",IF($M8164="PADD V","PADD 5","")))))</f>
        <v>PADD 4</v>
      </c>
      <c r="G8164" s="6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6" t="s">
        <v>39</v>
      </c>
      <c r="I8164" s="6" t="s">
        <v>82</v>
      </c>
      <c r="J8164" s="6" t="s">
        <v>398</v>
      </c>
      <c r="K8164" s="10">
        <v>1.53</v>
      </c>
      <c r="L8164" s="10">
        <v>3.4</v>
      </c>
      <c r="M8164" s="6" t="s">
        <v>480</v>
      </c>
      <c r="N8164" s="6">
        <f>IF(OR($G8164="FCC",$G8164="Hydrocracker",$G8164="Reformer"),IF(COUNTIFS($D:$D,$D8164,$A:$A,$A8164,$B:$B,$B8164,$G:$G,"CDU",$J:$J,"PLANNED")&gt;0,"tied","standalone"),"")</f>
        <v/>
      </c>
    </row>
    <row r="8165" spans="1:14">
      <c r="A8165" s="6">
        <v>2026</v>
      </c>
      <c r="B8165" s="6">
        <v>10</v>
      </c>
      <c r="C8165" s="6" t="s">
        <v>69</v>
      </c>
      <c r="D8165" s="6" t="s">
        <v>678</v>
      </c>
      <c r="E8165" s="6" t="s">
        <v>438</v>
      </c>
      <c r="F8165" s="6" t="str">
        <f>IF($M8165="PADD I","PADD 1",IF($M8165="PADD II","PADD 2",IF($M8165="PADD III","PADD 3",IF($M8165="PADD IV","PADD 4",IF($M8165="PADD V","PADD 5","")))))</f>
        <v>PADD 3</v>
      </c>
      <c r="G8165" s="6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6" t="s">
        <v>687</v>
      </c>
      <c r="I8165" s="6" t="s">
        <v>1303</v>
      </c>
      <c r="J8165" s="6" t="s">
        <v>398</v>
      </c>
      <c r="K8165" s="10">
        <v>1.44</v>
      </c>
      <c r="L8165" s="10">
        <v>9</v>
      </c>
      <c r="M8165" s="6" t="s">
        <v>421</v>
      </c>
      <c r="N8165" s="6">
        <f>IF(OR($G8165="FCC",$G8165="Hydrocracker",$G8165="Reformer"),IF(COUNTIFS($D:$D,$D8165,$A:$A,$A8165,$B:$B,$B8165,$G:$G,"CDU",$J:$J,"PLANNED")&gt;0,"tied","standalone"),"")</f>
        <v/>
      </c>
    </row>
    <row r="8166" spans="1:14">
      <c r="A8166" s="6">
        <v>2026</v>
      </c>
      <c r="B8166" s="6">
        <v>10</v>
      </c>
      <c r="C8166" s="6" t="s">
        <v>69</v>
      </c>
      <c r="D8166" s="6" t="s">
        <v>1289</v>
      </c>
      <c r="E8166" s="6" t="s">
        <v>922</v>
      </c>
      <c r="F8166" s="6" t="str">
        <f>IF($M8166="PADD I","PADD 1",IF($M8166="PADD II","PADD 2",IF($M8166="PADD III","PADD 3",IF($M8166="PADD IV","PADD 4",IF($M8166="PADD V","PADD 5","")))))</f>
        <v>PADD 4</v>
      </c>
      <c r="G8166" s="6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6" t="s">
        <v>44</v>
      </c>
      <c r="I8166" s="6" t="s">
        <v>551</v>
      </c>
      <c r="J8166" s="6" t="s">
        <v>398</v>
      </c>
      <c r="K8166" s="10">
        <v>1.35</v>
      </c>
      <c r="L8166" s="10">
        <v>3</v>
      </c>
      <c r="M8166" s="6" t="s">
        <v>480</v>
      </c>
      <c r="N8166" s="6">
        <f>IF(OR($G8166="FCC",$G8166="Hydrocracker",$G8166="Reformer"),IF(COUNTIFS($D:$D,$D8166,$A:$A,$A8166,$B:$B,$B8166,$G:$G,"CDU",$J:$J,"PLANNED")&gt;0,"tied","standalone"),"")</f>
        <v/>
      </c>
    </row>
    <row r="8167" spans="1:14">
      <c r="A8167" s="6">
        <v>2026</v>
      </c>
      <c r="B8167" s="6">
        <v>10</v>
      </c>
      <c r="C8167" s="6" t="s">
        <v>69</v>
      </c>
      <c r="D8167" s="6" t="s">
        <v>720</v>
      </c>
      <c r="E8167" s="6" t="s">
        <v>455</v>
      </c>
      <c r="F8167" s="6" t="str">
        <f>IF($M8167="PADD I","PADD 1",IF($M8167="PADD II","PADD 2",IF($M8167="PADD III","PADD 3",IF($M8167="PADD IV","PADD 4",IF($M8167="PADD V","PADD 5","")))))</f>
        <v>PADD 2</v>
      </c>
      <c r="G8167" s="6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6" t="s">
        <v>44</v>
      </c>
      <c r="I8167" s="6" t="s">
        <v>964</v>
      </c>
      <c r="J8167" s="6" t="s">
        <v>398</v>
      </c>
      <c r="K8167" s="10">
        <v>1.35</v>
      </c>
      <c r="L8167" s="10">
        <v>45</v>
      </c>
      <c r="M8167" s="6" t="s">
        <v>425</v>
      </c>
      <c r="N8167" s="6">
        <f>IF(OR($G8167="FCC",$G8167="Hydrocracker",$G8167="Reformer"),IF(COUNTIFS($D:$D,$D8167,$A:$A,$A8167,$B:$B,$B8167,$G:$G,"CDU",$J:$J,"PLANNED")&gt;0,"tied","standalone"),"")</f>
        <v/>
      </c>
    </row>
    <row r="8168" spans="1:14">
      <c r="A8168" s="6">
        <v>2026</v>
      </c>
      <c r="B8168" s="6">
        <v>10</v>
      </c>
      <c r="C8168" s="6" t="s">
        <v>69</v>
      </c>
      <c r="D8168" s="6" t="s">
        <v>921</v>
      </c>
      <c r="E8168" s="6" t="s">
        <v>922</v>
      </c>
      <c r="F8168" s="6" t="str">
        <f>IF($M8168="PADD I","PADD 1",IF($M8168="PADD II","PADD 2",IF($M8168="PADD III","PADD 3",IF($M8168="PADD IV","PADD 4",IF($M8168="PADD V","PADD 5","")))))</f>
        <v>PADD 4</v>
      </c>
      <c r="G8168" s="6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6" t="s">
        <v>44</v>
      </c>
      <c r="I8168" s="6" t="s">
        <v>923</v>
      </c>
      <c r="J8168" s="6" t="s">
        <v>398</v>
      </c>
      <c r="K8168" s="10">
        <v>1.35</v>
      </c>
      <c r="L8168" s="10">
        <v>3</v>
      </c>
      <c r="M8168" s="6" t="s">
        <v>480</v>
      </c>
      <c r="N8168" s="6">
        <f>IF(OR($G8168="FCC",$G8168="Hydrocracker",$G8168="Reformer"),IF(COUNTIFS($D:$D,$D8168,$A:$A,$A8168,$B:$B,$B8168,$G:$G,"CDU",$J:$J,"PLANNED")&gt;0,"tied","standalone"),"")</f>
        <v/>
      </c>
    </row>
    <row r="8169" spans="1:14">
      <c r="A8169" s="6">
        <v>2026</v>
      </c>
      <c r="B8169" s="6">
        <v>10</v>
      </c>
      <c r="C8169" s="6" t="s">
        <v>69</v>
      </c>
      <c r="D8169" s="6" t="s">
        <v>921</v>
      </c>
      <c r="E8169" s="6" t="s">
        <v>922</v>
      </c>
      <c r="F8169" s="6" t="str">
        <f>IF($M8169="PADD I","PADD 1",IF($M8169="PADD II","PADD 2",IF($M8169="PADD III","PADD 3",IF($M8169="PADD IV","PADD 4",IF($M8169="PADD V","PADD 5","")))))</f>
        <v>PADD 4</v>
      </c>
      <c r="G8169" s="6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6" t="s">
        <v>471</v>
      </c>
      <c r="I8169" s="6" t="s">
        <v>15</v>
      </c>
      <c r="J8169" s="6" t="s">
        <v>398</v>
      </c>
      <c r="K8169" s="10">
        <v>1.35</v>
      </c>
      <c r="L8169" s="10">
        <v>3</v>
      </c>
      <c r="M8169" s="6" t="s">
        <v>480</v>
      </c>
      <c r="N8169" s="6" t="str">
        <f>IF(OR($G8169="FCC",$G8169="Hydrocracker",$G8169="Reformer"),IF(COUNTIFS($D:$D,$D8169,$A:$A,$A8169,$B:$B,$B8169,$G:$G,"CDU",$J:$J,"PLANNED")&gt;0,"tied","standalone"),"")</f>
        <v>tied</v>
      </c>
    </row>
    <row r="8170" spans="1:14">
      <c r="A8170" s="6">
        <v>2026</v>
      </c>
      <c r="B8170" s="6">
        <v>10</v>
      </c>
      <c r="C8170" s="6" t="s">
        <v>69</v>
      </c>
      <c r="D8170" s="6" t="s">
        <v>853</v>
      </c>
      <c r="E8170" s="6" t="s">
        <v>438</v>
      </c>
      <c r="F8170" s="6" t="str">
        <f>IF($M8170="PADD I","PADD 1",IF($M8170="PADD II","PADD 2",IF($M8170="PADD III","PADD 3",IF($M8170="PADD IV","PADD 4",IF($M8170="PADD V","PADD 5","")))))</f>
        <v>PADD 2</v>
      </c>
      <c r="G8170" s="6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6" t="s">
        <v>44</v>
      </c>
      <c r="I8170" s="6" t="s">
        <v>1227</v>
      </c>
      <c r="J8170" s="6" t="s">
        <v>398</v>
      </c>
      <c r="K8170" s="10">
        <v>1.2</v>
      </c>
      <c r="L8170" s="10">
        <v>20</v>
      </c>
      <c r="M8170" s="6" t="s">
        <v>425</v>
      </c>
      <c r="N8170" s="6">
        <f>IF(OR($G8170="FCC",$G8170="Hydrocracker",$G8170="Reformer"),IF(COUNTIFS($D:$D,$D8170,$A:$A,$A8170,$B:$B,$B8170,$G:$G,"CDU",$J:$J,"PLANNED")&gt;0,"tied","standalone"),"")</f>
        <v/>
      </c>
    </row>
    <row r="8171" spans="1:14">
      <c r="A8171" s="6">
        <v>2026</v>
      </c>
      <c r="B8171" s="6">
        <v>10</v>
      </c>
      <c r="C8171" s="6" t="s">
        <v>69</v>
      </c>
      <c r="D8171" s="6" t="s">
        <v>1289</v>
      </c>
      <c r="E8171" s="6" t="s">
        <v>922</v>
      </c>
      <c r="F8171" s="6" t="str">
        <f>IF($M8171="PADD I","PADD 1",IF($M8171="PADD II","PADD 2",IF($M8171="PADD III","PADD 3",IF($M8171="PADD IV","PADD 4",IF($M8171="PADD V","PADD 5","")))))</f>
        <v>PADD 4</v>
      </c>
      <c r="G8171" s="6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6" t="s">
        <v>471</v>
      </c>
      <c r="I8171" s="6" t="s">
        <v>15</v>
      </c>
      <c r="J8171" s="6" t="s">
        <v>398</v>
      </c>
      <c r="K8171" s="10">
        <v>0.99</v>
      </c>
      <c r="L8171" s="10">
        <v>2.2</v>
      </c>
      <c r="M8171" s="6" t="s">
        <v>480</v>
      </c>
      <c r="N8171" s="6" t="str">
        <f>IF(OR($G8171="FCC",$G8171="Hydrocracker",$G8171="Reformer"),IF(COUNTIFS($D:$D,$D8171,$A:$A,$A8171,$B:$B,$B8171,$G:$G,"CDU",$J:$J,"PLANNED")&gt;0,"tied","standalone"),"")</f>
        <v>tied</v>
      </c>
    </row>
    <row r="8172" spans="1:14">
      <c r="A8172" s="6">
        <v>2026</v>
      </c>
      <c r="B8172" s="6">
        <v>10</v>
      </c>
      <c r="C8172" s="6" t="s">
        <v>69</v>
      </c>
      <c r="D8172" s="6" t="s">
        <v>720</v>
      </c>
      <c r="E8172" s="6" t="s">
        <v>455</v>
      </c>
      <c r="F8172" s="6" t="str">
        <f>IF($M8172="PADD I","PADD 1",IF($M8172="PADD II","PADD 2",IF($M8172="PADD III","PADD 3",IF($M8172="PADD IV","PADD 4",IF($M8172="PADD V","PADD 5","")))))</f>
        <v>PADD 2</v>
      </c>
      <c r="G8172" s="6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6" t="s">
        <v>494</v>
      </c>
      <c r="I8172" s="6" t="s">
        <v>1368</v>
      </c>
      <c r="J8172" s="6" t="s">
        <v>398</v>
      </c>
      <c r="K8172" s="10">
        <v>0.99</v>
      </c>
      <c r="L8172" s="10">
        <v>33</v>
      </c>
      <c r="M8172" s="6" t="s">
        <v>425</v>
      </c>
      <c r="N8172" s="6" t="str">
        <f>IF(OR($G8172="FCC",$G8172="Hydrocracker",$G8172="Reformer"),IF(COUNTIFS($D:$D,$D8172,$A:$A,$A8172,$B:$B,$B8172,$G:$G,"CDU",$J:$J,"PLANNED")&gt;0,"tied","standalone"),"")</f>
        <v>standalone</v>
      </c>
    </row>
    <row r="8173" spans="1:14">
      <c r="A8173" s="6">
        <v>2026</v>
      </c>
      <c r="B8173" s="6">
        <v>10</v>
      </c>
      <c r="C8173" s="6" t="s">
        <v>69</v>
      </c>
      <c r="D8173" s="6" t="s">
        <v>375</v>
      </c>
      <c r="E8173" s="6" t="s">
        <v>435</v>
      </c>
      <c r="F8173" s="6" t="str">
        <f>IF($M8173="PADD I","PADD 1",IF($M8173="PADD II","PADD 2",IF($M8173="PADD III","PADD 3",IF($M8173="PADD IV","PADD 4",IF($M8173="PADD V","PADD 5","")))))</f>
        <v>PADD 5</v>
      </c>
      <c r="G8173" s="6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6" t="s">
        <v>618</v>
      </c>
      <c r="I8173" s="6" t="s">
        <v>654</v>
      </c>
      <c r="J8173" s="6" t="s">
        <v>398</v>
      </c>
      <c r="K8173" s="10">
        <v>0.525</v>
      </c>
      <c r="L8173" s="10">
        <v>1.5</v>
      </c>
      <c r="M8173" s="6" t="s">
        <v>436</v>
      </c>
      <c r="N8173" s="6">
        <f>IF(OR($G8173="FCC",$G8173="Hydrocracker",$G8173="Reformer"),IF(COUNTIFS($D:$D,$D8173,$A:$A,$A8173,$B:$B,$B8173,$G:$G,"CDU",$J:$J,"PLANNED")&gt;0,"tied","standalone"),"")</f>
        <v/>
      </c>
    </row>
    <row r="8174" spans="1:14">
      <c r="A8174" s="6">
        <v>2026</v>
      </c>
      <c r="B8174" s="6">
        <v>10</v>
      </c>
      <c r="C8174" s="6" t="s">
        <v>69</v>
      </c>
      <c r="D8174" s="6" t="s">
        <v>1289</v>
      </c>
      <c r="E8174" s="6" t="s">
        <v>922</v>
      </c>
      <c r="F8174" s="6" t="str">
        <f>IF($M8174="PADD I","PADD 1",IF($M8174="PADD II","PADD 2",IF($M8174="PADD III","PADD 3",IF($M8174="PADD IV","PADD 4",IF($M8174="PADD V","PADD 5","")))))</f>
        <v>PADD 4</v>
      </c>
      <c r="G8174" s="6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6" t="s">
        <v>618</v>
      </c>
      <c r="I8174" s="6" t="s">
        <v>654</v>
      </c>
      <c r="J8174" s="6" t="s">
        <v>398</v>
      </c>
      <c r="K8174" s="10">
        <v>0.45</v>
      </c>
      <c r="L8174" s="10">
        <v>1</v>
      </c>
      <c r="M8174" s="6" t="s">
        <v>480</v>
      </c>
      <c r="N8174" s="6">
        <f>IF(OR($G8174="FCC",$G8174="Hydrocracker",$G8174="Reformer"),IF(COUNTIFS($D:$D,$D8174,$A:$A,$A8174,$B:$B,$B8174,$G:$G,"CDU",$J:$J,"PLANNED")&gt;0,"tied","standalone"),"")</f>
        <v/>
      </c>
    </row>
    <row r="8175" spans="1:14">
      <c r="A8175" s="6">
        <v>2026</v>
      </c>
      <c r="B8175" s="6">
        <v>10</v>
      </c>
      <c r="C8175" s="6" t="s">
        <v>69</v>
      </c>
      <c r="D8175" s="6" t="s">
        <v>921</v>
      </c>
      <c r="E8175" s="6" t="s">
        <v>922</v>
      </c>
      <c r="F8175" s="6" t="str">
        <f>IF($M8175="PADD I","PADD 1",IF($M8175="PADD II","PADD 2",IF($M8175="PADD III","PADD 3",IF($M8175="PADD IV","PADD 4",IF($M8175="PADD V","PADD 5","")))))</f>
        <v>PADD 4</v>
      </c>
      <c r="G8175" s="6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6" t="s">
        <v>618</v>
      </c>
      <c r="I8175" s="6" t="s">
        <v>1252</v>
      </c>
      <c r="J8175" s="6" t="s">
        <v>398</v>
      </c>
      <c r="K8175" s="10">
        <v>0.45</v>
      </c>
      <c r="L8175" s="10">
        <v>1</v>
      </c>
      <c r="M8175" s="6" t="s">
        <v>480</v>
      </c>
      <c r="N8175" s="6">
        <f>IF(OR($G8175="FCC",$G8175="Hydrocracker",$G8175="Reformer"),IF(COUNTIFS($D:$D,$D8175,$A:$A,$A8175,$B:$B,$B8175,$G:$G,"CDU",$J:$J,"PLANNED")&gt;0,"tied","standalone"),"")</f>
        <v/>
      </c>
    </row>
    <row r="8176" spans="1:14">
      <c r="A8176" s="6">
        <v>2026</v>
      </c>
      <c r="B8176" s="6">
        <v>10</v>
      </c>
      <c r="C8176" s="6" t="s">
        <v>69</v>
      </c>
      <c r="D8176" s="6" t="s">
        <v>678</v>
      </c>
      <c r="E8176" s="6" t="s">
        <v>438</v>
      </c>
      <c r="F8176" s="6" t="str">
        <f>IF($M8176="PADD I","PADD 1",IF($M8176="PADD II","PADD 2",IF($M8176="PADD III","PADD 3",IF($M8176="PADD IV","PADD 4",IF($M8176="PADD V","PADD 5","")))))</f>
        <v>PADD 3</v>
      </c>
      <c r="G8176" s="6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6" t="s">
        <v>687</v>
      </c>
      <c r="I8176" s="6" t="s">
        <v>1432</v>
      </c>
      <c r="J8176" s="6" t="s">
        <v>398</v>
      </c>
      <c r="K8176" s="10">
        <v>0.3824</v>
      </c>
      <c r="L8176" s="10">
        <v>2.39</v>
      </c>
      <c r="M8176" s="6" t="s">
        <v>421</v>
      </c>
      <c r="N8176" s="6">
        <f>IF(OR($G8176="FCC",$G8176="Hydrocracker",$G8176="Reformer"),IF(COUNTIFS($D:$D,$D8176,$A:$A,$A8176,$B:$B,$B8176,$G:$G,"CDU",$J:$J,"PLANNED")&gt;0,"tied","standalone"),"")</f>
        <v/>
      </c>
    </row>
    <row r="8177" spans="1:14">
      <c r="A8177" s="6">
        <v>2026</v>
      </c>
      <c r="B8177" s="6">
        <v>11</v>
      </c>
      <c r="C8177" s="6" t="s">
        <v>70</v>
      </c>
      <c r="D8177" s="6" t="s">
        <v>725</v>
      </c>
      <c r="E8177" s="6" t="s">
        <v>502</v>
      </c>
      <c r="F8177" s="6" t="str">
        <f>IF($M8177="PADD I","PADD 1",IF($M8177="PADD II","PADD 2",IF($M8177="PADD III","PADD 3",IF($M8177="PADD IV","PADD 4",IF($M8177="PADD V","PADD 5","")))))</f>
        <v>PADD 2</v>
      </c>
      <c r="G8177" s="6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6" t="s">
        <v>39</v>
      </c>
      <c r="I8177" s="6" t="s">
        <v>82</v>
      </c>
      <c r="J8177" s="6" t="s">
        <v>398</v>
      </c>
      <c r="K8177" s="10">
        <v>162</v>
      </c>
      <c r="L8177" s="10">
        <v>162</v>
      </c>
      <c r="M8177" s="6" t="s">
        <v>425</v>
      </c>
      <c r="N8177" s="6">
        <f>IF(OR($G8177="FCC",$G8177="Hydrocracker",$G8177="Reformer"),IF(COUNTIFS($D:$D,$D8177,$A:$A,$A8177,$B:$B,$B8177,$G:$G,"CDU",$J:$J,"PLANNED")&gt;0,"tied","standalone"),"")</f>
        <v/>
      </c>
    </row>
    <row r="8178" spans="1:14">
      <c r="A8178" s="6">
        <v>2026</v>
      </c>
      <c r="B8178" s="6">
        <v>11</v>
      </c>
      <c r="C8178" s="6" t="s">
        <v>70</v>
      </c>
      <c r="D8178" s="6" t="s">
        <v>597</v>
      </c>
      <c r="E8178" s="6" t="s">
        <v>441</v>
      </c>
      <c r="F8178" s="6" t="str">
        <f>IF($M8178="PADD I","PADD 1",IF($M8178="PADD II","PADD 2",IF($M8178="PADD III","PADD 3",IF($M8178="PADD IV","PADD 4",IF($M8178="PADD V","PADD 5","")))))</f>
        <v>PADD 5</v>
      </c>
      <c r="G8178" s="6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6" t="s">
        <v>426</v>
      </c>
      <c r="I8178" s="6" t="s">
        <v>106</v>
      </c>
      <c r="J8178" s="6" t="s">
        <v>398</v>
      </c>
      <c r="K8178" s="10">
        <v>80</v>
      </c>
      <c r="L8178" s="10">
        <v>80</v>
      </c>
      <c r="M8178" s="6" t="s">
        <v>436</v>
      </c>
      <c r="N8178" s="6" t="str">
        <f>IF(OR($G8178="FCC",$G8178="Hydrocracker",$G8178="Reformer"),IF(COUNTIFS($D:$D,$D8178,$A:$A,$A8178,$B:$B,$B8178,$G:$G,"CDU",$J:$J,"PLANNED")&gt;0,"tied","standalone"),"")</f>
        <v>standalone</v>
      </c>
    </row>
    <row r="8179" spans="1:14">
      <c r="A8179" s="6">
        <v>2026</v>
      </c>
      <c r="B8179" s="6">
        <v>11</v>
      </c>
      <c r="C8179" s="6" t="s">
        <v>70</v>
      </c>
      <c r="D8179" s="6" t="s">
        <v>725</v>
      </c>
      <c r="E8179" s="6" t="s">
        <v>502</v>
      </c>
      <c r="F8179" s="6" t="str">
        <f>IF($M8179="PADD I","PADD 1",IF($M8179="PADD II","PADD 2",IF($M8179="PADD III","PADD 3",IF($M8179="PADD IV","PADD 4",IF($M8179="PADD V","PADD 5","")))))</f>
        <v>PADD 2</v>
      </c>
      <c r="G8179" s="6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6" t="s">
        <v>428</v>
      </c>
      <c r="I8179" s="6" t="s">
        <v>481</v>
      </c>
      <c r="J8179" s="6" t="s">
        <v>398</v>
      </c>
      <c r="K8179" s="10">
        <v>56</v>
      </c>
      <c r="L8179" s="10">
        <v>56</v>
      </c>
      <c r="M8179" s="6" t="s">
        <v>425</v>
      </c>
      <c r="N8179" s="6">
        <f>IF(OR($G8179="FCC",$G8179="Hydrocracker",$G8179="Reformer"),IF(COUNTIFS($D:$D,$D8179,$A:$A,$A8179,$B:$B,$B8179,$G:$G,"CDU",$J:$J,"PLANNED")&gt;0,"tied","standalone"),"")</f>
        <v/>
      </c>
    </row>
    <row r="8180" spans="1:14">
      <c r="A8180" s="6">
        <v>2026</v>
      </c>
      <c r="B8180" s="6">
        <v>11</v>
      </c>
      <c r="C8180" s="6" t="s">
        <v>70</v>
      </c>
      <c r="D8180" s="6" t="s">
        <v>576</v>
      </c>
      <c r="E8180" s="6" t="s">
        <v>455</v>
      </c>
      <c r="F8180" s="6" t="str">
        <f>IF($M8180="PADD I","PADD 1",IF($M8180="PADD II","PADD 2",IF($M8180="PADD III","PADD 3",IF($M8180="PADD IV","PADD 4",IF($M8180="PADD V","PADD 5","")))))</f>
        <v>PADD 3</v>
      </c>
      <c r="G8180" s="6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6" t="s">
        <v>44</v>
      </c>
      <c r="I8180" s="6" t="s">
        <v>1126</v>
      </c>
      <c r="J8180" s="6" t="s">
        <v>394</v>
      </c>
      <c r="K8180" s="10">
        <v>42.3</v>
      </c>
      <c r="L8180" s="10">
        <v>47</v>
      </c>
      <c r="M8180" s="6" t="s">
        <v>421</v>
      </c>
      <c r="N8180" s="6">
        <f>IF(OR($G8180="FCC",$G8180="Hydrocracker",$G8180="Reformer"),IF(COUNTIFS($D:$D,$D8180,$A:$A,$A8180,$B:$B,$B8180,$G:$G,"CDU",$J:$J,"PLANNED")&gt;0,"tied","standalone"),"")</f>
        <v/>
      </c>
    </row>
    <row r="8181" spans="1:14">
      <c r="A8181" s="6">
        <v>2026</v>
      </c>
      <c r="B8181" s="6">
        <v>11</v>
      </c>
      <c r="C8181" s="6" t="s">
        <v>70</v>
      </c>
      <c r="D8181" s="6" t="s">
        <v>725</v>
      </c>
      <c r="E8181" s="6" t="s">
        <v>502</v>
      </c>
      <c r="F8181" s="6" t="str">
        <f>IF($M8181="PADD I","PADD 1",IF($M8181="PADD II","PADD 2",IF($M8181="PADD III","PADD 3",IF($M8181="PADD IV","PADD 4",IF($M8181="PADD V","PADD 5","")))))</f>
        <v>PADD 2</v>
      </c>
      <c r="G8181" s="6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6" t="s">
        <v>426</v>
      </c>
      <c r="I8181" s="6" t="s">
        <v>106</v>
      </c>
      <c r="J8181" s="6" t="s">
        <v>398</v>
      </c>
      <c r="K8181" s="10">
        <v>39</v>
      </c>
      <c r="L8181" s="10">
        <v>39</v>
      </c>
      <c r="M8181" s="6" t="s">
        <v>425</v>
      </c>
      <c r="N8181" s="6" t="str">
        <f>IF(OR($G8181="FCC",$G8181="Hydrocracker",$G8181="Reformer"),IF(COUNTIFS($D:$D,$D8181,$A:$A,$A8181,$B:$B,$B8181,$G:$G,"CDU",$J:$J,"PLANNED")&gt;0,"tied","standalone"),"")</f>
        <v>tied</v>
      </c>
    </row>
    <row r="8182" spans="1:14">
      <c r="A8182" s="6">
        <v>2026</v>
      </c>
      <c r="B8182" s="6">
        <v>11</v>
      </c>
      <c r="C8182" s="6" t="s">
        <v>70</v>
      </c>
      <c r="D8182" s="6" t="s">
        <v>378</v>
      </c>
      <c r="E8182" s="6" t="s">
        <v>477</v>
      </c>
      <c r="F8182" s="6" t="str">
        <f>IF($M8182="PADD I","PADD 1",IF($M8182="PADD II","PADD 2",IF($M8182="PADD III","PADD 3",IF($M8182="PADD IV","PADD 4",IF($M8182="PADD V","PADD 5","")))))</f>
        <v>PADD 3</v>
      </c>
      <c r="G8182" s="6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6" t="s">
        <v>39</v>
      </c>
      <c r="I8182" s="6" t="s">
        <v>379</v>
      </c>
      <c r="J8182" s="6" t="s">
        <v>398</v>
      </c>
      <c r="K8182" s="10">
        <v>28.8</v>
      </c>
      <c r="L8182" s="10">
        <v>96</v>
      </c>
      <c r="M8182" s="6" t="s">
        <v>421</v>
      </c>
      <c r="N8182" s="6">
        <f>IF(OR($G8182="FCC",$G8182="Hydrocracker",$G8182="Reformer"),IF(COUNTIFS($D:$D,$D8182,$A:$A,$A8182,$B:$B,$B8182,$G:$G,"CDU",$J:$J,"PLANNED")&gt;0,"tied","standalone"),"")</f>
        <v/>
      </c>
    </row>
    <row r="8183" spans="1:14">
      <c r="A8183" s="6">
        <v>2026</v>
      </c>
      <c r="B8183" s="6">
        <v>11</v>
      </c>
      <c r="C8183" s="6" t="s">
        <v>70</v>
      </c>
      <c r="D8183" s="6" t="s">
        <v>437</v>
      </c>
      <c r="E8183" s="6" t="s">
        <v>438</v>
      </c>
      <c r="F8183" s="6" t="str">
        <f>IF($M8183="PADD I","PADD 1",IF($M8183="PADD II","PADD 2",IF($M8183="PADD III","PADD 3",IF($M8183="PADD IV","PADD 4",IF($M8183="PADD V","PADD 5","")))))</f>
        <v>PADD 3</v>
      </c>
      <c r="G8183" s="6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6" t="s">
        <v>471</v>
      </c>
      <c r="I8183" s="6" t="s">
        <v>633</v>
      </c>
      <c r="J8183" s="6" t="s">
        <v>398</v>
      </c>
      <c r="K8183" s="10">
        <v>24.05</v>
      </c>
      <c r="L8183" s="10">
        <v>65</v>
      </c>
      <c r="M8183" s="6" t="s">
        <v>421</v>
      </c>
      <c r="N8183" s="6" t="str">
        <f>IF(OR($G8183="FCC",$G8183="Hydrocracker",$G8183="Reformer"),IF(COUNTIFS($D:$D,$D8183,$A:$A,$A8183,$B:$B,$B8183,$G:$G,"CDU",$J:$J,"PLANNED")&gt;0,"tied","standalone"),"")</f>
        <v>standalone</v>
      </c>
    </row>
    <row r="8184" spans="1:14">
      <c r="A8184" s="6">
        <v>2026</v>
      </c>
      <c r="B8184" s="6">
        <v>11</v>
      </c>
      <c r="C8184" s="6" t="s">
        <v>70</v>
      </c>
      <c r="D8184" s="6" t="s">
        <v>1169</v>
      </c>
      <c r="E8184" s="6" t="s">
        <v>1170</v>
      </c>
      <c r="F8184" s="6" t="str">
        <f>IF($M8184="PADD I","PADD 1",IF($M8184="PADD II","PADD 2",IF($M8184="PADD III","PADD 3",IF($M8184="PADD IV","PADD 4",IF($M8184="PADD V","PADD 5","")))))</f>
        <v>PADD 3</v>
      </c>
      <c r="G8184" s="6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6" t="s">
        <v>39</v>
      </c>
      <c r="I8184" s="6" t="s">
        <v>1171</v>
      </c>
      <c r="J8184" s="6" t="s">
        <v>398</v>
      </c>
      <c r="K8184" s="10">
        <v>23.5</v>
      </c>
      <c r="L8184" s="10">
        <v>50</v>
      </c>
      <c r="M8184" s="6" t="s">
        <v>421</v>
      </c>
      <c r="N8184" s="6">
        <f>IF(OR($G8184="FCC",$G8184="Hydrocracker",$G8184="Reformer"),IF(COUNTIFS($D:$D,$D8184,$A:$A,$A8184,$B:$B,$B8184,$G:$G,"CDU",$J:$J,"PLANNED")&gt;0,"tied","standalone"),"")</f>
        <v/>
      </c>
    </row>
    <row r="8185" spans="1:14">
      <c r="A8185" s="6">
        <v>2026</v>
      </c>
      <c r="B8185" s="6">
        <v>11</v>
      </c>
      <c r="C8185" s="6" t="s">
        <v>70</v>
      </c>
      <c r="D8185" s="6" t="s">
        <v>725</v>
      </c>
      <c r="E8185" s="6" t="s">
        <v>502</v>
      </c>
      <c r="F8185" s="6" t="str">
        <f>IF($M8185="PADD I","PADD 1",IF($M8185="PADD II","PADD 2",IF($M8185="PADD III","PADD 3",IF($M8185="PADD IV","PADD 4",IF($M8185="PADD V","PADD 5","")))))</f>
        <v>PADD 2</v>
      </c>
      <c r="G8185" s="6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6" t="s">
        <v>471</v>
      </c>
      <c r="I8185" s="6" t="s">
        <v>748</v>
      </c>
      <c r="J8185" s="6" t="s">
        <v>398</v>
      </c>
      <c r="K8185" s="10">
        <v>22</v>
      </c>
      <c r="L8185" s="10">
        <v>22</v>
      </c>
      <c r="M8185" s="6" t="s">
        <v>425</v>
      </c>
      <c r="N8185" s="6" t="str">
        <f>IF(OR($G8185="FCC",$G8185="Hydrocracker",$G8185="Reformer"),IF(COUNTIFS($D:$D,$D8185,$A:$A,$A8185,$B:$B,$B8185,$G:$G,"CDU",$J:$J,"PLANNED")&gt;0,"tied","standalone"),"")</f>
        <v>tied</v>
      </c>
    </row>
    <row r="8186" spans="1:14">
      <c r="A8186" s="6">
        <v>2026</v>
      </c>
      <c r="B8186" s="6">
        <v>11</v>
      </c>
      <c r="C8186" s="6" t="s">
        <v>70</v>
      </c>
      <c r="D8186" s="6" t="s">
        <v>725</v>
      </c>
      <c r="E8186" s="6" t="s">
        <v>502</v>
      </c>
      <c r="F8186" s="6" t="str">
        <f>IF($M8186="PADD I","PADD 1",IF($M8186="PADD II","PADD 2",IF($M8186="PADD III","PADD 3",IF($M8186="PADD IV","PADD 4",IF($M8186="PADD V","PADD 5","")))))</f>
        <v>PADD 2</v>
      </c>
      <c r="G8186" s="6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6" t="s">
        <v>485</v>
      </c>
      <c r="I8186" s="6" t="s">
        <v>491</v>
      </c>
      <c r="J8186" s="6" t="s">
        <v>398</v>
      </c>
      <c r="K8186" s="10">
        <v>20.5</v>
      </c>
      <c r="L8186" s="10">
        <v>20.5</v>
      </c>
      <c r="M8186" s="6" t="s">
        <v>425</v>
      </c>
      <c r="N8186" s="6">
        <f>IF(OR($G8186="FCC",$G8186="Hydrocracker",$G8186="Reformer"),IF(COUNTIFS($D:$D,$D8186,$A:$A,$A8186,$B:$B,$B8186,$G:$G,"CDU",$J:$J,"PLANNED")&gt;0,"tied","standalone"),"")</f>
        <v/>
      </c>
    </row>
    <row r="8187" spans="1:14">
      <c r="A8187" s="6">
        <v>2026</v>
      </c>
      <c r="B8187" s="6">
        <v>11</v>
      </c>
      <c r="C8187" s="6" t="s">
        <v>70</v>
      </c>
      <c r="D8187" s="6" t="s">
        <v>725</v>
      </c>
      <c r="E8187" s="6" t="s">
        <v>502</v>
      </c>
      <c r="F8187" s="6" t="str">
        <f>IF($M8187="PADD I","PADD 1",IF($M8187="PADD II","PADD 2",IF($M8187="PADD III","PADD 3",IF($M8187="PADD IV","PADD 4",IF($M8187="PADD V","PADD 5","")))))</f>
        <v>PADD 2</v>
      </c>
      <c r="G8187" s="6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6" t="s">
        <v>485</v>
      </c>
      <c r="I8187" s="6" t="s">
        <v>491</v>
      </c>
      <c r="J8187" s="6" t="s">
        <v>398</v>
      </c>
      <c r="K8187" s="10">
        <v>20.5</v>
      </c>
      <c r="L8187" s="10">
        <v>20.5</v>
      </c>
      <c r="M8187" s="6" t="s">
        <v>425</v>
      </c>
      <c r="N8187" s="6">
        <f>IF(OR($G8187="FCC",$G8187="Hydrocracker",$G8187="Reformer"),IF(COUNTIFS($D:$D,$D8187,$A:$A,$A8187,$B:$B,$B8187,$G:$G,"CDU",$J:$J,"PLANNED")&gt;0,"tied","standalone"),"")</f>
        <v/>
      </c>
    </row>
    <row r="8188" spans="1:14">
      <c r="A8188" s="6">
        <v>2026</v>
      </c>
      <c r="B8188" s="6">
        <v>11</v>
      </c>
      <c r="C8188" s="6" t="s">
        <v>70</v>
      </c>
      <c r="D8188" s="6" t="s">
        <v>597</v>
      </c>
      <c r="E8188" s="6" t="s">
        <v>441</v>
      </c>
      <c r="F8188" s="6" t="str">
        <f>IF($M8188="PADD I","PADD 1",IF($M8188="PADD II","PADD 2",IF($M8188="PADD III","PADD 3",IF($M8188="PADD IV","PADD 4",IF($M8188="PADD V","PADD 5","")))))</f>
        <v>PADD 5</v>
      </c>
      <c r="G8188" s="6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6" t="s">
        <v>510</v>
      </c>
      <c r="I8188" s="6" t="s">
        <v>511</v>
      </c>
      <c r="J8188" s="6" t="s">
        <v>398</v>
      </c>
      <c r="K8188" s="10">
        <v>20</v>
      </c>
      <c r="L8188" s="10">
        <v>20</v>
      </c>
      <c r="M8188" s="6" t="s">
        <v>436</v>
      </c>
      <c r="N8188" s="6">
        <f>IF(OR($G8188="FCC",$G8188="Hydrocracker",$G8188="Reformer"),IF(COUNTIFS($D:$D,$D8188,$A:$A,$A8188,$B:$B,$B8188,$G:$G,"CDU",$J:$J,"PLANNED")&gt;0,"tied","standalone"),"")</f>
        <v/>
      </c>
    </row>
    <row r="8189" spans="1:14">
      <c r="A8189" s="6">
        <v>2026</v>
      </c>
      <c r="B8189" s="6">
        <v>11</v>
      </c>
      <c r="C8189" s="6" t="s">
        <v>70</v>
      </c>
      <c r="D8189" s="6" t="s">
        <v>445</v>
      </c>
      <c r="E8189" s="6" t="s">
        <v>446</v>
      </c>
      <c r="F8189" s="6" t="str">
        <f>IF($M8189="PADD I","PADD 1",IF($M8189="PADD II","PADD 2",IF($M8189="PADD III","PADD 3",IF($M8189="PADD IV","PADD 4",IF($M8189="PADD V","PADD 5","")))))</f>
        <v>PADD 3</v>
      </c>
      <c r="G8189" s="6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6" t="s">
        <v>44</v>
      </c>
      <c r="I8189" s="6" t="s">
        <v>599</v>
      </c>
      <c r="J8189" s="6" t="s">
        <v>398</v>
      </c>
      <c r="K8189" s="10">
        <v>19.505</v>
      </c>
      <c r="L8189" s="10">
        <v>41.5</v>
      </c>
      <c r="M8189" s="6" t="s">
        <v>421</v>
      </c>
      <c r="N8189" s="6">
        <f>IF(OR($G8189="FCC",$G8189="Hydrocracker",$G8189="Reformer"),IF(COUNTIFS($D:$D,$D8189,$A:$A,$A8189,$B:$B,$B8189,$G:$G,"CDU",$J:$J,"PLANNED")&gt;0,"tied","standalone"),"")</f>
        <v/>
      </c>
    </row>
    <row r="8190" spans="1:14">
      <c r="A8190" s="6">
        <v>2026</v>
      </c>
      <c r="B8190" s="6">
        <v>11</v>
      </c>
      <c r="C8190" s="6" t="s">
        <v>70</v>
      </c>
      <c r="D8190" s="6" t="s">
        <v>725</v>
      </c>
      <c r="E8190" s="6" t="s">
        <v>502</v>
      </c>
      <c r="F8190" s="6" t="str">
        <f>IF($M8190="PADD I","PADD 1",IF($M8190="PADD II","PADD 2",IF($M8190="PADD III","PADD 3",IF($M8190="PADD IV","PADD 4",IF($M8190="PADD V","PADD 5","")))))</f>
        <v>PADD 2</v>
      </c>
      <c r="G8190" s="6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6" t="s">
        <v>44</v>
      </c>
      <c r="I8190" s="6" t="s">
        <v>754</v>
      </c>
      <c r="J8190" s="6" t="s">
        <v>398</v>
      </c>
      <c r="K8190" s="10">
        <v>18</v>
      </c>
      <c r="L8190" s="10">
        <v>18</v>
      </c>
      <c r="M8190" s="6" t="s">
        <v>425</v>
      </c>
      <c r="N8190" s="6">
        <f>IF(OR($G8190="FCC",$G8190="Hydrocracker",$G8190="Reformer"),IF(COUNTIFS($D:$D,$D8190,$A:$A,$A8190,$B:$B,$B8190,$G:$G,"CDU",$J:$J,"PLANNED")&gt;0,"tied","standalone"),"")</f>
        <v/>
      </c>
    </row>
    <row r="8191" spans="1:14">
      <c r="A8191" s="6">
        <v>2026</v>
      </c>
      <c r="B8191" s="6">
        <v>11</v>
      </c>
      <c r="C8191" s="6" t="s">
        <v>70</v>
      </c>
      <c r="D8191" s="6" t="s">
        <v>725</v>
      </c>
      <c r="E8191" s="6" t="s">
        <v>502</v>
      </c>
      <c r="F8191" s="6" t="str">
        <f>IF($M8191="PADD I","PADD 1",IF($M8191="PADD II","PADD 2",IF($M8191="PADD III","PADD 3",IF($M8191="PADD IV","PADD 4",IF($M8191="PADD V","PADD 5","")))))</f>
        <v>PADD 2</v>
      </c>
      <c r="G8191" s="6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6" t="s">
        <v>44</v>
      </c>
      <c r="I8191" s="6" t="s">
        <v>755</v>
      </c>
      <c r="J8191" s="6" t="s">
        <v>398</v>
      </c>
      <c r="K8191" s="10">
        <v>18</v>
      </c>
      <c r="L8191" s="10">
        <v>18</v>
      </c>
      <c r="M8191" s="6" t="s">
        <v>425</v>
      </c>
      <c r="N8191" s="6">
        <f>IF(OR($G8191="FCC",$G8191="Hydrocracker",$G8191="Reformer"),IF(COUNTIFS($D:$D,$D8191,$A:$A,$A8191,$B:$B,$B8191,$G:$G,"CDU",$J:$J,"PLANNED")&gt;0,"tied","standalone"),"")</f>
        <v/>
      </c>
    </row>
    <row r="8192" spans="1:14">
      <c r="A8192" s="6">
        <v>2026</v>
      </c>
      <c r="B8192" s="6">
        <v>11</v>
      </c>
      <c r="C8192" s="6" t="s">
        <v>70</v>
      </c>
      <c r="D8192" s="6" t="s">
        <v>484</v>
      </c>
      <c r="E8192" s="6" t="s">
        <v>438</v>
      </c>
      <c r="F8192" s="6" t="str">
        <f>IF($M8192="PADD I","PADD 1",IF($M8192="PADD II","PADD 2",IF($M8192="PADD III","PADD 3",IF($M8192="PADD IV","PADD 4",IF($M8192="PADD V","PADD 5","")))))</f>
        <v>PADD 5</v>
      </c>
      <c r="G8192" s="6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6" t="s">
        <v>494</v>
      </c>
      <c r="I8192" s="6" t="s">
        <v>14</v>
      </c>
      <c r="J8192" s="6" t="s">
        <v>398</v>
      </c>
      <c r="K8192" s="10">
        <v>17.296</v>
      </c>
      <c r="L8192" s="10">
        <v>36.8</v>
      </c>
      <c r="M8192" s="6" t="s">
        <v>436</v>
      </c>
      <c r="N8192" s="6" t="str">
        <f>IF(OR($G8192="FCC",$G8192="Hydrocracker",$G8192="Reformer"),IF(COUNTIFS($D:$D,$D8192,$A:$A,$A8192,$B:$B,$B8192,$G:$G,"CDU",$J:$J,"PLANNED")&gt;0,"tied","standalone"),"")</f>
        <v>standalone</v>
      </c>
    </row>
    <row r="8193" spans="1:14">
      <c r="A8193" s="6">
        <v>2026</v>
      </c>
      <c r="B8193" s="6">
        <v>11</v>
      </c>
      <c r="C8193" s="6" t="s">
        <v>70</v>
      </c>
      <c r="D8193" s="6" t="s">
        <v>725</v>
      </c>
      <c r="E8193" s="6" t="s">
        <v>502</v>
      </c>
      <c r="F8193" s="6" t="str">
        <f>IF($M8193="PADD I","PADD 1",IF($M8193="PADD II","PADD 2",IF($M8193="PADD III","PADD 3",IF($M8193="PADD IV","PADD 4",IF($M8193="PADD V","PADD 5","")))))</f>
        <v>PADD 2</v>
      </c>
      <c r="G8193" s="6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6" t="s">
        <v>618</v>
      </c>
      <c r="I8193" s="6" t="s">
        <v>654</v>
      </c>
      <c r="J8193" s="6" t="s">
        <v>398</v>
      </c>
      <c r="K8193" s="10">
        <v>15</v>
      </c>
      <c r="L8193" s="10">
        <v>15</v>
      </c>
      <c r="M8193" s="6" t="s">
        <v>425</v>
      </c>
      <c r="N8193" s="6">
        <f>IF(OR($G8193="FCC",$G8193="Hydrocracker",$G8193="Reformer"),IF(COUNTIFS($D:$D,$D8193,$A:$A,$A8193,$B:$B,$B8193,$G:$G,"CDU",$J:$J,"PLANNED")&gt;0,"tied","standalone"),"")</f>
        <v/>
      </c>
    </row>
    <row r="8194" spans="1:14">
      <c r="A8194" s="6">
        <v>2026</v>
      </c>
      <c r="B8194" s="6">
        <v>11</v>
      </c>
      <c r="C8194" s="6" t="s">
        <v>70</v>
      </c>
      <c r="D8194" s="6" t="s">
        <v>725</v>
      </c>
      <c r="E8194" s="6" t="s">
        <v>502</v>
      </c>
      <c r="F8194" s="6" t="str">
        <f>IF($M8194="PADD I","PADD 1",IF($M8194="PADD II","PADD 2",IF($M8194="PADD III","PADD 3",IF($M8194="PADD IV","PADD 4",IF($M8194="PADD V","PADD 5","")))))</f>
        <v>PADD 2</v>
      </c>
      <c r="G8194" s="6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6" t="s">
        <v>510</v>
      </c>
      <c r="I8194" s="6" t="s">
        <v>666</v>
      </c>
      <c r="J8194" s="6" t="s">
        <v>398</v>
      </c>
      <c r="K8194" s="10">
        <v>11.5</v>
      </c>
      <c r="L8194" s="10">
        <v>11.5</v>
      </c>
      <c r="M8194" s="6" t="s">
        <v>425</v>
      </c>
      <c r="N8194" s="6">
        <f>IF(OR($G8194="FCC",$G8194="Hydrocracker",$G8194="Reformer"),IF(COUNTIFS($D:$D,$D8194,$A:$A,$A8194,$B:$B,$B8194,$G:$G,"CDU",$J:$J,"PLANNED")&gt;0,"tied","standalone"),"")</f>
        <v/>
      </c>
    </row>
    <row r="8195" spans="1:14">
      <c r="A8195" s="6">
        <v>2026</v>
      </c>
      <c r="B8195" s="6">
        <v>11</v>
      </c>
      <c r="C8195" s="6" t="s">
        <v>70</v>
      </c>
      <c r="D8195" s="6" t="s">
        <v>378</v>
      </c>
      <c r="E8195" s="6" t="s">
        <v>477</v>
      </c>
      <c r="F8195" s="6" t="str">
        <f>IF($M8195="PADD I","PADD 1",IF($M8195="PADD II","PADD 2",IF($M8195="PADD III","PADD 3",IF($M8195="PADD IV","PADD 4",IF($M8195="PADD V","PADD 5","")))))</f>
        <v>PADD 3</v>
      </c>
      <c r="G8195" s="6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6" t="s">
        <v>485</v>
      </c>
      <c r="I8195" s="6" t="s">
        <v>1298</v>
      </c>
      <c r="J8195" s="6" t="s">
        <v>398</v>
      </c>
      <c r="K8195" s="10">
        <v>9</v>
      </c>
      <c r="L8195" s="10">
        <v>30</v>
      </c>
      <c r="M8195" s="6" t="s">
        <v>421</v>
      </c>
      <c r="N8195" s="6">
        <f>IF(OR($G8195="FCC",$G8195="Hydrocracker",$G8195="Reformer"),IF(COUNTIFS($D:$D,$D8195,$A:$A,$A8195,$B:$B,$B8195,$G:$G,"CDU",$J:$J,"PLANNED")&gt;0,"tied","standalone"),"")</f>
        <v/>
      </c>
    </row>
    <row r="8196" spans="1:14">
      <c r="A8196" s="6">
        <v>2026</v>
      </c>
      <c r="B8196" s="6">
        <v>11</v>
      </c>
      <c r="C8196" s="6" t="s">
        <v>70</v>
      </c>
      <c r="D8196" s="6" t="s">
        <v>445</v>
      </c>
      <c r="E8196" s="6" t="s">
        <v>446</v>
      </c>
      <c r="F8196" s="6" t="str">
        <f>IF($M8196="PADD I","PADD 1",IF($M8196="PADD II","PADD 2",IF($M8196="PADD III","PADD 3",IF($M8196="PADD IV","PADD 4",IF($M8196="PADD V","PADD 5","")))))</f>
        <v>PADD 3</v>
      </c>
      <c r="G8196" s="6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6" t="s">
        <v>510</v>
      </c>
      <c r="I8196" s="6" t="s">
        <v>511</v>
      </c>
      <c r="J8196" s="6" t="s">
        <v>398</v>
      </c>
      <c r="K8196" s="10">
        <v>8.4</v>
      </c>
      <c r="L8196" s="10">
        <v>16.8</v>
      </c>
      <c r="M8196" s="6" t="s">
        <v>421</v>
      </c>
      <c r="N8196" s="6">
        <f>IF(OR($G8196="FCC",$G8196="Hydrocracker",$G8196="Reformer"),IF(COUNTIFS($D:$D,$D8196,$A:$A,$A8196,$B:$B,$B8196,$G:$G,"CDU",$J:$J,"PLANNED")&gt;0,"tied","standalone"),"")</f>
        <v/>
      </c>
    </row>
    <row r="8197" spans="1:14">
      <c r="A8197" s="6">
        <v>2026</v>
      </c>
      <c r="B8197" s="6">
        <v>11</v>
      </c>
      <c r="C8197" s="6" t="s">
        <v>70</v>
      </c>
      <c r="D8197" s="6" t="s">
        <v>445</v>
      </c>
      <c r="E8197" s="6" t="s">
        <v>446</v>
      </c>
      <c r="F8197" s="6" t="str">
        <f>IF($M8197="PADD I","PADD 1",IF($M8197="PADD II","PADD 2",IF($M8197="PADD III","PADD 3",IF($M8197="PADD IV","PADD 4",IF($M8197="PADD V","PADD 5","")))))</f>
        <v>PADD 3</v>
      </c>
      <c r="G8197" s="6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6" t="s">
        <v>426</v>
      </c>
      <c r="I8197" s="6" t="s">
        <v>106</v>
      </c>
      <c r="J8197" s="6" t="s">
        <v>398</v>
      </c>
      <c r="K8197" s="10">
        <v>8.225</v>
      </c>
      <c r="L8197" s="10">
        <v>17.5</v>
      </c>
      <c r="M8197" s="6" t="s">
        <v>421</v>
      </c>
      <c r="N8197" s="6" t="str">
        <f>IF(OR($G8197="FCC",$G8197="Hydrocracker",$G8197="Reformer"),IF(COUNTIFS($D:$D,$D8197,$A:$A,$A8197,$B:$B,$B8197,$G:$G,"CDU",$J:$J,"PLANNED")&gt;0,"tied","standalone"),"")</f>
        <v>standalone</v>
      </c>
    </row>
    <row r="8198" spans="1:14">
      <c r="A8198" s="6">
        <v>2026</v>
      </c>
      <c r="B8198" s="6">
        <v>11</v>
      </c>
      <c r="C8198" s="6" t="s">
        <v>70</v>
      </c>
      <c r="D8198" s="6" t="s">
        <v>725</v>
      </c>
      <c r="E8198" s="6" t="s">
        <v>502</v>
      </c>
      <c r="F8198" s="6" t="str">
        <f>IF($M8198="PADD I","PADD 1",IF($M8198="PADD II","PADD 2",IF($M8198="PADD III","PADD 3",IF($M8198="PADD IV","PADD 4",IF($M8198="PADD V","PADD 5","")))))</f>
        <v>PADD 2</v>
      </c>
      <c r="G8198" s="6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6" t="s">
        <v>471</v>
      </c>
      <c r="I8198" s="6" t="s">
        <v>397</v>
      </c>
      <c r="J8198" s="6" t="s">
        <v>398</v>
      </c>
      <c r="K8198" s="10">
        <v>7.5</v>
      </c>
      <c r="L8198" s="10">
        <v>7.5</v>
      </c>
      <c r="M8198" s="6" t="s">
        <v>425</v>
      </c>
      <c r="N8198" s="6" t="str">
        <f>IF(OR($G8198="FCC",$G8198="Hydrocracker",$G8198="Reformer"),IF(COUNTIFS($D:$D,$D8198,$A:$A,$A8198,$B:$B,$B8198,$G:$G,"CDU",$J:$J,"PLANNED")&gt;0,"tied","standalone"),"")</f>
        <v>tied</v>
      </c>
    </row>
    <row r="8199" spans="1:14">
      <c r="A8199" s="6">
        <v>2026</v>
      </c>
      <c r="B8199" s="6">
        <v>11</v>
      </c>
      <c r="C8199" s="6" t="s">
        <v>70</v>
      </c>
      <c r="D8199" s="6" t="s">
        <v>725</v>
      </c>
      <c r="E8199" s="6" t="s">
        <v>502</v>
      </c>
      <c r="F8199" s="6" t="str">
        <f>IF($M8199="PADD I","PADD 1",IF($M8199="PADD II","PADD 2",IF($M8199="PADD III","PADD 3",IF($M8199="PADD IV","PADD 4",IF($M8199="PADD V","PADD 5","")))))</f>
        <v>PADD 2</v>
      </c>
      <c r="G8199" s="6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6" t="s">
        <v>471</v>
      </c>
      <c r="I8199" s="6" t="s">
        <v>397</v>
      </c>
      <c r="J8199" s="6" t="s">
        <v>398</v>
      </c>
      <c r="K8199" s="10">
        <v>7.5</v>
      </c>
      <c r="L8199" s="10">
        <v>7.5</v>
      </c>
      <c r="M8199" s="6" t="s">
        <v>425</v>
      </c>
      <c r="N8199" s="6" t="str">
        <f>IF(OR($G8199="FCC",$G8199="Hydrocracker",$G8199="Reformer"),IF(COUNTIFS($D:$D,$D8199,$A:$A,$A8199,$B:$B,$B8199,$G:$G,"CDU",$J:$J,"PLANNED")&gt;0,"tied","standalone"),"")</f>
        <v>tied</v>
      </c>
    </row>
    <row r="8200" spans="1:14">
      <c r="A8200" s="6">
        <v>2026</v>
      </c>
      <c r="B8200" s="6">
        <v>11</v>
      </c>
      <c r="C8200" s="6" t="s">
        <v>70</v>
      </c>
      <c r="D8200" s="6" t="s">
        <v>484</v>
      </c>
      <c r="E8200" s="6" t="s">
        <v>438</v>
      </c>
      <c r="F8200" s="6" t="str">
        <f>IF($M8200="PADD I","PADD 1",IF($M8200="PADD II","PADD 2",IF($M8200="PADD III","PADD 3",IF($M8200="PADD IV","PADD 4",IF($M8200="PADD V","PADD 5","")))))</f>
        <v>PADD 5</v>
      </c>
      <c r="G8200" s="6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6" t="s">
        <v>471</v>
      </c>
      <c r="I8200" s="6" t="s">
        <v>721</v>
      </c>
      <c r="J8200" s="6" t="s">
        <v>398</v>
      </c>
      <c r="K8200" s="10">
        <v>7.05</v>
      </c>
      <c r="L8200" s="10">
        <v>15</v>
      </c>
      <c r="M8200" s="6" t="s">
        <v>436</v>
      </c>
      <c r="N8200" s="6" t="str">
        <f>IF(OR($G8200="FCC",$G8200="Hydrocracker",$G8200="Reformer"),IF(COUNTIFS($D:$D,$D8200,$A:$A,$A8200,$B:$B,$B8200,$G:$G,"CDU",$J:$J,"PLANNED")&gt;0,"tied","standalone"),"")</f>
        <v>standalone</v>
      </c>
    </row>
    <row r="8201" spans="1:14">
      <c r="A8201" s="6">
        <v>2026</v>
      </c>
      <c r="B8201" s="6">
        <v>11</v>
      </c>
      <c r="C8201" s="6" t="s">
        <v>70</v>
      </c>
      <c r="D8201" s="6" t="s">
        <v>581</v>
      </c>
      <c r="E8201" s="6" t="s">
        <v>582</v>
      </c>
      <c r="F8201" s="6" t="str">
        <f>IF($M8201="PADD I","PADD 1",IF($M8201="PADD II","PADD 2",IF($M8201="PADD III","PADD 3",IF($M8201="PADD IV","PADD 4",IF($M8201="PADD V","PADD 5","")))))</f>
        <v>PADD 5</v>
      </c>
      <c r="G8201" s="6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6" t="s">
        <v>485</v>
      </c>
      <c r="I8201" s="6" t="s">
        <v>664</v>
      </c>
      <c r="J8201" s="6" t="s">
        <v>398</v>
      </c>
      <c r="K8201" s="10">
        <v>4.59</v>
      </c>
      <c r="L8201" s="10">
        <v>27</v>
      </c>
      <c r="M8201" s="6" t="s">
        <v>436</v>
      </c>
      <c r="N8201" s="6">
        <f>IF(OR($G8201="FCC",$G8201="Hydrocracker",$G8201="Reformer"),IF(COUNTIFS($D:$D,$D8201,$A:$A,$A8201,$B:$B,$B8201,$G:$G,"CDU",$J:$J,"PLANNED")&gt;0,"tied","standalone"),"")</f>
        <v/>
      </c>
    </row>
    <row r="8202" spans="1:14">
      <c r="A8202" s="6">
        <v>2026</v>
      </c>
      <c r="B8202" s="6">
        <v>11</v>
      </c>
      <c r="C8202" s="6" t="s">
        <v>70</v>
      </c>
      <c r="D8202" s="6" t="s">
        <v>484</v>
      </c>
      <c r="E8202" s="6" t="s">
        <v>438</v>
      </c>
      <c r="F8202" s="6" t="str">
        <f>IF($M8202="PADD I","PADD 1",IF($M8202="PADD II","PADD 2",IF($M8202="PADD III","PADD 3",IF($M8202="PADD IV","PADD 4",IF($M8202="PADD V","PADD 5","")))))</f>
        <v>PADD 5</v>
      </c>
      <c r="G8202" s="6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6" t="s">
        <v>618</v>
      </c>
      <c r="I8202" s="6" t="s">
        <v>959</v>
      </c>
      <c r="J8202" s="6" t="s">
        <v>398</v>
      </c>
      <c r="K8202" s="10">
        <v>3.76</v>
      </c>
      <c r="L8202" s="10">
        <v>8</v>
      </c>
      <c r="M8202" s="6" t="s">
        <v>436</v>
      </c>
      <c r="N8202" s="6">
        <f>IF(OR($G8202="FCC",$G8202="Hydrocracker",$G8202="Reformer"),IF(COUNTIFS($D:$D,$D8202,$A:$A,$A8202,$B:$B,$B8202,$G:$G,"CDU",$J:$J,"PLANNED")&gt;0,"tied","standalone"),"")</f>
        <v/>
      </c>
    </row>
    <row r="8203" spans="1:14">
      <c r="A8203" s="6">
        <v>2026</v>
      </c>
      <c r="B8203" s="6">
        <v>11</v>
      </c>
      <c r="C8203" s="6" t="s">
        <v>70</v>
      </c>
      <c r="D8203" s="6" t="s">
        <v>792</v>
      </c>
      <c r="E8203" s="6" t="s">
        <v>438</v>
      </c>
      <c r="F8203" s="6" t="str">
        <f>IF($M8203="PADD I","PADD 1",IF($M8203="PADD II","PADD 2",IF($M8203="PADD III","PADD 3",IF($M8203="PADD IV","PADD 4",IF($M8203="PADD V","PADD 5","")))))</f>
        <v>PADD 5</v>
      </c>
      <c r="G8203" s="6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6" t="s">
        <v>618</v>
      </c>
      <c r="I8203" s="6" t="s">
        <v>818</v>
      </c>
      <c r="J8203" s="6" t="s">
        <v>398</v>
      </c>
      <c r="K8203" s="10">
        <v>3.5</v>
      </c>
      <c r="L8203" s="10">
        <v>3.5</v>
      </c>
      <c r="M8203" s="6" t="s">
        <v>436</v>
      </c>
      <c r="N8203" s="6">
        <f>IF(OR($G8203="FCC",$G8203="Hydrocracker",$G8203="Reformer"),IF(COUNTIFS($D:$D,$D8203,$A:$A,$A8203,$B:$B,$B8203,$G:$G,"CDU",$J:$J,"PLANNED")&gt;0,"tied","standalone"),"")</f>
        <v/>
      </c>
    </row>
    <row r="8204" spans="1:14">
      <c r="A8204" s="6">
        <v>2026</v>
      </c>
      <c r="B8204" s="6">
        <v>12</v>
      </c>
      <c r="C8204" s="6" t="s">
        <v>71</v>
      </c>
      <c r="D8204" s="6" t="s">
        <v>597</v>
      </c>
      <c r="E8204" s="6" t="s">
        <v>441</v>
      </c>
      <c r="F8204" s="6" t="str">
        <f>IF($M8204="PADD I","PADD 1",IF($M8204="PADD II","PADD 2",IF($M8204="PADD III","PADD 3",IF($M8204="PADD IV","PADD 4",IF($M8204="PADD V","PADD 5","")))))</f>
        <v>PADD 5</v>
      </c>
      <c r="G8204" s="6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6" t="s">
        <v>426</v>
      </c>
      <c r="I8204" s="6" t="s">
        <v>106</v>
      </c>
      <c r="J8204" s="6" t="s">
        <v>398</v>
      </c>
      <c r="K8204" s="10">
        <v>4.8</v>
      </c>
      <c r="L8204" s="10">
        <v>80</v>
      </c>
      <c r="M8204" s="6" t="s">
        <v>436</v>
      </c>
      <c r="N8204" s="6" t="str">
        <f>IF(OR($G8204="FCC",$G8204="Hydrocracker",$G8204="Reformer"),IF(COUNTIFS($D:$D,$D8204,$A:$A,$A8204,$B:$B,$B8204,$G:$G,"CDU",$J:$J,"PLANNED")&gt;0,"tied","standalone"),"")</f>
        <v>standalone</v>
      </c>
    </row>
    <row r="8205" spans="1:14">
      <c r="A8205" s="6">
        <v>2026</v>
      </c>
      <c r="B8205" s="6">
        <v>12</v>
      </c>
      <c r="C8205" s="6" t="s">
        <v>71</v>
      </c>
      <c r="D8205" s="6" t="s">
        <v>792</v>
      </c>
      <c r="E8205" s="6" t="s">
        <v>438</v>
      </c>
      <c r="F8205" s="6" t="str">
        <f>IF($M8205="PADD I","PADD 1",IF($M8205="PADD II","PADD 2",IF($M8205="PADD III","PADD 3",IF($M8205="PADD IV","PADD 4",IF($M8205="PADD V","PADD 5","")))))</f>
        <v>PADD 5</v>
      </c>
      <c r="G8205" s="6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6" t="s">
        <v>618</v>
      </c>
      <c r="I8205" s="6" t="s">
        <v>818</v>
      </c>
      <c r="J8205" s="6" t="s">
        <v>398</v>
      </c>
      <c r="K8205" s="10">
        <v>3.5</v>
      </c>
      <c r="L8205" s="10">
        <v>3.5</v>
      </c>
      <c r="M8205" s="6" t="s">
        <v>436</v>
      </c>
      <c r="N8205" s="6">
        <f>IF(OR($G8205="FCC",$G8205="Hydrocracker",$G8205="Reformer"),IF(COUNTIFS($D:$D,$D8205,$A:$A,$A8205,$B:$B,$B8205,$G:$G,"CDU",$J:$J,"PLANNED")&gt;0,"tied","standalone"),"")</f>
        <v/>
      </c>
    </row>
    <row r="8206" spans="1:14">
      <c r="A8206" s="6">
        <v>2026</v>
      </c>
      <c r="B8206" s="6">
        <v>12</v>
      </c>
      <c r="C8206" s="6" t="s">
        <v>71</v>
      </c>
      <c r="D8206" s="6" t="s">
        <v>597</v>
      </c>
      <c r="E8206" s="6" t="s">
        <v>441</v>
      </c>
      <c r="F8206" s="6" t="str">
        <f>IF($M8206="PADD I","PADD 1",IF($M8206="PADD II","PADD 2",IF($M8206="PADD III","PADD 3",IF($M8206="PADD IV","PADD 4",IF($M8206="PADD V","PADD 5","")))))</f>
        <v>PADD 5</v>
      </c>
      <c r="G8206" s="6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6" t="s">
        <v>510</v>
      </c>
      <c r="I8206" s="6" t="s">
        <v>511</v>
      </c>
      <c r="J8206" s="6" t="s">
        <v>398</v>
      </c>
      <c r="K8206" s="10">
        <v>1.2</v>
      </c>
      <c r="L8206" s="10">
        <v>20</v>
      </c>
      <c r="M8206" s="6" t="s">
        <v>436</v>
      </c>
      <c r="N8206" s="6">
        <f>IF(OR($G8206="FCC",$G8206="Hydrocracker",$G8206="Reformer"),IF(COUNTIFS($D:$D,$D8206,$A:$A,$A8206,$B:$B,$B8206,$G:$G,"CDU",$J:$J,"PLANNED")&gt;0,"tied","standalone"),"")</f>
        <v/>
      </c>
    </row>
    <row r="8207" spans="1:14">
      <c r="A8207" s="6">
        <v>2027</v>
      </c>
      <c r="B8207" s="6">
        <v>1</v>
      </c>
      <c r="C8207" s="6" t="s">
        <v>60</v>
      </c>
      <c r="D8207" s="6" t="s">
        <v>382</v>
      </c>
      <c r="E8207" s="6" t="s">
        <v>431</v>
      </c>
      <c r="F8207" s="6" t="str">
        <f>IF($M8207="PADD I","PADD 1",IF($M8207="PADD II","PADD 2",IF($M8207="PADD III","PADD 3",IF($M8207="PADD IV","PADD 4",IF($M8207="PADD V","PADD 5","")))))</f>
        <v>PADD 3</v>
      </c>
      <c r="G8207" s="6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6" t="s">
        <v>426</v>
      </c>
      <c r="I8207" s="6" t="s">
        <v>106</v>
      </c>
      <c r="J8207" s="6" t="s">
        <v>398</v>
      </c>
      <c r="K8207" s="10">
        <v>97.2</v>
      </c>
      <c r="L8207" s="10">
        <v>120</v>
      </c>
      <c r="M8207" s="6" t="s">
        <v>421</v>
      </c>
      <c r="N8207" s="6" t="str">
        <f>IF(OR($G8207="FCC",$G8207="Hydrocracker",$G8207="Reformer"),IF(COUNTIFS($D:$D,$D8207,$A:$A,$A8207,$B:$B,$B8207,$G:$G,"CDU",$J:$J,"PLANNED")&gt;0,"tied","standalone"),"")</f>
        <v>standalone</v>
      </c>
    </row>
    <row r="8208" spans="1:14">
      <c r="A8208" s="6">
        <v>2027</v>
      </c>
      <c r="B8208" s="6">
        <v>1</v>
      </c>
      <c r="C8208" s="6" t="s">
        <v>60</v>
      </c>
      <c r="D8208" s="6" t="s">
        <v>375</v>
      </c>
      <c r="E8208" s="6" t="s">
        <v>435</v>
      </c>
      <c r="F8208" s="6" t="str">
        <f>IF($M8208="PADD I","PADD 1",IF($M8208="PADD II","PADD 2",IF($M8208="PADD III","PADD 3",IF($M8208="PADD IV","PADD 4",IF($M8208="PADD V","PADD 5","")))))</f>
        <v>PADD 5</v>
      </c>
      <c r="G8208" s="6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6" t="s">
        <v>39</v>
      </c>
      <c r="I8208" s="6" t="s">
        <v>94</v>
      </c>
      <c r="J8208" s="6" t="s">
        <v>398</v>
      </c>
      <c r="K8208" s="10">
        <v>85.25</v>
      </c>
      <c r="L8208" s="10">
        <v>155</v>
      </c>
      <c r="M8208" s="6" t="s">
        <v>436</v>
      </c>
      <c r="N8208" s="6">
        <f>IF(OR($G8208="FCC",$G8208="Hydrocracker",$G8208="Reformer"),IF(COUNTIFS($D:$D,$D8208,$A:$A,$A8208,$B:$B,$B8208,$G:$G,"CDU",$J:$J,"PLANNED")&gt;0,"tied","standalone"),"")</f>
        <v/>
      </c>
    </row>
    <row r="8209" spans="1:14">
      <c r="A8209" s="6">
        <v>2027</v>
      </c>
      <c r="B8209" s="6">
        <v>1</v>
      </c>
      <c r="C8209" s="6" t="s">
        <v>60</v>
      </c>
      <c r="D8209" s="6" t="s">
        <v>373</v>
      </c>
      <c r="E8209" s="6" t="s">
        <v>438</v>
      </c>
      <c r="F8209" s="6" t="str">
        <f>IF($M8209="PADD I","PADD 1",IF($M8209="PADD II","PADD 2",IF($M8209="PADD III","PADD 3",IF($M8209="PADD IV","PADD 4",IF($M8209="PADD V","PADD 5","")))))</f>
        <v>PADD 3</v>
      </c>
      <c r="G8209" s="6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6" t="s">
        <v>39</v>
      </c>
      <c r="I8209" s="6" t="s">
        <v>100</v>
      </c>
      <c r="J8209" s="6" t="s">
        <v>398</v>
      </c>
      <c r="K8209" s="10">
        <v>75.90000000000001</v>
      </c>
      <c r="L8209" s="10">
        <v>138</v>
      </c>
      <c r="M8209" s="6" t="s">
        <v>421</v>
      </c>
      <c r="N8209" s="6">
        <f>IF(OR($G8209="FCC",$G8209="Hydrocracker",$G8209="Reformer"),IF(COUNTIFS($D:$D,$D8209,$A:$A,$A8209,$B:$B,$B8209,$G:$G,"CDU",$J:$J,"PLANNED")&gt;0,"tied","standalone"),"")</f>
        <v/>
      </c>
    </row>
    <row r="8210" spans="1:14">
      <c r="A8210" s="6">
        <v>2027</v>
      </c>
      <c r="B8210" s="6">
        <v>1</v>
      </c>
      <c r="C8210" s="6" t="s">
        <v>60</v>
      </c>
      <c r="D8210" s="6" t="s">
        <v>52</v>
      </c>
      <c r="E8210" s="6" t="s">
        <v>441</v>
      </c>
      <c r="F8210" s="6" t="str">
        <f>IF($M8210="PADD I","PADD 1",IF($M8210="PADD II","PADD 2",IF($M8210="PADD III","PADD 3",IF($M8210="PADD IV","PADD 4",IF($M8210="PADD V","PADD 5","")))))</f>
        <v>PADD 5</v>
      </c>
      <c r="G8210" s="6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6" t="s">
        <v>39</v>
      </c>
      <c r="I8210" s="6" t="s">
        <v>136</v>
      </c>
      <c r="J8210" s="6" t="s">
        <v>398</v>
      </c>
      <c r="K8210" s="10">
        <v>69.3</v>
      </c>
      <c r="L8210" s="10">
        <v>90</v>
      </c>
      <c r="M8210" s="6" t="s">
        <v>436</v>
      </c>
      <c r="N8210" s="6">
        <f>IF(OR($G8210="FCC",$G8210="Hydrocracker",$G8210="Reformer"),IF(COUNTIFS($D:$D,$D8210,$A:$A,$A8210,$B:$B,$B8210,$G:$G,"CDU",$J:$J,"PLANNED")&gt;0,"tied","standalone"),"")</f>
        <v/>
      </c>
    </row>
    <row r="8211" spans="1:14">
      <c r="A8211" s="6">
        <v>2027</v>
      </c>
      <c r="B8211" s="6">
        <v>1</v>
      </c>
      <c r="C8211" s="6" t="s">
        <v>60</v>
      </c>
      <c r="D8211" s="6" t="s">
        <v>937</v>
      </c>
      <c r="E8211" s="6" t="s">
        <v>455</v>
      </c>
      <c r="F8211" s="6" t="str">
        <f>IF($M8211="PADD I","PADD 1",IF($M8211="PADD II","PADD 2",IF($M8211="PADD III","PADD 3",IF($M8211="PADD IV","PADD 4",IF($M8211="PADD V","PADD 5","")))))</f>
        <v>PADD 3</v>
      </c>
      <c r="G8211" s="6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6" t="s">
        <v>39</v>
      </c>
      <c r="I8211" s="6" t="s">
        <v>132</v>
      </c>
      <c r="J8211" s="6" t="s">
        <v>398</v>
      </c>
      <c r="K8211" s="10">
        <v>67.45</v>
      </c>
      <c r="L8211" s="10">
        <v>95</v>
      </c>
      <c r="M8211" s="6" t="s">
        <v>421</v>
      </c>
      <c r="N8211" s="6">
        <f>IF(OR($G8211="FCC",$G8211="Hydrocracker",$G8211="Reformer"),IF(COUNTIFS($D:$D,$D8211,$A:$A,$A8211,$B:$B,$B8211,$G:$G,"CDU",$J:$J,"PLANNED")&gt;0,"tied","standalone"),"")</f>
        <v/>
      </c>
    </row>
    <row r="8212" spans="1:14">
      <c r="A8212" s="6">
        <v>2027</v>
      </c>
      <c r="B8212" s="6">
        <v>1</v>
      </c>
      <c r="C8212" s="6" t="s">
        <v>60</v>
      </c>
      <c r="D8212" s="6" t="s">
        <v>382</v>
      </c>
      <c r="E8212" s="6" t="s">
        <v>431</v>
      </c>
      <c r="F8212" s="6" t="str">
        <f>IF($M8212="PADD I","PADD 1",IF($M8212="PADD II","PADD 2",IF($M8212="PADD III","PADD 3",IF($M8212="PADD IV","PADD 4",IF($M8212="PADD V","PADD 5","")))))</f>
        <v>PADD 3</v>
      </c>
      <c r="G8212" s="6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6" t="s">
        <v>494</v>
      </c>
      <c r="I8212" s="6" t="s">
        <v>14</v>
      </c>
      <c r="J8212" s="6" t="s">
        <v>398</v>
      </c>
      <c r="K8212" s="10">
        <v>58.5</v>
      </c>
      <c r="L8212" s="10">
        <v>65</v>
      </c>
      <c r="M8212" s="6" t="s">
        <v>421</v>
      </c>
      <c r="N8212" s="6" t="str">
        <f>IF(OR($G8212="FCC",$G8212="Hydrocracker",$G8212="Reformer"),IF(COUNTIFS($D:$D,$D8212,$A:$A,$A8212,$B:$B,$B8212,$G:$G,"CDU",$J:$J,"PLANNED")&gt;0,"tied","standalone"),"")</f>
        <v>standalone</v>
      </c>
    </row>
    <row r="8213" spans="1:14">
      <c r="A8213" s="6">
        <v>2027</v>
      </c>
      <c r="B8213" s="6">
        <v>1</v>
      </c>
      <c r="C8213" s="6" t="s">
        <v>60</v>
      </c>
      <c r="D8213" s="6" t="s">
        <v>576</v>
      </c>
      <c r="E8213" s="6" t="s">
        <v>455</v>
      </c>
      <c r="F8213" s="6" t="str">
        <f>IF($M8213="PADD I","PADD 1",IF($M8213="PADD II","PADD 2",IF($M8213="PADD III","PADD 3",IF($M8213="PADD IV","PADD 4",IF($M8213="PADD V","PADD 5","")))))</f>
        <v>PADD 3</v>
      </c>
      <c r="G8213" s="6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6" t="s">
        <v>426</v>
      </c>
      <c r="I8213" s="6" t="s">
        <v>393</v>
      </c>
      <c r="J8213" s="6" t="s">
        <v>398</v>
      </c>
      <c r="K8213" s="10">
        <v>57.75</v>
      </c>
      <c r="L8213" s="10">
        <v>75</v>
      </c>
      <c r="M8213" s="6" t="s">
        <v>421</v>
      </c>
      <c r="N8213" s="6" t="str">
        <f>IF(OR($G8213="FCC",$G8213="Hydrocracker",$G8213="Reformer"),IF(COUNTIFS($D:$D,$D8213,$A:$A,$A8213,$B:$B,$B8213,$G:$G,"CDU",$J:$J,"PLANNED")&gt;0,"tied","standalone"),"")</f>
        <v>standalone</v>
      </c>
    </row>
    <row r="8214" spans="1:14">
      <c r="A8214" s="6">
        <v>2027</v>
      </c>
      <c r="B8214" s="6">
        <v>1</v>
      </c>
      <c r="C8214" s="6" t="s">
        <v>60</v>
      </c>
      <c r="D8214" s="6" t="s">
        <v>662</v>
      </c>
      <c r="E8214" s="6" t="s">
        <v>466</v>
      </c>
      <c r="F8214" s="6" t="str">
        <f>IF($M8214="PADD I","PADD 1",IF($M8214="PADD II","PADD 2",IF($M8214="PADD III","PADD 3",IF($M8214="PADD IV","PADD 4",IF($M8214="PADD V","PADD 5","")))))</f>
        <v>PADD 3</v>
      </c>
      <c r="G8214" s="6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6" t="s">
        <v>44</v>
      </c>
      <c r="I8214" s="6" t="s">
        <v>864</v>
      </c>
      <c r="J8214" s="6" t="s">
        <v>398</v>
      </c>
      <c r="K8214" s="10">
        <v>53.13</v>
      </c>
      <c r="L8214" s="10">
        <v>69</v>
      </c>
      <c r="M8214" s="6" t="s">
        <v>421</v>
      </c>
      <c r="N8214" s="6">
        <f>IF(OR($G8214="FCC",$G8214="Hydrocracker",$G8214="Reformer"),IF(COUNTIFS($D:$D,$D8214,$A:$A,$A8214,$B:$B,$B8214,$G:$G,"CDU",$J:$J,"PLANNED")&gt;0,"tied","standalone"),"")</f>
        <v/>
      </c>
    </row>
    <row r="8215" spans="1:14">
      <c r="A8215" s="6">
        <v>2027</v>
      </c>
      <c r="B8215" s="6">
        <v>1</v>
      </c>
      <c r="C8215" s="6" t="s">
        <v>60</v>
      </c>
      <c r="D8215" s="6" t="s">
        <v>662</v>
      </c>
      <c r="E8215" s="6" t="s">
        <v>466</v>
      </c>
      <c r="F8215" s="6" t="str">
        <f>IF($M8215="PADD I","PADD 1",IF($M8215="PADD II","PADD 2",IF($M8215="PADD III","PADD 3",IF($M8215="PADD IV","PADD 4",IF($M8215="PADD V","PADD 5","")))))</f>
        <v>PADD 3</v>
      </c>
      <c r="G8215" s="6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6" t="s">
        <v>426</v>
      </c>
      <c r="I8215" s="6" t="s">
        <v>478</v>
      </c>
      <c r="J8215" s="6" t="s">
        <v>398</v>
      </c>
      <c r="K8215" s="10">
        <v>53.13</v>
      </c>
      <c r="L8215" s="10">
        <v>69</v>
      </c>
      <c r="M8215" s="6" t="s">
        <v>421</v>
      </c>
      <c r="N8215" s="6" t="str">
        <f>IF(OR($G8215="FCC",$G8215="Hydrocracker",$G8215="Reformer"),IF(COUNTIFS($D:$D,$D8215,$A:$A,$A8215,$B:$B,$B8215,$G:$G,"CDU",$J:$J,"PLANNED")&gt;0,"tied","standalone"),"")</f>
        <v>standalone</v>
      </c>
    </row>
    <row r="8216" spans="1:14">
      <c r="A8216" s="6">
        <v>2027</v>
      </c>
      <c r="B8216" s="6">
        <v>1</v>
      </c>
      <c r="C8216" s="6" t="s">
        <v>60</v>
      </c>
      <c r="D8216" s="6" t="s">
        <v>52</v>
      </c>
      <c r="E8216" s="6" t="s">
        <v>441</v>
      </c>
      <c r="F8216" s="6" t="str">
        <f>IF($M8216="PADD I","PADD 1",IF($M8216="PADD II","PADD 2",IF($M8216="PADD III","PADD 3",IF($M8216="PADD IV","PADD 4",IF($M8216="PADD V","PADD 5","")))))</f>
        <v>PADD 5</v>
      </c>
      <c r="G8216" s="6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6" t="s">
        <v>485</v>
      </c>
      <c r="I8216" s="6" t="s">
        <v>491</v>
      </c>
      <c r="J8216" s="6" t="s">
        <v>398</v>
      </c>
      <c r="K8216" s="10">
        <v>52.36</v>
      </c>
      <c r="L8216" s="10">
        <v>68</v>
      </c>
      <c r="M8216" s="6" t="s">
        <v>436</v>
      </c>
      <c r="N8216" s="6">
        <f>IF(OR($G8216="FCC",$G8216="Hydrocracker",$G8216="Reformer"),IF(COUNTIFS($D:$D,$D8216,$A:$A,$A8216,$B:$B,$B8216,$G:$G,"CDU",$J:$J,"PLANNED")&gt;0,"tied","standalone"),"")</f>
        <v/>
      </c>
    </row>
    <row r="8217" spans="1:14">
      <c r="A8217" s="6">
        <v>2027</v>
      </c>
      <c r="B8217" s="6">
        <v>1</v>
      </c>
      <c r="C8217" s="6" t="s">
        <v>60</v>
      </c>
      <c r="D8217" s="6" t="s">
        <v>375</v>
      </c>
      <c r="E8217" s="6" t="s">
        <v>435</v>
      </c>
      <c r="F8217" s="6" t="str">
        <f>IF($M8217="PADD I","PADD 1",IF($M8217="PADD II","PADD 2",IF($M8217="PADD III","PADD 3",IF($M8217="PADD IV","PADD 4",IF($M8217="PADD V","PADD 5","")))))</f>
        <v>PADD 5</v>
      </c>
      <c r="G8217" s="6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6" t="s">
        <v>428</v>
      </c>
      <c r="I8217" s="6" t="s">
        <v>481</v>
      </c>
      <c r="J8217" s="6" t="s">
        <v>398</v>
      </c>
      <c r="K8217" s="10">
        <v>49.5</v>
      </c>
      <c r="L8217" s="10">
        <v>90</v>
      </c>
      <c r="M8217" s="6" t="s">
        <v>436</v>
      </c>
      <c r="N8217" s="6">
        <f>IF(OR($G8217="FCC",$G8217="Hydrocracker",$G8217="Reformer"),IF(COUNTIFS($D:$D,$D8217,$A:$A,$A8217,$B:$B,$B8217,$G:$G,"CDU",$J:$J,"PLANNED")&gt;0,"tied","standalone"),"")</f>
        <v/>
      </c>
    </row>
    <row r="8218" spans="1:14">
      <c r="A8218" s="6">
        <v>2027</v>
      </c>
      <c r="B8218" s="6">
        <v>1</v>
      </c>
      <c r="C8218" s="6" t="s">
        <v>60</v>
      </c>
      <c r="D8218" s="6" t="s">
        <v>384</v>
      </c>
      <c r="E8218" s="6" t="s">
        <v>419</v>
      </c>
      <c r="F8218" s="6" t="str">
        <f>IF($M8218="PADD I","PADD 1",IF($M8218="PADD II","PADD 2",IF($M8218="PADD III","PADD 3",IF($M8218="PADD IV","PADD 4",IF($M8218="PADD V","PADD 5","")))))</f>
        <v>PADD 3</v>
      </c>
      <c r="G8218" s="6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6" t="s">
        <v>426</v>
      </c>
      <c r="I8218" s="6" t="s">
        <v>142</v>
      </c>
      <c r="J8218" s="6" t="s">
        <v>398</v>
      </c>
      <c r="K8218" s="10">
        <v>42.9</v>
      </c>
      <c r="L8218" s="10">
        <v>78</v>
      </c>
      <c r="M8218" s="6" t="s">
        <v>421</v>
      </c>
      <c r="N8218" s="6" t="str">
        <f>IF(OR($G8218="FCC",$G8218="Hydrocracker",$G8218="Reformer"),IF(COUNTIFS($D:$D,$D8218,$A:$A,$A8218,$B:$B,$B8218,$G:$G,"CDU",$J:$J,"PLANNED")&gt;0,"tied","standalone"),"")</f>
        <v>standalone</v>
      </c>
    </row>
    <row r="8219" spans="1:14">
      <c r="A8219" s="6">
        <v>2027</v>
      </c>
      <c r="B8219" s="6">
        <v>1</v>
      </c>
      <c r="C8219" s="6" t="s">
        <v>60</v>
      </c>
      <c r="D8219" s="6" t="s">
        <v>678</v>
      </c>
      <c r="E8219" s="6" t="s">
        <v>438</v>
      </c>
      <c r="F8219" s="6" t="str">
        <f>IF($M8219="PADD I","PADD 1",IF($M8219="PADD II","PADD 2",IF($M8219="PADD III","PADD 3",IF($M8219="PADD IV","PADD 4",IF($M8219="PADD V","PADD 5","")))))</f>
        <v>PADD 3</v>
      </c>
      <c r="G8219" s="6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6" t="s">
        <v>39</v>
      </c>
      <c r="I8219" s="6" t="s">
        <v>1098</v>
      </c>
      <c r="J8219" s="6" t="s">
        <v>398</v>
      </c>
      <c r="K8219" s="10">
        <v>38.5</v>
      </c>
      <c r="L8219" s="10">
        <v>50</v>
      </c>
      <c r="M8219" s="6" t="s">
        <v>421</v>
      </c>
      <c r="N8219" s="6">
        <f>IF(OR($G8219="FCC",$G8219="Hydrocracker",$G8219="Reformer"),IF(COUNTIFS($D:$D,$D8219,$A:$A,$A8219,$B:$B,$B8219,$G:$G,"CDU",$J:$J,"PLANNED")&gt;0,"tied","standalone"),"")</f>
        <v/>
      </c>
    </row>
    <row r="8220" spans="1:14">
      <c r="A8220" s="6">
        <v>2027</v>
      </c>
      <c r="B8220" s="6">
        <v>1</v>
      </c>
      <c r="C8220" s="6" t="s">
        <v>60</v>
      </c>
      <c r="D8220" s="6" t="s">
        <v>382</v>
      </c>
      <c r="E8220" s="6" t="s">
        <v>431</v>
      </c>
      <c r="F8220" s="6" t="str">
        <f>IF($M8220="PADD I","PADD 1",IF($M8220="PADD II","PADD 2",IF($M8220="PADD III","PADD 3",IF($M8220="PADD IV","PADD 4",IF($M8220="PADD V","PADD 5","")))))</f>
        <v>PADD 3</v>
      </c>
      <c r="G8220" s="6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6" t="s">
        <v>44</v>
      </c>
      <c r="I8220" s="6" t="s">
        <v>514</v>
      </c>
      <c r="J8220" s="6" t="s">
        <v>398</v>
      </c>
      <c r="K8220" s="10">
        <v>32.4</v>
      </c>
      <c r="L8220" s="10">
        <v>40</v>
      </c>
      <c r="M8220" s="6" t="s">
        <v>421</v>
      </c>
      <c r="N8220" s="6">
        <f>IF(OR($G8220="FCC",$G8220="Hydrocracker",$G8220="Reformer"),IF(COUNTIFS($D:$D,$D8220,$A:$A,$A8220,$B:$B,$B8220,$G:$G,"CDU",$J:$J,"PLANNED")&gt;0,"tied","standalone"),"")</f>
        <v/>
      </c>
    </row>
    <row r="8221" spans="1:14">
      <c r="A8221" s="6">
        <v>2027</v>
      </c>
      <c r="B8221" s="6">
        <v>1</v>
      </c>
      <c r="C8221" s="6" t="s">
        <v>60</v>
      </c>
      <c r="D8221" s="6" t="s">
        <v>507</v>
      </c>
      <c r="E8221" s="6" t="s">
        <v>438</v>
      </c>
      <c r="F8221" s="6" t="str">
        <f>IF($M8221="PADD I","PADD 1",IF($M8221="PADD II","PADD 2",IF($M8221="PADD III","PADD 3",IF($M8221="PADD IV","PADD 4",IF($M8221="PADD V","PADD 5","")))))</f>
        <v>PADD 5</v>
      </c>
      <c r="G8221" s="6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6" t="s">
        <v>494</v>
      </c>
      <c r="I8221" s="6" t="s">
        <v>14</v>
      </c>
      <c r="J8221" s="6" t="s">
        <v>398</v>
      </c>
      <c r="K8221" s="10">
        <v>30.53</v>
      </c>
      <c r="L8221" s="10">
        <v>43</v>
      </c>
      <c r="M8221" s="6" t="s">
        <v>436</v>
      </c>
      <c r="N8221" s="6" t="str">
        <f>IF(OR($G8221="FCC",$G8221="Hydrocracker",$G8221="Reformer"),IF(COUNTIFS($D:$D,$D8221,$A:$A,$A8221,$B:$B,$B8221,$G:$G,"CDU",$J:$J,"PLANNED")&gt;0,"tied","standalone"),"")</f>
        <v>standalone</v>
      </c>
    </row>
    <row r="8222" spans="1:14">
      <c r="A8222" s="6">
        <v>2027</v>
      </c>
      <c r="B8222" s="6">
        <v>1</v>
      </c>
      <c r="C8222" s="6" t="s">
        <v>60</v>
      </c>
      <c r="D8222" s="6" t="s">
        <v>678</v>
      </c>
      <c r="E8222" s="6" t="s">
        <v>438</v>
      </c>
      <c r="F8222" s="6" t="str">
        <f>IF($M8222="PADD I","PADD 1",IF($M8222="PADD II","PADD 2",IF($M8222="PADD III","PADD 3",IF($M8222="PADD IV","PADD 4",IF($M8222="PADD V","PADD 5","")))))</f>
        <v>PADD 3</v>
      </c>
      <c r="G8222" s="6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6" t="s">
        <v>39</v>
      </c>
      <c r="I8222" s="6" t="s">
        <v>1103</v>
      </c>
      <c r="J8222" s="6" t="s">
        <v>398</v>
      </c>
      <c r="K8222" s="10">
        <v>26.95</v>
      </c>
      <c r="L8222" s="10">
        <v>35</v>
      </c>
      <c r="M8222" s="6" t="s">
        <v>421</v>
      </c>
      <c r="N8222" s="6">
        <f>IF(OR($G8222="FCC",$G8222="Hydrocracker",$G8222="Reformer"),IF(COUNTIFS($D:$D,$D8222,$A:$A,$A8222,$B:$B,$B8222,$G:$G,"CDU",$J:$J,"PLANNED")&gt;0,"tied","standalone"),"")</f>
        <v/>
      </c>
    </row>
    <row r="8223" spans="1:14">
      <c r="A8223" s="6">
        <v>2027</v>
      </c>
      <c r="B8223" s="6">
        <v>1</v>
      </c>
      <c r="C8223" s="6" t="s">
        <v>60</v>
      </c>
      <c r="D8223" s="6" t="s">
        <v>375</v>
      </c>
      <c r="E8223" s="6" t="s">
        <v>435</v>
      </c>
      <c r="F8223" s="6" t="str">
        <f>IF($M8223="PADD I","PADD 1",IF($M8223="PADD II","PADD 2",IF($M8223="PADD III","PADD 3",IF($M8223="PADD IV","PADD 4",IF($M8223="PADD V","PADD 5","")))))</f>
        <v>PADD 5</v>
      </c>
      <c r="G8223" s="6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6" t="s">
        <v>494</v>
      </c>
      <c r="I8223" s="6" t="s">
        <v>548</v>
      </c>
      <c r="J8223" s="6" t="s">
        <v>398</v>
      </c>
      <c r="K8223" s="10">
        <v>23.1</v>
      </c>
      <c r="L8223" s="10">
        <v>42</v>
      </c>
      <c r="M8223" s="6" t="s">
        <v>436</v>
      </c>
      <c r="N8223" s="6" t="str">
        <f>IF(OR($G8223="FCC",$G8223="Hydrocracker",$G8223="Reformer"),IF(COUNTIFS($D:$D,$D8223,$A:$A,$A8223,$B:$B,$B8223,$G:$G,"CDU",$J:$J,"PLANNED")&gt;0,"tied","standalone"),"")</f>
        <v>tied</v>
      </c>
    </row>
    <row r="8224" spans="1:14">
      <c r="A8224" s="6">
        <v>2027</v>
      </c>
      <c r="B8224" s="6">
        <v>1</v>
      </c>
      <c r="C8224" s="6" t="s">
        <v>60</v>
      </c>
      <c r="D8224" s="6" t="s">
        <v>937</v>
      </c>
      <c r="E8224" s="6" t="s">
        <v>455</v>
      </c>
      <c r="F8224" s="6" t="str">
        <f>IF($M8224="PADD I","PADD 1",IF($M8224="PADD II","PADD 2",IF($M8224="PADD III","PADD 3",IF($M8224="PADD IV","PADD 4",IF($M8224="PADD V","PADD 5","")))))</f>
        <v>PADD 3</v>
      </c>
      <c r="G8224" s="6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6" t="s">
        <v>428</v>
      </c>
      <c r="I8224" s="6" t="s">
        <v>481</v>
      </c>
      <c r="J8224" s="6" t="s">
        <v>398</v>
      </c>
      <c r="K8224" s="10">
        <v>19.88</v>
      </c>
      <c r="L8224" s="10">
        <v>28</v>
      </c>
      <c r="M8224" s="6" t="s">
        <v>421</v>
      </c>
      <c r="N8224" s="6">
        <f>IF(OR($G8224="FCC",$G8224="Hydrocracker",$G8224="Reformer"),IF(COUNTIFS($D:$D,$D8224,$A:$A,$A8224,$B:$B,$B8224,$G:$G,"CDU",$J:$J,"PLANNED")&gt;0,"tied","standalone"),"")</f>
        <v/>
      </c>
    </row>
    <row r="8225" spans="1:14">
      <c r="A8225" s="6">
        <v>2027</v>
      </c>
      <c r="B8225" s="6">
        <v>1</v>
      </c>
      <c r="C8225" s="6" t="s">
        <v>60</v>
      </c>
      <c r="D8225" s="6" t="s">
        <v>375</v>
      </c>
      <c r="E8225" s="6" t="s">
        <v>435</v>
      </c>
      <c r="F8225" s="6" t="str">
        <f>IF($M8225="PADD I","PADD 1",IF($M8225="PADD II","PADD 2",IF($M8225="PADD III","PADD 3",IF($M8225="PADD IV","PADD 4",IF($M8225="PADD V","PADD 5","")))))</f>
        <v>PADD 5</v>
      </c>
      <c r="G8225" s="6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6" t="s">
        <v>471</v>
      </c>
      <c r="I8225" s="6" t="s">
        <v>15</v>
      </c>
      <c r="J8225" s="6" t="s">
        <v>398</v>
      </c>
      <c r="K8225" s="10">
        <v>16.225</v>
      </c>
      <c r="L8225" s="10">
        <v>29.5</v>
      </c>
      <c r="M8225" s="6" t="s">
        <v>436</v>
      </c>
      <c r="N8225" s="6" t="str">
        <f>IF(OR($G8225="FCC",$G8225="Hydrocracker",$G8225="Reformer"),IF(COUNTIFS($D:$D,$D8225,$A:$A,$A8225,$B:$B,$B8225,$G:$G,"CDU",$J:$J,"PLANNED")&gt;0,"tied","standalone"),"")</f>
        <v>tied</v>
      </c>
    </row>
    <row r="8226" spans="1:14">
      <c r="A8226" s="6">
        <v>2027</v>
      </c>
      <c r="B8226" s="6">
        <v>1</v>
      </c>
      <c r="C8226" s="6" t="s">
        <v>60</v>
      </c>
      <c r="D8226" s="6" t="s">
        <v>375</v>
      </c>
      <c r="E8226" s="6" t="s">
        <v>435</v>
      </c>
      <c r="F8226" s="6" t="str">
        <f>IF($M8226="PADD I","PADD 1",IF($M8226="PADD II","PADD 2",IF($M8226="PADD III","PADD 3",IF($M8226="PADD IV","PADD 4",IF($M8226="PADD V","PADD 5","")))))</f>
        <v>PADD 5</v>
      </c>
      <c r="G8226" s="6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6" t="s">
        <v>44</v>
      </c>
      <c r="I8226" s="6" t="s">
        <v>551</v>
      </c>
      <c r="J8226" s="6" t="s">
        <v>398</v>
      </c>
      <c r="K8226" s="10">
        <v>15.4</v>
      </c>
      <c r="L8226" s="10">
        <v>28</v>
      </c>
      <c r="M8226" s="6" t="s">
        <v>436</v>
      </c>
      <c r="N8226" s="6">
        <f>IF(OR($G8226="FCC",$G8226="Hydrocracker",$G8226="Reformer"),IF(COUNTIFS($D:$D,$D8226,$A:$A,$A8226,$B:$B,$B8226,$G:$G,"CDU",$J:$J,"PLANNED")&gt;0,"tied","standalone"),"")</f>
        <v/>
      </c>
    </row>
    <row r="8227" spans="1:14">
      <c r="A8227" s="6">
        <v>2027</v>
      </c>
      <c r="B8227" s="6">
        <v>1</v>
      </c>
      <c r="C8227" s="6" t="s">
        <v>60</v>
      </c>
      <c r="D8227" s="6" t="s">
        <v>375</v>
      </c>
      <c r="E8227" s="6" t="s">
        <v>435</v>
      </c>
      <c r="F8227" s="6" t="str">
        <f>IF($M8227="PADD I","PADD 1",IF($M8227="PADD II","PADD 2",IF($M8227="PADD III","PADD 3",IF($M8227="PADD IV","PADD 4",IF($M8227="PADD V","PADD 5","")))))</f>
        <v>PADD 5</v>
      </c>
      <c r="G8227" s="6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6" t="s">
        <v>44</v>
      </c>
      <c r="I8227" s="6" t="s">
        <v>1233</v>
      </c>
      <c r="J8227" s="6" t="s">
        <v>398</v>
      </c>
      <c r="K8227" s="10">
        <v>14.3</v>
      </c>
      <c r="L8227" s="10">
        <v>26</v>
      </c>
      <c r="M8227" s="6" t="s">
        <v>436</v>
      </c>
      <c r="N8227" s="6">
        <f>IF(OR($G8227="FCC",$G8227="Hydrocracker",$G8227="Reformer"),IF(COUNTIFS($D:$D,$D8227,$A:$A,$A8227,$B:$B,$B8227,$G:$G,"CDU",$J:$J,"PLANNED")&gt;0,"tied","standalone"),"")</f>
        <v/>
      </c>
    </row>
    <row r="8228" spans="1:14">
      <c r="A8228" s="6">
        <v>2027</v>
      </c>
      <c r="B8228" s="6">
        <v>1</v>
      </c>
      <c r="C8228" s="6" t="s">
        <v>60</v>
      </c>
      <c r="D8228" s="6" t="s">
        <v>576</v>
      </c>
      <c r="E8228" s="6" t="s">
        <v>455</v>
      </c>
      <c r="F8228" s="6" t="str">
        <f>IF($M8228="PADD I","PADD 1",IF($M8228="PADD II","PADD 2",IF($M8228="PADD III","PADD 3",IF($M8228="PADD IV","PADD 4",IF($M8228="PADD V","PADD 5","")))))</f>
        <v>PADD 3</v>
      </c>
      <c r="G8228" s="6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6" t="s">
        <v>510</v>
      </c>
      <c r="I8228" s="6" t="s">
        <v>1416</v>
      </c>
      <c r="J8228" s="6" t="s">
        <v>398</v>
      </c>
      <c r="K8228" s="10">
        <v>13.013</v>
      </c>
      <c r="L8228" s="10">
        <v>16.9</v>
      </c>
      <c r="M8228" s="6" t="s">
        <v>421</v>
      </c>
      <c r="N8228" s="6">
        <f>IF(OR($G8228="FCC",$G8228="Hydrocracker",$G8228="Reformer"),IF(COUNTIFS($D:$D,$D8228,$A:$A,$A8228,$B:$B,$B8228,$G:$G,"CDU",$J:$J,"PLANNED")&gt;0,"tied","standalone"),"")</f>
        <v/>
      </c>
    </row>
    <row r="8229" spans="1:14">
      <c r="A8229" s="6">
        <v>2027</v>
      </c>
      <c r="B8229" s="6">
        <v>1</v>
      </c>
      <c r="C8229" s="6" t="s">
        <v>60</v>
      </c>
      <c r="D8229" s="6" t="s">
        <v>382</v>
      </c>
      <c r="E8229" s="6" t="s">
        <v>431</v>
      </c>
      <c r="F8229" s="6" t="str">
        <f>IF($M8229="PADD I","PADD 1",IF($M8229="PADD II","PADD 2",IF($M8229="PADD III","PADD 3",IF($M8229="PADD IV","PADD 4",IF($M8229="PADD V","PADD 5","")))))</f>
        <v>PADD 3</v>
      </c>
      <c r="G8229" s="6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6" t="s">
        <v>510</v>
      </c>
      <c r="I8229" s="6" t="s">
        <v>591</v>
      </c>
      <c r="J8229" s="6" t="s">
        <v>398</v>
      </c>
      <c r="K8229" s="10">
        <v>12.96</v>
      </c>
      <c r="L8229" s="10">
        <v>16</v>
      </c>
      <c r="M8229" s="6" t="s">
        <v>421</v>
      </c>
      <c r="N8229" s="6">
        <f>IF(OR($G8229="FCC",$G8229="Hydrocracker",$G8229="Reformer"),IF(COUNTIFS($D:$D,$D8229,$A:$A,$A8229,$B:$B,$B8229,$G:$G,"CDU",$J:$J,"PLANNED")&gt;0,"tied","standalone"),"")</f>
        <v/>
      </c>
    </row>
    <row r="8230" spans="1:14">
      <c r="A8230" s="6">
        <v>2027</v>
      </c>
      <c r="B8230" s="6">
        <v>1</v>
      </c>
      <c r="C8230" s="6" t="s">
        <v>60</v>
      </c>
      <c r="D8230" s="6" t="s">
        <v>937</v>
      </c>
      <c r="E8230" s="6" t="s">
        <v>455</v>
      </c>
      <c r="F8230" s="6" t="str">
        <f>IF($M8230="PADD I","PADD 1",IF($M8230="PADD II","PADD 2",IF($M8230="PADD III","PADD 3",IF($M8230="PADD IV","PADD 4",IF($M8230="PADD V","PADD 5","")))))</f>
        <v>PADD 3</v>
      </c>
      <c r="G8230" s="6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6" t="s">
        <v>44</v>
      </c>
      <c r="I8230" s="6" t="s">
        <v>1327</v>
      </c>
      <c r="J8230" s="6" t="s">
        <v>398</v>
      </c>
      <c r="K8230" s="10">
        <v>11.6</v>
      </c>
      <c r="L8230" s="10">
        <v>20</v>
      </c>
      <c r="M8230" s="6" t="s">
        <v>421</v>
      </c>
      <c r="N8230" s="6">
        <f>IF(OR($G8230="FCC",$G8230="Hydrocracker",$G8230="Reformer"),IF(COUNTIFS($D:$D,$D8230,$A:$A,$A8230,$B:$B,$B8230,$G:$G,"CDU",$J:$J,"PLANNED")&gt;0,"tied","standalone"),"")</f>
        <v/>
      </c>
    </row>
    <row r="8231" spans="1:14">
      <c r="A8231" s="6">
        <v>2027</v>
      </c>
      <c r="B8231" s="6">
        <v>1</v>
      </c>
      <c r="C8231" s="6" t="s">
        <v>60</v>
      </c>
      <c r="D8231" s="6" t="s">
        <v>937</v>
      </c>
      <c r="E8231" s="6" t="s">
        <v>455</v>
      </c>
      <c r="F8231" s="6" t="str">
        <f>IF($M8231="PADD I","PADD 1",IF($M8231="PADD II","PADD 2",IF($M8231="PADD III","PADD 3",IF($M8231="PADD IV","PADD 4",IF($M8231="PADD V","PADD 5","")))))</f>
        <v>PADD 3</v>
      </c>
      <c r="G8231" s="6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6" t="s">
        <v>44</v>
      </c>
      <c r="I8231" s="6" t="s">
        <v>697</v>
      </c>
      <c r="J8231" s="6" t="s">
        <v>398</v>
      </c>
      <c r="K8231" s="10">
        <v>11.6</v>
      </c>
      <c r="L8231" s="10">
        <v>20</v>
      </c>
      <c r="M8231" s="6" t="s">
        <v>421</v>
      </c>
      <c r="N8231" s="6">
        <f>IF(OR($G8231="FCC",$G8231="Hydrocracker",$G8231="Reformer"),IF(COUNTIFS($D:$D,$D8231,$A:$A,$A8231,$B:$B,$B8231,$G:$G,"CDU",$J:$J,"PLANNED")&gt;0,"tied","standalone"),"")</f>
        <v/>
      </c>
    </row>
    <row r="8232" spans="1:14">
      <c r="A8232" s="6">
        <v>2027</v>
      </c>
      <c r="B8232" s="6">
        <v>1</v>
      </c>
      <c r="C8232" s="6" t="s">
        <v>60</v>
      </c>
      <c r="D8232" s="6" t="s">
        <v>375</v>
      </c>
      <c r="E8232" s="6" t="s">
        <v>435</v>
      </c>
      <c r="F8232" s="6" t="str">
        <f>IF($M8232="PADD I","PADD 1",IF($M8232="PADD II","PADD 2",IF($M8232="PADD III","PADD 3",IF($M8232="PADD IV","PADD 4",IF($M8232="PADD V","PADD 5","")))))</f>
        <v>PADD 5</v>
      </c>
      <c r="G8232" s="6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6" t="s">
        <v>485</v>
      </c>
      <c r="I8232" s="6" t="s">
        <v>863</v>
      </c>
      <c r="J8232" s="6" t="s">
        <v>398</v>
      </c>
      <c r="K8232" s="10">
        <v>11.495</v>
      </c>
      <c r="L8232" s="10">
        <v>20.9</v>
      </c>
      <c r="M8232" s="6" t="s">
        <v>436</v>
      </c>
      <c r="N8232" s="6">
        <f>IF(OR($G8232="FCC",$G8232="Hydrocracker",$G8232="Reformer"),IF(COUNTIFS($D:$D,$D8232,$A:$A,$A8232,$B:$B,$B8232,$G:$G,"CDU",$J:$J,"PLANNED")&gt;0,"tied","standalone"),"")</f>
        <v/>
      </c>
    </row>
    <row r="8233" spans="1:14">
      <c r="A8233" s="6">
        <v>2027</v>
      </c>
      <c r="B8233" s="6">
        <v>1</v>
      </c>
      <c r="C8233" s="6" t="s">
        <v>60</v>
      </c>
      <c r="D8233" s="6" t="s">
        <v>507</v>
      </c>
      <c r="E8233" s="6" t="s">
        <v>438</v>
      </c>
      <c r="F8233" s="6" t="str">
        <f>IF($M8233="PADD I","PADD 1",IF($M8233="PADD II","PADD 2",IF($M8233="PADD III","PADD 3",IF($M8233="PADD IV","PADD 4",IF($M8233="PADD V","PADD 5","")))))</f>
        <v>PADD 5</v>
      </c>
      <c r="G8233" s="6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6" t="s">
        <v>44</v>
      </c>
      <c r="I8233" s="6" t="s">
        <v>1435</v>
      </c>
      <c r="J8233" s="6" t="s">
        <v>398</v>
      </c>
      <c r="K8233" s="10">
        <v>11.36</v>
      </c>
      <c r="L8233" s="10">
        <v>16</v>
      </c>
      <c r="M8233" s="6" t="s">
        <v>436</v>
      </c>
      <c r="N8233" s="6">
        <f>IF(OR($G8233="FCC",$G8233="Hydrocracker",$G8233="Reformer"),IF(COUNTIFS($D:$D,$D8233,$A:$A,$A8233,$B:$B,$B8233,$G:$G,"CDU",$J:$J,"PLANNED")&gt;0,"tied","standalone"),"")</f>
        <v/>
      </c>
    </row>
    <row r="8234" spans="1:14">
      <c r="A8234" s="6">
        <v>2027</v>
      </c>
      <c r="B8234" s="6">
        <v>1</v>
      </c>
      <c r="C8234" s="6" t="s">
        <v>60</v>
      </c>
      <c r="D8234" s="6" t="s">
        <v>937</v>
      </c>
      <c r="E8234" s="6" t="s">
        <v>455</v>
      </c>
      <c r="F8234" s="6" t="str">
        <f>IF($M8234="PADD I","PADD 1",IF($M8234="PADD II","PADD 2",IF($M8234="PADD III","PADD 3",IF($M8234="PADD IV","PADD 4",IF($M8234="PADD V","PADD 5","")))))</f>
        <v>PADD 3</v>
      </c>
      <c r="G8234" s="6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6" t="s">
        <v>687</v>
      </c>
      <c r="I8234" s="6" t="s">
        <v>1328</v>
      </c>
      <c r="J8234" s="6" t="s">
        <v>398</v>
      </c>
      <c r="K8234" s="10">
        <v>8.699999999999999</v>
      </c>
      <c r="L8234" s="10">
        <v>15</v>
      </c>
      <c r="M8234" s="6" t="s">
        <v>421</v>
      </c>
      <c r="N8234" s="6">
        <f>IF(OR($G8234="FCC",$G8234="Hydrocracker",$G8234="Reformer"),IF(COUNTIFS($D:$D,$D8234,$A:$A,$A8234,$B:$B,$B8234,$G:$G,"CDU",$J:$J,"PLANNED")&gt;0,"tied","standalone"),"")</f>
        <v/>
      </c>
    </row>
    <row r="8235" spans="1:14">
      <c r="A8235" s="6">
        <v>2027</v>
      </c>
      <c r="B8235" s="6">
        <v>1</v>
      </c>
      <c r="C8235" s="6" t="s">
        <v>60</v>
      </c>
      <c r="D8235" s="6" t="s">
        <v>507</v>
      </c>
      <c r="E8235" s="6" t="s">
        <v>438</v>
      </c>
      <c r="F8235" s="6" t="str">
        <f>IF($M8235="PADD I","PADD 1",IF($M8235="PADD II","PADD 2",IF($M8235="PADD III","PADD 3",IF($M8235="PADD IV","PADD 4",IF($M8235="PADD V","PADD 5","")))))</f>
        <v>PADD 5</v>
      </c>
      <c r="G8235" s="6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6" t="s">
        <v>471</v>
      </c>
      <c r="I8235" s="6" t="s">
        <v>1153</v>
      </c>
      <c r="J8235" s="6" t="s">
        <v>398</v>
      </c>
      <c r="K8235" s="10">
        <v>7.1</v>
      </c>
      <c r="L8235" s="10">
        <v>10</v>
      </c>
      <c r="M8235" s="6" t="s">
        <v>436</v>
      </c>
      <c r="N8235" s="6" t="str">
        <f>IF(OR($G8235="FCC",$G8235="Hydrocracker",$G8235="Reformer"),IF(COUNTIFS($D:$D,$D8235,$A:$A,$A8235,$B:$B,$B8235,$G:$G,"CDU",$J:$J,"PLANNED")&gt;0,"tied","standalone"),"")</f>
        <v>standalone</v>
      </c>
    </row>
    <row r="8236" spans="1:14">
      <c r="A8236" s="6">
        <v>2027</v>
      </c>
      <c r="B8236" s="6">
        <v>1</v>
      </c>
      <c r="C8236" s="6" t="s">
        <v>60</v>
      </c>
      <c r="D8236" s="6" t="s">
        <v>375</v>
      </c>
      <c r="E8236" s="6" t="s">
        <v>435</v>
      </c>
      <c r="F8236" s="6" t="str">
        <f>IF($M8236="PADD I","PADD 1",IF($M8236="PADD II","PADD 2",IF($M8236="PADD III","PADD 3",IF($M8236="PADD IV","PADD 4",IF($M8236="PADD V","PADD 5","")))))</f>
        <v>PADD 5</v>
      </c>
      <c r="G8236" s="6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6" t="s">
        <v>510</v>
      </c>
      <c r="I8236" s="6" t="s">
        <v>1338</v>
      </c>
      <c r="J8236" s="6" t="s">
        <v>398</v>
      </c>
      <c r="K8236" s="10">
        <v>6.6</v>
      </c>
      <c r="L8236" s="10">
        <v>12</v>
      </c>
      <c r="M8236" s="6" t="s">
        <v>436</v>
      </c>
      <c r="N8236" s="6">
        <f>IF(OR($G8236="FCC",$G8236="Hydrocracker",$G8236="Reformer"),IF(COUNTIFS($D:$D,$D8236,$A:$A,$A8236,$B:$B,$B8236,$G:$G,"CDU",$J:$J,"PLANNED")&gt;0,"tied","standalone"),"")</f>
        <v/>
      </c>
    </row>
    <row r="8237" spans="1:14">
      <c r="A8237" s="6">
        <v>2027</v>
      </c>
      <c r="B8237" s="6">
        <v>1</v>
      </c>
      <c r="C8237" s="6" t="s">
        <v>60</v>
      </c>
      <c r="D8237" s="6" t="s">
        <v>937</v>
      </c>
      <c r="E8237" s="6" t="s">
        <v>455</v>
      </c>
      <c r="F8237" s="6" t="str">
        <f>IF($M8237="PADD I","PADD 1",IF($M8237="PADD II","PADD 2",IF($M8237="PADD III","PADD 3",IF($M8237="PADD IV","PADD 4",IF($M8237="PADD V","PADD 5","")))))</f>
        <v>PADD 3</v>
      </c>
      <c r="G8237" s="6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6" t="s">
        <v>44</v>
      </c>
      <c r="I8237" s="6" t="s">
        <v>1330</v>
      </c>
      <c r="J8237" s="6" t="s">
        <v>398</v>
      </c>
      <c r="K8237" s="10">
        <v>5.8</v>
      </c>
      <c r="L8237" s="10">
        <v>10</v>
      </c>
      <c r="M8237" s="6" t="s">
        <v>421</v>
      </c>
      <c r="N8237" s="6">
        <f>IF(OR($G8237="FCC",$G8237="Hydrocracker",$G8237="Reformer"),IF(COUNTIFS($D:$D,$D8237,$A:$A,$A8237,$B:$B,$B8237,$G:$G,"CDU",$J:$J,"PLANNED")&gt;0,"tied","standalone"),"")</f>
        <v/>
      </c>
    </row>
    <row r="8238" spans="1:14">
      <c r="A8238" s="6">
        <v>2027</v>
      </c>
      <c r="B8238" s="6">
        <v>1</v>
      </c>
      <c r="C8238" s="6" t="s">
        <v>60</v>
      </c>
      <c r="D8238" s="6" t="s">
        <v>937</v>
      </c>
      <c r="E8238" s="6" t="s">
        <v>455</v>
      </c>
      <c r="F8238" s="6" t="str">
        <f>IF($M8238="PADD I","PADD 1",IF($M8238="PADD II","PADD 2",IF($M8238="PADD III","PADD 3",IF($M8238="PADD IV","PADD 4",IF($M8238="PADD V","PADD 5","")))))</f>
        <v>PADD 3</v>
      </c>
      <c r="G8238" s="6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6" t="s">
        <v>471</v>
      </c>
      <c r="I8238" s="6" t="s">
        <v>609</v>
      </c>
      <c r="J8238" s="6" t="s">
        <v>398</v>
      </c>
      <c r="K8238" s="10">
        <v>5.8</v>
      </c>
      <c r="L8238" s="10">
        <v>10</v>
      </c>
      <c r="M8238" s="6" t="s">
        <v>421</v>
      </c>
      <c r="N8238" s="6" t="str">
        <f>IF(OR($G8238="FCC",$G8238="Hydrocracker",$G8238="Reformer"),IF(COUNTIFS($D:$D,$D8238,$A:$A,$A8238,$B:$B,$B8238,$G:$G,"CDU",$J:$J,"PLANNED")&gt;0,"tied","standalone"),"")</f>
        <v>tied</v>
      </c>
    </row>
    <row r="8239" spans="1:14">
      <c r="A8239" s="6">
        <v>2027</v>
      </c>
      <c r="B8239" s="6">
        <v>1</v>
      </c>
      <c r="C8239" s="6" t="s">
        <v>60</v>
      </c>
      <c r="D8239" s="6" t="s">
        <v>440</v>
      </c>
      <c r="E8239" s="6" t="s">
        <v>441</v>
      </c>
      <c r="F8239" s="6" t="str">
        <f>IF($M8239="PADD I","PADD 1",IF($M8239="PADD II","PADD 2",IF($M8239="PADD III","PADD 3",IF($M8239="PADD IV","PADD 4",IF($M8239="PADD V","PADD 5","")))))</f>
        <v>PADD 3</v>
      </c>
      <c r="G8239" s="6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6" t="s">
        <v>494</v>
      </c>
      <c r="I8239" s="6" t="s">
        <v>1313</v>
      </c>
      <c r="J8239" s="6" t="s">
        <v>398</v>
      </c>
      <c r="K8239" s="10">
        <v>5.44</v>
      </c>
      <c r="L8239" s="10">
        <v>34</v>
      </c>
      <c r="M8239" s="6" t="s">
        <v>421</v>
      </c>
      <c r="N8239" s="6" t="str">
        <f>IF(OR($G8239="FCC",$G8239="Hydrocracker",$G8239="Reformer"),IF(COUNTIFS($D:$D,$D8239,$A:$A,$A8239,$B:$B,$B8239,$G:$G,"CDU",$J:$J,"PLANNED")&gt;0,"tied","standalone"),"")</f>
        <v>standalone</v>
      </c>
    </row>
    <row r="8240" spans="1:14">
      <c r="A8240" s="6">
        <v>2027</v>
      </c>
      <c r="B8240" s="6">
        <v>1</v>
      </c>
      <c r="C8240" s="6" t="s">
        <v>60</v>
      </c>
      <c r="D8240" s="6" t="s">
        <v>440</v>
      </c>
      <c r="E8240" s="6" t="s">
        <v>441</v>
      </c>
      <c r="F8240" s="6" t="str">
        <f>IF($M8240="PADD I","PADD 1",IF($M8240="PADD II","PADD 2",IF($M8240="PADD III","PADD 3",IF($M8240="PADD IV","PADD 4",IF($M8240="PADD V","PADD 5","")))))</f>
        <v>PADD 3</v>
      </c>
      <c r="G8240" s="6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6" t="s">
        <v>494</v>
      </c>
      <c r="I8240" s="6" t="s">
        <v>1349</v>
      </c>
      <c r="J8240" s="6" t="s">
        <v>398</v>
      </c>
      <c r="K8240" s="10">
        <v>3.84</v>
      </c>
      <c r="L8240" s="10">
        <v>24</v>
      </c>
      <c r="M8240" s="6" t="s">
        <v>421</v>
      </c>
      <c r="N8240" s="6" t="str">
        <f>IF(OR($G8240="FCC",$G8240="Hydrocracker",$G8240="Reformer"),IF(COUNTIFS($D:$D,$D8240,$A:$A,$A8240,$B:$B,$B8240,$G:$G,"CDU",$J:$J,"PLANNED")&gt;0,"tied","standalone"),"")</f>
        <v>standalone</v>
      </c>
    </row>
    <row r="8241" spans="1:14">
      <c r="A8241" s="6">
        <v>2027</v>
      </c>
      <c r="B8241" s="6">
        <v>1</v>
      </c>
      <c r="C8241" s="6" t="s">
        <v>60</v>
      </c>
      <c r="D8241" s="6" t="s">
        <v>382</v>
      </c>
      <c r="E8241" s="6" t="s">
        <v>431</v>
      </c>
      <c r="F8241" s="6" t="str">
        <f>IF($M8241="PADD I","PADD 1",IF($M8241="PADD II","PADD 2",IF($M8241="PADD III","PADD 3",IF($M8241="PADD IV","PADD 4",IF($M8241="PADD V","PADD 5","")))))</f>
        <v>PADD 3</v>
      </c>
      <c r="G8241" s="6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6" t="s">
        <v>947</v>
      </c>
      <c r="I8241" s="6" t="s">
        <v>1310</v>
      </c>
      <c r="J8241" s="6" t="s">
        <v>398</v>
      </c>
      <c r="K8241" s="10">
        <v>3.645</v>
      </c>
      <c r="L8241" s="10">
        <v>4.5</v>
      </c>
      <c r="M8241" s="6" t="s">
        <v>421</v>
      </c>
      <c r="N8241" s="6">
        <f>IF(OR($G8241="FCC",$G8241="Hydrocracker",$G8241="Reformer"),IF(COUNTIFS($D:$D,$D8241,$A:$A,$A8241,$B:$B,$B8241,$G:$G,"CDU",$J:$J,"PLANNED")&gt;0,"tied","standalone"),"")</f>
        <v/>
      </c>
    </row>
    <row r="8242" spans="1:14">
      <c r="A8242" s="6">
        <v>2027</v>
      </c>
      <c r="B8242" s="6">
        <v>1</v>
      </c>
      <c r="C8242" s="6" t="s">
        <v>60</v>
      </c>
      <c r="D8242" s="6" t="s">
        <v>792</v>
      </c>
      <c r="E8242" s="6" t="s">
        <v>438</v>
      </c>
      <c r="F8242" s="6" t="str">
        <f>IF($M8242="PADD I","PADD 1",IF($M8242="PADD II","PADD 2",IF($M8242="PADD III","PADD 3",IF($M8242="PADD IV","PADD 4",IF($M8242="PADD V","PADD 5","")))))</f>
        <v>PADD 5</v>
      </c>
      <c r="G8242" s="6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6" t="s">
        <v>618</v>
      </c>
      <c r="I8242" s="6" t="s">
        <v>818</v>
      </c>
      <c r="J8242" s="6" t="s">
        <v>398</v>
      </c>
      <c r="K8242" s="10">
        <v>3.5</v>
      </c>
      <c r="L8242" s="10">
        <v>3.5</v>
      </c>
      <c r="M8242" s="6" t="s">
        <v>436</v>
      </c>
      <c r="N8242" s="6">
        <f>IF(OR($G8242="FCC",$G8242="Hydrocracker",$G8242="Reformer"),IF(COUNTIFS($D:$D,$D8242,$A:$A,$A8242,$B:$B,$B8242,$G:$G,"CDU",$J:$J,"PLANNED")&gt;0,"tied","standalone"),"")</f>
        <v/>
      </c>
    </row>
    <row r="8243" spans="1:14">
      <c r="A8243" s="6">
        <v>2027</v>
      </c>
      <c r="B8243" s="6">
        <v>1</v>
      </c>
      <c r="C8243" s="6" t="s">
        <v>60</v>
      </c>
      <c r="D8243" s="6" t="s">
        <v>937</v>
      </c>
      <c r="E8243" s="6" t="s">
        <v>455</v>
      </c>
      <c r="F8243" s="6" t="str">
        <f>IF($M8243="PADD I","PADD 1",IF($M8243="PADD II","PADD 2",IF($M8243="PADD III","PADD 3",IF($M8243="PADD IV","PADD 4",IF($M8243="PADD V","PADD 5","")))))</f>
        <v>PADD 3</v>
      </c>
      <c r="G8243" s="6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6" t="s">
        <v>39</v>
      </c>
      <c r="I8243" s="6" t="s">
        <v>1334</v>
      </c>
      <c r="J8243" s="6" t="s">
        <v>398</v>
      </c>
      <c r="K8243" s="10">
        <v>1.775</v>
      </c>
      <c r="L8243" s="10">
        <v>2.5</v>
      </c>
      <c r="M8243" s="6" t="s">
        <v>421</v>
      </c>
      <c r="N8243" s="6">
        <f>IF(OR($G8243="FCC",$G8243="Hydrocracker",$G8243="Reformer"),IF(COUNTIFS($D:$D,$D8243,$A:$A,$A8243,$B:$B,$B8243,$G:$G,"CDU",$J:$J,"PLANNED")&gt;0,"tied","standalone"),"")</f>
        <v/>
      </c>
    </row>
    <row r="8244" spans="1:14">
      <c r="A8244" s="6">
        <v>2027</v>
      </c>
      <c r="B8244" s="6">
        <v>2</v>
      </c>
      <c r="C8244" s="6" t="s">
        <v>61</v>
      </c>
      <c r="D8244" s="6" t="s">
        <v>375</v>
      </c>
      <c r="E8244" s="6" t="s">
        <v>435</v>
      </c>
      <c r="F8244" s="6" t="str">
        <f>IF($M8244="PADD I","PADD 1",IF($M8244="PADD II","PADD 2",IF($M8244="PADD III","PADD 3",IF($M8244="PADD IV","PADD 4",IF($M8244="PADD V","PADD 5","")))))</f>
        <v>PADD 5</v>
      </c>
      <c r="G8244" s="6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6" t="s">
        <v>39</v>
      </c>
      <c r="I8244" s="6" t="s">
        <v>94</v>
      </c>
      <c r="J8244" s="6" t="s">
        <v>398</v>
      </c>
      <c r="K8244" s="10">
        <v>155</v>
      </c>
      <c r="L8244" s="10">
        <v>155</v>
      </c>
      <c r="M8244" s="6" t="s">
        <v>436</v>
      </c>
      <c r="N8244" s="6">
        <f>IF(OR($G8244="FCC",$G8244="Hydrocracker",$G8244="Reformer"),IF(COUNTIFS($D:$D,$D8244,$A:$A,$A8244,$B:$B,$B8244,$G:$G,"CDU",$J:$J,"PLANNED")&gt;0,"tied","standalone"),"")</f>
        <v/>
      </c>
    </row>
    <row r="8245" spans="1:14">
      <c r="A8245" s="6">
        <v>2027</v>
      </c>
      <c r="B8245" s="6">
        <v>2</v>
      </c>
      <c r="C8245" s="6" t="s">
        <v>61</v>
      </c>
      <c r="D8245" s="6" t="s">
        <v>696</v>
      </c>
      <c r="E8245" s="6" t="s">
        <v>455</v>
      </c>
      <c r="F8245" s="6" t="str">
        <f>IF($M8245="PADD I","PADD 1",IF($M8245="PADD II","PADD 2",IF($M8245="PADD III","PADD 3",IF($M8245="PADD IV","PADD 4",IF($M8245="PADD V","PADD 5","")))))</f>
        <v>PADD 3</v>
      </c>
      <c r="G8245" s="6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6" t="s">
        <v>39</v>
      </c>
      <c r="I8245" s="6" t="s">
        <v>127</v>
      </c>
      <c r="J8245" s="6" t="s">
        <v>398</v>
      </c>
      <c r="K8245" s="10">
        <v>96</v>
      </c>
      <c r="L8245" s="10">
        <v>96</v>
      </c>
      <c r="M8245" s="6" t="s">
        <v>421</v>
      </c>
      <c r="N8245" s="6">
        <f>IF(OR($G8245="FCC",$G8245="Hydrocracker",$G8245="Reformer"),IF(COUNTIFS($D:$D,$D8245,$A:$A,$A8245,$B:$B,$B8245,$G:$G,"CDU",$J:$J,"PLANNED")&gt;0,"tied","standalone"),"")</f>
        <v/>
      </c>
    </row>
    <row r="8246" spans="1:14">
      <c r="A8246" s="6">
        <v>2027</v>
      </c>
      <c r="B8246" s="6">
        <v>2</v>
      </c>
      <c r="C8246" s="6" t="s">
        <v>61</v>
      </c>
      <c r="D8246" s="6" t="s">
        <v>382</v>
      </c>
      <c r="E8246" s="6" t="s">
        <v>431</v>
      </c>
      <c r="F8246" s="6" t="str">
        <f>IF($M8246="PADD I","PADD 1",IF($M8246="PADD II","PADD 2",IF($M8246="PADD III","PADD 3",IF($M8246="PADD IV","PADD 4",IF($M8246="PADD V","PADD 5","")))))</f>
        <v>PADD 3</v>
      </c>
      <c r="G8246" s="6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6" t="s">
        <v>426</v>
      </c>
      <c r="I8246" s="6" t="s">
        <v>106</v>
      </c>
      <c r="J8246" s="6" t="s">
        <v>398</v>
      </c>
      <c r="K8246" s="10">
        <v>90</v>
      </c>
      <c r="L8246" s="10">
        <v>120</v>
      </c>
      <c r="M8246" s="6" t="s">
        <v>421</v>
      </c>
      <c r="N8246" s="6" t="str">
        <f>IF(OR($G8246="FCC",$G8246="Hydrocracker",$G8246="Reformer"),IF(COUNTIFS($D:$D,$D8246,$A:$A,$A8246,$B:$B,$B8246,$G:$G,"CDU",$J:$J,"PLANNED")&gt;0,"tied","standalone"),"")</f>
        <v>standalone</v>
      </c>
    </row>
    <row r="8247" spans="1:14">
      <c r="A8247" s="6">
        <v>2027</v>
      </c>
      <c r="B8247" s="6">
        <v>2</v>
      </c>
      <c r="C8247" s="6" t="s">
        <v>61</v>
      </c>
      <c r="D8247" s="6" t="s">
        <v>375</v>
      </c>
      <c r="E8247" s="6" t="s">
        <v>435</v>
      </c>
      <c r="F8247" s="6" t="str">
        <f>IF($M8247="PADD I","PADD 1",IF($M8247="PADD II","PADD 2",IF($M8247="PADD III","PADD 3",IF($M8247="PADD IV","PADD 4",IF($M8247="PADD V","PADD 5","")))))</f>
        <v>PADD 5</v>
      </c>
      <c r="G8247" s="6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6" t="s">
        <v>428</v>
      </c>
      <c r="I8247" s="6" t="s">
        <v>481</v>
      </c>
      <c r="J8247" s="6" t="s">
        <v>398</v>
      </c>
      <c r="K8247" s="10">
        <v>90</v>
      </c>
      <c r="L8247" s="10">
        <v>90</v>
      </c>
      <c r="M8247" s="6" t="s">
        <v>436</v>
      </c>
      <c r="N8247" s="6">
        <f>IF(OR($G8247="FCC",$G8247="Hydrocracker",$G8247="Reformer"),IF(COUNTIFS($D:$D,$D8247,$A:$A,$A8247,$B:$B,$B8247,$G:$G,"CDU",$J:$J,"PLANNED")&gt;0,"tied","standalone"),"")</f>
        <v/>
      </c>
    </row>
    <row r="8248" spans="1:14">
      <c r="A8248" s="6">
        <v>2027</v>
      </c>
      <c r="B8248" s="6">
        <v>2</v>
      </c>
      <c r="C8248" s="6" t="s">
        <v>61</v>
      </c>
      <c r="D8248" s="6" t="s">
        <v>384</v>
      </c>
      <c r="E8248" s="6" t="s">
        <v>419</v>
      </c>
      <c r="F8248" s="6" t="str">
        <f>IF($M8248="PADD I","PADD 1",IF($M8248="PADD II","PADD 2",IF($M8248="PADD III","PADD 3",IF($M8248="PADD IV","PADD 4",IF($M8248="PADD V","PADD 5","")))))</f>
        <v>PADD 3</v>
      </c>
      <c r="G8248" s="6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6" t="s">
        <v>426</v>
      </c>
      <c r="I8248" s="6" t="s">
        <v>142</v>
      </c>
      <c r="J8248" s="6" t="s">
        <v>398</v>
      </c>
      <c r="K8248" s="10">
        <v>78</v>
      </c>
      <c r="L8248" s="10">
        <v>78</v>
      </c>
      <c r="M8248" s="6" t="s">
        <v>421</v>
      </c>
      <c r="N8248" s="6" t="str">
        <f>IF(OR($G8248="FCC",$G8248="Hydrocracker",$G8248="Reformer"),IF(COUNTIFS($D:$D,$D8248,$A:$A,$A8248,$B:$B,$B8248,$G:$G,"CDU",$J:$J,"PLANNED")&gt;0,"tied","standalone"),"")</f>
        <v>standalone</v>
      </c>
    </row>
    <row r="8249" spans="1:14">
      <c r="A8249" s="6">
        <v>2027</v>
      </c>
      <c r="B8249" s="6">
        <v>2</v>
      </c>
      <c r="C8249" s="6" t="s">
        <v>61</v>
      </c>
      <c r="D8249" s="6" t="s">
        <v>937</v>
      </c>
      <c r="E8249" s="6" t="s">
        <v>455</v>
      </c>
      <c r="F8249" s="6" t="str">
        <f>IF($M8249="PADD I","PADD 1",IF($M8249="PADD II","PADD 2",IF($M8249="PADD III","PADD 3",IF($M8249="PADD IV","PADD 4",IF($M8249="PADD V","PADD 5","")))))</f>
        <v>PADD 3</v>
      </c>
      <c r="G8249" s="6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6" t="s">
        <v>39</v>
      </c>
      <c r="I8249" s="6" t="s">
        <v>132</v>
      </c>
      <c r="J8249" s="6" t="s">
        <v>398</v>
      </c>
      <c r="K8249" s="10">
        <v>77.90000000000001</v>
      </c>
      <c r="L8249" s="10">
        <v>95</v>
      </c>
      <c r="M8249" s="6" t="s">
        <v>421</v>
      </c>
      <c r="N8249" s="6">
        <f>IF(OR($G8249="FCC",$G8249="Hydrocracker",$G8249="Reformer"),IF(COUNTIFS($D:$D,$D8249,$A:$A,$A8249,$B:$B,$B8249,$G:$G,"CDU",$J:$J,"PLANNED")&gt;0,"tied","standalone"),"")</f>
        <v/>
      </c>
    </row>
    <row r="8250" spans="1:14">
      <c r="A8250" s="6">
        <v>2027</v>
      </c>
      <c r="B8250" s="6">
        <v>2</v>
      </c>
      <c r="C8250" s="6" t="s">
        <v>61</v>
      </c>
      <c r="D8250" s="6" t="s">
        <v>662</v>
      </c>
      <c r="E8250" s="6" t="s">
        <v>466</v>
      </c>
      <c r="F8250" s="6" t="str">
        <f>IF($M8250="PADD I","PADD 1",IF($M8250="PADD II","PADD 2",IF($M8250="PADD III","PADD 3",IF($M8250="PADD IV","PADD 4",IF($M8250="PADD V","PADD 5","")))))</f>
        <v>PADD 3</v>
      </c>
      <c r="G8250" s="6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6" t="s">
        <v>44</v>
      </c>
      <c r="I8250" s="6" t="s">
        <v>864</v>
      </c>
      <c r="J8250" s="6" t="s">
        <v>398</v>
      </c>
      <c r="K8250" s="10">
        <v>69</v>
      </c>
      <c r="L8250" s="10">
        <v>69</v>
      </c>
      <c r="M8250" s="6" t="s">
        <v>421</v>
      </c>
      <c r="N8250" s="6">
        <f>IF(OR($G8250="FCC",$G8250="Hydrocracker",$G8250="Reformer"),IF(COUNTIFS($D:$D,$D8250,$A:$A,$A8250,$B:$B,$B8250,$G:$G,"CDU",$J:$J,"PLANNED")&gt;0,"tied","standalone"),"")</f>
        <v/>
      </c>
    </row>
    <row r="8251" spans="1:14">
      <c r="A8251" s="6">
        <v>2027</v>
      </c>
      <c r="B8251" s="6">
        <v>2</v>
      </c>
      <c r="C8251" s="6" t="s">
        <v>61</v>
      </c>
      <c r="D8251" s="6" t="s">
        <v>662</v>
      </c>
      <c r="E8251" s="6" t="s">
        <v>466</v>
      </c>
      <c r="F8251" s="6" t="str">
        <f>IF($M8251="PADD I","PADD 1",IF($M8251="PADD II","PADD 2",IF($M8251="PADD III","PADD 3",IF($M8251="PADD IV","PADD 4",IF($M8251="PADD V","PADD 5","")))))</f>
        <v>PADD 3</v>
      </c>
      <c r="G8251" s="6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6" t="s">
        <v>426</v>
      </c>
      <c r="I8251" s="6" t="s">
        <v>478</v>
      </c>
      <c r="J8251" s="6" t="s">
        <v>398</v>
      </c>
      <c r="K8251" s="10">
        <v>69</v>
      </c>
      <c r="L8251" s="10">
        <v>69</v>
      </c>
      <c r="M8251" s="6" t="s">
        <v>421</v>
      </c>
      <c r="N8251" s="6" t="str">
        <f>IF(OR($G8251="FCC",$G8251="Hydrocracker",$G8251="Reformer"),IF(COUNTIFS($D:$D,$D8251,$A:$A,$A8251,$B:$B,$B8251,$G:$G,"CDU",$J:$J,"PLANNED")&gt;0,"tied","standalone"),"")</f>
        <v>standalone</v>
      </c>
    </row>
    <row r="8252" spans="1:14">
      <c r="A8252" s="6">
        <v>2027</v>
      </c>
      <c r="B8252" s="6">
        <v>2</v>
      </c>
      <c r="C8252" s="6" t="s">
        <v>61</v>
      </c>
      <c r="D8252" s="6" t="s">
        <v>383</v>
      </c>
      <c r="E8252" s="6" t="s">
        <v>602</v>
      </c>
      <c r="F8252" s="6" t="str">
        <f>IF($M8252="PADD I","PADD 1",IF($M8252="PADD II","PADD 2",IF($M8252="PADD III","PADD 3",IF($M8252="PADD IV","PADD 4",IF($M8252="PADD V","PADD 5","")))))</f>
        <v>PADD 3</v>
      </c>
      <c r="G8252" s="6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6" t="s">
        <v>39</v>
      </c>
      <c r="I8252" s="6" t="s">
        <v>138</v>
      </c>
      <c r="J8252" s="6" t="s">
        <v>398</v>
      </c>
      <c r="K8252" s="10">
        <v>68.8</v>
      </c>
      <c r="L8252" s="10">
        <v>80</v>
      </c>
      <c r="M8252" s="6" t="s">
        <v>421</v>
      </c>
      <c r="N8252" s="6">
        <f>IF(OR($G8252="FCC",$G8252="Hydrocracker",$G8252="Reformer"),IF(COUNTIFS($D:$D,$D8252,$A:$A,$A8252,$B:$B,$B8252,$G:$G,"CDU",$J:$J,"PLANNED")&gt;0,"tied","standalone"),"")</f>
        <v/>
      </c>
    </row>
    <row r="8253" spans="1:14">
      <c r="A8253" s="6">
        <v>2027</v>
      </c>
      <c r="B8253" s="6">
        <v>2</v>
      </c>
      <c r="C8253" s="6" t="s">
        <v>61</v>
      </c>
      <c r="D8253" s="6" t="s">
        <v>479</v>
      </c>
      <c r="E8253" s="6" t="s">
        <v>438</v>
      </c>
      <c r="F8253" s="6" t="str">
        <f>IF($M8253="PADD I","PADD 1",IF($M8253="PADD II","PADD 2",IF($M8253="PADD III","PADD 3",IF($M8253="PADD IV","PADD 4",IF($M8253="PADD V","PADD 5","")))))</f>
        <v>PADD 4</v>
      </c>
      <c r="G8253" s="6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6" t="s">
        <v>39</v>
      </c>
      <c r="I8253" s="6" t="s">
        <v>82</v>
      </c>
      <c r="J8253" s="6" t="s">
        <v>398</v>
      </c>
      <c r="K8253" s="10">
        <v>61.44</v>
      </c>
      <c r="L8253" s="10">
        <v>64</v>
      </c>
      <c r="M8253" s="6" t="s">
        <v>480</v>
      </c>
      <c r="N8253" s="6">
        <f>IF(OR($G8253="FCC",$G8253="Hydrocracker",$G8253="Reformer"),IF(COUNTIFS($D:$D,$D8253,$A:$A,$A8253,$B:$B,$B8253,$G:$G,"CDU",$J:$J,"PLANNED")&gt;0,"tied","standalone"),"")</f>
        <v/>
      </c>
    </row>
    <row r="8254" spans="1:14">
      <c r="A8254" s="6">
        <v>2027</v>
      </c>
      <c r="B8254" s="6">
        <v>2</v>
      </c>
      <c r="C8254" s="6" t="s">
        <v>61</v>
      </c>
      <c r="D8254" s="6" t="s">
        <v>576</v>
      </c>
      <c r="E8254" s="6" t="s">
        <v>455</v>
      </c>
      <c r="F8254" s="6" t="str">
        <f>IF($M8254="PADD I","PADD 1",IF($M8254="PADD II","PADD 2",IF($M8254="PADD III","PADD 3",IF($M8254="PADD IV","PADD 4",IF($M8254="PADD V","PADD 5","")))))</f>
        <v>PADD 3</v>
      </c>
      <c r="G8254" s="6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6" t="s">
        <v>426</v>
      </c>
      <c r="I8254" s="6" t="s">
        <v>393</v>
      </c>
      <c r="J8254" s="6" t="s">
        <v>398</v>
      </c>
      <c r="K8254" s="10">
        <v>56.25</v>
      </c>
      <c r="L8254" s="10">
        <v>75</v>
      </c>
      <c r="M8254" s="6" t="s">
        <v>421</v>
      </c>
      <c r="N8254" s="6" t="str">
        <f>IF(OR($G8254="FCC",$G8254="Hydrocracker",$G8254="Reformer"),IF(COUNTIFS($D:$D,$D8254,$A:$A,$A8254,$B:$B,$B8254,$G:$G,"CDU",$J:$J,"PLANNED")&gt;0,"tied","standalone"),"")</f>
        <v>standalone</v>
      </c>
    </row>
    <row r="8255" spans="1:14">
      <c r="A8255" s="6">
        <v>2027</v>
      </c>
      <c r="B8255" s="6">
        <v>2</v>
      </c>
      <c r="C8255" s="6" t="s">
        <v>61</v>
      </c>
      <c r="D8255" s="6" t="s">
        <v>678</v>
      </c>
      <c r="E8255" s="6" t="s">
        <v>438</v>
      </c>
      <c r="F8255" s="6" t="str">
        <f>IF($M8255="PADD I","PADD 1",IF($M8255="PADD II","PADD 2",IF($M8255="PADD III","PADD 3",IF($M8255="PADD IV","PADD 4",IF($M8255="PADD V","PADD 5","")))))</f>
        <v>PADD 3</v>
      </c>
      <c r="G8255" s="6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6" t="s">
        <v>39</v>
      </c>
      <c r="I8255" s="6" t="s">
        <v>1098</v>
      </c>
      <c r="J8255" s="6" t="s">
        <v>398</v>
      </c>
      <c r="K8255" s="10">
        <v>50</v>
      </c>
      <c r="L8255" s="10">
        <v>50</v>
      </c>
      <c r="M8255" s="6" t="s">
        <v>421</v>
      </c>
      <c r="N8255" s="6">
        <f>IF(OR($G8255="FCC",$G8255="Hydrocracker",$G8255="Reformer"),IF(COUNTIFS($D:$D,$D8255,$A:$A,$A8255,$B:$B,$B8255,$G:$G,"CDU",$J:$J,"PLANNED")&gt;0,"tied","standalone"),"")</f>
        <v/>
      </c>
    </row>
    <row r="8256" spans="1:14">
      <c r="A8256" s="6">
        <v>2027</v>
      </c>
      <c r="B8256" s="6">
        <v>2</v>
      </c>
      <c r="C8256" s="6" t="s">
        <v>61</v>
      </c>
      <c r="D8256" s="6" t="s">
        <v>501</v>
      </c>
      <c r="E8256" s="6" t="s">
        <v>502</v>
      </c>
      <c r="F8256" s="6" t="str">
        <f>IF($M8256="PADD I","PADD 1",IF($M8256="PADD II","PADD 2",IF($M8256="PADD III","PADD 3",IF($M8256="PADD IV","PADD 4",IF($M8256="PADD V","PADD 5","")))))</f>
        <v>PADD 2</v>
      </c>
      <c r="G8256" s="6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6" t="s">
        <v>428</v>
      </c>
      <c r="I8256" s="6" t="s">
        <v>481</v>
      </c>
      <c r="J8256" s="6" t="s">
        <v>398</v>
      </c>
      <c r="K8256" s="10">
        <v>48.16</v>
      </c>
      <c r="L8256" s="10">
        <v>56</v>
      </c>
      <c r="M8256" s="6" t="s">
        <v>425</v>
      </c>
      <c r="N8256" s="6">
        <f>IF(OR($G8256="FCC",$G8256="Hydrocracker",$G8256="Reformer"),IF(COUNTIFS($D:$D,$D8256,$A:$A,$A8256,$B:$B,$B8256,$G:$G,"CDU",$J:$J,"PLANNED")&gt;0,"tied","standalone"),"")</f>
        <v/>
      </c>
    </row>
    <row r="8257" spans="1:14">
      <c r="A8257" s="6">
        <v>2027</v>
      </c>
      <c r="B8257" s="6">
        <v>2</v>
      </c>
      <c r="C8257" s="6" t="s">
        <v>61</v>
      </c>
      <c r="D8257" s="6" t="s">
        <v>440</v>
      </c>
      <c r="E8257" s="6" t="s">
        <v>441</v>
      </c>
      <c r="F8257" s="6" t="str">
        <f>IF($M8257="PADD I","PADD 1",IF($M8257="PADD II","PADD 2",IF($M8257="PADD III","PADD 3",IF($M8257="PADD IV","PADD 4",IF($M8257="PADD V","PADD 5","")))))</f>
        <v>PADD 3</v>
      </c>
      <c r="G8257" s="6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6" t="s">
        <v>426</v>
      </c>
      <c r="I8257" s="6" t="s">
        <v>141</v>
      </c>
      <c r="J8257" s="6" t="s">
        <v>398</v>
      </c>
      <c r="K8257" s="10">
        <v>48.0375</v>
      </c>
      <c r="L8257" s="10">
        <v>78.75</v>
      </c>
      <c r="M8257" s="6" t="s">
        <v>421</v>
      </c>
      <c r="N8257" s="6" t="str">
        <f>IF(OR($G8257="FCC",$G8257="Hydrocracker",$G8257="Reformer"),IF(COUNTIFS($D:$D,$D8257,$A:$A,$A8257,$B:$B,$B8257,$G:$G,"CDU",$J:$J,"PLANNED")&gt;0,"tied","standalone"),"")</f>
        <v>standalone</v>
      </c>
    </row>
    <row r="8258" spans="1:14">
      <c r="A8258" s="6">
        <v>2027</v>
      </c>
      <c r="B8258" s="6">
        <v>2</v>
      </c>
      <c r="C8258" s="6" t="s">
        <v>61</v>
      </c>
      <c r="D8258" s="6" t="s">
        <v>382</v>
      </c>
      <c r="E8258" s="6" t="s">
        <v>431</v>
      </c>
      <c r="F8258" s="6" t="str">
        <f>IF($M8258="PADD I","PADD 1",IF($M8258="PADD II","PADD 2",IF($M8258="PADD III","PADD 3",IF($M8258="PADD IV","PADD 4",IF($M8258="PADD V","PADD 5","")))))</f>
        <v>PADD 3</v>
      </c>
      <c r="G8258" s="6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6" t="s">
        <v>494</v>
      </c>
      <c r="I8258" s="6" t="s">
        <v>14</v>
      </c>
      <c r="J8258" s="6" t="s">
        <v>398</v>
      </c>
      <c r="K8258" s="10">
        <v>44.2</v>
      </c>
      <c r="L8258" s="10">
        <v>65</v>
      </c>
      <c r="M8258" s="6" t="s">
        <v>421</v>
      </c>
      <c r="N8258" s="6" t="str">
        <f>IF(OR($G8258="FCC",$G8258="Hydrocracker",$G8258="Reformer"),IF(COUNTIFS($D:$D,$D8258,$A:$A,$A8258,$B:$B,$B8258,$G:$G,"CDU",$J:$J,"PLANNED")&gt;0,"tied","standalone"),"")</f>
        <v>standalone</v>
      </c>
    </row>
    <row r="8259" spans="1:14">
      <c r="A8259" s="6">
        <v>2027</v>
      </c>
      <c r="B8259" s="6">
        <v>2</v>
      </c>
      <c r="C8259" s="6" t="s">
        <v>61</v>
      </c>
      <c r="D8259" s="6" t="s">
        <v>561</v>
      </c>
      <c r="E8259" s="6" t="s">
        <v>455</v>
      </c>
      <c r="F8259" s="6" t="str">
        <f>IF($M8259="PADD I","PADD 1",IF($M8259="PADD II","PADD 2",IF($M8259="PADD III","PADD 3",IF($M8259="PADD IV","PADD 4",IF($M8259="PADD V","PADD 5","")))))</f>
        <v>PADD 3</v>
      </c>
      <c r="G8259" s="6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6" t="s">
        <v>494</v>
      </c>
      <c r="I8259" s="6" t="s">
        <v>14</v>
      </c>
      <c r="J8259" s="6" t="s">
        <v>398</v>
      </c>
      <c r="K8259" s="10">
        <v>43</v>
      </c>
      <c r="L8259" s="10">
        <v>50</v>
      </c>
      <c r="M8259" s="6" t="s">
        <v>421</v>
      </c>
      <c r="N8259" s="6" t="str">
        <f>IF(OR($G8259="FCC",$G8259="Hydrocracker",$G8259="Reformer"),IF(COUNTIFS($D:$D,$D8259,$A:$A,$A8259,$B:$B,$B8259,$G:$G,"CDU",$J:$J,"PLANNED")&gt;0,"tied","standalone"),"")</f>
        <v>standalone</v>
      </c>
    </row>
    <row r="8260" spans="1:14">
      <c r="A8260" s="6">
        <v>2027</v>
      </c>
      <c r="B8260" s="6">
        <v>2</v>
      </c>
      <c r="C8260" s="6" t="s">
        <v>61</v>
      </c>
      <c r="D8260" s="6" t="s">
        <v>375</v>
      </c>
      <c r="E8260" s="6" t="s">
        <v>435</v>
      </c>
      <c r="F8260" s="6" t="str">
        <f>IF($M8260="PADD I","PADD 1",IF($M8260="PADD II","PADD 2",IF($M8260="PADD III","PADD 3",IF($M8260="PADD IV","PADD 4",IF($M8260="PADD V","PADD 5","")))))</f>
        <v>PADD 5</v>
      </c>
      <c r="G8260" s="6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6" t="s">
        <v>494</v>
      </c>
      <c r="I8260" s="6" t="s">
        <v>548</v>
      </c>
      <c r="J8260" s="6" t="s">
        <v>398</v>
      </c>
      <c r="K8260" s="10">
        <v>42</v>
      </c>
      <c r="L8260" s="10">
        <v>42</v>
      </c>
      <c r="M8260" s="6" t="s">
        <v>436</v>
      </c>
      <c r="N8260" s="6" t="str">
        <f>IF(OR($G8260="FCC",$G8260="Hydrocracker",$G8260="Reformer"),IF(COUNTIFS($D:$D,$D8260,$A:$A,$A8260,$B:$B,$B8260,$G:$G,"CDU",$J:$J,"PLANNED")&gt;0,"tied","standalone"),"")</f>
        <v>tied</v>
      </c>
    </row>
    <row r="8261" spans="1:14">
      <c r="A8261" s="6">
        <v>2027</v>
      </c>
      <c r="B8261" s="6">
        <v>2</v>
      </c>
      <c r="C8261" s="6" t="s">
        <v>61</v>
      </c>
      <c r="D8261" s="6" t="s">
        <v>52</v>
      </c>
      <c r="E8261" s="6" t="s">
        <v>441</v>
      </c>
      <c r="F8261" s="6" t="str">
        <f>IF($M8261="PADD I","PADD 1",IF($M8261="PADD II","PADD 2",IF($M8261="PADD III","PADD 3",IF($M8261="PADD IV","PADD 4",IF($M8261="PADD V","PADD 5","")))))</f>
        <v>PADD 5</v>
      </c>
      <c r="G8261" s="6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6" t="s">
        <v>39</v>
      </c>
      <c r="I8261" s="6" t="s">
        <v>136</v>
      </c>
      <c r="J8261" s="6" t="s">
        <v>398</v>
      </c>
      <c r="K8261" s="10">
        <v>35.1</v>
      </c>
      <c r="L8261" s="10">
        <v>90</v>
      </c>
      <c r="M8261" s="6" t="s">
        <v>436</v>
      </c>
      <c r="N8261" s="6">
        <f>IF(OR($G8261="FCC",$G8261="Hydrocracker",$G8261="Reformer"),IF(COUNTIFS($D:$D,$D8261,$A:$A,$A8261,$B:$B,$B8261,$G:$G,"CDU",$J:$J,"PLANNED")&gt;0,"tied","standalone"),"")</f>
        <v/>
      </c>
    </row>
    <row r="8262" spans="1:14">
      <c r="A8262" s="6">
        <v>2027</v>
      </c>
      <c r="B8262" s="6">
        <v>2</v>
      </c>
      <c r="C8262" s="6" t="s">
        <v>61</v>
      </c>
      <c r="D8262" s="6" t="s">
        <v>678</v>
      </c>
      <c r="E8262" s="6" t="s">
        <v>438</v>
      </c>
      <c r="F8262" s="6" t="str">
        <f>IF($M8262="PADD I","PADD 1",IF($M8262="PADD II","PADD 2",IF($M8262="PADD III","PADD 3",IF($M8262="PADD IV","PADD 4",IF($M8262="PADD V","PADD 5","")))))</f>
        <v>PADD 3</v>
      </c>
      <c r="G8262" s="6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6" t="s">
        <v>39</v>
      </c>
      <c r="I8262" s="6" t="s">
        <v>1103</v>
      </c>
      <c r="J8262" s="6" t="s">
        <v>398</v>
      </c>
      <c r="K8262" s="10">
        <v>35</v>
      </c>
      <c r="L8262" s="10">
        <v>35</v>
      </c>
      <c r="M8262" s="6" t="s">
        <v>421</v>
      </c>
      <c r="N8262" s="6">
        <f>IF(OR($G8262="FCC",$G8262="Hydrocracker",$G8262="Reformer"),IF(COUNTIFS($D:$D,$D8262,$A:$A,$A8262,$B:$B,$B8262,$G:$G,"CDU",$J:$J,"PLANNED")&gt;0,"tied","standalone"),"")</f>
        <v/>
      </c>
    </row>
    <row r="8263" spans="1:14">
      <c r="A8263" s="6">
        <v>2027</v>
      </c>
      <c r="B8263" s="6">
        <v>2</v>
      </c>
      <c r="C8263" s="6" t="s">
        <v>61</v>
      </c>
      <c r="D8263" s="6" t="s">
        <v>501</v>
      </c>
      <c r="E8263" s="6" t="s">
        <v>502</v>
      </c>
      <c r="F8263" s="6" t="str">
        <f>IF($M8263="PADD I","PADD 1",IF($M8263="PADD II","PADD 2",IF($M8263="PADD III","PADD 3",IF($M8263="PADD IV","PADD 4",IF($M8263="PADD V","PADD 5","")))))</f>
        <v>PADD 2</v>
      </c>
      <c r="G8263" s="6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6" t="s">
        <v>39</v>
      </c>
      <c r="I8263" s="6" t="s">
        <v>531</v>
      </c>
      <c r="J8263" s="6" t="s">
        <v>398</v>
      </c>
      <c r="K8263" s="10">
        <v>32.8</v>
      </c>
      <c r="L8263" s="10">
        <v>40</v>
      </c>
      <c r="M8263" s="6" t="s">
        <v>425</v>
      </c>
      <c r="N8263" s="6">
        <f>IF(OR($G8263="FCC",$G8263="Hydrocracker",$G8263="Reformer"),IF(COUNTIFS($D:$D,$D8263,$A:$A,$A8263,$B:$B,$B8263,$G:$G,"CDU",$J:$J,"PLANNED")&gt;0,"tied","standalone"),"")</f>
        <v/>
      </c>
    </row>
    <row r="8264" spans="1:14">
      <c r="A8264" s="6">
        <v>2027</v>
      </c>
      <c r="B8264" s="6">
        <v>2</v>
      </c>
      <c r="C8264" s="6" t="s">
        <v>61</v>
      </c>
      <c r="D8264" s="6" t="s">
        <v>382</v>
      </c>
      <c r="E8264" s="6" t="s">
        <v>431</v>
      </c>
      <c r="F8264" s="6" t="str">
        <f>IF($M8264="PADD I","PADD 1",IF($M8264="PADD II","PADD 2",IF($M8264="PADD III","PADD 3",IF($M8264="PADD IV","PADD 4",IF($M8264="PADD V","PADD 5","")))))</f>
        <v>PADD 3</v>
      </c>
      <c r="G8264" s="6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6" t="s">
        <v>44</v>
      </c>
      <c r="I8264" s="6" t="s">
        <v>514</v>
      </c>
      <c r="J8264" s="6" t="s">
        <v>398</v>
      </c>
      <c r="K8264" s="10">
        <v>31.6</v>
      </c>
      <c r="L8264" s="10">
        <v>40</v>
      </c>
      <c r="M8264" s="6" t="s">
        <v>421</v>
      </c>
      <c r="N8264" s="6">
        <f>IF(OR($G8264="FCC",$G8264="Hydrocracker",$G8264="Reformer"),IF(COUNTIFS($D:$D,$D8264,$A:$A,$A8264,$B:$B,$B8264,$G:$G,"CDU",$J:$J,"PLANNED")&gt;0,"tied","standalone"),"")</f>
        <v/>
      </c>
    </row>
    <row r="8265" spans="1:14">
      <c r="A8265" s="6">
        <v>2027</v>
      </c>
      <c r="B8265" s="6">
        <v>2</v>
      </c>
      <c r="C8265" s="6" t="s">
        <v>61</v>
      </c>
      <c r="D8265" s="6" t="s">
        <v>51</v>
      </c>
      <c r="E8265" s="6" t="s">
        <v>431</v>
      </c>
      <c r="F8265" s="6" t="str">
        <f>IF($M8265="PADD I","PADD 1",IF($M8265="PADD II","PADD 2",IF($M8265="PADD III","PADD 3",IF($M8265="PADD IV","PADD 4",IF($M8265="PADD V","PADD 5","")))))</f>
        <v>PADD 3</v>
      </c>
      <c r="G8265" s="6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6" t="s">
        <v>426</v>
      </c>
      <c r="I8265" s="6" t="s">
        <v>103</v>
      </c>
      <c r="J8265" s="6" t="s">
        <v>398</v>
      </c>
      <c r="K8265" s="10">
        <v>31.25</v>
      </c>
      <c r="L8265" s="10">
        <v>125</v>
      </c>
      <c r="M8265" s="6" t="s">
        <v>421</v>
      </c>
      <c r="N8265" s="6" t="str">
        <f>IF(OR($G8265="FCC",$G8265="Hydrocracker",$G8265="Reformer"),IF(COUNTIFS($D:$D,$D8265,$A:$A,$A8265,$B:$B,$B8265,$G:$G,"CDU",$J:$J,"PLANNED")&gt;0,"tied","standalone"),"")</f>
        <v>standalone</v>
      </c>
    </row>
    <row r="8266" spans="1:14">
      <c r="A8266" s="6">
        <v>2027</v>
      </c>
      <c r="B8266" s="6">
        <v>2</v>
      </c>
      <c r="C8266" s="6" t="s">
        <v>61</v>
      </c>
      <c r="D8266" s="6" t="s">
        <v>375</v>
      </c>
      <c r="E8266" s="6" t="s">
        <v>435</v>
      </c>
      <c r="F8266" s="6" t="str">
        <f>IF($M8266="PADD I","PADD 1",IF($M8266="PADD II","PADD 2",IF($M8266="PADD III","PADD 3",IF($M8266="PADD IV","PADD 4",IF($M8266="PADD V","PADD 5","")))))</f>
        <v>PADD 5</v>
      </c>
      <c r="G8266" s="6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6" t="s">
        <v>471</v>
      </c>
      <c r="I8266" s="6" t="s">
        <v>15</v>
      </c>
      <c r="J8266" s="6" t="s">
        <v>398</v>
      </c>
      <c r="K8266" s="10">
        <v>29.5</v>
      </c>
      <c r="L8266" s="10">
        <v>29.5</v>
      </c>
      <c r="M8266" s="6" t="s">
        <v>436</v>
      </c>
      <c r="N8266" s="6" t="str">
        <f>IF(OR($G8266="FCC",$G8266="Hydrocracker",$G8266="Reformer"),IF(COUNTIFS($D:$D,$D8266,$A:$A,$A8266,$B:$B,$B8266,$G:$G,"CDU",$J:$J,"PLANNED")&gt;0,"tied","standalone"),"")</f>
        <v>tied</v>
      </c>
    </row>
    <row r="8267" spans="1:14">
      <c r="A8267" s="6">
        <v>2027</v>
      </c>
      <c r="B8267" s="6">
        <v>2</v>
      </c>
      <c r="C8267" s="6" t="s">
        <v>61</v>
      </c>
      <c r="D8267" s="6" t="s">
        <v>375</v>
      </c>
      <c r="E8267" s="6" t="s">
        <v>435</v>
      </c>
      <c r="F8267" s="6" t="str">
        <f>IF($M8267="PADD I","PADD 1",IF($M8267="PADD II","PADD 2",IF($M8267="PADD III","PADD 3",IF($M8267="PADD IV","PADD 4",IF($M8267="PADD V","PADD 5","")))))</f>
        <v>PADD 5</v>
      </c>
      <c r="G8267" s="6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6" t="s">
        <v>44</v>
      </c>
      <c r="I8267" s="6" t="s">
        <v>551</v>
      </c>
      <c r="J8267" s="6" t="s">
        <v>398</v>
      </c>
      <c r="K8267" s="10">
        <v>28</v>
      </c>
      <c r="L8267" s="10">
        <v>28</v>
      </c>
      <c r="M8267" s="6" t="s">
        <v>436</v>
      </c>
      <c r="N8267" s="6">
        <f>IF(OR($G8267="FCC",$G8267="Hydrocracker",$G8267="Reformer"),IF(COUNTIFS($D:$D,$D8267,$A:$A,$A8267,$B:$B,$B8267,$G:$G,"CDU",$J:$J,"PLANNED")&gt;0,"tied","standalone"),"")</f>
        <v/>
      </c>
    </row>
    <row r="8268" spans="1:14">
      <c r="A8268" s="6">
        <v>2027</v>
      </c>
      <c r="B8268" s="6">
        <v>2</v>
      </c>
      <c r="C8268" s="6" t="s">
        <v>61</v>
      </c>
      <c r="D8268" s="6" t="s">
        <v>440</v>
      </c>
      <c r="E8268" s="6" t="s">
        <v>441</v>
      </c>
      <c r="F8268" s="6" t="str">
        <f>IF($M8268="PADD I","PADD 1",IF($M8268="PADD II","PADD 2",IF($M8268="PADD III","PADD 3",IF($M8268="PADD IV","PADD 4",IF($M8268="PADD V","PADD 5","")))))</f>
        <v>PADD 3</v>
      </c>
      <c r="G8268" s="6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6" t="s">
        <v>44</v>
      </c>
      <c r="I8268" s="6" t="s">
        <v>1436</v>
      </c>
      <c r="J8268" s="6" t="s">
        <v>398</v>
      </c>
      <c r="K8268" s="10">
        <v>27.45</v>
      </c>
      <c r="L8268" s="10">
        <v>45</v>
      </c>
      <c r="M8268" s="6" t="s">
        <v>421</v>
      </c>
      <c r="N8268" s="6">
        <f>IF(OR($G8268="FCC",$G8268="Hydrocracker",$G8268="Reformer"),IF(COUNTIFS($D:$D,$D8268,$A:$A,$A8268,$B:$B,$B8268,$G:$G,"CDU",$J:$J,"PLANNED")&gt;0,"tied","standalone"),"")</f>
        <v/>
      </c>
    </row>
    <row r="8269" spans="1:14">
      <c r="A8269" s="6">
        <v>2027</v>
      </c>
      <c r="B8269" s="6">
        <v>2</v>
      </c>
      <c r="C8269" s="6" t="s">
        <v>61</v>
      </c>
      <c r="D8269" s="6" t="s">
        <v>440</v>
      </c>
      <c r="E8269" s="6" t="s">
        <v>441</v>
      </c>
      <c r="F8269" s="6" t="str">
        <f>IF($M8269="PADD I","PADD 1",IF($M8269="PADD II","PADD 2",IF($M8269="PADD III","PADD 3",IF($M8269="PADD IV","PADD 4",IF($M8269="PADD V","PADD 5","")))))</f>
        <v>PADD 3</v>
      </c>
      <c r="G8269" s="6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6" t="s">
        <v>44</v>
      </c>
      <c r="I8269" s="6" t="s">
        <v>1134</v>
      </c>
      <c r="J8269" s="6" t="s">
        <v>398</v>
      </c>
      <c r="K8269" s="10">
        <v>27.45</v>
      </c>
      <c r="L8269" s="10">
        <v>45</v>
      </c>
      <c r="M8269" s="6" t="s">
        <v>421</v>
      </c>
      <c r="N8269" s="6">
        <f>IF(OR($G8269="FCC",$G8269="Hydrocracker",$G8269="Reformer"),IF(COUNTIFS($D:$D,$D8269,$A:$A,$A8269,$B:$B,$B8269,$G:$G,"CDU",$J:$J,"PLANNED")&gt;0,"tied","standalone"),"")</f>
        <v/>
      </c>
    </row>
    <row r="8270" spans="1:14">
      <c r="A8270" s="6">
        <v>2027</v>
      </c>
      <c r="B8270" s="6">
        <v>2</v>
      </c>
      <c r="C8270" s="6" t="s">
        <v>61</v>
      </c>
      <c r="D8270" s="6" t="s">
        <v>440</v>
      </c>
      <c r="E8270" s="6" t="s">
        <v>441</v>
      </c>
      <c r="F8270" s="6" t="str">
        <f>IF($M8270="PADD I","PADD 1",IF($M8270="PADD II","PADD 2",IF($M8270="PADD III","PADD 3",IF($M8270="PADD IV","PADD 4",IF($M8270="PADD V","PADD 5","")))))</f>
        <v>PADD 3</v>
      </c>
      <c r="G8270" s="6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6" t="s">
        <v>44</v>
      </c>
      <c r="I8270" s="6" t="s">
        <v>1277</v>
      </c>
      <c r="J8270" s="6" t="s">
        <v>398</v>
      </c>
      <c r="K8270" s="10">
        <v>27.45</v>
      </c>
      <c r="L8270" s="10">
        <v>45</v>
      </c>
      <c r="M8270" s="6" t="s">
        <v>421</v>
      </c>
      <c r="N8270" s="6">
        <f>IF(OR($G8270="FCC",$G8270="Hydrocracker",$G8270="Reformer"),IF(COUNTIFS($D:$D,$D8270,$A:$A,$A8270,$B:$B,$B8270,$G:$G,"CDU",$J:$J,"PLANNED")&gt;0,"tied","standalone"),"")</f>
        <v/>
      </c>
    </row>
    <row r="8271" spans="1:14">
      <c r="A8271" s="6">
        <v>2027</v>
      </c>
      <c r="B8271" s="6">
        <v>2</v>
      </c>
      <c r="C8271" s="6" t="s">
        <v>61</v>
      </c>
      <c r="D8271" s="6" t="s">
        <v>52</v>
      </c>
      <c r="E8271" s="6" t="s">
        <v>441</v>
      </c>
      <c r="F8271" s="6" t="str">
        <f>IF($M8271="PADD I","PADD 1",IF($M8271="PADD II","PADD 2",IF($M8271="PADD III","PADD 3",IF($M8271="PADD IV","PADD 4",IF($M8271="PADD V","PADD 5","")))))</f>
        <v>PADD 5</v>
      </c>
      <c r="G8271" s="6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6" t="s">
        <v>485</v>
      </c>
      <c r="I8271" s="6" t="s">
        <v>491</v>
      </c>
      <c r="J8271" s="6" t="s">
        <v>398</v>
      </c>
      <c r="K8271" s="10">
        <v>26.52</v>
      </c>
      <c r="L8271" s="10">
        <v>68</v>
      </c>
      <c r="M8271" s="6" t="s">
        <v>436</v>
      </c>
      <c r="N8271" s="6">
        <f>IF(OR($G8271="FCC",$G8271="Hydrocracker",$G8271="Reformer"),IF(COUNTIFS($D:$D,$D8271,$A:$A,$A8271,$B:$B,$B8271,$G:$G,"CDU",$J:$J,"PLANNED")&gt;0,"tied","standalone"),"")</f>
        <v/>
      </c>
    </row>
    <row r="8272" spans="1:14">
      <c r="A8272" s="6">
        <v>2027</v>
      </c>
      <c r="B8272" s="6">
        <v>2</v>
      </c>
      <c r="C8272" s="6" t="s">
        <v>61</v>
      </c>
      <c r="D8272" s="6" t="s">
        <v>375</v>
      </c>
      <c r="E8272" s="6" t="s">
        <v>435</v>
      </c>
      <c r="F8272" s="6" t="str">
        <f>IF($M8272="PADD I","PADD 1",IF($M8272="PADD II","PADD 2",IF($M8272="PADD III","PADD 3",IF($M8272="PADD IV","PADD 4",IF($M8272="PADD V","PADD 5","")))))</f>
        <v>PADD 5</v>
      </c>
      <c r="G8272" s="6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6" t="s">
        <v>44</v>
      </c>
      <c r="I8272" s="6" t="s">
        <v>1233</v>
      </c>
      <c r="J8272" s="6" t="s">
        <v>398</v>
      </c>
      <c r="K8272" s="10">
        <v>26</v>
      </c>
      <c r="L8272" s="10">
        <v>26</v>
      </c>
      <c r="M8272" s="6" t="s">
        <v>436</v>
      </c>
      <c r="N8272" s="6">
        <f>IF(OR($G8272="FCC",$G8272="Hydrocracker",$G8272="Reformer"),IF(COUNTIFS($D:$D,$D8272,$A:$A,$A8272,$B:$B,$B8272,$G:$G,"CDU",$J:$J,"PLANNED")&gt;0,"tied","standalone"),"")</f>
        <v/>
      </c>
    </row>
    <row r="8273" spans="1:14">
      <c r="A8273" s="6">
        <v>2027</v>
      </c>
      <c r="B8273" s="6">
        <v>2</v>
      </c>
      <c r="C8273" s="6" t="s">
        <v>61</v>
      </c>
      <c r="D8273" s="6" t="s">
        <v>383</v>
      </c>
      <c r="E8273" s="6" t="s">
        <v>602</v>
      </c>
      <c r="F8273" s="6" t="str">
        <f>IF($M8273="PADD I","PADD 1",IF($M8273="PADD II","PADD 2",IF($M8273="PADD III","PADD 3",IF($M8273="PADD IV","PADD 4",IF($M8273="PADD V","PADD 5","")))))</f>
        <v>PADD 3</v>
      </c>
      <c r="G8273" s="6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6" t="s">
        <v>44</v>
      </c>
      <c r="I8273" s="6" t="s">
        <v>644</v>
      </c>
      <c r="J8273" s="6" t="s">
        <v>398</v>
      </c>
      <c r="K8273" s="10">
        <v>25.8</v>
      </c>
      <c r="L8273" s="10">
        <v>30</v>
      </c>
      <c r="M8273" s="6" t="s">
        <v>421</v>
      </c>
      <c r="N8273" s="6">
        <f>IF(OR($G8273="FCC",$G8273="Hydrocracker",$G8273="Reformer"),IF(COUNTIFS($D:$D,$D8273,$A:$A,$A8273,$B:$B,$B8273,$G:$G,"CDU",$J:$J,"PLANNED")&gt;0,"tied","standalone"),"")</f>
        <v/>
      </c>
    </row>
    <row r="8274" spans="1:14">
      <c r="A8274" s="6">
        <v>2027</v>
      </c>
      <c r="B8274" s="6">
        <v>2</v>
      </c>
      <c r="C8274" s="6" t="s">
        <v>61</v>
      </c>
      <c r="D8274" s="6" t="s">
        <v>479</v>
      </c>
      <c r="E8274" s="6" t="s">
        <v>438</v>
      </c>
      <c r="F8274" s="6" t="str">
        <f>IF($M8274="PADD I","PADD 1",IF($M8274="PADD II","PADD 2",IF($M8274="PADD III","PADD 3",IF($M8274="PADD IV","PADD 4",IF($M8274="PADD V","PADD 5","")))))</f>
        <v>PADD 4</v>
      </c>
      <c r="G8274" s="6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6" t="s">
        <v>426</v>
      </c>
      <c r="I8274" s="6" t="s">
        <v>106</v>
      </c>
      <c r="J8274" s="6" t="s">
        <v>398</v>
      </c>
      <c r="K8274" s="10">
        <v>25.344</v>
      </c>
      <c r="L8274" s="10">
        <v>26.4</v>
      </c>
      <c r="M8274" s="6" t="s">
        <v>480</v>
      </c>
      <c r="N8274" s="6" t="str">
        <f>IF(OR($G8274="FCC",$G8274="Hydrocracker",$G8274="Reformer"),IF(COUNTIFS($D:$D,$D8274,$A:$A,$A8274,$B:$B,$B8274,$G:$G,"CDU",$J:$J,"PLANNED")&gt;0,"tied","standalone"),"")</f>
        <v>tied</v>
      </c>
    </row>
    <row r="8275" spans="1:14">
      <c r="A8275" s="6">
        <v>2027</v>
      </c>
      <c r="B8275" s="6">
        <v>2</v>
      </c>
      <c r="C8275" s="6" t="s">
        <v>61</v>
      </c>
      <c r="D8275" s="6" t="s">
        <v>501</v>
      </c>
      <c r="E8275" s="6" t="s">
        <v>502</v>
      </c>
      <c r="F8275" s="6" t="str">
        <f>IF($M8275="PADD I","PADD 1",IF($M8275="PADD II","PADD 2",IF($M8275="PADD III","PADD 3",IF($M8275="PADD IV","PADD 4",IF($M8275="PADD V","PADD 5","")))))</f>
        <v>PADD 2</v>
      </c>
      <c r="G8275" s="6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6" t="s">
        <v>426</v>
      </c>
      <c r="I8275" s="6" t="s">
        <v>106</v>
      </c>
      <c r="J8275" s="6" t="s">
        <v>398</v>
      </c>
      <c r="K8275" s="10">
        <v>24.94</v>
      </c>
      <c r="L8275" s="10">
        <v>29</v>
      </c>
      <c r="M8275" s="6" t="s">
        <v>425</v>
      </c>
      <c r="N8275" s="6" t="str">
        <f>IF(OR($G8275="FCC",$G8275="Hydrocracker",$G8275="Reformer"),IF(COUNTIFS($D:$D,$D8275,$A:$A,$A8275,$B:$B,$B8275,$G:$G,"CDU",$J:$J,"PLANNED")&gt;0,"tied","standalone"),"")</f>
        <v>tied</v>
      </c>
    </row>
    <row r="8276" spans="1:14">
      <c r="A8276" s="6">
        <v>2027</v>
      </c>
      <c r="B8276" s="6">
        <v>2</v>
      </c>
      <c r="C8276" s="6" t="s">
        <v>61</v>
      </c>
      <c r="D8276" s="6" t="s">
        <v>937</v>
      </c>
      <c r="E8276" s="6" t="s">
        <v>455</v>
      </c>
      <c r="F8276" s="6" t="str">
        <f>IF($M8276="PADD I","PADD 1",IF($M8276="PADD II","PADD 2",IF($M8276="PADD III","PADD 3",IF($M8276="PADD IV","PADD 4",IF($M8276="PADD V","PADD 5","")))))</f>
        <v>PADD 3</v>
      </c>
      <c r="G8276" s="6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6" t="s">
        <v>428</v>
      </c>
      <c r="I8276" s="6" t="s">
        <v>481</v>
      </c>
      <c r="J8276" s="6" t="s">
        <v>398</v>
      </c>
      <c r="K8276" s="10">
        <v>22.96</v>
      </c>
      <c r="L8276" s="10">
        <v>28</v>
      </c>
      <c r="M8276" s="6" t="s">
        <v>421</v>
      </c>
      <c r="N8276" s="6">
        <f>IF(OR($G8276="FCC",$G8276="Hydrocracker",$G8276="Reformer"),IF(COUNTIFS($D:$D,$D8276,$A:$A,$A8276,$B:$B,$B8276,$G:$G,"CDU",$J:$J,"PLANNED")&gt;0,"tied","standalone"),"")</f>
        <v/>
      </c>
    </row>
    <row r="8277" spans="1:14">
      <c r="A8277" s="6">
        <v>2027</v>
      </c>
      <c r="B8277" s="6">
        <v>2</v>
      </c>
      <c r="C8277" s="6" t="s">
        <v>61</v>
      </c>
      <c r="D8277" s="6" t="s">
        <v>383</v>
      </c>
      <c r="E8277" s="6" t="s">
        <v>602</v>
      </c>
      <c r="F8277" s="6" t="str">
        <f>IF($M8277="PADD I","PADD 1",IF($M8277="PADD II","PADD 2",IF($M8277="PADD III","PADD 3",IF($M8277="PADD IV","PADD 4",IF($M8277="PADD V","PADD 5","")))))</f>
        <v>PADD 3</v>
      </c>
      <c r="G8277" s="6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6" t="s">
        <v>44</v>
      </c>
      <c r="I8277" s="6" t="s">
        <v>648</v>
      </c>
      <c r="J8277" s="6" t="s">
        <v>398</v>
      </c>
      <c r="K8277" s="10">
        <v>21.5</v>
      </c>
      <c r="L8277" s="10">
        <v>25</v>
      </c>
      <c r="M8277" s="6" t="s">
        <v>421</v>
      </c>
      <c r="N8277" s="6">
        <f>IF(OR($G8277="FCC",$G8277="Hydrocracker",$G8277="Reformer"),IF(COUNTIFS($D:$D,$D8277,$A:$A,$A8277,$B:$B,$B8277,$G:$G,"CDU",$J:$J,"PLANNED")&gt;0,"tied","standalone"),"")</f>
        <v/>
      </c>
    </row>
    <row r="8278" spans="1:14">
      <c r="A8278" s="6">
        <v>2027</v>
      </c>
      <c r="B8278" s="6">
        <v>2</v>
      </c>
      <c r="C8278" s="6" t="s">
        <v>61</v>
      </c>
      <c r="D8278" s="6" t="s">
        <v>375</v>
      </c>
      <c r="E8278" s="6" t="s">
        <v>435</v>
      </c>
      <c r="F8278" s="6" t="str">
        <f>IF($M8278="PADD I","PADD 1",IF($M8278="PADD II","PADD 2",IF($M8278="PADD III","PADD 3",IF($M8278="PADD IV","PADD 4",IF($M8278="PADD V","PADD 5","")))))</f>
        <v>PADD 5</v>
      </c>
      <c r="G8278" s="6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6" t="s">
        <v>485</v>
      </c>
      <c r="I8278" s="6" t="s">
        <v>863</v>
      </c>
      <c r="J8278" s="6" t="s">
        <v>398</v>
      </c>
      <c r="K8278" s="10">
        <v>20.9</v>
      </c>
      <c r="L8278" s="10">
        <v>20.9</v>
      </c>
      <c r="M8278" s="6" t="s">
        <v>436</v>
      </c>
      <c r="N8278" s="6">
        <f>IF(OR($G8278="FCC",$G8278="Hydrocracker",$G8278="Reformer"),IF(COUNTIFS($D:$D,$D8278,$A:$A,$A8278,$B:$B,$B8278,$G:$G,"CDU",$J:$J,"PLANNED")&gt;0,"tied","standalone"),"")</f>
        <v/>
      </c>
    </row>
    <row r="8279" spans="1:14">
      <c r="A8279" s="6">
        <v>2027</v>
      </c>
      <c r="B8279" s="6">
        <v>2</v>
      </c>
      <c r="C8279" s="6" t="s">
        <v>61</v>
      </c>
      <c r="D8279" s="6" t="s">
        <v>373</v>
      </c>
      <c r="E8279" s="6" t="s">
        <v>438</v>
      </c>
      <c r="F8279" s="6" t="str">
        <f>IF($M8279="PADD I","PADD 1",IF($M8279="PADD II","PADD 2",IF($M8279="PADD III","PADD 3",IF($M8279="PADD IV","PADD 4",IF($M8279="PADD V","PADD 5","")))))</f>
        <v>PADD 3</v>
      </c>
      <c r="G8279" s="6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6" t="s">
        <v>39</v>
      </c>
      <c r="I8279" s="6" t="s">
        <v>100</v>
      </c>
      <c r="J8279" s="6" t="s">
        <v>398</v>
      </c>
      <c r="K8279" s="10">
        <v>19.32</v>
      </c>
      <c r="L8279" s="10">
        <v>138</v>
      </c>
      <c r="M8279" s="6" t="s">
        <v>421</v>
      </c>
      <c r="N8279" s="6">
        <f>IF(OR($G8279="FCC",$G8279="Hydrocracker",$G8279="Reformer"),IF(COUNTIFS($D:$D,$D8279,$A:$A,$A8279,$B:$B,$B8279,$G:$G,"CDU",$J:$J,"PLANNED")&gt;0,"tied","standalone"),"")</f>
        <v/>
      </c>
    </row>
    <row r="8280" spans="1:14">
      <c r="A8280" s="6">
        <v>2027</v>
      </c>
      <c r="B8280" s="6">
        <v>2</v>
      </c>
      <c r="C8280" s="6" t="s">
        <v>61</v>
      </c>
      <c r="D8280" s="6" t="s">
        <v>430</v>
      </c>
      <c r="E8280" s="6" t="s">
        <v>431</v>
      </c>
      <c r="F8280" s="6" t="str">
        <f>IF($M8280="PADD I","PADD 1",IF($M8280="PADD II","PADD 2",IF($M8280="PADD III","PADD 3",IF($M8280="PADD IV","PADD 4",IF($M8280="PADD V","PADD 5","")))))</f>
        <v>PADD 3</v>
      </c>
      <c r="G8280" s="6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6" t="s">
        <v>510</v>
      </c>
      <c r="I8280" s="6" t="s">
        <v>1307</v>
      </c>
      <c r="J8280" s="6" t="s">
        <v>398</v>
      </c>
      <c r="K8280" s="10">
        <v>18.75</v>
      </c>
      <c r="L8280" s="10">
        <v>18.75</v>
      </c>
      <c r="M8280" s="6" t="s">
        <v>421</v>
      </c>
      <c r="N8280" s="6">
        <f>IF(OR($G8280="FCC",$G8280="Hydrocracker",$G8280="Reformer"),IF(COUNTIFS($D:$D,$D8280,$A:$A,$A8280,$B:$B,$B8280,$G:$G,"CDU",$J:$J,"PLANNED")&gt;0,"tied","standalone"),"")</f>
        <v/>
      </c>
    </row>
    <row r="8281" spans="1:14">
      <c r="A8281" s="6">
        <v>2027</v>
      </c>
      <c r="B8281" s="6">
        <v>2</v>
      </c>
      <c r="C8281" s="6" t="s">
        <v>61</v>
      </c>
      <c r="D8281" s="6" t="s">
        <v>696</v>
      </c>
      <c r="E8281" s="6" t="s">
        <v>455</v>
      </c>
      <c r="F8281" s="6" t="str">
        <f>IF($M8281="PADD I","PADD 1",IF($M8281="PADD II","PADD 2",IF($M8281="PADD III","PADD 3",IF($M8281="PADD IV","PADD 4",IF($M8281="PADD V","PADD 5","")))))</f>
        <v>PADD 3</v>
      </c>
      <c r="G8281" s="6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6" t="s">
        <v>485</v>
      </c>
      <c r="I8281" s="6" t="s">
        <v>491</v>
      </c>
      <c r="J8281" s="6" t="s">
        <v>398</v>
      </c>
      <c r="K8281" s="10">
        <v>18</v>
      </c>
      <c r="L8281" s="10">
        <v>18</v>
      </c>
      <c r="M8281" s="6" t="s">
        <v>421</v>
      </c>
      <c r="N8281" s="6">
        <f>IF(OR($G8281="FCC",$G8281="Hydrocracker",$G8281="Reformer"),IF(COUNTIFS($D:$D,$D8281,$A:$A,$A8281,$B:$B,$B8281,$G:$G,"CDU",$J:$J,"PLANNED")&gt;0,"tied","standalone"),"")</f>
        <v/>
      </c>
    </row>
    <row r="8282" spans="1:14">
      <c r="A8282" s="6">
        <v>2027</v>
      </c>
      <c r="B8282" s="6">
        <v>2</v>
      </c>
      <c r="C8282" s="6" t="s">
        <v>61</v>
      </c>
      <c r="D8282" s="6" t="s">
        <v>812</v>
      </c>
      <c r="E8282" s="6" t="s">
        <v>813</v>
      </c>
      <c r="F8282" s="6" t="str">
        <f>IF($M8282="PADD I","PADD 1",IF($M8282="PADD II","PADD 2",IF($M8282="PADD III","PADD 3",IF($M8282="PADD IV","PADD 4",IF($M8282="PADD V","PADD 5","")))))</f>
        <v>PADD 2</v>
      </c>
      <c r="G8282" s="6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6" t="s">
        <v>39</v>
      </c>
      <c r="I8282" s="6" t="s">
        <v>379</v>
      </c>
      <c r="J8282" s="6" t="s">
        <v>398</v>
      </c>
      <c r="K8282" s="10">
        <v>17.5</v>
      </c>
      <c r="L8282" s="10">
        <v>35</v>
      </c>
      <c r="M8282" s="6" t="s">
        <v>425</v>
      </c>
      <c r="N8282" s="6">
        <f>IF(OR($G8282="FCC",$G8282="Hydrocracker",$G8282="Reformer"),IF(COUNTIFS($D:$D,$D8282,$A:$A,$A8282,$B:$B,$B8282,$G:$G,"CDU",$J:$J,"PLANNED")&gt;0,"tied","standalone"),"")</f>
        <v/>
      </c>
    </row>
    <row r="8283" spans="1:14">
      <c r="A8283" s="6">
        <v>2027</v>
      </c>
      <c r="B8283" s="6">
        <v>2</v>
      </c>
      <c r="C8283" s="6" t="s">
        <v>61</v>
      </c>
      <c r="D8283" s="6" t="s">
        <v>812</v>
      </c>
      <c r="E8283" s="6" t="s">
        <v>813</v>
      </c>
      <c r="F8283" s="6" t="str">
        <f>IF($M8283="PADD I","PADD 1",IF($M8283="PADD II","PADD 2",IF($M8283="PADD III","PADD 3",IF($M8283="PADD IV","PADD 4",IF($M8283="PADD V","PADD 5","")))))</f>
        <v>PADD 2</v>
      </c>
      <c r="G8283" s="6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6" t="s">
        <v>39</v>
      </c>
      <c r="I8283" s="6" t="s">
        <v>132</v>
      </c>
      <c r="J8283" s="6" t="s">
        <v>398</v>
      </c>
      <c r="K8283" s="10">
        <v>17.5</v>
      </c>
      <c r="L8283" s="10">
        <v>35</v>
      </c>
      <c r="M8283" s="6" t="s">
        <v>425</v>
      </c>
      <c r="N8283" s="6">
        <f>IF(OR($G8283="FCC",$G8283="Hydrocracker",$G8283="Reformer"),IF(COUNTIFS($D:$D,$D8283,$A:$A,$A8283,$B:$B,$B8283,$G:$G,"CDU",$J:$J,"PLANNED")&gt;0,"tied","standalone"),"")</f>
        <v/>
      </c>
    </row>
    <row r="8284" spans="1:14">
      <c r="A8284" s="6">
        <v>2027</v>
      </c>
      <c r="B8284" s="6">
        <v>2</v>
      </c>
      <c r="C8284" s="6" t="s">
        <v>61</v>
      </c>
      <c r="D8284" s="6" t="s">
        <v>383</v>
      </c>
      <c r="E8284" s="6" t="s">
        <v>602</v>
      </c>
      <c r="F8284" s="6" t="str">
        <f>IF($M8284="PADD I","PADD 1",IF($M8284="PADD II","PADD 2",IF($M8284="PADD III","PADD 3",IF($M8284="PADD IV","PADD 4",IF($M8284="PADD V","PADD 5","")))))</f>
        <v>PADD 3</v>
      </c>
      <c r="G8284" s="6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6" t="s">
        <v>426</v>
      </c>
      <c r="I8284" s="6" t="s">
        <v>663</v>
      </c>
      <c r="J8284" s="6" t="s">
        <v>398</v>
      </c>
      <c r="K8284" s="10">
        <v>17.2</v>
      </c>
      <c r="L8284" s="10">
        <v>20</v>
      </c>
      <c r="M8284" s="6" t="s">
        <v>421</v>
      </c>
      <c r="N8284" s="6" t="str">
        <f>IF(OR($G8284="FCC",$G8284="Hydrocracker",$G8284="Reformer"),IF(COUNTIFS($D:$D,$D8284,$A:$A,$A8284,$B:$B,$B8284,$G:$G,"CDU",$J:$J,"PLANNED")&gt;0,"tied","standalone"),"")</f>
        <v>tied</v>
      </c>
    </row>
    <row r="8285" spans="1:14">
      <c r="A8285" s="6">
        <v>2027</v>
      </c>
      <c r="B8285" s="6">
        <v>2</v>
      </c>
      <c r="C8285" s="6" t="s">
        <v>61</v>
      </c>
      <c r="D8285" s="6" t="s">
        <v>479</v>
      </c>
      <c r="E8285" s="6" t="s">
        <v>438</v>
      </c>
      <c r="F8285" s="6" t="str">
        <f>IF($M8285="PADD I","PADD 1",IF($M8285="PADD II","PADD 2",IF($M8285="PADD III","PADD 3",IF($M8285="PADD IV","PADD 4",IF($M8285="PADD V","PADD 5","")))))</f>
        <v>PADD 4</v>
      </c>
      <c r="G8285" s="6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6" t="s">
        <v>44</v>
      </c>
      <c r="I8285" s="6" t="s">
        <v>564</v>
      </c>
      <c r="J8285" s="6" t="s">
        <v>398</v>
      </c>
      <c r="K8285" s="10">
        <v>16.416</v>
      </c>
      <c r="L8285" s="10">
        <v>17.1</v>
      </c>
      <c r="M8285" s="6" t="s">
        <v>480</v>
      </c>
      <c r="N8285" s="6">
        <f>IF(OR($G8285="FCC",$G8285="Hydrocracker",$G8285="Reformer"),IF(COUNTIFS($D:$D,$D8285,$A:$A,$A8285,$B:$B,$B8285,$G:$G,"CDU",$J:$J,"PLANNED")&gt;0,"tied","standalone"),"")</f>
        <v/>
      </c>
    </row>
    <row r="8286" spans="1:14">
      <c r="A8286" s="6">
        <v>2027</v>
      </c>
      <c r="B8286" s="6">
        <v>2</v>
      </c>
      <c r="C8286" s="6" t="s">
        <v>61</v>
      </c>
      <c r="D8286" s="6" t="s">
        <v>383</v>
      </c>
      <c r="E8286" s="6" t="s">
        <v>602</v>
      </c>
      <c r="F8286" s="6" t="str">
        <f>IF($M8286="PADD I","PADD 1",IF($M8286="PADD II","PADD 2",IF($M8286="PADD III","PADD 3",IF($M8286="PADD IV","PADD 4",IF($M8286="PADD V","PADD 5","")))))</f>
        <v>PADD 3</v>
      </c>
      <c r="G8286" s="6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6" t="s">
        <v>44</v>
      </c>
      <c r="I8286" s="6" t="s">
        <v>657</v>
      </c>
      <c r="J8286" s="6" t="s">
        <v>398</v>
      </c>
      <c r="K8286" s="10">
        <v>16.254</v>
      </c>
      <c r="L8286" s="10">
        <v>18.9</v>
      </c>
      <c r="M8286" s="6" t="s">
        <v>421</v>
      </c>
      <c r="N8286" s="6">
        <f>IF(OR($G8286="FCC",$G8286="Hydrocracker",$G8286="Reformer"),IF(COUNTIFS($D:$D,$D8286,$A:$A,$A8286,$B:$B,$B8286,$G:$G,"CDU",$J:$J,"PLANNED")&gt;0,"tied","standalone"),"")</f>
        <v/>
      </c>
    </row>
    <row r="8287" spans="1:14">
      <c r="A8287" s="6">
        <v>2027</v>
      </c>
      <c r="B8287" s="6">
        <v>2</v>
      </c>
      <c r="C8287" s="6" t="s">
        <v>61</v>
      </c>
      <c r="D8287" s="6" t="s">
        <v>383</v>
      </c>
      <c r="E8287" s="6" t="s">
        <v>602</v>
      </c>
      <c r="F8287" s="6" t="str">
        <f>IF($M8287="PADD I","PADD 1",IF($M8287="PADD II","PADD 2",IF($M8287="PADD III","PADD 3",IF($M8287="PADD IV","PADD 4",IF($M8287="PADD V","PADD 5","")))))</f>
        <v>PADD 3</v>
      </c>
      <c r="G8287" s="6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6" t="s">
        <v>428</v>
      </c>
      <c r="I8287" s="6" t="s">
        <v>605</v>
      </c>
      <c r="J8287" s="6" t="s">
        <v>398</v>
      </c>
      <c r="K8287" s="10">
        <v>15.9358</v>
      </c>
      <c r="L8287" s="10">
        <v>18.53</v>
      </c>
      <c r="M8287" s="6" t="s">
        <v>421</v>
      </c>
      <c r="N8287" s="6">
        <f>IF(OR($G8287="FCC",$G8287="Hydrocracker",$G8287="Reformer"),IF(COUNTIFS($D:$D,$D8287,$A:$A,$A8287,$B:$B,$B8287,$G:$G,"CDU",$J:$J,"PLANNED")&gt;0,"tied","standalone"),"")</f>
        <v/>
      </c>
    </row>
    <row r="8288" spans="1:14">
      <c r="A8288" s="6">
        <v>2027</v>
      </c>
      <c r="B8288" s="6">
        <v>2</v>
      </c>
      <c r="C8288" s="6" t="s">
        <v>61</v>
      </c>
      <c r="D8288" s="6" t="s">
        <v>383</v>
      </c>
      <c r="E8288" s="6" t="s">
        <v>602</v>
      </c>
      <c r="F8288" s="6" t="str">
        <f>IF($M8288="PADD I","PADD 1",IF($M8288="PADD II","PADD 2",IF($M8288="PADD III","PADD 3",IF($M8288="PADD IV","PADD 4",IF($M8288="PADD V","PADD 5","")))))</f>
        <v>PADD 3</v>
      </c>
      <c r="G8288" s="6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6" t="s">
        <v>471</v>
      </c>
      <c r="I8288" s="6" t="s">
        <v>642</v>
      </c>
      <c r="J8288" s="6" t="s">
        <v>398</v>
      </c>
      <c r="K8288" s="10">
        <v>13.76</v>
      </c>
      <c r="L8288" s="10">
        <v>16</v>
      </c>
      <c r="M8288" s="6" t="s">
        <v>421</v>
      </c>
      <c r="N8288" s="6" t="str">
        <f>IF(OR($G8288="FCC",$G8288="Hydrocracker",$G8288="Reformer"),IF(COUNTIFS($D:$D,$D8288,$A:$A,$A8288,$B:$B,$B8288,$G:$G,"CDU",$J:$J,"PLANNED")&gt;0,"tied","standalone"),"")</f>
        <v>tied</v>
      </c>
    </row>
    <row r="8289" spans="1:14">
      <c r="A8289" s="6">
        <v>2027</v>
      </c>
      <c r="B8289" s="6">
        <v>2</v>
      </c>
      <c r="C8289" s="6" t="s">
        <v>61</v>
      </c>
      <c r="D8289" s="6" t="s">
        <v>576</v>
      </c>
      <c r="E8289" s="6" t="s">
        <v>455</v>
      </c>
      <c r="F8289" s="6" t="str">
        <f>IF($M8289="PADD I","PADD 1",IF($M8289="PADD II","PADD 2",IF($M8289="PADD III","PADD 3",IF($M8289="PADD IV","PADD 4",IF($M8289="PADD V","PADD 5","")))))</f>
        <v>PADD 3</v>
      </c>
      <c r="G8289" s="6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6" t="s">
        <v>510</v>
      </c>
      <c r="I8289" s="6" t="s">
        <v>1416</v>
      </c>
      <c r="J8289" s="6" t="s">
        <v>398</v>
      </c>
      <c r="K8289" s="10">
        <v>12.675</v>
      </c>
      <c r="L8289" s="10">
        <v>16.9</v>
      </c>
      <c r="M8289" s="6" t="s">
        <v>421</v>
      </c>
      <c r="N8289" s="6">
        <f>IF(OR($G8289="FCC",$G8289="Hydrocracker",$G8289="Reformer"),IF(COUNTIFS($D:$D,$D8289,$A:$A,$A8289,$B:$B,$B8289,$G:$G,"CDU",$J:$J,"PLANNED")&gt;0,"tied","standalone"),"")</f>
        <v/>
      </c>
    </row>
    <row r="8290" spans="1:14">
      <c r="A8290" s="6">
        <v>2027</v>
      </c>
      <c r="B8290" s="6">
        <v>2</v>
      </c>
      <c r="C8290" s="6" t="s">
        <v>61</v>
      </c>
      <c r="D8290" s="6" t="s">
        <v>382</v>
      </c>
      <c r="E8290" s="6" t="s">
        <v>431</v>
      </c>
      <c r="F8290" s="6" t="str">
        <f>IF($M8290="PADD I","PADD 1",IF($M8290="PADD II","PADD 2",IF($M8290="PADD III","PADD 3",IF($M8290="PADD IV","PADD 4",IF($M8290="PADD V","PADD 5","")))))</f>
        <v>PADD 3</v>
      </c>
      <c r="G8290" s="6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6" t="s">
        <v>510</v>
      </c>
      <c r="I8290" s="6" t="s">
        <v>591</v>
      </c>
      <c r="J8290" s="6" t="s">
        <v>398</v>
      </c>
      <c r="K8290" s="10">
        <v>12.64</v>
      </c>
      <c r="L8290" s="10">
        <v>16</v>
      </c>
      <c r="M8290" s="6" t="s">
        <v>421</v>
      </c>
      <c r="N8290" s="6">
        <f>IF(OR($G8290="FCC",$G8290="Hydrocracker",$G8290="Reformer"),IF(COUNTIFS($D:$D,$D8290,$A:$A,$A8290,$B:$B,$B8290,$G:$G,"CDU",$J:$J,"PLANNED")&gt;0,"tied","standalone"),"")</f>
        <v/>
      </c>
    </row>
    <row r="8291" spans="1:14">
      <c r="A8291" s="6">
        <v>2027</v>
      </c>
      <c r="B8291" s="6">
        <v>2</v>
      </c>
      <c r="C8291" s="6" t="s">
        <v>61</v>
      </c>
      <c r="D8291" s="6" t="s">
        <v>507</v>
      </c>
      <c r="E8291" s="6" t="s">
        <v>438</v>
      </c>
      <c r="F8291" s="6" t="str">
        <f>IF($M8291="PADD I","PADD 1",IF($M8291="PADD II","PADD 2",IF($M8291="PADD III","PADD 3",IF($M8291="PADD IV","PADD 4",IF($M8291="PADD V","PADD 5","")))))</f>
        <v>PADD 5</v>
      </c>
      <c r="G8291" s="6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6" t="s">
        <v>494</v>
      </c>
      <c r="I8291" s="6" t="s">
        <v>14</v>
      </c>
      <c r="J8291" s="6" t="s">
        <v>398</v>
      </c>
      <c r="K8291" s="10">
        <v>12.47</v>
      </c>
      <c r="L8291" s="10">
        <v>43</v>
      </c>
      <c r="M8291" s="6" t="s">
        <v>436</v>
      </c>
      <c r="N8291" s="6" t="str">
        <f>IF(OR($G8291="FCC",$G8291="Hydrocracker",$G8291="Reformer"),IF(COUNTIFS($D:$D,$D8291,$A:$A,$A8291,$B:$B,$B8291,$G:$G,"CDU",$J:$J,"PLANNED")&gt;0,"tied","standalone"),"")</f>
        <v>standalone</v>
      </c>
    </row>
    <row r="8292" spans="1:14">
      <c r="A8292" s="6">
        <v>2027</v>
      </c>
      <c r="B8292" s="6">
        <v>2</v>
      </c>
      <c r="C8292" s="6" t="s">
        <v>61</v>
      </c>
      <c r="D8292" s="6" t="s">
        <v>375</v>
      </c>
      <c r="E8292" s="6" t="s">
        <v>435</v>
      </c>
      <c r="F8292" s="6" t="str">
        <f>IF($M8292="PADD I","PADD 1",IF($M8292="PADD II","PADD 2",IF($M8292="PADD III","PADD 3",IF($M8292="PADD IV","PADD 4",IF($M8292="PADD V","PADD 5","")))))</f>
        <v>PADD 5</v>
      </c>
      <c r="G8292" s="6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6" t="s">
        <v>510</v>
      </c>
      <c r="I8292" s="6" t="s">
        <v>1338</v>
      </c>
      <c r="J8292" s="6" t="s">
        <v>398</v>
      </c>
      <c r="K8292" s="10">
        <v>12</v>
      </c>
      <c r="L8292" s="10">
        <v>12</v>
      </c>
      <c r="M8292" s="6" t="s">
        <v>436</v>
      </c>
      <c r="N8292" s="6">
        <f>IF(OR($G8292="FCC",$G8292="Hydrocracker",$G8292="Reformer"),IF(COUNTIFS($D:$D,$D8292,$A:$A,$A8292,$B:$B,$B8292,$G:$G,"CDU",$J:$J,"PLANNED")&gt;0,"tied","standalone"),"")</f>
        <v/>
      </c>
    </row>
    <row r="8293" spans="1:14">
      <c r="A8293" s="6">
        <v>2027</v>
      </c>
      <c r="B8293" s="6">
        <v>2</v>
      </c>
      <c r="C8293" s="6" t="s">
        <v>61</v>
      </c>
      <c r="D8293" s="6" t="s">
        <v>383</v>
      </c>
      <c r="E8293" s="6" t="s">
        <v>602</v>
      </c>
      <c r="F8293" s="6" t="str">
        <f>IF($M8293="PADD I","PADD 1",IF($M8293="PADD II","PADD 2",IF($M8293="PADD III","PADD 3",IF($M8293="PADD IV","PADD 4",IF($M8293="PADD V","PADD 5","")))))</f>
        <v>PADD 3</v>
      </c>
      <c r="G8293" s="6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6" t="s">
        <v>44</v>
      </c>
      <c r="I8293" s="6" t="s">
        <v>551</v>
      </c>
      <c r="J8293" s="6" t="s">
        <v>398</v>
      </c>
      <c r="K8293" s="10">
        <v>11.61</v>
      </c>
      <c r="L8293" s="10">
        <v>13.5</v>
      </c>
      <c r="M8293" s="6" t="s">
        <v>421</v>
      </c>
      <c r="N8293" s="6">
        <f>IF(OR($G8293="FCC",$G8293="Hydrocracker",$G8293="Reformer"),IF(COUNTIFS($D:$D,$D8293,$A:$A,$A8293,$B:$B,$B8293,$G:$G,"CDU",$J:$J,"PLANNED")&gt;0,"tied","standalone"),"")</f>
        <v/>
      </c>
    </row>
    <row r="8294" spans="1:14">
      <c r="A8294" s="6">
        <v>2027</v>
      </c>
      <c r="B8294" s="6">
        <v>2</v>
      </c>
      <c r="C8294" s="6" t="s">
        <v>61</v>
      </c>
      <c r="D8294" s="6" t="s">
        <v>479</v>
      </c>
      <c r="E8294" s="6" t="s">
        <v>438</v>
      </c>
      <c r="F8294" s="6" t="str">
        <f>IF($M8294="PADD I","PADD 1",IF($M8294="PADD II","PADD 2",IF($M8294="PADD III","PADD 3",IF($M8294="PADD IV","PADD 4",IF($M8294="PADD V","PADD 5","")))))</f>
        <v>PADD 4</v>
      </c>
      <c r="G8294" s="6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6" t="s">
        <v>44</v>
      </c>
      <c r="I8294" s="6" t="s">
        <v>1107</v>
      </c>
      <c r="J8294" s="6" t="s">
        <v>398</v>
      </c>
      <c r="K8294" s="10">
        <v>11.52</v>
      </c>
      <c r="L8294" s="10">
        <v>12</v>
      </c>
      <c r="M8294" s="6" t="s">
        <v>480</v>
      </c>
      <c r="N8294" s="6">
        <f>IF(OR($G8294="FCC",$G8294="Hydrocracker",$G8294="Reformer"),IF(COUNTIFS($D:$D,$D8294,$A:$A,$A8294,$B:$B,$B8294,$G:$G,"CDU",$J:$J,"PLANNED")&gt;0,"tied","standalone"),"")</f>
        <v/>
      </c>
    </row>
    <row r="8295" spans="1:14">
      <c r="A8295" s="6">
        <v>2027</v>
      </c>
      <c r="B8295" s="6">
        <v>2</v>
      </c>
      <c r="C8295" s="6" t="s">
        <v>61</v>
      </c>
      <c r="D8295" s="6" t="s">
        <v>479</v>
      </c>
      <c r="E8295" s="6" t="s">
        <v>438</v>
      </c>
      <c r="F8295" s="6" t="str">
        <f>IF($M8295="PADD I","PADD 1",IF($M8295="PADD II","PADD 2",IF($M8295="PADD III","PADD 3",IF($M8295="PADD IV","PADD 4",IF($M8295="PADD V","PADD 5","")))))</f>
        <v>PADD 4</v>
      </c>
      <c r="G8295" s="6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6" t="s">
        <v>471</v>
      </c>
      <c r="I8295" s="6" t="s">
        <v>1181</v>
      </c>
      <c r="J8295" s="6" t="s">
        <v>398</v>
      </c>
      <c r="K8295" s="10">
        <v>11.52</v>
      </c>
      <c r="L8295" s="10">
        <v>12</v>
      </c>
      <c r="M8295" s="6" t="s">
        <v>480</v>
      </c>
      <c r="N8295" s="6" t="str">
        <f>IF(OR($G8295="FCC",$G8295="Hydrocracker",$G8295="Reformer"),IF(COUNTIFS($D:$D,$D8295,$A:$A,$A8295,$B:$B,$B8295,$G:$G,"CDU",$J:$J,"PLANNED")&gt;0,"tied","standalone"),"")</f>
        <v>tied</v>
      </c>
    </row>
    <row r="8296" spans="1:14">
      <c r="A8296" s="6">
        <v>2027</v>
      </c>
      <c r="B8296" s="6">
        <v>2</v>
      </c>
      <c r="C8296" s="6" t="s">
        <v>61</v>
      </c>
      <c r="D8296" s="6" t="s">
        <v>812</v>
      </c>
      <c r="E8296" s="6" t="s">
        <v>813</v>
      </c>
      <c r="F8296" s="6" t="str">
        <f>IF($M8296="PADD I","PADD 1",IF($M8296="PADD II","PADD 2",IF($M8296="PADD III","PADD 3",IF($M8296="PADD IV","PADD 4",IF($M8296="PADD V","PADD 5","")))))</f>
        <v>PADD 2</v>
      </c>
      <c r="G8296" s="6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6" t="s">
        <v>426</v>
      </c>
      <c r="I8296" s="6" t="s">
        <v>106</v>
      </c>
      <c r="J8296" s="6" t="s">
        <v>398</v>
      </c>
      <c r="K8296" s="10">
        <v>10.5</v>
      </c>
      <c r="L8296" s="10">
        <v>21</v>
      </c>
      <c r="M8296" s="6" t="s">
        <v>425</v>
      </c>
      <c r="N8296" s="6" t="str">
        <f>IF(OR($G8296="FCC",$G8296="Hydrocracker",$G8296="Reformer"),IF(COUNTIFS($D:$D,$D8296,$A:$A,$A8296,$B:$B,$B8296,$G:$G,"CDU",$J:$J,"PLANNED")&gt;0,"tied","standalone"),"")</f>
        <v>tied</v>
      </c>
    </row>
    <row r="8297" spans="1:14">
      <c r="A8297" s="6">
        <v>2027</v>
      </c>
      <c r="B8297" s="6">
        <v>2</v>
      </c>
      <c r="C8297" s="6" t="s">
        <v>61</v>
      </c>
      <c r="D8297" s="6" t="s">
        <v>812</v>
      </c>
      <c r="E8297" s="6" t="s">
        <v>813</v>
      </c>
      <c r="F8297" s="6" t="str">
        <f>IF($M8297="PADD I","PADD 1",IF($M8297="PADD II","PADD 2",IF($M8297="PADD III","PADD 3",IF($M8297="PADD IV","PADD 4",IF($M8297="PADD V","PADD 5","")))))</f>
        <v>PADD 2</v>
      </c>
      <c r="G8297" s="6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6" t="s">
        <v>44</v>
      </c>
      <c r="I8297" s="6" t="s">
        <v>913</v>
      </c>
      <c r="J8297" s="6" t="s">
        <v>398</v>
      </c>
      <c r="K8297" s="10">
        <v>10</v>
      </c>
      <c r="L8297" s="10">
        <v>20</v>
      </c>
      <c r="M8297" s="6" t="s">
        <v>425</v>
      </c>
      <c r="N8297" s="6">
        <f>IF(OR($G8297="FCC",$G8297="Hydrocracker",$G8297="Reformer"),IF(COUNTIFS($D:$D,$D8297,$A:$A,$A8297,$B:$B,$B8297,$G:$G,"CDU",$J:$J,"PLANNED")&gt;0,"tied","standalone"),"")</f>
        <v/>
      </c>
    </row>
    <row r="8298" spans="1:14">
      <c r="A8298" s="6">
        <v>2027</v>
      </c>
      <c r="B8298" s="6">
        <v>2</v>
      </c>
      <c r="C8298" s="6" t="s">
        <v>61</v>
      </c>
      <c r="D8298" s="6" t="s">
        <v>1339</v>
      </c>
      <c r="E8298" s="6" t="s">
        <v>1340</v>
      </c>
      <c r="F8298" s="6" t="str">
        <f>IF($M8298="PADD I","PADD 1",IF($M8298="PADD II","PADD 2",IF($M8298="PADD III","PADD 3",IF($M8298="PADD IV","PADD 4",IF($M8298="PADD V","PADD 5","")))))</f>
        <v>PADD 5</v>
      </c>
      <c r="G8298" s="6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6" t="s">
        <v>39</v>
      </c>
      <c r="I8298" s="6" t="s">
        <v>134</v>
      </c>
      <c r="J8298" s="6" t="s">
        <v>398</v>
      </c>
      <c r="K8298" s="10">
        <v>8.747999999999999</v>
      </c>
      <c r="L8298" s="10">
        <v>24.3</v>
      </c>
      <c r="M8298" s="6" t="s">
        <v>436</v>
      </c>
      <c r="N8298" s="6">
        <f>IF(OR($G8298="FCC",$G8298="Hydrocracker",$G8298="Reformer"),IF(COUNTIFS($D:$D,$D8298,$A:$A,$A8298,$B:$B,$B8298,$G:$G,"CDU",$J:$J,"PLANNED")&gt;0,"tied","standalone"),"")</f>
        <v/>
      </c>
    </row>
    <row r="8299" spans="1:14">
      <c r="A8299" s="6">
        <v>2027</v>
      </c>
      <c r="B8299" s="6">
        <v>2</v>
      </c>
      <c r="C8299" s="6" t="s">
        <v>61</v>
      </c>
      <c r="D8299" s="6" t="s">
        <v>479</v>
      </c>
      <c r="E8299" s="6" t="s">
        <v>438</v>
      </c>
      <c r="F8299" s="6" t="str">
        <f>IF($M8299="PADD I","PADD 1",IF($M8299="PADD II","PADD 2",IF($M8299="PADD III","PADD 3",IF($M8299="PADD IV","PADD 4",IF($M8299="PADD V","PADD 5","")))))</f>
        <v>PADD 4</v>
      </c>
      <c r="G8299" s="6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6" t="s">
        <v>44</v>
      </c>
      <c r="I8299" s="6" t="s">
        <v>1183</v>
      </c>
      <c r="J8299" s="6" t="s">
        <v>398</v>
      </c>
      <c r="K8299" s="10">
        <v>7.68</v>
      </c>
      <c r="L8299" s="10">
        <v>8</v>
      </c>
      <c r="M8299" s="6" t="s">
        <v>480</v>
      </c>
      <c r="N8299" s="6">
        <f>IF(OR($G8299="FCC",$G8299="Hydrocracker",$G8299="Reformer"),IF(COUNTIFS($D:$D,$D8299,$A:$A,$A8299,$B:$B,$B8299,$G:$G,"CDU",$J:$J,"PLANNED")&gt;0,"tied","standalone"),"")</f>
        <v/>
      </c>
    </row>
    <row r="8300" spans="1:14">
      <c r="A8300" s="6">
        <v>2027</v>
      </c>
      <c r="B8300" s="6">
        <v>2</v>
      </c>
      <c r="C8300" s="6" t="s">
        <v>61</v>
      </c>
      <c r="D8300" s="6" t="s">
        <v>812</v>
      </c>
      <c r="E8300" s="6" t="s">
        <v>813</v>
      </c>
      <c r="F8300" s="6" t="str">
        <f>IF($M8300="PADD I","PADD 1",IF($M8300="PADD II","PADD 2",IF($M8300="PADD III","PADD 3",IF($M8300="PADD IV","PADD 4",IF($M8300="PADD V","PADD 5","")))))</f>
        <v>PADD 2</v>
      </c>
      <c r="G8300" s="6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6" t="s">
        <v>471</v>
      </c>
      <c r="I8300" s="6" t="s">
        <v>832</v>
      </c>
      <c r="J8300" s="6" t="s">
        <v>398</v>
      </c>
      <c r="K8300" s="10">
        <v>7.5</v>
      </c>
      <c r="L8300" s="10">
        <v>15</v>
      </c>
      <c r="M8300" s="6" t="s">
        <v>425</v>
      </c>
      <c r="N8300" s="6" t="str">
        <f>IF(OR($G8300="FCC",$G8300="Hydrocracker",$G8300="Reformer"),IF(COUNTIFS($D:$D,$D8300,$A:$A,$A8300,$B:$B,$B8300,$G:$G,"CDU",$J:$J,"PLANNED")&gt;0,"tied","standalone"),"")</f>
        <v>tied</v>
      </c>
    </row>
    <row r="8301" spans="1:14">
      <c r="A8301" s="6">
        <v>2027</v>
      </c>
      <c r="B8301" s="6">
        <v>2</v>
      </c>
      <c r="C8301" s="6" t="s">
        <v>61</v>
      </c>
      <c r="D8301" s="6" t="s">
        <v>383</v>
      </c>
      <c r="E8301" s="6" t="s">
        <v>602</v>
      </c>
      <c r="F8301" s="6" t="str">
        <f>IF($M8301="PADD I","PADD 1",IF($M8301="PADD II","PADD 2",IF($M8301="PADD III","PADD 3",IF($M8301="PADD IV","PADD 4",IF($M8301="PADD V","PADD 5","")))))</f>
        <v>PADD 3</v>
      </c>
      <c r="G8301" s="6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6" t="s">
        <v>687</v>
      </c>
      <c r="I8301" s="6" t="s">
        <v>1437</v>
      </c>
      <c r="J8301" s="6" t="s">
        <v>398</v>
      </c>
      <c r="K8301" s="10">
        <v>7.31</v>
      </c>
      <c r="L8301" s="10">
        <v>8.5</v>
      </c>
      <c r="M8301" s="6" t="s">
        <v>421</v>
      </c>
      <c r="N8301" s="6">
        <f>IF(OR($G8301="FCC",$G8301="Hydrocracker",$G8301="Reformer"),IF(COUNTIFS($D:$D,$D8301,$A:$A,$A8301,$B:$B,$B8301,$G:$G,"CDU",$J:$J,"PLANNED")&gt;0,"tied","standalone"),"")</f>
        <v/>
      </c>
    </row>
    <row r="8302" spans="1:14">
      <c r="A8302" s="6">
        <v>2027</v>
      </c>
      <c r="B8302" s="6">
        <v>2</v>
      </c>
      <c r="C8302" s="6" t="s">
        <v>61</v>
      </c>
      <c r="D8302" s="6" t="s">
        <v>937</v>
      </c>
      <c r="E8302" s="6" t="s">
        <v>455</v>
      </c>
      <c r="F8302" s="6" t="str">
        <f>IF($M8302="PADD I","PADD 1",IF($M8302="PADD II","PADD 2",IF($M8302="PADD III","PADD 3",IF($M8302="PADD IV","PADD 4",IF($M8302="PADD V","PADD 5","")))))</f>
        <v>PADD 3</v>
      </c>
      <c r="G8302" s="6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6" t="s">
        <v>44</v>
      </c>
      <c r="I8302" s="6" t="s">
        <v>1327</v>
      </c>
      <c r="J8302" s="6" t="s">
        <v>398</v>
      </c>
      <c r="K8302" s="10">
        <v>7.2</v>
      </c>
      <c r="L8302" s="10">
        <v>20</v>
      </c>
      <c r="M8302" s="6" t="s">
        <v>421</v>
      </c>
      <c r="N8302" s="6">
        <f>IF(OR($G8302="FCC",$G8302="Hydrocracker",$G8302="Reformer"),IF(COUNTIFS($D:$D,$D8302,$A:$A,$A8302,$B:$B,$B8302,$G:$G,"CDU",$J:$J,"PLANNED")&gt;0,"tied","standalone"),"")</f>
        <v/>
      </c>
    </row>
    <row r="8303" spans="1:14">
      <c r="A8303" s="6">
        <v>2027</v>
      </c>
      <c r="B8303" s="6">
        <v>2</v>
      </c>
      <c r="C8303" s="6" t="s">
        <v>61</v>
      </c>
      <c r="D8303" s="6" t="s">
        <v>937</v>
      </c>
      <c r="E8303" s="6" t="s">
        <v>455</v>
      </c>
      <c r="F8303" s="6" t="str">
        <f>IF($M8303="PADD I","PADD 1",IF($M8303="PADD II","PADD 2",IF($M8303="PADD III","PADD 3",IF($M8303="PADD IV","PADD 4",IF($M8303="PADD V","PADD 5","")))))</f>
        <v>PADD 3</v>
      </c>
      <c r="G8303" s="6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6" t="s">
        <v>44</v>
      </c>
      <c r="I8303" s="6" t="s">
        <v>697</v>
      </c>
      <c r="J8303" s="6" t="s">
        <v>398</v>
      </c>
      <c r="K8303" s="10">
        <v>7.2</v>
      </c>
      <c r="L8303" s="10">
        <v>20</v>
      </c>
      <c r="M8303" s="6" t="s">
        <v>421</v>
      </c>
      <c r="N8303" s="6">
        <f>IF(OR($G8303="FCC",$G8303="Hydrocracker",$G8303="Reformer"),IF(COUNTIFS($D:$D,$D8303,$A:$A,$A8303,$B:$B,$B8303,$G:$G,"CDU",$J:$J,"PLANNED")&gt;0,"tied","standalone"),"")</f>
        <v/>
      </c>
    </row>
    <row r="8304" spans="1:14">
      <c r="A8304" s="6">
        <v>2027</v>
      </c>
      <c r="B8304" s="6">
        <v>2</v>
      </c>
      <c r="C8304" s="6" t="s">
        <v>61</v>
      </c>
      <c r="D8304" s="6" t="s">
        <v>383</v>
      </c>
      <c r="E8304" s="6" t="s">
        <v>602</v>
      </c>
      <c r="F8304" s="6" t="str">
        <f>IF($M8304="PADD I","PADD 1",IF($M8304="PADD II","PADD 2",IF($M8304="PADD III","PADD 3",IF($M8304="PADD IV","PADD 4",IF($M8304="PADD V","PADD 5","")))))</f>
        <v>PADD 3</v>
      </c>
      <c r="G8304" s="6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6" t="s">
        <v>44</v>
      </c>
      <c r="I8304" s="6" t="s">
        <v>669</v>
      </c>
      <c r="J8304" s="6" t="s">
        <v>398</v>
      </c>
      <c r="K8304" s="10">
        <v>6.88</v>
      </c>
      <c r="L8304" s="10">
        <v>8</v>
      </c>
      <c r="M8304" s="6" t="s">
        <v>421</v>
      </c>
      <c r="N8304" s="6">
        <f>IF(OR($G8304="FCC",$G8304="Hydrocracker",$G8304="Reformer"),IF(COUNTIFS($D:$D,$D8304,$A:$A,$A8304,$B:$B,$B8304,$G:$G,"CDU",$J:$J,"PLANNED")&gt;0,"tied","standalone"),"")</f>
        <v/>
      </c>
    </row>
    <row r="8305" spans="1:14">
      <c r="A8305" s="6">
        <v>2027</v>
      </c>
      <c r="B8305" s="6">
        <v>2</v>
      </c>
      <c r="C8305" s="6" t="s">
        <v>61</v>
      </c>
      <c r="D8305" s="6" t="s">
        <v>812</v>
      </c>
      <c r="E8305" s="6" t="s">
        <v>813</v>
      </c>
      <c r="F8305" s="6" t="str">
        <f>IF($M8305="PADD I","PADD 1",IF($M8305="PADD II","PADD 2",IF($M8305="PADD III","PADD 3",IF($M8305="PADD IV","PADD 4",IF($M8305="PADD V","PADD 5","")))))</f>
        <v>PADD 2</v>
      </c>
      <c r="G8305" s="6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6" t="s">
        <v>44</v>
      </c>
      <c r="I8305" s="6" t="s">
        <v>1105</v>
      </c>
      <c r="J8305" s="6" t="s">
        <v>398</v>
      </c>
      <c r="K8305" s="10">
        <v>6.5</v>
      </c>
      <c r="L8305" s="10">
        <v>13</v>
      </c>
      <c r="M8305" s="6" t="s">
        <v>425</v>
      </c>
      <c r="N8305" s="6">
        <f>IF(OR($G8305="FCC",$G8305="Hydrocracker",$G8305="Reformer"),IF(COUNTIFS($D:$D,$D8305,$A:$A,$A8305,$B:$B,$B8305,$G:$G,"CDU",$J:$J,"PLANNED")&gt;0,"tied","standalone"),"")</f>
        <v/>
      </c>
    </row>
    <row r="8306" spans="1:14">
      <c r="A8306" s="6">
        <v>2027</v>
      </c>
      <c r="B8306" s="6">
        <v>2</v>
      </c>
      <c r="C8306" s="6" t="s">
        <v>61</v>
      </c>
      <c r="D8306" s="6" t="s">
        <v>709</v>
      </c>
      <c r="E8306" s="6" t="s">
        <v>710</v>
      </c>
      <c r="F8306" s="6" t="str">
        <f>IF($M8306="PADD I","PADD 1",IF($M8306="PADD II","PADD 2",IF($M8306="PADD III","PADD 3",IF($M8306="PADD IV","PADD 4",IF($M8306="PADD V","PADD 5","")))))</f>
        <v>PADD 3</v>
      </c>
      <c r="G8306" s="6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6" t="s">
        <v>39</v>
      </c>
      <c r="I8306" s="6" t="s">
        <v>82</v>
      </c>
      <c r="J8306" s="6" t="s">
        <v>398</v>
      </c>
      <c r="K8306" s="10">
        <v>6.1</v>
      </c>
      <c r="L8306" s="10">
        <v>10</v>
      </c>
      <c r="M8306" s="6" t="s">
        <v>421</v>
      </c>
      <c r="N8306" s="6">
        <f>IF(OR($G8306="FCC",$G8306="Hydrocracker",$G8306="Reformer"),IF(COUNTIFS($D:$D,$D8306,$A:$A,$A8306,$B:$B,$B8306,$G:$G,"CDU",$J:$J,"PLANNED")&gt;0,"tied","standalone"),"")</f>
        <v/>
      </c>
    </row>
    <row r="8307" spans="1:14">
      <c r="A8307" s="6">
        <v>2027</v>
      </c>
      <c r="B8307" s="6">
        <v>2</v>
      </c>
      <c r="C8307" s="6" t="s">
        <v>61</v>
      </c>
      <c r="D8307" s="6" t="s">
        <v>812</v>
      </c>
      <c r="E8307" s="6" t="s">
        <v>813</v>
      </c>
      <c r="F8307" s="6" t="str">
        <f>IF($M8307="PADD I","PADD 1",IF($M8307="PADD II","PADD 2",IF($M8307="PADD III","PADD 3",IF($M8307="PADD IV","PADD 4",IF($M8307="PADD V","PADD 5","")))))</f>
        <v>PADD 2</v>
      </c>
      <c r="G8307" s="6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6" t="s">
        <v>428</v>
      </c>
      <c r="I8307" s="6" t="s">
        <v>862</v>
      </c>
      <c r="J8307" s="6" t="s">
        <v>398</v>
      </c>
      <c r="K8307" s="10">
        <v>6</v>
      </c>
      <c r="L8307" s="10">
        <v>12</v>
      </c>
      <c r="M8307" s="6" t="s">
        <v>425</v>
      </c>
      <c r="N8307" s="6">
        <f>IF(OR($G8307="FCC",$G8307="Hydrocracker",$G8307="Reformer"),IF(COUNTIFS($D:$D,$D8307,$A:$A,$A8307,$B:$B,$B8307,$G:$G,"CDU",$J:$J,"PLANNED")&gt;0,"tied","standalone"),"")</f>
        <v/>
      </c>
    </row>
    <row r="8308" spans="1:14">
      <c r="A8308" s="6">
        <v>2027</v>
      </c>
      <c r="B8308" s="6">
        <v>2</v>
      </c>
      <c r="C8308" s="6" t="s">
        <v>61</v>
      </c>
      <c r="D8308" s="6" t="s">
        <v>812</v>
      </c>
      <c r="E8308" s="6" t="s">
        <v>813</v>
      </c>
      <c r="F8308" s="6" t="str">
        <f>IF($M8308="PADD I","PADD 1",IF($M8308="PADD II","PADD 2",IF($M8308="PADD III","PADD 3",IF($M8308="PADD IV","PADD 4",IF($M8308="PADD V","PADD 5","")))))</f>
        <v>PADD 2</v>
      </c>
      <c r="G8308" s="6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6" t="s">
        <v>428</v>
      </c>
      <c r="I8308" s="6" t="s">
        <v>1014</v>
      </c>
      <c r="J8308" s="6" t="s">
        <v>398</v>
      </c>
      <c r="K8308" s="10">
        <v>6</v>
      </c>
      <c r="L8308" s="10">
        <v>12</v>
      </c>
      <c r="M8308" s="6" t="s">
        <v>425</v>
      </c>
      <c r="N8308" s="6">
        <f>IF(OR($G8308="FCC",$G8308="Hydrocracker",$G8308="Reformer"),IF(COUNTIFS($D:$D,$D8308,$A:$A,$A8308,$B:$B,$B8308,$G:$G,"CDU",$J:$J,"PLANNED")&gt;0,"tied","standalone"),"")</f>
        <v/>
      </c>
    </row>
    <row r="8309" spans="1:14">
      <c r="A8309" s="6">
        <v>2027</v>
      </c>
      <c r="B8309" s="6">
        <v>2</v>
      </c>
      <c r="C8309" s="6" t="s">
        <v>61</v>
      </c>
      <c r="D8309" s="6" t="s">
        <v>383</v>
      </c>
      <c r="E8309" s="6" t="s">
        <v>602</v>
      </c>
      <c r="F8309" s="6" t="str">
        <f>IF($M8309="PADD I","PADD 1",IF($M8309="PADD II","PADD 2",IF($M8309="PADD III","PADD 3",IF($M8309="PADD IV","PADD 4",IF($M8309="PADD V","PADD 5","")))))</f>
        <v>PADD 3</v>
      </c>
      <c r="G8309" s="6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6" t="s">
        <v>573</v>
      </c>
      <c r="I8309" s="6" t="s">
        <v>574</v>
      </c>
      <c r="J8309" s="6" t="s">
        <v>398</v>
      </c>
      <c r="K8309" s="10">
        <v>5.9598</v>
      </c>
      <c r="L8309" s="10">
        <v>6.93</v>
      </c>
      <c r="M8309" s="6" t="s">
        <v>421</v>
      </c>
      <c r="N8309" s="6">
        <f>IF(OR($G8309="FCC",$G8309="Hydrocracker",$G8309="Reformer"),IF(COUNTIFS($D:$D,$D8309,$A:$A,$A8309,$B:$B,$B8309,$G:$G,"CDU",$J:$J,"PLANNED")&gt;0,"tied","standalone"),"")</f>
        <v/>
      </c>
    </row>
    <row r="8310" spans="1:14">
      <c r="A8310" s="6">
        <v>2027</v>
      </c>
      <c r="B8310" s="6">
        <v>2</v>
      </c>
      <c r="C8310" s="6" t="s">
        <v>61</v>
      </c>
      <c r="D8310" s="6" t="s">
        <v>479</v>
      </c>
      <c r="E8310" s="6" t="s">
        <v>438</v>
      </c>
      <c r="F8310" s="6" t="str">
        <f>IF($M8310="PADD I","PADD 1",IF($M8310="PADD II","PADD 2",IF($M8310="PADD III","PADD 3",IF($M8310="PADD IV","PADD 4",IF($M8310="PADD V","PADD 5","")))))</f>
        <v>PADD 4</v>
      </c>
      <c r="G8310" s="6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6" t="s">
        <v>510</v>
      </c>
      <c r="I8310" s="6" t="s">
        <v>511</v>
      </c>
      <c r="J8310" s="6" t="s">
        <v>398</v>
      </c>
      <c r="K8310" s="10">
        <v>5.76</v>
      </c>
      <c r="L8310" s="10">
        <v>6</v>
      </c>
      <c r="M8310" s="6" t="s">
        <v>480</v>
      </c>
      <c r="N8310" s="6">
        <f>IF(OR($G8310="FCC",$G8310="Hydrocracker",$G8310="Reformer"),IF(COUNTIFS($D:$D,$D8310,$A:$A,$A8310,$B:$B,$B8310,$G:$G,"CDU",$J:$J,"PLANNED")&gt;0,"tied","standalone"),"")</f>
        <v/>
      </c>
    </row>
    <row r="8311" spans="1:14">
      <c r="A8311" s="6">
        <v>2027</v>
      </c>
      <c r="B8311" s="6">
        <v>2</v>
      </c>
      <c r="C8311" s="6" t="s">
        <v>61</v>
      </c>
      <c r="D8311" s="6" t="s">
        <v>937</v>
      </c>
      <c r="E8311" s="6" t="s">
        <v>455</v>
      </c>
      <c r="F8311" s="6" t="str">
        <f>IF($M8311="PADD I","PADD 1",IF($M8311="PADD II","PADD 2",IF($M8311="PADD III","PADD 3",IF($M8311="PADD IV","PADD 4",IF($M8311="PADD V","PADD 5","")))))</f>
        <v>PADD 3</v>
      </c>
      <c r="G8311" s="6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6" t="s">
        <v>687</v>
      </c>
      <c r="I8311" s="6" t="s">
        <v>1328</v>
      </c>
      <c r="J8311" s="6" t="s">
        <v>398</v>
      </c>
      <c r="K8311" s="10">
        <v>5.4</v>
      </c>
      <c r="L8311" s="10">
        <v>15</v>
      </c>
      <c r="M8311" s="6" t="s">
        <v>421</v>
      </c>
      <c r="N8311" s="6">
        <f>IF(OR($G8311="FCC",$G8311="Hydrocracker",$G8311="Reformer"),IF(COUNTIFS($D:$D,$D8311,$A:$A,$A8311,$B:$B,$B8311,$G:$G,"CDU",$J:$J,"PLANNED")&gt;0,"tied","standalone"),"")</f>
        <v/>
      </c>
    </row>
    <row r="8312" spans="1:14">
      <c r="A8312" s="6">
        <v>2027</v>
      </c>
      <c r="B8312" s="6">
        <v>2</v>
      </c>
      <c r="C8312" s="6" t="s">
        <v>61</v>
      </c>
      <c r="D8312" s="6" t="s">
        <v>51</v>
      </c>
      <c r="E8312" s="6" t="s">
        <v>431</v>
      </c>
      <c r="F8312" s="6" t="str">
        <f>IF($M8312="PADD I","PADD 1",IF($M8312="PADD II","PADD 2",IF($M8312="PADD III","PADD 3",IF($M8312="PADD IV","PADD 4",IF($M8312="PADD V","PADD 5","")))))</f>
        <v>PADD 3</v>
      </c>
      <c r="G8312" s="6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6" t="s">
        <v>510</v>
      </c>
      <c r="I8312" s="6" t="s">
        <v>670</v>
      </c>
      <c r="J8312" s="6" t="s">
        <v>398</v>
      </c>
      <c r="K8312" s="10">
        <v>5.25</v>
      </c>
      <c r="L8312" s="10">
        <v>21</v>
      </c>
      <c r="M8312" s="6" t="s">
        <v>421</v>
      </c>
      <c r="N8312" s="6">
        <f>IF(OR($G8312="FCC",$G8312="Hydrocracker",$G8312="Reformer"),IF(COUNTIFS($D:$D,$D8312,$A:$A,$A8312,$B:$B,$B8312,$G:$G,"CDU",$J:$J,"PLANNED")&gt;0,"tied","standalone"),"")</f>
        <v/>
      </c>
    </row>
    <row r="8313" spans="1:14">
      <c r="A8313" s="6">
        <v>2027</v>
      </c>
      <c r="B8313" s="6">
        <v>2</v>
      </c>
      <c r="C8313" s="6" t="s">
        <v>61</v>
      </c>
      <c r="D8313" s="6" t="s">
        <v>383</v>
      </c>
      <c r="E8313" s="6" t="s">
        <v>602</v>
      </c>
      <c r="F8313" s="6" t="str">
        <f>IF($M8313="PADD I","PADD 1",IF($M8313="PADD II","PADD 2",IF($M8313="PADD III","PADD 3",IF($M8313="PADD IV","PADD 4",IF($M8313="PADD V","PADD 5","")))))</f>
        <v>PADD 3</v>
      </c>
      <c r="G8313" s="6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6" t="s">
        <v>618</v>
      </c>
      <c r="I8313" s="6" t="s">
        <v>673</v>
      </c>
      <c r="J8313" s="6" t="s">
        <v>398</v>
      </c>
      <c r="K8313" s="10">
        <v>5.16</v>
      </c>
      <c r="L8313" s="10">
        <v>6</v>
      </c>
      <c r="M8313" s="6" t="s">
        <v>421</v>
      </c>
      <c r="N8313" s="6">
        <f>IF(OR($G8313="FCC",$G8313="Hydrocracker",$G8313="Reformer"),IF(COUNTIFS($D:$D,$D8313,$A:$A,$A8313,$B:$B,$B8313,$G:$G,"CDU",$J:$J,"PLANNED")&gt;0,"tied","standalone"),"")</f>
        <v/>
      </c>
    </row>
    <row r="8314" spans="1:14">
      <c r="A8314" s="6">
        <v>2027</v>
      </c>
      <c r="B8314" s="6">
        <v>2</v>
      </c>
      <c r="C8314" s="6" t="s">
        <v>61</v>
      </c>
      <c r="D8314" s="6" t="s">
        <v>1339</v>
      </c>
      <c r="E8314" s="6" t="s">
        <v>1340</v>
      </c>
      <c r="F8314" s="6" t="str">
        <f>IF($M8314="PADD I","PADD 1",IF($M8314="PADD II","PADD 2",IF($M8314="PADD III","PADD 3",IF($M8314="PADD IV","PADD 4",IF($M8314="PADD V","PADD 5","")))))</f>
        <v>PADD 5</v>
      </c>
      <c r="G8314" s="6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6" t="s">
        <v>428</v>
      </c>
      <c r="I8314" s="6" t="s">
        <v>481</v>
      </c>
      <c r="J8314" s="6" t="s">
        <v>398</v>
      </c>
      <c r="K8314" s="10">
        <v>5.04</v>
      </c>
      <c r="L8314" s="10">
        <v>14</v>
      </c>
      <c r="M8314" s="6" t="s">
        <v>436</v>
      </c>
      <c r="N8314" s="6">
        <f>IF(OR($G8314="FCC",$G8314="Hydrocracker",$G8314="Reformer"),IF(COUNTIFS($D:$D,$D8314,$A:$A,$A8314,$B:$B,$B8314,$G:$G,"CDU",$J:$J,"PLANNED")&gt;0,"tied","standalone"),"")</f>
        <v/>
      </c>
    </row>
    <row r="8315" spans="1:14">
      <c r="A8315" s="6">
        <v>2027</v>
      </c>
      <c r="B8315" s="6">
        <v>2</v>
      </c>
      <c r="C8315" s="6" t="s">
        <v>61</v>
      </c>
      <c r="D8315" s="6" t="s">
        <v>440</v>
      </c>
      <c r="E8315" s="6" t="s">
        <v>441</v>
      </c>
      <c r="F8315" s="6" t="str">
        <f>IF($M8315="PADD I","PADD 1",IF($M8315="PADD II","PADD 2",IF($M8315="PADD III","PADD 3",IF($M8315="PADD IV","PADD 4",IF($M8315="PADD V","PADD 5","")))))</f>
        <v>PADD 3</v>
      </c>
      <c r="G8315" s="6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6" t="s">
        <v>510</v>
      </c>
      <c r="I8315" s="6" t="s">
        <v>1438</v>
      </c>
      <c r="J8315" s="6" t="s">
        <v>398</v>
      </c>
      <c r="K8315" s="10">
        <v>4.88</v>
      </c>
      <c r="L8315" s="10">
        <v>8</v>
      </c>
      <c r="M8315" s="6" t="s">
        <v>421</v>
      </c>
      <c r="N8315" s="6">
        <f>IF(OR($G8315="FCC",$G8315="Hydrocracker",$G8315="Reformer"),IF(COUNTIFS($D:$D,$D8315,$A:$A,$A8315,$B:$B,$B8315,$G:$G,"CDU",$J:$J,"PLANNED")&gt;0,"tied","standalone"),"")</f>
        <v/>
      </c>
    </row>
    <row r="8316" spans="1:14">
      <c r="A8316" s="6">
        <v>2027</v>
      </c>
      <c r="B8316" s="6">
        <v>2</v>
      </c>
      <c r="C8316" s="6" t="s">
        <v>61</v>
      </c>
      <c r="D8316" s="6" t="s">
        <v>507</v>
      </c>
      <c r="E8316" s="6" t="s">
        <v>438</v>
      </c>
      <c r="F8316" s="6" t="str">
        <f>IF($M8316="PADD I","PADD 1",IF($M8316="PADD II","PADD 2",IF($M8316="PADD III","PADD 3",IF($M8316="PADD IV","PADD 4",IF($M8316="PADD V","PADD 5","")))))</f>
        <v>PADD 5</v>
      </c>
      <c r="G8316" s="6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6" t="s">
        <v>44</v>
      </c>
      <c r="I8316" s="6" t="s">
        <v>1435</v>
      </c>
      <c r="J8316" s="6" t="s">
        <v>398</v>
      </c>
      <c r="K8316" s="10">
        <v>4.64</v>
      </c>
      <c r="L8316" s="10">
        <v>16</v>
      </c>
      <c r="M8316" s="6" t="s">
        <v>436</v>
      </c>
      <c r="N8316" s="6">
        <f>IF(OR($G8316="FCC",$G8316="Hydrocracker",$G8316="Reformer"),IF(COUNTIFS($D:$D,$D8316,$A:$A,$A8316,$B:$B,$B8316,$G:$G,"CDU",$J:$J,"PLANNED")&gt;0,"tied","standalone"),"")</f>
        <v/>
      </c>
    </row>
    <row r="8317" spans="1:14">
      <c r="A8317" s="6">
        <v>2027</v>
      </c>
      <c r="B8317" s="6">
        <v>2</v>
      </c>
      <c r="C8317" s="6" t="s">
        <v>61</v>
      </c>
      <c r="D8317" s="6" t="s">
        <v>709</v>
      </c>
      <c r="E8317" s="6" t="s">
        <v>710</v>
      </c>
      <c r="F8317" s="6" t="str">
        <f>IF($M8317="PADD I","PADD 1",IF($M8317="PADD II","PADD 2",IF($M8317="PADD III","PADD 3",IF($M8317="PADD IV","PADD 4",IF($M8317="PADD V","PADD 5","")))))</f>
        <v>PADD 3</v>
      </c>
      <c r="G8317" s="6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6" t="s">
        <v>428</v>
      </c>
      <c r="I8317" s="6" t="s">
        <v>481</v>
      </c>
      <c r="J8317" s="6" t="s">
        <v>398</v>
      </c>
      <c r="K8317" s="10">
        <v>3.965</v>
      </c>
      <c r="L8317" s="10">
        <v>6.5</v>
      </c>
      <c r="M8317" s="6" t="s">
        <v>421</v>
      </c>
      <c r="N8317" s="6">
        <f>IF(OR($G8317="FCC",$G8317="Hydrocracker",$G8317="Reformer"),IF(COUNTIFS($D:$D,$D8317,$A:$A,$A8317,$B:$B,$B8317,$G:$G,"CDU",$J:$J,"PLANNED")&gt;0,"tied","standalone"),"")</f>
        <v/>
      </c>
    </row>
    <row r="8318" spans="1:14">
      <c r="A8318" s="6">
        <v>2027</v>
      </c>
      <c r="B8318" s="6">
        <v>2</v>
      </c>
      <c r="C8318" s="6" t="s">
        <v>61</v>
      </c>
      <c r="D8318" s="6" t="s">
        <v>937</v>
      </c>
      <c r="E8318" s="6" t="s">
        <v>455</v>
      </c>
      <c r="F8318" s="6" t="str">
        <f>IF($M8318="PADD I","PADD 1",IF($M8318="PADD II","PADD 2",IF($M8318="PADD III","PADD 3",IF($M8318="PADD IV","PADD 4",IF($M8318="PADD V","PADD 5","")))))</f>
        <v>PADD 3</v>
      </c>
      <c r="G8318" s="6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6" t="s">
        <v>44</v>
      </c>
      <c r="I8318" s="6" t="s">
        <v>1330</v>
      </c>
      <c r="J8318" s="6" t="s">
        <v>398</v>
      </c>
      <c r="K8318" s="10">
        <v>3.6</v>
      </c>
      <c r="L8318" s="10">
        <v>10</v>
      </c>
      <c r="M8318" s="6" t="s">
        <v>421</v>
      </c>
      <c r="N8318" s="6">
        <f>IF(OR($G8318="FCC",$G8318="Hydrocracker",$G8318="Reformer"),IF(COUNTIFS($D:$D,$D8318,$A:$A,$A8318,$B:$B,$B8318,$G:$G,"CDU",$J:$J,"PLANNED")&gt;0,"tied","standalone"),"")</f>
        <v/>
      </c>
    </row>
    <row r="8319" spans="1:14">
      <c r="A8319" s="6">
        <v>2027</v>
      </c>
      <c r="B8319" s="6">
        <v>2</v>
      </c>
      <c r="C8319" s="6" t="s">
        <v>61</v>
      </c>
      <c r="D8319" s="6" t="s">
        <v>937</v>
      </c>
      <c r="E8319" s="6" t="s">
        <v>455</v>
      </c>
      <c r="F8319" s="6" t="str">
        <f>IF($M8319="PADD I","PADD 1",IF($M8319="PADD II","PADD 2",IF($M8319="PADD III","PADD 3",IF($M8319="PADD IV","PADD 4",IF($M8319="PADD V","PADD 5","")))))</f>
        <v>PADD 3</v>
      </c>
      <c r="G8319" s="6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6" t="s">
        <v>471</v>
      </c>
      <c r="I8319" s="6" t="s">
        <v>609</v>
      </c>
      <c r="J8319" s="6" t="s">
        <v>398</v>
      </c>
      <c r="K8319" s="10">
        <v>3.6</v>
      </c>
      <c r="L8319" s="10">
        <v>10</v>
      </c>
      <c r="M8319" s="6" t="s">
        <v>421</v>
      </c>
      <c r="N8319" s="6" t="str">
        <f>IF(OR($G8319="FCC",$G8319="Hydrocracker",$G8319="Reformer"),IF(COUNTIFS($D:$D,$D8319,$A:$A,$A8319,$B:$B,$B8319,$G:$G,"CDU",$J:$J,"PLANNED")&gt;0,"tied","standalone"),"")</f>
        <v>tied</v>
      </c>
    </row>
    <row r="8320" spans="1:14">
      <c r="A8320" s="6">
        <v>2027</v>
      </c>
      <c r="B8320" s="6">
        <v>2</v>
      </c>
      <c r="C8320" s="6" t="s">
        <v>61</v>
      </c>
      <c r="D8320" s="6" t="s">
        <v>382</v>
      </c>
      <c r="E8320" s="6" t="s">
        <v>431</v>
      </c>
      <c r="F8320" s="6" t="str">
        <f>IF($M8320="PADD I","PADD 1",IF($M8320="PADD II","PADD 2",IF($M8320="PADD III","PADD 3",IF($M8320="PADD IV","PADD 4",IF($M8320="PADD V","PADD 5","")))))</f>
        <v>PADD 3</v>
      </c>
      <c r="G8320" s="6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6" t="s">
        <v>947</v>
      </c>
      <c r="I8320" s="6" t="s">
        <v>1310</v>
      </c>
      <c r="J8320" s="6" t="s">
        <v>398</v>
      </c>
      <c r="K8320" s="10">
        <v>3.555</v>
      </c>
      <c r="L8320" s="10">
        <v>4.5</v>
      </c>
      <c r="M8320" s="6" t="s">
        <v>421</v>
      </c>
      <c r="N8320" s="6">
        <f>IF(OR($G8320="FCC",$G8320="Hydrocracker",$G8320="Reformer"),IF(COUNTIFS($D:$D,$D8320,$A:$A,$A8320,$B:$B,$B8320,$G:$G,"CDU",$J:$J,"PLANNED")&gt;0,"tied","standalone"),"")</f>
        <v/>
      </c>
    </row>
    <row r="8321" spans="1:14">
      <c r="A8321" s="6">
        <v>2027</v>
      </c>
      <c r="B8321" s="6">
        <v>2</v>
      </c>
      <c r="C8321" s="6" t="s">
        <v>61</v>
      </c>
      <c r="D8321" s="6" t="s">
        <v>792</v>
      </c>
      <c r="E8321" s="6" t="s">
        <v>438</v>
      </c>
      <c r="F8321" s="6" t="str">
        <f>IF($M8321="PADD I","PADD 1",IF($M8321="PADD II","PADD 2",IF($M8321="PADD III","PADD 3",IF($M8321="PADD IV","PADD 4",IF($M8321="PADD V","PADD 5","")))))</f>
        <v>PADD 5</v>
      </c>
      <c r="G8321" s="6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6" t="s">
        <v>618</v>
      </c>
      <c r="I8321" s="6" t="s">
        <v>818</v>
      </c>
      <c r="J8321" s="6" t="s">
        <v>398</v>
      </c>
      <c r="K8321" s="10">
        <v>3.5</v>
      </c>
      <c r="L8321" s="10">
        <v>3.5</v>
      </c>
      <c r="M8321" s="6" t="s">
        <v>436</v>
      </c>
      <c r="N8321" s="6">
        <f>IF(OR($G8321="FCC",$G8321="Hydrocracker",$G8321="Reformer"),IF(COUNTIFS($D:$D,$D8321,$A:$A,$A8321,$B:$B,$B8321,$G:$G,"CDU",$J:$J,"PLANNED")&gt;0,"tied","standalone"),"")</f>
        <v/>
      </c>
    </row>
    <row r="8322" spans="1:14">
      <c r="A8322" s="6">
        <v>2027</v>
      </c>
      <c r="B8322" s="6">
        <v>2</v>
      </c>
      <c r="C8322" s="6" t="s">
        <v>61</v>
      </c>
      <c r="D8322" s="6" t="s">
        <v>383</v>
      </c>
      <c r="E8322" s="6" t="s">
        <v>602</v>
      </c>
      <c r="F8322" s="6" t="str">
        <f>IF($M8322="PADD I","PADD 1",IF($M8322="PADD II","PADD 2",IF($M8322="PADD III","PADD 3",IF($M8322="PADD IV","PADD 4",IF($M8322="PADD V","PADD 5","")))))</f>
        <v>PADD 3</v>
      </c>
      <c r="G8322" s="6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6" t="s">
        <v>510</v>
      </c>
      <c r="I8322" s="6" t="s">
        <v>511</v>
      </c>
      <c r="J8322" s="6" t="s">
        <v>398</v>
      </c>
      <c r="K8322" s="10">
        <v>3.44</v>
      </c>
      <c r="L8322" s="10">
        <v>4</v>
      </c>
      <c r="M8322" s="6" t="s">
        <v>421</v>
      </c>
      <c r="N8322" s="6">
        <f>IF(OR($G8322="FCC",$G8322="Hydrocracker",$G8322="Reformer"),IF(COUNTIFS($D:$D,$D8322,$A:$A,$A8322,$B:$B,$B8322,$G:$G,"CDU",$J:$J,"PLANNED")&gt;0,"tied","standalone"),"")</f>
        <v/>
      </c>
    </row>
    <row r="8323" spans="1:14">
      <c r="A8323" s="6">
        <v>2027</v>
      </c>
      <c r="B8323" s="6">
        <v>2</v>
      </c>
      <c r="C8323" s="6" t="s">
        <v>61</v>
      </c>
      <c r="D8323" s="6" t="s">
        <v>507</v>
      </c>
      <c r="E8323" s="6" t="s">
        <v>438</v>
      </c>
      <c r="F8323" s="6" t="str">
        <f>IF($M8323="PADD I","PADD 1",IF($M8323="PADD II","PADD 2",IF($M8323="PADD III","PADD 3",IF($M8323="PADD IV","PADD 4",IF($M8323="PADD V","PADD 5","")))))</f>
        <v>PADD 5</v>
      </c>
      <c r="G8323" s="6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6" t="s">
        <v>471</v>
      </c>
      <c r="I8323" s="6" t="s">
        <v>1153</v>
      </c>
      <c r="J8323" s="6" t="s">
        <v>398</v>
      </c>
      <c r="K8323" s="10">
        <v>2.9</v>
      </c>
      <c r="L8323" s="10">
        <v>10</v>
      </c>
      <c r="M8323" s="6" t="s">
        <v>436</v>
      </c>
      <c r="N8323" s="6" t="str">
        <f>IF(OR($G8323="FCC",$G8323="Hydrocracker",$G8323="Reformer"),IF(COUNTIFS($D:$D,$D8323,$A:$A,$A8323,$B:$B,$B8323,$G:$G,"CDU",$J:$J,"PLANNED")&gt;0,"tied","standalone"),"")</f>
        <v>standalone</v>
      </c>
    </row>
    <row r="8324" spans="1:14">
      <c r="A8324" s="6">
        <v>2027</v>
      </c>
      <c r="B8324" s="6">
        <v>2</v>
      </c>
      <c r="C8324" s="6" t="s">
        <v>61</v>
      </c>
      <c r="D8324" s="6" t="s">
        <v>501</v>
      </c>
      <c r="E8324" s="6" t="s">
        <v>502</v>
      </c>
      <c r="F8324" s="6" t="str">
        <f>IF($M8324="PADD I","PADD 1",IF($M8324="PADD II","PADD 2",IF($M8324="PADD III","PADD 3",IF($M8324="PADD IV","PADD 4",IF($M8324="PADD V","PADD 5","")))))</f>
        <v>PADD 2</v>
      </c>
      <c r="G8324" s="6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6" t="s">
        <v>510</v>
      </c>
      <c r="I8324" s="6" t="s">
        <v>511</v>
      </c>
      <c r="J8324" s="6" t="s">
        <v>398</v>
      </c>
      <c r="K8324" s="10">
        <v>2.58</v>
      </c>
      <c r="L8324" s="10">
        <v>3</v>
      </c>
      <c r="M8324" s="6" t="s">
        <v>425</v>
      </c>
      <c r="N8324" s="6">
        <f>IF(OR($G8324="FCC",$G8324="Hydrocracker",$G8324="Reformer"),IF(COUNTIFS($D:$D,$D8324,$A:$A,$A8324,$B:$B,$B8324,$G:$G,"CDU",$J:$J,"PLANNED")&gt;0,"tied","standalone"),"")</f>
        <v/>
      </c>
    </row>
    <row r="8325" spans="1:14">
      <c r="A8325" s="6">
        <v>2027</v>
      </c>
      <c r="B8325" s="6">
        <v>2</v>
      </c>
      <c r="C8325" s="6" t="s">
        <v>61</v>
      </c>
      <c r="D8325" s="6" t="s">
        <v>812</v>
      </c>
      <c r="E8325" s="6" t="s">
        <v>813</v>
      </c>
      <c r="F8325" s="6" t="str">
        <f>IF($M8325="PADD I","PADD 1",IF($M8325="PADD II","PADD 2",IF($M8325="PADD III","PADD 3",IF($M8325="PADD IV","PADD 4",IF($M8325="PADD V","PADD 5","")))))</f>
        <v>PADD 2</v>
      </c>
      <c r="G8325" s="6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6" t="s">
        <v>510</v>
      </c>
      <c r="I8325" s="6" t="s">
        <v>666</v>
      </c>
      <c r="J8325" s="6" t="s">
        <v>398</v>
      </c>
      <c r="K8325" s="10">
        <v>2.5</v>
      </c>
      <c r="L8325" s="10">
        <v>5</v>
      </c>
      <c r="M8325" s="6" t="s">
        <v>425</v>
      </c>
      <c r="N8325" s="6">
        <f>IF(OR($G8325="FCC",$G8325="Hydrocracker",$G8325="Reformer"),IF(COUNTIFS($D:$D,$D8325,$A:$A,$A8325,$B:$B,$B8325,$G:$G,"CDU",$J:$J,"PLANNED")&gt;0,"tied","standalone"),"")</f>
        <v/>
      </c>
    </row>
    <row r="8326" spans="1:14">
      <c r="A8326" s="6">
        <v>2027</v>
      </c>
      <c r="B8326" s="6">
        <v>2</v>
      </c>
      <c r="C8326" s="6" t="s">
        <v>61</v>
      </c>
      <c r="D8326" s="6" t="s">
        <v>937</v>
      </c>
      <c r="E8326" s="6" t="s">
        <v>455</v>
      </c>
      <c r="F8326" s="6" t="str">
        <f>IF($M8326="PADD I","PADD 1",IF($M8326="PADD II","PADD 2",IF($M8326="PADD III","PADD 3",IF($M8326="PADD IV","PADD 4",IF($M8326="PADD V","PADD 5","")))))</f>
        <v>PADD 3</v>
      </c>
      <c r="G8326" s="6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6" t="s">
        <v>39</v>
      </c>
      <c r="I8326" s="6" t="s">
        <v>1334</v>
      </c>
      <c r="J8326" s="6" t="s">
        <v>398</v>
      </c>
      <c r="K8326" s="10">
        <v>2.05</v>
      </c>
      <c r="L8326" s="10">
        <v>2.5</v>
      </c>
      <c r="M8326" s="6" t="s">
        <v>421</v>
      </c>
      <c r="N8326" s="6">
        <f>IF(OR($G8326="FCC",$G8326="Hydrocracker",$G8326="Reformer"),IF(COUNTIFS($D:$D,$D8326,$A:$A,$A8326,$B:$B,$B8326,$G:$G,"CDU",$J:$J,"PLANNED")&gt;0,"tied","standalone"),"")</f>
        <v/>
      </c>
    </row>
    <row r="8327" spans="1:14">
      <c r="A8327" s="6">
        <v>2027</v>
      </c>
      <c r="B8327" s="6">
        <v>2</v>
      </c>
      <c r="C8327" s="6" t="s">
        <v>61</v>
      </c>
      <c r="D8327" s="6" t="s">
        <v>1339</v>
      </c>
      <c r="E8327" s="6" t="s">
        <v>1340</v>
      </c>
      <c r="F8327" s="6" t="str">
        <f>IF($M8327="PADD I","PADD 1",IF($M8327="PADD II","PADD 2",IF($M8327="PADD III","PADD 3",IF($M8327="PADD IV","PADD 4",IF($M8327="PADD V","PADD 5","")))))</f>
        <v>PADD 5</v>
      </c>
      <c r="G8327" s="6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6" t="s">
        <v>44</v>
      </c>
      <c r="I8327" s="6" t="s">
        <v>834</v>
      </c>
      <c r="J8327" s="6" t="s">
        <v>398</v>
      </c>
      <c r="K8327" s="10">
        <v>1.08</v>
      </c>
      <c r="L8327" s="10">
        <v>3</v>
      </c>
      <c r="M8327" s="6" t="s">
        <v>436</v>
      </c>
      <c r="N8327" s="6">
        <f>IF(OR($G8327="FCC",$G8327="Hydrocracker",$G8327="Reformer"),IF(COUNTIFS($D:$D,$D8327,$A:$A,$A8327,$B:$B,$B8327,$G:$G,"CDU",$J:$J,"PLANNED")&gt;0,"tied","standalone"),"")</f>
        <v/>
      </c>
    </row>
    <row r="8328" spans="1:14">
      <c r="A8328" s="6">
        <v>2027</v>
      </c>
      <c r="B8328" s="6">
        <v>2</v>
      </c>
      <c r="C8328" s="6" t="s">
        <v>61</v>
      </c>
      <c r="D8328" s="6" t="s">
        <v>1339</v>
      </c>
      <c r="E8328" s="6" t="s">
        <v>1340</v>
      </c>
      <c r="F8328" s="6" t="str">
        <f>IF($M8328="PADD I","PADD 1",IF($M8328="PADD II","PADD 2",IF($M8328="PADD III","PADD 3",IF($M8328="PADD IV","PADD 4",IF($M8328="PADD V","PADD 5","")))))</f>
        <v>PADD 5</v>
      </c>
      <c r="G8328" s="6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6" t="s">
        <v>687</v>
      </c>
      <c r="I8328" s="6" t="s">
        <v>954</v>
      </c>
      <c r="J8328" s="6" t="s">
        <v>398</v>
      </c>
      <c r="K8328" s="10">
        <v>0.72</v>
      </c>
      <c r="L8328" s="10">
        <v>2</v>
      </c>
      <c r="M8328" s="6" t="s">
        <v>436</v>
      </c>
      <c r="N8328" s="6">
        <f>IF(OR($G8328="FCC",$G8328="Hydrocracker",$G8328="Reformer"),IF(COUNTIFS($D:$D,$D8328,$A:$A,$A8328,$B:$B,$B8328,$G:$G,"CDU",$J:$J,"PLANNED")&gt;0,"tied","standalone"),"")</f>
        <v/>
      </c>
    </row>
    <row r="8329" spans="1:14">
      <c r="A8329" s="6">
        <v>2027</v>
      </c>
      <c r="B8329" s="6">
        <v>3</v>
      </c>
      <c r="C8329" s="6" t="s">
        <v>62</v>
      </c>
      <c r="D8329" s="6" t="s">
        <v>51</v>
      </c>
      <c r="E8329" s="6" t="s">
        <v>431</v>
      </c>
      <c r="F8329" s="6" t="str">
        <f>IF($M8329="PADD I","PADD 1",IF($M8329="PADD II","PADD 2",IF($M8329="PADD III","PADD 3",IF($M8329="PADD IV","PADD 4",IF($M8329="PADD V","PADD 5","")))))</f>
        <v>PADD 3</v>
      </c>
      <c r="G8329" s="6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6" t="s">
        <v>426</v>
      </c>
      <c r="I8329" s="6" t="s">
        <v>103</v>
      </c>
      <c r="J8329" s="6" t="s">
        <v>398</v>
      </c>
      <c r="K8329" s="10">
        <v>125</v>
      </c>
      <c r="L8329" s="10">
        <v>125</v>
      </c>
      <c r="M8329" s="6" t="s">
        <v>421</v>
      </c>
      <c r="N8329" s="6" t="str">
        <f>IF(OR($G8329="FCC",$G8329="Hydrocracker",$G8329="Reformer"),IF(COUNTIFS($D:$D,$D8329,$A:$A,$A8329,$B:$B,$B8329,$G:$G,"CDU",$J:$J,"PLANNED")&gt;0,"tied","standalone"),"")</f>
        <v>standalone</v>
      </c>
    </row>
    <row r="8330" spans="1:14">
      <c r="A8330" s="6">
        <v>2027</v>
      </c>
      <c r="B8330" s="6">
        <v>3</v>
      </c>
      <c r="C8330" s="6" t="s">
        <v>62</v>
      </c>
      <c r="D8330" s="6" t="s">
        <v>54</v>
      </c>
      <c r="E8330" s="6" t="s">
        <v>593</v>
      </c>
      <c r="F8330" s="6" t="str">
        <f>IF($M8330="PADD I","PADD 1",IF($M8330="PADD II","PADD 2",IF($M8330="PADD III","PADD 3",IF($M8330="PADD IV","PADD 4",IF($M8330="PADD V","PADD 5","")))))</f>
        <v>PADD 5</v>
      </c>
      <c r="G8330" s="6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6" t="s">
        <v>39</v>
      </c>
      <c r="I8330" s="6" t="s">
        <v>82</v>
      </c>
      <c r="J8330" s="6" t="s">
        <v>398</v>
      </c>
      <c r="K8330" s="10">
        <v>120</v>
      </c>
      <c r="L8330" s="10">
        <v>250</v>
      </c>
      <c r="M8330" s="6" t="s">
        <v>436</v>
      </c>
      <c r="N8330" s="6">
        <f>IF(OR($G8330="FCC",$G8330="Hydrocracker",$G8330="Reformer"),IF(COUNTIFS($D:$D,$D8330,$A:$A,$A8330,$B:$B,$B8330,$G:$G,"CDU",$J:$J,"PLANNED")&gt;0,"tied","standalone"),"")</f>
        <v/>
      </c>
    </row>
    <row r="8331" spans="1:14">
      <c r="A8331" s="6">
        <v>2027</v>
      </c>
      <c r="B8331" s="6">
        <v>3</v>
      </c>
      <c r="C8331" s="6" t="s">
        <v>62</v>
      </c>
      <c r="D8331" s="6" t="s">
        <v>384</v>
      </c>
      <c r="E8331" s="6" t="s">
        <v>419</v>
      </c>
      <c r="F8331" s="6" t="str">
        <f>IF($M8331="PADD I","PADD 1",IF($M8331="PADD II","PADD 2",IF($M8331="PADD III","PADD 3",IF($M8331="PADD IV","PADD 4",IF($M8331="PADD V","PADD 5","")))))</f>
        <v>PADD 3</v>
      </c>
      <c r="G8331" s="6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6" t="s">
        <v>39</v>
      </c>
      <c r="I8331" s="6" t="s">
        <v>118</v>
      </c>
      <c r="J8331" s="6" t="s">
        <v>398</v>
      </c>
      <c r="K8331" s="10">
        <v>87.87</v>
      </c>
      <c r="L8331" s="10">
        <v>101</v>
      </c>
      <c r="M8331" s="6" t="s">
        <v>421</v>
      </c>
      <c r="N8331" s="6">
        <f>IF(OR($G8331="FCC",$G8331="Hydrocracker",$G8331="Reformer"),IF(COUNTIFS($D:$D,$D8331,$A:$A,$A8331,$B:$B,$B8331,$G:$G,"CDU",$J:$J,"PLANNED")&gt;0,"tied","standalone"),"")</f>
        <v/>
      </c>
    </row>
    <row r="8332" spans="1:14">
      <c r="A8332" s="6">
        <v>2027</v>
      </c>
      <c r="B8332" s="6">
        <v>3</v>
      </c>
      <c r="C8332" s="6" t="s">
        <v>62</v>
      </c>
      <c r="D8332" s="6" t="s">
        <v>720</v>
      </c>
      <c r="E8332" s="6" t="s">
        <v>455</v>
      </c>
      <c r="F8332" s="6" t="str">
        <f>IF($M8332="PADD I","PADD 1",IF($M8332="PADD II","PADD 2",IF($M8332="PADD III","PADD 3",IF($M8332="PADD IV","PADD 4",IF($M8332="PADD V","PADD 5","")))))</f>
        <v>PADD 2</v>
      </c>
      <c r="G8332" s="6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6" t="s">
        <v>39</v>
      </c>
      <c r="I8332" s="6" t="s">
        <v>139</v>
      </c>
      <c r="J8332" s="6" t="s">
        <v>398</v>
      </c>
      <c r="K8332" s="10">
        <v>80</v>
      </c>
      <c r="L8332" s="10">
        <v>80</v>
      </c>
      <c r="M8332" s="6" t="s">
        <v>425</v>
      </c>
      <c r="N8332" s="6">
        <f>IF(OR($G8332="FCC",$G8332="Hydrocracker",$G8332="Reformer"),IF(COUNTIFS($D:$D,$D8332,$A:$A,$A8332,$B:$B,$B8332,$G:$G,"CDU",$J:$J,"PLANNED")&gt;0,"tied","standalone"),"")</f>
        <v/>
      </c>
    </row>
    <row r="8333" spans="1:14">
      <c r="A8333" s="6">
        <v>2027</v>
      </c>
      <c r="B8333" s="6">
        <v>3</v>
      </c>
      <c r="C8333" s="6" t="s">
        <v>62</v>
      </c>
      <c r="D8333" s="6" t="s">
        <v>383</v>
      </c>
      <c r="E8333" s="6" t="s">
        <v>602</v>
      </c>
      <c r="F8333" s="6" t="str">
        <f>IF($M8333="PADD I","PADD 1",IF($M8333="PADD II","PADD 2",IF($M8333="PADD III","PADD 3",IF($M8333="PADD IV","PADD 4",IF($M8333="PADD V","PADD 5","")))))</f>
        <v>PADD 3</v>
      </c>
      <c r="G8333" s="6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6" t="s">
        <v>39</v>
      </c>
      <c r="I8333" s="6" t="s">
        <v>138</v>
      </c>
      <c r="J8333" s="6" t="s">
        <v>398</v>
      </c>
      <c r="K8333" s="10">
        <v>80</v>
      </c>
      <c r="L8333" s="10">
        <v>80</v>
      </c>
      <c r="M8333" s="6" t="s">
        <v>421</v>
      </c>
      <c r="N8333" s="6">
        <f>IF(OR($G8333="FCC",$G8333="Hydrocracker",$G8333="Reformer"),IF(COUNTIFS($D:$D,$D8333,$A:$A,$A8333,$B:$B,$B8333,$G:$G,"CDU",$J:$J,"PLANNED")&gt;0,"tied","standalone"),"")</f>
        <v/>
      </c>
    </row>
    <row r="8334" spans="1:14">
      <c r="A8334" s="6">
        <v>2027</v>
      </c>
      <c r="B8334" s="6">
        <v>3</v>
      </c>
      <c r="C8334" s="6" t="s">
        <v>62</v>
      </c>
      <c r="D8334" s="6" t="s">
        <v>440</v>
      </c>
      <c r="E8334" s="6" t="s">
        <v>441</v>
      </c>
      <c r="F8334" s="6" t="str">
        <f>IF($M8334="PADD I","PADD 1",IF($M8334="PADD II","PADD 2",IF($M8334="PADD III","PADD 3",IF($M8334="PADD IV","PADD 4",IF($M8334="PADD V","PADD 5","")))))</f>
        <v>PADD 3</v>
      </c>
      <c r="G8334" s="6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6" t="s">
        <v>426</v>
      </c>
      <c r="I8334" s="6" t="s">
        <v>141</v>
      </c>
      <c r="J8334" s="6" t="s">
        <v>398</v>
      </c>
      <c r="K8334" s="10">
        <v>70.875</v>
      </c>
      <c r="L8334" s="10">
        <v>78.75</v>
      </c>
      <c r="M8334" s="6" t="s">
        <v>421</v>
      </c>
      <c r="N8334" s="6" t="str">
        <f>IF(OR($G8334="FCC",$G8334="Hydrocracker",$G8334="Reformer"),IF(COUNTIFS($D:$D,$D8334,$A:$A,$A8334,$B:$B,$B8334,$G:$G,"CDU",$J:$J,"PLANNED")&gt;0,"tied","standalone"),"")</f>
        <v>standalone</v>
      </c>
    </row>
    <row r="8335" spans="1:14">
      <c r="A8335" s="6">
        <v>2027</v>
      </c>
      <c r="B8335" s="6">
        <v>3</v>
      </c>
      <c r="C8335" s="6" t="s">
        <v>62</v>
      </c>
      <c r="D8335" s="6" t="s">
        <v>371</v>
      </c>
      <c r="E8335" s="6" t="s">
        <v>419</v>
      </c>
      <c r="F8335" s="6" t="str">
        <f>IF($M8335="PADD I","PADD 1",IF($M8335="PADD II","PADD 2",IF($M8335="PADD III","PADD 3",IF($M8335="PADD IV","PADD 4",IF($M8335="PADD V","PADD 5","")))))</f>
        <v>PADD 2</v>
      </c>
      <c r="G8335" s="6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6" t="s">
        <v>39</v>
      </c>
      <c r="I8335" s="6" t="s">
        <v>961</v>
      </c>
      <c r="J8335" s="6" t="s">
        <v>398</v>
      </c>
      <c r="K8335" s="10">
        <v>65.25</v>
      </c>
      <c r="L8335" s="10">
        <v>75</v>
      </c>
      <c r="M8335" s="6" t="s">
        <v>425</v>
      </c>
      <c r="N8335" s="6">
        <f>IF(OR($G8335="FCC",$G8335="Hydrocracker",$G8335="Reformer"),IF(COUNTIFS($D:$D,$D8335,$A:$A,$A8335,$B:$B,$B8335,$G:$G,"CDU",$J:$J,"PLANNED")&gt;0,"tied","standalone"),"")</f>
        <v/>
      </c>
    </row>
    <row r="8336" spans="1:14">
      <c r="A8336" s="6">
        <v>2027</v>
      </c>
      <c r="B8336" s="6">
        <v>3</v>
      </c>
      <c r="C8336" s="6" t="s">
        <v>62</v>
      </c>
      <c r="D8336" s="6" t="s">
        <v>626</v>
      </c>
      <c r="E8336" s="6" t="s">
        <v>419</v>
      </c>
      <c r="F8336" s="6" t="str">
        <f>IF($M8336="PADD I","PADD 1",IF($M8336="PADD II","PADD 2",IF($M8336="PADD III","PADD 3",IF($M8336="PADD IV","PADD 4",IF($M8336="PADD V","PADD 5","")))))</f>
        <v>PADD 3</v>
      </c>
      <c r="G8336" s="6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6" t="s">
        <v>39</v>
      </c>
      <c r="I8336" s="6" t="s">
        <v>381</v>
      </c>
      <c r="J8336" s="6" t="s">
        <v>398</v>
      </c>
      <c r="K8336" s="10">
        <v>60.9</v>
      </c>
      <c r="L8336" s="10">
        <v>70</v>
      </c>
      <c r="M8336" s="6" t="s">
        <v>421</v>
      </c>
      <c r="N8336" s="6">
        <f>IF(OR($G8336="FCC",$G8336="Hydrocracker",$G8336="Reformer"),IF(COUNTIFS($D:$D,$D8336,$A:$A,$A8336,$B:$B,$B8336,$G:$G,"CDU",$J:$J,"PLANNED")&gt;0,"tied","standalone"),"")</f>
        <v/>
      </c>
    </row>
    <row r="8337" spans="1:14">
      <c r="A8337" s="6">
        <v>2027</v>
      </c>
      <c r="B8337" s="6">
        <v>3</v>
      </c>
      <c r="C8337" s="6" t="s">
        <v>62</v>
      </c>
      <c r="D8337" s="6" t="s">
        <v>730</v>
      </c>
      <c r="E8337" s="6" t="s">
        <v>731</v>
      </c>
      <c r="F8337" s="6" t="str">
        <f>IF($M8337="PADD I","PADD 1",IF($M8337="PADD II","PADD 2",IF($M8337="PADD III","PADD 3",IF($M8337="PADD IV","PADD 4",IF($M8337="PADD V","PADD 5","")))))</f>
        <v>PADD 3</v>
      </c>
      <c r="G8337" s="6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6" t="s">
        <v>39</v>
      </c>
      <c r="I8337" s="6" t="s">
        <v>82</v>
      </c>
      <c r="J8337" s="6" t="s">
        <v>398</v>
      </c>
      <c r="K8337" s="10">
        <v>60.9</v>
      </c>
      <c r="L8337" s="10">
        <v>70</v>
      </c>
      <c r="M8337" s="6" t="s">
        <v>421</v>
      </c>
      <c r="N8337" s="6">
        <f>IF(OR($G8337="FCC",$G8337="Hydrocracker",$G8337="Reformer"),IF(COUNTIFS($D:$D,$D8337,$A:$A,$A8337,$B:$B,$B8337,$G:$G,"CDU",$J:$J,"PLANNED")&gt;0,"tied","standalone"),"")</f>
        <v/>
      </c>
    </row>
    <row r="8338" spans="1:14">
      <c r="A8338" s="6">
        <v>2027</v>
      </c>
      <c r="B8338" s="6">
        <v>3</v>
      </c>
      <c r="C8338" s="6" t="s">
        <v>62</v>
      </c>
      <c r="D8338" s="6" t="s">
        <v>889</v>
      </c>
      <c r="E8338" s="6" t="s">
        <v>890</v>
      </c>
      <c r="F8338" s="6" t="str">
        <f>IF($M8338="PADD I","PADD 1",IF($M8338="PADD II","PADD 2",IF($M8338="PADD III","PADD 3",IF($M8338="PADD IV","PADD 4",IF($M8338="PADD V","PADD 5","")))))</f>
        <v>PADD 1</v>
      </c>
      <c r="G8338" s="6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6" t="s">
        <v>39</v>
      </c>
      <c r="I8338" s="6" t="s">
        <v>134</v>
      </c>
      <c r="J8338" s="6" t="s">
        <v>398</v>
      </c>
      <c r="K8338" s="10">
        <v>60.9</v>
      </c>
      <c r="L8338" s="10">
        <v>70</v>
      </c>
      <c r="M8338" s="6" t="s">
        <v>463</v>
      </c>
      <c r="N8338" s="6">
        <f>IF(OR($G8338="FCC",$G8338="Hydrocracker",$G8338="Reformer"),IF(COUNTIFS($D:$D,$D8338,$A:$A,$A8338,$B:$B,$B8338,$G:$G,"CDU",$J:$J,"PLANNED")&gt;0,"tied","standalone"),"")</f>
        <v/>
      </c>
    </row>
    <row r="8339" spans="1:14">
      <c r="A8339" s="6">
        <v>2027</v>
      </c>
      <c r="B8339" s="6">
        <v>3</v>
      </c>
      <c r="C8339" s="6" t="s">
        <v>62</v>
      </c>
      <c r="D8339" s="6" t="s">
        <v>49</v>
      </c>
      <c r="E8339" s="6" t="s">
        <v>438</v>
      </c>
      <c r="F8339" s="6" t="str">
        <f>IF($M8339="PADD I","PADD 1",IF($M8339="PADD II","PADD 2",IF($M8339="PADD III","PADD 3",IF($M8339="PADD IV","PADD 4",IF($M8339="PADD V","PADD 5","")))))</f>
        <v>PADD 2</v>
      </c>
      <c r="G8339" s="6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6" t="s">
        <v>44</v>
      </c>
      <c r="I8339" s="6" t="s">
        <v>746</v>
      </c>
      <c r="J8339" s="6" t="s">
        <v>398</v>
      </c>
      <c r="K8339" s="10">
        <v>55.25</v>
      </c>
      <c r="L8339" s="10">
        <v>85</v>
      </c>
      <c r="M8339" s="6" t="s">
        <v>425</v>
      </c>
      <c r="N8339" s="6">
        <f>IF(OR($G8339="FCC",$G8339="Hydrocracker",$G8339="Reformer"),IF(COUNTIFS($D:$D,$D8339,$A:$A,$A8339,$B:$B,$B8339,$G:$G,"CDU",$J:$J,"PLANNED")&gt;0,"tied","standalone"),"")</f>
        <v/>
      </c>
    </row>
    <row r="8340" spans="1:14">
      <c r="A8340" s="6">
        <v>2027</v>
      </c>
      <c r="B8340" s="6">
        <v>3</v>
      </c>
      <c r="C8340" s="6" t="s">
        <v>62</v>
      </c>
      <c r="D8340" s="6" t="s">
        <v>720</v>
      </c>
      <c r="E8340" s="6" t="s">
        <v>455</v>
      </c>
      <c r="F8340" s="6" t="str">
        <f>IF($M8340="PADD I","PADD 1",IF($M8340="PADD II","PADD 2",IF($M8340="PADD III","PADD 3",IF($M8340="PADD IV","PADD 4",IF($M8340="PADD V","PADD 5","")))))</f>
        <v>PADD 2</v>
      </c>
      <c r="G8340" s="6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6" t="s">
        <v>44</v>
      </c>
      <c r="I8340" s="6" t="s">
        <v>962</v>
      </c>
      <c r="J8340" s="6" t="s">
        <v>398</v>
      </c>
      <c r="K8340" s="10">
        <v>53</v>
      </c>
      <c r="L8340" s="10">
        <v>53</v>
      </c>
      <c r="M8340" s="6" t="s">
        <v>425</v>
      </c>
      <c r="N8340" s="6">
        <f>IF(OR($G8340="FCC",$G8340="Hydrocracker",$G8340="Reformer"),IF(COUNTIFS($D:$D,$D8340,$A:$A,$A8340,$B:$B,$B8340,$G:$G,"CDU",$J:$J,"PLANNED")&gt;0,"tied","standalone"),"")</f>
        <v/>
      </c>
    </row>
    <row r="8341" spans="1:14">
      <c r="A8341" s="6">
        <v>2027</v>
      </c>
      <c r="B8341" s="6">
        <v>3</v>
      </c>
      <c r="C8341" s="6" t="s">
        <v>62</v>
      </c>
      <c r="D8341" s="6" t="s">
        <v>696</v>
      </c>
      <c r="E8341" s="6" t="s">
        <v>455</v>
      </c>
      <c r="F8341" s="6" t="str">
        <f>IF($M8341="PADD I","PADD 1",IF($M8341="PADD II","PADD 2",IF($M8341="PADD III","PADD 3",IF($M8341="PADD IV","PADD 4",IF($M8341="PADD V","PADD 5","")))))</f>
        <v>PADD 3</v>
      </c>
      <c r="G8341" s="6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6" t="s">
        <v>39</v>
      </c>
      <c r="I8341" s="6" t="s">
        <v>127</v>
      </c>
      <c r="J8341" s="6" t="s">
        <v>398</v>
      </c>
      <c r="K8341" s="10">
        <v>52.8</v>
      </c>
      <c r="L8341" s="10">
        <v>96</v>
      </c>
      <c r="M8341" s="6" t="s">
        <v>421</v>
      </c>
      <c r="N8341" s="6">
        <f>IF(OR($G8341="FCC",$G8341="Hydrocracker",$G8341="Reformer"),IF(COUNTIFS($D:$D,$D8341,$A:$A,$A8341,$B:$B,$B8341,$G:$G,"CDU",$J:$J,"PLANNED")&gt;0,"tied","standalone"),"")</f>
        <v/>
      </c>
    </row>
    <row r="8342" spans="1:14">
      <c r="A8342" s="6">
        <v>2027</v>
      </c>
      <c r="B8342" s="6">
        <v>3</v>
      </c>
      <c r="C8342" s="6" t="s">
        <v>62</v>
      </c>
      <c r="D8342" s="6" t="s">
        <v>371</v>
      </c>
      <c r="E8342" s="6" t="s">
        <v>419</v>
      </c>
      <c r="F8342" s="6" t="str">
        <f>IF($M8342="PADD I","PADD 1",IF($M8342="PADD II","PADD 2",IF($M8342="PADD III","PADD 3",IF($M8342="PADD IV","PADD 4",IF($M8342="PADD V","PADD 5","")))))</f>
        <v>PADD 2</v>
      </c>
      <c r="G8342" s="6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6" t="s">
        <v>428</v>
      </c>
      <c r="I8342" s="6" t="s">
        <v>1439</v>
      </c>
      <c r="J8342" s="6" t="s">
        <v>398</v>
      </c>
      <c r="K8342" s="10">
        <v>50.46</v>
      </c>
      <c r="L8342" s="10">
        <v>58</v>
      </c>
      <c r="M8342" s="6" t="s">
        <v>425</v>
      </c>
      <c r="N8342" s="6">
        <f>IF(OR($G8342="FCC",$G8342="Hydrocracker",$G8342="Reformer"),IF(COUNTIFS($D:$D,$D8342,$A:$A,$A8342,$B:$B,$B8342,$G:$G,"CDU",$J:$J,"PLANNED")&gt;0,"tied","standalone"),"")</f>
        <v/>
      </c>
    </row>
    <row r="8343" spans="1:14">
      <c r="A8343" s="6">
        <v>2027</v>
      </c>
      <c r="B8343" s="6">
        <v>3</v>
      </c>
      <c r="C8343" s="6" t="s">
        <v>62</v>
      </c>
      <c r="D8343" s="6" t="s">
        <v>726</v>
      </c>
      <c r="E8343" s="6" t="s">
        <v>727</v>
      </c>
      <c r="F8343" s="6" t="str">
        <f>IF($M8343="PADD I","PADD 1",IF($M8343="PADD II","PADD 2",IF($M8343="PADD III","PADD 3",IF($M8343="PADD IV","PADD 4",IF($M8343="PADD V","PADD 5","")))))</f>
        <v>PADD 1</v>
      </c>
      <c r="G8343" s="6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6" t="s">
        <v>39</v>
      </c>
      <c r="I8343" s="6" t="s">
        <v>1316</v>
      </c>
      <c r="J8343" s="6" t="s">
        <v>398</v>
      </c>
      <c r="K8343" s="10">
        <v>47.85</v>
      </c>
      <c r="L8343" s="10">
        <v>55</v>
      </c>
      <c r="M8343" s="6" t="s">
        <v>463</v>
      </c>
      <c r="N8343" s="6">
        <f>IF(OR($G8343="FCC",$G8343="Hydrocracker",$G8343="Reformer"),IF(COUNTIFS($D:$D,$D8343,$A:$A,$A8343,$B:$B,$B8343,$G:$G,"CDU",$J:$J,"PLANNED")&gt;0,"tied","standalone"),"")</f>
        <v/>
      </c>
    </row>
    <row r="8344" spans="1:14">
      <c r="A8344" s="6">
        <v>2027</v>
      </c>
      <c r="B8344" s="6">
        <v>3</v>
      </c>
      <c r="C8344" s="6" t="s">
        <v>62</v>
      </c>
      <c r="D8344" s="6" t="s">
        <v>901</v>
      </c>
      <c r="E8344" s="6" t="s">
        <v>902</v>
      </c>
      <c r="F8344" s="6" t="str">
        <f>IF($M8344="PADD I","PADD 1",IF($M8344="PADD II","PADD 2",IF($M8344="PADD III","PADD 3",IF($M8344="PADD IV","PADD 4",IF($M8344="PADD V","PADD 5","")))))</f>
        <v>PADD 3</v>
      </c>
      <c r="G8344" s="6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6" t="s">
        <v>39</v>
      </c>
      <c r="I8344" s="6" t="s">
        <v>903</v>
      </c>
      <c r="J8344" s="6" t="s">
        <v>398</v>
      </c>
      <c r="K8344" s="10">
        <v>42.25</v>
      </c>
      <c r="L8344" s="10">
        <v>65</v>
      </c>
      <c r="M8344" s="6" t="s">
        <v>421</v>
      </c>
      <c r="N8344" s="6">
        <f>IF(OR($G8344="FCC",$G8344="Hydrocracker",$G8344="Reformer"),IF(COUNTIFS($D:$D,$D8344,$A:$A,$A8344,$B:$B,$B8344,$G:$G,"CDU",$J:$J,"PLANNED")&gt;0,"tied","standalone"),"")</f>
        <v/>
      </c>
    </row>
    <row r="8345" spans="1:14">
      <c r="A8345" s="6">
        <v>2027</v>
      </c>
      <c r="B8345" s="6">
        <v>3</v>
      </c>
      <c r="C8345" s="6" t="s">
        <v>62</v>
      </c>
      <c r="D8345" s="6" t="s">
        <v>901</v>
      </c>
      <c r="E8345" s="6" t="s">
        <v>902</v>
      </c>
      <c r="F8345" s="6" t="str">
        <f>IF($M8345="PADD I","PADD 1",IF($M8345="PADD II","PADD 2",IF($M8345="PADD III","PADD 3",IF($M8345="PADD IV","PADD 4",IF($M8345="PADD V","PADD 5","")))))</f>
        <v>PADD 3</v>
      </c>
      <c r="G8345" s="6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6" t="s">
        <v>39</v>
      </c>
      <c r="I8345" s="6" t="s">
        <v>904</v>
      </c>
      <c r="J8345" s="6" t="s">
        <v>398</v>
      </c>
      <c r="K8345" s="10">
        <v>42.25</v>
      </c>
      <c r="L8345" s="10">
        <v>65</v>
      </c>
      <c r="M8345" s="6" t="s">
        <v>421</v>
      </c>
      <c r="N8345" s="6">
        <f>IF(OR($G8345="FCC",$G8345="Hydrocracker",$G8345="Reformer"),IF(COUNTIFS($D:$D,$D8345,$A:$A,$A8345,$B:$B,$B8345,$G:$G,"CDU",$J:$J,"PLANNED")&gt;0,"tied","standalone"),"")</f>
        <v/>
      </c>
    </row>
    <row r="8346" spans="1:14">
      <c r="A8346" s="6">
        <v>2027</v>
      </c>
      <c r="B8346" s="6">
        <v>3</v>
      </c>
      <c r="C8346" s="6" t="s">
        <v>62</v>
      </c>
      <c r="D8346" s="6" t="s">
        <v>440</v>
      </c>
      <c r="E8346" s="6" t="s">
        <v>441</v>
      </c>
      <c r="F8346" s="6" t="str">
        <f>IF($M8346="PADD I","PADD 1",IF($M8346="PADD II","PADD 2",IF($M8346="PADD III","PADD 3",IF($M8346="PADD IV","PADD 4",IF($M8346="PADD V","PADD 5","")))))</f>
        <v>PADD 3</v>
      </c>
      <c r="G8346" s="6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6" t="s">
        <v>44</v>
      </c>
      <c r="I8346" s="6" t="s">
        <v>1436</v>
      </c>
      <c r="J8346" s="6" t="s">
        <v>398</v>
      </c>
      <c r="K8346" s="10">
        <v>40.5</v>
      </c>
      <c r="L8346" s="10">
        <v>45</v>
      </c>
      <c r="M8346" s="6" t="s">
        <v>421</v>
      </c>
      <c r="N8346" s="6">
        <f>IF(OR($G8346="FCC",$G8346="Hydrocracker",$G8346="Reformer"),IF(COUNTIFS($D:$D,$D8346,$A:$A,$A8346,$B:$B,$B8346,$G:$G,"CDU",$J:$J,"PLANNED")&gt;0,"tied","standalone"),"")</f>
        <v/>
      </c>
    </row>
    <row r="8347" spans="1:14">
      <c r="A8347" s="6">
        <v>2027</v>
      </c>
      <c r="B8347" s="6">
        <v>3</v>
      </c>
      <c r="C8347" s="6" t="s">
        <v>62</v>
      </c>
      <c r="D8347" s="6" t="s">
        <v>440</v>
      </c>
      <c r="E8347" s="6" t="s">
        <v>441</v>
      </c>
      <c r="F8347" s="6" t="str">
        <f>IF($M8347="PADD I","PADD 1",IF($M8347="PADD II","PADD 2",IF($M8347="PADD III","PADD 3",IF($M8347="PADD IV","PADD 4",IF($M8347="PADD V","PADD 5","")))))</f>
        <v>PADD 3</v>
      </c>
      <c r="G8347" s="6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6" t="s">
        <v>44</v>
      </c>
      <c r="I8347" s="6" t="s">
        <v>1134</v>
      </c>
      <c r="J8347" s="6" t="s">
        <v>398</v>
      </c>
      <c r="K8347" s="10">
        <v>40.5</v>
      </c>
      <c r="L8347" s="10">
        <v>45</v>
      </c>
      <c r="M8347" s="6" t="s">
        <v>421</v>
      </c>
      <c r="N8347" s="6">
        <f>IF(OR($G8347="FCC",$G8347="Hydrocracker",$G8347="Reformer"),IF(COUNTIFS($D:$D,$D8347,$A:$A,$A8347,$B:$B,$B8347,$G:$G,"CDU",$J:$J,"PLANNED")&gt;0,"tied","standalone"),"")</f>
        <v/>
      </c>
    </row>
    <row r="8348" spans="1:14">
      <c r="A8348" s="6">
        <v>2027</v>
      </c>
      <c r="B8348" s="6">
        <v>3</v>
      </c>
      <c r="C8348" s="6" t="s">
        <v>62</v>
      </c>
      <c r="D8348" s="6" t="s">
        <v>440</v>
      </c>
      <c r="E8348" s="6" t="s">
        <v>441</v>
      </c>
      <c r="F8348" s="6" t="str">
        <f>IF($M8348="PADD I","PADD 1",IF($M8348="PADD II","PADD 2",IF($M8348="PADD III","PADD 3",IF($M8348="PADD IV","PADD 4",IF($M8348="PADD V","PADD 5","")))))</f>
        <v>PADD 3</v>
      </c>
      <c r="G8348" s="6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6" t="s">
        <v>44</v>
      </c>
      <c r="I8348" s="6" t="s">
        <v>1277</v>
      </c>
      <c r="J8348" s="6" t="s">
        <v>398</v>
      </c>
      <c r="K8348" s="10">
        <v>40.5</v>
      </c>
      <c r="L8348" s="10">
        <v>45</v>
      </c>
      <c r="M8348" s="6" t="s">
        <v>421</v>
      </c>
      <c r="N8348" s="6">
        <f>IF(OR($G8348="FCC",$G8348="Hydrocracker",$G8348="Reformer"),IF(COUNTIFS($D:$D,$D8348,$A:$A,$A8348,$B:$B,$B8348,$G:$G,"CDU",$J:$J,"PLANNED")&gt;0,"tied","standalone"),"")</f>
        <v/>
      </c>
    </row>
    <row r="8349" spans="1:14">
      <c r="A8349" s="6">
        <v>2027</v>
      </c>
      <c r="B8349" s="6">
        <v>3</v>
      </c>
      <c r="C8349" s="6" t="s">
        <v>62</v>
      </c>
      <c r="D8349" s="6" t="s">
        <v>368</v>
      </c>
      <c r="E8349" s="6" t="s">
        <v>715</v>
      </c>
      <c r="F8349" s="6" t="str">
        <f>IF($M8349="PADD I","PADD 1",IF($M8349="PADD II","PADD 2",IF($M8349="PADD III","PADD 3",IF($M8349="PADD IV","PADD 4",IF($M8349="PADD V","PADD 5","")))))</f>
        <v>PADD 3</v>
      </c>
      <c r="G8349" s="6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6" t="s">
        <v>44</v>
      </c>
      <c r="I8349" s="6" t="s">
        <v>938</v>
      </c>
      <c r="J8349" s="6" t="s">
        <v>398</v>
      </c>
      <c r="K8349" s="10">
        <v>40</v>
      </c>
      <c r="L8349" s="10">
        <v>40</v>
      </c>
      <c r="M8349" s="6" t="s">
        <v>421</v>
      </c>
      <c r="N8349" s="6">
        <f>IF(OR($G8349="FCC",$G8349="Hydrocracker",$G8349="Reformer"),IF(COUNTIFS($D:$D,$D8349,$A:$A,$A8349,$B:$B,$B8349,$G:$G,"CDU",$J:$J,"PLANNED")&gt;0,"tied","standalone"),"")</f>
        <v/>
      </c>
    </row>
    <row r="8350" spans="1:14">
      <c r="A8350" s="6">
        <v>2027</v>
      </c>
      <c r="B8350" s="6">
        <v>3</v>
      </c>
      <c r="C8350" s="6" t="s">
        <v>62</v>
      </c>
      <c r="D8350" s="6" t="s">
        <v>720</v>
      </c>
      <c r="E8350" s="6" t="s">
        <v>455</v>
      </c>
      <c r="F8350" s="6" t="str">
        <f>IF($M8350="PADD I","PADD 1",IF($M8350="PADD II","PADD 2",IF($M8350="PADD III","PADD 3",IF($M8350="PADD IV","PADD 4",IF($M8350="PADD V","PADD 5","")))))</f>
        <v>PADD 2</v>
      </c>
      <c r="G8350" s="6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6" t="s">
        <v>44</v>
      </c>
      <c r="I8350" s="6" t="s">
        <v>508</v>
      </c>
      <c r="J8350" s="6" t="s">
        <v>398</v>
      </c>
      <c r="K8350" s="10">
        <v>40</v>
      </c>
      <c r="L8350" s="10">
        <v>40</v>
      </c>
      <c r="M8350" s="6" t="s">
        <v>425</v>
      </c>
      <c r="N8350" s="6">
        <f>IF(OR($G8350="FCC",$G8350="Hydrocracker",$G8350="Reformer"),IF(COUNTIFS($D:$D,$D8350,$A:$A,$A8350,$B:$B,$B8350,$G:$G,"CDU",$J:$J,"PLANNED")&gt;0,"tied","standalone"),"")</f>
        <v/>
      </c>
    </row>
    <row r="8351" spans="1:14">
      <c r="A8351" s="6">
        <v>2027</v>
      </c>
      <c r="B8351" s="6">
        <v>3</v>
      </c>
      <c r="C8351" s="6" t="s">
        <v>62</v>
      </c>
      <c r="D8351" s="6" t="s">
        <v>368</v>
      </c>
      <c r="E8351" s="6" t="s">
        <v>715</v>
      </c>
      <c r="F8351" s="6" t="str">
        <f>IF($M8351="PADD I","PADD 1",IF($M8351="PADD II","PADD 2",IF($M8351="PADD III","PADD 3",IF($M8351="PADD IV","PADD 4",IF($M8351="PADD V","PADD 5","")))))</f>
        <v>PADD 3</v>
      </c>
      <c r="G8351" s="6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6" t="s">
        <v>494</v>
      </c>
      <c r="I8351" s="6" t="s">
        <v>14</v>
      </c>
      <c r="J8351" s="6" t="s">
        <v>398</v>
      </c>
      <c r="K8351" s="10">
        <v>40</v>
      </c>
      <c r="L8351" s="10">
        <v>40</v>
      </c>
      <c r="M8351" s="6" t="s">
        <v>421</v>
      </c>
      <c r="N8351" s="6" t="str">
        <f>IF(OR($G8351="FCC",$G8351="Hydrocracker",$G8351="Reformer"),IF(COUNTIFS($D:$D,$D8351,$A:$A,$A8351,$B:$B,$B8351,$G:$G,"CDU",$J:$J,"PLANNED")&gt;0,"tied","standalone"),"")</f>
        <v>standalone</v>
      </c>
    </row>
    <row r="8352" spans="1:14">
      <c r="A8352" s="6">
        <v>2027</v>
      </c>
      <c r="B8352" s="6">
        <v>3</v>
      </c>
      <c r="C8352" s="6" t="s">
        <v>62</v>
      </c>
      <c r="D8352" s="6" t="s">
        <v>368</v>
      </c>
      <c r="E8352" s="6" t="s">
        <v>715</v>
      </c>
      <c r="F8352" s="6" t="str">
        <f>IF($M8352="PADD I","PADD 1",IF($M8352="PADD II","PADD 2",IF($M8352="PADD III","PADD 3",IF($M8352="PADD IV","PADD 4",IF($M8352="PADD V","PADD 5","")))))</f>
        <v>PADD 3</v>
      </c>
      <c r="G8352" s="6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6" t="s">
        <v>471</v>
      </c>
      <c r="I8352" s="6" t="s">
        <v>939</v>
      </c>
      <c r="J8352" s="6" t="s">
        <v>398</v>
      </c>
      <c r="K8352" s="10">
        <v>40</v>
      </c>
      <c r="L8352" s="10">
        <v>40</v>
      </c>
      <c r="M8352" s="6" t="s">
        <v>421</v>
      </c>
      <c r="N8352" s="6" t="str">
        <f>IF(OR($G8352="FCC",$G8352="Hydrocracker",$G8352="Reformer"),IF(COUNTIFS($D:$D,$D8352,$A:$A,$A8352,$B:$B,$B8352,$G:$G,"CDU",$J:$J,"PLANNED")&gt;0,"tied","standalone"),"")</f>
        <v>standalone</v>
      </c>
    </row>
    <row r="8353" spans="1:14">
      <c r="A8353" s="6">
        <v>2027</v>
      </c>
      <c r="B8353" s="6">
        <v>3</v>
      </c>
      <c r="C8353" s="6" t="s">
        <v>62</v>
      </c>
      <c r="D8353" s="6" t="s">
        <v>384</v>
      </c>
      <c r="E8353" s="6" t="s">
        <v>419</v>
      </c>
      <c r="F8353" s="6" t="str">
        <f>IF($M8353="PADD I","PADD 1",IF($M8353="PADD II","PADD 2",IF($M8353="PADD III","PADD 3",IF($M8353="PADD IV","PADD 4",IF($M8353="PADD V","PADD 5","")))))</f>
        <v>PADD 3</v>
      </c>
      <c r="G8353" s="6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6" t="s">
        <v>426</v>
      </c>
      <c r="I8353" s="6" t="s">
        <v>142</v>
      </c>
      <c r="J8353" s="6" t="s">
        <v>398</v>
      </c>
      <c r="K8353" s="10">
        <v>37.44</v>
      </c>
      <c r="L8353" s="10">
        <v>78</v>
      </c>
      <c r="M8353" s="6" t="s">
        <v>421</v>
      </c>
      <c r="N8353" s="6" t="str">
        <f>IF(OR($G8353="FCC",$G8353="Hydrocracker",$G8353="Reformer"),IF(COUNTIFS($D:$D,$D8353,$A:$A,$A8353,$B:$B,$B8353,$G:$G,"CDU",$J:$J,"PLANNED")&gt;0,"tied","standalone"),"")</f>
        <v>tied</v>
      </c>
    </row>
    <row r="8354" spans="1:14">
      <c r="A8354" s="6">
        <v>2027</v>
      </c>
      <c r="B8354" s="6">
        <v>3</v>
      </c>
      <c r="C8354" s="6" t="s">
        <v>62</v>
      </c>
      <c r="D8354" s="6" t="s">
        <v>479</v>
      </c>
      <c r="E8354" s="6" t="s">
        <v>438</v>
      </c>
      <c r="F8354" s="6" t="str">
        <f>IF($M8354="PADD I","PADD 1",IF($M8354="PADD II","PADD 2",IF($M8354="PADD III","PADD 3",IF($M8354="PADD IV","PADD 4",IF($M8354="PADD V","PADD 5","")))))</f>
        <v>PADD 4</v>
      </c>
      <c r="G8354" s="6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6" t="s">
        <v>39</v>
      </c>
      <c r="I8354" s="6" t="s">
        <v>82</v>
      </c>
      <c r="J8354" s="6" t="s">
        <v>398</v>
      </c>
      <c r="K8354" s="10">
        <v>37.12</v>
      </c>
      <c r="L8354" s="10">
        <v>64</v>
      </c>
      <c r="M8354" s="6" t="s">
        <v>480</v>
      </c>
      <c r="N8354" s="6">
        <f>IF(OR($G8354="FCC",$G8354="Hydrocracker",$G8354="Reformer"),IF(COUNTIFS($D:$D,$D8354,$A:$A,$A8354,$B:$B,$B8354,$G:$G,"CDU",$J:$J,"PLANNED")&gt;0,"tied","standalone"),"")</f>
        <v/>
      </c>
    </row>
    <row r="8355" spans="1:14">
      <c r="A8355" s="6">
        <v>2027</v>
      </c>
      <c r="B8355" s="6">
        <v>3</v>
      </c>
      <c r="C8355" s="6" t="s">
        <v>62</v>
      </c>
      <c r="D8355" s="6" t="s">
        <v>812</v>
      </c>
      <c r="E8355" s="6" t="s">
        <v>813</v>
      </c>
      <c r="F8355" s="6" t="str">
        <f>IF($M8355="PADD I","PADD 1",IF($M8355="PADD II","PADD 2",IF($M8355="PADD III","PADD 3",IF($M8355="PADD IV","PADD 4",IF($M8355="PADD V","PADD 5","")))))</f>
        <v>PADD 2</v>
      </c>
      <c r="G8355" s="6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6" t="s">
        <v>39</v>
      </c>
      <c r="I8355" s="6" t="s">
        <v>379</v>
      </c>
      <c r="J8355" s="6" t="s">
        <v>398</v>
      </c>
      <c r="K8355" s="10">
        <v>35</v>
      </c>
      <c r="L8355" s="10">
        <v>35</v>
      </c>
      <c r="M8355" s="6" t="s">
        <v>425</v>
      </c>
      <c r="N8355" s="6">
        <f>IF(OR($G8355="FCC",$G8355="Hydrocracker",$G8355="Reformer"),IF(COUNTIFS($D:$D,$D8355,$A:$A,$A8355,$B:$B,$B8355,$G:$G,"CDU",$J:$J,"PLANNED")&gt;0,"tied","standalone"),"")</f>
        <v/>
      </c>
    </row>
    <row r="8356" spans="1:14">
      <c r="A8356" s="6">
        <v>2027</v>
      </c>
      <c r="B8356" s="6">
        <v>3</v>
      </c>
      <c r="C8356" s="6" t="s">
        <v>62</v>
      </c>
      <c r="D8356" s="6" t="s">
        <v>812</v>
      </c>
      <c r="E8356" s="6" t="s">
        <v>813</v>
      </c>
      <c r="F8356" s="6" t="str">
        <f>IF($M8356="PADD I","PADD 1",IF($M8356="PADD II","PADD 2",IF($M8356="PADD III","PADD 3",IF($M8356="PADD IV","PADD 4",IF($M8356="PADD V","PADD 5","")))))</f>
        <v>PADD 2</v>
      </c>
      <c r="G8356" s="6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6" t="s">
        <v>39</v>
      </c>
      <c r="I8356" s="6" t="s">
        <v>132</v>
      </c>
      <c r="J8356" s="6" t="s">
        <v>398</v>
      </c>
      <c r="K8356" s="10">
        <v>35</v>
      </c>
      <c r="L8356" s="10">
        <v>35</v>
      </c>
      <c r="M8356" s="6" t="s">
        <v>425</v>
      </c>
      <c r="N8356" s="6">
        <f>IF(OR($G8356="FCC",$G8356="Hydrocracker",$G8356="Reformer"),IF(COUNTIFS($D:$D,$D8356,$A:$A,$A8356,$B:$B,$B8356,$G:$G,"CDU",$J:$J,"PLANNED")&gt;0,"tied","standalone"),"")</f>
        <v/>
      </c>
    </row>
    <row r="8357" spans="1:14">
      <c r="A8357" s="6">
        <v>2027</v>
      </c>
      <c r="B8357" s="6">
        <v>3</v>
      </c>
      <c r="C8357" s="6" t="s">
        <v>62</v>
      </c>
      <c r="D8357" s="6" t="s">
        <v>682</v>
      </c>
      <c r="E8357" s="6" t="s">
        <v>683</v>
      </c>
      <c r="F8357" s="6" t="str">
        <f>IF($M8357="PADD I","PADD 1",IF($M8357="PADD II","PADD 2",IF($M8357="PADD III","PADD 3",IF($M8357="PADD IV","PADD 4",IF($M8357="PADD V","PADD 5","")))))</f>
        <v>PADD 4</v>
      </c>
      <c r="G8357" s="6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6" t="s">
        <v>39</v>
      </c>
      <c r="I8357" s="6" t="s">
        <v>82</v>
      </c>
      <c r="J8357" s="6" t="s">
        <v>398</v>
      </c>
      <c r="K8357" s="10">
        <v>31</v>
      </c>
      <c r="L8357" s="10">
        <v>31</v>
      </c>
      <c r="M8357" s="6" t="s">
        <v>480</v>
      </c>
      <c r="N8357" s="6">
        <f>IF(OR($G8357="FCC",$G8357="Hydrocracker",$G8357="Reformer"),IF(COUNTIFS($D:$D,$D8357,$A:$A,$A8357,$B:$B,$B8357,$G:$G,"CDU",$J:$J,"PLANNED")&gt;0,"tied","standalone"),"")</f>
        <v/>
      </c>
    </row>
    <row r="8358" spans="1:14">
      <c r="A8358" s="6">
        <v>2027</v>
      </c>
      <c r="B8358" s="6">
        <v>3</v>
      </c>
      <c r="C8358" s="6" t="s">
        <v>62</v>
      </c>
      <c r="D8358" s="6" t="s">
        <v>383</v>
      </c>
      <c r="E8358" s="6" t="s">
        <v>602</v>
      </c>
      <c r="F8358" s="6" t="str">
        <f>IF($M8358="PADD I","PADD 1",IF($M8358="PADD II","PADD 2",IF($M8358="PADD III","PADD 3",IF($M8358="PADD IV","PADD 4",IF($M8358="PADD V","PADD 5","")))))</f>
        <v>PADD 3</v>
      </c>
      <c r="G8358" s="6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6" t="s">
        <v>44</v>
      </c>
      <c r="I8358" s="6" t="s">
        <v>644</v>
      </c>
      <c r="J8358" s="6" t="s">
        <v>398</v>
      </c>
      <c r="K8358" s="10">
        <v>30</v>
      </c>
      <c r="L8358" s="10">
        <v>30</v>
      </c>
      <c r="M8358" s="6" t="s">
        <v>421</v>
      </c>
      <c r="N8358" s="6">
        <f>IF(OR($G8358="FCC",$G8358="Hydrocracker",$G8358="Reformer"),IF(COUNTIFS($D:$D,$D8358,$A:$A,$A8358,$B:$B,$B8358,$G:$G,"CDU",$J:$J,"PLANNED")&gt;0,"tied","standalone"),"")</f>
        <v/>
      </c>
    </row>
    <row r="8359" spans="1:14">
      <c r="A8359" s="6">
        <v>2027</v>
      </c>
      <c r="B8359" s="6">
        <v>3</v>
      </c>
      <c r="C8359" s="6" t="s">
        <v>62</v>
      </c>
      <c r="D8359" s="6" t="s">
        <v>626</v>
      </c>
      <c r="E8359" s="6" t="s">
        <v>419</v>
      </c>
      <c r="F8359" s="6" t="str">
        <f>IF($M8359="PADD I","PADD 1",IF($M8359="PADD II","PADD 2",IF($M8359="PADD III","PADD 3",IF($M8359="PADD IV","PADD 4",IF($M8359="PADD V","PADD 5","")))))</f>
        <v>PADD 3</v>
      </c>
      <c r="G8359" s="6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6" t="s">
        <v>471</v>
      </c>
      <c r="I8359" s="6" t="s">
        <v>926</v>
      </c>
      <c r="J8359" s="6" t="s">
        <v>398</v>
      </c>
      <c r="K8359" s="10">
        <v>29.58</v>
      </c>
      <c r="L8359" s="10">
        <v>34</v>
      </c>
      <c r="M8359" s="6" t="s">
        <v>421</v>
      </c>
      <c r="N8359" s="6" t="str">
        <f>IF(OR($G8359="FCC",$G8359="Hydrocracker",$G8359="Reformer"),IF(COUNTIFS($D:$D,$D8359,$A:$A,$A8359,$B:$B,$B8359,$G:$G,"CDU",$J:$J,"PLANNED")&gt;0,"tied","standalone"),"")</f>
        <v>tied</v>
      </c>
    </row>
    <row r="8360" spans="1:14">
      <c r="A8360" s="6">
        <v>2027</v>
      </c>
      <c r="B8360" s="6">
        <v>3</v>
      </c>
      <c r="C8360" s="6" t="s">
        <v>62</v>
      </c>
      <c r="D8360" s="6" t="s">
        <v>375</v>
      </c>
      <c r="E8360" s="6" t="s">
        <v>435</v>
      </c>
      <c r="F8360" s="6" t="str">
        <f>IF($M8360="PADD I","PADD 1",IF($M8360="PADD II","PADD 2",IF($M8360="PADD III","PADD 3",IF($M8360="PADD IV","PADD 4",IF($M8360="PADD V","PADD 5","")))))</f>
        <v>PADD 5</v>
      </c>
      <c r="G8360" s="6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6" t="s">
        <v>39</v>
      </c>
      <c r="I8360" s="6" t="s">
        <v>94</v>
      </c>
      <c r="J8360" s="6" t="s">
        <v>398</v>
      </c>
      <c r="K8360" s="10">
        <v>29.45</v>
      </c>
      <c r="L8360" s="10">
        <v>155</v>
      </c>
      <c r="M8360" s="6" t="s">
        <v>436</v>
      </c>
      <c r="N8360" s="6">
        <f>IF(OR($G8360="FCC",$G8360="Hydrocracker",$G8360="Reformer"),IF(COUNTIFS($D:$D,$D8360,$A:$A,$A8360,$B:$B,$B8360,$G:$G,"CDU",$J:$J,"PLANNED")&gt;0,"tied","standalone"),"")</f>
        <v/>
      </c>
    </row>
    <row r="8361" spans="1:14">
      <c r="A8361" s="6">
        <v>2027</v>
      </c>
      <c r="B8361" s="6">
        <v>3</v>
      </c>
      <c r="C8361" s="6" t="s">
        <v>62</v>
      </c>
      <c r="D8361" s="6" t="s">
        <v>730</v>
      </c>
      <c r="E8361" s="6" t="s">
        <v>731</v>
      </c>
      <c r="F8361" s="6" t="str">
        <f>IF($M8361="PADD I","PADD 1",IF($M8361="PADD II","PADD 2",IF($M8361="PADD III","PADD 3",IF($M8361="PADD IV","PADD 4",IF($M8361="PADD V","PADD 5","")))))</f>
        <v>PADD 3</v>
      </c>
      <c r="G8361" s="6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6" t="s">
        <v>44</v>
      </c>
      <c r="I8361" s="6" t="s">
        <v>739</v>
      </c>
      <c r="J8361" s="6" t="s">
        <v>398</v>
      </c>
      <c r="K8361" s="10">
        <v>27.84</v>
      </c>
      <c r="L8361" s="10">
        <v>32</v>
      </c>
      <c r="M8361" s="6" t="s">
        <v>421</v>
      </c>
      <c r="N8361" s="6">
        <f>IF(OR($G8361="FCC",$G8361="Hydrocracker",$G8361="Reformer"),IF(COUNTIFS($D:$D,$D8361,$A:$A,$A8361,$B:$B,$B8361,$G:$G,"CDU",$J:$J,"PLANNED")&gt;0,"tied","standalone"),"")</f>
        <v/>
      </c>
    </row>
    <row r="8362" spans="1:14">
      <c r="A8362" s="6">
        <v>2027</v>
      </c>
      <c r="B8362" s="6">
        <v>3</v>
      </c>
      <c r="C8362" s="6" t="s">
        <v>62</v>
      </c>
      <c r="D8362" s="6" t="s">
        <v>1440</v>
      </c>
      <c r="E8362" s="6" t="s">
        <v>731</v>
      </c>
      <c r="F8362" s="6" t="str">
        <f>IF($M8362="PADD I","PADD 1",IF($M8362="PADD II","PADD 2",IF($M8362="PADD III","PADD 3",IF($M8362="PADD IV","PADD 4",IF($M8362="PADD V","PADD 5","")))))</f>
        <v>PADD 3</v>
      </c>
      <c r="G8362" s="6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6" t="s">
        <v>39</v>
      </c>
      <c r="I8362" s="6" t="s">
        <v>82</v>
      </c>
      <c r="J8362" s="6" t="s">
        <v>398</v>
      </c>
      <c r="K8362" s="10">
        <v>26.1</v>
      </c>
      <c r="L8362" s="10">
        <v>30</v>
      </c>
      <c r="M8362" s="6" t="s">
        <v>421</v>
      </c>
      <c r="N8362" s="6">
        <f>IF(OR($G8362="FCC",$G8362="Hydrocracker",$G8362="Reformer"),IF(COUNTIFS($D:$D,$D8362,$A:$A,$A8362,$B:$B,$B8362,$G:$G,"CDU",$J:$J,"PLANNED")&gt;0,"tied","standalone"),"")</f>
        <v/>
      </c>
    </row>
    <row r="8363" spans="1:14">
      <c r="A8363" s="6">
        <v>2027</v>
      </c>
      <c r="B8363" s="6">
        <v>3</v>
      </c>
      <c r="C8363" s="6" t="s">
        <v>62</v>
      </c>
      <c r="D8363" s="6" t="s">
        <v>384</v>
      </c>
      <c r="E8363" s="6" t="s">
        <v>419</v>
      </c>
      <c r="F8363" s="6" t="str">
        <f>IF($M8363="PADD I","PADD 1",IF($M8363="PADD II","PADD 2",IF($M8363="PADD III","PADD 3",IF($M8363="PADD IV","PADD 4",IF($M8363="PADD V","PADD 5","")))))</f>
        <v>PADD 3</v>
      </c>
      <c r="G8363" s="6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6" t="s">
        <v>426</v>
      </c>
      <c r="I8363" s="6" t="s">
        <v>522</v>
      </c>
      <c r="J8363" s="6" t="s">
        <v>398</v>
      </c>
      <c r="K8363" s="10">
        <v>26.1</v>
      </c>
      <c r="L8363" s="10">
        <v>30</v>
      </c>
      <c r="M8363" s="6" t="s">
        <v>421</v>
      </c>
      <c r="N8363" s="6" t="str">
        <f>IF(OR($G8363="FCC",$G8363="Hydrocracker",$G8363="Reformer"),IF(COUNTIFS($D:$D,$D8363,$A:$A,$A8363,$B:$B,$B8363,$G:$G,"CDU",$J:$J,"PLANNED")&gt;0,"tied","standalone"),"")</f>
        <v>tied</v>
      </c>
    </row>
    <row r="8364" spans="1:14">
      <c r="A8364" s="6">
        <v>2027</v>
      </c>
      <c r="B8364" s="6">
        <v>3</v>
      </c>
      <c r="C8364" s="6" t="s">
        <v>62</v>
      </c>
      <c r="D8364" s="6" t="s">
        <v>518</v>
      </c>
      <c r="E8364" s="6" t="s">
        <v>419</v>
      </c>
      <c r="F8364" s="6" t="str">
        <f>IF($M8364="PADD I","PADD 1",IF($M8364="PADD II","PADD 2",IF($M8364="PADD III","PADD 3",IF($M8364="PADD IV","PADD 4",IF($M8364="PADD V","PADD 5","")))))</f>
        <v>PADD 3</v>
      </c>
      <c r="G8364" s="6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6" t="s">
        <v>426</v>
      </c>
      <c r="I8364" s="6" t="s">
        <v>519</v>
      </c>
      <c r="J8364" s="6" t="s">
        <v>398</v>
      </c>
      <c r="K8364" s="10">
        <v>25.2</v>
      </c>
      <c r="L8364" s="10">
        <v>30</v>
      </c>
      <c r="M8364" s="6" t="s">
        <v>421</v>
      </c>
      <c r="N8364" s="6" t="str">
        <f>IF(OR($G8364="FCC",$G8364="Hydrocracker",$G8364="Reformer"),IF(COUNTIFS($D:$D,$D8364,$A:$A,$A8364,$B:$B,$B8364,$G:$G,"CDU",$J:$J,"PLANNED")&gt;0,"tied","standalone"),"")</f>
        <v>standalone</v>
      </c>
    </row>
    <row r="8365" spans="1:14">
      <c r="A8365" s="6">
        <v>2027</v>
      </c>
      <c r="B8365" s="6">
        <v>3</v>
      </c>
      <c r="C8365" s="6" t="s">
        <v>62</v>
      </c>
      <c r="D8365" s="6" t="s">
        <v>972</v>
      </c>
      <c r="E8365" s="6" t="s">
        <v>502</v>
      </c>
      <c r="F8365" s="6" t="str">
        <f>IF($M8365="PADD I","PADD 1",IF($M8365="PADD II","PADD 2",IF($M8365="PADD III","PADD 3",IF($M8365="PADD IV","PADD 4",IF($M8365="PADD V","PADD 5","")))))</f>
        <v>PADD 4</v>
      </c>
      <c r="G8365" s="6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6" t="s">
        <v>39</v>
      </c>
      <c r="I8365" s="6" t="s">
        <v>973</v>
      </c>
      <c r="J8365" s="6" t="s">
        <v>398</v>
      </c>
      <c r="K8365" s="10">
        <v>25</v>
      </c>
      <c r="L8365" s="10">
        <v>25</v>
      </c>
      <c r="M8365" s="6" t="s">
        <v>480</v>
      </c>
      <c r="N8365" s="6">
        <f>IF(OR($G8365="FCC",$G8365="Hydrocracker",$G8365="Reformer"),IF(COUNTIFS($D:$D,$D8365,$A:$A,$A8365,$B:$B,$B8365,$G:$G,"CDU",$J:$J,"PLANNED")&gt;0,"tied","standalone"),"")</f>
        <v/>
      </c>
    </row>
    <row r="8366" spans="1:14">
      <c r="A8366" s="6">
        <v>2027</v>
      </c>
      <c r="B8366" s="6">
        <v>3</v>
      </c>
      <c r="C8366" s="6" t="s">
        <v>62</v>
      </c>
      <c r="D8366" s="6" t="s">
        <v>368</v>
      </c>
      <c r="E8366" s="6" t="s">
        <v>715</v>
      </c>
      <c r="F8366" s="6" t="str">
        <f>IF($M8366="PADD I","PADD 1",IF($M8366="PADD II","PADD 2",IF($M8366="PADD III","PADD 3",IF($M8366="PADD IV","PADD 4",IF($M8366="PADD V","PADD 5","")))))</f>
        <v>PADD 3</v>
      </c>
      <c r="G8366" s="6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6" t="s">
        <v>485</v>
      </c>
      <c r="I8366" s="6" t="s">
        <v>491</v>
      </c>
      <c r="J8366" s="6" t="s">
        <v>398</v>
      </c>
      <c r="K8366" s="10">
        <v>25</v>
      </c>
      <c r="L8366" s="10">
        <v>25</v>
      </c>
      <c r="M8366" s="6" t="s">
        <v>421</v>
      </c>
      <c r="N8366" s="6">
        <f>IF(OR($G8366="FCC",$G8366="Hydrocracker",$G8366="Reformer"),IF(COUNTIFS($D:$D,$D8366,$A:$A,$A8366,$B:$B,$B8366,$G:$G,"CDU",$J:$J,"PLANNED")&gt;0,"tied","standalone"),"")</f>
        <v/>
      </c>
    </row>
    <row r="8367" spans="1:14">
      <c r="A8367" s="6">
        <v>2027</v>
      </c>
      <c r="B8367" s="6">
        <v>3</v>
      </c>
      <c r="C8367" s="6" t="s">
        <v>62</v>
      </c>
      <c r="D8367" s="6" t="s">
        <v>383</v>
      </c>
      <c r="E8367" s="6" t="s">
        <v>602</v>
      </c>
      <c r="F8367" s="6" t="str">
        <f>IF($M8367="PADD I","PADD 1",IF($M8367="PADD II","PADD 2",IF($M8367="PADD III","PADD 3",IF($M8367="PADD IV","PADD 4",IF($M8367="PADD V","PADD 5","")))))</f>
        <v>PADD 3</v>
      </c>
      <c r="G8367" s="6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6" t="s">
        <v>44</v>
      </c>
      <c r="I8367" s="6" t="s">
        <v>648</v>
      </c>
      <c r="J8367" s="6" t="s">
        <v>398</v>
      </c>
      <c r="K8367" s="10">
        <v>25</v>
      </c>
      <c r="L8367" s="10">
        <v>25</v>
      </c>
      <c r="M8367" s="6" t="s">
        <v>421</v>
      </c>
      <c r="N8367" s="6">
        <f>IF(OR($G8367="FCC",$G8367="Hydrocracker",$G8367="Reformer"),IF(COUNTIFS($D:$D,$D8367,$A:$A,$A8367,$B:$B,$B8367,$G:$G,"CDU",$J:$J,"PLANNED")&gt;0,"tied","standalone"),"")</f>
        <v/>
      </c>
    </row>
    <row r="8368" spans="1:14">
      <c r="A8368" s="6">
        <v>2027</v>
      </c>
      <c r="B8368" s="6">
        <v>3</v>
      </c>
      <c r="C8368" s="6" t="s">
        <v>62</v>
      </c>
      <c r="D8368" s="6" t="s">
        <v>901</v>
      </c>
      <c r="E8368" s="6" t="s">
        <v>902</v>
      </c>
      <c r="F8368" s="6" t="str">
        <f>IF($M8368="PADD I","PADD 1",IF($M8368="PADD II","PADD 2",IF($M8368="PADD III","PADD 3",IF($M8368="PADD IV","PADD 4",IF($M8368="PADD V","PADD 5","")))))</f>
        <v>PADD 3</v>
      </c>
      <c r="G8368" s="6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6" t="s">
        <v>428</v>
      </c>
      <c r="I8368" s="6" t="s">
        <v>910</v>
      </c>
      <c r="J8368" s="6" t="s">
        <v>398</v>
      </c>
      <c r="K8368" s="10">
        <v>23.4</v>
      </c>
      <c r="L8368" s="10">
        <v>36</v>
      </c>
      <c r="M8368" s="6" t="s">
        <v>421</v>
      </c>
      <c r="N8368" s="6">
        <f>IF(OR($G8368="FCC",$G8368="Hydrocracker",$G8368="Reformer"),IF(COUNTIFS($D:$D,$D8368,$A:$A,$A8368,$B:$B,$B8368,$G:$G,"CDU",$J:$J,"PLANNED")&gt;0,"tied","standalone"),"")</f>
        <v/>
      </c>
    </row>
    <row r="8369" spans="1:14">
      <c r="A8369" s="6">
        <v>2027</v>
      </c>
      <c r="B8369" s="6">
        <v>3</v>
      </c>
      <c r="C8369" s="6" t="s">
        <v>62</v>
      </c>
      <c r="D8369" s="6" t="s">
        <v>49</v>
      </c>
      <c r="E8369" s="6" t="s">
        <v>438</v>
      </c>
      <c r="F8369" s="6" t="str">
        <f>IF($M8369="PADD I","PADD 1",IF($M8369="PADD II","PADD 2",IF($M8369="PADD III","PADD 3",IF($M8369="PADD IV","PADD 4",IF($M8369="PADD V","PADD 5","")))))</f>
        <v>PADD 2</v>
      </c>
      <c r="G8369" s="6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6" t="s">
        <v>471</v>
      </c>
      <c r="I8369" s="6" t="s">
        <v>1441</v>
      </c>
      <c r="J8369" s="6" t="s">
        <v>398</v>
      </c>
      <c r="K8369" s="10">
        <v>22.75</v>
      </c>
      <c r="L8369" s="10">
        <v>35</v>
      </c>
      <c r="M8369" s="6" t="s">
        <v>425</v>
      </c>
      <c r="N8369" s="6" t="str">
        <f>IF(OR($G8369="FCC",$G8369="Hydrocracker",$G8369="Reformer"),IF(COUNTIFS($D:$D,$D8369,$A:$A,$A8369,$B:$B,$B8369,$G:$G,"CDU",$J:$J,"PLANNED")&gt;0,"tied","standalone"),"")</f>
        <v>standalone</v>
      </c>
    </row>
    <row r="8370" spans="1:14">
      <c r="A8370" s="6">
        <v>2027</v>
      </c>
      <c r="B8370" s="6">
        <v>3</v>
      </c>
      <c r="C8370" s="6" t="s">
        <v>62</v>
      </c>
      <c r="D8370" s="6" t="s">
        <v>730</v>
      </c>
      <c r="E8370" s="6" t="s">
        <v>731</v>
      </c>
      <c r="F8370" s="6" t="str">
        <f>IF($M8370="PADD I","PADD 1",IF($M8370="PADD II","PADD 2",IF($M8370="PADD III","PADD 3",IF($M8370="PADD IV","PADD 4",IF($M8370="PADD V","PADD 5","")))))</f>
        <v>PADD 3</v>
      </c>
      <c r="G8370" s="6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6" t="s">
        <v>426</v>
      </c>
      <c r="I8370" s="6" t="s">
        <v>106</v>
      </c>
      <c r="J8370" s="6" t="s">
        <v>398</v>
      </c>
      <c r="K8370" s="10">
        <v>21.75</v>
      </c>
      <c r="L8370" s="10">
        <v>25</v>
      </c>
      <c r="M8370" s="6" t="s">
        <v>421</v>
      </c>
      <c r="N8370" s="6" t="str">
        <f>IF(OR($G8370="FCC",$G8370="Hydrocracker",$G8370="Reformer"),IF(COUNTIFS($D:$D,$D8370,$A:$A,$A8370,$B:$B,$B8370,$G:$G,"CDU",$J:$J,"PLANNED")&gt;0,"tied","standalone"),"")</f>
        <v>tied</v>
      </c>
    </row>
    <row r="8371" spans="1:14">
      <c r="A8371" s="6">
        <v>2027</v>
      </c>
      <c r="B8371" s="6">
        <v>3</v>
      </c>
      <c r="C8371" s="6" t="s">
        <v>62</v>
      </c>
      <c r="D8371" s="6" t="s">
        <v>730</v>
      </c>
      <c r="E8371" s="6" t="s">
        <v>731</v>
      </c>
      <c r="F8371" s="6" t="str">
        <f>IF($M8371="PADD I","PADD 1",IF($M8371="PADD II","PADD 2",IF($M8371="PADD III","PADD 3",IF($M8371="PADD IV","PADD 4",IF($M8371="PADD V","PADD 5","")))))</f>
        <v>PADD 3</v>
      </c>
      <c r="G8371" s="6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6" t="s">
        <v>428</v>
      </c>
      <c r="I8371" s="6" t="s">
        <v>481</v>
      </c>
      <c r="J8371" s="6" t="s">
        <v>398</v>
      </c>
      <c r="K8371" s="10">
        <v>21.75</v>
      </c>
      <c r="L8371" s="10">
        <v>25</v>
      </c>
      <c r="M8371" s="6" t="s">
        <v>421</v>
      </c>
      <c r="N8371" s="6">
        <f>IF(OR($G8371="FCC",$G8371="Hydrocracker",$G8371="Reformer"),IF(COUNTIFS($D:$D,$D8371,$A:$A,$A8371,$B:$B,$B8371,$G:$G,"CDU",$J:$J,"PLANNED")&gt;0,"tied","standalone"),"")</f>
        <v/>
      </c>
    </row>
    <row r="8372" spans="1:14">
      <c r="A8372" s="6">
        <v>2027</v>
      </c>
      <c r="B8372" s="6">
        <v>3</v>
      </c>
      <c r="C8372" s="6" t="s">
        <v>62</v>
      </c>
      <c r="D8372" s="6" t="s">
        <v>889</v>
      </c>
      <c r="E8372" s="6" t="s">
        <v>890</v>
      </c>
      <c r="F8372" s="6" t="str">
        <f>IF($M8372="PADD I","PADD 1",IF($M8372="PADD II","PADD 2",IF($M8372="PADD III","PADD 3",IF($M8372="PADD IV","PADD 4",IF($M8372="PADD V","PADD 5","")))))</f>
        <v>PADD 1</v>
      </c>
      <c r="G8372" s="6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6" t="s">
        <v>44</v>
      </c>
      <c r="I8372" s="6" t="s">
        <v>891</v>
      </c>
      <c r="J8372" s="6" t="s">
        <v>398</v>
      </c>
      <c r="K8372" s="10">
        <v>21.75</v>
      </c>
      <c r="L8372" s="10">
        <v>25</v>
      </c>
      <c r="M8372" s="6" t="s">
        <v>463</v>
      </c>
      <c r="N8372" s="6">
        <f>IF(OR($G8372="FCC",$G8372="Hydrocracker",$G8372="Reformer"),IF(COUNTIFS($D:$D,$D8372,$A:$A,$A8372,$B:$B,$B8372,$G:$G,"CDU",$J:$J,"PLANNED")&gt;0,"tied","standalone"),"")</f>
        <v/>
      </c>
    </row>
    <row r="8373" spans="1:14">
      <c r="A8373" s="6">
        <v>2027</v>
      </c>
      <c r="B8373" s="6">
        <v>3</v>
      </c>
      <c r="C8373" s="6" t="s">
        <v>62</v>
      </c>
      <c r="D8373" s="6" t="s">
        <v>592</v>
      </c>
      <c r="E8373" s="6" t="s">
        <v>593</v>
      </c>
      <c r="F8373" s="6" t="str">
        <f>IF($M8373="PADD I","PADD 1",IF($M8373="PADD II","PADD 2",IF($M8373="PADD III","PADD 3",IF($M8373="PADD IV","PADD 4",IF($M8373="PADD V","PADD 5","")))))</f>
        <v>PADD 2</v>
      </c>
      <c r="G8373" s="6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6" t="s">
        <v>44</v>
      </c>
      <c r="I8373" s="6" t="s">
        <v>1162</v>
      </c>
      <c r="J8373" s="6" t="s">
        <v>398</v>
      </c>
      <c r="K8373" s="10">
        <v>21.141</v>
      </c>
      <c r="L8373" s="10">
        <v>24.3</v>
      </c>
      <c r="M8373" s="6" t="s">
        <v>425</v>
      </c>
      <c r="N8373" s="6">
        <f>IF(OR($G8373="FCC",$G8373="Hydrocracker",$G8373="Reformer"),IF(COUNTIFS($D:$D,$D8373,$A:$A,$A8373,$B:$B,$B8373,$G:$G,"CDU",$J:$J,"PLANNED")&gt;0,"tied","standalone"),"")</f>
        <v/>
      </c>
    </row>
    <row r="8374" spans="1:14">
      <c r="A8374" s="6">
        <v>2027</v>
      </c>
      <c r="B8374" s="6">
        <v>3</v>
      </c>
      <c r="C8374" s="6" t="s">
        <v>62</v>
      </c>
      <c r="D8374" s="6" t="s">
        <v>812</v>
      </c>
      <c r="E8374" s="6" t="s">
        <v>813</v>
      </c>
      <c r="F8374" s="6" t="str">
        <f>IF($M8374="PADD I","PADD 1",IF($M8374="PADD II","PADD 2",IF($M8374="PADD III","PADD 3",IF($M8374="PADD IV","PADD 4",IF($M8374="PADD V","PADD 5","")))))</f>
        <v>PADD 2</v>
      </c>
      <c r="G8374" s="6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6" t="s">
        <v>426</v>
      </c>
      <c r="I8374" s="6" t="s">
        <v>106</v>
      </c>
      <c r="J8374" s="6" t="s">
        <v>398</v>
      </c>
      <c r="K8374" s="10">
        <v>21</v>
      </c>
      <c r="L8374" s="10">
        <v>21</v>
      </c>
      <c r="M8374" s="6" t="s">
        <v>425</v>
      </c>
      <c r="N8374" s="6" t="str">
        <f>IF(OR($G8374="FCC",$G8374="Hydrocracker",$G8374="Reformer"),IF(COUNTIFS($D:$D,$D8374,$A:$A,$A8374,$B:$B,$B8374,$G:$G,"CDU",$J:$J,"PLANNED")&gt;0,"tied","standalone"),"")</f>
        <v>tied</v>
      </c>
    </row>
    <row r="8375" spans="1:14">
      <c r="A8375" s="6">
        <v>2027</v>
      </c>
      <c r="B8375" s="6">
        <v>3</v>
      </c>
      <c r="C8375" s="6" t="s">
        <v>62</v>
      </c>
      <c r="D8375" s="6" t="s">
        <v>52</v>
      </c>
      <c r="E8375" s="6" t="s">
        <v>441</v>
      </c>
      <c r="F8375" s="6" t="str">
        <f>IF($M8375="PADD I","PADD 1",IF($M8375="PADD II","PADD 2",IF($M8375="PADD III","PADD 3",IF($M8375="PADD IV","PADD 4",IF($M8375="PADD V","PADD 5","")))))</f>
        <v>PADD 5</v>
      </c>
      <c r="G8375" s="6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6" t="s">
        <v>44</v>
      </c>
      <c r="I8375" s="6" t="s">
        <v>1387</v>
      </c>
      <c r="J8375" s="6" t="s">
        <v>398</v>
      </c>
      <c r="K8375" s="10">
        <v>21</v>
      </c>
      <c r="L8375" s="10">
        <v>21</v>
      </c>
      <c r="M8375" s="6" t="s">
        <v>436</v>
      </c>
      <c r="N8375" s="6">
        <f>IF(OR($G8375="FCC",$G8375="Hydrocracker",$G8375="Reformer"),IF(COUNTIFS($D:$D,$D8375,$A:$A,$A8375,$B:$B,$B8375,$G:$G,"CDU",$J:$J,"PLANNED")&gt;0,"tied","standalone"),"")</f>
        <v/>
      </c>
    </row>
    <row r="8376" spans="1:14">
      <c r="A8376" s="6">
        <v>2027</v>
      </c>
      <c r="B8376" s="6">
        <v>3</v>
      </c>
      <c r="C8376" s="6" t="s">
        <v>62</v>
      </c>
      <c r="D8376" s="6" t="s">
        <v>51</v>
      </c>
      <c r="E8376" s="6" t="s">
        <v>431</v>
      </c>
      <c r="F8376" s="6" t="str">
        <f>IF($M8376="PADD I","PADD 1",IF($M8376="PADD II","PADD 2",IF($M8376="PADD III","PADD 3",IF($M8376="PADD IV","PADD 4",IF($M8376="PADD V","PADD 5","")))))</f>
        <v>PADD 3</v>
      </c>
      <c r="G8376" s="6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6" t="s">
        <v>510</v>
      </c>
      <c r="I8376" s="6" t="s">
        <v>670</v>
      </c>
      <c r="J8376" s="6" t="s">
        <v>398</v>
      </c>
      <c r="K8376" s="10">
        <v>21</v>
      </c>
      <c r="L8376" s="10">
        <v>21</v>
      </c>
      <c r="M8376" s="6" t="s">
        <v>421</v>
      </c>
      <c r="N8376" s="6">
        <f>IF(OR($G8376="FCC",$G8376="Hydrocracker",$G8376="Reformer"),IF(COUNTIFS($D:$D,$D8376,$A:$A,$A8376,$B:$B,$B8376,$G:$G,"CDU",$J:$J,"PLANNED")&gt;0,"tied","standalone"),"")</f>
        <v/>
      </c>
    </row>
    <row r="8377" spans="1:14">
      <c r="A8377" s="6">
        <v>2027</v>
      </c>
      <c r="B8377" s="6">
        <v>3</v>
      </c>
      <c r="C8377" s="6" t="s">
        <v>62</v>
      </c>
      <c r="D8377" s="6" t="s">
        <v>730</v>
      </c>
      <c r="E8377" s="6" t="s">
        <v>731</v>
      </c>
      <c r="F8377" s="6" t="str">
        <f>IF($M8377="PADD I","PADD 1",IF($M8377="PADD II","PADD 2",IF($M8377="PADD III","PADD 3",IF($M8377="PADD IV","PADD 4",IF($M8377="PADD V","PADD 5","")))))</f>
        <v>PADD 3</v>
      </c>
      <c r="G8377" s="6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6" t="s">
        <v>44</v>
      </c>
      <c r="I8377" s="6" t="s">
        <v>742</v>
      </c>
      <c r="J8377" s="6" t="s">
        <v>398</v>
      </c>
      <c r="K8377" s="10">
        <v>20.88</v>
      </c>
      <c r="L8377" s="10">
        <v>24</v>
      </c>
      <c r="M8377" s="6" t="s">
        <v>421</v>
      </c>
      <c r="N8377" s="6">
        <f>IF(OR($G8377="FCC",$G8377="Hydrocracker",$G8377="Reformer"),IF(COUNTIFS($D:$D,$D8377,$A:$A,$A8377,$B:$B,$B8377,$G:$G,"CDU",$J:$J,"PLANNED")&gt;0,"tied","standalone"),"")</f>
        <v/>
      </c>
    </row>
    <row r="8378" spans="1:14">
      <c r="A8378" s="6">
        <v>2027</v>
      </c>
      <c r="B8378" s="6">
        <v>3</v>
      </c>
      <c r="C8378" s="6" t="s">
        <v>62</v>
      </c>
      <c r="D8378" s="6" t="s">
        <v>889</v>
      </c>
      <c r="E8378" s="6" t="s">
        <v>890</v>
      </c>
      <c r="F8378" s="6" t="str">
        <f>IF($M8378="PADD I","PADD 1",IF($M8378="PADD II","PADD 2",IF($M8378="PADD III","PADD 3",IF($M8378="PADD IV","PADD 4",IF($M8378="PADD V","PADD 5","")))))</f>
        <v>PADD 1</v>
      </c>
      <c r="G8378" s="6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6" t="s">
        <v>44</v>
      </c>
      <c r="I8378" s="6" t="s">
        <v>1204</v>
      </c>
      <c r="J8378" s="6" t="s">
        <v>398</v>
      </c>
      <c r="K8378" s="10">
        <v>20.01</v>
      </c>
      <c r="L8378" s="10">
        <v>23</v>
      </c>
      <c r="M8378" s="6" t="s">
        <v>463</v>
      </c>
      <c r="N8378" s="6">
        <f>IF(OR($G8378="FCC",$G8378="Hydrocracker",$G8378="Reformer"),IF(COUNTIFS($D:$D,$D8378,$A:$A,$A8378,$B:$B,$B8378,$G:$G,"CDU",$J:$J,"PLANNED")&gt;0,"tied","standalone"),"")</f>
        <v/>
      </c>
    </row>
    <row r="8379" spans="1:14">
      <c r="A8379" s="6">
        <v>2027</v>
      </c>
      <c r="B8379" s="6">
        <v>3</v>
      </c>
      <c r="C8379" s="6" t="s">
        <v>62</v>
      </c>
      <c r="D8379" s="6" t="s">
        <v>812</v>
      </c>
      <c r="E8379" s="6" t="s">
        <v>813</v>
      </c>
      <c r="F8379" s="6" t="str">
        <f>IF($M8379="PADD I","PADD 1",IF($M8379="PADD II","PADD 2",IF($M8379="PADD III","PADD 3",IF($M8379="PADD IV","PADD 4",IF($M8379="PADD V","PADD 5","")))))</f>
        <v>PADD 2</v>
      </c>
      <c r="G8379" s="6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6" t="s">
        <v>44</v>
      </c>
      <c r="I8379" s="6" t="s">
        <v>913</v>
      </c>
      <c r="J8379" s="6" t="s">
        <v>398</v>
      </c>
      <c r="K8379" s="10">
        <v>20</v>
      </c>
      <c r="L8379" s="10">
        <v>20</v>
      </c>
      <c r="M8379" s="6" t="s">
        <v>425</v>
      </c>
      <c r="N8379" s="6">
        <f>IF(OR($G8379="FCC",$G8379="Hydrocracker",$G8379="Reformer"),IF(COUNTIFS($D:$D,$D8379,$A:$A,$A8379,$B:$B,$B8379,$G:$G,"CDU",$J:$J,"PLANNED")&gt;0,"tied","standalone"),"")</f>
        <v/>
      </c>
    </row>
    <row r="8380" spans="1:14">
      <c r="A8380" s="6">
        <v>2027</v>
      </c>
      <c r="B8380" s="6">
        <v>3</v>
      </c>
      <c r="C8380" s="6" t="s">
        <v>62</v>
      </c>
      <c r="D8380" s="6" t="s">
        <v>52</v>
      </c>
      <c r="E8380" s="6" t="s">
        <v>441</v>
      </c>
      <c r="F8380" s="6" t="str">
        <f>IF($M8380="PADD I","PADD 1",IF($M8380="PADD II","PADD 2",IF($M8380="PADD III","PADD 3",IF($M8380="PADD IV","PADD 4",IF($M8380="PADD V","PADD 5","")))))</f>
        <v>PADD 5</v>
      </c>
      <c r="G8380" s="6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6" t="s">
        <v>44</v>
      </c>
      <c r="I8380" s="6" t="s">
        <v>1388</v>
      </c>
      <c r="J8380" s="6" t="s">
        <v>398</v>
      </c>
      <c r="K8380" s="10">
        <v>20</v>
      </c>
      <c r="L8380" s="10">
        <v>20</v>
      </c>
      <c r="M8380" s="6" t="s">
        <v>436</v>
      </c>
      <c r="N8380" s="6">
        <f>IF(OR($G8380="FCC",$G8380="Hydrocracker",$G8380="Reformer"),IF(COUNTIFS($D:$D,$D8380,$A:$A,$A8380,$B:$B,$B8380,$G:$G,"CDU",$J:$J,"PLANNED")&gt;0,"tied","standalone"),"")</f>
        <v/>
      </c>
    </row>
    <row r="8381" spans="1:14">
      <c r="A8381" s="6">
        <v>2027</v>
      </c>
      <c r="B8381" s="6">
        <v>3</v>
      </c>
      <c r="C8381" s="6" t="s">
        <v>62</v>
      </c>
      <c r="D8381" s="6" t="s">
        <v>383</v>
      </c>
      <c r="E8381" s="6" t="s">
        <v>602</v>
      </c>
      <c r="F8381" s="6" t="str">
        <f>IF($M8381="PADD I","PADD 1",IF($M8381="PADD II","PADD 2",IF($M8381="PADD III","PADD 3",IF($M8381="PADD IV","PADD 4",IF($M8381="PADD V","PADD 5","")))))</f>
        <v>PADD 3</v>
      </c>
      <c r="G8381" s="6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6" t="s">
        <v>426</v>
      </c>
      <c r="I8381" s="6" t="s">
        <v>663</v>
      </c>
      <c r="J8381" s="6" t="s">
        <v>398</v>
      </c>
      <c r="K8381" s="10">
        <v>20</v>
      </c>
      <c r="L8381" s="10">
        <v>20</v>
      </c>
      <c r="M8381" s="6" t="s">
        <v>421</v>
      </c>
      <c r="N8381" s="6" t="str">
        <f>IF(OR($G8381="FCC",$G8381="Hydrocracker",$G8381="Reformer"),IF(COUNTIFS($D:$D,$D8381,$A:$A,$A8381,$B:$B,$B8381,$G:$G,"CDU",$J:$J,"PLANNED")&gt;0,"tied","standalone"),"")</f>
        <v>tied</v>
      </c>
    </row>
    <row r="8382" spans="1:14">
      <c r="A8382" s="6">
        <v>2027</v>
      </c>
      <c r="B8382" s="6">
        <v>3</v>
      </c>
      <c r="C8382" s="6" t="s">
        <v>62</v>
      </c>
      <c r="D8382" s="6" t="s">
        <v>501</v>
      </c>
      <c r="E8382" s="6" t="s">
        <v>502</v>
      </c>
      <c r="F8382" s="6" t="str">
        <f>IF($M8382="PADD I","PADD 1",IF($M8382="PADD II","PADD 2",IF($M8382="PADD III","PADD 3",IF($M8382="PADD IV","PADD 4",IF($M8382="PADD V","PADD 5","")))))</f>
        <v>PADD 2</v>
      </c>
      <c r="G8382" s="6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6" t="s">
        <v>426</v>
      </c>
      <c r="I8382" s="6" t="s">
        <v>106</v>
      </c>
      <c r="J8382" s="6" t="s">
        <v>398</v>
      </c>
      <c r="K8382" s="10">
        <v>19.72</v>
      </c>
      <c r="L8382" s="10">
        <v>29</v>
      </c>
      <c r="M8382" s="6" t="s">
        <v>425</v>
      </c>
      <c r="N8382" s="6" t="str">
        <f>IF(OR($G8382="FCC",$G8382="Hydrocracker",$G8382="Reformer"),IF(COUNTIFS($D:$D,$D8382,$A:$A,$A8382,$B:$B,$B8382,$G:$G,"CDU",$J:$J,"PLANNED")&gt;0,"tied","standalone"),"")</f>
        <v>tied</v>
      </c>
    </row>
    <row r="8383" spans="1:14">
      <c r="A8383" s="6">
        <v>2027</v>
      </c>
      <c r="B8383" s="6">
        <v>3</v>
      </c>
      <c r="C8383" s="6" t="s">
        <v>62</v>
      </c>
      <c r="D8383" s="6" t="s">
        <v>730</v>
      </c>
      <c r="E8383" s="6" t="s">
        <v>731</v>
      </c>
      <c r="F8383" s="6" t="str">
        <f>IF($M8383="PADD I","PADD 1",IF($M8383="PADD II","PADD 2",IF($M8383="PADD III","PADD 3",IF($M8383="PADD IV","PADD 4",IF($M8383="PADD V","PADD 5","")))))</f>
        <v>PADD 3</v>
      </c>
      <c r="G8383" s="6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6" t="s">
        <v>44</v>
      </c>
      <c r="I8383" s="6" t="s">
        <v>744</v>
      </c>
      <c r="J8383" s="6" t="s">
        <v>398</v>
      </c>
      <c r="K8383" s="10">
        <v>19.14</v>
      </c>
      <c r="L8383" s="10">
        <v>22</v>
      </c>
      <c r="M8383" s="6" t="s">
        <v>421</v>
      </c>
      <c r="N8383" s="6">
        <f>IF(OR($G8383="FCC",$G8383="Hydrocracker",$G8383="Reformer"),IF(COUNTIFS($D:$D,$D8383,$A:$A,$A8383,$B:$B,$B8383,$G:$G,"CDU",$J:$J,"PLANNED")&gt;0,"tied","standalone"),"")</f>
        <v/>
      </c>
    </row>
    <row r="8384" spans="1:14">
      <c r="A8384" s="6">
        <v>2027</v>
      </c>
      <c r="B8384" s="6">
        <v>3</v>
      </c>
      <c r="C8384" s="6" t="s">
        <v>62</v>
      </c>
      <c r="D8384" s="6" t="s">
        <v>889</v>
      </c>
      <c r="E8384" s="6" t="s">
        <v>890</v>
      </c>
      <c r="F8384" s="6" t="str">
        <f>IF($M8384="PADD I","PADD 1",IF($M8384="PADD II","PADD 2",IF($M8384="PADD III","PADD 3",IF($M8384="PADD IV","PADD 4",IF($M8384="PADD V","PADD 5","")))))</f>
        <v>PADD 1</v>
      </c>
      <c r="G8384" s="6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6" t="s">
        <v>44</v>
      </c>
      <c r="I8384" s="6" t="s">
        <v>797</v>
      </c>
      <c r="J8384" s="6" t="s">
        <v>398</v>
      </c>
      <c r="K8384" s="10">
        <v>19.14</v>
      </c>
      <c r="L8384" s="10">
        <v>22</v>
      </c>
      <c r="M8384" s="6" t="s">
        <v>463</v>
      </c>
      <c r="N8384" s="6">
        <f>IF(OR($G8384="FCC",$G8384="Hydrocracker",$G8384="Reformer"),IF(COUNTIFS($D:$D,$D8384,$A:$A,$A8384,$B:$B,$B8384,$G:$G,"CDU",$J:$J,"PLANNED")&gt;0,"tied","standalone"),"")</f>
        <v/>
      </c>
    </row>
    <row r="8385" spans="1:14">
      <c r="A8385" s="6">
        <v>2027</v>
      </c>
      <c r="B8385" s="6">
        <v>3</v>
      </c>
      <c r="C8385" s="6" t="s">
        <v>62</v>
      </c>
      <c r="D8385" s="6" t="s">
        <v>383</v>
      </c>
      <c r="E8385" s="6" t="s">
        <v>602</v>
      </c>
      <c r="F8385" s="6" t="str">
        <f>IF($M8385="PADD I","PADD 1",IF($M8385="PADD II","PADD 2",IF($M8385="PADD III","PADD 3",IF($M8385="PADD IV","PADD 4",IF($M8385="PADD V","PADD 5","")))))</f>
        <v>PADD 3</v>
      </c>
      <c r="G8385" s="6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6" t="s">
        <v>44</v>
      </c>
      <c r="I8385" s="6" t="s">
        <v>657</v>
      </c>
      <c r="J8385" s="6" t="s">
        <v>398</v>
      </c>
      <c r="K8385" s="10">
        <v>18.9</v>
      </c>
      <c r="L8385" s="10">
        <v>18.9</v>
      </c>
      <c r="M8385" s="6" t="s">
        <v>421</v>
      </c>
      <c r="N8385" s="6">
        <f>IF(OR($G8385="FCC",$G8385="Hydrocracker",$G8385="Reformer"),IF(COUNTIFS($D:$D,$D8385,$A:$A,$A8385,$B:$B,$B8385,$G:$G,"CDU",$J:$J,"PLANNED")&gt;0,"tied","standalone"),"")</f>
        <v/>
      </c>
    </row>
    <row r="8386" spans="1:14">
      <c r="A8386" s="6">
        <v>2027</v>
      </c>
      <c r="B8386" s="6">
        <v>3</v>
      </c>
      <c r="C8386" s="6" t="s">
        <v>62</v>
      </c>
      <c r="D8386" s="6" t="s">
        <v>383</v>
      </c>
      <c r="E8386" s="6" t="s">
        <v>602</v>
      </c>
      <c r="F8386" s="6" t="str">
        <f>IF($M8386="PADD I","PADD 1",IF($M8386="PADD II","PADD 2",IF($M8386="PADD III","PADD 3",IF($M8386="PADD IV","PADD 4",IF($M8386="PADD V","PADD 5","")))))</f>
        <v>PADD 3</v>
      </c>
      <c r="G8386" s="6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6" t="s">
        <v>428</v>
      </c>
      <c r="I8386" s="6" t="s">
        <v>605</v>
      </c>
      <c r="J8386" s="6" t="s">
        <v>398</v>
      </c>
      <c r="K8386" s="10">
        <v>18.53</v>
      </c>
      <c r="L8386" s="10">
        <v>18.53</v>
      </c>
      <c r="M8386" s="6" t="s">
        <v>421</v>
      </c>
      <c r="N8386" s="6">
        <f>IF(OR($G8386="FCC",$G8386="Hydrocracker",$G8386="Reformer"),IF(COUNTIFS($D:$D,$D8386,$A:$A,$A8386,$B:$B,$B8386,$G:$G,"CDU",$J:$J,"PLANNED")&gt;0,"tied","standalone"),"")</f>
        <v/>
      </c>
    </row>
    <row r="8387" spans="1:14">
      <c r="A8387" s="6">
        <v>2027</v>
      </c>
      <c r="B8387" s="6">
        <v>3</v>
      </c>
      <c r="C8387" s="6" t="s">
        <v>62</v>
      </c>
      <c r="D8387" s="6" t="s">
        <v>662</v>
      </c>
      <c r="E8387" s="6" t="s">
        <v>466</v>
      </c>
      <c r="F8387" s="6" t="str">
        <f>IF($M8387="PADD I","PADD 1",IF($M8387="PADD II","PADD 2",IF($M8387="PADD III","PADD 3",IF($M8387="PADD IV","PADD 4",IF($M8387="PADD V","PADD 5","")))))</f>
        <v>PADD 3</v>
      </c>
      <c r="G8387" s="6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6" t="s">
        <v>510</v>
      </c>
      <c r="I8387" s="6" t="s">
        <v>885</v>
      </c>
      <c r="J8387" s="6" t="s">
        <v>398</v>
      </c>
      <c r="K8387" s="10">
        <v>18.27</v>
      </c>
      <c r="L8387" s="10">
        <v>21</v>
      </c>
      <c r="M8387" s="6" t="s">
        <v>421</v>
      </c>
      <c r="N8387" s="6">
        <f>IF(OR($G8387="FCC",$G8387="Hydrocracker",$G8387="Reformer"),IF(COUNTIFS($D:$D,$D8387,$A:$A,$A8387,$B:$B,$B8387,$G:$G,"CDU",$J:$J,"PLANNED")&gt;0,"tied","standalone"),"")</f>
        <v/>
      </c>
    </row>
    <row r="8388" spans="1:14">
      <c r="A8388" s="6">
        <v>2027</v>
      </c>
      <c r="B8388" s="6">
        <v>3</v>
      </c>
      <c r="C8388" s="6" t="s">
        <v>62</v>
      </c>
      <c r="D8388" s="6" t="s">
        <v>889</v>
      </c>
      <c r="E8388" s="6" t="s">
        <v>890</v>
      </c>
      <c r="F8388" s="6" t="str">
        <f>IF($M8388="PADD I","PADD 1",IF($M8388="PADD II","PADD 2",IF($M8388="PADD III","PADD 3",IF($M8388="PADD IV","PADD 4",IF($M8388="PADD V","PADD 5","")))))</f>
        <v>PADD 1</v>
      </c>
      <c r="G8388" s="6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6" t="s">
        <v>426</v>
      </c>
      <c r="I8388" s="6" t="s">
        <v>106</v>
      </c>
      <c r="J8388" s="6" t="s">
        <v>398</v>
      </c>
      <c r="K8388" s="10">
        <v>18.27</v>
      </c>
      <c r="L8388" s="10">
        <v>21</v>
      </c>
      <c r="M8388" s="6" t="s">
        <v>463</v>
      </c>
      <c r="N8388" s="6" t="str">
        <f>IF(OR($G8388="FCC",$G8388="Hydrocracker",$G8388="Reformer"),IF(COUNTIFS($D:$D,$D8388,$A:$A,$A8388,$B:$B,$B8388,$G:$G,"CDU",$J:$J,"PLANNED")&gt;0,"tied","standalone"),"")</f>
        <v>tied</v>
      </c>
    </row>
    <row r="8389" spans="1:14">
      <c r="A8389" s="6">
        <v>2027</v>
      </c>
      <c r="B8389" s="6">
        <v>3</v>
      </c>
      <c r="C8389" s="6" t="s">
        <v>62</v>
      </c>
      <c r="D8389" s="6" t="s">
        <v>662</v>
      </c>
      <c r="E8389" s="6" t="s">
        <v>466</v>
      </c>
      <c r="F8389" s="6" t="str">
        <f>IF($M8389="PADD I","PADD 1",IF($M8389="PADD II","PADD 2",IF($M8389="PADD III","PADD 3",IF($M8389="PADD IV","PADD 4",IF($M8389="PADD V","PADD 5","")))))</f>
        <v>PADD 3</v>
      </c>
      <c r="G8389" s="6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6" t="s">
        <v>44</v>
      </c>
      <c r="I8389" s="6" t="s">
        <v>864</v>
      </c>
      <c r="J8389" s="6" t="s">
        <v>398</v>
      </c>
      <c r="K8389" s="10">
        <v>17.94</v>
      </c>
      <c r="L8389" s="10">
        <v>69</v>
      </c>
      <c r="M8389" s="6" t="s">
        <v>421</v>
      </c>
      <c r="N8389" s="6">
        <f>IF(OR($G8389="FCC",$G8389="Hydrocracker",$G8389="Reformer"),IF(COUNTIFS($D:$D,$D8389,$A:$A,$A8389,$B:$B,$B8389,$G:$G,"CDU",$J:$J,"PLANNED")&gt;0,"tied","standalone"),"")</f>
        <v/>
      </c>
    </row>
    <row r="8390" spans="1:14">
      <c r="A8390" s="6">
        <v>2027</v>
      </c>
      <c r="B8390" s="6">
        <v>3</v>
      </c>
      <c r="C8390" s="6" t="s">
        <v>62</v>
      </c>
      <c r="D8390" s="6" t="s">
        <v>662</v>
      </c>
      <c r="E8390" s="6" t="s">
        <v>466</v>
      </c>
      <c r="F8390" s="6" t="str">
        <f>IF($M8390="PADD I","PADD 1",IF($M8390="PADD II","PADD 2",IF($M8390="PADD III","PADD 3",IF($M8390="PADD IV","PADD 4",IF($M8390="PADD V","PADD 5","")))))</f>
        <v>PADD 3</v>
      </c>
      <c r="G8390" s="6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6" t="s">
        <v>426</v>
      </c>
      <c r="I8390" s="6" t="s">
        <v>478</v>
      </c>
      <c r="J8390" s="6" t="s">
        <v>398</v>
      </c>
      <c r="K8390" s="10">
        <v>17.94</v>
      </c>
      <c r="L8390" s="10">
        <v>69</v>
      </c>
      <c r="M8390" s="6" t="s">
        <v>421</v>
      </c>
      <c r="N8390" s="6" t="str">
        <f>IF(OR($G8390="FCC",$G8390="Hydrocracker",$G8390="Reformer"),IF(COUNTIFS($D:$D,$D8390,$A:$A,$A8390,$B:$B,$B8390,$G:$G,"CDU",$J:$J,"PLANNED")&gt;0,"tied","standalone"),"")</f>
        <v>standalone</v>
      </c>
    </row>
    <row r="8391" spans="1:14">
      <c r="A8391" s="6">
        <v>2027</v>
      </c>
      <c r="B8391" s="6">
        <v>3</v>
      </c>
      <c r="C8391" s="6" t="s">
        <v>62</v>
      </c>
      <c r="D8391" s="6" t="s">
        <v>1336</v>
      </c>
      <c r="E8391" s="6" t="s">
        <v>1337</v>
      </c>
      <c r="F8391" s="6" t="str">
        <f>IF($M8391="PADD I","PADD 1",IF($M8391="PADD II","PADD 2",IF($M8391="PADD III","PADD 3",IF($M8391="PADD IV","PADD 4",IF($M8391="PADD V","PADD 5","")))))</f>
        <v>PADD 4</v>
      </c>
      <c r="G8391" s="6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6" t="s">
        <v>39</v>
      </c>
      <c r="I8391" s="6" t="s">
        <v>82</v>
      </c>
      <c r="J8391" s="6" t="s">
        <v>398</v>
      </c>
      <c r="K8391" s="10">
        <v>17.4</v>
      </c>
      <c r="L8391" s="10">
        <v>20</v>
      </c>
      <c r="M8391" s="6" t="s">
        <v>480</v>
      </c>
      <c r="N8391" s="6">
        <f>IF(OR($G8391="FCC",$G8391="Hydrocracker",$G8391="Reformer"),IF(COUNTIFS($D:$D,$D8391,$A:$A,$A8391,$B:$B,$B8391,$G:$G,"CDU",$J:$J,"PLANNED")&gt;0,"tied","standalone"),"")</f>
        <v/>
      </c>
    </row>
    <row r="8392" spans="1:14">
      <c r="A8392" s="6">
        <v>2027</v>
      </c>
      <c r="B8392" s="6">
        <v>3</v>
      </c>
      <c r="C8392" s="6" t="s">
        <v>62</v>
      </c>
      <c r="D8392" s="6" t="s">
        <v>889</v>
      </c>
      <c r="E8392" s="6" t="s">
        <v>890</v>
      </c>
      <c r="F8392" s="6" t="str">
        <f>IF($M8392="PADD I","PADD 1",IF($M8392="PADD II","PADD 2",IF($M8392="PADD III","PADD 3",IF($M8392="PADD IV","PADD 4",IF($M8392="PADD V","PADD 5","")))))</f>
        <v>PADD 1</v>
      </c>
      <c r="G8392" s="6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6" t="s">
        <v>428</v>
      </c>
      <c r="I8392" s="6" t="s">
        <v>481</v>
      </c>
      <c r="J8392" s="6" t="s">
        <v>398</v>
      </c>
      <c r="K8392" s="10">
        <v>17.4</v>
      </c>
      <c r="L8392" s="10">
        <v>20</v>
      </c>
      <c r="M8392" s="6" t="s">
        <v>463</v>
      </c>
      <c r="N8392" s="6">
        <f>IF(OR($G8392="FCC",$G8392="Hydrocracker",$G8392="Reformer"),IF(COUNTIFS($D:$D,$D8392,$A:$A,$A8392,$B:$B,$B8392,$G:$G,"CDU",$J:$J,"PLANNED")&gt;0,"tied","standalone"),"")</f>
        <v/>
      </c>
    </row>
    <row r="8393" spans="1:14">
      <c r="A8393" s="6">
        <v>2027</v>
      </c>
      <c r="B8393" s="6">
        <v>3</v>
      </c>
      <c r="C8393" s="6" t="s">
        <v>62</v>
      </c>
      <c r="D8393" s="6" t="s">
        <v>375</v>
      </c>
      <c r="E8393" s="6" t="s">
        <v>435</v>
      </c>
      <c r="F8393" s="6" t="str">
        <f>IF($M8393="PADD I","PADD 1",IF($M8393="PADD II","PADD 2",IF($M8393="PADD III","PADD 3",IF($M8393="PADD IV","PADD 4",IF($M8393="PADD V","PADD 5","")))))</f>
        <v>PADD 5</v>
      </c>
      <c r="G8393" s="6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6" t="s">
        <v>428</v>
      </c>
      <c r="I8393" s="6" t="s">
        <v>481</v>
      </c>
      <c r="J8393" s="6" t="s">
        <v>398</v>
      </c>
      <c r="K8393" s="10">
        <v>17.1</v>
      </c>
      <c r="L8393" s="10">
        <v>90</v>
      </c>
      <c r="M8393" s="6" t="s">
        <v>436</v>
      </c>
      <c r="N8393" s="6">
        <f>IF(OR($G8393="FCC",$G8393="Hydrocracker",$G8393="Reformer"),IF(COUNTIFS($D:$D,$D8393,$A:$A,$A8393,$B:$B,$B8393,$G:$G,"CDU",$J:$J,"PLANNED")&gt;0,"tied","standalone"),"")</f>
        <v/>
      </c>
    </row>
    <row r="8394" spans="1:14">
      <c r="A8394" s="6">
        <v>2027</v>
      </c>
      <c r="B8394" s="6">
        <v>3</v>
      </c>
      <c r="C8394" s="6" t="s">
        <v>62</v>
      </c>
      <c r="D8394" s="6" t="s">
        <v>383</v>
      </c>
      <c r="E8394" s="6" t="s">
        <v>602</v>
      </c>
      <c r="F8394" s="6" t="str">
        <f>IF($M8394="PADD I","PADD 1",IF($M8394="PADD II","PADD 2",IF($M8394="PADD III","PADD 3",IF($M8394="PADD IV","PADD 4",IF($M8394="PADD V","PADD 5","")))))</f>
        <v>PADD 3</v>
      </c>
      <c r="G8394" s="6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6" t="s">
        <v>471</v>
      </c>
      <c r="I8394" s="6" t="s">
        <v>642</v>
      </c>
      <c r="J8394" s="6" t="s">
        <v>398</v>
      </c>
      <c r="K8394" s="10">
        <v>16</v>
      </c>
      <c r="L8394" s="10">
        <v>16</v>
      </c>
      <c r="M8394" s="6" t="s">
        <v>421</v>
      </c>
      <c r="N8394" s="6" t="str">
        <f>IF(OR($G8394="FCC",$G8394="Hydrocracker",$G8394="Reformer"),IF(COUNTIFS($D:$D,$D8394,$A:$A,$A8394,$B:$B,$B8394,$G:$G,"CDU",$J:$J,"PLANNED")&gt;0,"tied","standalone"),"")</f>
        <v>tied</v>
      </c>
    </row>
    <row r="8395" spans="1:14">
      <c r="A8395" s="6">
        <v>2027</v>
      </c>
      <c r="B8395" s="6">
        <v>3</v>
      </c>
      <c r="C8395" s="6" t="s">
        <v>62</v>
      </c>
      <c r="D8395" s="6" t="s">
        <v>479</v>
      </c>
      <c r="E8395" s="6" t="s">
        <v>438</v>
      </c>
      <c r="F8395" s="6" t="str">
        <f>IF($M8395="PADD I","PADD 1",IF($M8395="PADD II","PADD 2",IF($M8395="PADD III","PADD 3",IF($M8395="PADD IV","PADD 4",IF($M8395="PADD V","PADD 5","")))))</f>
        <v>PADD 4</v>
      </c>
      <c r="G8395" s="6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6" t="s">
        <v>426</v>
      </c>
      <c r="I8395" s="6" t="s">
        <v>106</v>
      </c>
      <c r="J8395" s="6" t="s">
        <v>398</v>
      </c>
      <c r="K8395" s="10">
        <v>15.312</v>
      </c>
      <c r="L8395" s="10">
        <v>26.4</v>
      </c>
      <c r="M8395" s="6" t="s">
        <v>480</v>
      </c>
      <c r="N8395" s="6" t="str">
        <f>IF(OR($G8395="FCC",$G8395="Hydrocracker",$G8395="Reformer"),IF(COUNTIFS($D:$D,$D8395,$A:$A,$A8395,$B:$B,$B8395,$G:$G,"CDU",$J:$J,"PLANNED")&gt;0,"tied","standalone"),"")</f>
        <v>tied</v>
      </c>
    </row>
    <row r="8396" spans="1:14">
      <c r="A8396" s="6">
        <v>2027</v>
      </c>
      <c r="B8396" s="6">
        <v>3</v>
      </c>
      <c r="C8396" s="6" t="s">
        <v>62</v>
      </c>
      <c r="D8396" s="6" t="s">
        <v>812</v>
      </c>
      <c r="E8396" s="6" t="s">
        <v>813</v>
      </c>
      <c r="F8396" s="6" t="str">
        <f>IF($M8396="PADD I","PADD 1",IF($M8396="PADD II","PADD 2",IF($M8396="PADD III","PADD 3",IF($M8396="PADD IV","PADD 4",IF($M8396="PADD V","PADD 5","")))))</f>
        <v>PADD 2</v>
      </c>
      <c r="G8396" s="6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6" t="s">
        <v>471</v>
      </c>
      <c r="I8396" s="6" t="s">
        <v>832</v>
      </c>
      <c r="J8396" s="6" t="s">
        <v>398</v>
      </c>
      <c r="K8396" s="10">
        <v>15</v>
      </c>
      <c r="L8396" s="10">
        <v>15</v>
      </c>
      <c r="M8396" s="6" t="s">
        <v>425</v>
      </c>
      <c r="N8396" s="6" t="str">
        <f>IF(OR($G8396="FCC",$G8396="Hydrocracker",$G8396="Reformer"),IF(COUNTIFS($D:$D,$D8396,$A:$A,$A8396,$B:$B,$B8396,$G:$G,"CDU",$J:$J,"PLANNED")&gt;0,"tied","standalone"),"")</f>
        <v>tied</v>
      </c>
    </row>
    <row r="8397" spans="1:14">
      <c r="A8397" s="6">
        <v>2027</v>
      </c>
      <c r="B8397" s="6">
        <v>3</v>
      </c>
      <c r="C8397" s="6" t="s">
        <v>62</v>
      </c>
      <c r="D8397" s="6" t="s">
        <v>730</v>
      </c>
      <c r="E8397" s="6" t="s">
        <v>731</v>
      </c>
      <c r="F8397" s="6" t="str">
        <f>IF($M8397="PADD I","PADD 1",IF($M8397="PADD II","PADD 2",IF($M8397="PADD III","PADD 3",IF($M8397="PADD IV","PADD 4",IF($M8397="PADD V","PADD 5","")))))</f>
        <v>PADD 3</v>
      </c>
      <c r="G8397" s="6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6" t="s">
        <v>471</v>
      </c>
      <c r="I8397" s="6" t="s">
        <v>589</v>
      </c>
      <c r="J8397" s="6" t="s">
        <v>398</v>
      </c>
      <c r="K8397" s="10">
        <v>14.79</v>
      </c>
      <c r="L8397" s="10">
        <v>17</v>
      </c>
      <c r="M8397" s="6" t="s">
        <v>421</v>
      </c>
      <c r="N8397" s="6" t="str">
        <f>IF(OR($G8397="FCC",$G8397="Hydrocracker",$G8397="Reformer"),IF(COUNTIFS($D:$D,$D8397,$A:$A,$A8397,$B:$B,$B8397,$G:$G,"CDU",$J:$J,"PLANNED")&gt;0,"tied","standalone"),"")</f>
        <v>tied</v>
      </c>
    </row>
    <row r="8398" spans="1:14">
      <c r="A8398" s="6">
        <v>2027</v>
      </c>
      <c r="B8398" s="6">
        <v>3</v>
      </c>
      <c r="C8398" s="6" t="s">
        <v>62</v>
      </c>
      <c r="D8398" s="6" t="s">
        <v>730</v>
      </c>
      <c r="E8398" s="6" t="s">
        <v>731</v>
      </c>
      <c r="F8398" s="6" t="str">
        <f>IF($M8398="PADD I","PADD 1",IF($M8398="PADD II","PADD 2",IF($M8398="PADD III","PADD 3",IF($M8398="PADD IV","PADD 4",IF($M8398="PADD V","PADD 5","")))))</f>
        <v>PADD 3</v>
      </c>
      <c r="G8398" s="6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6" t="s">
        <v>44</v>
      </c>
      <c r="I8398" s="6" t="s">
        <v>752</v>
      </c>
      <c r="J8398" s="6" t="s">
        <v>398</v>
      </c>
      <c r="K8398" s="10">
        <v>14.79</v>
      </c>
      <c r="L8398" s="10">
        <v>17</v>
      </c>
      <c r="M8398" s="6" t="s">
        <v>421</v>
      </c>
      <c r="N8398" s="6">
        <f>IF(OR($G8398="FCC",$G8398="Hydrocracker",$G8398="Reformer"),IF(COUNTIFS($D:$D,$D8398,$A:$A,$A8398,$B:$B,$B8398,$G:$G,"CDU",$J:$J,"PLANNED")&gt;0,"tied","standalone"),"")</f>
        <v/>
      </c>
    </row>
    <row r="8399" spans="1:14">
      <c r="A8399" s="6">
        <v>2027</v>
      </c>
      <c r="B8399" s="6">
        <v>3</v>
      </c>
      <c r="C8399" s="6" t="s">
        <v>62</v>
      </c>
      <c r="D8399" s="6" t="s">
        <v>561</v>
      </c>
      <c r="E8399" s="6" t="s">
        <v>455</v>
      </c>
      <c r="F8399" s="6" t="str">
        <f>IF($M8399="PADD I","PADD 1",IF($M8399="PADD II","PADD 2",IF($M8399="PADD III","PADD 3",IF($M8399="PADD IV","PADD 4",IF($M8399="PADD V","PADD 5","")))))</f>
        <v>PADD 3</v>
      </c>
      <c r="G8399" s="6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6" t="s">
        <v>494</v>
      </c>
      <c r="I8399" s="6" t="s">
        <v>14</v>
      </c>
      <c r="J8399" s="6" t="s">
        <v>398</v>
      </c>
      <c r="K8399" s="10">
        <v>14.5</v>
      </c>
      <c r="L8399" s="10">
        <v>50</v>
      </c>
      <c r="M8399" s="6" t="s">
        <v>421</v>
      </c>
      <c r="N8399" s="6" t="str">
        <f>IF(OR($G8399="FCC",$G8399="Hydrocracker",$G8399="Reformer"),IF(COUNTIFS($D:$D,$D8399,$A:$A,$A8399,$B:$B,$B8399,$G:$G,"CDU",$J:$J,"PLANNED")&gt;0,"tied","standalone"),"")</f>
        <v>standalone</v>
      </c>
    </row>
    <row r="8400" spans="1:14">
      <c r="A8400" s="6">
        <v>2027</v>
      </c>
      <c r="B8400" s="6">
        <v>3</v>
      </c>
      <c r="C8400" s="6" t="s">
        <v>62</v>
      </c>
      <c r="D8400" s="6" t="s">
        <v>889</v>
      </c>
      <c r="E8400" s="6" t="s">
        <v>890</v>
      </c>
      <c r="F8400" s="6" t="str">
        <f>IF($M8400="PADD I","PADD 1",IF($M8400="PADD II","PADD 2",IF($M8400="PADD III","PADD 3",IF($M8400="PADD IV","PADD 4",IF($M8400="PADD V","PADD 5","")))))</f>
        <v>PADD 1</v>
      </c>
      <c r="G8400" s="6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6" t="s">
        <v>471</v>
      </c>
      <c r="I8400" s="6" t="s">
        <v>15</v>
      </c>
      <c r="J8400" s="6" t="s">
        <v>398</v>
      </c>
      <c r="K8400" s="10">
        <v>13.92</v>
      </c>
      <c r="L8400" s="10">
        <v>16</v>
      </c>
      <c r="M8400" s="6" t="s">
        <v>463</v>
      </c>
      <c r="N8400" s="6" t="str">
        <f>IF(OR($G8400="FCC",$G8400="Hydrocracker",$G8400="Reformer"),IF(COUNTIFS($D:$D,$D8400,$A:$A,$A8400,$B:$B,$B8400,$G:$G,"CDU",$J:$J,"PLANNED")&gt;0,"tied","standalone"),"")</f>
        <v>tied</v>
      </c>
    </row>
    <row r="8401" spans="1:14">
      <c r="A8401" s="6">
        <v>2027</v>
      </c>
      <c r="B8401" s="6">
        <v>3</v>
      </c>
      <c r="C8401" s="6" t="s">
        <v>62</v>
      </c>
      <c r="D8401" s="6" t="s">
        <v>383</v>
      </c>
      <c r="E8401" s="6" t="s">
        <v>602</v>
      </c>
      <c r="F8401" s="6" t="str">
        <f>IF($M8401="PADD I","PADD 1",IF($M8401="PADD II","PADD 2",IF($M8401="PADD III","PADD 3",IF($M8401="PADD IV","PADD 4",IF($M8401="PADD V","PADD 5","")))))</f>
        <v>PADD 3</v>
      </c>
      <c r="G8401" s="6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6" t="s">
        <v>44</v>
      </c>
      <c r="I8401" s="6" t="s">
        <v>551</v>
      </c>
      <c r="J8401" s="6" t="s">
        <v>398</v>
      </c>
      <c r="K8401" s="10">
        <v>13.5</v>
      </c>
      <c r="L8401" s="10">
        <v>13.5</v>
      </c>
      <c r="M8401" s="6" t="s">
        <v>421</v>
      </c>
      <c r="N8401" s="6">
        <f>IF(OR($G8401="FCC",$G8401="Hydrocracker",$G8401="Reformer"),IF(COUNTIFS($D:$D,$D8401,$A:$A,$A8401,$B:$B,$B8401,$G:$G,"CDU",$J:$J,"PLANNED")&gt;0,"tied","standalone"),"")</f>
        <v/>
      </c>
    </row>
    <row r="8402" spans="1:14">
      <c r="A8402" s="6">
        <v>2027</v>
      </c>
      <c r="B8402" s="6">
        <v>3</v>
      </c>
      <c r="C8402" s="6" t="s">
        <v>62</v>
      </c>
      <c r="D8402" s="6" t="s">
        <v>730</v>
      </c>
      <c r="E8402" s="6" t="s">
        <v>731</v>
      </c>
      <c r="F8402" s="6" t="str">
        <f>IF($M8402="PADD I","PADD 1",IF($M8402="PADD II","PADD 2",IF($M8402="PADD III","PADD 3",IF($M8402="PADD IV","PADD 4",IF($M8402="PADD V","PADD 5","")))))</f>
        <v>PADD 3</v>
      </c>
      <c r="G8402" s="6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6" t="s">
        <v>494</v>
      </c>
      <c r="I8402" s="6" t="s">
        <v>757</v>
      </c>
      <c r="J8402" s="6" t="s">
        <v>398</v>
      </c>
      <c r="K8402" s="10">
        <v>13.05</v>
      </c>
      <c r="L8402" s="10">
        <v>15</v>
      </c>
      <c r="M8402" s="6" t="s">
        <v>421</v>
      </c>
      <c r="N8402" s="6" t="str">
        <f>IF(OR($G8402="FCC",$G8402="Hydrocracker",$G8402="Reformer"),IF(COUNTIFS($D:$D,$D8402,$A:$A,$A8402,$B:$B,$B8402,$G:$G,"CDU",$J:$J,"PLANNED")&gt;0,"tied","standalone"),"")</f>
        <v>tied</v>
      </c>
    </row>
    <row r="8403" spans="1:14">
      <c r="A8403" s="6">
        <v>2027</v>
      </c>
      <c r="B8403" s="6">
        <v>3</v>
      </c>
      <c r="C8403" s="6" t="s">
        <v>62</v>
      </c>
      <c r="D8403" s="6" t="s">
        <v>972</v>
      </c>
      <c r="E8403" s="6" t="s">
        <v>502</v>
      </c>
      <c r="F8403" s="6" t="str">
        <f>IF($M8403="PADD I","PADD 1",IF($M8403="PADD II","PADD 2",IF($M8403="PADD III","PADD 3",IF($M8403="PADD IV","PADD 4",IF($M8403="PADD V","PADD 5","")))))</f>
        <v>PADD 4</v>
      </c>
      <c r="G8403" s="6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6" t="s">
        <v>426</v>
      </c>
      <c r="I8403" s="6" t="s">
        <v>106</v>
      </c>
      <c r="J8403" s="6" t="s">
        <v>398</v>
      </c>
      <c r="K8403" s="10">
        <v>13</v>
      </c>
      <c r="L8403" s="10">
        <v>13</v>
      </c>
      <c r="M8403" s="6" t="s">
        <v>480</v>
      </c>
      <c r="N8403" s="6" t="str">
        <f>IF(OR($G8403="FCC",$G8403="Hydrocracker",$G8403="Reformer"),IF(COUNTIFS($D:$D,$D8403,$A:$A,$A8403,$B:$B,$B8403,$G:$G,"CDU",$J:$J,"PLANNED")&gt;0,"tied","standalone"),"")</f>
        <v>tied</v>
      </c>
    </row>
    <row r="8404" spans="1:14">
      <c r="A8404" s="6">
        <v>2027</v>
      </c>
      <c r="B8404" s="6">
        <v>3</v>
      </c>
      <c r="C8404" s="6" t="s">
        <v>62</v>
      </c>
      <c r="D8404" s="6" t="s">
        <v>812</v>
      </c>
      <c r="E8404" s="6" t="s">
        <v>813</v>
      </c>
      <c r="F8404" s="6" t="str">
        <f>IF($M8404="PADD I","PADD 1",IF($M8404="PADD II","PADD 2",IF($M8404="PADD III","PADD 3",IF($M8404="PADD IV","PADD 4",IF($M8404="PADD V","PADD 5","")))))</f>
        <v>PADD 2</v>
      </c>
      <c r="G8404" s="6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6" t="s">
        <v>44</v>
      </c>
      <c r="I8404" s="6" t="s">
        <v>1105</v>
      </c>
      <c r="J8404" s="6" t="s">
        <v>398</v>
      </c>
      <c r="K8404" s="10">
        <v>13</v>
      </c>
      <c r="L8404" s="10">
        <v>13</v>
      </c>
      <c r="M8404" s="6" t="s">
        <v>425</v>
      </c>
      <c r="N8404" s="6">
        <f>IF(OR($G8404="FCC",$G8404="Hydrocracker",$G8404="Reformer"),IF(COUNTIFS($D:$D,$D8404,$A:$A,$A8404,$B:$B,$B8404,$G:$G,"CDU",$J:$J,"PLANNED")&gt;0,"tied","standalone"),"")</f>
        <v/>
      </c>
    </row>
    <row r="8405" spans="1:14">
      <c r="A8405" s="6">
        <v>2027</v>
      </c>
      <c r="B8405" s="6">
        <v>3</v>
      </c>
      <c r="C8405" s="6" t="s">
        <v>62</v>
      </c>
      <c r="D8405" s="6" t="s">
        <v>501</v>
      </c>
      <c r="E8405" s="6" t="s">
        <v>502</v>
      </c>
      <c r="F8405" s="6" t="str">
        <f>IF($M8405="PADD I","PADD 1",IF($M8405="PADD II","PADD 2",IF($M8405="PADD III","PADD 3",IF($M8405="PADD IV","PADD 4",IF($M8405="PADD V","PADD 5","")))))</f>
        <v>PADD 2</v>
      </c>
      <c r="G8405" s="6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6" t="s">
        <v>428</v>
      </c>
      <c r="I8405" s="6" t="s">
        <v>481</v>
      </c>
      <c r="J8405" s="6" t="s">
        <v>398</v>
      </c>
      <c r="K8405" s="10">
        <v>12.88</v>
      </c>
      <c r="L8405" s="10">
        <v>56</v>
      </c>
      <c r="M8405" s="6" t="s">
        <v>425</v>
      </c>
      <c r="N8405" s="6">
        <f>IF(OR($G8405="FCC",$G8405="Hydrocracker",$G8405="Reformer"),IF(COUNTIFS($D:$D,$D8405,$A:$A,$A8405,$B:$B,$B8405,$G:$G,"CDU",$J:$J,"PLANNED")&gt;0,"tied","standalone"),"")</f>
        <v/>
      </c>
    </row>
    <row r="8406" spans="1:14">
      <c r="A8406" s="6">
        <v>2027</v>
      </c>
      <c r="B8406" s="6">
        <v>3</v>
      </c>
      <c r="C8406" s="6" t="s">
        <v>62</v>
      </c>
      <c r="D8406" s="6" t="s">
        <v>812</v>
      </c>
      <c r="E8406" s="6" t="s">
        <v>813</v>
      </c>
      <c r="F8406" s="6" t="str">
        <f>IF($M8406="PADD I","PADD 1",IF($M8406="PADD II","PADD 2",IF($M8406="PADD III","PADD 3",IF($M8406="PADD IV","PADD 4",IF($M8406="PADD V","PADD 5","")))))</f>
        <v>PADD 2</v>
      </c>
      <c r="G8406" s="6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6" t="s">
        <v>428</v>
      </c>
      <c r="I8406" s="6" t="s">
        <v>862</v>
      </c>
      <c r="J8406" s="6" t="s">
        <v>398</v>
      </c>
      <c r="K8406" s="10">
        <v>12</v>
      </c>
      <c r="L8406" s="10">
        <v>12</v>
      </c>
      <c r="M8406" s="6" t="s">
        <v>425</v>
      </c>
      <c r="N8406" s="6">
        <f>IF(OR($G8406="FCC",$G8406="Hydrocracker",$G8406="Reformer"),IF(COUNTIFS($D:$D,$D8406,$A:$A,$A8406,$B:$B,$B8406,$G:$G,"CDU",$J:$J,"PLANNED")&gt;0,"tied","standalone"),"")</f>
        <v/>
      </c>
    </row>
    <row r="8407" spans="1:14">
      <c r="A8407" s="6">
        <v>2027</v>
      </c>
      <c r="B8407" s="6">
        <v>3</v>
      </c>
      <c r="C8407" s="6" t="s">
        <v>62</v>
      </c>
      <c r="D8407" s="6" t="s">
        <v>812</v>
      </c>
      <c r="E8407" s="6" t="s">
        <v>813</v>
      </c>
      <c r="F8407" s="6" t="str">
        <f>IF($M8407="PADD I","PADD 1",IF($M8407="PADD II","PADD 2",IF($M8407="PADD III","PADD 3",IF($M8407="PADD IV","PADD 4",IF($M8407="PADD V","PADD 5","")))))</f>
        <v>PADD 2</v>
      </c>
      <c r="G8407" s="6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6" t="s">
        <v>428</v>
      </c>
      <c r="I8407" s="6" t="s">
        <v>1014</v>
      </c>
      <c r="J8407" s="6" t="s">
        <v>398</v>
      </c>
      <c r="K8407" s="10">
        <v>12</v>
      </c>
      <c r="L8407" s="10">
        <v>12</v>
      </c>
      <c r="M8407" s="6" t="s">
        <v>425</v>
      </c>
      <c r="N8407" s="6">
        <f>IF(OR($G8407="FCC",$G8407="Hydrocracker",$G8407="Reformer"),IF(COUNTIFS($D:$D,$D8407,$A:$A,$A8407,$B:$B,$B8407,$G:$G,"CDU",$J:$J,"PLANNED")&gt;0,"tied","standalone"),"")</f>
        <v/>
      </c>
    </row>
    <row r="8408" spans="1:14">
      <c r="A8408" s="6">
        <v>2027</v>
      </c>
      <c r="B8408" s="6">
        <v>3</v>
      </c>
      <c r="C8408" s="6" t="s">
        <v>62</v>
      </c>
      <c r="D8408" s="6" t="s">
        <v>682</v>
      </c>
      <c r="E8408" s="6" t="s">
        <v>683</v>
      </c>
      <c r="F8408" s="6" t="str">
        <f>IF($M8408="PADD I","PADD 1",IF($M8408="PADD II","PADD 2",IF($M8408="PADD III","PADD 3",IF($M8408="PADD IV","PADD 4",IF($M8408="PADD V","PADD 5","")))))</f>
        <v>PADD 4</v>
      </c>
      <c r="G8408" s="6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6" t="s">
        <v>426</v>
      </c>
      <c r="I8408" s="6" t="s">
        <v>684</v>
      </c>
      <c r="J8408" s="6" t="s">
        <v>398</v>
      </c>
      <c r="K8408" s="10">
        <v>11.5</v>
      </c>
      <c r="L8408" s="10">
        <v>11.5</v>
      </c>
      <c r="M8408" s="6" t="s">
        <v>480</v>
      </c>
      <c r="N8408" s="6" t="str">
        <f>IF(OR($G8408="FCC",$G8408="Hydrocracker",$G8408="Reformer"),IF(COUNTIFS($D:$D,$D8408,$A:$A,$A8408,$B:$B,$B8408,$G:$G,"CDU",$J:$J,"PLANNED")&gt;0,"tied","standalone"),"")</f>
        <v>tied</v>
      </c>
    </row>
    <row r="8409" spans="1:14">
      <c r="A8409" s="6">
        <v>2027</v>
      </c>
      <c r="B8409" s="6">
        <v>3</v>
      </c>
      <c r="C8409" s="6" t="s">
        <v>62</v>
      </c>
      <c r="D8409" s="6" t="s">
        <v>371</v>
      </c>
      <c r="E8409" s="6" t="s">
        <v>419</v>
      </c>
      <c r="F8409" s="6" t="str">
        <f>IF($M8409="PADD I","PADD 1",IF($M8409="PADD II","PADD 2",IF($M8409="PADD III","PADD 3",IF($M8409="PADD IV","PADD 4",IF($M8409="PADD V","PADD 5","")))))</f>
        <v>PADD 2</v>
      </c>
      <c r="G8409" s="6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6" t="s">
        <v>485</v>
      </c>
      <c r="I8409" s="6" t="s">
        <v>1442</v>
      </c>
      <c r="J8409" s="6" t="s">
        <v>398</v>
      </c>
      <c r="K8409" s="10">
        <v>11.05</v>
      </c>
      <c r="L8409" s="10">
        <v>17</v>
      </c>
      <c r="M8409" s="6" t="s">
        <v>425</v>
      </c>
      <c r="N8409" s="6">
        <f>IF(OR($G8409="FCC",$G8409="Hydrocracker",$G8409="Reformer"),IF(COUNTIFS($D:$D,$D8409,$A:$A,$A8409,$B:$B,$B8409,$G:$G,"CDU",$J:$J,"PLANNED")&gt;0,"tied","standalone"),"")</f>
        <v/>
      </c>
    </row>
    <row r="8410" spans="1:14">
      <c r="A8410" s="6">
        <v>2027</v>
      </c>
      <c r="B8410" s="6">
        <v>3</v>
      </c>
      <c r="C8410" s="6" t="s">
        <v>62</v>
      </c>
      <c r="D8410" s="6" t="s">
        <v>730</v>
      </c>
      <c r="E8410" s="6" t="s">
        <v>731</v>
      </c>
      <c r="F8410" s="6" t="str">
        <f>IF($M8410="PADD I","PADD 1",IF($M8410="PADD II","PADD 2",IF($M8410="PADD III","PADD 3",IF($M8410="PADD IV","PADD 4",IF($M8410="PADD V","PADD 5","")))))</f>
        <v>PADD 3</v>
      </c>
      <c r="G8410" s="6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6" t="s">
        <v>44</v>
      </c>
      <c r="I8410" s="6" t="s">
        <v>759</v>
      </c>
      <c r="J8410" s="6" t="s">
        <v>398</v>
      </c>
      <c r="K8410" s="10">
        <v>10.44</v>
      </c>
      <c r="L8410" s="10">
        <v>12</v>
      </c>
      <c r="M8410" s="6" t="s">
        <v>421</v>
      </c>
      <c r="N8410" s="6">
        <f>IF(OR($G8410="FCC",$G8410="Hydrocracker",$G8410="Reformer"),IF(COUNTIFS($D:$D,$D8410,$A:$A,$A8410,$B:$B,$B8410,$G:$G,"CDU",$J:$J,"PLANNED")&gt;0,"tied","standalone"),"")</f>
        <v/>
      </c>
    </row>
    <row r="8411" spans="1:14">
      <c r="A8411" s="6">
        <v>2027</v>
      </c>
      <c r="B8411" s="6">
        <v>3</v>
      </c>
      <c r="C8411" s="6" t="s">
        <v>62</v>
      </c>
      <c r="D8411" s="6" t="s">
        <v>889</v>
      </c>
      <c r="E8411" s="6" t="s">
        <v>890</v>
      </c>
      <c r="F8411" s="6" t="str">
        <f>IF($M8411="PADD I","PADD 1",IF($M8411="PADD II","PADD 2",IF($M8411="PADD III","PADD 3",IF($M8411="PADD IV","PADD 4",IF($M8411="PADD V","PADD 5","")))))</f>
        <v>PADD 1</v>
      </c>
      <c r="G8411" s="6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6" t="s">
        <v>573</v>
      </c>
      <c r="I8411" s="6" t="s">
        <v>574</v>
      </c>
      <c r="J8411" s="6" t="s">
        <v>398</v>
      </c>
      <c r="K8411" s="10">
        <v>10.44</v>
      </c>
      <c r="L8411" s="10">
        <v>12</v>
      </c>
      <c r="M8411" s="6" t="s">
        <v>463</v>
      </c>
      <c r="N8411" s="6">
        <f>IF(OR($G8411="FCC",$G8411="Hydrocracker",$G8411="Reformer"),IF(COUNTIFS($D:$D,$D8411,$A:$A,$A8411,$B:$B,$B8411,$G:$G,"CDU",$J:$J,"PLANNED")&gt;0,"tied","standalone"),"")</f>
        <v/>
      </c>
    </row>
    <row r="8412" spans="1:14">
      <c r="A8412" s="6">
        <v>2027</v>
      </c>
      <c r="B8412" s="6">
        <v>3</v>
      </c>
      <c r="C8412" s="6" t="s">
        <v>62</v>
      </c>
      <c r="D8412" s="6" t="s">
        <v>682</v>
      </c>
      <c r="E8412" s="6" t="s">
        <v>683</v>
      </c>
      <c r="F8412" s="6" t="str">
        <f>IF($M8412="PADD I","PADD 1",IF($M8412="PADD II","PADD 2",IF($M8412="PADD III","PADD 3",IF($M8412="PADD IV","PADD 4",IF($M8412="PADD V","PADD 5","")))))</f>
        <v>PADD 4</v>
      </c>
      <c r="G8412" s="6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6" t="s">
        <v>471</v>
      </c>
      <c r="I8412" s="6" t="s">
        <v>1120</v>
      </c>
      <c r="J8412" s="6" t="s">
        <v>398</v>
      </c>
      <c r="K8412" s="10">
        <v>10</v>
      </c>
      <c r="L8412" s="10">
        <v>10</v>
      </c>
      <c r="M8412" s="6" t="s">
        <v>480</v>
      </c>
      <c r="N8412" s="6" t="str">
        <f>IF(OR($G8412="FCC",$G8412="Hydrocracker",$G8412="Reformer"),IF(COUNTIFS($D:$D,$D8412,$A:$A,$A8412,$B:$B,$B8412,$G:$G,"CDU",$J:$J,"PLANNED")&gt;0,"tied","standalone"),"")</f>
        <v>tied</v>
      </c>
    </row>
    <row r="8413" spans="1:14">
      <c r="A8413" s="6">
        <v>2027</v>
      </c>
      <c r="B8413" s="6">
        <v>3</v>
      </c>
      <c r="C8413" s="6" t="s">
        <v>62</v>
      </c>
      <c r="D8413" s="6" t="s">
        <v>479</v>
      </c>
      <c r="E8413" s="6" t="s">
        <v>438</v>
      </c>
      <c r="F8413" s="6" t="str">
        <f>IF($M8413="PADD I","PADD 1",IF($M8413="PADD II","PADD 2",IF($M8413="PADD III","PADD 3",IF($M8413="PADD IV","PADD 4",IF($M8413="PADD V","PADD 5","")))))</f>
        <v>PADD 4</v>
      </c>
      <c r="G8413" s="6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6" t="s">
        <v>44</v>
      </c>
      <c r="I8413" s="6" t="s">
        <v>564</v>
      </c>
      <c r="J8413" s="6" t="s">
        <v>398</v>
      </c>
      <c r="K8413" s="10">
        <v>9.917999999999999</v>
      </c>
      <c r="L8413" s="10">
        <v>17.1</v>
      </c>
      <c r="M8413" s="6" t="s">
        <v>480</v>
      </c>
      <c r="N8413" s="6">
        <f>IF(OR($G8413="FCC",$G8413="Hydrocracker",$G8413="Reformer"),IF(COUNTIFS($D:$D,$D8413,$A:$A,$A8413,$B:$B,$B8413,$G:$G,"CDU",$J:$J,"PLANNED")&gt;0,"tied","standalone"),"")</f>
        <v/>
      </c>
    </row>
    <row r="8414" spans="1:14">
      <c r="A8414" s="6">
        <v>2027</v>
      </c>
      <c r="B8414" s="6">
        <v>3</v>
      </c>
      <c r="C8414" s="6" t="s">
        <v>62</v>
      </c>
      <c r="D8414" s="6" t="s">
        <v>696</v>
      </c>
      <c r="E8414" s="6" t="s">
        <v>455</v>
      </c>
      <c r="F8414" s="6" t="str">
        <f>IF($M8414="PADD I","PADD 1",IF($M8414="PADD II","PADD 2",IF($M8414="PADD III","PADD 3",IF($M8414="PADD IV","PADD 4",IF($M8414="PADD V","PADD 5","")))))</f>
        <v>PADD 3</v>
      </c>
      <c r="G8414" s="6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6" t="s">
        <v>485</v>
      </c>
      <c r="I8414" s="6" t="s">
        <v>491</v>
      </c>
      <c r="J8414" s="6" t="s">
        <v>398</v>
      </c>
      <c r="K8414" s="10">
        <v>9.9</v>
      </c>
      <c r="L8414" s="10">
        <v>18</v>
      </c>
      <c r="M8414" s="6" t="s">
        <v>421</v>
      </c>
      <c r="N8414" s="6">
        <f>IF(OR($G8414="FCC",$G8414="Hydrocracker",$G8414="Reformer"),IF(COUNTIFS($D:$D,$D8414,$A:$A,$A8414,$B:$B,$B8414,$G:$G,"CDU",$J:$J,"PLANNED")&gt;0,"tied","standalone"),"")</f>
        <v/>
      </c>
    </row>
    <row r="8415" spans="1:14">
      <c r="A8415" s="6">
        <v>2027</v>
      </c>
      <c r="B8415" s="6">
        <v>3</v>
      </c>
      <c r="C8415" s="6" t="s">
        <v>62</v>
      </c>
      <c r="D8415" s="6" t="s">
        <v>730</v>
      </c>
      <c r="E8415" s="6" t="s">
        <v>731</v>
      </c>
      <c r="F8415" s="6" t="str">
        <f>IF($M8415="PADD I","PADD 1",IF($M8415="PADD II","PADD 2",IF($M8415="PADD III","PADD 3",IF($M8415="PADD IV","PADD 4",IF($M8415="PADD V","PADD 5","")))))</f>
        <v>PADD 3</v>
      </c>
      <c r="G8415" s="6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6" t="s">
        <v>618</v>
      </c>
      <c r="I8415" s="6" t="s">
        <v>763</v>
      </c>
      <c r="J8415" s="6" t="s">
        <v>398</v>
      </c>
      <c r="K8415" s="10">
        <v>9.57</v>
      </c>
      <c r="L8415" s="10">
        <v>11</v>
      </c>
      <c r="M8415" s="6" t="s">
        <v>421</v>
      </c>
      <c r="N8415" s="6">
        <f>IF(OR($G8415="FCC",$G8415="Hydrocracker",$G8415="Reformer"),IF(COUNTIFS($D:$D,$D8415,$A:$A,$A8415,$B:$B,$B8415,$G:$G,"CDU",$J:$J,"PLANNED")&gt;0,"tied","standalone"),"")</f>
        <v/>
      </c>
    </row>
    <row r="8416" spans="1:14">
      <c r="A8416" s="6">
        <v>2027</v>
      </c>
      <c r="B8416" s="6">
        <v>3</v>
      </c>
      <c r="C8416" s="6" t="s">
        <v>62</v>
      </c>
      <c r="D8416" s="6" t="s">
        <v>972</v>
      </c>
      <c r="E8416" s="6" t="s">
        <v>502</v>
      </c>
      <c r="F8416" s="6" t="str">
        <f>IF($M8416="PADD I","PADD 1",IF($M8416="PADD II","PADD 2",IF($M8416="PADD III","PADD 3",IF($M8416="PADD IV","PADD 4",IF($M8416="PADD V","PADD 5","")))))</f>
        <v>PADD 4</v>
      </c>
      <c r="G8416" s="6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6" t="s">
        <v>44</v>
      </c>
      <c r="I8416" s="6" t="s">
        <v>983</v>
      </c>
      <c r="J8416" s="6" t="s">
        <v>398</v>
      </c>
      <c r="K8416" s="10">
        <v>9.5</v>
      </c>
      <c r="L8416" s="10">
        <v>9.5</v>
      </c>
      <c r="M8416" s="6" t="s">
        <v>480</v>
      </c>
      <c r="N8416" s="6">
        <f>IF(OR($G8416="FCC",$G8416="Hydrocracker",$G8416="Reformer"),IF(COUNTIFS($D:$D,$D8416,$A:$A,$A8416,$B:$B,$B8416,$G:$G,"CDU",$J:$J,"PLANNED")&gt;0,"tied","standalone"),"")</f>
        <v/>
      </c>
    </row>
    <row r="8417" spans="1:14">
      <c r="A8417" s="6">
        <v>2027</v>
      </c>
      <c r="B8417" s="6">
        <v>3</v>
      </c>
      <c r="C8417" s="6" t="s">
        <v>62</v>
      </c>
      <c r="D8417" s="6" t="s">
        <v>501</v>
      </c>
      <c r="E8417" s="6" t="s">
        <v>502</v>
      </c>
      <c r="F8417" s="6" t="str">
        <f>IF($M8417="PADD I","PADD 1",IF($M8417="PADD II","PADD 2",IF($M8417="PADD III","PADD 3",IF($M8417="PADD IV","PADD 4",IF($M8417="PADD V","PADD 5","")))))</f>
        <v>PADD 2</v>
      </c>
      <c r="G8417" s="6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6" t="s">
        <v>39</v>
      </c>
      <c r="I8417" s="6" t="s">
        <v>531</v>
      </c>
      <c r="J8417" s="6" t="s">
        <v>398</v>
      </c>
      <c r="K8417" s="10">
        <v>9.199999999999999</v>
      </c>
      <c r="L8417" s="10">
        <v>40</v>
      </c>
      <c r="M8417" s="6" t="s">
        <v>425</v>
      </c>
      <c r="N8417" s="6">
        <f>IF(OR($G8417="FCC",$G8417="Hydrocracker",$G8417="Reformer"),IF(COUNTIFS($D:$D,$D8417,$A:$A,$A8417,$B:$B,$B8417,$G:$G,"CDU",$J:$J,"PLANNED")&gt;0,"tied","standalone"),"")</f>
        <v/>
      </c>
    </row>
    <row r="8418" spans="1:14">
      <c r="A8418" s="6">
        <v>2027</v>
      </c>
      <c r="B8418" s="6">
        <v>3</v>
      </c>
      <c r="C8418" s="6" t="s">
        <v>62</v>
      </c>
      <c r="D8418" s="6" t="s">
        <v>972</v>
      </c>
      <c r="E8418" s="6" t="s">
        <v>502</v>
      </c>
      <c r="F8418" s="6" t="str">
        <f>IF($M8418="PADD I","PADD 1",IF($M8418="PADD II","PADD 2",IF($M8418="PADD III","PADD 3",IF($M8418="PADD IV","PADD 4",IF($M8418="PADD V","PADD 5","")))))</f>
        <v>PADD 4</v>
      </c>
      <c r="G8418" s="6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6" t="s">
        <v>44</v>
      </c>
      <c r="I8418" s="6" t="s">
        <v>776</v>
      </c>
      <c r="J8418" s="6" t="s">
        <v>398</v>
      </c>
      <c r="K8418" s="10">
        <v>9</v>
      </c>
      <c r="L8418" s="10">
        <v>9</v>
      </c>
      <c r="M8418" s="6" t="s">
        <v>480</v>
      </c>
      <c r="N8418" s="6">
        <f>IF(OR($G8418="FCC",$G8418="Hydrocracker",$G8418="Reformer"),IF(COUNTIFS($D:$D,$D8418,$A:$A,$A8418,$B:$B,$B8418,$G:$G,"CDU",$J:$J,"PLANNED")&gt;0,"tied","standalone"),"")</f>
        <v/>
      </c>
    </row>
    <row r="8419" spans="1:14">
      <c r="A8419" s="6">
        <v>2027</v>
      </c>
      <c r="B8419" s="6">
        <v>3</v>
      </c>
      <c r="C8419" s="6" t="s">
        <v>62</v>
      </c>
      <c r="D8419" s="6" t="s">
        <v>1440</v>
      </c>
      <c r="E8419" s="6" t="s">
        <v>731</v>
      </c>
      <c r="F8419" s="6" t="str">
        <f>IF($M8419="PADD I","PADD 1",IF($M8419="PADD II","PADD 2",IF($M8419="PADD III","PADD 3",IF($M8419="PADD IV","PADD 4",IF($M8419="PADD V","PADD 5","")))))</f>
        <v>PADD 3</v>
      </c>
      <c r="G8419" s="6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6" t="s">
        <v>428</v>
      </c>
      <c r="I8419" s="6" t="s">
        <v>481</v>
      </c>
      <c r="J8419" s="6" t="s">
        <v>398</v>
      </c>
      <c r="K8419" s="10">
        <v>8.699999999999999</v>
      </c>
      <c r="L8419" s="10">
        <v>10</v>
      </c>
      <c r="M8419" s="6" t="s">
        <v>421</v>
      </c>
      <c r="N8419" s="6">
        <f>IF(OR($G8419="FCC",$G8419="Hydrocracker",$G8419="Reformer"),IF(COUNTIFS($D:$D,$D8419,$A:$A,$A8419,$B:$B,$B8419,$G:$G,"CDU",$J:$J,"PLANNED")&gt;0,"tied","standalone"),"")</f>
        <v/>
      </c>
    </row>
    <row r="8420" spans="1:14">
      <c r="A8420" s="6">
        <v>2027</v>
      </c>
      <c r="B8420" s="6">
        <v>3</v>
      </c>
      <c r="C8420" s="6" t="s">
        <v>62</v>
      </c>
      <c r="D8420" s="6" t="s">
        <v>383</v>
      </c>
      <c r="E8420" s="6" t="s">
        <v>602</v>
      </c>
      <c r="F8420" s="6" t="str">
        <f>IF($M8420="PADD I","PADD 1",IF($M8420="PADD II","PADD 2",IF($M8420="PADD III","PADD 3",IF($M8420="PADD IV","PADD 4",IF($M8420="PADD V","PADD 5","")))))</f>
        <v>PADD 3</v>
      </c>
      <c r="G8420" s="6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6" t="s">
        <v>687</v>
      </c>
      <c r="I8420" s="6" t="s">
        <v>1437</v>
      </c>
      <c r="J8420" s="6" t="s">
        <v>398</v>
      </c>
      <c r="K8420" s="10">
        <v>8.5</v>
      </c>
      <c r="L8420" s="10">
        <v>8.5</v>
      </c>
      <c r="M8420" s="6" t="s">
        <v>421</v>
      </c>
      <c r="N8420" s="6">
        <f>IF(OR($G8420="FCC",$G8420="Hydrocracker",$G8420="Reformer"),IF(COUNTIFS($D:$D,$D8420,$A:$A,$A8420,$B:$B,$B8420,$G:$G,"CDU",$J:$J,"PLANNED")&gt;0,"tied","standalone"),"")</f>
        <v/>
      </c>
    </row>
    <row r="8421" spans="1:14">
      <c r="A8421" s="6">
        <v>2027</v>
      </c>
      <c r="B8421" s="6">
        <v>3</v>
      </c>
      <c r="C8421" s="6" t="s">
        <v>62</v>
      </c>
      <c r="D8421" s="6" t="s">
        <v>678</v>
      </c>
      <c r="E8421" s="6" t="s">
        <v>438</v>
      </c>
      <c r="F8421" s="6" t="str">
        <f>IF($M8421="PADD I","PADD 1",IF($M8421="PADD II","PADD 2",IF($M8421="PADD III","PADD 3",IF($M8421="PADD IV","PADD 4",IF($M8421="PADD V","PADD 5","")))))</f>
        <v>PADD 3</v>
      </c>
      <c r="G8421" s="6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6" t="s">
        <v>39</v>
      </c>
      <c r="I8421" s="6" t="s">
        <v>1098</v>
      </c>
      <c r="J8421" s="6" t="s">
        <v>398</v>
      </c>
      <c r="K8421" s="10">
        <v>8</v>
      </c>
      <c r="L8421" s="10">
        <v>50</v>
      </c>
      <c r="M8421" s="6" t="s">
        <v>421</v>
      </c>
      <c r="N8421" s="6">
        <f>IF(OR($G8421="FCC",$G8421="Hydrocracker",$G8421="Reformer"),IF(COUNTIFS($D:$D,$D8421,$A:$A,$A8421,$B:$B,$B8421,$G:$G,"CDU",$J:$J,"PLANNED")&gt;0,"tied","standalone"),"")</f>
        <v/>
      </c>
    </row>
    <row r="8422" spans="1:14">
      <c r="A8422" s="6">
        <v>2027</v>
      </c>
      <c r="B8422" s="6">
        <v>3</v>
      </c>
      <c r="C8422" s="6" t="s">
        <v>62</v>
      </c>
      <c r="D8422" s="6" t="s">
        <v>383</v>
      </c>
      <c r="E8422" s="6" t="s">
        <v>602</v>
      </c>
      <c r="F8422" s="6" t="str">
        <f>IF($M8422="PADD I","PADD 1",IF($M8422="PADD II","PADD 2",IF($M8422="PADD III","PADD 3",IF($M8422="PADD IV","PADD 4",IF($M8422="PADD V","PADD 5","")))))</f>
        <v>PADD 3</v>
      </c>
      <c r="G8422" s="6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6" t="s">
        <v>44</v>
      </c>
      <c r="I8422" s="6" t="s">
        <v>669</v>
      </c>
      <c r="J8422" s="6" t="s">
        <v>398</v>
      </c>
      <c r="K8422" s="10">
        <v>8</v>
      </c>
      <c r="L8422" s="10">
        <v>8</v>
      </c>
      <c r="M8422" s="6" t="s">
        <v>421</v>
      </c>
      <c r="N8422" s="6">
        <f>IF(OR($G8422="FCC",$G8422="Hydrocracker",$G8422="Reformer"),IF(COUNTIFS($D:$D,$D8422,$A:$A,$A8422,$B:$B,$B8422,$G:$G,"CDU",$J:$J,"PLANNED")&gt;0,"tied","standalone"),"")</f>
        <v/>
      </c>
    </row>
    <row r="8423" spans="1:14">
      <c r="A8423" s="6">
        <v>2027</v>
      </c>
      <c r="B8423" s="6">
        <v>3</v>
      </c>
      <c r="C8423" s="6" t="s">
        <v>62</v>
      </c>
      <c r="D8423" s="6" t="s">
        <v>375</v>
      </c>
      <c r="E8423" s="6" t="s">
        <v>435</v>
      </c>
      <c r="F8423" s="6" t="str">
        <f>IF($M8423="PADD I","PADD 1",IF($M8423="PADD II","PADD 2",IF($M8423="PADD III","PADD 3",IF($M8423="PADD IV","PADD 4",IF($M8423="PADD V","PADD 5","")))))</f>
        <v>PADD 5</v>
      </c>
      <c r="G8423" s="6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6" t="s">
        <v>494</v>
      </c>
      <c r="I8423" s="6" t="s">
        <v>548</v>
      </c>
      <c r="J8423" s="6" t="s">
        <v>398</v>
      </c>
      <c r="K8423" s="10">
        <v>7.98</v>
      </c>
      <c r="L8423" s="10">
        <v>42</v>
      </c>
      <c r="M8423" s="6" t="s">
        <v>436</v>
      </c>
      <c r="N8423" s="6" t="str">
        <f>IF(OR($G8423="FCC",$G8423="Hydrocracker",$G8423="Reformer"),IF(COUNTIFS($D:$D,$D8423,$A:$A,$A8423,$B:$B,$B8423,$G:$G,"CDU",$J:$J,"PLANNED")&gt;0,"tied","standalone"),"")</f>
        <v>tied</v>
      </c>
    </row>
    <row r="8424" spans="1:14">
      <c r="A8424" s="6">
        <v>2027</v>
      </c>
      <c r="B8424" s="6">
        <v>3</v>
      </c>
      <c r="C8424" s="6" t="s">
        <v>62</v>
      </c>
      <c r="D8424" s="6" t="s">
        <v>972</v>
      </c>
      <c r="E8424" s="6" t="s">
        <v>502</v>
      </c>
      <c r="F8424" s="6" t="str">
        <f>IF($M8424="PADD I","PADD 1",IF($M8424="PADD II","PADD 2",IF($M8424="PADD III","PADD 3",IF($M8424="PADD IV","PADD 4",IF($M8424="PADD V","PADD 5","")))))</f>
        <v>PADD 4</v>
      </c>
      <c r="G8424" s="6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6" t="s">
        <v>428</v>
      </c>
      <c r="I8424" s="6" t="s">
        <v>985</v>
      </c>
      <c r="J8424" s="6" t="s">
        <v>398</v>
      </c>
      <c r="K8424" s="10">
        <v>7.8</v>
      </c>
      <c r="L8424" s="10">
        <v>7.8</v>
      </c>
      <c r="M8424" s="6" t="s">
        <v>480</v>
      </c>
      <c r="N8424" s="6">
        <f>IF(OR($G8424="FCC",$G8424="Hydrocracker",$G8424="Reformer"),IF(COUNTIFS($D:$D,$D8424,$A:$A,$A8424,$B:$B,$B8424,$G:$G,"CDU",$J:$J,"PLANNED")&gt;0,"tied","standalone"),"")</f>
        <v/>
      </c>
    </row>
    <row r="8425" spans="1:14">
      <c r="A8425" s="6">
        <v>2027</v>
      </c>
      <c r="B8425" s="6">
        <v>3</v>
      </c>
      <c r="C8425" s="6" t="s">
        <v>62</v>
      </c>
      <c r="D8425" s="6" t="s">
        <v>972</v>
      </c>
      <c r="E8425" s="6" t="s">
        <v>502</v>
      </c>
      <c r="F8425" s="6" t="str">
        <f>IF($M8425="PADD I","PADD 1",IF($M8425="PADD II","PADD 2",IF($M8425="PADD III","PADD 3",IF($M8425="PADD IV","PADD 4",IF($M8425="PADD V","PADD 5","")))))</f>
        <v>PADD 4</v>
      </c>
      <c r="G8425" s="6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6" t="s">
        <v>471</v>
      </c>
      <c r="I8425" s="6" t="s">
        <v>15</v>
      </c>
      <c r="J8425" s="6" t="s">
        <v>398</v>
      </c>
      <c r="K8425" s="10">
        <v>7.5</v>
      </c>
      <c r="L8425" s="10">
        <v>7.5</v>
      </c>
      <c r="M8425" s="6" t="s">
        <v>480</v>
      </c>
      <c r="N8425" s="6" t="str">
        <f>IF(OR($G8425="FCC",$G8425="Hydrocracker",$G8425="Reformer"),IF(COUNTIFS($D:$D,$D8425,$A:$A,$A8425,$B:$B,$B8425,$G:$G,"CDU",$J:$J,"PLANNED")&gt;0,"tied","standalone"),"")</f>
        <v>tied</v>
      </c>
    </row>
    <row r="8426" spans="1:14">
      <c r="A8426" s="6">
        <v>2027</v>
      </c>
      <c r="B8426" s="6">
        <v>3</v>
      </c>
      <c r="C8426" s="6" t="s">
        <v>62</v>
      </c>
      <c r="D8426" s="6" t="s">
        <v>440</v>
      </c>
      <c r="E8426" s="6" t="s">
        <v>441</v>
      </c>
      <c r="F8426" s="6" t="str">
        <f>IF($M8426="PADD I","PADD 1",IF($M8426="PADD II","PADD 2",IF($M8426="PADD III","PADD 3",IF($M8426="PADD IV","PADD 4",IF($M8426="PADD V","PADD 5","")))))</f>
        <v>PADD 3</v>
      </c>
      <c r="G8426" s="6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6" t="s">
        <v>510</v>
      </c>
      <c r="I8426" s="6" t="s">
        <v>1438</v>
      </c>
      <c r="J8426" s="6" t="s">
        <v>398</v>
      </c>
      <c r="K8426" s="10">
        <v>7.2</v>
      </c>
      <c r="L8426" s="10">
        <v>8</v>
      </c>
      <c r="M8426" s="6" t="s">
        <v>421</v>
      </c>
      <c r="N8426" s="6">
        <f>IF(OR($G8426="FCC",$G8426="Hydrocracker",$G8426="Reformer"),IF(COUNTIFS($D:$D,$D8426,$A:$A,$A8426,$B:$B,$B8426,$G:$G,"CDU",$J:$J,"PLANNED")&gt;0,"tied","standalone"),"")</f>
        <v/>
      </c>
    </row>
    <row r="8427" spans="1:14">
      <c r="A8427" s="6">
        <v>2027</v>
      </c>
      <c r="B8427" s="6">
        <v>3</v>
      </c>
      <c r="C8427" s="6" t="s">
        <v>62</v>
      </c>
      <c r="D8427" s="6" t="s">
        <v>479</v>
      </c>
      <c r="E8427" s="6" t="s">
        <v>438</v>
      </c>
      <c r="F8427" s="6" t="str">
        <f>IF($M8427="PADD I","PADD 1",IF($M8427="PADD II","PADD 2",IF($M8427="PADD III","PADD 3",IF($M8427="PADD IV","PADD 4",IF($M8427="PADD V","PADD 5","")))))</f>
        <v>PADD 4</v>
      </c>
      <c r="G8427" s="6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6" t="s">
        <v>44</v>
      </c>
      <c r="I8427" s="6" t="s">
        <v>1107</v>
      </c>
      <c r="J8427" s="6" t="s">
        <v>398</v>
      </c>
      <c r="K8427" s="10">
        <v>6.96</v>
      </c>
      <c r="L8427" s="10">
        <v>12</v>
      </c>
      <c r="M8427" s="6" t="s">
        <v>480</v>
      </c>
      <c r="N8427" s="6">
        <f>IF(OR($G8427="FCC",$G8427="Hydrocracker",$G8427="Reformer"),IF(COUNTIFS($D:$D,$D8427,$A:$A,$A8427,$B:$B,$B8427,$G:$G,"CDU",$J:$J,"PLANNED")&gt;0,"tied","standalone"),"")</f>
        <v/>
      </c>
    </row>
    <row r="8428" spans="1:14">
      <c r="A8428" s="6">
        <v>2027</v>
      </c>
      <c r="B8428" s="6">
        <v>3</v>
      </c>
      <c r="C8428" s="6" t="s">
        <v>62</v>
      </c>
      <c r="D8428" s="6" t="s">
        <v>479</v>
      </c>
      <c r="E8428" s="6" t="s">
        <v>438</v>
      </c>
      <c r="F8428" s="6" t="str">
        <f>IF($M8428="PADD I","PADD 1",IF($M8428="PADD II","PADD 2",IF($M8428="PADD III","PADD 3",IF($M8428="PADD IV","PADD 4",IF($M8428="PADD V","PADD 5","")))))</f>
        <v>PADD 4</v>
      </c>
      <c r="G8428" s="6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6" t="s">
        <v>471</v>
      </c>
      <c r="I8428" s="6" t="s">
        <v>1181</v>
      </c>
      <c r="J8428" s="6" t="s">
        <v>398</v>
      </c>
      <c r="K8428" s="10">
        <v>6.96</v>
      </c>
      <c r="L8428" s="10">
        <v>12</v>
      </c>
      <c r="M8428" s="6" t="s">
        <v>480</v>
      </c>
      <c r="N8428" s="6" t="str">
        <f>IF(OR($G8428="FCC",$G8428="Hydrocracker",$G8428="Reformer"),IF(COUNTIFS($D:$D,$D8428,$A:$A,$A8428,$B:$B,$B8428,$G:$G,"CDU",$J:$J,"PLANNED")&gt;0,"tied","standalone"),"")</f>
        <v>tied</v>
      </c>
    </row>
    <row r="8429" spans="1:14">
      <c r="A8429" s="6">
        <v>2027</v>
      </c>
      <c r="B8429" s="6">
        <v>3</v>
      </c>
      <c r="C8429" s="6" t="s">
        <v>62</v>
      </c>
      <c r="D8429" s="6" t="s">
        <v>383</v>
      </c>
      <c r="E8429" s="6" t="s">
        <v>602</v>
      </c>
      <c r="F8429" s="6" t="str">
        <f>IF($M8429="PADD I","PADD 1",IF($M8429="PADD II","PADD 2",IF($M8429="PADD III","PADD 3",IF($M8429="PADD IV","PADD 4",IF($M8429="PADD V","PADD 5","")))))</f>
        <v>PADD 3</v>
      </c>
      <c r="G8429" s="6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6" t="s">
        <v>573</v>
      </c>
      <c r="I8429" s="6" t="s">
        <v>574</v>
      </c>
      <c r="J8429" s="6" t="s">
        <v>398</v>
      </c>
      <c r="K8429" s="10">
        <v>6.93</v>
      </c>
      <c r="L8429" s="10">
        <v>6.93</v>
      </c>
      <c r="M8429" s="6" t="s">
        <v>421</v>
      </c>
      <c r="N8429" s="6">
        <f>IF(OR($G8429="FCC",$G8429="Hydrocracker",$G8429="Reformer"),IF(COUNTIFS($D:$D,$D8429,$A:$A,$A8429,$B:$B,$B8429,$G:$G,"CDU",$J:$J,"PLANNED")&gt;0,"tied","standalone"),"")</f>
        <v/>
      </c>
    </row>
    <row r="8430" spans="1:14">
      <c r="A8430" s="6">
        <v>2027</v>
      </c>
      <c r="B8430" s="6">
        <v>3</v>
      </c>
      <c r="C8430" s="6" t="s">
        <v>62</v>
      </c>
      <c r="D8430" s="6" t="s">
        <v>383</v>
      </c>
      <c r="E8430" s="6" t="s">
        <v>602</v>
      </c>
      <c r="F8430" s="6" t="str">
        <f>IF($M8430="PADD I","PADD 1",IF($M8430="PADD II","PADD 2",IF($M8430="PADD III","PADD 3",IF($M8430="PADD IV","PADD 4",IF($M8430="PADD V","PADD 5","")))))</f>
        <v>PADD 3</v>
      </c>
      <c r="G8430" s="6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6" t="s">
        <v>618</v>
      </c>
      <c r="I8430" s="6" t="s">
        <v>673</v>
      </c>
      <c r="J8430" s="6" t="s">
        <v>398</v>
      </c>
      <c r="K8430" s="10">
        <v>6</v>
      </c>
      <c r="L8430" s="10">
        <v>6</v>
      </c>
      <c r="M8430" s="6" t="s">
        <v>421</v>
      </c>
      <c r="N8430" s="6">
        <f>IF(OR($G8430="FCC",$G8430="Hydrocracker",$G8430="Reformer"),IF(COUNTIFS($D:$D,$D8430,$A:$A,$A8430,$B:$B,$B8430,$G:$G,"CDU",$J:$J,"PLANNED")&gt;0,"tied","standalone"),"")</f>
        <v/>
      </c>
    </row>
    <row r="8431" spans="1:14">
      <c r="A8431" s="6">
        <v>2027</v>
      </c>
      <c r="B8431" s="6">
        <v>3</v>
      </c>
      <c r="C8431" s="6" t="s">
        <v>62</v>
      </c>
      <c r="D8431" s="6" t="s">
        <v>375</v>
      </c>
      <c r="E8431" s="6" t="s">
        <v>435</v>
      </c>
      <c r="F8431" s="6" t="str">
        <f>IF($M8431="PADD I","PADD 1",IF($M8431="PADD II","PADD 2",IF($M8431="PADD III","PADD 3",IF($M8431="PADD IV","PADD 4",IF($M8431="PADD V","PADD 5","")))))</f>
        <v>PADD 5</v>
      </c>
      <c r="G8431" s="6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6" t="s">
        <v>471</v>
      </c>
      <c r="I8431" s="6" t="s">
        <v>15</v>
      </c>
      <c r="J8431" s="6" t="s">
        <v>398</v>
      </c>
      <c r="K8431" s="10">
        <v>5.605</v>
      </c>
      <c r="L8431" s="10">
        <v>29.5</v>
      </c>
      <c r="M8431" s="6" t="s">
        <v>436</v>
      </c>
      <c r="N8431" s="6" t="str">
        <f>IF(OR($G8431="FCC",$G8431="Hydrocracker",$G8431="Reformer"),IF(COUNTIFS($D:$D,$D8431,$A:$A,$A8431,$B:$B,$B8431,$G:$G,"CDU",$J:$J,"PLANNED")&gt;0,"tied","standalone"),"")</f>
        <v>tied</v>
      </c>
    </row>
    <row r="8432" spans="1:14">
      <c r="A8432" s="6">
        <v>2027</v>
      </c>
      <c r="B8432" s="6">
        <v>3</v>
      </c>
      <c r="C8432" s="6" t="s">
        <v>62</v>
      </c>
      <c r="D8432" s="6" t="s">
        <v>678</v>
      </c>
      <c r="E8432" s="6" t="s">
        <v>438</v>
      </c>
      <c r="F8432" s="6" t="str">
        <f>IF($M8432="PADD I","PADD 1",IF($M8432="PADD II","PADD 2",IF($M8432="PADD III","PADD 3",IF($M8432="PADD IV","PADD 4",IF($M8432="PADD V","PADD 5","")))))</f>
        <v>PADD 3</v>
      </c>
      <c r="G8432" s="6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6" t="s">
        <v>39</v>
      </c>
      <c r="I8432" s="6" t="s">
        <v>1103</v>
      </c>
      <c r="J8432" s="6" t="s">
        <v>398</v>
      </c>
      <c r="K8432" s="10">
        <v>5.6</v>
      </c>
      <c r="L8432" s="10">
        <v>35</v>
      </c>
      <c r="M8432" s="6" t="s">
        <v>421</v>
      </c>
      <c r="N8432" s="6">
        <f>IF(OR($G8432="FCC",$G8432="Hydrocracker",$G8432="Reformer"),IF(COUNTIFS($D:$D,$D8432,$A:$A,$A8432,$B:$B,$B8432,$G:$G,"CDU",$J:$J,"PLANNED")&gt;0,"tied","standalone"),"")</f>
        <v/>
      </c>
    </row>
    <row r="8433" spans="1:14">
      <c r="A8433" s="6">
        <v>2027</v>
      </c>
      <c r="B8433" s="6">
        <v>3</v>
      </c>
      <c r="C8433" s="6" t="s">
        <v>62</v>
      </c>
      <c r="D8433" s="6" t="s">
        <v>375</v>
      </c>
      <c r="E8433" s="6" t="s">
        <v>435</v>
      </c>
      <c r="F8433" s="6" t="str">
        <f>IF($M8433="PADD I","PADD 1",IF($M8433="PADD II","PADD 2",IF($M8433="PADD III","PADD 3",IF($M8433="PADD IV","PADD 4",IF($M8433="PADD V","PADD 5","")))))</f>
        <v>PADD 5</v>
      </c>
      <c r="G8433" s="6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6" t="s">
        <v>44</v>
      </c>
      <c r="I8433" s="6" t="s">
        <v>551</v>
      </c>
      <c r="J8433" s="6" t="s">
        <v>398</v>
      </c>
      <c r="K8433" s="10">
        <v>5.32</v>
      </c>
      <c r="L8433" s="10">
        <v>28</v>
      </c>
      <c r="M8433" s="6" t="s">
        <v>436</v>
      </c>
      <c r="N8433" s="6">
        <f>IF(OR($G8433="FCC",$G8433="Hydrocracker",$G8433="Reformer"),IF(COUNTIFS($D:$D,$D8433,$A:$A,$A8433,$B:$B,$B8433,$G:$G,"CDU",$J:$J,"PLANNED")&gt;0,"tied","standalone"),"")</f>
        <v/>
      </c>
    </row>
    <row r="8434" spans="1:14">
      <c r="A8434" s="6">
        <v>2027</v>
      </c>
      <c r="B8434" s="6">
        <v>3</v>
      </c>
      <c r="C8434" s="6" t="s">
        <v>62</v>
      </c>
      <c r="D8434" s="6" t="s">
        <v>972</v>
      </c>
      <c r="E8434" s="6" t="s">
        <v>502</v>
      </c>
      <c r="F8434" s="6" t="str">
        <f>IF($M8434="PADD I","PADD 1",IF($M8434="PADD II","PADD 2",IF($M8434="PADD III","PADD 3",IF($M8434="PADD IV","PADD 4",IF($M8434="PADD V","PADD 5","")))))</f>
        <v>PADD 4</v>
      </c>
      <c r="G8434" s="6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6" t="s">
        <v>44</v>
      </c>
      <c r="I8434" s="6" t="s">
        <v>987</v>
      </c>
      <c r="J8434" s="6" t="s">
        <v>398</v>
      </c>
      <c r="K8434" s="10">
        <v>5</v>
      </c>
      <c r="L8434" s="10">
        <v>5</v>
      </c>
      <c r="M8434" s="6" t="s">
        <v>480</v>
      </c>
      <c r="N8434" s="6">
        <f>IF(OR($G8434="FCC",$G8434="Hydrocracker",$G8434="Reformer"),IF(COUNTIFS($D:$D,$D8434,$A:$A,$A8434,$B:$B,$B8434,$G:$G,"CDU",$J:$J,"PLANNED")&gt;0,"tied","standalone"),"")</f>
        <v/>
      </c>
    </row>
    <row r="8435" spans="1:14">
      <c r="A8435" s="6">
        <v>2027</v>
      </c>
      <c r="B8435" s="6">
        <v>3</v>
      </c>
      <c r="C8435" s="6" t="s">
        <v>62</v>
      </c>
      <c r="D8435" s="6" t="s">
        <v>812</v>
      </c>
      <c r="E8435" s="6" t="s">
        <v>813</v>
      </c>
      <c r="F8435" s="6" t="str">
        <f>IF($M8435="PADD I","PADD 1",IF($M8435="PADD II","PADD 2",IF($M8435="PADD III","PADD 3",IF($M8435="PADD IV","PADD 4",IF($M8435="PADD V","PADD 5","")))))</f>
        <v>PADD 2</v>
      </c>
      <c r="G8435" s="6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6" t="s">
        <v>510</v>
      </c>
      <c r="I8435" s="6" t="s">
        <v>666</v>
      </c>
      <c r="J8435" s="6" t="s">
        <v>398</v>
      </c>
      <c r="K8435" s="10">
        <v>5</v>
      </c>
      <c r="L8435" s="10">
        <v>5</v>
      </c>
      <c r="M8435" s="6" t="s">
        <v>425</v>
      </c>
      <c r="N8435" s="6">
        <f>IF(OR($G8435="FCC",$G8435="Hydrocracker",$G8435="Reformer"),IF(COUNTIFS($D:$D,$D8435,$A:$A,$A8435,$B:$B,$B8435,$G:$G,"CDU",$J:$J,"PLANNED")&gt;0,"tied","standalone"),"")</f>
        <v/>
      </c>
    </row>
    <row r="8436" spans="1:14">
      <c r="A8436" s="6">
        <v>2027</v>
      </c>
      <c r="B8436" s="6">
        <v>3</v>
      </c>
      <c r="C8436" s="6" t="s">
        <v>62</v>
      </c>
      <c r="D8436" s="6" t="s">
        <v>730</v>
      </c>
      <c r="E8436" s="6" t="s">
        <v>731</v>
      </c>
      <c r="F8436" s="6" t="str">
        <f>IF($M8436="PADD I","PADD 1",IF($M8436="PADD II","PADD 2",IF($M8436="PADD III","PADD 3",IF($M8436="PADD IV","PADD 4",IF($M8436="PADD V","PADD 5","")))))</f>
        <v>PADD 3</v>
      </c>
      <c r="G8436" s="6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6" t="s">
        <v>510</v>
      </c>
      <c r="I8436" s="6" t="s">
        <v>666</v>
      </c>
      <c r="J8436" s="6" t="s">
        <v>398</v>
      </c>
      <c r="K8436" s="10">
        <v>4.959</v>
      </c>
      <c r="L8436" s="10">
        <v>5.7</v>
      </c>
      <c r="M8436" s="6" t="s">
        <v>421</v>
      </c>
      <c r="N8436" s="6">
        <f>IF(OR($G8436="FCC",$G8436="Hydrocracker",$G8436="Reformer"),IF(COUNTIFS($D:$D,$D8436,$A:$A,$A8436,$B:$B,$B8436,$G:$G,"CDU",$J:$J,"PLANNED")&gt;0,"tied","standalone"),"")</f>
        <v/>
      </c>
    </row>
    <row r="8437" spans="1:14">
      <c r="A8437" s="6">
        <v>2027</v>
      </c>
      <c r="B8437" s="6">
        <v>3</v>
      </c>
      <c r="C8437" s="6" t="s">
        <v>62</v>
      </c>
      <c r="D8437" s="6" t="s">
        <v>375</v>
      </c>
      <c r="E8437" s="6" t="s">
        <v>435</v>
      </c>
      <c r="F8437" s="6" t="str">
        <f>IF($M8437="PADD I","PADD 1",IF($M8437="PADD II","PADD 2",IF($M8437="PADD III","PADD 3",IF($M8437="PADD IV","PADD 4",IF($M8437="PADD V","PADD 5","")))))</f>
        <v>PADD 5</v>
      </c>
      <c r="G8437" s="6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6" t="s">
        <v>44</v>
      </c>
      <c r="I8437" s="6" t="s">
        <v>1233</v>
      </c>
      <c r="J8437" s="6" t="s">
        <v>398</v>
      </c>
      <c r="K8437" s="10">
        <v>4.94</v>
      </c>
      <c r="L8437" s="10">
        <v>26</v>
      </c>
      <c r="M8437" s="6" t="s">
        <v>436</v>
      </c>
      <c r="N8437" s="6">
        <f>IF(OR($G8437="FCC",$G8437="Hydrocracker",$G8437="Reformer"),IF(COUNTIFS($D:$D,$D8437,$A:$A,$A8437,$B:$B,$B8437,$G:$G,"CDU",$J:$J,"PLANNED")&gt;0,"tied","standalone"),"")</f>
        <v/>
      </c>
    </row>
    <row r="8438" spans="1:14">
      <c r="A8438" s="6">
        <v>2027</v>
      </c>
      <c r="B8438" s="6">
        <v>3</v>
      </c>
      <c r="C8438" s="6" t="s">
        <v>62</v>
      </c>
      <c r="D8438" s="6" t="s">
        <v>1336</v>
      </c>
      <c r="E8438" s="6" t="s">
        <v>1337</v>
      </c>
      <c r="F8438" s="6" t="str">
        <f>IF($M8438="PADD I","PADD 1",IF($M8438="PADD II","PADD 2",IF($M8438="PADD III","PADD 3",IF($M8438="PADD IV","PADD 4",IF($M8438="PADD V","PADD 5","")))))</f>
        <v>PADD 4</v>
      </c>
      <c r="G8438" s="6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6" t="s">
        <v>426</v>
      </c>
      <c r="I8438" s="6" t="s">
        <v>106</v>
      </c>
      <c r="J8438" s="6" t="s">
        <v>398</v>
      </c>
      <c r="K8438" s="10">
        <v>4.785</v>
      </c>
      <c r="L8438" s="10">
        <v>5.5</v>
      </c>
      <c r="M8438" s="6" t="s">
        <v>480</v>
      </c>
      <c r="N8438" s="6" t="str">
        <f>IF(OR($G8438="FCC",$G8438="Hydrocracker",$G8438="Reformer"),IF(COUNTIFS($D:$D,$D8438,$A:$A,$A8438,$B:$B,$B8438,$G:$G,"CDU",$J:$J,"PLANNED")&gt;0,"tied","standalone"),"")</f>
        <v>tied</v>
      </c>
    </row>
    <row r="8439" spans="1:14">
      <c r="A8439" s="6">
        <v>2027</v>
      </c>
      <c r="B8439" s="6">
        <v>3</v>
      </c>
      <c r="C8439" s="6" t="s">
        <v>62</v>
      </c>
      <c r="D8439" s="6" t="s">
        <v>1336</v>
      </c>
      <c r="E8439" s="6" t="s">
        <v>1337</v>
      </c>
      <c r="F8439" s="6" t="str">
        <f>IF($M8439="PADD I","PADD 1",IF($M8439="PADD II","PADD 2",IF($M8439="PADD III","PADD 3",IF($M8439="PADD IV","PADD 4",IF($M8439="PADD V","PADD 5","")))))</f>
        <v>PADD 4</v>
      </c>
      <c r="G8439" s="6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6" t="s">
        <v>44</v>
      </c>
      <c r="I8439" s="6" t="s">
        <v>1341</v>
      </c>
      <c r="J8439" s="6" t="s">
        <v>398</v>
      </c>
      <c r="K8439" s="10">
        <v>4.785</v>
      </c>
      <c r="L8439" s="10">
        <v>5.5</v>
      </c>
      <c r="M8439" s="6" t="s">
        <v>480</v>
      </c>
      <c r="N8439" s="6">
        <f>IF(OR($G8439="FCC",$G8439="Hydrocracker",$G8439="Reformer"),IF(COUNTIFS($D:$D,$D8439,$A:$A,$A8439,$B:$B,$B8439,$G:$G,"CDU",$J:$J,"PLANNED")&gt;0,"tied","standalone"),"")</f>
        <v/>
      </c>
    </row>
    <row r="8440" spans="1:14">
      <c r="A8440" s="6">
        <v>2027</v>
      </c>
      <c r="B8440" s="6">
        <v>3</v>
      </c>
      <c r="C8440" s="6" t="s">
        <v>62</v>
      </c>
      <c r="D8440" s="6" t="s">
        <v>889</v>
      </c>
      <c r="E8440" s="6" t="s">
        <v>890</v>
      </c>
      <c r="F8440" s="6" t="str">
        <f>IF($M8440="PADD I","PADD 1",IF($M8440="PADD II","PADD 2",IF($M8440="PADD III","PADD 3",IF($M8440="PADD IV","PADD 4",IF($M8440="PADD V","PADD 5","")))))</f>
        <v>PADD 1</v>
      </c>
      <c r="G8440" s="6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6" t="s">
        <v>618</v>
      </c>
      <c r="I8440" s="6" t="s">
        <v>654</v>
      </c>
      <c r="J8440" s="6" t="s">
        <v>398</v>
      </c>
      <c r="K8440" s="10">
        <v>4.785</v>
      </c>
      <c r="L8440" s="10">
        <v>5.5</v>
      </c>
      <c r="M8440" s="6" t="s">
        <v>463</v>
      </c>
      <c r="N8440" s="6">
        <f>IF(OR($G8440="FCC",$G8440="Hydrocracker",$G8440="Reformer"),IF(COUNTIFS($D:$D,$D8440,$A:$A,$A8440,$B:$B,$B8440,$G:$G,"CDU",$J:$J,"PLANNED")&gt;0,"tied","standalone"),"")</f>
        <v/>
      </c>
    </row>
    <row r="8441" spans="1:14">
      <c r="A8441" s="6">
        <v>2027</v>
      </c>
      <c r="B8441" s="6">
        <v>3</v>
      </c>
      <c r="C8441" s="6" t="s">
        <v>62</v>
      </c>
      <c r="D8441" s="6" t="s">
        <v>479</v>
      </c>
      <c r="E8441" s="6" t="s">
        <v>438</v>
      </c>
      <c r="F8441" s="6" t="str">
        <f>IF($M8441="PADD I","PADD 1",IF($M8441="PADD II","PADD 2",IF($M8441="PADD III","PADD 3",IF($M8441="PADD IV","PADD 4",IF($M8441="PADD V","PADD 5","")))))</f>
        <v>PADD 4</v>
      </c>
      <c r="G8441" s="6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6" t="s">
        <v>44</v>
      </c>
      <c r="I8441" s="6" t="s">
        <v>1183</v>
      </c>
      <c r="J8441" s="6" t="s">
        <v>398</v>
      </c>
      <c r="K8441" s="10">
        <v>4.64</v>
      </c>
      <c r="L8441" s="10">
        <v>8</v>
      </c>
      <c r="M8441" s="6" t="s">
        <v>480</v>
      </c>
      <c r="N8441" s="6">
        <f>IF(OR($G8441="FCC",$G8441="Hydrocracker",$G8441="Reformer"),IF(COUNTIFS($D:$D,$D8441,$A:$A,$A8441,$B:$B,$B8441,$G:$G,"CDU",$J:$J,"PLANNED")&gt;0,"tied","standalone"),"")</f>
        <v/>
      </c>
    </row>
    <row r="8442" spans="1:14">
      <c r="A8442" s="6">
        <v>2027</v>
      </c>
      <c r="B8442" s="6">
        <v>3</v>
      </c>
      <c r="C8442" s="6" t="s">
        <v>62</v>
      </c>
      <c r="D8442" s="6" t="s">
        <v>720</v>
      </c>
      <c r="E8442" s="6" t="s">
        <v>455</v>
      </c>
      <c r="F8442" s="6" t="str">
        <f>IF($M8442="PADD I","PADD 1",IF($M8442="PADD II","PADD 2",IF($M8442="PADD III","PADD 3",IF($M8442="PADD IV","PADD 4",IF($M8442="PADD V","PADD 5","")))))</f>
        <v>PADD 2</v>
      </c>
      <c r="G8442" s="6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6" t="s">
        <v>618</v>
      </c>
      <c r="I8442" s="6" t="s">
        <v>654</v>
      </c>
      <c r="J8442" s="6" t="s">
        <v>398</v>
      </c>
      <c r="K8442" s="10">
        <v>4</v>
      </c>
      <c r="L8442" s="10">
        <v>4</v>
      </c>
      <c r="M8442" s="6" t="s">
        <v>425</v>
      </c>
      <c r="N8442" s="6">
        <f>IF(OR($G8442="FCC",$G8442="Hydrocracker",$G8442="Reformer"),IF(COUNTIFS($D:$D,$D8442,$A:$A,$A8442,$B:$B,$B8442,$G:$G,"CDU",$J:$J,"PLANNED")&gt;0,"tied","standalone"),"")</f>
        <v/>
      </c>
    </row>
    <row r="8443" spans="1:14">
      <c r="A8443" s="6">
        <v>2027</v>
      </c>
      <c r="B8443" s="6">
        <v>3</v>
      </c>
      <c r="C8443" s="6" t="s">
        <v>62</v>
      </c>
      <c r="D8443" s="6" t="s">
        <v>383</v>
      </c>
      <c r="E8443" s="6" t="s">
        <v>602</v>
      </c>
      <c r="F8443" s="6" t="str">
        <f>IF($M8443="PADD I","PADD 1",IF($M8443="PADD II","PADD 2",IF($M8443="PADD III","PADD 3",IF($M8443="PADD IV","PADD 4",IF($M8443="PADD V","PADD 5","")))))</f>
        <v>PADD 3</v>
      </c>
      <c r="G8443" s="6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6" t="s">
        <v>510</v>
      </c>
      <c r="I8443" s="6" t="s">
        <v>511</v>
      </c>
      <c r="J8443" s="6" t="s">
        <v>398</v>
      </c>
      <c r="K8443" s="10">
        <v>4</v>
      </c>
      <c r="L8443" s="10">
        <v>4</v>
      </c>
      <c r="M8443" s="6" t="s">
        <v>421</v>
      </c>
      <c r="N8443" s="6">
        <f>IF(OR($G8443="FCC",$G8443="Hydrocracker",$G8443="Reformer"),IF(COUNTIFS($D:$D,$D8443,$A:$A,$A8443,$B:$B,$B8443,$G:$G,"CDU",$J:$J,"PLANNED")&gt;0,"tied","standalone"),"")</f>
        <v/>
      </c>
    </row>
    <row r="8444" spans="1:14">
      <c r="A8444" s="6">
        <v>2027</v>
      </c>
      <c r="B8444" s="6">
        <v>3</v>
      </c>
      <c r="C8444" s="6" t="s">
        <v>62</v>
      </c>
      <c r="D8444" s="6" t="s">
        <v>375</v>
      </c>
      <c r="E8444" s="6" t="s">
        <v>435</v>
      </c>
      <c r="F8444" s="6" t="str">
        <f>IF($M8444="PADD I","PADD 1",IF($M8444="PADD II","PADD 2",IF($M8444="PADD III","PADD 3",IF($M8444="PADD IV","PADD 4",IF($M8444="PADD V","PADD 5","")))))</f>
        <v>PADD 5</v>
      </c>
      <c r="G8444" s="6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6" t="s">
        <v>485</v>
      </c>
      <c r="I8444" s="6" t="s">
        <v>863</v>
      </c>
      <c r="J8444" s="6" t="s">
        <v>398</v>
      </c>
      <c r="K8444" s="10">
        <v>3.971</v>
      </c>
      <c r="L8444" s="10">
        <v>20.9</v>
      </c>
      <c r="M8444" s="6" t="s">
        <v>436</v>
      </c>
      <c r="N8444" s="6">
        <f>IF(OR($G8444="FCC",$G8444="Hydrocracker",$G8444="Reformer"),IF(COUNTIFS($D:$D,$D8444,$A:$A,$A8444,$B:$B,$B8444,$G:$G,"CDU",$J:$J,"PLANNED")&gt;0,"tied","standalone"),"")</f>
        <v/>
      </c>
    </row>
    <row r="8445" spans="1:14">
      <c r="A8445" s="6">
        <v>2027</v>
      </c>
      <c r="B8445" s="6">
        <v>3</v>
      </c>
      <c r="C8445" s="6" t="s">
        <v>62</v>
      </c>
      <c r="D8445" s="6" t="s">
        <v>792</v>
      </c>
      <c r="E8445" s="6" t="s">
        <v>438</v>
      </c>
      <c r="F8445" s="6" t="str">
        <f>IF($M8445="PADD I","PADD 1",IF($M8445="PADD II","PADD 2",IF($M8445="PADD III","PADD 3",IF($M8445="PADD IV","PADD 4",IF($M8445="PADD V","PADD 5","")))))</f>
        <v>PADD 5</v>
      </c>
      <c r="G8445" s="6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6" t="s">
        <v>618</v>
      </c>
      <c r="I8445" s="6" t="s">
        <v>818</v>
      </c>
      <c r="J8445" s="6" t="s">
        <v>398</v>
      </c>
      <c r="K8445" s="10">
        <v>3.5</v>
      </c>
      <c r="L8445" s="10">
        <v>3.5</v>
      </c>
      <c r="M8445" s="6" t="s">
        <v>436</v>
      </c>
      <c r="N8445" s="6">
        <f>IF(OR($G8445="FCC",$G8445="Hydrocracker",$G8445="Reformer"),IF(COUNTIFS($D:$D,$D8445,$A:$A,$A8445,$B:$B,$B8445,$G:$G,"CDU",$J:$J,"PLANNED")&gt;0,"tied","standalone"),"")</f>
        <v/>
      </c>
    </row>
    <row r="8446" spans="1:14">
      <c r="A8446" s="6">
        <v>2027</v>
      </c>
      <c r="B8446" s="6">
        <v>3</v>
      </c>
      <c r="C8446" s="6" t="s">
        <v>62</v>
      </c>
      <c r="D8446" s="6" t="s">
        <v>479</v>
      </c>
      <c r="E8446" s="6" t="s">
        <v>438</v>
      </c>
      <c r="F8446" s="6" t="str">
        <f>IF($M8446="PADD I","PADD 1",IF($M8446="PADD II","PADD 2",IF($M8446="PADD III","PADD 3",IF($M8446="PADD IV","PADD 4",IF($M8446="PADD V","PADD 5","")))))</f>
        <v>PADD 4</v>
      </c>
      <c r="G8446" s="6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6" t="s">
        <v>510</v>
      </c>
      <c r="I8446" s="6" t="s">
        <v>511</v>
      </c>
      <c r="J8446" s="6" t="s">
        <v>398</v>
      </c>
      <c r="K8446" s="10">
        <v>3.48</v>
      </c>
      <c r="L8446" s="10">
        <v>6</v>
      </c>
      <c r="M8446" s="6" t="s">
        <v>480</v>
      </c>
      <c r="N8446" s="6">
        <f>IF(OR($G8446="FCC",$G8446="Hydrocracker",$G8446="Reformer"),IF(COUNTIFS($D:$D,$D8446,$A:$A,$A8446,$B:$B,$B8446,$G:$G,"CDU",$J:$J,"PLANNED")&gt;0,"tied","standalone"),"")</f>
        <v/>
      </c>
    </row>
    <row r="8447" spans="1:14">
      <c r="A8447" s="6">
        <v>2027</v>
      </c>
      <c r="B8447" s="6">
        <v>3</v>
      </c>
      <c r="C8447" s="6" t="s">
        <v>62</v>
      </c>
      <c r="D8447" s="6" t="s">
        <v>1336</v>
      </c>
      <c r="E8447" s="6" t="s">
        <v>1337</v>
      </c>
      <c r="F8447" s="6" t="str">
        <f>IF($M8447="PADD I","PADD 1",IF($M8447="PADD II","PADD 2",IF($M8447="PADD III","PADD 3",IF($M8447="PADD IV","PADD 4",IF($M8447="PADD V","PADD 5","")))))</f>
        <v>PADD 4</v>
      </c>
      <c r="G8447" s="6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6" t="s">
        <v>44</v>
      </c>
      <c r="I8447" s="6" t="s">
        <v>1342</v>
      </c>
      <c r="J8447" s="6" t="s">
        <v>398</v>
      </c>
      <c r="K8447" s="10">
        <v>3.045</v>
      </c>
      <c r="L8447" s="10">
        <v>3.5</v>
      </c>
      <c r="M8447" s="6" t="s">
        <v>480</v>
      </c>
      <c r="N8447" s="6">
        <f>IF(OR($G8447="FCC",$G8447="Hydrocracker",$G8447="Reformer"),IF(COUNTIFS($D:$D,$D8447,$A:$A,$A8447,$B:$B,$B8447,$G:$G,"CDU",$J:$J,"PLANNED")&gt;0,"tied","standalone"),"")</f>
        <v/>
      </c>
    </row>
    <row r="8448" spans="1:14">
      <c r="A8448" s="6">
        <v>2027</v>
      </c>
      <c r="B8448" s="6">
        <v>3</v>
      </c>
      <c r="C8448" s="6" t="s">
        <v>62</v>
      </c>
      <c r="D8448" s="6" t="s">
        <v>682</v>
      </c>
      <c r="E8448" s="6" t="s">
        <v>683</v>
      </c>
      <c r="F8448" s="6" t="str">
        <f>IF($M8448="PADD I","PADD 1",IF($M8448="PADD II","PADD 2",IF($M8448="PADD III","PADD 3",IF($M8448="PADD IV","PADD 4",IF($M8448="PADD V","PADD 5","")))))</f>
        <v>PADD 4</v>
      </c>
      <c r="G8448" s="6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6" t="s">
        <v>510</v>
      </c>
      <c r="I8448" s="6" t="s">
        <v>666</v>
      </c>
      <c r="J8448" s="6" t="s">
        <v>398</v>
      </c>
      <c r="K8448" s="10">
        <v>2.8</v>
      </c>
      <c r="L8448" s="10">
        <v>2.8</v>
      </c>
      <c r="M8448" s="6" t="s">
        <v>480</v>
      </c>
      <c r="N8448" s="6">
        <f>IF(OR($G8448="FCC",$G8448="Hydrocracker",$G8448="Reformer"),IF(COUNTIFS($D:$D,$D8448,$A:$A,$A8448,$B:$B,$B8448,$G:$G,"CDU",$J:$J,"PLANNED")&gt;0,"tied","standalone"),"")</f>
        <v/>
      </c>
    </row>
    <row r="8449" spans="1:14">
      <c r="A8449" s="6">
        <v>2027</v>
      </c>
      <c r="B8449" s="6">
        <v>3</v>
      </c>
      <c r="C8449" s="6" t="s">
        <v>62</v>
      </c>
      <c r="D8449" s="6" t="s">
        <v>1336</v>
      </c>
      <c r="E8449" s="6" t="s">
        <v>1337</v>
      </c>
      <c r="F8449" s="6" t="str">
        <f>IF($M8449="PADD I","PADD 1",IF($M8449="PADD II","PADD 2",IF($M8449="PADD III","PADD 3",IF($M8449="PADD IV","PADD 4",IF($M8449="PADD V","PADD 5","")))))</f>
        <v>PADD 4</v>
      </c>
      <c r="G8449" s="6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6" t="s">
        <v>471</v>
      </c>
      <c r="I8449" s="6" t="s">
        <v>15</v>
      </c>
      <c r="J8449" s="6" t="s">
        <v>398</v>
      </c>
      <c r="K8449" s="10">
        <v>2.784</v>
      </c>
      <c r="L8449" s="10">
        <v>3.2</v>
      </c>
      <c r="M8449" s="6" t="s">
        <v>480</v>
      </c>
      <c r="N8449" s="6" t="str">
        <f>IF(OR($G8449="FCC",$G8449="Hydrocracker",$G8449="Reformer"),IF(COUNTIFS($D:$D,$D8449,$A:$A,$A8449,$B:$B,$B8449,$G:$G,"CDU",$J:$J,"PLANNED")&gt;0,"tied","standalone"),"")</f>
        <v>tied</v>
      </c>
    </row>
    <row r="8450" spans="1:14">
      <c r="A8450" s="6">
        <v>2027</v>
      </c>
      <c r="B8450" s="6">
        <v>3</v>
      </c>
      <c r="C8450" s="6" t="s">
        <v>62</v>
      </c>
      <c r="D8450" s="6" t="s">
        <v>889</v>
      </c>
      <c r="E8450" s="6" t="s">
        <v>890</v>
      </c>
      <c r="F8450" s="6" t="str">
        <f>IF($M8450="PADD I","PADD 1",IF($M8450="PADD II","PADD 2",IF($M8450="PADD III","PADD 3",IF($M8450="PADD IV","PADD 4",IF($M8450="PADD V","PADD 5","")))))</f>
        <v>PADD 1</v>
      </c>
      <c r="G8450" s="6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6" t="s">
        <v>510</v>
      </c>
      <c r="I8450" s="6" t="s">
        <v>511</v>
      </c>
      <c r="J8450" s="6" t="s">
        <v>398</v>
      </c>
      <c r="K8450" s="10">
        <v>2.349</v>
      </c>
      <c r="L8450" s="10">
        <v>2.7</v>
      </c>
      <c r="M8450" s="6" t="s">
        <v>463</v>
      </c>
      <c r="N8450" s="6">
        <f>IF(OR($G8450="FCC",$G8450="Hydrocracker",$G8450="Reformer"),IF(COUNTIFS($D:$D,$D8450,$A:$A,$A8450,$B:$B,$B8450,$G:$G,"CDU",$J:$J,"PLANNED")&gt;0,"tied","standalone"),"")</f>
        <v/>
      </c>
    </row>
    <row r="8451" spans="1:14">
      <c r="A8451" s="6">
        <v>2027</v>
      </c>
      <c r="B8451" s="6">
        <v>3</v>
      </c>
      <c r="C8451" s="6" t="s">
        <v>62</v>
      </c>
      <c r="D8451" s="6" t="s">
        <v>709</v>
      </c>
      <c r="E8451" s="6" t="s">
        <v>710</v>
      </c>
      <c r="F8451" s="6" t="str">
        <f>IF($M8451="PADD I","PADD 1",IF($M8451="PADD II","PADD 2",IF($M8451="PADD III","PADD 3",IF($M8451="PADD IV","PADD 4",IF($M8451="PADD V","PADD 5","")))))</f>
        <v>PADD 3</v>
      </c>
      <c r="G8451" s="6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6" t="s">
        <v>39</v>
      </c>
      <c r="I8451" s="6" t="s">
        <v>82</v>
      </c>
      <c r="J8451" s="6" t="s">
        <v>398</v>
      </c>
      <c r="K8451" s="10">
        <v>2.3</v>
      </c>
      <c r="L8451" s="10">
        <v>10</v>
      </c>
      <c r="M8451" s="6" t="s">
        <v>421</v>
      </c>
      <c r="N8451" s="6">
        <f>IF(OR($G8451="FCC",$G8451="Hydrocracker",$G8451="Reformer"),IF(COUNTIFS($D:$D,$D8451,$A:$A,$A8451,$B:$B,$B8451,$G:$G,"CDU",$J:$J,"PLANNED")&gt;0,"tied","standalone"),"")</f>
        <v/>
      </c>
    </row>
    <row r="8452" spans="1:14">
      <c r="A8452" s="6">
        <v>2027</v>
      </c>
      <c r="B8452" s="6">
        <v>3</v>
      </c>
      <c r="C8452" s="6" t="s">
        <v>62</v>
      </c>
      <c r="D8452" s="6" t="s">
        <v>375</v>
      </c>
      <c r="E8452" s="6" t="s">
        <v>435</v>
      </c>
      <c r="F8452" s="6" t="str">
        <f>IF($M8452="PADD I","PADD 1",IF($M8452="PADD II","PADD 2",IF($M8452="PADD III","PADD 3",IF($M8452="PADD IV","PADD 4",IF($M8452="PADD V","PADD 5","")))))</f>
        <v>PADD 5</v>
      </c>
      <c r="G8452" s="6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6" t="s">
        <v>510</v>
      </c>
      <c r="I8452" s="6" t="s">
        <v>1338</v>
      </c>
      <c r="J8452" s="6" t="s">
        <v>398</v>
      </c>
      <c r="K8452" s="10">
        <v>2.28</v>
      </c>
      <c r="L8452" s="10">
        <v>12</v>
      </c>
      <c r="M8452" s="6" t="s">
        <v>436</v>
      </c>
      <c r="N8452" s="6">
        <f>IF(OR($G8452="FCC",$G8452="Hydrocracker",$G8452="Reformer"),IF(COUNTIFS($D:$D,$D8452,$A:$A,$A8452,$B:$B,$B8452,$G:$G,"CDU",$J:$J,"PLANNED")&gt;0,"tied","standalone"),"")</f>
        <v/>
      </c>
    </row>
    <row r="8453" spans="1:14">
      <c r="A8453" s="6">
        <v>2027</v>
      </c>
      <c r="B8453" s="6">
        <v>3</v>
      </c>
      <c r="C8453" s="6" t="s">
        <v>62</v>
      </c>
      <c r="D8453" s="6" t="s">
        <v>501</v>
      </c>
      <c r="E8453" s="6" t="s">
        <v>502</v>
      </c>
      <c r="F8453" s="6" t="str">
        <f>IF($M8453="PADD I","PADD 1",IF($M8453="PADD II","PADD 2",IF($M8453="PADD III","PADD 3",IF($M8453="PADD IV","PADD 4",IF($M8453="PADD V","PADD 5","")))))</f>
        <v>PADD 2</v>
      </c>
      <c r="G8453" s="6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6" t="s">
        <v>510</v>
      </c>
      <c r="I8453" s="6" t="s">
        <v>511</v>
      </c>
      <c r="J8453" s="6" t="s">
        <v>398</v>
      </c>
      <c r="K8453" s="10">
        <v>2.04</v>
      </c>
      <c r="L8453" s="10">
        <v>3</v>
      </c>
      <c r="M8453" s="6" t="s">
        <v>425</v>
      </c>
      <c r="N8453" s="6">
        <f>IF(OR($G8453="FCC",$G8453="Hydrocracker",$G8453="Reformer"),IF(COUNTIFS($D:$D,$D8453,$A:$A,$A8453,$B:$B,$B8453,$G:$G,"CDU",$J:$J,"PLANNED")&gt;0,"tied","standalone"),"")</f>
        <v/>
      </c>
    </row>
    <row r="8454" spans="1:14">
      <c r="A8454" s="6">
        <v>2027</v>
      </c>
      <c r="B8454" s="6">
        <v>3</v>
      </c>
      <c r="C8454" s="6" t="s">
        <v>62</v>
      </c>
      <c r="D8454" s="6" t="s">
        <v>709</v>
      </c>
      <c r="E8454" s="6" t="s">
        <v>710</v>
      </c>
      <c r="F8454" s="6" t="str">
        <f>IF($M8454="PADD I","PADD 1",IF($M8454="PADD II","PADD 2",IF($M8454="PADD III","PADD 3",IF($M8454="PADD IV","PADD 4",IF($M8454="PADD V","PADD 5","")))))</f>
        <v>PADD 3</v>
      </c>
      <c r="G8454" s="6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6" t="s">
        <v>428</v>
      </c>
      <c r="I8454" s="6" t="s">
        <v>481</v>
      </c>
      <c r="J8454" s="6" t="s">
        <v>398</v>
      </c>
      <c r="K8454" s="10">
        <v>1.495</v>
      </c>
      <c r="L8454" s="10">
        <v>6.5</v>
      </c>
      <c r="M8454" s="6" t="s">
        <v>421</v>
      </c>
      <c r="N8454" s="6">
        <f>IF(OR($G8454="FCC",$G8454="Hydrocracker",$G8454="Reformer"),IF(COUNTIFS($D:$D,$D8454,$A:$A,$A8454,$B:$B,$B8454,$G:$G,"CDU",$J:$J,"PLANNED")&gt;0,"tied","standalone"),"")</f>
        <v/>
      </c>
    </row>
    <row r="8455" spans="1:14">
      <c r="A8455" s="6">
        <v>2027</v>
      </c>
      <c r="B8455" s="6">
        <v>3</v>
      </c>
      <c r="C8455" s="6" t="s">
        <v>62</v>
      </c>
      <c r="D8455" s="6" t="s">
        <v>1336</v>
      </c>
      <c r="E8455" s="6" t="s">
        <v>1337</v>
      </c>
      <c r="F8455" s="6" t="str">
        <f>IF($M8455="PADD I","PADD 1",IF($M8455="PADD II","PADD 2",IF($M8455="PADD III","PADD 3",IF($M8455="PADD IV","PADD 4",IF($M8455="PADD V","PADD 5","")))))</f>
        <v>PADD 4</v>
      </c>
      <c r="G8455" s="6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6" t="s">
        <v>428</v>
      </c>
      <c r="I8455" s="6" t="s">
        <v>481</v>
      </c>
      <c r="J8455" s="6" t="s">
        <v>398</v>
      </c>
      <c r="K8455" s="10">
        <v>1.305</v>
      </c>
      <c r="L8455" s="10">
        <v>1.5</v>
      </c>
      <c r="M8455" s="6" t="s">
        <v>480</v>
      </c>
      <c r="N8455" s="6">
        <f>IF(OR($G8455="FCC",$G8455="Hydrocracker",$G8455="Reformer"),IF(COUNTIFS($D:$D,$D8455,$A:$A,$A8455,$B:$B,$B8455,$G:$G,"CDU",$J:$J,"PLANNED")&gt;0,"tied","standalone"),"")</f>
        <v/>
      </c>
    </row>
    <row r="8456" spans="1:14">
      <c r="A8456" s="6">
        <v>2027</v>
      </c>
      <c r="B8456" s="6">
        <v>3</v>
      </c>
      <c r="C8456" s="6" t="s">
        <v>62</v>
      </c>
      <c r="D8456" s="6" t="s">
        <v>1336</v>
      </c>
      <c r="E8456" s="6" t="s">
        <v>1337</v>
      </c>
      <c r="F8456" s="6" t="str">
        <f>IF($M8456="PADD I","PADD 1",IF($M8456="PADD II","PADD 2",IF($M8456="PADD III","PADD 3",IF($M8456="PADD IV","PADD 4",IF($M8456="PADD V","PADD 5","")))))</f>
        <v>PADD 4</v>
      </c>
      <c r="G8456" s="6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6" t="s">
        <v>510</v>
      </c>
      <c r="I8456" s="6" t="s">
        <v>666</v>
      </c>
      <c r="J8456" s="6" t="s">
        <v>398</v>
      </c>
      <c r="K8456" s="10">
        <v>1.131</v>
      </c>
      <c r="L8456" s="10">
        <v>1.3</v>
      </c>
      <c r="M8456" s="6" t="s">
        <v>480</v>
      </c>
      <c r="N8456" s="6">
        <f>IF(OR($G8456="FCC",$G8456="Hydrocracker",$G8456="Reformer"),IF(COUNTIFS($D:$D,$D8456,$A:$A,$A8456,$B:$B,$B8456,$G:$G,"CDU",$J:$J,"PLANNED")&gt;0,"tied","standalone"),"")</f>
        <v/>
      </c>
    </row>
    <row r="8457" spans="1:14">
      <c r="A8457" s="6">
        <v>2027</v>
      </c>
      <c r="B8457" s="6">
        <v>3</v>
      </c>
      <c r="C8457" s="6" t="s">
        <v>62</v>
      </c>
      <c r="D8457" s="6" t="s">
        <v>430</v>
      </c>
      <c r="E8457" s="6" t="s">
        <v>431</v>
      </c>
      <c r="F8457" s="6" t="str">
        <f>IF($M8457="PADD I","PADD 1",IF($M8457="PADD II","PADD 2",IF($M8457="PADD III","PADD 3",IF($M8457="PADD IV","PADD 4",IF($M8457="PADD V","PADD 5","")))))</f>
        <v>PADD 3</v>
      </c>
      <c r="G8457" s="6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6" t="s">
        <v>510</v>
      </c>
      <c r="I8457" s="6" t="s">
        <v>1307</v>
      </c>
      <c r="J8457" s="6" t="s">
        <v>398</v>
      </c>
      <c r="K8457" s="10">
        <v>0.5625</v>
      </c>
      <c r="L8457" s="10">
        <v>18.75</v>
      </c>
      <c r="M8457" s="6" t="s">
        <v>421</v>
      </c>
      <c r="N8457" s="6">
        <f>IF(OR($G8457="FCC",$G8457="Hydrocracker",$G8457="Reformer"),IF(COUNTIFS($D:$D,$D8457,$A:$A,$A8457,$B:$B,$B8457,$G:$G,"CDU",$J:$J,"PLANNED")&gt;0,"tied","standalone"),"")</f>
        <v/>
      </c>
    </row>
    <row r="8458" spans="1:14">
      <c r="A8458" s="6">
        <v>2027</v>
      </c>
      <c r="B8458" s="6">
        <v>3</v>
      </c>
      <c r="C8458" s="6" t="s">
        <v>62</v>
      </c>
      <c r="D8458" s="6" t="s">
        <v>889</v>
      </c>
      <c r="E8458" s="6" t="s">
        <v>890</v>
      </c>
      <c r="F8458" s="6" t="str">
        <f>IF($M8458="PADD I","PADD 1",IF($M8458="PADD II","PADD 2",IF($M8458="PADD III","PADD 3",IF($M8458="PADD IV","PADD 4",IF($M8458="PADD V","PADD 5","")))))</f>
        <v>PADD 1</v>
      </c>
      <c r="G8458" s="6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6" t="s">
        <v>687</v>
      </c>
      <c r="I8458" s="6" t="s">
        <v>598</v>
      </c>
      <c r="J8458" s="6" t="s">
        <v>398</v>
      </c>
      <c r="K8458" s="10">
        <v>0.0348</v>
      </c>
      <c r="L8458" s="10">
        <v>0.04</v>
      </c>
      <c r="M8458" s="6" t="s">
        <v>463</v>
      </c>
      <c r="N8458" s="6">
        <f>IF(OR($G8458="FCC",$G8458="Hydrocracker",$G8458="Reformer"),IF(COUNTIFS($D:$D,$D8458,$A:$A,$A8458,$B:$B,$B8458,$G:$G,"CDU",$J:$J,"PLANNED")&gt;0,"tied","standalone"),"")</f>
        <v/>
      </c>
    </row>
    <row r="8459" spans="1:14">
      <c r="A8459" s="6">
        <v>2027</v>
      </c>
      <c r="B8459" s="6">
        <v>4</v>
      </c>
      <c r="C8459" s="6" t="s">
        <v>63</v>
      </c>
      <c r="D8459" s="6" t="s">
        <v>370</v>
      </c>
      <c r="E8459" s="6" t="s">
        <v>431</v>
      </c>
      <c r="F8459" s="6" t="str">
        <f>IF($M8459="PADD I","PADD 1",IF($M8459="PADD II","PADD 2",IF($M8459="PADD III","PADD 3",IF($M8459="PADD IV","PADD 4",IF($M8459="PADD V","PADD 5","")))))</f>
        <v>PADD 2</v>
      </c>
      <c r="G8459" s="6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6" t="s">
        <v>39</v>
      </c>
      <c r="I8459" s="6" t="s">
        <v>82</v>
      </c>
      <c r="J8459" s="6" t="s">
        <v>398</v>
      </c>
      <c r="K8459" s="10">
        <v>217.5</v>
      </c>
      <c r="L8459" s="10">
        <v>250</v>
      </c>
      <c r="M8459" s="6" t="s">
        <v>425</v>
      </c>
      <c r="N8459" s="6">
        <f>IF(OR($G8459="FCC",$G8459="Hydrocracker",$G8459="Reformer"),IF(COUNTIFS($D:$D,$D8459,$A:$A,$A8459,$B:$B,$B8459,$G:$G,"CDU",$J:$J,"PLANNED")&gt;0,"tied","standalone"),"")</f>
        <v/>
      </c>
    </row>
    <row r="8460" spans="1:14">
      <c r="A8460" s="6">
        <v>2027</v>
      </c>
      <c r="B8460" s="6">
        <v>4</v>
      </c>
      <c r="C8460" s="6" t="s">
        <v>63</v>
      </c>
      <c r="D8460" s="6" t="s">
        <v>377</v>
      </c>
      <c r="E8460" s="6" t="s">
        <v>466</v>
      </c>
      <c r="F8460" s="6" t="str">
        <f>IF($M8460="PADD I","PADD 1",IF($M8460="PADD II","PADD 2",IF($M8460="PADD III","PADD 3",IF($M8460="PADD IV","PADD 4",IF($M8460="PADD V","PADD 5","")))))</f>
        <v>PADD 2</v>
      </c>
      <c r="G8460" s="6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6" t="s">
        <v>39</v>
      </c>
      <c r="I8460" s="6" t="s">
        <v>92</v>
      </c>
      <c r="J8460" s="6" t="s">
        <v>398</v>
      </c>
      <c r="K8460" s="10">
        <v>127.75</v>
      </c>
      <c r="L8460" s="10">
        <v>175</v>
      </c>
      <c r="M8460" s="6" t="s">
        <v>425</v>
      </c>
      <c r="N8460" s="6">
        <f>IF(OR($G8460="FCC",$G8460="Hydrocracker",$G8460="Reformer"),IF(COUNTIFS($D:$D,$D8460,$A:$A,$A8460,$B:$B,$B8460,$G:$G,"CDU",$J:$J,"PLANNED")&gt;0,"tied","standalone"),"")</f>
        <v/>
      </c>
    </row>
    <row r="8461" spans="1:14">
      <c r="A8461" s="6">
        <v>2027</v>
      </c>
      <c r="B8461" s="6">
        <v>4</v>
      </c>
      <c r="C8461" s="6" t="s">
        <v>63</v>
      </c>
      <c r="D8461" s="6" t="s">
        <v>370</v>
      </c>
      <c r="E8461" s="6" t="s">
        <v>431</v>
      </c>
      <c r="F8461" s="6" t="str">
        <f>IF($M8461="PADD I","PADD 1",IF($M8461="PADD II","PADD 2",IF($M8461="PADD III","PADD 3",IF($M8461="PADD IV","PADD 4",IF($M8461="PADD V","PADD 5","")))))</f>
        <v>PADD 2</v>
      </c>
      <c r="G8461" s="6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6" t="s">
        <v>428</v>
      </c>
      <c r="I8461" s="6" t="s">
        <v>481</v>
      </c>
      <c r="J8461" s="6" t="s">
        <v>398</v>
      </c>
      <c r="K8461" s="10">
        <v>110.49</v>
      </c>
      <c r="L8461" s="10">
        <v>127</v>
      </c>
      <c r="M8461" s="6" t="s">
        <v>425</v>
      </c>
      <c r="N8461" s="6">
        <f>IF(OR($G8461="FCC",$G8461="Hydrocracker",$G8461="Reformer"),IF(COUNTIFS($D:$D,$D8461,$A:$A,$A8461,$B:$B,$B8461,$G:$G,"CDU",$J:$J,"PLANNED")&gt;0,"tied","standalone"),"")</f>
        <v/>
      </c>
    </row>
    <row r="8462" spans="1:14">
      <c r="A8462" s="6">
        <v>2027</v>
      </c>
      <c r="B8462" s="6">
        <v>4</v>
      </c>
      <c r="C8462" s="6" t="s">
        <v>63</v>
      </c>
      <c r="D8462" s="6" t="s">
        <v>370</v>
      </c>
      <c r="E8462" s="6" t="s">
        <v>431</v>
      </c>
      <c r="F8462" s="6" t="str">
        <f>IF($M8462="PADD I","PADD 1",IF($M8462="PADD II","PADD 2",IF($M8462="PADD III","PADD 3",IF($M8462="PADD IV","PADD 4",IF($M8462="PADD V","PADD 5","")))))</f>
        <v>PADD 2</v>
      </c>
      <c r="G8462" s="6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6" t="s">
        <v>44</v>
      </c>
      <c r="I8462" s="6" t="s">
        <v>1215</v>
      </c>
      <c r="J8462" s="6" t="s">
        <v>398</v>
      </c>
      <c r="K8462" s="10">
        <v>69.59999999999999</v>
      </c>
      <c r="L8462" s="10">
        <v>80</v>
      </c>
      <c r="M8462" s="6" t="s">
        <v>425</v>
      </c>
      <c r="N8462" s="6">
        <f>IF(OR($G8462="FCC",$G8462="Hydrocracker",$G8462="Reformer"),IF(COUNTIFS($D:$D,$D8462,$A:$A,$A8462,$B:$B,$B8462,$G:$G,"CDU",$J:$J,"PLANNED")&gt;0,"tied","standalone"),"")</f>
        <v/>
      </c>
    </row>
    <row r="8463" spans="1:14">
      <c r="A8463" s="6">
        <v>2027</v>
      </c>
      <c r="B8463" s="6">
        <v>4</v>
      </c>
      <c r="C8463" s="6" t="s">
        <v>63</v>
      </c>
      <c r="D8463" s="6" t="s">
        <v>730</v>
      </c>
      <c r="E8463" s="6" t="s">
        <v>731</v>
      </c>
      <c r="F8463" s="6" t="str">
        <f>IF($M8463="PADD I","PADD 1",IF($M8463="PADD II","PADD 2",IF($M8463="PADD III","PADD 3",IF($M8463="PADD IV","PADD 4",IF($M8463="PADD V","PADD 5","")))))</f>
        <v>PADD 3</v>
      </c>
      <c r="G8463" s="6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6" t="s">
        <v>39</v>
      </c>
      <c r="I8463" s="6" t="s">
        <v>82</v>
      </c>
      <c r="J8463" s="6" t="s">
        <v>398</v>
      </c>
      <c r="K8463" s="10">
        <v>65.09999999999999</v>
      </c>
      <c r="L8463" s="10">
        <v>70</v>
      </c>
      <c r="M8463" s="6" t="s">
        <v>421</v>
      </c>
      <c r="N8463" s="6">
        <f>IF(OR($G8463="FCC",$G8463="Hydrocracker",$G8463="Reformer"),IF(COUNTIFS($D:$D,$D8463,$A:$A,$A8463,$B:$B,$B8463,$G:$G,"CDU",$J:$J,"PLANNED")&gt;0,"tied","standalone"),"")</f>
        <v/>
      </c>
    </row>
    <row r="8464" spans="1:14">
      <c r="A8464" s="6">
        <v>2027</v>
      </c>
      <c r="B8464" s="6">
        <v>4</v>
      </c>
      <c r="C8464" s="6" t="s">
        <v>63</v>
      </c>
      <c r="D8464" s="6" t="s">
        <v>377</v>
      </c>
      <c r="E8464" s="6" t="s">
        <v>466</v>
      </c>
      <c r="F8464" s="6" t="str">
        <f>IF($M8464="PADD I","PADD 1",IF($M8464="PADD II","PADD 2",IF($M8464="PADD III","PADD 3",IF($M8464="PADD IV","PADD 4",IF($M8464="PADD V","PADD 5","")))))</f>
        <v>PADD 2</v>
      </c>
      <c r="G8464" s="6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6" t="s">
        <v>428</v>
      </c>
      <c r="I8464" s="6" t="s">
        <v>1294</v>
      </c>
      <c r="J8464" s="6" t="s">
        <v>398</v>
      </c>
      <c r="K8464" s="10">
        <v>54.75</v>
      </c>
      <c r="L8464" s="10">
        <v>75</v>
      </c>
      <c r="M8464" s="6" t="s">
        <v>425</v>
      </c>
      <c r="N8464" s="6">
        <f>IF(OR($G8464="FCC",$G8464="Hydrocracker",$G8464="Reformer"),IF(COUNTIFS($D:$D,$D8464,$A:$A,$A8464,$B:$B,$B8464,$G:$G,"CDU",$J:$J,"PLANNED")&gt;0,"tied","standalone"),"")</f>
        <v/>
      </c>
    </row>
    <row r="8465" spans="1:14">
      <c r="A8465" s="6">
        <v>2027</v>
      </c>
      <c r="B8465" s="6">
        <v>4</v>
      </c>
      <c r="C8465" s="6" t="s">
        <v>63</v>
      </c>
      <c r="D8465" s="6" t="s">
        <v>51</v>
      </c>
      <c r="E8465" s="6" t="s">
        <v>431</v>
      </c>
      <c r="F8465" s="6" t="str">
        <f>IF($M8465="PADD I","PADD 1",IF($M8465="PADD II","PADD 2",IF($M8465="PADD III","PADD 3",IF($M8465="PADD IV","PADD 4",IF($M8465="PADD V","PADD 5","")))))</f>
        <v>PADD 3</v>
      </c>
      <c r="G8465" s="6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6" t="s">
        <v>426</v>
      </c>
      <c r="I8465" s="6" t="s">
        <v>103</v>
      </c>
      <c r="J8465" s="6" t="s">
        <v>398</v>
      </c>
      <c r="K8465" s="10">
        <v>53.75</v>
      </c>
      <c r="L8465" s="10">
        <v>125</v>
      </c>
      <c r="M8465" s="6" t="s">
        <v>421</v>
      </c>
      <c r="N8465" s="6" t="str">
        <f>IF(OR($G8465="FCC",$G8465="Hydrocracker",$G8465="Reformer"),IF(COUNTIFS($D:$D,$D8465,$A:$A,$A8465,$B:$B,$B8465,$G:$G,"CDU",$J:$J,"PLANNED")&gt;0,"tied","standalone"),"")</f>
        <v>standalone</v>
      </c>
    </row>
    <row r="8466" spans="1:14">
      <c r="A8466" s="6">
        <v>2027</v>
      </c>
      <c r="B8466" s="6">
        <v>4</v>
      </c>
      <c r="C8466" s="6" t="s">
        <v>63</v>
      </c>
      <c r="D8466" s="6" t="s">
        <v>370</v>
      </c>
      <c r="E8466" s="6" t="s">
        <v>431</v>
      </c>
      <c r="F8466" s="6" t="str">
        <f>IF($M8466="PADD I","PADD 1",IF($M8466="PADD II","PADD 2",IF($M8466="PADD III","PADD 3",IF($M8466="PADD IV","PADD 4",IF($M8466="PADD V","PADD 5","")))))</f>
        <v>PADD 2</v>
      </c>
      <c r="G8466" s="6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6" t="s">
        <v>485</v>
      </c>
      <c r="I8466" s="6" t="s">
        <v>491</v>
      </c>
      <c r="J8466" s="6" t="s">
        <v>398</v>
      </c>
      <c r="K8466" s="10">
        <v>51.33</v>
      </c>
      <c r="L8466" s="10">
        <v>59</v>
      </c>
      <c r="M8466" s="6" t="s">
        <v>425</v>
      </c>
      <c r="N8466" s="6">
        <f>IF(OR($G8466="FCC",$G8466="Hydrocracker",$G8466="Reformer"),IF(COUNTIFS($D:$D,$D8466,$A:$A,$A8466,$B:$B,$B8466,$G:$G,"CDU",$J:$J,"PLANNED")&gt;0,"tied","standalone"),"")</f>
        <v/>
      </c>
    </row>
    <row r="8467" spans="1:14">
      <c r="A8467" s="6">
        <v>2027</v>
      </c>
      <c r="B8467" s="6">
        <v>4</v>
      </c>
      <c r="C8467" s="6" t="s">
        <v>63</v>
      </c>
      <c r="D8467" s="6" t="s">
        <v>370</v>
      </c>
      <c r="E8467" s="6" t="s">
        <v>431</v>
      </c>
      <c r="F8467" s="6" t="str">
        <f>IF($M8467="PADD I","PADD 1",IF($M8467="PADD II","PADD 2",IF($M8467="PADD III","PADD 3",IF($M8467="PADD IV","PADD 4",IF($M8467="PADD V","PADD 5","")))))</f>
        <v>PADD 2</v>
      </c>
      <c r="G8467" s="6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6" t="s">
        <v>471</v>
      </c>
      <c r="I8467" s="6" t="s">
        <v>240</v>
      </c>
      <c r="J8467" s="6" t="s">
        <v>398</v>
      </c>
      <c r="K8467" s="10">
        <v>45.24</v>
      </c>
      <c r="L8467" s="10">
        <v>52</v>
      </c>
      <c r="M8467" s="6" t="s">
        <v>425</v>
      </c>
      <c r="N8467" s="6" t="str">
        <f>IF(OR($G8467="FCC",$G8467="Hydrocracker",$G8467="Reformer"),IF(COUNTIFS($D:$D,$D8467,$A:$A,$A8467,$B:$B,$B8467,$G:$G,"CDU",$J:$J,"PLANNED")&gt;0,"tied","standalone"),"")</f>
        <v>tied</v>
      </c>
    </row>
    <row r="8468" spans="1:14">
      <c r="A8468" s="6">
        <v>2027</v>
      </c>
      <c r="B8468" s="6">
        <v>4</v>
      </c>
      <c r="C8468" s="6" t="s">
        <v>63</v>
      </c>
      <c r="D8468" s="6" t="s">
        <v>370</v>
      </c>
      <c r="E8468" s="6" t="s">
        <v>431</v>
      </c>
      <c r="F8468" s="6" t="str">
        <f>IF($M8468="PADD I","PADD 1",IF($M8468="PADD II","PADD 2",IF($M8468="PADD III","PADD 3",IF($M8468="PADD IV","PADD 4",IF($M8468="PADD V","PADD 5","")))))</f>
        <v>PADD 2</v>
      </c>
      <c r="G8468" s="6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6" t="s">
        <v>44</v>
      </c>
      <c r="I8468" s="6" t="s">
        <v>794</v>
      </c>
      <c r="J8468" s="6" t="s">
        <v>398</v>
      </c>
      <c r="K8468" s="10">
        <v>43.5</v>
      </c>
      <c r="L8468" s="10">
        <v>50</v>
      </c>
      <c r="M8468" s="6" t="s">
        <v>425</v>
      </c>
      <c r="N8468" s="6">
        <f>IF(OR($G8468="FCC",$G8468="Hydrocracker",$G8468="Reformer"),IF(COUNTIFS($D:$D,$D8468,$A:$A,$A8468,$B:$B,$B8468,$G:$G,"CDU",$J:$J,"PLANNED")&gt;0,"tied","standalone"),"")</f>
        <v/>
      </c>
    </row>
    <row r="8469" spans="1:14">
      <c r="A8469" s="6">
        <v>2027</v>
      </c>
      <c r="B8469" s="6">
        <v>4</v>
      </c>
      <c r="C8469" s="6" t="s">
        <v>63</v>
      </c>
      <c r="D8469" s="6" t="s">
        <v>384</v>
      </c>
      <c r="E8469" s="6" t="s">
        <v>419</v>
      </c>
      <c r="F8469" s="6" t="str">
        <f>IF($M8469="PADD I","PADD 1",IF($M8469="PADD II","PADD 2",IF($M8469="PADD III","PADD 3",IF($M8469="PADD IV","PADD 4",IF($M8469="PADD V","PADD 5","")))))</f>
        <v>PADD 3</v>
      </c>
      <c r="G8469" s="6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6" t="s">
        <v>39</v>
      </c>
      <c r="I8469" s="6" t="s">
        <v>118</v>
      </c>
      <c r="J8469" s="6" t="s">
        <v>398</v>
      </c>
      <c r="K8469" s="10">
        <v>43.43</v>
      </c>
      <c r="L8469" s="10">
        <v>101</v>
      </c>
      <c r="M8469" s="6" t="s">
        <v>421</v>
      </c>
      <c r="N8469" s="6">
        <f>IF(OR($G8469="FCC",$G8469="Hydrocracker",$G8469="Reformer"),IF(COUNTIFS($D:$D,$D8469,$A:$A,$A8469,$B:$B,$B8469,$G:$G,"CDU",$J:$J,"PLANNED")&gt;0,"tied","standalone"),"")</f>
        <v/>
      </c>
    </row>
    <row r="8470" spans="1:14">
      <c r="A8470" s="6">
        <v>2027</v>
      </c>
      <c r="B8470" s="6">
        <v>4</v>
      </c>
      <c r="C8470" s="6" t="s">
        <v>63</v>
      </c>
      <c r="D8470" s="6" t="s">
        <v>49</v>
      </c>
      <c r="E8470" s="6" t="s">
        <v>438</v>
      </c>
      <c r="F8470" s="6" t="str">
        <f>IF($M8470="PADD I","PADD 1",IF($M8470="PADD II","PADD 2",IF($M8470="PADD III","PADD 3",IF($M8470="PADD IV","PADD 4",IF($M8470="PADD V","PADD 5","")))))</f>
        <v>PADD 2</v>
      </c>
      <c r="G8470" s="6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6" t="s">
        <v>44</v>
      </c>
      <c r="I8470" s="6" t="s">
        <v>746</v>
      </c>
      <c r="J8470" s="6" t="s">
        <v>398</v>
      </c>
      <c r="K8470" s="10">
        <v>42.5</v>
      </c>
      <c r="L8470" s="10">
        <v>85</v>
      </c>
      <c r="M8470" s="6" t="s">
        <v>425</v>
      </c>
      <c r="N8470" s="6">
        <f>IF(OR($G8470="FCC",$G8470="Hydrocracker",$G8470="Reformer"),IF(COUNTIFS($D:$D,$D8470,$A:$A,$A8470,$B:$B,$B8470,$G:$G,"CDU",$J:$J,"PLANNED")&gt;0,"tied","standalone"),"")</f>
        <v/>
      </c>
    </row>
    <row r="8471" spans="1:14">
      <c r="A8471" s="6">
        <v>2027</v>
      </c>
      <c r="B8471" s="6">
        <v>4</v>
      </c>
      <c r="C8471" s="6" t="s">
        <v>63</v>
      </c>
      <c r="D8471" s="6" t="s">
        <v>430</v>
      </c>
      <c r="E8471" s="6" t="s">
        <v>431</v>
      </c>
      <c r="F8471" s="6" t="str">
        <f>IF($M8471="PADD I","PADD 1",IF($M8471="PADD II","PADD 2",IF($M8471="PADD III","PADD 3",IF($M8471="PADD IV","PADD 4",IF($M8471="PADD V","PADD 5","")))))</f>
        <v>PADD 3</v>
      </c>
      <c r="G8471" s="6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6" t="s">
        <v>44</v>
      </c>
      <c r="I8471" s="6" t="s">
        <v>1297</v>
      </c>
      <c r="J8471" s="6" t="s">
        <v>398</v>
      </c>
      <c r="K8471" s="10">
        <v>32</v>
      </c>
      <c r="L8471" s="10">
        <v>40</v>
      </c>
      <c r="M8471" s="6" t="s">
        <v>421</v>
      </c>
      <c r="N8471" s="6">
        <f>IF(OR($G8471="FCC",$G8471="Hydrocracker",$G8471="Reformer"),IF(COUNTIFS($D:$D,$D8471,$A:$A,$A8471,$B:$B,$B8471,$G:$G,"CDU",$J:$J,"PLANNED")&gt;0,"tied","standalone"),"")</f>
        <v/>
      </c>
    </row>
    <row r="8472" spans="1:14">
      <c r="A8472" s="6">
        <v>2027</v>
      </c>
      <c r="B8472" s="6">
        <v>4</v>
      </c>
      <c r="C8472" s="6" t="s">
        <v>63</v>
      </c>
      <c r="D8472" s="6" t="s">
        <v>889</v>
      </c>
      <c r="E8472" s="6" t="s">
        <v>890</v>
      </c>
      <c r="F8472" s="6" t="str">
        <f>IF($M8472="PADD I","PADD 1",IF($M8472="PADD II","PADD 2",IF($M8472="PADD III","PADD 3",IF($M8472="PADD IV","PADD 4",IF($M8472="PADD V","PADD 5","")))))</f>
        <v>PADD 1</v>
      </c>
      <c r="G8472" s="6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6" t="s">
        <v>39</v>
      </c>
      <c r="I8472" s="6" t="s">
        <v>134</v>
      </c>
      <c r="J8472" s="6" t="s">
        <v>398</v>
      </c>
      <c r="K8472" s="10">
        <v>30.1</v>
      </c>
      <c r="L8472" s="10">
        <v>70</v>
      </c>
      <c r="M8472" s="6" t="s">
        <v>463</v>
      </c>
      <c r="N8472" s="6">
        <f>IF(OR($G8472="FCC",$G8472="Hydrocracker",$G8472="Reformer"),IF(COUNTIFS($D:$D,$D8472,$A:$A,$A8472,$B:$B,$B8472,$G:$G,"CDU",$J:$J,"PLANNED")&gt;0,"tied","standalone"),"")</f>
        <v/>
      </c>
    </row>
    <row r="8473" spans="1:14">
      <c r="A8473" s="6">
        <v>2027</v>
      </c>
      <c r="B8473" s="6">
        <v>4</v>
      </c>
      <c r="C8473" s="6" t="s">
        <v>63</v>
      </c>
      <c r="D8473" s="6" t="s">
        <v>730</v>
      </c>
      <c r="E8473" s="6" t="s">
        <v>731</v>
      </c>
      <c r="F8473" s="6" t="str">
        <f>IF($M8473="PADD I","PADD 1",IF($M8473="PADD II","PADD 2",IF($M8473="PADD III","PADD 3",IF($M8473="PADD IV","PADD 4",IF($M8473="PADD V","PADD 5","")))))</f>
        <v>PADD 3</v>
      </c>
      <c r="G8473" s="6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6" t="s">
        <v>44</v>
      </c>
      <c r="I8473" s="6" t="s">
        <v>739</v>
      </c>
      <c r="J8473" s="6" t="s">
        <v>398</v>
      </c>
      <c r="K8473" s="10">
        <v>29.76</v>
      </c>
      <c r="L8473" s="10">
        <v>32</v>
      </c>
      <c r="M8473" s="6" t="s">
        <v>421</v>
      </c>
      <c r="N8473" s="6">
        <f>IF(OR($G8473="FCC",$G8473="Hydrocracker",$G8473="Reformer"),IF(COUNTIFS($D:$D,$D8473,$A:$A,$A8473,$B:$B,$B8473,$G:$G,"CDU",$J:$J,"PLANNED")&gt;0,"tied","standalone"),"")</f>
        <v/>
      </c>
    </row>
    <row r="8474" spans="1:14">
      <c r="A8474" s="6">
        <v>2027</v>
      </c>
      <c r="B8474" s="6">
        <v>4</v>
      </c>
      <c r="C8474" s="6" t="s">
        <v>63</v>
      </c>
      <c r="D8474" s="6" t="s">
        <v>1440</v>
      </c>
      <c r="E8474" s="6" t="s">
        <v>731</v>
      </c>
      <c r="F8474" s="6" t="str">
        <f>IF($M8474="PADD I","PADD 1",IF($M8474="PADD II","PADD 2",IF($M8474="PADD III","PADD 3",IF($M8474="PADD IV","PADD 4",IF($M8474="PADD V","PADD 5","")))))</f>
        <v>PADD 3</v>
      </c>
      <c r="G8474" s="6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6" t="s">
        <v>39</v>
      </c>
      <c r="I8474" s="6" t="s">
        <v>82</v>
      </c>
      <c r="J8474" s="6" t="s">
        <v>398</v>
      </c>
      <c r="K8474" s="10">
        <v>27.9</v>
      </c>
      <c r="L8474" s="10">
        <v>30</v>
      </c>
      <c r="M8474" s="6" t="s">
        <v>421</v>
      </c>
      <c r="N8474" s="6">
        <f>IF(OR($G8474="FCC",$G8474="Hydrocracker",$G8474="Reformer"),IF(COUNTIFS($D:$D,$D8474,$A:$A,$A8474,$B:$B,$B8474,$G:$G,"CDU",$J:$J,"PLANNED")&gt;0,"tied","standalone"),"")</f>
        <v/>
      </c>
    </row>
    <row r="8475" spans="1:14">
      <c r="A8475" s="6">
        <v>2027</v>
      </c>
      <c r="B8475" s="6">
        <v>4</v>
      </c>
      <c r="C8475" s="6" t="s">
        <v>63</v>
      </c>
      <c r="D8475" s="6" t="s">
        <v>377</v>
      </c>
      <c r="E8475" s="6" t="s">
        <v>466</v>
      </c>
      <c r="F8475" s="6" t="str">
        <f>IF($M8475="PADD I","PADD 1",IF($M8475="PADD II","PADD 2",IF($M8475="PADD III","PADD 3",IF($M8475="PADD IV","PADD 4",IF($M8475="PADD V","PADD 5","")))))</f>
        <v>PADD 2</v>
      </c>
      <c r="G8475" s="6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6" t="s">
        <v>485</v>
      </c>
      <c r="I8475" s="6" t="s">
        <v>1109</v>
      </c>
      <c r="J8475" s="6" t="s">
        <v>398</v>
      </c>
      <c r="K8475" s="10">
        <v>27.74</v>
      </c>
      <c r="L8475" s="10">
        <v>38</v>
      </c>
      <c r="M8475" s="6" t="s">
        <v>425</v>
      </c>
      <c r="N8475" s="6">
        <f>IF(OR($G8475="FCC",$G8475="Hydrocracker",$G8475="Reformer"),IF(COUNTIFS($D:$D,$D8475,$A:$A,$A8475,$B:$B,$B8475,$G:$G,"CDU",$J:$J,"PLANNED")&gt;0,"tied","standalone"),"")</f>
        <v/>
      </c>
    </row>
    <row r="8476" spans="1:14">
      <c r="A8476" s="6">
        <v>2027</v>
      </c>
      <c r="B8476" s="6">
        <v>4</v>
      </c>
      <c r="C8476" s="6" t="s">
        <v>63</v>
      </c>
      <c r="D8476" s="6" t="s">
        <v>370</v>
      </c>
      <c r="E8476" s="6" t="s">
        <v>431</v>
      </c>
      <c r="F8476" s="6" t="str">
        <f>IF($M8476="PADD I","PADD 1",IF($M8476="PADD II","PADD 2",IF($M8476="PADD III","PADD 3",IF($M8476="PADD IV","PADD 4",IF($M8476="PADD V","PADD 5","")))))</f>
        <v>PADD 2</v>
      </c>
      <c r="G8476" s="6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6" t="s">
        <v>510</v>
      </c>
      <c r="I8476" s="6" t="s">
        <v>666</v>
      </c>
      <c r="J8476" s="6" t="s">
        <v>398</v>
      </c>
      <c r="K8476" s="10">
        <v>26.2</v>
      </c>
      <c r="L8476" s="10">
        <v>26.2</v>
      </c>
      <c r="M8476" s="6" t="s">
        <v>425</v>
      </c>
      <c r="N8476" s="6">
        <f>IF(OR($G8476="FCC",$G8476="Hydrocracker",$G8476="Reformer"),IF(COUNTIFS($D:$D,$D8476,$A:$A,$A8476,$B:$B,$B8476,$G:$G,"CDU",$J:$J,"PLANNED")&gt;0,"tied","standalone"),"")</f>
        <v/>
      </c>
    </row>
    <row r="8477" spans="1:14">
      <c r="A8477" s="6">
        <v>2027</v>
      </c>
      <c r="B8477" s="6">
        <v>4</v>
      </c>
      <c r="C8477" s="6" t="s">
        <v>63</v>
      </c>
      <c r="D8477" s="6" t="s">
        <v>915</v>
      </c>
      <c r="E8477" s="6" t="s">
        <v>419</v>
      </c>
      <c r="F8477" s="6" t="str">
        <f>IF($M8477="PADD I","PADD 1",IF($M8477="PADD II","PADD 2",IF($M8477="PADD III","PADD 3",IF($M8477="PADD IV","PADD 4",IF($M8477="PADD V","PADD 5","")))))</f>
        <v>PADD 4</v>
      </c>
      <c r="G8477" s="6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6" t="s">
        <v>39</v>
      </c>
      <c r="I8477" s="6" t="s">
        <v>916</v>
      </c>
      <c r="J8477" s="6" t="s">
        <v>398</v>
      </c>
      <c r="K8477" s="10">
        <v>25.55</v>
      </c>
      <c r="L8477" s="10">
        <v>35</v>
      </c>
      <c r="M8477" s="6" t="s">
        <v>480</v>
      </c>
      <c r="N8477" s="6">
        <f>IF(OR($G8477="FCC",$G8477="Hydrocracker",$G8477="Reformer"),IF(COUNTIFS($D:$D,$D8477,$A:$A,$A8477,$B:$B,$B8477,$G:$G,"CDU",$J:$J,"PLANNED")&gt;0,"tied","standalone"),"")</f>
        <v/>
      </c>
    </row>
    <row r="8478" spans="1:14">
      <c r="A8478" s="6">
        <v>2027</v>
      </c>
      <c r="B8478" s="6">
        <v>4</v>
      </c>
      <c r="C8478" s="6" t="s">
        <v>63</v>
      </c>
      <c r="D8478" s="6" t="s">
        <v>915</v>
      </c>
      <c r="E8478" s="6" t="s">
        <v>419</v>
      </c>
      <c r="F8478" s="6" t="str">
        <f>IF($M8478="PADD I","PADD 1",IF($M8478="PADD II","PADD 2",IF($M8478="PADD III","PADD 3",IF($M8478="PADD IV","PADD 4",IF($M8478="PADD V","PADD 5","")))))</f>
        <v>PADD 4</v>
      </c>
      <c r="G8478" s="6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6" t="s">
        <v>428</v>
      </c>
      <c r="I8478" s="6" t="s">
        <v>917</v>
      </c>
      <c r="J8478" s="6" t="s">
        <v>398</v>
      </c>
      <c r="K8478" s="10">
        <v>25.55</v>
      </c>
      <c r="L8478" s="10">
        <v>35</v>
      </c>
      <c r="M8478" s="6" t="s">
        <v>480</v>
      </c>
      <c r="N8478" s="6">
        <f>IF(OR($G8478="FCC",$G8478="Hydrocracker",$G8478="Reformer"),IF(COUNTIFS($D:$D,$D8478,$A:$A,$A8478,$B:$B,$B8478,$G:$G,"CDU",$J:$J,"PLANNED")&gt;0,"tied","standalone"),"")</f>
        <v/>
      </c>
    </row>
    <row r="8479" spans="1:14">
      <c r="A8479" s="6">
        <v>2027</v>
      </c>
      <c r="B8479" s="6">
        <v>4</v>
      </c>
      <c r="C8479" s="6" t="s">
        <v>63</v>
      </c>
      <c r="D8479" s="6" t="s">
        <v>368</v>
      </c>
      <c r="E8479" s="6" t="s">
        <v>715</v>
      </c>
      <c r="F8479" s="6" t="str">
        <f>IF($M8479="PADD I","PADD 1",IF($M8479="PADD II","PADD 2",IF($M8479="PADD III","PADD 3",IF($M8479="PADD IV","PADD 4",IF($M8479="PADD V","PADD 5","")))))</f>
        <v>PADD 3</v>
      </c>
      <c r="G8479" s="6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6" t="s">
        <v>44</v>
      </c>
      <c r="I8479" s="6" t="s">
        <v>938</v>
      </c>
      <c r="J8479" s="6" t="s">
        <v>398</v>
      </c>
      <c r="K8479" s="10">
        <v>25.2</v>
      </c>
      <c r="L8479" s="10">
        <v>40</v>
      </c>
      <c r="M8479" s="6" t="s">
        <v>421</v>
      </c>
      <c r="N8479" s="6">
        <f>IF(OR($G8479="FCC",$G8479="Hydrocracker",$G8479="Reformer"),IF(COUNTIFS($D:$D,$D8479,$A:$A,$A8479,$B:$B,$B8479,$G:$G,"CDU",$J:$J,"PLANNED")&gt;0,"tied","standalone"),"")</f>
        <v/>
      </c>
    </row>
    <row r="8480" spans="1:14">
      <c r="A8480" s="6">
        <v>2027</v>
      </c>
      <c r="B8480" s="6">
        <v>4</v>
      </c>
      <c r="C8480" s="6" t="s">
        <v>63</v>
      </c>
      <c r="D8480" s="6" t="s">
        <v>368</v>
      </c>
      <c r="E8480" s="6" t="s">
        <v>715</v>
      </c>
      <c r="F8480" s="6" t="str">
        <f>IF($M8480="PADD I","PADD 1",IF($M8480="PADD II","PADD 2",IF($M8480="PADD III","PADD 3",IF($M8480="PADD IV","PADD 4",IF($M8480="PADD V","PADD 5","")))))</f>
        <v>PADD 3</v>
      </c>
      <c r="G8480" s="6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6" t="s">
        <v>494</v>
      </c>
      <c r="I8480" s="6" t="s">
        <v>14</v>
      </c>
      <c r="J8480" s="6" t="s">
        <v>398</v>
      </c>
      <c r="K8480" s="10">
        <v>25.2</v>
      </c>
      <c r="L8480" s="10">
        <v>40</v>
      </c>
      <c r="M8480" s="6" t="s">
        <v>421</v>
      </c>
      <c r="N8480" s="6" t="str">
        <f>IF(OR($G8480="FCC",$G8480="Hydrocracker",$G8480="Reformer"),IF(COUNTIFS($D:$D,$D8480,$A:$A,$A8480,$B:$B,$B8480,$G:$G,"CDU",$J:$J,"PLANNED")&gt;0,"tied","standalone"),"")</f>
        <v>standalone</v>
      </c>
    </row>
    <row r="8481" spans="1:14">
      <c r="A8481" s="6">
        <v>2027</v>
      </c>
      <c r="B8481" s="6">
        <v>4</v>
      </c>
      <c r="C8481" s="6" t="s">
        <v>63</v>
      </c>
      <c r="D8481" s="6" t="s">
        <v>368</v>
      </c>
      <c r="E8481" s="6" t="s">
        <v>715</v>
      </c>
      <c r="F8481" s="6" t="str">
        <f>IF($M8481="PADD I","PADD 1",IF($M8481="PADD II","PADD 2",IF($M8481="PADD III","PADD 3",IF($M8481="PADD IV","PADD 4",IF($M8481="PADD V","PADD 5","")))))</f>
        <v>PADD 3</v>
      </c>
      <c r="G8481" s="6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6" t="s">
        <v>471</v>
      </c>
      <c r="I8481" s="6" t="s">
        <v>939</v>
      </c>
      <c r="J8481" s="6" t="s">
        <v>398</v>
      </c>
      <c r="K8481" s="10">
        <v>25.2</v>
      </c>
      <c r="L8481" s="10">
        <v>40</v>
      </c>
      <c r="M8481" s="6" t="s">
        <v>421</v>
      </c>
      <c r="N8481" s="6" t="str">
        <f>IF(OR($G8481="FCC",$G8481="Hydrocracker",$G8481="Reformer"),IF(COUNTIFS($D:$D,$D8481,$A:$A,$A8481,$B:$B,$B8481,$G:$G,"CDU",$J:$J,"PLANNED")&gt;0,"tied","standalone"),"")</f>
        <v>standalone</v>
      </c>
    </row>
    <row r="8482" spans="1:14">
      <c r="A8482" s="6">
        <v>2027</v>
      </c>
      <c r="B8482" s="6">
        <v>4</v>
      </c>
      <c r="C8482" s="6" t="s">
        <v>63</v>
      </c>
      <c r="D8482" s="6" t="s">
        <v>592</v>
      </c>
      <c r="E8482" s="6" t="s">
        <v>593</v>
      </c>
      <c r="F8482" s="6" t="str">
        <f>IF($M8482="PADD I","PADD 1",IF($M8482="PADD II","PADD 2",IF($M8482="PADD III","PADD 3",IF($M8482="PADD IV","PADD 4",IF($M8482="PADD V","PADD 5","")))))</f>
        <v>PADD 2</v>
      </c>
      <c r="G8482" s="6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6" t="s">
        <v>44</v>
      </c>
      <c r="I8482" s="6" t="s">
        <v>1162</v>
      </c>
      <c r="J8482" s="6" t="s">
        <v>398</v>
      </c>
      <c r="K8482" s="10">
        <v>24.3</v>
      </c>
      <c r="L8482" s="10">
        <v>24.3</v>
      </c>
      <c r="M8482" s="6" t="s">
        <v>425</v>
      </c>
      <c r="N8482" s="6">
        <f>IF(OR($G8482="FCC",$G8482="Hydrocracker",$G8482="Reformer"),IF(COUNTIFS($D:$D,$D8482,$A:$A,$A8482,$B:$B,$B8482,$G:$G,"CDU",$J:$J,"PLANNED")&gt;0,"tied","standalone"),"")</f>
        <v/>
      </c>
    </row>
    <row r="8483" spans="1:14">
      <c r="A8483" s="6">
        <v>2027</v>
      </c>
      <c r="B8483" s="6">
        <v>4</v>
      </c>
      <c r="C8483" s="6" t="s">
        <v>63</v>
      </c>
      <c r="D8483" s="6" t="s">
        <v>730</v>
      </c>
      <c r="E8483" s="6" t="s">
        <v>731</v>
      </c>
      <c r="F8483" s="6" t="str">
        <f>IF($M8483="PADD I","PADD 1",IF($M8483="PADD II","PADD 2",IF($M8483="PADD III","PADD 3",IF($M8483="PADD IV","PADD 4",IF($M8483="PADD V","PADD 5","")))))</f>
        <v>PADD 3</v>
      </c>
      <c r="G8483" s="6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6" t="s">
        <v>426</v>
      </c>
      <c r="I8483" s="6" t="s">
        <v>106</v>
      </c>
      <c r="J8483" s="6" t="s">
        <v>398</v>
      </c>
      <c r="K8483" s="10">
        <v>23.25</v>
      </c>
      <c r="L8483" s="10">
        <v>25</v>
      </c>
      <c r="M8483" s="6" t="s">
        <v>421</v>
      </c>
      <c r="N8483" s="6" t="str">
        <f>IF(OR($G8483="FCC",$G8483="Hydrocracker",$G8483="Reformer"),IF(COUNTIFS($D:$D,$D8483,$A:$A,$A8483,$B:$B,$B8483,$G:$G,"CDU",$J:$J,"PLANNED")&gt;0,"tied","standalone"),"")</f>
        <v>tied</v>
      </c>
    </row>
    <row r="8484" spans="1:14">
      <c r="A8484" s="6">
        <v>2027</v>
      </c>
      <c r="B8484" s="6">
        <v>4</v>
      </c>
      <c r="C8484" s="6" t="s">
        <v>63</v>
      </c>
      <c r="D8484" s="6" t="s">
        <v>730</v>
      </c>
      <c r="E8484" s="6" t="s">
        <v>731</v>
      </c>
      <c r="F8484" s="6" t="str">
        <f>IF($M8484="PADD I","PADD 1",IF($M8484="PADD II","PADD 2",IF($M8484="PADD III","PADD 3",IF($M8484="PADD IV","PADD 4",IF($M8484="PADD V","PADD 5","")))))</f>
        <v>PADD 3</v>
      </c>
      <c r="G8484" s="6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6" t="s">
        <v>428</v>
      </c>
      <c r="I8484" s="6" t="s">
        <v>481</v>
      </c>
      <c r="J8484" s="6" t="s">
        <v>398</v>
      </c>
      <c r="K8484" s="10">
        <v>23.25</v>
      </c>
      <c r="L8484" s="10">
        <v>25</v>
      </c>
      <c r="M8484" s="6" t="s">
        <v>421</v>
      </c>
      <c r="N8484" s="6">
        <f>IF(OR($G8484="FCC",$G8484="Hydrocracker",$G8484="Reformer"),IF(COUNTIFS($D:$D,$D8484,$A:$A,$A8484,$B:$B,$B8484,$G:$G,"CDU",$J:$J,"PLANNED")&gt;0,"tied","standalone"),"")</f>
        <v/>
      </c>
    </row>
    <row r="8485" spans="1:14">
      <c r="A8485" s="6">
        <v>2027</v>
      </c>
      <c r="B8485" s="6">
        <v>4</v>
      </c>
      <c r="C8485" s="6" t="s">
        <v>63</v>
      </c>
      <c r="D8485" s="6" t="s">
        <v>730</v>
      </c>
      <c r="E8485" s="6" t="s">
        <v>731</v>
      </c>
      <c r="F8485" s="6" t="str">
        <f>IF($M8485="PADD I","PADD 1",IF($M8485="PADD II","PADD 2",IF($M8485="PADD III","PADD 3",IF($M8485="PADD IV","PADD 4",IF($M8485="PADD V","PADD 5","")))))</f>
        <v>PADD 3</v>
      </c>
      <c r="G8485" s="6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6" t="s">
        <v>44</v>
      </c>
      <c r="I8485" s="6" t="s">
        <v>742</v>
      </c>
      <c r="J8485" s="6" t="s">
        <v>398</v>
      </c>
      <c r="K8485" s="10">
        <v>22.32</v>
      </c>
      <c r="L8485" s="10">
        <v>24</v>
      </c>
      <c r="M8485" s="6" t="s">
        <v>421</v>
      </c>
      <c r="N8485" s="6">
        <f>IF(OR($G8485="FCC",$G8485="Hydrocracker",$G8485="Reformer"),IF(COUNTIFS($D:$D,$D8485,$A:$A,$A8485,$B:$B,$B8485,$G:$G,"CDU",$J:$J,"PLANNED")&gt;0,"tied","standalone"),"")</f>
        <v/>
      </c>
    </row>
    <row r="8486" spans="1:14">
      <c r="A8486" s="6">
        <v>2027</v>
      </c>
      <c r="B8486" s="6">
        <v>4</v>
      </c>
      <c r="C8486" s="6" t="s">
        <v>63</v>
      </c>
      <c r="D8486" s="6" t="s">
        <v>518</v>
      </c>
      <c r="E8486" s="6" t="s">
        <v>419</v>
      </c>
      <c r="F8486" s="6" t="str">
        <f>IF($M8486="PADD I","PADD 1",IF($M8486="PADD II","PADD 2",IF($M8486="PADD III","PADD 3",IF($M8486="PADD IV","PADD 4",IF($M8486="PADD V","PADD 5","")))))</f>
        <v>PADD 3</v>
      </c>
      <c r="G8486" s="6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6" t="s">
        <v>426</v>
      </c>
      <c r="I8486" s="6" t="s">
        <v>519</v>
      </c>
      <c r="J8486" s="6" t="s">
        <v>398</v>
      </c>
      <c r="K8486" s="10">
        <v>21.9</v>
      </c>
      <c r="L8486" s="10">
        <v>30</v>
      </c>
      <c r="M8486" s="6" t="s">
        <v>421</v>
      </c>
      <c r="N8486" s="6" t="str">
        <f>IF(OR($G8486="FCC",$G8486="Hydrocracker",$G8486="Reformer"),IF(COUNTIFS($D:$D,$D8486,$A:$A,$A8486,$B:$B,$B8486,$G:$G,"CDU",$J:$J,"PLANNED")&gt;0,"tied","standalone"),"")</f>
        <v>standalone</v>
      </c>
    </row>
    <row r="8487" spans="1:14">
      <c r="A8487" s="6">
        <v>2027</v>
      </c>
      <c r="B8487" s="6">
        <v>4</v>
      </c>
      <c r="C8487" s="6" t="s">
        <v>63</v>
      </c>
      <c r="D8487" s="6" t="s">
        <v>370</v>
      </c>
      <c r="E8487" s="6" t="s">
        <v>431</v>
      </c>
      <c r="F8487" s="6" t="str">
        <f>IF($M8487="PADD I","PADD 1",IF($M8487="PADD II","PADD 2",IF($M8487="PADD III","PADD 3",IF($M8487="PADD IV","PADD 4",IF($M8487="PADD V","PADD 5","")))))</f>
        <v>PADD 2</v>
      </c>
      <c r="G8487" s="6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6" t="s">
        <v>44</v>
      </c>
      <c r="I8487" s="6" t="s">
        <v>1220</v>
      </c>
      <c r="J8487" s="6" t="s">
        <v>398</v>
      </c>
      <c r="K8487" s="10">
        <v>21.75</v>
      </c>
      <c r="L8487" s="10">
        <v>25</v>
      </c>
      <c r="M8487" s="6" t="s">
        <v>425</v>
      </c>
      <c r="N8487" s="6">
        <f>IF(OR($G8487="FCC",$G8487="Hydrocracker",$G8487="Reformer"),IF(COUNTIFS($D:$D,$D8487,$A:$A,$A8487,$B:$B,$B8487,$G:$G,"CDU",$J:$J,"PLANNED")&gt;0,"tied","standalone"),"")</f>
        <v/>
      </c>
    </row>
    <row r="8488" spans="1:14">
      <c r="A8488" s="6">
        <v>2027</v>
      </c>
      <c r="B8488" s="6">
        <v>4</v>
      </c>
      <c r="C8488" s="6" t="s">
        <v>63</v>
      </c>
      <c r="D8488" s="6" t="s">
        <v>662</v>
      </c>
      <c r="E8488" s="6" t="s">
        <v>466</v>
      </c>
      <c r="F8488" s="6" t="str">
        <f>IF($M8488="PADD I","PADD 1",IF($M8488="PADD II","PADD 2",IF($M8488="PADD III","PADD 3",IF($M8488="PADD IV","PADD 4",IF($M8488="PADD V","PADD 5","")))))</f>
        <v>PADD 3</v>
      </c>
      <c r="G8488" s="6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6" t="s">
        <v>510</v>
      </c>
      <c r="I8488" s="6" t="s">
        <v>885</v>
      </c>
      <c r="J8488" s="6" t="s">
        <v>398</v>
      </c>
      <c r="K8488" s="10">
        <v>21</v>
      </c>
      <c r="L8488" s="10">
        <v>21</v>
      </c>
      <c r="M8488" s="6" t="s">
        <v>421</v>
      </c>
      <c r="N8488" s="6">
        <f>IF(OR($G8488="FCC",$G8488="Hydrocracker",$G8488="Reformer"),IF(COUNTIFS($D:$D,$D8488,$A:$A,$A8488,$B:$B,$B8488,$G:$G,"CDU",$J:$J,"PLANNED")&gt;0,"tied","standalone"),"")</f>
        <v/>
      </c>
    </row>
    <row r="8489" spans="1:14">
      <c r="A8489" s="6">
        <v>2027</v>
      </c>
      <c r="B8489" s="6">
        <v>4</v>
      </c>
      <c r="C8489" s="6" t="s">
        <v>63</v>
      </c>
      <c r="D8489" s="6" t="s">
        <v>730</v>
      </c>
      <c r="E8489" s="6" t="s">
        <v>731</v>
      </c>
      <c r="F8489" s="6" t="str">
        <f>IF($M8489="PADD I","PADD 1",IF($M8489="PADD II","PADD 2",IF($M8489="PADD III","PADD 3",IF($M8489="PADD IV","PADD 4",IF($M8489="PADD V","PADD 5","")))))</f>
        <v>PADD 3</v>
      </c>
      <c r="G8489" s="6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6" t="s">
        <v>44</v>
      </c>
      <c r="I8489" s="6" t="s">
        <v>744</v>
      </c>
      <c r="J8489" s="6" t="s">
        <v>398</v>
      </c>
      <c r="K8489" s="10">
        <v>20.46</v>
      </c>
      <c r="L8489" s="10">
        <v>22</v>
      </c>
      <c r="M8489" s="6" t="s">
        <v>421</v>
      </c>
      <c r="N8489" s="6">
        <f>IF(OR($G8489="FCC",$G8489="Hydrocracker",$G8489="Reformer"),IF(COUNTIFS($D:$D,$D8489,$A:$A,$A8489,$B:$B,$B8489,$G:$G,"CDU",$J:$J,"PLANNED")&gt;0,"tied","standalone"),"")</f>
        <v/>
      </c>
    </row>
    <row r="8490" spans="1:14">
      <c r="A8490" s="6">
        <v>2027</v>
      </c>
      <c r="B8490" s="6">
        <v>4</v>
      </c>
      <c r="C8490" s="6" t="s">
        <v>63</v>
      </c>
      <c r="D8490" s="6" t="s">
        <v>626</v>
      </c>
      <c r="E8490" s="6" t="s">
        <v>419</v>
      </c>
      <c r="F8490" s="6" t="str">
        <f>IF($M8490="PADD I","PADD 1",IF($M8490="PADD II","PADD 2",IF($M8490="PADD III","PADD 3",IF($M8490="PADD IV","PADD 4",IF($M8490="PADD V","PADD 5","")))))</f>
        <v>PADD 3</v>
      </c>
      <c r="G8490" s="6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6" t="s">
        <v>39</v>
      </c>
      <c r="I8490" s="6" t="s">
        <v>381</v>
      </c>
      <c r="J8490" s="6" t="s">
        <v>398</v>
      </c>
      <c r="K8490" s="10">
        <v>18.9</v>
      </c>
      <c r="L8490" s="10">
        <v>70</v>
      </c>
      <c r="M8490" s="6" t="s">
        <v>421</v>
      </c>
      <c r="N8490" s="6">
        <f>IF(OR($G8490="FCC",$G8490="Hydrocracker",$G8490="Reformer"),IF(COUNTIFS($D:$D,$D8490,$A:$A,$A8490,$B:$B,$B8490,$G:$G,"CDU",$J:$J,"PLANNED")&gt;0,"tied","standalone"),"")</f>
        <v/>
      </c>
    </row>
    <row r="8491" spans="1:14">
      <c r="A8491" s="6">
        <v>2027</v>
      </c>
      <c r="B8491" s="6">
        <v>4</v>
      </c>
      <c r="C8491" s="6" t="s">
        <v>63</v>
      </c>
      <c r="D8491" s="6" t="s">
        <v>915</v>
      </c>
      <c r="E8491" s="6" t="s">
        <v>419</v>
      </c>
      <c r="F8491" s="6" t="str">
        <f>IF($M8491="PADD I","PADD 1",IF($M8491="PADD II","PADD 2",IF($M8491="PADD III","PADD 3",IF($M8491="PADD IV","PADD 4",IF($M8491="PADD V","PADD 5","")))))</f>
        <v>PADD 4</v>
      </c>
      <c r="G8491" s="6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6" t="s">
        <v>44</v>
      </c>
      <c r="I8491" s="6" t="s">
        <v>1443</v>
      </c>
      <c r="J8491" s="6" t="s">
        <v>398</v>
      </c>
      <c r="K8491" s="10">
        <v>18.25</v>
      </c>
      <c r="L8491" s="10">
        <v>25</v>
      </c>
      <c r="M8491" s="6" t="s">
        <v>480</v>
      </c>
      <c r="N8491" s="6">
        <f>IF(OR($G8491="FCC",$G8491="Hydrocracker",$G8491="Reformer"),IF(COUNTIFS($D:$D,$D8491,$A:$A,$A8491,$B:$B,$B8491,$G:$G,"CDU",$J:$J,"PLANNED")&gt;0,"tied","standalone"),"")</f>
        <v/>
      </c>
    </row>
    <row r="8492" spans="1:14">
      <c r="A8492" s="6">
        <v>2027</v>
      </c>
      <c r="B8492" s="6">
        <v>4</v>
      </c>
      <c r="C8492" s="6" t="s">
        <v>63</v>
      </c>
      <c r="D8492" s="6" t="s">
        <v>487</v>
      </c>
      <c r="E8492" s="6" t="s">
        <v>488</v>
      </c>
      <c r="F8492" s="6" t="str">
        <f>IF($M8492="PADD I","PADD 1",IF($M8492="PADD II","PADD 2",IF($M8492="PADD III","PADD 3",IF($M8492="PADD IV","PADD 4",IF($M8492="PADD V","PADD 5","")))))</f>
        <v>PADD 4</v>
      </c>
      <c r="G8492" s="6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6" t="s">
        <v>39</v>
      </c>
      <c r="I8492" s="6" t="s">
        <v>379</v>
      </c>
      <c r="J8492" s="6" t="s">
        <v>398</v>
      </c>
      <c r="K8492" s="10">
        <v>17.64</v>
      </c>
      <c r="L8492" s="10">
        <v>28</v>
      </c>
      <c r="M8492" s="6" t="s">
        <v>480</v>
      </c>
      <c r="N8492" s="6">
        <f>IF(OR($G8492="FCC",$G8492="Hydrocracker",$G8492="Reformer"),IF(COUNTIFS($D:$D,$D8492,$A:$A,$A8492,$B:$B,$B8492,$G:$G,"CDU",$J:$J,"PLANNED")&gt;0,"tied","standalone"),"")</f>
        <v/>
      </c>
    </row>
    <row r="8493" spans="1:14">
      <c r="A8493" s="6">
        <v>2027</v>
      </c>
      <c r="B8493" s="6">
        <v>4</v>
      </c>
      <c r="C8493" s="6" t="s">
        <v>63</v>
      </c>
      <c r="D8493" s="6" t="s">
        <v>915</v>
      </c>
      <c r="E8493" s="6" t="s">
        <v>419</v>
      </c>
      <c r="F8493" s="6" t="str">
        <f>IF($M8493="PADD I","PADD 1",IF($M8493="PADD II","PADD 2",IF($M8493="PADD III","PADD 3",IF($M8493="PADD IV","PADD 4",IF($M8493="PADD V","PADD 5","")))))</f>
        <v>PADD 4</v>
      </c>
      <c r="G8493" s="6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6" t="s">
        <v>44</v>
      </c>
      <c r="I8493" s="6" t="s">
        <v>1444</v>
      </c>
      <c r="J8493" s="6" t="s">
        <v>398</v>
      </c>
      <c r="K8493" s="10">
        <v>17.52</v>
      </c>
      <c r="L8493" s="10">
        <v>24</v>
      </c>
      <c r="M8493" s="6" t="s">
        <v>480</v>
      </c>
      <c r="N8493" s="6">
        <f>IF(OR($G8493="FCC",$G8493="Hydrocracker",$G8493="Reformer"),IF(COUNTIFS($D:$D,$D8493,$A:$A,$A8493,$B:$B,$B8493,$G:$G,"CDU",$J:$J,"PLANNED")&gt;0,"tied","standalone"),"")</f>
        <v/>
      </c>
    </row>
    <row r="8494" spans="1:14">
      <c r="A8494" s="6">
        <v>2027</v>
      </c>
      <c r="B8494" s="6">
        <v>4</v>
      </c>
      <c r="C8494" s="6" t="s">
        <v>63</v>
      </c>
      <c r="D8494" s="6" t="s">
        <v>49</v>
      </c>
      <c r="E8494" s="6" t="s">
        <v>438</v>
      </c>
      <c r="F8494" s="6" t="str">
        <f>IF($M8494="PADD I","PADD 1",IF($M8494="PADD II","PADD 2",IF($M8494="PADD III","PADD 3",IF($M8494="PADD IV","PADD 4",IF($M8494="PADD V","PADD 5","")))))</f>
        <v>PADD 2</v>
      </c>
      <c r="G8494" s="6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6" t="s">
        <v>471</v>
      </c>
      <c r="I8494" s="6" t="s">
        <v>1441</v>
      </c>
      <c r="J8494" s="6" t="s">
        <v>398</v>
      </c>
      <c r="K8494" s="10">
        <v>17.5</v>
      </c>
      <c r="L8494" s="10">
        <v>35</v>
      </c>
      <c r="M8494" s="6" t="s">
        <v>425</v>
      </c>
      <c r="N8494" s="6" t="str">
        <f>IF(OR($G8494="FCC",$G8494="Hydrocracker",$G8494="Reformer"),IF(COUNTIFS($D:$D,$D8494,$A:$A,$A8494,$B:$B,$B8494,$G:$G,"CDU",$J:$J,"PLANNED")&gt;0,"tied","standalone"),"")</f>
        <v>standalone</v>
      </c>
    </row>
    <row r="8495" spans="1:14">
      <c r="A8495" s="6">
        <v>2027</v>
      </c>
      <c r="B8495" s="6">
        <v>4</v>
      </c>
      <c r="C8495" s="6" t="s">
        <v>63</v>
      </c>
      <c r="D8495" s="6" t="s">
        <v>730</v>
      </c>
      <c r="E8495" s="6" t="s">
        <v>731</v>
      </c>
      <c r="F8495" s="6" t="str">
        <f>IF($M8495="PADD I","PADD 1",IF($M8495="PADD II","PADD 2",IF($M8495="PADD III","PADD 3",IF($M8495="PADD IV","PADD 4",IF($M8495="PADD V","PADD 5","")))))</f>
        <v>PADD 3</v>
      </c>
      <c r="G8495" s="6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6" t="s">
        <v>471</v>
      </c>
      <c r="I8495" s="6" t="s">
        <v>589</v>
      </c>
      <c r="J8495" s="6" t="s">
        <v>398</v>
      </c>
      <c r="K8495" s="10">
        <v>15.81</v>
      </c>
      <c r="L8495" s="10">
        <v>17</v>
      </c>
      <c r="M8495" s="6" t="s">
        <v>421</v>
      </c>
      <c r="N8495" s="6" t="str">
        <f>IF(OR($G8495="FCC",$G8495="Hydrocracker",$G8495="Reformer"),IF(COUNTIFS($D:$D,$D8495,$A:$A,$A8495,$B:$B,$B8495,$G:$G,"CDU",$J:$J,"PLANNED")&gt;0,"tied","standalone"),"")</f>
        <v>tied</v>
      </c>
    </row>
    <row r="8496" spans="1:14">
      <c r="A8496" s="6">
        <v>2027</v>
      </c>
      <c r="B8496" s="6">
        <v>4</v>
      </c>
      <c r="C8496" s="6" t="s">
        <v>63</v>
      </c>
      <c r="D8496" s="6" t="s">
        <v>730</v>
      </c>
      <c r="E8496" s="6" t="s">
        <v>731</v>
      </c>
      <c r="F8496" s="6" t="str">
        <f>IF($M8496="PADD I","PADD 1",IF($M8496="PADD II","PADD 2",IF($M8496="PADD III","PADD 3",IF($M8496="PADD IV","PADD 4",IF($M8496="PADD V","PADD 5","")))))</f>
        <v>PADD 3</v>
      </c>
      <c r="G8496" s="6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6" t="s">
        <v>44</v>
      </c>
      <c r="I8496" s="6" t="s">
        <v>752</v>
      </c>
      <c r="J8496" s="6" t="s">
        <v>398</v>
      </c>
      <c r="K8496" s="10">
        <v>15.81</v>
      </c>
      <c r="L8496" s="10">
        <v>17</v>
      </c>
      <c r="M8496" s="6" t="s">
        <v>421</v>
      </c>
      <c r="N8496" s="6">
        <f>IF(OR($G8496="FCC",$G8496="Hydrocracker",$G8496="Reformer"),IF(COUNTIFS($D:$D,$D8496,$A:$A,$A8496,$B:$B,$B8496,$G:$G,"CDU",$J:$J,"PLANNED")&gt;0,"tied","standalone"),"")</f>
        <v/>
      </c>
    </row>
    <row r="8497" spans="1:14">
      <c r="A8497" s="6">
        <v>2027</v>
      </c>
      <c r="B8497" s="6">
        <v>4</v>
      </c>
      <c r="C8497" s="6" t="s">
        <v>63</v>
      </c>
      <c r="D8497" s="6" t="s">
        <v>368</v>
      </c>
      <c r="E8497" s="6" t="s">
        <v>715</v>
      </c>
      <c r="F8497" s="6" t="str">
        <f>IF($M8497="PADD I","PADD 1",IF($M8497="PADD II","PADD 2",IF($M8497="PADD III","PADD 3",IF($M8497="PADD IV","PADD 4",IF($M8497="PADD V","PADD 5","")))))</f>
        <v>PADD 3</v>
      </c>
      <c r="G8497" s="6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6" t="s">
        <v>485</v>
      </c>
      <c r="I8497" s="6" t="s">
        <v>491</v>
      </c>
      <c r="J8497" s="6" t="s">
        <v>398</v>
      </c>
      <c r="K8497" s="10">
        <v>15.75</v>
      </c>
      <c r="L8497" s="10">
        <v>25</v>
      </c>
      <c r="M8497" s="6" t="s">
        <v>421</v>
      </c>
      <c r="N8497" s="6">
        <f>IF(OR($G8497="FCC",$G8497="Hydrocracker",$G8497="Reformer"),IF(COUNTIFS($D:$D,$D8497,$A:$A,$A8497,$B:$B,$B8497,$G:$G,"CDU",$J:$J,"PLANNED")&gt;0,"tied","standalone"),"")</f>
        <v/>
      </c>
    </row>
    <row r="8498" spans="1:14">
      <c r="A8498" s="6">
        <v>2027</v>
      </c>
      <c r="B8498" s="6">
        <v>4</v>
      </c>
      <c r="C8498" s="6" t="s">
        <v>63</v>
      </c>
      <c r="D8498" s="6" t="s">
        <v>1336</v>
      </c>
      <c r="E8498" s="6" t="s">
        <v>1337</v>
      </c>
      <c r="F8498" s="6" t="str">
        <f>IF($M8498="PADD I","PADD 1",IF($M8498="PADD II","PADD 2",IF($M8498="PADD III","PADD 3",IF($M8498="PADD IV","PADD 4",IF($M8498="PADD V","PADD 5","")))))</f>
        <v>PADD 4</v>
      </c>
      <c r="G8498" s="6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6" t="s">
        <v>39</v>
      </c>
      <c r="I8498" s="6" t="s">
        <v>82</v>
      </c>
      <c r="J8498" s="6" t="s">
        <v>398</v>
      </c>
      <c r="K8498" s="10">
        <v>15.4</v>
      </c>
      <c r="L8498" s="10">
        <v>20</v>
      </c>
      <c r="M8498" s="6" t="s">
        <v>480</v>
      </c>
      <c r="N8498" s="6">
        <f>IF(OR($G8498="FCC",$G8498="Hydrocracker",$G8498="Reformer"),IF(COUNTIFS($D:$D,$D8498,$A:$A,$A8498,$B:$B,$B8498,$G:$G,"CDU",$J:$J,"PLANNED")&gt;0,"tied","standalone"),"")</f>
        <v/>
      </c>
    </row>
    <row r="8499" spans="1:14">
      <c r="A8499" s="6">
        <v>2027</v>
      </c>
      <c r="B8499" s="6">
        <v>4</v>
      </c>
      <c r="C8499" s="6" t="s">
        <v>63</v>
      </c>
      <c r="D8499" s="6" t="s">
        <v>726</v>
      </c>
      <c r="E8499" s="6" t="s">
        <v>727</v>
      </c>
      <c r="F8499" s="6" t="str">
        <f>IF($M8499="PADD I","PADD 1",IF($M8499="PADD II","PADD 2",IF($M8499="PADD III","PADD 3",IF($M8499="PADD IV","PADD 4",IF($M8499="PADD V","PADD 5","")))))</f>
        <v>PADD 1</v>
      </c>
      <c r="G8499" s="6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6" t="s">
        <v>39</v>
      </c>
      <c r="I8499" s="6" t="s">
        <v>1316</v>
      </c>
      <c r="J8499" s="6" t="s">
        <v>398</v>
      </c>
      <c r="K8499" s="10">
        <v>14.85</v>
      </c>
      <c r="L8499" s="10">
        <v>55</v>
      </c>
      <c r="M8499" s="6" t="s">
        <v>463</v>
      </c>
      <c r="N8499" s="6">
        <f>IF(OR($G8499="FCC",$G8499="Hydrocracker",$G8499="Reformer"),IF(COUNTIFS($D:$D,$D8499,$A:$A,$A8499,$B:$B,$B8499,$G:$G,"CDU",$J:$J,"PLANNED")&gt;0,"tied","standalone"),"")</f>
        <v/>
      </c>
    </row>
    <row r="8500" spans="1:14">
      <c r="A8500" s="6">
        <v>2027</v>
      </c>
      <c r="B8500" s="6">
        <v>4</v>
      </c>
      <c r="C8500" s="6" t="s">
        <v>63</v>
      </c>
      <c r="D8500" s="6" t="s">
        <v>915</v>
      </c>
      <c r="E8500" s="6" t="s">
        <v>419</v>
      </c>
      <c r="F8500" s="6" t="str">
        <f>IF($M8500="PADD I","PADD 1",IF($M8500="PADD II","PADD 2",IF($M8500="PADD III","PADD 3",IF($M8500="PADD IV","PADD 4",IF($M8500="PADD V","PADD 5","")))))</f>
        <v>PADD 4</v>
      </c>
      <c r="G8500" s="6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6" t="s">
        <v>39</v>
      </c>
      <c r="I8500" s="6" t="s">
        <v>1177</v>
      </c>
      <c r="J8500" s="6" t="s">
        <v>398</v>
      </c>
      <c r="K8500" s="10">
        <v>14.6</v>
      </c>
      <c r="L8500" s="10">
        <v>20</v>
      </c>
      <c r="M8500" s="6" t="s">
        <v>480</v>
      </c>
      <c r="N8500" s="6">
        <f>IF(OR($G8500="FCC",$G8500="Hydrocracker",$G8500="Reformer"),IF(COUNTIFS($D:$D,$D8500,$A:$A,$A8500,$B:$B,$B8500,$G:$G,"CDU",$J:$J,"PLANNED")&gt;0,"tied","standalone"),"")</f>
        <v/>
      </c>
    </row>
    <row r="8501" spans="1:14">
      <c r="A8501" s="6">
        <v>2027</v>
      </c>
      <c r="B8501" s="6">
        <v>4</v>
      </c>
      <c r="C8501" s="6" t="s">
        <v>63</v>
      </c>
      <c r="D8501" s="6" t="s">
        <v>915</v>
      </c>
      <c r="E8501" s="6" t="s">
        <v>419</v>
      </c>
      <c r="F8501" s="6" t="str">
        <f>IF($M8501="PADD I","PADD 1",IF($M8501="PADD II","PADD 2",IF($M8501="PADD III","PADD 3",IF($M8501="PADD IV","PADD 4",IF($M8501="PADD V","PADD 5","")))))</f>
        <v>PADD 4</v>
      </c>
      <c r="G8501" s="6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6" t="s">
        <v>426</v>
      </c>
      <c r="I8501" s="6" t="s">
        <v>1420</v>
      </c>
      <c r="J8501" s="6" t="s">
        <v>398</v>
      </c>
      <c r="K8501" s="10">
        <v>14.6</v>
      </c>
      <c r="L8501" s="10">
        <v>20</v>
      </c>
      <c r="M8501" s="6" t="s">
        <v>480</v>
      </c>
      <c r="N8501" s="6" t="str">
        <f>IF(OR($G8501="FCC",$G8501="Hydrocracker",$G8501="Reformer"),IF(COUNTIFS($D:$D,$D8501,$A:$A,$A8501,$B:$B,$B8501,$G:$G,"CDU",$J:$J,"PLANNED")&gt;0,"tied","standalone"),"")</f>
        <v>tied</v>
      </c>
    </row>
    <row r="8502" spans="1:14">
      <c r="A8502" s="6">
        <v>2027</v>
      </c>
      <c r="B8502" s="6">
        <v>4</v>
      </c>
      <c r="C8502" s="6" t="s">
        <v>63</v>
      </c>
      <c r="D8502" s="6" t="s">
        <v>730</v>
      </c>
      <c r="E8502" s="6" t="s">
        <v>731</v>
      </c>
      <c r="F8502" s="6" t="str">
        <f>IF($M8502="PADD I","PADD 1",IF($M8502="PADD II","PADD 2",IF($M8502="PADD III","PADD 3",IF($M8502="PADD IV","PADD 4",IF($M8502="PADD V","PADD 5","")))))</f>
        <v>PADD 3</v>
      </c>
      <c r="G8502" s="6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6" t="s">
        <v>494</v>
      </c>
      <c r="I8502" s="6" t="s">
        <v>757</v>
      </c>
      <c r="J8502" s="6" t="s">
        <v>398</v>
      </c>
      <c r="K8502" s="10">
        <v>13.95</v>
      </c>
      <c r="L8502" s="10">
        <v>15</v>
      </c>
      <c r="M8502" s="6" t="s">
        <v>421</v>
      </c>
      <c r="N8502" s="6" t="str">
        <f>IF(OR($G8502="FCC",$G8502="Hydrocracker",$G8502="Reformer"),IF(COUNTIFS($D:$D,$D8502,$A:$A,$A8502,$B:$B,$B8502,$G:$G,"CDU",$J:$J,"PLANNED")&gt;0,"tied","standalone"),"")</f>
        <v>tied</v>
      </c>
    </row>
    <row r="8503" spans="1:14">
      <c r="A8503" s="6">
        <v>2027</v>
      </c>
      <c r="B8503" s="6">
        <v>4</v>
      </c>
      <c r="C8503" s="6" t="s">
        <v>63</v>
      </c>
      <c r="D8503" s="6" t="s">
        <v>383</v>
      </c>
      <c r="E8503" s="6" t="s">
        <v>602</v>
      </c>
      <c r="F8503" s="6" t="str">
        <f>IF($M8503="PADD I","PADD 1",IF($M8503="PADD II","PADD 2",IF($M8503="PADD III","PADD 3",IF($M8503="PADD IV","PADD 4",IF($M8503="PADD V","PADD 5","")))))</f>
        <v>PADD 3</v>
      </c>
      <c r="G8503" s="6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6" t="s">
        <v>39</v>
      </c>
      <c r="I8503" s="6" t="s">
        <v>138</v>
      </c>
      <c r="J8503" s="6" t="s">
        <v>398</v>
      </c>
      <c r="K8503" s="10">
        <v>13.6</v>
      </c>
      <c r="L8503" s="10">
        <v>80</v>
      </c>
      <c r="M8503" s="6" t="s">
        <v>421</v>
      </c>
      <c r="N8503" s="6">
        <f>IF(OR($G8503="FCC",$G8503="Hydrocracker",$G8503="Reformer"),IF(COUNTIFS($D:$D,$D8503,$A:$A,$A8503,$B:$B,$B8503,$G:$G,"CDU",$J:$J,"PLANNED")&gt;0,"tied","standalone"),"")</f>
        <v/>
      </c>
    </row>
    <row r="8504" spans="1:14">
      <c r="A8504" s="6">
        <v>2027</v>
      </c>
      <c r="B8504" s="6">
        <v>4</v>
      </c>
      <c r="C8504" s="6" t="s">
        <v>63</v>
      </c>
      <c r="D8504" s="6" t="s">
        <v>384</v>
      </c>
      <c r="E8504" s="6" t="s">
        <v>419</v>
      </c>
      <c r="F8504" s="6" t="str">
        <f>IF($M8504="PADD I","PADD 1",IF($M8504="PADD II","PADD 2",IF($M8504="PADD III","PADD 3",IF($M8504="PADD IV","PADD 4",IF($M8504="PADD V","PADD 5","")))))</f>
        <v>PADD 3</v>
      </c>
      <c r="G8504" s="6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6" t="s">
        <v>426</v>
      </c>
      <c r="I8504" s="6" t="s">
        <v>522</v>
      </c>
      <c r="J8504" s="6" t="s">
        <v>398</v>
      </c>
      <c r="K8504" s="10">
        <v>12.9</v>
      </c>
      <c r="L8504" s="10">
        <v>30</v>
      </c>
      <c r="M8504" s="6" t="s">
        <v>421</v>
      </c>
      <c r="N8504" s="6" t="str">
        <f>IF(OR($G8504="FCC",$G8504="Hydrocracker",$G8504="Reformer"),IF(COUNTIFS($D:$D,$D8504,$A:$A,$A8504,$B:$B,$B8504,$G:$G,"CDU",$J:$J,"PLANNED")&gt;0,"tied","standalone"),"")</f>
        <v>tied</v>
      </c>
    </row>
    <row r="8505" spans="1:14">
      <c r="A8505" s="6">
        <v>2027</v>
      </c>
      <c r="B8505" s="6">
        <v>4</v>
      </c>
      <c r="C8505" s="6" t="s">
        <v>63</v>
      </c>
      <c r="D8505" s="6" t="s">
        <v>487</v>
      </c>
      <c r="E8505" s="6" t="s">
        <v>488</v>
      </c>
      <c r="F8505" s="6" t="str">
        <f>IF($M8505="PADD I","PADD 1",IF($M8505="PADD II","PADD 2",IF($M8505="PADD III","PADD 3",IF($M8505="PADD IV","PADD 4",IF($M8505="PADD V","PADD 5","")))))</f>
        <v>PADD 4</v>
      </c>
      <c r="G8505" s="6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6" t="s">
        <v>428</v>
      </c>
      <c r="I8505" s="6" t="s">
        <v>544</v>
      </c>
      <c r="J8505" s="6" t="s">
        <v>398</v>
      </c>
      <c r="K8505" s="10">
        <v>12.6</v>
      </c>
      <c r="L8505" s="10">
        <v>20</v>
      </c>
      <c r="M8505" s="6" t="s">
        <v>480</v>
      </c>
      <c r="N8505" s="6">
        <f>IF(OR($G8505="FCC",$G8505="Hydrocracker",$G8505="Reformer"),IF(COUNTIFS($D:$D,$D8505,$A:$A,$A8505,$B:$B,$B8505,$G:$G,"CDU",$J:$J,"PLANNED")&gt;0,"tied","standalone"),"")</f>
        <v/>
      </c>
    </row>
    <row r="8506" spans="1:14">
      <c r="A8506" s="6">
        <v>2027</v>
      </c>
      <c r="B8506" s="6">
        <v>4</v>
      </c>
      <c r="C8506" s="6" t="s">
        <v>63</v>
      </c>
      <c r="D8506" s="6" t="s">
        <v>51</v>
      </c>
      <c r="E8506" s="6" t="s">
        <v>431</v>
      </c>
      <c r="F8506" s="6" t="str">
        <f>IF($M8506="PADD I","PADD 1",IF($M8506="PADD II","PADD 2",IF($M8506="PADD III","PADD 3",IF($M8506="PADD IV","PADD 4",IF($M8506="PADD V","PADD 5","")))))</f>
        <v>PADD 3</v>
      </c>
      <c r="G8506" s="6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6" t="s">
        <v>510</v>
      </c>
      <c r="I8506" s="6" t="s">
        <v>670</v>
      </c>
      <c r="J8506" s="6" t="s">
        <v>398</v>
      </c>
      <c r="K8506" s="10">
        <v>12.6</v>
      </c>
      <c r="L8506" s="10">
        <v>21</v>
      </c>
      <c r="M8506" s="6" t="s">
        <v>421</v>
      </c>
      <c r="N8506" s="6">
        <f>IF(OR($G8506="FCC",$G8506="Hydrocracker",$G8506="Reformer"),IF(COUNTIFS($D:$D,$D8506,$A:$A,$A8506,$B:$B,$B8506,$G:$G,"CDU",$J:$J,"PLANNED")&gt;0,"tied","standalone"),"")</f>
        <v/>
      </c>
    </row>
    <row r="8507" spans="1:14">
      <c r="A8507" s="6">
        <v>2027</v>
      </c>
      <c r="B8507" s="6">
        <v>4</v>
      </c>
      <c r="C8507" s="6" t="s">
        <v>63</v>
      </c>
      <c r="D8507" s="6" t="s">
        <v>915</v>
      </c>
      <c r="E8507" s="6" t="s">
        <v>419</v>
      </c>
      <c r="F8507" s="6" t="str">
        <f>IF($M8507="PADD I","PADD 1",IF($M8507="PADD II","PADD 2",IF($M8507="PADD III","PADD 3",IF($M8507="PADD IV","PADD 4",IF($M8507="PADD V","PADD 5","")))))</f>
        <v>PADD 4</v>
      </c>
      <c r="G8507" s="6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6" t="s">
        <v>485</v>
      </c>
      <c r="I8507" s="6" t="s">
        <v>920</v>
      </c>
      <c r="J8507" s="6" t="s">
        <v>398</v>
      </c>
      <c r="K8507" s="10">
        <v>11.68</v>
      </c>
      <c r="L8507" s="10">
        <v>16</v>
      </c>
      <c r="M8507" s="6" t="s">
        <v>480</v>
      </c>
      <c r="N8507" s="6">
        <f>IF(OR($G8507="FCC",$G8507="Hydrocracker",$G8507="Reformer"),IF(COUNTIFS($D:$D,$D8507,$A:$A,$A8507,$B:$B,$B8507,$G:$G,"CDU",$J:$J,"PLANNED")&gt;0,"tied","standalone"),"")</f>
        <v/>
      </c>
    </row>
    <row r="8508" spans="1:14">
      <c r="A8508" s="6">
        <v>2027</v>
      </c>
      <c r="B8508" s="6">
        <v>4</v>
      </c>
      <c r="C8508" s="6" t="s">
        <v>63</v>
      </c>
      <c r="D8508" s="6" t="s">
        <v>730</v>
      </c>
      <c r="E8508" s="6" t="s">
        <v>731</v>
      </c>
      <c r="F8508" s="6" t="str">
        <f>IF($M8508="PADD I","PADD 1",IF($M8508="PADD II","PADD 2",IF($M8508="PADD III","PADD 3",IF($M8508="PADD IV","PADD 4",IF($M8508="PADD V","PADD 5","")))))</f>
        <v>PADD 3</v>
      </c>
      <c r="G8508" s="6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6" t="s">
        <v>44</v>
      </c>
      <c r="I8508" s="6" t="s">
        <v>759</v>
      </c>
      <c r="J8508" s="6" t="s">
        <v>398</v>
      </c>
      <c r="K8508" s="10">
        <v>11.16</v>
      </c>
      <c r="L8508" s="10">
        <v>12</v>
      </c>
      <c r="M8508" s="6" t="s">
        <v>421</v>
      </c>
      <c r="N8508" s="6">
        <f>IF(OR($G8508="FCC",$G8508="Hydrocracker",$G8508="Reformer"),IF(COUNTIFS($D:$D,$D8508,$A:$A,$A8508,$B:$B,$B8508,$G:$G,"CDU",$J:$J,"PLANNED")&gt;0,"tied","standalone"),"")</f>
        <v/>
      </c>
    </row>
    <row r="8509" spans="1:14">
      <c r="A8509" s="6">
        <v>2027</v>
      </c>
      <c r="B8509" s="6">
        <v>4</v>
      </c>
      <c r="C8509" s="6" t="s">
        <v>63</v>
      </c>
      <c r="D8509" s="6" t="s">
        <v>915</v>
      </c>
      <c r="E8509" s="6" t="s">
        <v>419</v>
      </c>
      <c r="F8509" s="6" t="str">
        <f>IF($M8509="PADD I","PADD 1",IF($M8509="PADD II","PADD 2",IF($M8509="PADD III","PADD 3",IF($M8509="PADD IV","PADD 4",IF($M8509="PADD V","PADD 5","")))))</f>
        <v>PADD 4</v>
      </c>
      <c r="G8509" s="6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6" t="s">
        <v>44</v>
      </c>
      <c r="I8509" s="6" t="s">
        <v>1445</v>
      </c>
      <c r="J8509" s="6" t="s">
        <v>398</v>
      </c>
      <c r="K8509" s="10">
        <v>10.95</v>
      </c>
      <c r="L8509" s="10">
        <v>15</v>
      </c>
      <c r="M8509" s="6" t="s">
        <v>480</v>
      </c>
      <c r="N8509" s="6">
        <f>IF(OR($G8509="FCC",$G8509="Hydrocracker",$G8509="Reformer"),IF(COUNTIFS($D:$D,$D8509,$A:$A,$A8509,$B:$B,$B8509,$G:$G,"CDU",$J:$J,"PLANNED")&gt;0,"tied","standalone"),"")</f>
        <v/>
      </c>
    </row>
    <row r="8510" spans="1:14">
      <c r="A8510" s="6">
        <v>2027</v>
      </c>
      <c r="B8510" s="6">
        <v>4</v>
      </c>
      <c r="C8510" s="6" t="s">
        <v>63</v>
      </c>
      <c r="D8510" s="6" t="s">
        <v>915</v>
      </c>
      <c r="E8510" s="6" t="s">
        <v>419</v>
      </c>
      <c r="F8510" s="6" t="str">
        <f>IF($M8510="PADD I","PADD 1",IF($M8510="PADD II","PADD 2",IF($M8510="PADD III","PADD 3",IF($M8510="PADD IV","PADD 4",IF($M8510="PADD V","PADD 5","")))))</f>
        <v>PADD 4</v>
      </c>
      <c r="G8510" s="6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6" t="s">
        <v>44</v>
      </c>
      <c r="I8510" s="6" t="s">
        <v>1446</v>
      </c>
      <c r="J8510" s="6" t="s">
        <v>398</v>
      </c>
      <c r="K8510" s="10">
        <v>10.95</v>
      </c>
      <c r="L8510" s="10">
        <v>15</v>
      </c>
      <c r="M8510" s="6" t="s">
        <v>480</v>
      </c>
      <c r="N8510" s="6">
        <f>IF(OR($G8510="FCC",$G8510="Hydrocracker",$G8510="Reformer"),IF(COUNTIFS($D:$D,$D8510,$A:$A,$A8510,$B:$B,$B8510,$G:$G,"CDU",$J:$J,"PLANNED")&gt;0,"tied","standalone"),"")</f>
        <v/>
      </c>
    </row>
    <row r="8511" spans="1:14">
      <c r="A8511" s="6">
        <v>2027</v>
      </c>
      <c r="B8511" s="6">
        <v>4</v>
      </c>
      <c r="C8511" s="6" t="s">
        <v>63</v>
      </c>
      <c r="D8511" s="6" t="s">
        <v>889</v>
      </c>
      <c r="E8511" s="6" t="s">
        <v>890</v>
      </c>
      <c r="F8511" s="6" t="str">
        <f>IF($M8511="PADD I","PADD 1",IF($M8511="PADD II","PADD 2",IF($M8511="PADD III","PADD 3",IF($M8511="PADD IV","PADD 4",IF($M8511="PADD V","PADD 5","")))))</f>
        <v>PADD 1</v>
      </c>
      <c r="G8511" s="6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6" t="s">
        <v>44</v>
      </c>
      <c r="I8511" s="6" t="s">
        <v>891</v>
      </c>
      <c r="J8511" s="6" t="s">
        <v>398</v>
      </c>
      <c r="K8511" s="10">
        <v>10.75</v>
      </c>
      <c r="L8511" s="10">
        <v>25</v>
      </c>
      <c r="M8511" s="6" t="s">
        <v>463</v>
      </c>
      <c r="N8511" s="6">
        <f>IF(OR($G8511="FCC",$G8511="Hydrocracker",$G8511="Reformer"),IF(COUNTIFS($D:$D,$D8511,$A:$A,$A8511,$B:$B,$B8511,$G:$G,"CDU",$J:$J,"PLANNED")&gt;0,"tied","standalone"),"")</f>
        <v/>
      </c>
    </row>
    <row r="8512" spans="1:14">
      <c r="A8512" s="6">
        <v>2027</v>
      </c>
      <c r="B8512" s="6">
        <v>4</v>
      </c>
      <c r="C8512" s="6" t="s">
        <v>63</v>
      </c>
      <c r="D8512" s="6" t="s">
        <v>730</v>
      </c>
      <c r="E8512" s="6" t="s">
        <v>731</v>
      </c>
      <c r="F8512" s="6" t="str">
        <f>IF($M8512="PADD I","PADD 1",IF($M8512="PADD II","PADD 2",IF($M8512="PADD III","PADD 3",IF($M8512="PADD IV","PADD 4",IF($M8512="PADD V","PADD 5","")))))</f>
        <v>PADD 3</v>
      </c>
      <c r="G8512" s="6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6" t="s">
        <v>618</v>
      </c>
      <c r="I8512" s="6" t="s">
        <v>763</v>
      </c>
      <c r="J8512" s="6" t="s">
        <v>398</v>
      </c>
      <c r="K8512" s="10">
        <v>10.23</v>
      </c>
      <c r="L8512" s="10">
        <v>11</v>
      </c>
      <c r="M8512" s="6" t="s">
        <v>421</v>
      </c>
      <c r="N8512" s="6">
        <f>IF(OR($G8512="FCC",$G8512="Hydrocracker",$G8512="Reformer"),IF(COUNTIFS($D:$D,$D8512,$A:$A,$A8512,$B:$B,$B8512,$G:$G,"CDU",$J:$J,"PLANNED")&gt;0,"tied","standalone"),"")</f>
        <v/>
      </c>
    </row>
    <row r="8513" spans="1:14">
      <c r="A8513" s="6">
        <v>2027</v>
      </c>
      <c r="B8513" s="6">
        <v>4</v>
      </c>
      <c r="C8513" s="6" t="s">
        <v>63</v>
      </c>
      <c r="D8513" s="6" t="s">
        <v>839</v>
      </c>
      <c r="E8513" s="6" t="s">
        <v>840</v>
      </c>
      <c r="F8513" s="6" t="str">
        <f>IF($M8513="PADD I","PADD 1",IF($M8513="PADD II","PADD 2",IF($M8513="PADD III","PADD 3",IF($M8513="PADD IV","PADD 4",IF($M8513="PADD V","PADD 5","")))))</f>
        <v>PADD 3</v>
      </c>
      <c r="G8513" s="6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6" t="s">
        <v>39</v>
      </c>
      <c r="I8513" s="6" t="s">
        <v>841</v>
      </c>
      <c r="J8513" s="6" t="s">
        <v>398</v>
      </c>
      <c r="K8513" s="10">
        <v>10</v>
      </c>
      <c r="L8513" s="10">
        <v>25</v>
      </c>
      <c r="M8513" s="6" t="s">
        <v>421</v>
      </c>
      <c r="N8513" s="6">
        <f>IF(OR($G8513="FCC",$G8513="Hydrocracker",$G8513="Reformer"),IF(COUNTIFS($D:$D,$D8513,$A:$A,$A8513,$B:$B,$B8513,$G:$G,"CDU",$J:$J,"PLANNED")&gt;0,"tied","standalone"),"")</f>
        <v/>
      </c>
    </row>
    <row r="8514" spans="1:14">
      <c r="A8514" s="6">
        <v>2027</v>
      </c>
      <c r="B8514" s="6">
        <v>4</v>
      </c>
      <c r="C8514" s="6" t="s">
        <v>63</v>
      </c>
      <c r="D8514" s="6" t="s">
        <v>889</v>
      </c>
      <c r="E8514" s="6" t="s">
        <v>890</v>
      </c>
      <c r="F8514" s="6" t="str">
        <f>IF($M8514="PADD I","PADD 1",IF($M8514="PADD II","PADD 2",IF($M8514="PADD III","PADD 3",IF($M8514="PADD IV","PADD 4",IF($M8514="PADD V","PADD 5","")))))</f>
        <v>PADD 1</v>
      </c>
      <c r="G8514" s="6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6" t="s">
        <v>44</v>
      </c>
      <c r="I8514" s="6" t="s">
        <v>1204</v>
      </c>
      <c r="J8514" s="6" t="s">
        <v>398</v>
      </c>
      <c r="K8514" s="10">
        <v>9.890000000000001</v>
      </c>
      <c r="L8514" s="10">
        <v>23</v>
      </c>
      <c r="M8514" s="6" t="s">
        <v>463</v>
      </c>
      <c r="N8514" s="6">
        <f>IF(OR($G8514="FCC",$G8514="Hydrocracker",$G8514="Reformer"),IF(COUNTIFS($D:$D,$D8514,$A:$A,$A8514,$B:$B,$B8514,$G:$G,"CDU",$J:$J,"PLANNED")&gt;0,"tied","standalone"),"")</f>
        <v/>
      </c>
    </row>
    <row r="8515" spans="1:14">
      <c r="A8515" s="6">
        <v>2027</v>
      </c>
      <c r="B8515" s="6">
        <v>4</v>
      </c>
      <c r="C8515" s="6" t="s">
        <v>63</v>
      </c>
      <c r="D8515" s="6" t="s">
        <v>371</v>
      </c>
      <c r="E8515" s="6" t="s">
        <v>419</v>
      </c>
      <c r="F8515" s="6" t="str">
        <f>IF($M8515="PADD I","PADD 1",IF($M8515="PADD II","PADD 2",IF($M8515="PADD III","PADD 3",IF($M8515="PADD IV","PADD 4",IF($M8515="PADD V","PADD 5","")))))</f>
        <v>PADD 2</v>
      </c>
      <c r="G8515" s="6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6" t="s">
        <v>39</v>
      </c>
      <c r="I8515" s="6" t="s">
        <v>961</v>
      </c>
      <c r="J8515" s="6" t="s">
        <v>398</v>
      </c>
      <c r="K8515" s="10">
        <v>9.75</v>
      </c>
      <c r="L8515" s="10">
        <v>75</v>
      </c>
      <c r="M8515" s="6" t="s">
        <v>425</v>
      </c>
      <c r="N8515" s="6">
        <f>IF(OR($G8515="FCC",$G8515="Hydrocracker",$G8515="Reformer"),IF(COUNTIFS($D:$D,$D8515,$A:$A,$A8515,$B:$B,$B8515,$G:$G,"CDU",$J:$J,"PLANNED")&gt;0,"tied","standalone"),"")</f>
        <v/>
      </c>
    </row>
    <row r="8516" spans="1:14">
      <c r="A8516" s="6">
        <v>2027</v>
      </c>
      <c r="B8516" s="6">
        <v>4</v>
      </c>
      <c r="C8516" s="6" t="s">
        <v>63</v>
      </c>
      <c r="D8516" s="6" t="s">
        <v>889</v>
      </c>
      <c r="E8516" s="6" t="s">
        <v>890</v>
      </c>
      <c r="F8516" s="6" t="str">
        <f>IF($M8516="PADD I","PADD 1",IF($M8516="PADD II","PADD 2",IF($M8516="PADD III","PADD 3",IF($M8516="PADD IV","PADD 4",IF($M8516="PADD V","PADD 5","")))))</f>
        <v>PADD 1</v>
      </c>
      <c r="G8516" s="6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6" t="s">
        <v>44</v>
      </c>
      <c r="I8516" s="6" t="s">
        <v>797</v>
      </c>
      <c r="J8516" s="6" t="s">
        <v>398</v>
      </c>
      <c r="K8516" s="10">
        <v>9.460000000000001</v>
      </c>
      <c r="L8516" s="10">
        <v>22</v>
      </c>
      <c r="M8516" s="6" t="s">
        <v>463</v>
      </c>
      <c r="N8516" s="6">
        <f>IF(OR($G8516="FCC",$G8516="Hydrocracker",$G8516="Reformer"),IF(COUNTIFS($D:$D,$D8516,$A:$A,$A8516,$B:$B,$B8516,$G:$G,"CDU",$J:$J,"PLANNED")&gt;0,"tied","standalone"),"")</f>
        <v/>
      </c>
    </row>
    <row r="8517" spans="1:14">
      <c r="A8517" s="6">
        <v>2027</v>
      </c>
      <c r="B8517" s="6">
        <v>4</v>
      </c>
      <c r="C8517" s="6" t="s">
        <v>63</v>
      </c>
      <c r="D8517" s="6" t="s">
        <v>1440</v>
      </c>
      <c r="E8517" s="6" t="s">
        <v>731</v>
      </c>
      <c r="F8517" s="6" t="str">
        <f>IF($M8517="PADD I","PADD 1",IF($M8517="PADD II","PADD 2",IF($M8517="PADD III","PADD 3",IF($M8517="PADD IV","PADD 4",IF($M8517="PADD V","PADD 5","")))))</f>
        <v>PADD 3</v>
      </c>
      <c r="G8517" s="6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6" t="s">
        <v>428</v>
      </c>
      <c r="I8517" s="6" t="s">
        <v>481</v>
      </c>
      <c r="J8517" s="6" t="s">
        <v>398</v>
      </c>
      <c r="K8517" s="10">
        <v>9.300000000000001</v>
      </c>
      <c r="L8517" s="10">
        <v>10</v>
      </c>
      <c r="M8517" s="6" t="s">
        <v>421</v>
      </c>
      <c r="N8517" s="6">
        <f>IF(OR($G8517="FCC",$G8517="Hydrocracker",$G8517="Reformer"),IF(COUNTIFS($D:$D,$D8517,$A:$A,$A8517,$B:$B,$B8517,$G:$G,"CDU",$J:$J,"PLANNED")&gt;0,"tied","standalone"),"")</f>
        <v/>
      </c>
    </row>
    <row r="8518" spans="1:14">
      <c r="A8518" s="6">
        <v>2027</v>
      </c>
      <c r="B8518" s="6">
        <v>4</v>
      </c>
      <c r="C8518" s="6" t="s">
        <v>63</v>
      </c>
      <c r="D8518" s="6" t="s">
        <v>626</v>
      </c>
      <c r="E8518" s="6" t="s">
        <v>419</v>
      </c>
      <c r="F8518" s="6" t="str">
        <f>IF($M8518="PADD I","PADD 1",IF($M8518="PADD II","PADD 2",IF($M8518="PADD III","PADD 3",IF($M8518="PADD IV","PADD 4",IF($M8518="PADD V","PADD 5","")))))</f>
        <v>PADD 3</v>
      </c>
      <c r="G8518" s="6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6" t="s">
        <v>471</v>
      </c>
      <c r="I8518" s="6" t="s">
        <v>926</v>
      </c>
      <c r="J8518" s="6" t="s">
        <v>398</v>
      </c>
      <c r="K8518" s="10">
        <v>9.18</v>
      </c>
      <c r="L8518" s="10">
        <v>34</v>
      </c>
      <c r="M8518" s="6" t="s">
        <v>421</v>
      </c>
      <c r="N8518" s="6" t="str">
        <f>IF(OR($G8518="FCC",$G8518="Hydrocracker",$G8518="Reformer"),IF(COUNTIFS($D:$D,$D8518,$A:$A,$A8518,$B:$B,$B8518,$G:$G,"CDU",$J:$J,"PLANNED")&gt;0,"tied","standalone"),"")</f>
        <v>tied</v>
      </c>
    </row>
    <row r="8519" spans="1:14">
      <c r="A8519" s="6">
        <v>2027</v>
      </c>
      <c r="B8519" s="6">
        <v>4</v>
      </c>
      <c r="C8519" s="6" t="s">
        <v>63</v>
      </c>
      <c r="D8519" s="6" t="s">
        <v>889</v>
      </c>
      <c r="E8519" s="6" t="s">
        <v>890</v>
      </c>
      <c r="F8519" s="6" t="str">
        <f>IF($M8519="PADD I","PADD 1",IF($M8519="PADD II","PADD 2",IF($M8519="PADD III","PADD 3",IF($M8519="PADD IV","PADD 4",IF($M8519="PADD V","PADD 5","")))))</f>
        <v>PADD 1</v>
      </c>
      <c r="G8519" s="6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6" t="s">
        <v>426</v>
      </c>
      <c r="I8519" s="6" t="s">
        <v>106</v>
      </c>
      <c r="J8519" s="6" t="s">
        <v>398</v>
      </c>
      <c r="K8519" s="10">
        <v>9.029999999999999</v>
      </c>
      <c r="L8519" s="10">
        <v>21</v>
      </c>
      <c r="M8519" s="6" t="s">
        <v>463</v>
      </c>
      <c r="N8519" s="6" t="str">
        <f>IF(OR($G8519="FCC",$G8519="Hydrocracker",$G8519="Reformer"),IF(COUNTIFS($D:$D,$D8519,$A:$A,$A8519,$B:$B,$B8519,$G:$G,"CDU",$J:$J,"PLANNED")&gt;0,"tied","standalone"),"")</f>
        <v>tied</v>
      </c>
    </row>
    <row r="8520" spans="1:14">
      <c r="A8520" s="6">
        <v>2027</v>
      </c>
      <c r="B8520" s="6">
        <v>4</v>
      </c>
      <c r="C8520" s="6" t="s">
        <v>63</v>
      </c>
      <c r="D8520" s="6" t="s">
        <v>915</v>
      </c>
      <c r="E8520" s="6" t="s">
        <v>419</v>
      </c>
      <c r="F8520" s="6" t="str">
        <f>IF($M8520="PADD I","PADD 1",IF($M8520="PADD II","PADD 2",IF($M8520="PADD III","PADD 3",IF($M8520="PADD IV","PADD 4",IF($M8520="PADD V","PADD 5","")))))</f>
        <v>PADD 4</v>
      </c>
      <c r="G8520" s="6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6" t="s">
        <v>471</v>
      </c>
      <c r="I8520" s="6" t="s">
        <v>607</v>
      </c>
      <c r="J8520" s="6" t="s">
        <v>398</v>
      </c>
      <c r="K8520" s="10">
        <v>8.906000000000001</v>
      </c>
      <c r="L8520" s="10">
        <v>12.2</v>
      </c>
      <c r="M8520" s="6" t="s">
        <v>480</v>
      </c>
      <c r="N8520" s="6" t="str">
        <f>IF(OR($G8520="FCC",$G8520="Hydrocracker",$G8520="Reformer"),IF(COUNTIFS($D:$D,$D8520,$A:$A,$A8520,$B:$B,$B8520,$G:$G,"CDU",$J:$J,"PLANNED")&gt;0,"tied","standalone"),"")</f>
        <v>tied</v>
      </c>
    </row>
    <row r="8521" spans="1:14">
      <c r="A8521" s="6">
        <v>2027</v>
      </c>
      <c r="B8521" s="6">
        <v>4</v>
      </c>
      <c r="C8521" s="6" t="s">
        <v>63</v>
      </c>
      <c r="D8521" s="6" t="s">
        <v>889</v>
      </c>
      <c r="E8521" s="6" t="s">
        <v>890</v>
      </c>
      <c r="F8521" s="6" t="str">
        <f>IF($M8521="PADD I","PADD 1",IF($M8521="PADD II","PADD 2",IF($M8521="PADD III","PADD 3",IF($M8521="PADD IV","PADD 4",IF($M8521="PADD V","PADD 5","")))))</f>
        <v>PADD 1</v>
      </c>
      <c r="G8521" s="6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6" t="s">
        <v>428</v>
      </c>
      <c r="I8521" s="6" t="s">
        <v>481</v>
      </c>
      <c r="J8521" s="6" t="s">
        <v>398</v>
      </c>
      <c r="K8521" s="10">
        <v>8.6</v>
      </c>
      <c r="L8521" s="10">
        <v>20</v>
      </c>
      <c r="M8521" s="6" t="s">
        <v>463</v>
      </c>
      <c r="N8521" s="6">
        <f>IF(OR($G8521="FCC",$G8521="Hydrocracker",$G8521="Reformer"),IF(COUNTIFS($D:$D,$D8521,$A:$A,$A8521,$B:$B,$B8521,$G:$G,"CDU",$J:$J,"PLANNED")&gt;0,"tied","standalone"),"")</f>
        <v/>
      </c>
    </row>
    <row r="8522" spans="1:14">
      <c r="A8522" s="6">
        <v>2027</v>
      </c>
      <c r="B8522" s="6">
        <v>4</v>
      </c>
      <c r="C8522" s="6" t="s">
        <v>63</v>
      </c>
      <c r="D8522" s="6" t="s">
        <v>371</v>
      </c>
      <c r="E8522" s="6" t="s">
        <v>419</v>
      </c>
      <c r="F8522" s="6" t="str">
        <f>IF($M8522="PADD I","PADD 1",IF($M8522="PADD II","PADD 2",IF($M8522="PADD III","PADD 3",IF($M8522="PADD IV","PADD 4",IF($M8522="PADD V","PADD 5","")))))</f>
        <v>PADD 2</v>
      </c>
      <c r="G8522" s="6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6" t="s">
        <v>485</v>
      </c>
      <c r="I8522" s="6" t="s">
        <v>1442</v>
      </c>
      <c r="J8522" s="6" t="s">
        <v>398</v>
      </c>
      <c r="K8522" s="10">
        <v>8.5</v>
      </c>
      <c r="L8522" s="10">
        <v>17</v>
      </c>
      <c r="M8522" s="6" t="s">
        <v>425</v>
      </c>
      <c r="N8522" s="6">
        <f>IF(OR($G8522="FCC",$G8522="Hydrocracker",$G8522="Reformer"),IF(COUNTIFS($D:$D,$D8522,$A:$A,$A8522,$B:$B,$B8522,$G:$G,"CDU",$J:$J,"PLANNED")&gt;0,"tied","standalone"),"")</f>
        <v/>
      </c>
    </row>
    <row r="8523" spans="1:14">
      <c r="A8523" s="6">
        <v>2027</v>
      </c>
      <c r="B8523" s="6">
        <v>4</v>
      </c>
      <c r="C8523" s="6" t="s">
        <v>63</v>
      </c>
      <c r="D8523" s="6" t="s">
        <v>371</v>
      </c>
      <c r="E8523" s="6" t="s">
        <v>419</v>
      </c>
      <c r="F8523" s="6" t="str">
        <f>IF($M8523="PADD I","PADD 1",IF($M8523="PADD II","PADD 2",IF($M8523="PADD III","PADD 3",IF($M8523="PADD IV","PADD 4",IF($M8523="PADD V","PADD 5","")))))</f>
        <v>PADD 2</v>
      </c>
      <c r="G8523" s="6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6" t="s">
        <v>428</v>
      </c>
      <c r="I8523" s="6" t="s">
        <v>1439</v>
      </c>
      <c r="J8523" s="6" t="s">
        <v>398</v>
      </c>
      <c r="K8523" s="10">
        <v>7.54</v>
      </c>
      <c r="L8523" s="10">
        <v>58</v>
      </c>
      <c r="M8523" s="6" t="s">
        <v>425</v>
      </c>
      <c r="N8523" s="6">
        <f>IF(OR($G8523="FCC",$G8523="Hydrocracker",$G8523="Reformer"),IF(COUNTIFS($D:$D,$D8523,$A:$A,$A8523,$B:$B,$B8523,$G:$G,"CDU",$J:$J,"PLANNED")&gt;0,"tied","standalone"),"")</f>
        <v/>
      </c>
    </row>
    <row r="8524" spans="1:14">
      <c r="A8524" s="6">
        <v>2027</v>
      </c>
      <c r="B8524" s="6">
        <v>4</v>
      </c>
      <c r="C8524" s="6" t="s">
        <v>63</v>
      </c>
      <c r="D8524" s="6" t="s">
        <v>889</v>
      </c>
      <c r="E8524" s="6" t="s">
        <v>890</v>
      </c>
      <c r="F8524" s="6" t="str">
        <f>IF($M8524="PADD I","PADD 1",IF($M8524="PADD II","PADD 2",IF($M8524="PADD III","PADD 3",IF($M8524="PADD IV","PADD 4",IF($M8524="PADD V","PADD 5","")))))</f>
        <v>PADD 1</v>
      </c>
      <c r="G8524" s="6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6" t="s">
        <v>471</v>
      </c>
      <c r="I8524" s="6" t="s">
        <v>15</v>
      </c>
      <c r="J8524" s="6" t="s">
        <v>398</v>
      </c>
      <c r="K8524" s="10">
        <v>6.88</v>
      </c>
      <c r="L8524" s="10">
        <v>16</v>
      </c>
      <c r="M8524" s="6" t="s">
        <v>463</v>
      </c>
      <c r="N8524" s="6" t="str">
        <f>IF(OR($G8524="FCC",$G8524="Hydrocracker",$G8524="Reformer"),IF(COUNTIFS($D:$D,$D8524,$A:$A,$A8524,$B:$B,$B8524,$G:$G,"CDU",$J:$J,"PLANNED")&gt;0,"tied","standalone"),"")</f>
        <v>tied</v>
      </c>
    </row>
    <row r="8525" spans="1:14">
      <c r="A8525" s="6">
        <v>2027</v>
      </c>
      <c r="B8525" s="6">
        <v>4</v>
      </c>
      <c r="C8525" s="6" t="s">
        <v>63</v>
      </c>
      <c r="D8525" s="6" t="s">
        <v>487</v>
      </c>
      <c r="E8525" s="6" t="s">
        <v>488</v>
      </c>
      <c r="F8525" s="6" t="str">
        <f>IF($M8525="PADD I","PADD 1",IF($M8525="PADD II","PADD 2",IF($M8525="PADD III","PADD 3",IF($M8525="PADD IV","PADD 4",IF($M8525="PADD V","PADD 5","")))))</f>
        <v>PADD 4</v>
      </c>
      <c r="G8525" s="6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6" t="s">
        <v>44</v>
      </c>
      <c r="I8525" s="6" t="s">
        <v>543</v>
      </c>
      <c r="J8525" s="6" t="s">
        <v>398</v>
      </c>
      <c r="K8525" s="10">
        <v>6.3</v>
      </c>
      <c r="L8525" s="10">
        <v>10</v>
      </c>
      <c r="M8525" s="6" t="s">
        <v>480</v>
      </c>
      <c r="N8525" s="6">
        <f>IF(OR($G8525="FCC",$G8525="Hydrocracker",$G8525="Reformer"),IF(COUNTIFS($D:$D,$D8525,$A:$A,$A8525,$B:$B,$B8525,$G:$G,"CDU",$J:$J,"PLANNED")&gt;0,"tied","standalone"),"")</f>
        <v/>
      </c>
    </row>
    <row r="8526" spans="1:14">
      <c r="A8526" s="6">
        <v>2027</v>
      </c>
      <c r="B8526" s="6">
        <v>4</v>
      </c>
      <c r="C8526" s="6" t="s">
        <v>63</v>
      </c>
      <c r="D8526" s="6" t="s">
        <v>487</v>
      </c>
      <c r="E8526" s="6" t="s">
        <v>488</v>
      </c>
      <c r="F8526" s="6" t="str">
        <f>IF($M8526="PADD I","PADD 1",IF($M8526="PADD II","PADD 2",IF($M8526="PADD III","PADD 3",IF($M8526="PADD IV","PADD 4",IF($M8526="PADD V","PADD 5","")))))</f>
        <v>PADD 4</v>
      </c>
      <c r="G8526" s="6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6" t="s">
        <v>471</v>
      </c>
      <c r="I8526" s="6" t="s">
        <v>607</v>
      </c>
      <c r="J8526" s="6" t="s">
        <v>398</v>
      </c>
      <c r="K8526" s="10">
        <v>6.3</v>
      </c>
      <c r="L8526" s="10">
        <v>10</v>
      </c>
      <c r="M8526" s="6" t="s">
        <v>480</v>
      </c>
      <c r="N8526" s="6" t="str">
        <f>IF(OR($G8526="FCC",$G8526="Hydrocracker",$G8526="Reformer"),IF(COUNTIFS($D:$D,$D8526,$A:$A,$A8526,$B:$B,$B8526,$G:$G,"CDU",$J:$J,"PLANNED")&gt;0,"tied","standalone"),"")</f>
        <v>tied</v>
      </c>
    </row>
    <row r="8527" spans="1:14">
      <c r="A8527" s="6">
        <v>2027</v>
      </c>
      <c r="B8527" s="6">
        <v>4</v>
      </c>
      <c r="C8527" s="6" t="s">
        <v>63</v>
      </c>
      <c r="D8527" s="6" t="s">
        <v>487</v>
      </c>
      <c r="E8527" s="6" t="s">
        <v>488</v>
      </c>
      <c r="F8527" s="6" t="str">
        <f>IF($M8527="PADD I","PADD 1",IF($M8527="PADD II","PADD 2",IF($M8527="PADD III","PADD 3",IF($M8527="PADD IV","PADD 4",IF($M8527="PADD V","PADD 5","")))))</f>
        <v>PADD 4</v>
      </c>
      <c r="G8527" s="6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6" t="s">
        <v>426</v>
      </c>
      <c r="I8527" s="6" t="s">
        <v>478</v>
      </c>
      <c r="J8527" s="6" t="s">
        <v>398</v>
      </c>
      <c r="K8527" s="10">
        <v>5.355</v>
      </c>
      <c r="L8527" s="10">
        <v>8.5</v>
      </c>
      <c r="M8527" s="6" t="s">
        <v>480</v>
      </c>
      <c r="N8527" s="6" t="str">
        <f>IF(OR($G8527="FCC",$G8527="Hydrocracker",$G8527="Reformer"),IF(COUNTIFS($D:$D,$D8527,$A:$A,$A8527,$B:$B,$B8527,$G:$G,"CDU",$J:$J,"PLANNED")&gt;0,"tied","standalone"),"")</f>
        <v>tied</v>
      </c>
    </row>
    <row r="8528" spans="1:14">
      <c r="A8528" s="6">
        <v>2027</v>
      </c>
      <c r="B8528" s="6">
        <v>4</v>
      </c>
      <c r="C8528" s="6" t="s">
        <v>63</v>
      </c>
      <c r="D8528" s="6" t="s">
        <v>730</v>
      </c>
      <c r="E8528" s="6" t="s">
        <v>731</v>
      </c>
      <c r="F8528" s="6" t="str">
        <f>IF($M8528="PADD I","PADD 1",IF($M8528="PADD II","PADD 2",IF($M8528="PADD III","PADD 3",IF($M8528="PADD IV","PADD 4",IF($M8528="PADD V","PADD 5","")))))</f>
        <v>PADD 3</v>
      </c>
      <c r="G8528" s="6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6" t="s">
        <v>510</v>
      </c>
      <c r="I8528" s="6" t="s">
        <v>666</v>
      </c>
      <c r="J8528" s="6" t="s">
        <v>398</v>
      </c>
      <c r="K8528" s="10">
        <v>5.301</v>
      </c>
      <c r="L8528" s="10">
        <v>5.7</v>
      </c>
      <c r="M8528" s="6" t="s">
        <v>421</v>
      </c>
      <c r="N8528" s="6">
        <f>IF(OR($G8528="FCC",$G8528="Hydrocracker",$G8528="Reformer"),IF(COUNTIFS($D:$D,$D8528,$A:$A,$A8528,$B:$B,$B8528,$G:$G,"CDU",$J:$J,"PLANNED")&gt;0,"tied","standalone"),"")</f>
        <v/>
      </c>
    </row>
    <row r="8529" spans="1:14">
      <c r="A8529" s="6">
        <v>2027</v>
      </c>
      <c r="B8529" s="6">
        <v>4</v>
      </c>
      <c r="C8529" s="6" t="s">
        <v>63</v>
      </c>
      <c r="D8529" s="6" t="s">
        <v>889</v>
      </c>
      <c r="E8529" s="6" t="s">
        <v>890</v>
      </c>
      <c r="F8529" s="6" t="str">
        <f>IF($M8529="PADD I","PADD 1",IF($M8529="PADD II","PADD 2",IF($M8529="PADD III","PADD 3",IF($M8529="PADD IV","PADD 4",IF($M8529="PADD V","PADD 5","")))))</f>
        <v>PADD 1</v>
      </c>
      <c r="G8529" s="6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6" t="s">
        <v>573</v>
      </c>
      <c r="I8529" s="6" t="s">
        <v>574</v>
      </c>
      <c r="J8529" s="6" t="s">
        <v>398</v>
      </c>
      <c r="K8529" s="10">
        <v>5.16</v>
      </c>
      <c r="L8529" s="10">
        <v>12</v>
      </c>
      <c r="M8529" s="6" t="s">
        <v>463</v>
      </c>
      <c r="N8529" s="6">
        <f>IF(OR($G8529="FCC",$G8529="Hydrocracker",$G8529="Reformer"),IF(COUNTIFS($D:$D,$D8529,$A:$A,$A8529,$B:$B,$B8529,$G:$G,"CDU",$J:$J,"PLANNED")&gt;0,"tied","standalone"),"")</f>
        <v/>
      </c>
    </row>
    <row r="8530" spans="1:14">
      <c r="A8530" s="6">
        <v>2027</v>
      </c>
      <c r="B8530" s="6">
        <v>4</v>
      </c>
      <c r="C8530" s="6" t="s">
        <v>63</v>
      </c>
      <c r="D8530" s="6" t="s">
        <v>383</v>
      </c>
      <c r="E8530" s="6" t="s">
        <v>602</v>
      </c>
      <c r="F8530" s="6" t="str">
        <f>IF($M8530="PADD I","PADD 1",IF($M8530="PADD II","PADD 2",IF($M8530="PADD III","PADD 3",IF($M8530="PADD IV","PADD 4",IF($M8530="PADD V","PADD 5","")))))</f>
        <v>PADD 3</v>
      </c>
      <c r="G8530" s="6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6" t="s">
        <v>44</v>
      </c>
      <c r="I8530" s="6" t="s">
        <v>644</v>
      </c>
      <c r="J8530" s="6" t="s">
        <v>398</v>
      </c>
      <c r="K8530" s="10">
        <v>5.1</v>
      </c>
      <c r="L8530" s="10">
        <v>30</v>
      </c>
      <c r="M8530" s="6" t="s">
        <v>421</v>
      </c>
      <c r="N8530" s="6">
        <f>IF(OR($G8530="FCC",$G8530="Hydrocracker",$G8530="Reformer"),IF(COUNTIFS($D:$D,$D8530,$A:$A,$A8530,$B:$B,$B8530,$G:$G,"CDU",$J:$J,"PLANNED")&gt;0,"tied","standalone"),"")</f>
        <v/>
      </c>
    </row>
    <row r="8531" spans="1:14">
      <c r="A8531" s="6">
        <v>2027</v>
      </c>
      <c r="B8531" s="6">
        <v>4</v>
      </c>
      <c r="C8531" s="6" t="s">
        <v>63</v>
      </c>
      <c r="D8531" s="6" t="s">
        <v>915</v>
      </c>
      <c r="E8531" s="6" t="s">
        <v>419</v>
      </c>
      <c r="F8531" s="6" t="str">
        <f>IF($M8531="PADD I","PADD 1",IF($M8531="PADD II","PADD 2",IF($M8531="PADD III","PADD 3",IF($M8531="PADD IV","PADD 4",IF($M8531="PADD V","PADD 5","")))))</f>
        <v>PADD 4</v>
      </c>
      <c r="G8531" s="6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6" t="s">
        <v>510</v>
      </c>
      <c r="I8531" s="6" t="s">
        <v>666</v>
      </c>
      <c r="J8531" s="6" t="s">
        <v>398</v>
      </c>
      <c r="K8531" s="10">
        <v>4.745</v>
      </c>
      <c r="L8531" s="10">
        <v>6.5</v>
      </c>
      <c r="M8531" s="6" t="s">
        <v>480</v>
      </c>
      <c r="N8531" s="6">
        <f>IF(OR($G8531="FCC",$G8531="Hydrocracker",$G8531="Reformer"),IF(COUNTIFS($D:$D,$D8531,$A:$A,$A8531,$B:$B,$B8531,$G:$G,"CDU",$J:$J,"PLANNED")&gt;0,"tied","standalone"),"")</f>
        <v/>
      </c>
    </row>
    <row r="8532" spans="1:14">
      <c r="A8532" s="6">
        <v>2027</v>
      </c>
      <c r="B8532" s="6">
        <v>4</v>
      </c>
      <c r="C8532" s="6" t="s">
        <v>63</v>
      </c>
      <c r="D8532" s="6" t="s">
        <v>383</v>
      </c>
      <c r="E8532" s="6" t="s">
        <v>602</v>
      </c>
      <c r="F8532" s="6" t="str">
        <f>IF($M8532="PADD I","PADD 1",IF($M8532="PADD II","PADD 2",IF($M8532="PADD III","PADD 3",IF($M8532="PADD IV","PADD 4",IF($M8532="PADD V","PADD 5","")))))</f>
        <v>PADD 3</v>
      </c>
      <c r="G8532" s="6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6" t="s">
        <v>44</v>
      </c>
      <c r="I8532" s="6" t="s">
        <v>648</v>
      </c>
      <c r="J8532" s="6" t="s">
        <v>398</v>
      </c>
      <c r="K8532" s="10">
        <v>4.25</v>
      </c>
      <c r="L8532" s="10">
        <v>25</v>
      </c>
      <c r="M8532" s="6" t="s">
        <v>421</v>
      </c>
      <c r="N8532" s="6">
        <f>IF(OR($G8532="FCC",$G8532="Hydrocracker",$G8532="Reformer"),IF(COUNTIFS($D:$D,$D8532,$A:$A,$A8532,$B:$B,$B8532,$G:$G,"CDU",$J:$J,"PLANNED")&gt;0,"tied","standalone"),"")</f>
        <v/>
      </c>
    </row>
    <row r="8533" spans="1:14">
      <c r="A8533" s="6">
        <v>2027</v>
      </c>
      <c r="B8533" s="6">
        <v>4</v>
      </c>
      <c r="C8533" s="6" t="s">
        <v>63</v>
      </c>
      <c r="D8533" s="6" t="s">
        <v>1336</v>
      </c>
      <c r="E8533" s="6" t="s">
        <v>1337</v>
      </c>
      <c r="F8533" s="6" t="str">
        <f>IF($M8533="PADD I","PADD 1",IF($M8533="PADD II","PADD 2",IF($M8533="PADD III","PADD 3",IF($M8533="PADD IV","PADD 4",IF($M8533="PADD V","PADD 5","")))))</f>
        <v>PADD 4</v>
      </c>
      <c r="G8533" s="6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6" t="s">
        <v>426</v>
      </c>
      <c r="I8533" s="6" t="s">
        <v>106</v>
      </c>
      <c r="J8533" s="6" t="s">
        <v>398</v>
      </c>
      <c r="K8533" s="10">
        <v>4.235</v>
      </c>
      <c r="L8533" s="10">
        <v>5.5</v>
      </c>
      <c r="M8533" s="6" t="s">
        <v>480</v>
      </c>
      <c r="N8533" s="6" t="str">
        <f>IF(OR($G8533="FCC",$G8533="Hydrocracker",$G8533="Reformer"),IF(COUNTIFS($D:$D,$D8533,$A:$A,$A8533,$B:$B,$B8533,$G:$G,"CDU",$J:$J,"PLANNED")&gt;0,"tied","standalone"),"")</f>
        <v>tied</v>
      </c>
    </row>
    <row r="8534" spans="1:14">
      <c r="A8534" s="6">
        <v>2027</v>
      </c>
      <c r="B8534" s="6">
        <v>4</v>
      </c>
      <c r="C8534" s="6" t="s">
        <v>63</v>
      </c>
      <c r="D8534" s="6" t="s">
        <v>1336</v>
      </c>
      <c r="E8534" s="6" t="s">
        <v>1337</v>
      </c>
      <c r="F8534" s="6" t="str">
        <f>IF($M8534="PADD I","PADD 1",IF($M8534="PADD II","PADD 2",IF($M8534="PADD III","PADD 3",IF($M8534="PADD IV","PADD 4",IF($M8534="PADD V","PADD 5","")))))</f>
        <v>PADD 4</v>
      </c>
      <c r="G8534" s="6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6" t="s">
        <v>44</v>
      </c>
      <c r="I8534" s="6" t="s">
        <v>1341</v>
      </c>
      <c r="J8534" s="6" t="s">
        <v>398</v>
      </c>
      <c r="K8534" s="10">
        <v>4.235</v>
      </c>
      <c r="L8534" s="10">
        <v>5.5</v>
      </c>
      <c r="M8534" s="6" t="s">
        <v>480</v>
      </c>
      <c r="N8534" s="6">
        <f>IF(OR($G8534="FCC",$G8534="Hydrocracker",$G8534="Reformer"),IF(COUNTIFS($D:$D,$D8534,$A:$A,$A8534,$B:$B,$B8534,$G:$G,"CDU",$J:$J,"PLANNED")&gt;0,"tied","standalone"),"")</f>
        <v/>
      </c>
    </row>
    <row r="8535" spans="1:14">
      <c r="A8535" s="6">
        <v>2027</v>
      </c>
      <c r="B8535" s="6">
        <v>4</v>
      </c>
      <c r="C8535" s="6" t="s">
        <v>63</v>
      </c>
      <c r="D8535" s="6" t="s">
        <v>792</v>
      </c>
      <c r="E8535" s="6" t="s">
        <v>438</v>
      </c>
      <c r="F8535" s="6" t="str">
        <f>IF($M8535="PADD I","PADD 1",IF($M8535="PADD II","PADD 2",IF($M8535="PADD III","PADD 3",IF($M8535="PADD IV","PADD 4",IF($M8535="PADD V","PADD 5","")))))</f>
        <v>PADD 5</v>
      </c>
      <c r="G8535" s="6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6" t="s">
        <v>618</v>
      </c>
      <c r="I8535" s="6" t="s">
        <v>818</v>
      </c>
      <c r="J8535" s="6" t="s">
        <v>398</v>
      </c>
      <c r="K8535" s="10">
        <v>3.5</v>
      </c>
      <c r="L8535" s="10">
        <v>3.5</v>
      </c>
      <c r="M8535" s="6" t="s">
        <v>436</v>
      </c>
      <c r="N8535" s="6">
        <f>IF(OR($G8535="FCC",$G8535="Hydrocracker",$G8535="Reformer"),IF(COUNTIFS($D:$D,$D8535,$A:$A,$A8535,$B:$B,$B8535,$G:$G,"CDU",$J:$J,"PLANNED")&gt;0,"tied","standalone"),"")</f>
        <v/>
      </c>
    </row>
    <row r="8536" spans="1:14">
      <c r="A8536" s="6">
        <v>2027</v>
      </c>
      <c r="B8536" s="6">
        <v>4</v>
      </c>
      <c r="C8536" s="6" t="s">
        <v>63</v>
      </c>
      <c r="D8536" s="6" t="s">
        <v>383</v>
      </c>
      <c r="E8536" s="6" t="s">
        <v>602</v>
      </c>
      <c r="F8536" s="6" t="str">
        <f>IF($M8536="PADD I","PADD 1",IF($M8536="PADD II","PADD 2",IF($M8536="PADD III","PADD 3",IF($M8536="PADD IV","PADD 4",IF($M8536="PADD V","PADD 5","")))))</f>
        <v>PADD 3</v>
      </c>
      <c r="G8536" s="6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6" t="s">
        <v>426</v>
      </c>
      <c r="I8536" s="6" t="s">
        <v>663</v>
      </c>
      <c r="J8536" s="6" t="s">
        <v>398</v>
      </c>
      <c r="K8536" s="10">
        <v>3.4</v>
      </c>
      <c r="L8536" s="10">
        <v>20</v>
      </c>
      <c r="M8536" s="6" t="s">
        <v>421</v>
      </c>
      <c r="N8536" s="6" t="str">
        <f>IF(OR($G8536="FCC",$G8536="Hydrocracker",$G8536="Reformer"),IF(COUNTIFS($D:$D,$D8536,$A:$A,$A8536,$B:$B,$B8536,$G:$G,"CDU",$J:$J,"PLANNED")&gt;0,"tied","standalone"),"")</f>
        <v>tied</v>
      </c>
    </row>
    <row r="8537" spans="1:14">
      <c r="A8537" s="6">
        <v>2027</v>
      </c>
      <c r="B8537" s="6">
        <v>4</v>
      </c>
      <c r="C8537" s="6" t="s">
        <v>63</v>
      </c>
      <c r="D8537" s="6" t="s">
        <v>972</v>
      </c>
      <c r="E8537" s="6" t="s">
        <v>502</v>
      </c>
      <c r="F8537" s="6" t="str">
        <f>IF($M8537="PADD I","PADD 1",IF($M8537="PADD II","PADD 2",IF($M8537="PADD III","PADD 3",IF($M8537="PADD IV","PADD 4",IF($M8537="PADD V","PADD 5","")))))</f>
        <v>PADD 4</v>
      </c>
      <c r="G8537" s="6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6" t="s">
        <v>39</v>
      </c>
      <c r="I8537" s="6" t="s">
        <v>973</v>
      </c>
      <c r="J8537" s="6" t="s">
        <v>398</v>
      </c>
      <c r="K8537" s="10">
        <v>3.25</v>
      </c>
      <c r="L8537" s="10">
        <v>25</v>
      </c>
      <c r="M8537" s="6" t="s">
        <v>480</v>
      </c>
      <c r="N8537" s="6">
        <f>IF(OR($G8537="FCC",$G8537="Hydrocracker",$G8537="Reformer"),IF(COUNTIFS($D:$D,$D8537,$A:$A,$A8537,$B:$B,$B8537,$G:$G,"CDU",$J:$J,"PLANNED")&gt;0,"tied","standalone"),"")</f>
        <v/>
      </c>
    </row>
    <row r="8538" spans="1:14">
      <c r="A8538" s="6">
        <v>2027</v>
      </c>
      <c r="B8538" s="6">
        <v>4</v>
      </c>
      <c r="C8538" s="6" t="s">
        <v>63</v>
      </c>
      <c r="D8538" s="6" t="s">
        <v>383</v>
      </c>
      <c r="E8538" s="6" t="s">
        <v>602</v>
      </c>
      <c r="F8538" s="6" t="str">
        <f>IF($M8538="PADD I","PADD 1",IF($M8538="PADD II","PADD 2",IF($M8538="PADD III","PADD 3",IF($M8538="PADD IV","PADD 4",IF($M8538="PADD V","PADD 5","")))))</f>
        <v>PADD 3</v>
      </c>
      <c r="G8538" s="6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6" t="s">
        <v>44</v>
      </c>
      <c r="I8538" s="6" t="s">
        <v>657</v>
      </c>
      <c r="J8538" s="6" t="s">
        <v>398</v>
      </c>
      <c r="K8538" s="10">
        <v>3.213</v>
      </c>
      <c r="L8538" s="10">
        <v>18.9</v>
      </c>
      <c r="M8538" s="6" t="s">
        <v>421</v>
      </c>
      <c r="N8538" s="6">
        <f>IF(OR($G8538="FCC",$G8538="Hydrocracker",$G8538="Reformer"),IF(COUNTIFS($D:$D,$D8538,$A:$A,$A8538,$B:$B,$B8538,$G:$G,"CDU",$J:$J,"PLANNED")&gt;0,"tied","standalone"),"")</f>
        <v/>
      </c>
    </row>
    <row r="8539" spans="1:14">
      <c r="A8539" s="6">
        <v>2027</v>
      </c>
      <c r="B8539" s="6">
        <v>4</v>
      </c>
      <c r="C8539" s="6" t="s">
        <v>63</v>
      </c>
      <c r="D8539" s="6" t="s">
        <v>383</v>
      </c>
      <c r="E8539" s="6" t="s">
        <v>602</v>
      </c>
      <c r="F8539" s="6" t="str">
        <f>IF($M8539="PADD I","PADD 1",IF($M8539="PADD II","PADD 2",IF($M8539="PADD III","PADD 3",IF($M8539="PADD IV","PADD 4",IF($M8539="PADD V","PADD 5","")))))</f>
        <v>PADD 3</v>
      </c>
      <c r="G8539" s="6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6" t="s">
        <v>428</v>
      </c>
      <c r="I8539" s="6" t="s">
        <v>605</v>
      </c>
      <c r="J8539" s="6" t="s">
        <v>398</v>
      </c>
      <c r="K8539" s="10">
        <v>3.1501</v>
      </c>
      <c r="L8539" s="10">
        <v>18.53</v>
      </c>
      <c r="M8539" s="6" t="s">
        <v>421</v>
      </c>
      <c r="N8539" s="6">
        <f>IF(OR($G8539="FCC",$G8539="Hydrocracker",$G8539="Reformer"),IF(COUNTIFS($D:$D,$D8539,$A:$A,$A8539,$B:$B,$B8539,$G:$G,"CDU",$J:$J,"PLANNED")&gt;0,"tied","standalone"),"")</f>
        <v/>
      </c>
    </row>
    <row r="8540" spans="1:14">
      <c r="A8540" s="6">
        <v>2027</v>
      </c>
      <c r="B8540" s="6">
        <v>4</v>
      </c>
      <c r="C8540" s="6" t="s">
        <v>63</v>
      </c>
      <c r="D8540" s="6" t="s">
        <v>1205</v>
      </c>
      <c r="E8540" s="6" t="s">
        <v>1206</v>
      </c>
      <c r="F8540" s="6" t="str">
        <f>IF($M8540="PADD I","PADD 1",IF($M8540="PADD II","PADD 2",IF($M8540="PADD III","PADD 3",IF($M8540="PADD IV","PADD 4",IF($M8540="PADD V","PADD 5","")))))</f>
        <v>PADD 5</v>
      </c>
      <c r="G8540" s="6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6" t="s">
        <v>39</v>
      </c>
      <c r="I8540" s="6" t="s">
        <v>82</v>
      </c>
      <c r="J8540" s="6" t="s">
        <v>398</v>
      </c>
      <c r="K8540" s="10">
        <v>2.805</v>
      </c>
      <c r="L8540" s="10">
        <v>8.5</v>
      </c>
      <c r="M8540" s="6" t="s">
        <v>436</v>
      </c>
      <c r="N8540" s="6">
        <f>IF(OR($G8540="FCC",$G8540="Hydrocracker",$G8540="Reformer"),IF(COUNTIFS($D:$D,$D8540,$A:$A,$A8540,$B:$B,$B8540,$G:$G,"CDU",$J:$J,"PLANNED")&gt;0,"tied","standalone"),"")</f>
        <v/>
      </c>
    </row>
    <row r="8541" spans="1:14">
      <c r="A8541" s="6">
        <v>2027</v>
      </c>
      <c r="B8541" s="6">
        <v>4</v>
      </c>
      <c r="C8541" s="6" t="s">
        <v>63</v>
      </c>
      <c r="D8541" s="6" t="s">
        <v>915</v>
      </c>
      <c r="E8541" s="6" t="s">
        <v>419</v>
      </c>
      <c r="F8541" s="6" t="str">
        <f>IF($M8541="PADD I","PADD 1",IF($M8541="PADD II","PADD 2",IF($M8541="PADD III","PADD 3",IF($M8541="PADD IV","PADD 4",IF($M8541="PADD V","PADD 5","")))))</f>
        <v>PADD 4</v>
      </c>
      <c r="G8541" s="6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6" t="s">
        <v>618</v>
      </c>
      <c r="I8541" s="6" t="s">
        <v>818</v>
      </c>
      <c r="J8541" s="6" t="s">
        <v>398</v>
      </c>
      <c r="K8541" s="10">
        <v>2.774</v>
      </c>
      <c r="L8541" s="10">
        <v>3.8</v>
      </c>
      <c r="M8541" s="6" t="s">
        <v>480</v>
      </c>
      <c r="N8541" s="6">
        <f>IF(OR($G8541="FCC",$G8541="Hydrocracker",$G8541="Reformer"),IF(COUNTIFS($D:$D,$D8541,$A:$A,$A8541,$B:$B,$B8541,$G:$G,"CDU",$J:$J,"PLANNED")&gt;0,"tied","standalone"),"")</f>
        <v/>
      </c>
    </row>
    <row r="8542" spans="1:14">
      <c r="A8542" s="6">
        <v>2027</v>
      </c>
      <c r="B8542" s="6">
        <v>4</v>
      </c>
      <c r="C8542" s="6" t="s">
        <v>63</v>
      </c>
      <c r="D8542" s="6" t="s">
        <v>383</v>
      </c>
      <c r="E8542" s="6" t="s">
        <v>602</v>
      </c>
      <c r="F8542" s="6" t="str">
        <f>IF($M8542="PADD I","PADD 1",IF($M8542="PADD II","PADD 2",IF($M8542="PADD III","PADD 3",IF($M8542="PADD IV","PADD 4",IF($M8542="PADD V","PADD 5","")))))</f>
        <v>PADD 3</v>
      </c>
      <c r="G8542" s="6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6" t="s">
        <v>471</v>
      </c>
      <c r="I8542" s="6" t="s">
        <v>642</v>
      </c>
      <c r="J8542" s="6" t="s">
        <v>398</v>
      </c>
      <c r="K8542" s="10">
        <v>2.72</v>
      </c>
      <c r="L8542" s="10">
        <v>16</v>
      </c>
      <c r="M8542" s="6" t="s">
        <v>421</v>
      </c>
      <c r="N8542" s="6" t="str">
        <f>IF(OR($G8542="FCC",$G8542="Hydrocracker",$G8542="Reformer"),IF(COUNTIFS($D:$D,$D8542,$A:$A,$A8542,$B:$B,$B8542,$G:$G,"CDU",$J:$J,"PLANNED")&gt;0,"tied","standalone"),"")</f>
        <v>tied</v>
      </c>
    </row>
    <row r="8543" spans="1:14">
      <c r="A8543" s="6">
        <v>2027</v>
      </c>
      <c r="B8543" s="6">
        <v>4</v>
      </c>
      <c r="C8543" s="6" t="s">
        <v>63</v>
      </c>
      <c r="D8543" s="6" t="s">
        <v>1336</v>
      </c>
      <c r="E8543" s="6" t="s">
        <v>1337</v>
      </c>
      <c r="F8543" s="6" t="str">
        <f>IF($M8543="PADD I","PADD 1",IF($M8543="PADD II","PADD 2",IF($M8543="PADD III","PADD 3",IF($M8543="PADD IV","PADD 4",IF($M8543="PADD V","PADD 5","")))))</f>
        <v>PADD 4</v>
      </c>
      <c r="G8543" s="6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6" t="s">
        <v>44</v>
      </c>
      <c r="I8543" s="6" t="s">
        <v>1342</v>
      </c>
      <c r="J8543" s="6" t="s">
        <v>398</v>
      </c>
      <c r="K8543" s="10">
        <v>2.695</v>
      </c>
      <c r="L8543" s="10">
        <v>3.5</v>
      </c>
      <c r="M8543" s="6" t="s">
        <v>480</v>
      </c>
      <c r="N8543" s="6">
        <f>IF(OR($G8543="FCC",$G8543="Hydrocracker",$G8543="Reformer"),IF(COUNTIFS($D:$D,$D8543,$A:$A,$A8543,$B:$B,$B8543,$G:$G,"CDU",$J:$J,"PLANNED")&gt;0,"tied","standalone"),"")</f>
        <v/>
      </c>
    </row>
    <row r="8544" spans="1:14">
      <c r="A8544" s="6">
        <v>2027</v>
      </c>
      <c r="B8544" s="6">
        <v>4</v>
      </c>
      <c r="C8544" s="6" t="s">
        <v>63</v>
      </c>
      <c r="D8544" s="6" t="s">
        <v>1336</v>
      </c>
      <c r="E8544" s="6" t="s">
        <v>1337</v>
      </c>
      <c r="F8544" s="6" t="str">
        <f>IF($M8544="PADD I","PADD 1",IF($M8544="PADD II","PADD 2",IF($M8544="PADD III","PADD 3",IF($M8544="PADD IV","PADD 4",IF($M8544="PADD V","PADD 5","")))))</f>
        <v>PADD 4</v>
      </c>
      <c r="G8544" s="6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6" t="s">
        <v>471</v>
      </c>
      <c r="I8544" s="6" t="s">
        <v>15</v>
      </c>
      <c r="J8544" s="6" t="s">
        <v>398</v>
      </c>
      <c r="K8544" s="10">
        <v>2.464</v>
      </c>
      <c r="L8544" s="10">
        <v>3.2</v>
      </c>
      <c r="M8544" s="6" t="s">
        <v>480</v>
      </c>
      <c r="N8544" s="6" t="str">
        <f>IF(OR($G8544="FCC",$G8544="Hydrocracker",$G8544="Reformer"),IF(COUNTIFS($D:$D,$D8544,$A:$A,$A8544,$B:$B,$B8544,$G:$G,"CDU",$J:$J,"PLANNED")&gt;0,"tied","standalone"),"")</f>
        <v>tied</v>
      </c>
    </row>
    <row r="8545" spans="1:14">
      <c r="A8545" s="6">
        <v>2027</v>
      </c>
      <c r="B8545" s="6">
        <v>4</v>
      </c>
      <c r="C8545" s="6" t="s">
        <v>63</v>
      </c>
      <c r="D8545" s="6" t="s">
        <v>720</v>
      </c>
      <c r="E8545" s="6" t="s">
        <v>455</v>
      </c>
      <c r="F8545" s="6" t="str">
        <f>IF($M8545="PADD I","PADD 1",IF($M8545="PADD II","PADD 2",IF($M8545="PADD III","PADD 3",IF($M8545="PADD IV","PADD 4",IF($M8545="PADD V","PADD 5","")))))</f>
        <v>PADD 2</v>
      </c>
      <c r="G8545" s="6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6" t="s">
        <v>39</v>
      </c>
      <c r="I8545" s="6" t="s">
        <v>139</v>
      </c>
      <c r="J8545" s="6" t="s">
        <v>398</v>
      </c>
      <c r="K8545" s="10">
        <v>2.4</v>
      </c>
      <c r="L8545" s="10">
        <v>80</v>
      </c>
      <c r="M8545" s="6" t="s">
        <v>425</v>
      </c>
      <c r="N8545" s="6">
        <f>IF(OR($G8545="FCC",$G8545="Hydrocracker",$G8545="Reformer"),IF(COUNTIFS($D:$D,$D8545,$A:$A,$A8545,$B:$B,$B8545,$G:$G,"CDU",$J:$J,"PLANNED")&gt;0,"tied","standalone"),"")</f>
        <v/>
      </c>
    </row>
    <row r="8546" spans="1:14">
      <c r="A8546" s="6">
        <v>2027</v>
      </c>
      <c r="B8546" s="6">
        <v>4</v>
      </c>
      <c r="C8546" s="6" t="s">
        <v>63</v>
      </c>
      <c r="D8546" s="6" t="s">
        <v>889</v>
      </c>
      <c r="E8546" s="6" t="s">
        <v>890</v>
      </c>
      <c r="F8546" s="6" t="str">
        <f>IF($M8546="PADD I","PADD 1",IF($M8546="PADD II","PADD 2",IF($M8546="PADD III","PADD 3",IF($M8546="PADD IV","PADD 4",IF($M8546="PADD V","PADD 5","")))))</f>
        <v>PADD 1</v>
      </c>
      <c r="G8546" s="6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6" t="s">
        <v>618</v>
      </c>
      <c r="I8546" s="6" t="s">
        <v>654</v>
      </c>
      <c r="J8546" s="6" t="s">
        <v>398</v>
      </c>
      <c r="K8546" s="10">
        <v>2.365</v>
      </c>
      <c r="L8546" s="10">
        <v>5.5</v>
      </c>
      <c r="M8546" s="6" t="s">
        <v>463</v>
      </c>
      <c r="N8546" s="6">
        <f>IF(OR($G8546="FCC",$G8546="Hydrocracker",$G8546="Reformer"),IF(COUNTIFS($D:$D,$D8546,$A:$A,$A8546,$B:$B,$B8546,$G:$G,"CDU",$J:$J,"PLANNED")&gt;0,"tied","standalone"),"")</f>
        <v/>
      </c>
    </row>
    <row r="8547" spans="1:14">
      <c r="A8547" s="6">
        <v>2027</v>
      </c>
      <c r="B8547" s="6">
        <v>4</v>
      </c>
      <c r="C8547" s="6" t="s">
        <v>63</v>
      </c>
      <c r="D8547" s="6" t="s">
        <v>1205</v>
      </c>
      <c r="E8547" s="6" t="s">
        <v>1206</v>
      </c>
      <c r="F8547" s="6" t="str">
        <f>IF($M8547="PADD I","PADD 1",IF($M8547="PADD II","PADD 2",IF($M8547="PADD III","PADD 3",IF($M8547="PADD IV","PADD 4",IF($M8547="PADD V","PADD 5","")))))</f>
        <v>PADD 5</v>
      </c>
      <c r="G8547" s="6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6" t="s">
        <v>428</v>
      </c>
      <c r="I8547" s="6" t="s">
        <v>481</v>
      </c>
      <c r="J8547" s="6" t="s">
        <v>398</v>
      </c>
      <c r="K8547" s="10">
        <v>2.31</v>
      </c>
      <c r="L8547" s="10">
        <v>7</v>
      </c>
      <c r="M8547" s="6" t="s">
        <v>436</v>
      </c>
      <c r="N8547" s="6">
        <f>IF(OR($G8547="FCC",$G8547="Hydrocracker",$G8547="Reformer"),IF(COUNTIFS($D:$D,$D8547,$A:$A,$A8547,$B:$B,$B8547,$G:$G,"CDU",$J:$J,"PLANNED")&gt;0,"tied","standalone"),"")</f>
        <v/>
      </c>
    </row>
    <row r="8548" spans="1:14">
      <c r="A8548" s="6">
        <v>2027</v>
      </c>
      <c r="B8548" s="6">
        <v>4</v>
      </c>
      <c r="C8548" s="6" t="s">
        <v>63</v>
      </c>
      <c r="D8548" s="6" t="s">
        <v>383</v>
      </c>
      <c r="E8548" s="6" t="s">
        <v>602</v>
      </c>
      <c r="F8548" s="6" t="str">
        <f>IF($M8548="PADD I","PADD 1",IF($M8548="PADD II","PADD 2",IF($M8548="PADD III","PADD 3",IF($M8548="PADD IV","PADD 4",IF($M8548="PADD V","PADD 5","")))))</f>
        <v>PADD 3</v>
      </c>
      <c r="G8548" s="6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6" t="s">
        <v>44</v>
      </c>
      <c r="I8548" s="6" t="s">
        <v>551</v>
      </c>
      <c r="J8548" s="6" t="s">
        <v>398</v>
      </c>
      <c r="K8548" s="10">
        <v>2.295</v>
      </c>
      <c r="L8548" s="10">
        <v>13.5</v>
      </c>
      <c r="M8548" s="6" t="s">
        <v>421</v>
      </c>
      <c r="N8548" s="6">
        <f>IF(OR($G8548="FCC",$G8548="Hydrocracker",$G8548="Reformer"),IF(COUNTIFS($D:$D,$D8548,$A:$A,$A8548,$B:$B,$B8548,$G:$G,"CDU",$J:$J,"PLANNED")&gt;0,"tied","standalone"),"")</f>
        <v/>
      </c>
    </row>
    <row r="8549" spans="1:14">
      <c r="A8549" s="6">
        <v>2027</v>
      </c>
      <c r="B8549" s="6">
        <v>4</v>
      </c>
      <c r="C8549" s="6" t="s">
        <v>63</v>
      </c>
      <c r="D8549" s="6" t="s">
        <v>1205</v>
      </c>
      <c r="E8549" s="6" t="s">
        <v>1206</v>
      </c>
      <c r="F8549" s="6" t="str">
        <f>IF($M8549="PADD I","PADD 1",IF($M8549="PADD II","PADD 2",IF($M8549="PADD III","PADD 3",IF($M8549="PADD IV","PADD 4",IF($M8549="PADD V","PADD 5","")))))</f>
        <v>PADD 5</v>
      </c>
      <c r="G8549" s="6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6" t="s">
        <v>573</v>
      </c>
      <c r="I8549" s="6" t="s">
        <v>574</v>
      </c>
      <c r="J8549" s="6" t="s">
        <v>398</v>
      </c>
      <c r="K8549" s="10">
        <v>1.914</v>
      </c>
      <c r="L8549" s="10">
        <v>5.8</v>
      </c>
      <c r="M8549" s="6" t="s">
        <v>436</v>
      </c>
      <c r="N8549" s="6">
        <f>IF(OR($G8549="FCC",$G8549="Hydrocracker",$G8549="Reformer"),IF(COUNTIFS($D:$D,$D8549,$A:$A,$A8549,$B:$B,$B8549,$G:$G,"CDU",$J:$J,"PLANNED")&gt;0,"tied","standalone"),"")</f>
        <v/>
      </c>
    </row>
    <row r="8550" spans="1:14">
      <c r="A8550" s="6">
        <v>2027</v>
      </c>
      <c r="B8550" s="6">
        <v>4</v>
      </c>
      <c r="C8550" s="6" t="s">
        <v>63</v>
      </c>
      <c r="D8550" s="6" t="s">
        <v>55</v>
      </c>
      <c r="E8550" s="6" t="s">
        <v>906</v>
      </c>
      <c r="F8550" s="6" t="str">
        <f>IF($M8550="PADD I","PADD 1",IF($M8550="PADD II","PADD 2",IF($M8550="PADD III","PADD 3",IF($M8550="PADD IV","PADD 4",IF($M8550="PADD V","PADD 5","")))))</f>
        <v>PADD 5</v>
      </c>
      <c r="G8550" s="6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6" t="s">
        <v>39</v>
      </c>
      <c r="I8550" s="6" t="s">
        <v>907</v>
      </c>
      <c r="J8550" s="6" t="s">
        <v>398</v>
      </c>
      <c r="K8550" s="10">
        <v>1.8</v>
      </c>
      <c r="L8550" s="10">
        <v>60</v>
      </c>
      <c r="M8550" s="6" t="s">
        <v>436</v>
      </c>
      <c r="N8550" s="6">
        <f>IF(OR($G8550="FCC",$G8550="Hydrocracker",$G8550="Reformer"),IF(COUNTIFS($D:$D,$D8550,$A:$A,$A8550,$B:$B,$B8550,$G:$G,"CDU",$J:$J,"PLANNED")&gt;0,"tied","standalone"),"")</f>
        <v/>
      </c>
    </row>
    <row r="8551" spans="1:14">
      <c r="A8551" s="6">
        <v>2027</v>
      </c>
      <c r="B8551" s="6">
        <v>4</v>
      </c>
      <c r="C8551" s="6" t="s">
        <v>63</v>
      </c>
      <c r="D8551" s="6" t="s">
        <v>972</v>
      </c>
      <c r="E8551" s="6" t="s">
        <v>502</v>
      </c>
      <c r="F8551" s="6" t="str">
        <f>IF($M8551="PADD I","PADD 1",IF($M8551="PADD II","PADD 2",IF($M8551="PADD III","PADD 3",IF($M8551="PADD IV","PADD 4",IF($M8551="PADD V","PADD 5","")))))</f>
        <v>PADD 4</v>
      </c>
      <c r="G8551" s="6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6" t="s">
        <v>426</v>
      </c>
      <c r="I8551" s="6" t="s">
        <v>106</v>
      </c>
      <c r="J8551" s="6" t="s">
        <v>398</v>
      </c>
      <c r="K8551" s="10">
        <v>1.69</v>
      </c>
      <c r="L8551" s="10">
        <v>13</v>
      </c>
      <c r="M8551" s="6" t="s">
        <v>480</v>
      </c>
      <c r="N8551" s="6" t="str">
        <f>IF(OR($G8551="FCC",$G8551="Hydrocracker",$G8551="Reformer"),IF(COUNTIFS($D:$D,$D8551,$A:$A,$A8551,$B:$B,$B8551,$G:$G,"CDU",$J:$J,"PLANNED")&gt;0,"tied","standalone"),"")</f>
        <v>tied</v>
      </c>
    </row>
    <row r="8552" spans="1:14">
      <c r="A8552" s="6">
        <v>2027</v>
      </c>
      <c r="B8552" s="6">
        <v>4</v>
      </c>
      <c r="C8552" s="6" t="s">
        <v>63</v>
      </c>
      <c r="D8552" s="6" t="s">
        <v>720</v>
      </c>
      <c r="E8552" s="6" t="s">
        <v>455</v>
      </c>
      <c r="F8552" s="6" t="str">
        <f>IF($M8552="PADD I","PADD 1",IF($M8552="PADD II","PADD 2",IF($M8552="PADD III","PADD 3",IF($M8552="PADD IV","PADD 4",IF($M8552="PADD V","PADD 5","")))))</f>
        <v>PADD 2</v>
      </c>
      <c r="G8552" s="6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6" t="s">
        <v>44</v>
      </c>
      <c r="I8552" s="6" t="s">
        <v>962</v>
      </c>
      <c r="J8552" s="6" t="s">
        <v>398</v>
      </c>
      <c r="K8552" s="10">
        <v>1.59</v>
      </c>
      <c r="L8552" s="10">
        <v>53</v>
      </c>
      <c r="M8552" s="6" t="s">
        <v>425</v>
      </c>
      <c r="N8552" s="6">
        <f>IF(OR($G8552="FCC",$G8552="Hydrocracker",$G8552="Reformer"),IF(COUNTIFS($D:$D,$D8552,$A:$A,$A8552,$B:$B,$B8552,$G:$G,"CDU",$J:$J,"PLANNED")&gt;0,"tied","standalone"),"")</f>
        <v/>
      </c>
    </row>
    <row r="8553" spans="1:14">
      <c r="A8553" s="6">
        <v>2027</v>
      </c>
      <c r="B8553" s="6">
        <v>4</v>
      </c>
      <c r="C8553" s="6" t="s">
        <v>63</v>
      </c>
      <c r="D8553" s="6" t="s">
        <v>383</v>
      </c>
      <c r="E8553" s="6" t="s">
        <v>602</v>
      </c>
      <c r="F8553" s="6" t="str">
        <f>IF($M8553="PADD I","PADD 1",IF($M8553="PADD II","PADD 2",IF($M8553="PADD III","PADD 3",IF($M8553="PADD IV","PADD 4",IF($M8553="PADD V","PADD 5","")))))</f>
        <v>PADD 3</v>
      </c>
      <c r="G8553" s="6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6" t="s">
        <v>687</v>
      </c>
      <c r="I8553" s="6" t="s">
        <v>1437</v>
      </c>
      <c r="J8553" s="6" t="s">
        <v>398</v>
      </c>
      <c r="K8553" s="10">
        <v>1.445</v>
      </c>
      <c r="L8553" s="10">
        <v>8.5</v>
      </c>
      <c r="M8553" s="6" t="s">
        <v>421</v>
      </c>
      <c r="N8553" s="6">
        <f>IF(OR($G8553="FCC",$G8553="Hydrocracker",$G8553="Reformer"),IF(COUNTIFS($D:$D,$D8553,$A:$A,$A8553,$B:$B,$B8553,$G:$G,"CDU",$J:$J,"PLANNED")&gt;0,"tied","standalone"),"")</f>
        <v/>
      </c>
    </row>
    <row r="8554" spans="1:14">
      <c r="A8554" s="6">
        <v>2027</v>
      </c>
      <c r="B8554" s="6">
        <v>4</v>
      </c>
      <c r="C8554" s="6" t="s">
        <v>63</v>
      </c>
      <c r="D8554" s="6" t="s">
        <v>383</v>
      </c>
      <c r="E8554" s="6" t="s">
        <v>602</v>
      </c>
      <c r="F8554" s="6" t="str">
        <f>IF($M8554="PADD I","PADD 1",IF($M8554="PADD II","PADD 2",IF($M8554="PADD III","PADD 3",IF($M8554="PADD IV","PADD 4",IF($M8554="PADD V","PADD 5","")))))</f>
        <v>PADD 3</v>
      </c>
      <c r="G8554" s="6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6" t="s">
        <v>44</v>
      </c>
      <c r="I8554" s="6" t="s">
        <v>669</v>
      </c>
      <c r="J8554" s="6" t="s">
        <v>398</v>
      </c>
      <c r="K8554" s="10">
        <v>1.36</v>
      </c>
      <c r="L8554" s="10">
        <v>8</v>
      </c>
      <c r="M8554" s="6" t="s">
        <v>421</v>
      </c>
      <c r="N8554" s="6">
        <f>IF(OR($G8554="FCC",$G8554="Hydrocracker",$G8554="Reformer"),IF(COUNTIFS($D:$D,$D8554,$A:$A,$A8554,$B:$B,$B8554,$G:$G,"CDU",$J:$J,"PLANNED")&gt;0,"tied","standalone"),"")</f>
        <v/>
      </c>
    </row>
    <row r="8555" spans="1:14">
      <c r="A8555" s="6">
        <v>2027</v>
      </c>
      <c r="B8555" s="6">
        <v>4</v>
      </c>
      <c r="C8555" s="6" t="s">
        <v>63</v>
      </c>
      <c r="D8555" s="6" t="s">
        <v>972</v>
      </c>
      <c r="E8555" s="6" t="s">
        <v>502</v>
      </c>
      <c r="F8555" s="6" t="str">
        <f>IF($M8555="PADD I","PADD 1",IF($M8555="PADD II","PADD 2",IF($M8555="PADD III","PADD 3",IF($M8555="PADD IV","PADD 4",IF($M8555="PADD V","PADD 5","")))))</f>
        <v>PADD 4</v>
      </c>
      <c r="G8555" s="6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6" t="s">
        <v>44</v>
      </c>
      <c r="I8555" s="6" t="s">
        <v>983</v>
      </c>
      <c r="J8555" s="6" t="s">
        <v>398</v>
      </c>
      <c r="K8555" s="10">
        <v>1.235</v>
      </c>
      <c r="L8555" s="10">
        <v>9.5</v>
      </c>
      <c r="M8555" s="6" t="s">
        <v>480</v>
      </c>
      <c r="N8555" s="6">
        <f>IF(OR($G8555="FCC",$G8555="Hydrocracker",$G8555="Reformer"),IF(COUNTIFS($D:$D,$D8555,$A:$A,$A8555,$B:$B,$B8555,$G:$G,"CDU",$J:$J,"PLANNED")&gt;0,"tied","standalone"),"")</f>
        <v/>
      </c>
    </row>
    <row r="8556" spans="1:14">
      <c r="A8556" s="6">
        <v>2027</v>
      </c>
      <c r="B8556" s="6">
        <v>4</v>
      </c>
      <c r="C8556" s="6" t="s">
        <v>63</v>
      </c>
      <c r="D8556" s="6" t="s">
        <v>720</v>
      </c>
      <c r="E8556" s="6" t="s">
        <v>455</v>
      </c>
      <c r="F8556" s="6" t="str">
        <f>IF($M8556="PADD I","PADD 1",IF($M8556="PADD II","PADD 2",IF($M8556="PADD III","PADD 3",IF($M8556="PADD IV","PADD 4",IF($M8556="PADD V","PADD 5","")))))</f>
        <v>PADD 2</v>
      </c>
      <c r="G8556" s="6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6" t="s">
        <v>44</v>
      </c>
      <c r="I8556" s="6" t="s">
        <v>508</v>
      </c>
      <c r="J8556" s="6" t="s">
        <v>398</v>
      </c>
      <c r="K8556" s="10">
        <v>1.2</v>
      </c>
      <c r="L8556" s="10">
        <v>40</v>
      </c>
      <c r="M8556" s="6" t="s">
        <v>425</v>
      </c>
      <c r="N8556" s="6">
        <f>IF(OR($G8556="FCC",$G8556="Hydrocracker",$G8556="Reformer"),IF(COUNTIFS($D:$D,$D8556,$A:$A,$A8556,$B:$B,$B8556,$G:$G,"CDU",$J:$J,"PLANNED")&gt;0,"tied","standalone"),"")</f>
        <v/>
      </c>
    </row>
    <row r="8557" spans="1:14">
      <c r="A8557" s="6">
        <v>2027</v>
      </c>
      <c r="B8557" s="6">
        <v>4</v>
      </c>
      <c r="C8557" s="6" t="s">
        <v>63</v>
      </c>
      <c r="D8557" s="6" t="s">
        <v>383</v>
      </c>
      <c r="E8557" s="6" t="s">
        <v>602</v>
      </c>
      <c r="F8557" s="6" t="str">
        <f>IF($M8557="PADD I","PADD 1",IF($M8557="PADD II","PADD 2",IF($M8557="PADD III","PADD 3",IF($M8557="PADD IV","PADD 4",IF($M8557="PADD V","PADD 5","")))))</f>
        <v>PADD 3</v>
      </c>
      <c r="G8557" s="6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6" t="s">
        <v>573</v>
      </c>
      <c r="I8557" s="6" t="s">
        <v>574</v>
      </c>
      <c r="J8557" s="6" t="s">
        <v>398</v>
      </c>
      <c r="K8557" s="10">
        <v>1.1781</v>
      </c>
      <c r="L8557" s="10">
        <v>6.93</v>
      </c>
      <c r="M8557" s="6" t="s">
        <v>421</v>
      </c>
      <c r="N8557" s="6">
        <f>IF(OR($G8557="FCC",$G8557="Hydrocracker",$G8557="Reformer"),IF(COUNTIFS($D:$D,$D8557,$A:$A,$A8557,$B:$B,$B8557,$G:$G,"CDU",$J:$J,"PLANNED")&gt;0,"tied","standalone"),"")</f>
        <v/>
      </c>
    </row>
    <row r="8558" spans="1:14">
      <c r="A8558" s="6">
        <v>2027</v>
      </c>
      <c r="B8558" s="6">
        <v>4</v>
      </c>
      <c r="C8558" s="6" t="s">
        <v>63</v>
      </c>
      <c r="D8558" s="6" t="s">
        <v>972</v>
      </c>
      <c r="E8558" s="6" t="s">
        <v>502</v>
      </c>
      <c r="F8558" s="6" t="str">
        <f>IF($M8558="PADD I","PADD 1",IF($M8558="PADD II","PADD 2",IF($M8558="PADD III","PADD 3",IF($M8558="PADD IV","PADD 4",IF($M8558="PADD V","PADD 5","")))))</f>
        <v>PADD 4</v>
      </c>
      <c r="G8558" s="6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6" t="s">
        <v>44</v>
      </c>
      <c r="I8558" s="6" t="s">
        <v>776</v>
      </c>
      <c r="J8558" s="6" t="s">
        <v>398</v>
      </c>
      <c r="K8558" s="10">
        <v>1.17</v>
      </c>
      <c r="L8558" s="10">
        <v>9</v>
      </c>
      <c r="M8558" s="6" t="s">
        <v>480</v>
      </c>
      <c r="N8558" s="6">
        <f>IF(OR($G8558="FCC",$G8558="Hydrocracker",$G8558="Reformer"),IF(COUNTIFS($D:$D,$D8558,$A:$A,$A8558,$B:$B,$B8558,$G:$G,"CDU",$J:$J,"PLANNED")&gt;0,"tied","standalone"),"")</f>
        <v/>
      </c>
    </row>
    <row r="8559" spans="1:14">
      <c r="A8559" s="6">
        <v>2027</v>
      </c>
      <c r="B8559" s="6">
        <v>4</v>
      </c>
      <c r="C8559" s="6" t="s">
        <v>63</v>
      </c>
      <c r="D8559" s="6" t="s">
        <v>889</v>
      </c>
      <c r="E8559" s="6" t="s">
        <v>890</v>
      </c>
      <c r="F8559" s="6" t="str">
        <f>IF($M8559="PADD I","PADD 1",IF($M8559="PADD II","PADD 2",IF($M8559="PADD III","PADD 3",IF($M8559="PADD IV","PADD 4",IF($M8559="PADD V","PADD 5","")))))</f>
        <v>PADD 1</v>
      </c>
      <c r="G8559" s="6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6" t="s">
        <v>510</v>
      </c>
      <c r="I8559" s="6" t="s">
        <v>511</v>
      </c>
      <c r="J8559" s="6" t="s">
        <v>398</v>
      </c>
      <c r="K8559" s="10">
        <v>1.161</v>
      </c>
      <c r="L8559" s="10">
        <v>2.7</v>
      </c>
      <c r="M8559" s="6" t="s">
        <v>463</v>
      </c>
      <c r="N8559" s="6">
        <f>IF(OR($G8559="FCC",$G8559="Hydrocracker",$G8559="Reformer"),IF(COUNTIFS($D:$D,$D8559,$A:$A,$A8559,$B:$B,$B8559,$G:$G,"CDU",$J:$J,"PLANNED")&gt;0,"tied","standalone"),"")</f>
        <v/>
      </c>
    </row>
    <row r="8560" spans="1:14">
      <c r="A8560" s="6">
        <v>2027</v>
      </c>
      <c r="B8560" s="6">
        <v>4</v>
      </c>
      <c r="C8560" s="6" t="s">
        <v>63</v>
      </c>
      <c r="D8560" s="6" t="s">
        <v>1336</v>
      </c>
      <c r="E8560" s="6" t="s">
        <v>1337</v>
      </c>
      <c r="F8560" s="6" t="str">
        <f>IF($M8560="PADD I","PADD 1",IF($M8560="PADD II","PADD 2",IF($M8560="PADD III","PADD 3",IF($M8560="PADD IV","PADD 4",IF($M8560="PADD V","PADD 5","")))))</f>
        <v>PADD 4</v>
      </c>
      <c r="G8560" s="6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6" t="s">
        <v>428</v>
      </c>
      <c r="I8560" s="6" t="s">
        <v>481</v>
      </c>
      <c r="J8560" s="6" t="s">
        <v>398</v>
      </c>
      <c r="K8560" s="10">
        <v>1.155</v>
      </c>
      <c r="L8560" s="10">
        <v>1.5</v>
      </c>
      <c r="M8560" s="6" t="s">
        <v>480</v>
      </c>
      <c r="N8560" s="6">
        <f>IF(OR($G8560="FCC",$G8560="Hydrocracker",$G8560="Reformer"),IF(COUNTIFS($D:$D,$D8560,$A:$A,$A8560,$B:$B,$B8560,$G:$G,"CDU",$J:$J,"PLANNED")&gt;0,"tied","standalone"),"")</f>
        <v/>
      </c>
    </row>
    <row r="8561" spans="1:14">
      <c r="A8561" s="6">
        <v>2027</v>
      </c>
      <c r="B8561" s="6">
        <v>4</v>
      </c>
      <c r="C8561" s="6" t="s">
        <v>63</v>
      </c>
      <c r="D8561" s="6" t="s">
        <v>383</v>
      </c>
      <c r="E8561" s="6" t="s">
        <v>602</v>
      </c>
      <c r="F8561" s="6" t="str">
        <f>IF($M8561="PADD I","PADD 1",IF($M8561="PADD II","PADD 2",IF($M8561="PADD III","PADD 3",IF($M8561="PADD IV","PADD 4",IF($M8561="PADD V","PADD 5","")))))</f>
        <v>PADD 3</v>
      </c>
      <c r="G8561" s="6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6" t="s">
        <v>618</v>
      </c>
      <c r="I8561" s="6" t="s">
        <v>673</v>
      </c>
      <c r="J8561" s="6" t="s">
        <v>398</v>
      </c>
      <c r="K8561" s="10">
        <v>1.02</v>
      </c>
      <c r="L8561" s="10">
        <v>6</v>
      </c>
      <c r="M8561" s="6" t="s">
        <v>421</v>
      </c>
      <c r="N8561" s="6">
        <f>IF(OR($G8561="FCC",$G8561="Hydrocracker",$G8561="Reformer"),IF(COUNTIFS($D:$D,$D8561,$A:$A,$A8561,$B:$B,$B8561,$G:$G,"CDU",$J:$J,"PLANNED")&gt;0,"tied","standalone"),"")</f>
        <v/>
      </c>
    </row>
    <row r="8562" spans="1:14">
      <c r="A8562" s="6">
        <v>2027</v>
      </c>
      <c r="B8562" s="6">
        <v>4</v>
      </c>
      <c r="C8562" s="6" t="s">
        <v>63</v>
      </c>
      <c r="D8562" s="6" t="s">
        <v>972</v>
      </c>
      <c r="E8562" s="6" t="s">
        <v>502</v>
      </c>
      <c r="F8562" s="6" t="str">
        <f>IF($M8562="PADD I","PADD 1",IF($M8562="PADD II","PADD 2",IF($M8562="PADD III","PADD 3",IF($M8562="PADD IV","PADD 4",IF($M8562="PADD V","PADD 5","")))))</f>
        <v>PADD 4</v>
      </c>
      <c r="G8562" s="6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6" t="s">
        <v>428</v>
      </c>
      <c r="I8562" s="6" t="s">
        <v>985</v>
      </c>
      <c r="J8562" s="6" t="s">
        <v>398</v>
      </c>
      <c r="K8562" s="10">
        <v>1.014</v>
      </c>
      <c r="L8562" s="10">
        <v>7.8</v>
      </c>
      <c r="M8562" s="6" t="s">
        <v>480</v>
      </c>
      <c r="N8562" s="6">
        <f>IF(OR($G8562="FCC",$G8562="Hydrocracker",$G8562="Reformer"),IF(COUNTIFS($D:$D,$D8562,$A:$A,$A8562,$B:$B,$B8562,$G:$G,"CDU",$J:$J,"PLANNED")&gt;0,"tied","standalone"),"")</f>
        <v/>
      </c>
    </row>
    <row r="8563" spans="1:14">
      <c r="A8563" s="6">
        <v>2027</v>
      </c>
      <c r="B8563" s="6">
        <v>4</v>
      </c>
      <c r="C8563" s="6" t="s">
        <v>63</v>
      </c>
      <c r="D8563" s="6" t="s">
        <v>1336</v>
      </c>
      <c r="E8563" s="6" t="s">
        <v>1337</v>
      </c>
      <c r="F8563" s="6" t="str">
        <f>IF($M8563="PADD I","PADD 1",IF($M8563="PADD II","PADD 2",IF($M8563="PADD III","PADD 3",IF($M8563="PADD IV","PADD 4",IF($M8563="PADD V","PADD 5","")))))</f>
        <v>PADD 4</v>
      </c>
      <c r="G8563" s="6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6" t="s">
        <v>510</v>
      </c>
      <c r="I8563" s="6" t="s">
        <v>666</v>
      </c>
      <c r="J8563" s="6" t="s">
        <v>398</v>
      </c>
      <c r="K8563" s="10">
        <v>1.001</v>
      </c>
      <c r="L8563" s="10">
        <v>1.3</v>
      </c>
      <c r="M8563" s="6" t="s">
        <v>480</v>
      </c>
      <c r="N8563" s="6">
        <f>IF(OR($G8563="FCC",$G8563="Hydrocracker",$G8563="Reformer"),IF(COUNTIFS($D:$D,$D8563,$A:$A,$A8563,$B:$B,$B8563,$G:$G,"CDU",$J:$J,"PLANNED")&gt;0,"tied","standalone"),"")</f>
        <v/>
      </c>
    </row>
    <row r="8564" spans="1:14">
      <c r="A8564" s="6">
        <v>2027</v>
      </c>
      <c r="B8564" s="6">
        <v>4</v>
      </c>
      <c r="C8564" s="6" t="s">
        <v>63</v>
      </c>
      <c r="D8564" s="6" t="s">
        <v>972</v>
      </c>
      <c r="E8564" s="6" t="s">
        <v>502</v>
      </c>
      <c r="F8564" s="6" t="str">
        <f>IF($M8564="PADD I","PADD 1",IF($M8564="PADD II","PADD 2",IF($M8564="PADD III","PADD 3",IF($M8564="PADD IV","PADD 4",IF($M8564="PADD V","PADD 5","")))))</f>
        <v>PADD 4</v>
      </c>
      <c r="G8564" s="6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6" t="s">
        <v>471</v>
      </c>
      <c r="I8564" s="6" t="s">
        <v>15</v>
      </c>
      <c r="J8564" s="6" t="s">
        <v>398</v>
      </c>
      <c r="K8564" s="10">
        <v>0.975</v>
      </c>
      <c r="L8564" s="10">
        <v>7.5</v>
      </c>
      <c r="M8564" s="6" t="s">
        <v>480</v>
      </c>
      <c r="N8564" s="6" t="str">
        <f>IF(OR($G8564="FCC",$G8564="Hydrocracker",$G8564="Reformer"),IF(COUNTIFS($D:$D,$D8564,$A:$A,$A8564,$B:$B,$B8564,$G:$G,"CDU",$J:$J,"PLANNED")&gt;0,"tied","standalone"),"")</f>
        <v>tied</v>
      </c>
    </row>
    <row r="8565" spans="1:14">
      <c r="A8565" s="6">
        <v>2027</v>
      </c>
      <c r="B8565" s="6">
        <v>4</v>
      </c>
      <c r="C8565" s="6" t="s">
        <v>63</v>
      </c>
      <c r="D8565" s="6" t="s">
        <v>682</v>
      </c>
      <c r="E8565" s="6" t="s">
        <v>683</v>
      </c>
      <c r="F8565" s="6" t="str">
        <f>IF($M8565="PADD I","PADD 1",IF($M8565="PADD II","PADD 2",IF($M8565="PADD III","PADD 3",IF($M8565="PADD IV","PADD 4",IF($M8565="PADD V","PADD 5","")))))</f>
        <v>PADD 4</v>
      </c>
      <c r="G8565" s="6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6" t="s">
        <v>39</v>
      </c>
      <c r="I8565" s="6" t="s">
        <v>82</v>
      </c>
      <c r="J8565" s="6" t="s">
        <v>398</v>
      </c>
      <c r="K8565" s="10">
        <v>0.93</v>
      </c>
      <c r="L8565" s="10">
        <v>31</v>
      </c>
      <c r="M8565" s="6" t="s">
        <v>480</v>
      </c>
      <c r="N8565" s="6">
        <f>IF(OR($G8565="FCC",$G8565="Hydrocracker",$G8565="Reformer"),IF(COUNTIFS($D:$D,$D8565,$A:$A,$A8565,$B:$B,$B8565,$G:$G,"CDU",$J:$J,"PLANNED")&gt;0,"tied","standalone"),"")</f>
        <v/>
      </c>
    </row>
    <row r="8566" spans="1:14">
      <c r="A8566" s="6">
        <v>2027</v>
      </c>
      <c r="B8566" s="6">
        <v>4</v>
      </c>
      <c r="C8566" s="6" t="s">
        <v>63</v>
      </c>
      <c r="D8566" s="6" t="s">
        <v>383</v>
      </c>
      <c r="E8566" s="6" t="s">
        <v>602</v>
      </c>
      <c r="F8566" s="6" t="str">
        <f>IF($M8566="PADD I","PADD 1",IF($M8566="PADD II","PADD 2",IF($M8566="PADD III","PADD 3",IF($M8566="PADD IV","PADD 4",IF($M8566="PADD V","PADD 5","")))))</f>
        <v>PADD 3</v>
      </c>
      <c r="G8566" s="6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6" t="s">
        <v>510</v>
      </c>
      <c r="I8566" s="6" t="s">
        <v>511</v>
      </c>
      <c r="J8566" s="6" t="s">
        <v>398</v>
      </c>
      <c r="K8566" s="10">
        <v>0.68</v>
      </c>
      <c r="L8566" s="10">
        <v>4</v>
      </c>
      <c r="M8566" s="6" t="s">
        <v>421</v>
      </c>
      <c r="N8566" s="6">
        <f>IF(OR($G8566="FCC",$G8566="Hydrocracker",$G8566="Reformer"),IF(COUNTIFS($D:$D,$D8566,$A:$A,$A8566,$B:$B,$B8566,$G:$G,"CDU",$J:$J,"PLANNED")&gt;0,"tied","standalone"),"")</f>
        <v/>
      </c>
    </row>
    <row r="8567" spans="1:14">
      <c r="A8567" s="6">
        <v>2027</v>
      </c>
      <c r="B8567" s="6">
        <v>4</v>
      </c>
      <c r="C8567" s="6" t="s">
        <v>63</v>
      </c>
      <c r="D8567" s="6" t="s">
        <v>972</v>
      </c>
      <c r="E8567" s="6" t="s">
        <v>502</v>
      </c>
      <c r="F8567" s="6" t="str">
        <f>IF($M8567="PADD I","PADD 1",IF($M8567="PADD II","PADD 2",IF($M8567="PADD III","PADD 3",IF($M8567="PADD IV","PADD 4",IF($M8567="PADD V","PADD 5","")))))</f>
        <v>PADD 4</v>
      </c>
      <c r="G8567" s="6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6" t="s">
        <v>44</v>
      </c>
      <c r="I8567" s="6" t="s">
        <v>987</v>
      </c>
      <c r="J8567" s="6" t="s">
        <v>398</v>
      </c>
      <c r="K8567" s="10">
        <v>0.65</v>
      </c>
      <c r="L8567" s="10">
        <v>5</v>
      </c>
      <c r="M8567" s="6" t="s">
        <v>480</v>
      </c>
      <c r="N8567" s="6">
        <f>IF(OR($G8567="FCC",$G8567="Hydrocracker",$G8567="Reformer"),IF(COUNTIFS($D:$D,$D8567,$A:$A,$A8567,$B:$B,$B8567,$G:$G,"CDU",$J:$J,"PLANNED")&gt;0,"tied","standalone"),"")</f>
        <v/>
      </c>
    </row>
    <row r="8568" spans="1:14">
      <c r="A8568" s="6">
        <v>2027</v>
      </c>
      <c r="B8568" s="6">
        <v>4</v>
      </c>
      <c r="C8568" s="6" t="s">
        <v>63</v>
      </c>
      <c r="D8568" s="6" t="s">
        <v>52</v>
      </c>
      <c r="E8568" s="6" t="s">
        <v>441</v>
      </c>
      <c r="F8568" s="6" t="str">
        <f>IF($M8568="PADD I","PADD 1",IF($M8568="PADD II","PADD 2",IF($M8568="PADD III","PADD 3",IF($M8568="PADD IV","PADD 4",IF($M8568="PADD V","PADD 5","")))))</f>
        <v>PADD 5</v>
      </c>
      <c r="G8568" s="6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6" t="s">
        <v>44</v>
      </c>
      <c r="I8568" s="6" t="s">
        <v>1387</v>
      </c>
      <c r="J8568" s="6" t="s">
        <v>398</v>
      </c>
      <c r="K8568" s="10">
        <v>0.63</v>
      </c>
      <c r="L8568" s="10">
        <v>21</v>
      </c>
      <c r="M8568" s="6" t="s">
        <v>436</v>
      </c>
      <c r="N8568" s="6">
        <f>IF(OR($G8568="FCC",$G8568="Hydrocracker",$G8568="Reformer"),IF(COUNTIFS($D:$D,$D8568,$A:$A,$A8568,$B:$B,$B8568,$G:$G,"CDU",$J:$J,"PLANNED")&gt;0,"tied","standalone"),"")</f>
        <v/>
      </c>
    </row>
    <row r="8569" spans="1:14">
      <c r="A8569" s="6">
        <v>2027</v>
      </c>
      <c r="B8569" s="6">
        <v>4</v>
      </c>
      <c r="C8569" s="6" t="s">
        <v>63</v>
      </c>
      <c r="D8569" s="6" t="s">
        <v>52</v>
      </c>
      <c r="E8569" s="6" t="s">
        <v>441</v>
      </c>
      <c r="F8569" s="6" t="str">
        <f>IF($M8569="PADD I","PADD 1",IF($M8569="PADD II","PADD 2",IF($M8569="PADD III","PADD 3",IF($M8569="PADD IV","PADD 4",IF($M8569="PADD V","PADD 5","")))))</f>
        <v>PADD 5</v>
      </c>
      <c r="G8569" s="6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6" t="s">
        <v>44</v>
      </c>
      <c r="I8569" s="6" t="s">
        <v>1388</v>
      </c>
      <c r="J8569" s="6" t="s">
        <v>398</v>
      </c>
      <c r="K8569" s="10">
        <v>0.6</v>
      </c>
      <c r="L8569" s="10">
        <v>20</v>
      </c>
      <c r="M8569" s="6" t="s">
        <v>436</v>
      </c>
      <c r="N8569" s="6">
        <f>IF(OR($G8569="FCC",$G8569="Hydrocracker",$G8569="Reformer"),IF(COUNTIFS($D:$D,$D8569,$A:$A,$A8569,$B:$B,$B8569,$G:$G,"CDU",$J:$J,"PLANNED")&gt;0,"tied","standalone"),"")</f>
        <v/>
      </c>
    </row>
    <row r="8570" spans="1:14">
      <c r="A8570" s="6">
        <v>2027</v>
      </c>
      <c r="B8570" s="6">
        <v>4</v>
      </c>
      <c r="C8570" s="6" t="s">
        <v>63</v>
      </c>
      <c r="D8570" s="6" t="s">
        <v>682</v>
      </c>
      <c r="E8570" s="6" t="s">
        <v>683</v>
      </c>
      <c r="F8570" s="6" t="str">
        <f>IF($M8570="PADD I","PADD 1",IF($M8570="PADD II","PADD 2",IF($M8570="PADD III","PADD 3",IF($M8570="PADD IV","PADD 4",IF($M8570="PADD V","PADD 5","")))))</f>
        <v>PADD 4</v>
      </c>
      <c r="G8570" s="6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6" t="s">
        <v>426</v>
      </c>
      <c r="I8570" s="6" t="s">
        <v>684</v>
      </c>
      <c r="J8570" s="6" t="s">
        <v>398</v>
      </c>
      <c r="K8570" s="10">
        <v>0.345</v>
      </c>
      <c r="L8570" s="10">
        <v>11.5</v>
      </c>
      <c r="M8570" s="6" t="s">
        <v>480</v>
      </c>
      <c r="N8570" s="6" t="str">
        <f>IF(OR($G8570="FCC",$G8570="Hydrocracker",$G8570="Reformer"),IF(COUNTIFS($D:$D,$D8570,$A:$A,$A8570,$B:$B,$B8570,$G:$G,"CDU",$J:$J,"PLANNED")&gt;0,"tied","standalone"),"")</f>
        <v>tied</v>
      </c>
    </row>
    <row r="8571" spans="1:14">
      <c r="A8571" s="6">
        <v>2027</v>
      </c>
      <c r="B8571" s="6">
        <v>4</v>
      </c>
      <c r="C8571" s="6" t="s">
        <v>63</v>
      </c>
      <c r="D8571" s="6" t="s">
        <v>682</v>
      </c>
      <c r="E8571" s="6" t="s">
        <v>683</v>
      </c>
      <c r="F8571" s="6" t="str">
        <f>IF($M8571="PADD I","PADD 1",IF($M8571="PADD II","PADD 2",IF($M8571="PADD III","PADD 3",IF($M8571="PADD IV","PADD 4",IF($M8571="PADD V","PADD 5","")))))</f>
        <v>PADD 4</v>
      </c>
      <c r="G8571" s="6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6" t="s">
        <v>471</v>
      </c>
      <c r="I8571" s="6" t="s">
        <v>1120</v>
      </c>
      <c r="J8571" s="6" t="s">
        <v>398</v>
      </c>
      <c r="K8571" s="10">
        <v>0.3</v>
      </c>
      <c r="L8571" s="10">
        <v>10</v>
      </c>
      <c r="M8571" s="6" t="s">
        <v>480</v>
      </c>
      <c r="N8571" s="6" t="str">
        <f>IF(OR($G8571="FCC",$G8571="Hydrocracker",$G8571="Reformer"),IF(COUNTIFS($D:$D,$D8571,$A:$A,$A8571,$B:$B,$B8571,$G:$G,"CDU",$J:$J,"PLANNED")&gt;0,"tied","standalone"),"")</f>
        <v>tied</v>
      </c>
    </row>
    <row r="8572" spans="1:14">
      <c r="A8572" s="6">
        <v>2027</v>
      </c>
      <c r="B8572" s="6">
        <v>4</v>
      </c>
      <c r="C8572" s="6" t="s">
        <v>63</v>
      </c>
      <c r="D8572" s="6" t="s">
        <v>720</v>
      </c>
      <c r="E8572" s="6" t="s">
        <v>455</v>
      </c>
      <c r="F8572" s="6" t="str">
        <f>IF($M8572="PADD I","PADD 1",IF($M8572="PADD II","PADD 2",IF($M8572="PADD III","PADD 3",IF($M8572="PADD IV","PADD 4",IF($M8572="PADD V","PADD 5","")))))</f>
        <v>PADD 2</v>
      </c>
      <c r="G8572" s="6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6" t="s">
        <v>618</v>
      </c>
      <c r="I8572" s="6" t="s">
        <v>654</v>
      </c>
      <c r="J8572" s="6" t="s">
        <v>398</v>
      </c>
      <c r="K8572" s="10">
        <v>0.12</v>
      </c>
      <c r="L8572" s="10">
        <v>4</v>
      </c>
      <c r="M8572" s="6" t="s">
        <v>425</v>
      </c>
      <c r="N8572" s="6">
        <f>IF(OR($G8572="FCC",$G8572="Hydrocracker",$G8572="Reformer"),IF(COUNTIFS($D:$D,$D8572,$A:$A,$A8572,$B:$B,$B8572,$G:$G,"CDU",$J:$J,"PLANNED")&gt;0,"tied","standalone"),"")</f>
        <v/>
      </c>
    </row>
    <row r="8573" spans="1:14">
      <c r="A8573" s="6">
        <v>2027</v>
      </c>
      <c r="B8573" s="6">
        <v>4</v>
      </c>
      <c r="C8573" s="6" t="s">
        <v>63</v>
      </c>
      <c r="D8573" s="6" t="s">
        <v>682</v>
      </c>
      <c r="E8573" s="6" t="s">
        <v>683</v>
      </c>
      <c r="F8573" s="6" t="str">
        <f>IF($M8573="PADD I","PADD 1",IF($M8573="PADD II","PADD 2",IF($M8573="PADD III","PADD 3",IF($M8573="PADD IV","PADD 4",IF($M8573="PADD V","PADD 5","")))))</f>
        <v>PADD 4</v>
      </c>
      <c r="G8573" s="6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6" t="s">
        <v>510</v>
      </c>
      <c r="I8573" s="6" t="s">
        <v>666</v>
      </c>
      <c r="J8573" s="6" t="s">
        <v>398</v>
      </c>
      <c r="K8573" s="10">
        <v>0.08400000000000001</v>
      </c>
      <c r="L8573" s="10">
        <v>2.8</v>
      </c>
      <c r="M8573" s="6" t="s">
        <v>480</v>
      </c>
      <c r="N8573" s="6">
        <f>IF(OR($G8573="FCC",$G8573="Hydrocracker",$G8573="Reformer"),IF(COUNTIFS($D:$D,$D8573,$A:$A,$A8573,$B:$B,$B8573,$G:$G,"CDU",$J:$J,"PLANNED")&gt;0,"tied","standalone"),"")</f>
        <v/>
      </c>
    </row>
    <row r="8574" spans="1:14">
      <c r="A8574" s="6">
        <v>2027</v>
      </c>
      <c r="B8574" s="6">
        <v>4</v>
      </c>
      <c r="C8574" s="6" t="s">
        <v>63</v>
      </c>
      <c r="D8574" s="6" t="s">
        <v>889</v>
      </c>
      <c r="E8574" s="6" t="s">
        <v>890</v>
      </c>
      <c r="F8574" s="6" t="str">
        <f>IF($M8574="PADD I","PADD 1",IF($M8574="PADD II","PADD 2",IF($M8574="PADD III","PADD 3",IF($M8574="PADD IV","PADD 4",IF($M8574="PADD V","PADD 5","")))))</f>
        <v>PADD 1</v>
      </c>
      <c r="G8574" s="6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6" t="s">
        <v>687</v>
      </c>
      <c r="I8574" s="6" t="s">
        <v>598</v>
      </c>
      <c r="J8574" s="6" t="s">
        <v>398</v>
      </c>
      <c r="K8574" s="10">
        <v>0.0172</v>
      </c>
      <c r="L8574" s="10">
        <v>0.04</v>
      </c>
      <c r="M8574" s="6" t="s">
        <v>463</v>
      </c>
      <c r="N8574" s="6">
        <f>IF(OR($G8574="FCC",$G8574="Hydrocracker",$G8574="Reformer"),IF(COUNTIFS($D:$D,$D8574,$A:$A,$A8574,$B:$B,$B8574,$G:$G,"CDU",$J:$J,"PLANNED")&gt;0,"tied","standalone"),"")</f>
        <v/>
      </c>
    </row>
    <row r="8575" spans="1:14">
      <c r="A8575" s="6">
        <v>2027</v>
      </c>
      <c r="B8575" s="6">
        <v>5</v>
      </c>
      <c r="C8575" s="6" t="s">
        <v>64</v>
      </c>
      <c r="D8575" s="6" t="s">
        <v>370</v>
      </c>
      <c r="E8575" s="6" t="s">
        <v>431</v>
      </c>
      <c r="F8575" s="6" t="str">
        <f>IF($M8575="PADD I","PADD 1",IF($M8575="PADD II","PADD 2",IF($M8575="PADD III","PADD 3",IF($M8575="PADD IV","PADD 4",IF($M8575="PADD V","PADD 5","")))))</f>
        <v>PADD 2</v>
      </c>
      <c r="G8575" s="6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6" t="s">
        <v>39</v>
      </c>
      <c r="I8575" s="6" t="s">
        <v>82</v>
      </c>
      <c r="J8575" s="6" t="s">
        <v>398</v>
      </c>
      <c r="K8575" s="10">
        <v>105</v>
      </c>
      <c r="L8575" s="10">
        <v>250</v>
      </c>
      <c r="M8575" s="6" t="s">
        <v>425</v>
      </c>
      <c r="N8575" s="6">
        <f>IF(OR($G8575="FCC",$G8575="Hydrocracker",$G8575="Reformer"),IF(COUNTIFS($D:$D,$D8575,$A:$A,$A8575,$B:$B,$B8575,$G:$G,"CDU",$J:$J,"PLANNED")&gt;0,"tied","standalone"),"")</f>
        <v/>
      </c>
    </row>
    <row r="8576" spans="1:14">
      <c r="A8576" s="6">
        <v>2027</v>
      </c>
      <c r="B8576" s="6">
        <v>5</v>
      </c>
      <c r="C8576" s="6" t="s">
        <v>64</v>
      </c>
      <c r="D8576" s="6" t="s">
        <v>377</v>
      </c>
      <c r="E8576" s="6" t="s">
        <v>466</v>
      </c>
      <c r="F8576" s="6" t="str">
        <f>IF($M8576="PADD I","PADD 1",IF($M8576="PADD II","PADD 2",IF($M8576="PADD III","PADD 3",IF($M8576="PADD IV","PADD 4",IF($M8576="PADD V","PADD 5","")))))</f>
        <v>PADD 2</v>
      </c>
      <c r="G8576" s="6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6" t="s">
        <v>39</v>
      </c>
      <c r="I8576" s="6" t="s">
        <v>92</v>
      </c>
      <c r="J8576" s="6" t="s">
        <v>398</v>
      </c>
      <c r="K8576" s="10">
        <v>101.5</v>
      </c>
      <c r="L8576" s="10">
        <v>175</v>
      </c>
      <c r="M8576" s="6" t="s">
        <v>425</v>
      </c>
      <c r="N8576" s="6">
        <f>IF(OR($G8576="FCC",$G8576="Hydrocracker",$G8576="Reformer"),IF(COUNTIFS($D:$D,$D8576,$A:$A,$A8576,$B:$B,$B8576,$G:$G,"CDU",$J:$J,"PLANNED")&gt;0,"tied","standalone"),"")</f>
        <v/>
      </c>
    </row>
    <row r="8577" spans="1:14">
      <c r="A8577" s="6">
        <v>2027</v>
      </c>
      <c r="B8577" s="6">
        <v>5</v>
      </c>
      <c r="C8577" s="6" t="s">
        <v>64</v>
      </c>
      <c r="D8577" s="6" t="s">
        <v>382</v>
      </c>
      <c r="E8577" s="6" t="s">
        <v>431</v>
      </c>
      <c r="F8577" s="6" t="str">
        <f>IF($M8577="PADD I","PADD 1",IF($M8577="PADD II","PADD 2",IF($M8577="PADD III","PADD 3",IF($M8577="PADD IV","PADD 4",IF($M8577="PADD V","PADD 5","")))))</f>
        <v>PADD 3</v>
      </c>
      <c r="G8577" s="6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6" t="s">
        <v>485</v>
      </c>
      <c r="I8577" s="6" t="s">
        <v>491</v>
      </c>
      <c r="J8577" s="6" t="s">
        <v>398</v>
      </c>
      <c r="K8577" s="10">
        <v>56.4</v>
      </c>
      <c r="L8577" s="10">
        <v>60</v>
      </c>
      <c r="M8577" s="6" t="s">
        <v>421</v>
      </c>
      <c r="N8577" s="6">
        <f>IF(OR($G8577="FCC",$G8577="Hydrocracker",$G8577="Reformer"),IF(COUNTIFS($D:$D,$D8577,$A:$A,$A8577,$B:$B,$B8577,$G:$G,"CDU",$J:$J,"PLANNED")&gt;0,"tied","standalone"),"")</f>
        <v/>
      </c>
    </row>
    <row r="8578" spans="1:14">
      <c r="A8578" s="6">
        <v>2027</v>
      </c>
      <c r="B8578" s="6">
        <v>5</v>
      </c>
      <c r="C8578" s="6" t="s">
        <v>64</v>
      </c>
      <c r="D8578" s="6" t="s">
        <v>370</v>
      </c>
      <c r="E8578" s="6" t="s">
        <v>431</v>
      </c>
      <c r="F8578" s="6" t="str">
        <f>IF($M8578="PADD I","PADD 1",IF($M8578="PADD II","PADD 2",IF($M8578="PADD III","PADD 3",IF($M8578="PADD IV","PADD 4",IF($M8578="PADD V","PADD 5","")))))</f>
        <v>PADD 2</v>
      </c>
      <c r="G8578" s="6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6" t="s">
        <v>428</v>
      </c>
      <c r="I8578" s="6" t="s">
        <v>481</v>
      </c>
      <c r="J8578" s="6" t="s">
        <v>398</v>
      </c>
      <c r="K8578" s="10">
        <v>53.34</v>
      </c>
      <c r="L8578" s="10">
        <v>127</v>
      </c>
      <c r="M8578" s="6" t="s">
        <v>425</v>
      </c>
      <c r="N8578" s="6">
        <f>IF(OR($G8578="FCC",$G8578="Hydrocracker",$G8578="Reformer"),IF(COUNTIFS($D:$D,$D8578,$A:$A,$A8578,$B:$B,$B8578,$G:$G,"CDU",$J:$J,"PLANNED")&gt;0,"tied","standalone"),"")</f>
        <v/>
      </c>
    </row>
    <row r="8579" spans="1:14">
      <c r="A8579" s="6">
        <v>2027</v>
      </c>
      <c r="B8579" s="6">
        <v>5</v>
      </c>
      <c r="C8579" s="6" t="s">
        <v>64</v>
      </c>
      <c r="D8579" s="6" t="s">
        <v>377</v>
      </c>
      <c r="E8579" s="6" t="s">
        <v>466</v>
      </c>
      <c r="F8579" s="6" t="str">
        <f>IF($M8579="PADD I","PADD 1",IF($M8579="PADD II","PADD 2",IF($M8579="PADD III","PADD 3",IF($M8579="PADD IV","PADD 4",IF($M8579="PADD V","PADD 5","")))))</f>
        <v>PADD 2</v>
      </c>
      <c r="G8579" s="6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6" t="s">
        <v>428</v>
      </c>
      <c r="I8579" s="6" t="s">
        <v>1294</v>
      </c>
      <c r="J8579" s="6" t="s">
        <v>398</v>
      </c>
      <c r="K8579" s="10">
        <v>43.5</v>
      </c>
      <c r="L8579" s="10">
        <v>75</v>
      </c>
      <c r="M8579" s="6" t="s">
        <v>425</v>
      </c>
      <c r="N8579" s="6">
        <f>IF(OR($G8579="FCC",$G8579="Hydrocracker",$G8579="Reformer"),IF(COUNTIFS($D:$D,$D8579,$A:$A,$A8579,$B:$B,$B8579,$G:$G,"CDU",$J:$J,"PLANNED")&gt;0,"tied","standalone"),"")</f>
        <v/>
      </c>
    </row>
    <row r="8580" spans="1:14">
      <c r="A8580" s="6">
        <v>2027</v>
      </c>
      <c r="B8580" s="6">
        <v>5</v>
      </c>
      <c r="C8580" s="6" t="s">
        <v>64</v>
      </c>
      <c r="D8580" s="6" t="s">
        <v>51</v>
      </c>
      <c r="E8580" s="6" t="s">
        <v>431</v>
      </c>
      <c r="F8580" s="6" t="str">
        <f>IF($M8580="PADD I","PADD 1",IF($M8580="PADD II","PADD 2",IF($M8580="PADD III","PADD 3",IF($M8580="PADD IV","PADD 4",IF($M8580="PADD V","PADD 5","")))))</f>
        <v>PADD 3</v>
      </c>
      <c r="G8580" s="6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6" t="s">
        <v>44</v>
      </c>
      <c r="I8580" s="6" t="s">
        <v>1447</v>
      </c>
      <c r="J8580" s="6" t="s">
        <v>398</v>
      </c>
      <c r="K8580" s="10">
        <v>41.25</v>
      </c>
      <c r="L8580" s="10">
        <v>75</v>
      </c>
      <c r="M8580" s="6" t="s">
        <v>421</v>
      </c>
      <c r="N8580" s="6">
        <f>IF(OR($G8580="FCC",$G8580="Hydrocracker",$G8580="Reformer"),IF(COUNTIFS($D:$D,$D8580,$A:$A,$A8580,$B:$B,$B8580,$G:$G,"CDU",$J:$J,"PLANNED")&gt;0,"tied","standalone"),"")</f>
        <v/>
      </c>
    </row>
    <row r="8581" spans="1:14">
      <c r="A8581" s="6">
        <v>2027</v>
      </c>
      <c r="B8581" s="6">
        <v>5</v>
      </c>
      <c r="C8581" s="6" t="s">
        <v>64</v>
      </c>
      <c r="D8581" s="6" t="s">
        <v>55</v>
      </c>
      <c r="E8581" s="6" t="s">
        <v>906</v>
      </c>
      <c r="F8581" s="6" t="str">
        <f>IF($M8581="PADD I","PADD 1",IF($M8581="PADD II","PADD 2",IF($M8581="PADD III","PADD 3",IF($M8581="PADD IV","PADD 4",IF($M8581="PADD V","PADD 5","")))))</f>
        <v>PADD 5</v>
      </c>
      <c r="G8581" s="6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6" t="s">
        <v>39</v>
      </c>
      <c r="I8581" s="6" t="s">
        <v>907</v>
      </c>
      <c r="J8581" s="6" t="s">
        <v>398</v>
      </c>
      <c r="K8581" s="10">
        <v>40.8</v>
      </c>
      <c r="L8581" s="10">
        <v>60</v>
      </c>
      <c r="M8581" s="6" t="s">
        <v>436</v>
      </c>
      <c r="N8581" s="6">
        <f>IF(OR($G8581="FCC",$G8581="Hydrocracker",$G8581="Reformer"),IF(COUNTIFS($D:$D,$D8581,$A:$A,$A8581,$B:$B,$B8581,$G:$G,"CDU",$J:$J,"PLANNED")&gt;0,"tied","standalone"),"")</f>
        <v/>
      </c>
    </row>
    <row r="8582" spans="1:14">
      <c r="A8582" s="6">
        <v>2027</v>
      </c>
      <c r="B8582" s="6">
        <v>5</v>
      </c>
      <c r="C8582" s="6" t="s">
        <v>64</v>
      </c>
      <c r="D8582" s="6" t="s">
        <v>430</v>
      </c>
      <c r="E8582" s="6" t="s">
        <v>431</v>
      </c>
      <c r="F8582" s="6" t="str">
        <f>IF($M8582="PADD I","PADD 1",IF($M8582="PADD II","PADD 2",IF($M8582="PADD III","PADD 3",IF($M8582="PADD IV","PADD 4",IF($M8582="PADD V","PADD 5","")))))</f>
        <v>PADD 3</v>
      </c>
      <c r="G8582" s="6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6" t="s">
        <v>44</v>
      </c>
      <c r="I8582" s="6" t="s">
        <v>1253</v>
      </c>
      <c r="J8582" s="6" t="s">
        <v>398</v>
      </c>
      <c r="K8582" s="10">
        <v>34.65</v>
      </c>
      <c r="L8582" s="10">
        <v>45</v>
      </c>
      <c r="M8582" s="6" t="s">
        <v>421</v>
      </c>
      <c r="N8582" s="6">
        <f>IF(OR($G8582="FCC",$G8582="Hydrocracker",$G8582="Reformer"),IF(COUNTIFS($D:$D,$D8582,$A:$A,$A8582,$B:$B,$B8582,$G:$G,"CDU",$J:$J,"PLANNED")&gt;0,"tied","standalone"),"")</f>
        <v/>
      </c>
    </row>
    <row r="8583" spans="1:14">
      <c r="A8583" s="6">
        <v>2027</v>
      </c>
      <c r="B8583" s="6">
        <v>5</v>
      </c>
      <c r="C8583" s="6" t="s">
        <v>64</v>
      </c>
      <c r="D8583" s="6" t="s">
        <v>915</v>
      </c>
      <c r="E8583" s="6" t="s">
        <v>419</v>
      </c>
      <c r="F8583" s="6" t="str">
        <f>IF($M8583="PADD I","PADD 1",IF($M8583="PADD II","PADD 2",IF($M8583="PADD III","PADD 3",IF($M8583="PADD IV","PADD 4",IF($M8583="PADD V","PADD 5","")))))</f>
        <v>PADD 4</v>
      </c>
      <c r="G8583" s="6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6" t="s">
        <v>39</v>
      </c>
      <c r="I8583" s="6" t="s">
        <v>916</v>
      </c>
      <c r="J8583" s="6" t="s">
        <v>398</v>
      </c>
      <c r="K8583" s="10">
        <v>25.9</v>
      </c>
      <c r="L8583" s="10">
        <v>35</v>
      </c>
      <c r="M8583" s="6" t="s">
        <v>480</v>
      </c>
      <c r="N8583" s="6">
        <f>IF(OR($G8583="FCC",$G8583="Hydrocracker",$G8583="Reformer"),IF(COUNTIFS($D:$D,$D8583,$A:$A,$A8583,$B:$B,$B8583,$G:$G,"CDU",$J:$J,"PLANNED")&gt;0,"tied","standalone"),"")</f>
        <v/>
      </c>
    </row>
    <row r="8584" spans="1:14">
      <c r="A8584" s="6">
        <v>2027</v>
      </c>
      <c r="B8584" s="6">
        <v>5</v>
      </c>
      <c r="C8584" s="6" t="s">
        <v>64</v>
      </c>
      <c r="D8584" s="6" t="s">
        <v>915</v>
      </c>
      <c r="E8584" s="6" t="s">
        <v>419</v>
      </c>
      <c r="F8584" s="6" t="str">
        <f>IF($M8584="PADD I","PADD 1",IF($M8584="PADD II","PADD 2",IF($M8584="PADD III","PADD 3",IF($M8584="PADD IV","PADD 4",IF($M8584="PADD V","PADD 5","")))))</f>
        <v>PADD 4</v>
      </c>
      <c r="G8584" s="6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6" t="s">
        <v>428</v>
      </c>
      <c r="I8584" s="6" t="s">
        <v>917</v>
      </c>
      <c r="J8584" s="6" t="s">
        <v>398</v>
      </c>
      <c r="K8584" s="10">
        <v>25.9</v>
      </c>
      <c r="L8584" s="10">
        <v>35</v>
      </c>
      <c r="M8584" s="6" t="s">
        <v>480</v>
      </c>
      <c r="N8584" s="6">
        <f>IF(OR($G8584="FCC",$G8584="Hydrocracker",$G8584="Reformer"),IF(COUNTIFS($D:$D,$D8584,$A:$A,$A8584,$B:$B,$B8584,$G:$G,"CDU",$J:$J,"PLANNED")&gt;0,"tied","standalone"),"")</f>
        <v/>
      </c>
    </row>
    <row r="8585" spans="1:14">
      <c r="A8585" s="6">
        <v>2027</v>
      </c>
      <c r="B8585" s="6">
        <v>5</v>
      </c>
      <c r="C8585" s="6" t="s">
        <v>64</v>
      </c>
      <c r="D8585" s="6" t="s">
        <v>370</v>
      </c>
      <c r="E8585" s="6" t="s">
        <v>431</v>
      </c>
      <c r="F8585" s="6" t="str">
        <f>IF($M8585="PADD I","PADD 1",IF($M8585="PADD II","PADD 2",IF($M8585="PADD III","PADD 3",IF($M8585="PADD IV","PADD 4",IF($M8585="PADD V","PADD 5","")))))</f>
        <v>PADD 2</v>
      </c>
      <c r="G8585" s="6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6" t="s">
        <v>44</v>
      </c>
      <c r="I8585" s="6" t="s">
        <v>1215</v>
      </c>
      <c r="J8585" s="6" t="s">
        <v>398</v>
      </c>
      <c r="K8585" s="10">
        <v>25.6</v>
      </c>
      <c r="L8585" s="10">
        <v>80</v>
      </c>
      <c r="M8585" s="6" t="s">
        <v>425</v>
      </c>
      <c r="N8585" s="6">
        <f>IF(OR($G8585="FCC",$G8585="Hydrocracker",$G8585="Reformer"),IF(COUNTIFS($D:$D,$D8585,$A:$A,$A8585,$B:$B,$B8585,$G:$G,"CDU",$J:$J,"PLANNED")&gt;0,"tied","standalone"),"")</f>
        <v/>
      </c>
    </row>
    <row r="8586" spans="1:14">
      <c r="A8586" s="6">
        <v>2027</v>
      </c>
      <c r="B8586" s="6">
        <v>5</v>
      </c>
      <c r="C8586" s="6" t="s">
        <v>64</v>
      </c>
      <c r="D8586" s="6" t="s">
        <v>370</v>
      </c>
      <c r="E8586" s="6" t="s">
        <v>431</v>
      </c>
      <c r="F8586" s="6" t="str">
        <f>IF($M8586="PADD I","PADD 1",IF($M8586="PADD II","PADD 2",IF($M8586="PADD III","PADD 3",IF($M8586="PADD IV","PADD 4",IF($M8586="PADD V","PADD 5","")))))</f>
        <v>PADD 2</v>
      </c>
      <c r="G8586" s="6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6" t="s">
        <v>471</v>
      </c>
      <c r="I8586" s="6" t="s">
        <v>240</v>
      </c>
      <c r="J8586" s="6" t="s">
        <v>398</v>
      </c>
      <c r="K8586" s="10">
        <v>24.96</v>
      </c>
      <c r="L8586" s="10">
        <v>52</v>
      </c>
      <c r="M8586" s="6" t="s">
        <v>425</v>
      </c>
      <c r="N8586" s="6" t="str">
        <f>IF(OR($G8586="FCC",$G8586="Hydrocracker",$G8586="Reformer"),IF(COUNTIFS($D:$D,$D8586,$A:$A,$A8586,$B:$B,$B8586,$G:$G,"CDU",$J:$J,"PLANNED")&gt;0,"tied","standalone"),"")</f>
        <v>tied</v>
      </c>
    </row>
    <row r="8587" spans="1:14">
      <c r="A8587" s="6">
        <v>2027</v>
      </c>
      <c r="B8587" s="6">
        <v>5</v>
      </c>
      <c r="C8587" s="6" t="s">
        <v>64</v>
      </c>
      <c r="D8587" s="6" t="s">
        <v>487</v>
      </c>
      <c r="E8587" s="6" t="s">
        <v>488</v>
      </c>
      <c r="F8587" s="6" t="str">
        <f>IF($M8587="PADD I","PADD 1",IF($M8587="PADD II","PADD 2",IF($M8587="PADD III","PADD 3",IF($M8587="PADD IV","PADD 4",IF($M8587="PADD V","PADD 5","")))))</f>
        <v>PADD 4</v>
      </c>
      <c r="G8587" s="6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6" t="s">
        <v>39</v>
      </c>
      <c r="I8587" s="6" t="s">
        <v>379</v>
      </c>
      <c r="J8587" s="6" t="s">
        <v>398</v>
      </c>
      <c r="K8587" s="10">
        <v>23.52</v>
      </c>
      <c r="L8587" s="10">
        <v>28</v>
      </c>
      <c r="M8587" s="6" t="s">
        <v>480</v>
      </c>
      <c r="N8587" s="6">
        <f>IF(OR($G8587="FCC",$G8587="Hydrocracker",$G8587="Reformer"),IF(COUNTIFS($D:$D,$D8587,$A:$A,$A8587,$B:$B,$B8587,$G:$G,"CDU",$J:$J,"PLANNED")&gt;0,"tied","standalone"),"")</f>
        <v/>
      </c>
    </row>
    <row r="8588" spans="1:14">
      <c r="A8588" s="6">
        <v>2027</v>
      </c>
      <c r="B8588" s="6">
        <v>5</v>
      </c>
      <c r="C8588" s="6" t="s">
        <v>64</v>
      </c>
      <c r="D8588" s="6" t="s">
        <v>377</v>
      </c>
      <c r="E8588" s="6" t="s">
        <v>466</v>
      </c>
      <c r="F8588" s="6" t="str">
        <f>IF($M8588="PADD I","PADD 1",IF($M8588="PADD II","PADD 2",IF($M8588="PADD III","PADD 3",IF($M8588="PADD IV","PADD 4",IF($M8588="PADD V","PADD 5","")))))</f>
        <v>PADD 2</v>
      </c>
      <c r="G8588" s="6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6" t="s">
        <v>485</v>
      </c>
      <c r="I8588" s="6" t="s">
        <v>1109</v>
      </c>
      <c r="J8588" s="6" t="s">
        <v>398</v>
      </c>
      <c r="K8588" s="10">
        <v>22.04</v>
      </c>
      <c r="L8588" s="10">
        <v>38</v>
      </c>
      <c r="M8588" s="6" t="s">
        <v>425</v>
      </c>
      <c r="N8588" s="6">
        <f>IF(OR($G8588="FCC",$G8588="Hydrocracker",$G8588="Reformer"),IF(COUNTIFS($D:$D,$D8588,$A:$A,$A8588,$B:$B,$B8588,$G:$G,"CDU",$J:$J,"PLANNED")&gt;0,"tied","standalone"),"")</f>
        <v/>
      </c>
    </row>
    <row r="8589" spans="1:14">
      <c r="A8589" s="6">
        <v>2027</v>
      </c>
      <c r="B8589" s="6">
        <v>5</v>
      </c>
      <c r="C8589" s="6" t="s">
        <v>64</v>
      </c>
      <c r="D8589" s="6" t="s">
        <v>370</v>
      </c>
      <c r="E8589" s="6" t="s">
        <v>431</v>
      </c>
      <c r="F8589" s="6" t="str">
        <f>IF($M8589="PADD I","PADD 1",IF($M8589="PADD II","PADD 2",IF($M8589="PADD III","PADD 3",IF($M8589="PADD IV","PADD 4",IF($M8589="PADD V","PADD 5","")))))</f>
        <v>PADD 2</v>
      </c>
      <c r="G8589" s="6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6" t="s">
        <v>44</v>
      </c>
      <c r="I8589" s="6" t="s">
        <v>794</v>
      </c>
      <c r="J8589" s="6" t="s">
        <v>398</v>
      </c>
      <c r="K8589" s="10">
        <v>21</v>
      </c>
      <c r="L8589" s="10">
        <v>50</v>
      </c>
      <c r="M8589" s="6" t="s">
        <v>425</v>
      </c>
      <c r="N8589" s="6">
        <f>IF(OR($G8589="FCC",$G8589="Hydrocracker",$G8589="Reformer"),IF(COUNTIFS($D:$D,$D8589,$A:$A,$A8589,$B:$B,$B8589,$G:$G,"CDU",$J:$J,"PLANNED")&gt;0,"tied","standalone"),"")</f>
        <v/>
      </c>
    </row>
    <row r="8590" spans="1:14">
      <c r="A8590" s="6">
        <v>2027</v>
      </c>
      <c r="B8590" s="6">
        <v>5</v>
      </c>
      <c r="C8590" s="6" t="s">
        <v>64</v>
      </c>
      <c r="D8590" s="6" t="s">
        <v>915</v>
      </c>
      <c r="E8590" s="6" t="s">
        <v>419</v>
      </c>
      <c r="F8590" s="6" t="str">
        <f>IF($M8590="PADD I","PADD 1",IF($M8590="PADD II","PADD 2",IF($M8590="PADD III","PADD 3",IF($M8590="PADD IV","PADD 4",IF($M8590="PADD V","PADD 5","")))))</f>
        <v>PADD 4</v>
      </c>
      <c r="G8590" s="6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6" t="s">
        <v>44</v>
      </c>
      <c r="I8590" s="6" t="s">
        <v>1443</v>
      </c>
      <c r="J8590" s="6" t="s">
        <v>398</v>
      </c>
      <c r="K8590" s="10">
        <v>18.5</v>
      </c>
      <c r="L8590" s="10">
        <v>25</v>
      </c>
      <c r="M8590" s="6" t="s">
        <v>480</v>
      </c>
      <c r="N8590" s="6">
        <f>IF(OR($G8590="FCC",$G8590="Hydrocracker",$G8590="Reformer"),IF(COUNTIFS($D:$D,$D8590,$A:$A,$A8590,$B:$B,$B8590,$G:$G,"CDU",$J:$J,"PLANNED")&gt;0,"tied","standalone"),"")</f>
        <v/>
      </c>
    </row>
    <row r="8591" spans="1:14">
      <c r="A8591" s="6">
        <v>2027</v>
      </c>
      <c r="B8591" s="6">
        <v>5</v>
      </c>
      <c r="C8591" s="6" t="s">
        <v>64</v>
      </c>
      <c r="D8591" s="6" t="s">
        <v>915</v>
      </c>
      <c r="E8591" s="6" t="s">
        <v>419</v>
      </c>
      <c r="F8591" s="6" t="str">
        <f>IF($M8591="PADD I","PADD 1",IF($M8591="PADD II","PADD 2",IF($M8591="PADD III","PADD 3",IF($M8591="PADD IV","PADD 4",IF($M8591="PADD V","PADD 5","")))))</f>
        <v>PADD 4</v>
      </c>
      <c r="G8591" s="6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6" t="s">
        <v>44</v>
      </c>
      <c r="I8591" s="6" t="s">
        <v>1444</v>
      </c>
      <c r="J8591" s="6" t="s">
        <v>398</v>
      </c>
      <c r="K8591" s="10">
        <v>17.76</v>
      </c>
      <c r="L8591" s="10">
        <v>24</v>
      </c>
      <c r="M8591" s="6" t="s">
        <v>480</v>
      </c>
      <c r="N8591" s="6">
        <f>IF(OR($G8591="FCC",$G8591="Hydrocracker",$G8591="Reformer"),IF(COUNTIFS($D:$D,$D8591,$A:$A,$A8591,$B:$B,$B8591,$G:$G,"CDU",$J:$J,"PLANNED")&gt;0,"tied","standalone"),"")</f>
        <v/>
      </c>
    </row>
    <row r="8592" spans="1:14">
      <c r="A8592" s="6">
        <v>2027</v>
      </c>
      <c r="B8592" s="6">
        <v>5</v>
      </c>
      <c r="C8592" s="6" t="s">
        <v>64</v>
      </c>
      <c r="D8592" s="6" t="s">
        <v>487</v>
      </c>
      <c r="E8592" s="6" t="s">
        <v>488</v>
      </c>
      <c r="F8592" s="6" t="str">
        <f>IF($M8592="PADD I","PADD 1",IF($M8592="PADD II","PADD 2",IF($M8592="PADD III","PADD 3",IF($M8592="PADD IV","PADD 4",IF($M8592="PADD V","PADD 5","")))))</f>
        <v>PADD 4</v>
      </c>
      <c r="G8592" s="6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6" t="s">
        <v>428</v>
      </c>
      <c r="I8592" s="6" t="s">
        <v>544</v>
      </c>
      <c r="J8592" s="6" t="s">
        <v>398</v>
      </c>
      <c r="K8592" s="10">
        <v>16.8</v>
      </c>
      <c r="L8592" s="10">
        <v>20</v>
      </c>
      <c r="M8592" s="6" t="s">
        <v>480</v>
      </c>
      <c r="N8592" s="6">
        <f>IF(OR($G8592="FCC",$G8592="Hydrocracker",$G8592="Reformer"),IF(COUNTIFS($D:$D,$D8592,$A:$A,$A8592,$B:$B,$B8592,$G:$G,"CDU",$J:$J,"PLANNED")&gt;0,"tied","standalone"),"")</f>
        <v/>
      </c>
    </row>
    <row r="8593" spans="1:14">
      <c r="A8593" s="6">
        <v>2027</v>
      </c>
      <c r="B8593" s="6">
        <v>5</v>
      </c>
      <c r="C8593" s="6" t="s">
        <v>64</v>
      </c>
      <c r="D8593" s="6" t="s">
        <v>370</v>
      </c>
      <c r="E8593" s="6" t="s">
        <v>431</v>
      </c>
      <c r="F8593" s="6" t="str">
        <f>IF($M8593="PADD I","PADD 1",IF($M8593="PADD II","PADD 2",IF($M8593="PADD III","PADD 3",IF($M8593="PADD IV","PADD 4",IF($M8593="PADD V","PADD 5","")))))</f>
        <v>PADD 2</v>
      </c>
      <c r="G8593" s="6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6" t="s">
        <v>485</v>
      </c>
      <c r="I8593" s="6" t="s">
        <v>491</v>
      </c>
      <c r="J8593" s="6" t="s">
        <v>398</v>
      </c>
      <c r="K8593" s="10">
        <v>15.34</v>
      </c>
      <c r="L8593" s="10">
        <v>59</v>
      </c>
      <c r="M8593" s="6" t="s">
        <v>425</v>
      </c>
      <c r="N8593" s="6">
        <f>IF(OR($G8593="FCC",$G8593="Hydrocracker",$G8593="Reformer"),IF(COUNTIFS($D:$D,$D8593,$A:$A,$A8593,$B:$B,$B8593,$G:$G,"CDU",$J:$J,"PLANNED")&gt;0,"tied","standalone"),"")</f>
        <v/>
      </c>
    </row>
    <row r="8594" spans="1:14">
      <c r="A8594" s="6">
        <v>2027</v>
      </c>
      <c r="B8594" s="6">
        <v>5</v>
      </c>
      <c r="C8594" s="6" t="s">
        <v>64</v>
      </c>
      <c r="D8594" s="6" t="s">
        <v>915</v>
      </c>
      <c r="E8594" s="6" t="s">
        <v>419</v>
      </c>
      <c r="F8594" s="6" t="str">
        <f>IF($M8594="PADD I","PADD 1",IF($M8594="PADD II","PADD 2",IF($M8594="PADD III","PADD 3",IF($M8594="PADD IV","PADD 4",IF($M8594="PADD V","PADD 5","")))))</f>
        <v>PADD 4</v>
      </c>
      <c r="G8594" s="6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6" t="s">
        <v>39</v>
      </c>
      <c r="I8594" s="6" t="s">
        <v>1177</v>
      </c>
      <c r="J8594" s="6" t="s">
        <v>398</v>
      </c>
      <c r="K8594" s="10">
        <v>14.8</v>
      </c>
      <c r="L8594" s="10">
        <v>20</v>
      </c>
      <c r="M8594" s="6" t="s">
        <v>480</v>
      </c>
      <c r="N8594" s="6">
        <f>IF(OR($G8594="FCC",$G8594="Hydrocracker",$G8594="Reformer"),IF(COUNTIFS($D:$D,$D8594,$A:$A,$A8594,$B:$B,$B8594,$G:$G,"CDU",$J:$J,"PLANNED")&gt;0,"tied","standalone"),"")</f>
        <v/>
      </c>
    </row>
    <row r="8595" spans="1:14">
      <c r="A8595" s="6">
        <v>2027</v>
      </c>
      <c r="B8595" s="6">
        <v>5</v>
      </c>
      <c r="C8595" s="6" t="s">
        <v>64</v>
      </c>
      <c r="D8595" s="6" t="s">
        <v>915</v>
      </c>
      <c r="E8595" s="6" t="s">
        <v>419</v>
      </c>
      <c r="F8595" s="6" t="str">
        <f>IF($M8595="PADD I","PADD 1",IF($M8595="PADD II","PADD 2",IF($M8595="PADD III","PADD 3",IF($M8595="PADD IV","PADD 4",IF($M8595="PADD V","PADD 5","")))))</f>
        <v>PADD 4</v>
      </c>
      <c r="G8595" s="6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6" t="s">
        <v>426</v>
      </c>
      <c r="I8595" s="6" t="s">
        <v>1420</v>
      </c>
      <c r="J8595" s="6" t="s">
        <v>398</v>
      </c>
      <c r="K8595" s="10">
        <v>14.8</v>
      </c>
      <c r="L8595" s="10">
        <v>20</v>
      </c>
      <c r="M8595" s="6" t="s">
        <v>480</v>
      </c>
      <c r="N8595" s="6" t="str">
        <f>IF(OR($G8595="FCC",$G8595="Hydrocracker",$G8595="Reformer"),IF(COUNTIFS($D:$D,$D8595,$A:$A,$A8595,$B:$B,$B8595,$G:$G,"CDU",$J:$J,"PLANNED")&gt;0,"tied","standalone"),"")</f>
        <v>tied</v>
      </c>
    </row>
    <row r="8596" spans="1:14">
      <c r="A8596" s="6">
        <v>2027</v>
      </c>
      <c r="B8596" s="6">
        <v>5</v>
      </c>
      <c r="C8596" s="6" t="s">
        <v>64</v>
      </c>
      <c r="D8596" s="6" t="s">
        <v>915</v>
      </c>
      <c r="E8596" s="6" t="s">
        <v>419</v>
      </c>
      <c r="F8596" s="6" t="str">
        <f>IF($M8596="PADD I","PADD 1",IF($M8596="PADD II","PADD 2",IF($M8596="PADD III","PADD 3",IF($M8596="PADD IV","PADD 4",IF($M8596="PADD V","PADD 5","")))))</f>
        <v>PADD 4</v>
      </c>
      <c r="G8596" s="6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6" t="s">
        <v>485</v>
      </c>
      <c r="I8596" s="6" t="s">
        <v>920</v>
      </c>
      <c r="J8596" s="6" t="s">
        <v>398</v>
      </c>
      <c r="K8596" s="10">
        <v>11.84</v>
      </c>
      <c r="L8596" s="10">
        <v>16</v>
      </c>
      <c r="M8596" s="6" t="s">
        <v>480</v>
      </c>
      <c r="N8596" s="6">
        <f>IF(OR($G8596="FCC",$G8596="Hydrocracker",$G8596="Reformer"),IF(COUNTIFS($D:$D,$D8596,$A:$A,$A8596,$B:$B,$B8596,$G:$G,"CDU",$J:$J,"PLANNED")&gt;0,"tied","standalone"),"")</f>
        <v/>
      </c>
    </row>
    <row r="8597" spans="1:14">
      <c r="A8597" s="6">
        <v>2027</v>
      </c>
      <c r="B8597" s="6">
        <v>5</v>
      </c>
      <c r="C8597" s="6" t="s">
        <v>64</v>
      </c>
      <c r="D8597" s="6" t="s">
        <v>915</v>
      </c>
      <c r="E8597" s="6" t="s">
        <v>419</v>
      </c>
      <c r="F8597" s="6" t="str">
        <f>IF($M8597="PADD I","PADD 1",IF($M8597="PADD II","PADD 2",IF($M8597="PADD III","PADD 3",IF($M8597="PADD IV","PADD 4",IF($M8597="PADD V","PADD 5","")))))</f>
        <v>PADD 4</v>
      </c>
      <c r="G8597" s="6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6" t="s">
        <v>44</v>
      </c>
      <c r="I8597" s="6" t="s">
        <v>1445</v>
      </c>
      <c r="J8597" s="6" t="s">
        <v>398</v>
      </c>
      <c r="K8597" s="10">
        <v>11.1</v>
      </c>
      <c r="L8597" s="10">
        <v>15</v>
      </c>
      <c r="M8597" s="6" t="s">
        <v>480</v>
      </c>
      <c r="N8597" s="6">
        <f>IF(OR($G8597="FCC",$G8597="Hydrocracker",$G8597="Reformer"),IF(COUNTIFS($D:$D,$D8597,$A:$A,$A8597,$B:$B,$B8597,$G:$G,"CDU",$J:$J,"PLANNED")&gt;0,"tied","standalone"),"")</f>
        <v/>
      </c>
    </row>
    <row r="8598" spans="1:14">
      <c r="A8598" s="6">
        <v>2027</v>
      </c>
      <c r="B8598" s="6">
        <v>5</v>
      </c>
      <c r="C8598" s="6" t="s">
        <v>64</v>
      </c>
      <c r="D8598" s="6" t="s">
        <v>915</v>
      </c>
      <c r="E8598" s="6" t="s">
        <v>419</v>
      </c>
      <c r="F8598" s="6" t="str">
        <f>IF($M8598="PADD I","PADD 1",IF($M8598="PADD II","PADD 2",IF($M8598="PADD III","PADD 3",IF($M8598="PADD IV","PADD 4",IF($M8598="PADD V","PADD 5","")))))</f>
        <v>PADD 4</v>
      </c>
      <c r="G8598" s="6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6" t="s">
        <v>44</v>
      </c>
      <c r="I8598" s="6" t="s">
        <v>1446</v>
      </c>
      <c r="J8598" s="6" t="s">
        <v>398</v>
      </c>
      <c r="K8598" s="10">
        <v>11.1</v>
      </c>
      <c r="L8598" s="10">
        <v>15</v>
      </c>
      <c r="M8598" s="6" t="s">
        <v>480</v>
      </c>
      <c r="N8598" s="6">
        <f>IF(OR($G8598="FCC",$G8598="Hydrocracker",$G8598="Reformer"),IF(COUNTIFS($D:$D,$D8598,$A:$A,$A8598,$B:$B,$B8598,$G:$G,"CDU",$J:$J,"PLANNED")&gt;0,"tied","standalone"),"")</f>
        <v/>
      </c>
    </row>
    <row r="8599" spans="1:14">
      <c r="A8599" s="6">
        <v>2027</v>
      </c>
      <c r="B8599" s="6">
        <v>5</v>
      </c>
      <c r="C8599" s="6" t="s">
        <v>64</v>
      </c>
      <c r="D8599" s="6" t="s">
        <v>487</v>
      </c>
      <c r="E8599" s="6" t="s">
        <v>488</v>
      </c>
      <c r="F8599" s="6" t="str">
        <f>IF($M8599="PADD I","PADD 1",IF($M8599="PADD II","PADD 2",IF($M8599="PADD III","PADD 3",IF($M8599="PADD IV","PADD 4",IF($M8599="PADD V","PADD 5","")))))</f>
        <v>PADD 4</v>
      </c>
      <c r="G8599" s="6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6" t="s">
        <v>44</v>
      </c>
      <c r="I8599" s="6" t="s">
        <v>543</v>
      </c>
      <c r="J8599" s="6" t="s">
        <v>398</v>
      </c>
      <c r="K8599" s="10">
        <v>10</v>
      </c>
      <c r="L8599" s="10">
        <v>10</v>
      </c>
      <c r="M8599" s="6" t="s">
        <v>480</v>
      </c>
      <c r="N8599" s="6">
        <f>IF(OR($G8599="FCC",$G8599="Hydrocracker",$G8599="Reformer"),IF(COUNTIFS($D:$D,$D8599,$A:$A,$A8599,$B:$B,$B8599,$G:$G,"CDU",$J:$J,"PLANNED")&gt;0,"tied","standalone"),"")</f>
        <v/>
      </c>
    </row>
    <row r="8600" spans="1:14">
      <c r="A8600" s="6">
        <v>2027</v>
      </c>
      <c r="B8600" s="6">
        <v>5</v>
      </c>
      <c r="C8600" s="6" t="s">
        <v>64</v>
      </c>
      <c r="D8600" s="6" t="s">
        <v>487</v>
      </c>
      <c r="E8600" s="6" t="s">
        <v>488</v>
      </c>
      <c r="F8600" s="6" t="str">
        <f>IF($M8600="PADD I","PADD 1",IF($M8600="PADD II","PADD 2",IF($M8600="PADD III","PADD 3",IF($M8600="PADD IV","PADD 4",IF($M8600="PADD V","PADD 5","")))))</f>
        <v>PADD 4</v>
      </c>
      <c r="G8600" s="6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6" t="s">
        <v>471</v>
      </c>
      <c r="I8600" s="6" t="s">
        <v>607</v>
      </c>
      <c r="J8600" s="6" t="s">
        <v>398</v>
      </c>
      <c r="K8600" s="10">
        <v>10</v>
      </c>
      <c r="L8600" s="10">
        <v>10</v>
      </c>
      <c r="M8600" s="6" t="s">
        <v>480</v>
      </c>
      <c r="N8600" s="6" t="str">
        <f>IF(OR($G8600="FCC",$G8600="Hydrocracker",$G8600="Reformer"),IF(COUNTIFS($D:$D,$D8600,$A:$A,$A8600,$B:$B,$B8600,$G:$G,"CDU",$J:$J,"PLANNED")&gt;0,"tied","standalone"),"")</f>
        <v>tied</v>
      </c>
    </row>
    <row r="8601" spans="1:14">
      <c r="A8601" s="6">
        <v>2027</v>
      </c>
      <c r="B8601" s="6">
        <v>5</v>
      </c>
      <c r="C8601" s="6" t="s">
        <v>64</v>
      </c>
      <c r="D8601" s="6" t="s">
        <v>370</v>
      </c>
      <c r="E8601" s="6" t="s">
        <v>431</v>
      </c>
      <c r="F8601" s="6" t="str">
        <f>IF($M8601="PADD I","PADD 1",IF($M8601="PADD II","PADD 2",IF($M8601="PADD III","PADD 3",IF($M8601="PADD IV","PADD 4",IF($M8601="PADD V","PADD 5","")))))</f>
        <v>PADD 2</v>
      </c>
      <c r="G8601" s="6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6" t="s">
        <v>510</v>
      </c>
      <c r="I8601" s="6" t="s">
        <v>666</v>
      </c>
      <c r="J8601" s="6" t="s">
        <v>398</v>
      </c>
      <c r="K8601" s="10">
        <v>9.17</v>
      </c>
      <c r="L8601" s="10">
        <v>26.2</v>
      </c>
      <c r="M8601" s="6" t="s">
        <v>425</v>
      </c>
      <c r="N8601" s="6">
        <f>IF(OR($G8601="FCC",$G8601="Hydrocracker",$G8601="Reformer"),IF(COUNTIFS($D:$D,$D8601,$A:$A,$A8601,$B:$B,$B8601,$G:$G,"CDU",$J:$J,"PLANNED")&gt;0,"tied","standalone"),"")</f>
        <v/>
      </c>
    </row>
    <row r="8602" spans="1:14">
      <c r="A8602" s="6">
        <v>2027</v>
      </c>
      <c r="B8602" s="6">
        <v>5</v>
      </c>
      <c r="C8602" s="6" t="s">
        <v>64</v>
      </c>
      <c r="D8602" s="6" t="s">
        <v>915</v>
      </c>
      <c r="E8602" s="6" t="s">
        <v>419</v>
      </c>
      <c r="F8602" s="6" t="str">
        <f>IF($M8602="PADD I","PADD 1",IF($M8602="PADD II","PADD 2",IF($M8602="PADD III","PADD 3",IF($M8602="PADD IV","PADD 4",IF($M8602="PADD V","PADD 5","")))))</f>
        <v>PADD 4</v>
      </c>
      <c r="G8602" s="6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6" t="s">
        <v>471</v>
      </c>
      <c r="I8602" s="6" t="s">
        <v>607</v>
      </c>
      <c r="J8602" s="6" t="s">
        <v>398</v>
      </c>
      <c r="K8602" s="10">
        <v>9.028</v>
      </c>
      <c r="L8602" s="10">
        <v>12.2</v>
      </c>
      <c r="M8602" s="6" t="s">
        <v>480</v>
      </c>
      <c r="N8602" s="6" t="str">
        <f>IF(OR($G8602="FCC",$G8602="Hydrocracker",$G8602="Reformer"),IF(COUNTIFS($D:$D,$D8602,$A:$A,$A8602,$B:$B,$B8602,$G:$G,"CDU",$J:$J,"PLANNED")&gt;0,"tied","standalone"),"")</f>
        <v>tied</v>
      </c>
    </row>
    <row r="8603" spans="1:14">
      <c r="A8603" s="6">
        <v>2027</v>
      </c>
      <c r="B8603" s="6">
        <v>5</v>
      </c>
      <c r="C8603" s="6" t="s">
        <v>64</v>
      </c>
      <c r="D8603" s="6" t="s">
        <v>487</v>
      </c>
      <c r="E8603" s="6" t="s">
        <v>488</v>
      </c>
      <c r="F8603" s="6" t="str">
        <f>IF($M8603="PADD I","PADD 1",IF($M8603="PADD II","PADD 2",IF($M8603="PADD III","PADD 3",IF($M8603="PADD IV","PADD 4",IF($M8603="PADD V","PADD 5","")))))</f>
        <v>PADD 4</v>
      </c>
      <c r="G8603" s="6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6" t="s">
        <v>426</v>
      </c>
      <c r="I8603" s="6" t="s">
        <v>478</v>
      </c>
      <c r="J8603" s="6" t="s">
        <v>398</v>
      </c>
      <c r="K8603" s="10">
        <v>8.5</v>
      </c>
      <c r="L8603" s="10">
        <v>8.5</v>
      </c>
      <c r="M8603" s="6" t="s">
        <v>480</v>
      </c>
      <c r="N8603" s="6" t="str">
        <f>IF(OR($G8603="FCC",$G8603="Hydrocracker",$G8603="Reformer"),IF(COUNTIFS($D:$D,$D8603,$A:$A,$A8603,$B:$B,$B8603,$G:$G,"CDU",$J:$J,"PLANNED")&gt;0,"tied","standalone"),"")</f>
        <v>tied</v>
      </c>
    </row>
    <row r="8604" spans="1:14">
      <c r="A8604" s="6">
        <v>2027</v>
      </c>
      <c r="B8604" s="6">
        <v>5</v>
      </c>
      <c r="C8604" s="6" t="s">
        <v>64</v>
      </c>
      <c r="D8604" s="6" t="s">
        <v>912</v>
      </c>
      <c r="E8604" s="6" t="s">
        <v>906</v>
      </c>
      <c r="F8604" s="6" t="str">
        <f>IF($M8604="PADD I","PADD 1",IF($M8604="PADD II","PADD 2",IF($M8604="PADD III","PADD 3",IF($M8604="PADD IV","PADD 4",IF($M8604="PADD V","PADD 5","")))))</f>
        <v>PADD 5</v>
      </c>
      <c r="G8604" s="6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6" t="s">
        <v>39</v>
      </c>
      <c r="I8604" s="6" t="s">
        <v>907</v>
      </c>
      <c r="J8604" s="6" t="s">
        <v>398</v>
      </c>
      <c r="K8604" s="10">
        <v>7.04</v>
      </c>
      <c r="L8604" s="10">
        <v>22</v>
      </c>
      <c r="M8604" s="6" t="s">
        <v>436</v>
      </c>
      <c r="N8604" s="6">
        <f>IF(OR($G8604="FCC",$G8604="Hydrocracker",$G8604="Reformer"),IF(COUNTIFS($D:$D,$D8604,$A:$A,$A8604,$B:$B,$B8604,$G:$G,"CDU",$J:$J,"PLANNED")&gt;0,"tied","standalone"),"")</f>
        <v/>
      </c>
    </row>
    <row r="8605" spans="1:14">
      <c r="A8605" s="6">
        <v>2027</v>
      </c>
      <c r="B8605" s="6">
        <v>5</v>
      </c>
      <c r="C8605" s="6" t="s">
        <v>64</v>
      </c>
      <c r="D8605" s="6" t="s">
        <v>915</v>
      </c>
      <c r="E8605" s="6" t="s">
        <v>419</v>
      </c>
      <c r="F8605" s="6" t="str">
        <f>IF($M8605="PADD I","PADD 1",IF($M8605="PADD II","PADD 2",IF($M8605="PADD III","PADD 3",IF($M8605="PADD IV","PADD 4",IF($M8605="PADD V","PADD 5","")))))</f>
        <v>PADD 4</v>
      </c>
      <c r="G8605" s="6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6" t="s">
        <v>510</v>
      </c>
      <c r="I8605" s="6" t="s">
        <v>666</v>
      </c>
      <c r="J8605" s="6" t="s">
        <v>398</v>
      </c>
      <c r="K8605" s="10">
        <v>4.81</v>
      </c>
      <c r="L8605" s="10">
        <v>6.5</v>
      </c>
      <c r="M8605" s="6" t="s">
        <v>480</v>
      </c>
      <c r="N8605" s="6">
        <f>IF(OR($G8605="FCC",$G8605="Hydrocracker",$G8605="Reformer"),IF(COUNTIFS($D:$D,$D8605,$A:$A,$A8605,$B:$B,$B8605,$G:$G,"CDU",$J:$J,"PLANNED")&gt;0,"tied","standalone"),"")</f>
        <v/>
      </c>
    </row>
    <row r="8606" spans="1:14">
      <c r="A8606" s="6">
        <v>2027</v>
      </c>
      <c r="B8606" s="6">
        <v>5</v>
      </c>
      <c r="C8606" s="6" t="s">
        <v>64</v>
      </c>
      <c r="D8606" s="6" t="s">
        <v>370</v>
      </c>
      <c r="E8606" s="6" t="s">
        <v>431</v>
      </c>
      <c r="F8606" s="6" t="str">
        <f>IF($M8606="PADD I","PADD 1",IF($M8606="PADD II","PADD 2",IF($M8606="PADD III","PADD 3",IF($M8606="PADD IV","PADD 4",IF($M8606="PADD V","PADD 5","")))))</f>
        <v>PADD 2</v>
      </c>
      <c r="G8606" s="6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6" t="s">
        <v>44</v>
      </c>
      <c r="I8606" s="6" t="s">
        <v>1220</v>
      </c>
      <c r="J8606" s="6" t="s">
        <v>398</v>
      </c>
      <c r="K8606" s="10">
        <v>4.75</v>
      </c>
      <c r="L8606" s="10">
        <v>25</v>
      </c>
      <c r="M8606" s="6" t="s">
        <v>425</v>
      </c>
      <c r="N8606" s="6">
        <f>IF(OR($G8606="FCC",$G8606="Hydrocracker",$G8606="Reformer"),IF(COUNTIFS($D:$D,$D8606,$A:$A,$A8606,$B:$B,$B8606,$G:$G,"CDU",$J:$J,"PLANNED")&gt;0,"tied","standalone"),"")</f>
        <v/>
      </c>
    </row>
    <row r="8607" spans="1:14">
      <c r="A8607" s="6">
        <v>2027</v>
      </c>
      <c r="B8607" s="6">
        <v>5</v>
      </c>
      <c r="C8607" s="6" t="s">
        <v>64</v>
      </c>
      <c r="D8607" s="6" t="s">
        <v>792</v>
      </c>
      <c r="E8607" s="6" t="s">
        <v>438</v>
      </c>
      <c r="F8607" s="6" t="str">
        <f>IF($M8607="PADD I","PADD 1",IF($M8607="PADD II","PADD 2",IF($M8607="PADD III","PADD 3",IF($M8607="PADD IV","PADD 4",IF($M8607="PADD V","PADD 5","")))))</f>
        <v>PADD 5</v>
      </c>
      <c r="G8607" s="6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6" t="s">
        <v>618</v>
      </c>
      <c r="I8607" s="6" t="s">
        <v>818</v>
      </c>
      <c r="J8607" s="6" t="s">
        <v>398</v>
      </c>
      <c r="K8607" s="10">
        <v>3.5</v>
      </c>
      <c r="L8607" s="10">
        <v>3.5</v>
      </c>
      <c r="M8607" s="6" t="s">
        <v>436</v>
      </c>
      <c r="N8607" s="6">
        <f>IF(OR($G8607="FCC",$G8607="Hydrocracker",$G8607="Reformer"),IF(COUNTIFS($D:$D,$D8607,$A:$A,$A8607,$B:$B,$B8607,$G:$G,"CDU",$J:$J,"PLANNED")&gt;0,"tied","standalone"),"")</f>
        <v/>
      </c>
    </row>
    <row r="8608" spans="1:14">
      <c r="A8608" s="6">
        <v>2027</v>
      </c>
      <c r="B8608" s="6">
        <v>5</v>
      </c>
      <c r="C8608" s="6" t="s">
        <v>64</v>
      </c>
      <c r="D8608" s="6" t="s">
        <v>915</v>
      </c>
      <c r="E8608" s="6" t="s">
        <v>419</v>
      </c>
      <c r="F8608" s="6" t="str">
        <f>IF($M8608="PADD I","PADD 1",IF($M8608="PADD II","PADD 2",IF($M8608="PADD III","PADD 3",IF($M8608="PADD IV","PADD 4",IF($M8608="PADD V","PADD 5","")))))</f>
        <v>PADD 4</v>
      </c>
      <c r="G8608" s="6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6" t="s">
        <v>618</v>
      </c>
      <c r="I8608" s="6" t="s">
        <v>818</v>
      </c>
      <c r="J8608" s="6" t="s">
        <v>398</v>
      </c>
      <c r="K8608" s="10">
        <v>2.812</v>
      </c>
      <c r="L8608" s="10">
        <v>3.8</v>
      </c>
      <c r="M8608" s="6" t="s">
        <v>480</v>
      </c>
      <c r="N8608" s="6">
        <f>IF(OR($G8608="FCC",$G8608="Hydrocracker",$G8608="Reformer"),IF(COUNTIFS($D:$D,$D8608,$A:$A,$A8608,$B:$B,$B8608,$G:$G,"CDU",$J:$J,"PLANNED")&gt;0,"tied","standalone"),"")</f>
        <v/>
      </c>
    </row>
    <row r="8609" spans="1:14">
      <c r="A8609" s="6">
        <v>2027</v>
      </c>
      <c r="B8609" s="6">
        <v>5</v>
      </c>
      <c r="C8609" s="6" t="s">
        <v>64</v>
      </c>
      <c r="D8609" s="6" t="s">
        <v>592</v>
      </c>
      <c r="E8609" s="6" t="s">
        <v>593</v>
      </c>
      <c r="F8609" s="6" t="str">
        <f>IF($M8609="PADD I","PADD 1",IF($M8609="PADD II","PADD 2",IF($M8609="PADD III","PADD 3",IF($M8609="PADD IV","PADD 4",IF($M8609="PADD V","PADD 5","")))))</f>
        <v>PADD 2</v>
      </c>
      <c r="G8609" s="6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6" t="s">
        <v>44</v>
      </c>
      <c r="I8609" s="6" t="s">
        <v>1162</v>
      </c>
      <c r="J8609" s="6" t="s">
        <v>398</v>
      </c>
      <c r="K8609" s="10">
        <v>2.43</v>
      </c>
      <c r="L8609" s="10">
        <v>24.3</v>
      </c>
      <c r="M8609" s="6" t="s">
        <v>425</v>
      </c>
      <c r="N8609" s="6">
        <f>IF(OR($G8609="FCC",$G8609="Hydrocracker",$G8609="Reformer"),IF(COUNTIFS($D:$D,$D8609,$A:$A,$A8609,$B:$B,$B8609,$G:$G,"CDU",$J:$J,"PLANNED")&gt;0,"tied","standalone"),"")</f>
        <v/>
      </c>
    </row>
    <row r="8610" spans="1:14">
      <c r="A8610" s="6">
        <v>2027</v>
      </c>
      <c r="B8610" s="6">
        <v>5</v>
      </c>
      <c r="C8610" s="6" t="s">
        <v>64</v>
      </c>
      <c r="D8610" s="6" t="s">
        <v>662</v>
      </c>
      <c r="E8610" s="6" t="s">
        <v>466</v>
      </c>
      <c r="F8610" s="6" t="str">
        <f>IF($M8610="PADD I","PADD 1",IF($M8610="PADD II","PADD 2",IF($M8610="PADD III","PADD 3",IF($M8610="PADD IV","PADD 4",IF($M8610="PADD V","PADD 5","")))))</f>
        <v>PADD 3</v>
      </c>
      <c r="G8610" s="6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6" t="s">
        <v>510</v>
      </c>
      <c r="I8610" s="6" t="s">
        <v>885</v>
      </c>
      <c r="J8610" s="6" t="s">
        <v>398</v>
      </c>
      <c r="K8610" s="10">
        <v>2.1</v>
      </c>
      <c r="L8610" s="10">
        <v>21</v>
      </c>
      <c r="M8610" s="6" t="s">
        <v>421</v>
      </c>
      <c r="N8610" s="6">
        <f>IF(OR($G8610="FCC",$G8610="Hydrocracker",$G8610="Reformer"),IF(COUNTIFS($D:$D,$D8610,$A:$A,$A8610,$B:$B,$B8610,$G:$G,"CDU",$J:$J,"PLANNED")&gt;0,"tied","standalone"),"")</f>
        <v/>
      </c>
    </row>
    <row r="8611" spans="1:14">
      <c r="A8611" s="6">
        <v>2027</v>
      </c>
      <c r="B8611" s="6">
        <v>5</v>
      </c>
      <c r="C8611" s="6" t="s">
        <v>64</v>
      </c>
      <c r="D8611" s="6" t="s">
        <v>921</v>
      </c>
      <c r="E8611" s="6" t="s">
        <v>922</v>
      </c>
      <c r="F8611" s="6" t="str">
        <f>IF($M8611="PADD I","PADD 1",IF($M8611="PADD II","PADD 2",IF($M8611="PADD III","PADD 3",IF($M8611="PADD IV","PADD 4",IF($M8611="PADD V","PADD 5","")))))</f>
        <v>PADD 4</v>
      </c>
      <c r="G8611" s="6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6" t="s">
        <v>39</v>
      </c>
      <c r="I8611" s="6" t="s">
        <v>82</v>
      </c>
      <c r="J8611" s="6" t="s">
        <v>398</v>
      </c>
      <c r="K8611" s="10">
        <v>1.632</v>
      </c>
      <c r="L8611" s="10">
        <v>3.4</v>
      </c>
      <c r="M8611" s="6" t="s">
        <v>480</v>
      </c>
      <c r="N8611" s="6">
        <f>IF(OR($G8611="FCC",$G8611="Hydrocracker",$G8611="Reformer"),IF(COUNTIFS($D:$D,$D8611,$A:$A,$A8611,$B:$B,$B8611,$G:$G,"CDU",$J:$J,"PLANNED")&gt;0,"tied","standalone"),"")</f>
        <v/>
      </c>
    </row>
    <row r="8612" spans="1:14">
      <c r="A8612" s="6">
        <v>2027</v>
      </c>
      <c r="B8612" s="6">
        <v>5</v>
      </c>
      <c r="C8612" s="6" t="s">
        <v>64</v>
      </c>
      <c r="D8612" s="6" t="s">
        <v>921</v>
      </c>
      <c r="E8612" s="6" t="s">
        <v>922</v>
      </c>
      <c r="F8612" s="6" t="str">
        <f>IF($M8612="PADD I","PADD 1",IF($M8612="PADD II","PADD 2",IF($M8612="PADD III","PADD 3",IF($M8612="PADD IV","PADD 4",IF($M8612="PADD V","PADD 5","")))))</f>
        <v>PADD 4</v>
      </c>
      <c r="G8612" s="6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6" t="s">
        <v>471</v>
      </c>
      <c r="I8612" s="6" t="s">
        <v>15</v>
      </c>
      <c r="J8612" s="6" t="s">
        <v>398</v>
      </c>
      <c r="K8612" s="10">
        <v>1.44</v>
      </c>
      <c r="L8612" s="10">
        <v>3</v>
      </c>
      <c r="M8612" s="6" t="s">
        <v>480</v>
      </c>
      <c r="N8612" s="6" t="str">
        <f>IF(OR($G8612="FCC",$G8612="Hydrocracker",$G8612="Reformer"),IF(COUNTIFS($D:$D,$D8612,$A:$A,$A8612,$B:$B,$B8612,$G:$G,"CDU",$J:$J,"PLANNED")&gt;0,"tied","standalone"),"")</f>
        <v>tied</v>
      </c>
    </row>
    <row r="8613" spans="1:14">
      <c r="A8613" s="6">
        <v>2027</v>
      </c>
      <c r="B8613" s="6">
        <v>5</v>
      </c>
      <c r="C8613" s="6" t="s">
        <v>64</v>
      </c>
      <c r="D8613" s="6" t="s">
        <v>921</v>
      </c>
      <c r="E8613" s="6" t="s">
        <v>922</v>
      </c>
      <c r="F8613" s="6" t="str">
        <f>IF($M8613="PADD I","PADD 1",IF($M8613="PADD II","PADD 2",IF($M8613="PADD III","PADD 3",IF($M8613="PADD IV","PADD 4",IF($M8613="PADD V","PADD 5","")))))</f>
        <v>PADD 4</v>
      </c>
      <c r="G8613" s="6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6" t="s">
        <v>44</v>
      </c>
      <c r="I8613" s="6" t="s">
        <v>923</v>
      </c>
      <c r="J8613" s="6" t="s">
        <v>398</v>
      </c>
      <c r="K8613" s="10">
        <v>1.44</v>
      </c>
      <c r="L8613" s="10">
        <v>3</v>
      </c>
      <c r="M8613" s="6" t="s">
        <v>480</v>
      </c>
      <c r="N8613" s="6">
        <f>IF(OR($G8613="FCC",$G8613="Hydrocracker",$G8613="Reformer"),IF(COUNTIFS($D:$D,$D8613,$A:$A,$A8613,$B:$B,$B8613,$G:$G,"CDU",$J:$J,"PLANNED")&gt;0,"tied","standalone"),"")</f>
        <v/>
      </c>
    </row>
    <row r="8614" spans="1:14">
      <c r="A8614" s="6">
        <v>2027</v>
      </c>
      <c r="B8614" s="6">
        <v>5</v>
      </c>
      <c r="C8614" s="6" t="s">
        <v>64</v>
      </c>
      <c r="D8614" s="6" t="s">
        <v>921</v>
      </c>
      <c r="E8614" s="6" t="s">
        <v>922</v>
      </c>
      <c r="F8614" s="6" t="str">
        <f>IF($M8614="PADD I","PADD 1",IF($M8614="PADD II","PADD 2",IF($M8614="PADD III","PADD 3",IF($M8614="PADD IV","PADD 4",IF($M8614="PADD V","PADD 5","")))))</f>
        <v>PADD 4</v>
      </c>
      <c r="G8614" s="6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6" t="s">
        <v>618</v>
      </c>
      <c r="I8614" s="6" t="s">
        <v>1252</v>
      </c>
      <c r="J8614" s="6" t="s">
        <v>398</v>
      </c>
      <c r="K8614" s="10">
        <v>0.48</v>
      </c>
      <c r="L8614" s="10">
        <v>1</v>
      </c>
      <c r="M8614" s="6" t="s">
        <v>480</v>
      </c>
      <c r="N8614" s="6">
        <f>IF(OR($G8614="FCC",$G8614="Hydrocracker",$G8614="Reformer"),IF(COUNTIFS($D:$D,$D8614,$A:$A,$A8614,$B:$B,$B8614,$G:$G,"CDU",$J:$J,"PLANNED")&gt;0,"tied","standalone"),"")</f>
        <v/>
      </c>
    </row>
    <row r="8615" spans="1:14">
      <c r="A8615" s="6">
        <v>2027</v>
      </c>
      <c r="B8615" s="6">
        <v>6</v>
      </c>
      <c r="C8615" s="6" t="s">
        <v>65</v>
      </c>
      <c r="D8615" s="6" t="s">
        <v>378</v>
      </c>
      <c r="E8615" s="6" t="s">
        <v>477</v>
      </c>
      <c r="F8615" s="6" t="str">
        <f>IF($M8615="PADD I","PADD 1",IF($M8615="PADD II","PADD 2",IF($M8615="PADD III","PADD 3",IF($M8615="PADD IV","PADD 4",IF($M8615="PADD V","PADD 5","")))))</f>
        <v>PADD 3</v>
      </c>
      <c r="G8615" s="6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6" t="s">
        <v>39</v>
      </c>
      <c r="I8615" s="6" t="s">
        <v>124</v>
      </c>
      <c r="J8615" s="6" t="s">
        <v>398</v>
      </c>
      <c r="K8615" s="10">
        <v>96</v>
      </c>
      <c r="L8615" s="10">
        <v>96</v>
      </c>
      <c r="M8615" s="6" t="s">
        <v>421</v>
      </c>
      <c r="N8615" s="6">
        <f>IF(OR($G8615="FCC",$G8615="Hydrocracker",$G8615="Reformer"),IF(COUNTIFS($D:$D,$D8615,$A:$A,$A8615,$B:$B,$B8615,$G:$G,"CDU",$J:$J,"PLANNED")&gt;0,"tied","standalone"),"")</f>
        <v/>
      </c>
    </row>
    <row r="8616" spans="1:14">
      <c r="A8616" s="6">
        <v>2027</v>
      </c>
      <c r="B8616" s="6">
        <v>6</v>
      </c>
      <c r="C8616" s="6" t="s">
        <v>65</v>
      </c>
      <c r="D8616" s="6" t="s">
        <v>378</v>
      </c>
      <c r="E8616" s="6" t="s">
        <v>477</v>
      </c>
      <c r="F8616" s="6" t="str">
        <f>IF($M8616="PADD I","PADD 1",IF($M8616="PADD II","PADD 2",IF($M8616="PADD III","PADD 3",IF($M8616="PADD IV","PADD 4",IF($M8616="PADD V","PADD 5","")))))</f>
        <v>PADD 3</v>
      </c>
      <c r="G8616" s="6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6" t="s">
        <v>426</v>
      </c>
      <c r="I8616" s="6" t="s">
        <v>478</v>
      </c>
      <c r="J8616" s="6" t="s">
        <v>398</v>
      </c>
      <c r="K8616" s="10">
        <v>68</v>
      </c>
      <c r="L8616" s="10">
        <v>68</v>
      </c>
      <c r="M8616" s="6" t="s">
        <v>421</v>
      </c>
      <c r="N8616" s="6" t="str">
        <f>IF(OR($G8616="FCC",$G8616="Hydrocracker",$G8616="Reformer"),IF(COUNTIFS($D:$D,$D8616,$A:$A,$A8616,$B:$B,$B8616,$G:$G,"CDU",$J:$J,"PLANNED")&gt;0,"tied","standalone"),"")</f>
        <v>tied</v>
      </c>
    </row>
    <row r="8617" spans="1:14">
      <c r="A8617" s="6">
        <v>2027</v>
      </c>
      <c r="B8617" s="6">
        <v>6</v>
      </c>
      <c r="C8617" s="6" t="s">
        <v>65</v>
      </c>
      <c r="D8617" s="6" t="s">
        <v>51</v>
      </c>
      <c r="E8617" s="6" t="s">
        <v>431</v>
      </c>
      <c r="F8617" s="6" t="str">
        <f>IF($M8617="PADD I","PADD 1",IF($M8617="PADD II","PADD 2",IF($M8617="PADD III","PADD 3",IF($M8617="PADD IV","PADD 4",IF($M8617="PADD V","PADD 5","")))))</f>
        <v>PADD 3</v>
      </c>
      <c r="G8617" s="6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6" t="s">
        <v>44</v>
      </c>
      <c r="I8617" s="6" t="s">
        <v>1447</v>
      </c>
      <c r="J8617" s="6" t="s">
        <v>398</v>
      </c>
      <c r="K8617" s="10">
        <v>42.75</v>
      </c>
      <c r="L8617" s="10">
        <v>75</v>
      </c>
      <c r="M8617" s="6" t="s">
        <v>421</v>
      </c>
      <c r="N8617" s="6">
        <f>IF(OR($G8617="FCC",$G8617="Hydrocracker",$G8617="Reformer"),IF(COUNTIFS($D:$D,$D8617,$A:$A,$A8617,$B:$B,$B8617,$G:$G,"CDU",$J:$J,"PLANNED")&gt;0,"tied","standalone"),"")</f>
        <v/>
      </c>
    </row>
    <row r="8618" spans="1:14">
      <c r="A8618" s="6">
        <v>2027</v>
      </c>
      <c r="B8618" s="6">
        <v>6</v>
      </c>
      <c r="C8618" s="6" t="s">
        <v>65</v>
      </c>
      <c r="D8618" s="6" t="s">
        <v>382</v>
      </c>
      <c r="E8618" s="6" t="s">
        <v>431</v>
      </c>
      <c r="F8618" s="6" t="str">
        <f>IF($M8618="PADD I","PADD 1",IF($M8618="PADD II","PADD 2",IF($M8618="PADD III","PADD 3",IF($M8618="PADD IV","PADD 4",IF($M8618="PADD V","PADD 5","")))))</f>
        <v>PADD 3</v>
      </c>
      <c r="G8618" s="6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6" t="s">
        <v>485</v>
      </c>
      <c r="I8618" s="6" t="s">
        <v>491</v>
      </c>
      <c r="J8618" s="6" t="s">
        <v>398</v>
      </c>
      <c r="K8618" s="10">
        <v>4.2</v>
      </c>
      <c r="L8618" s="10">
        <v>60</v>
      </c>
      <c r="M8618" s="6" t="s">
        <v>421</v>
      </c>
      <c r="N8618" s="6">
        <f>IF(OR($G8618="FCC",$G8618="Hydrocracker",$G8618="Reformer"),IF(COUNTIFS($D:$D,$D8618,$A:$A,$A8618,$B:$B,$B8618,$G:$G,"CDU",$J:$J,"PLANNED")&gt;0,"tied","standalone"),"")</f>
        <v/>
      </c>
    </row>
    <row r="8619" spans="1:14">
      <c r="A8619" s="6">
        <v>2027</v>
      </c>
      <c r="B8619" s="6">
        <v>6</v>
      </c>
      <c r="C8619" s="6" t="s">
        <v>65</v>
      </c>
      <c r="D8619" s="6" t="s">
        <v>792</v>
      </c>
      <c r="E8619" s="6" t="s">
        <v>438</v>
      </c>
      <c r="F8619" s="6" t="str">
        <f>IF($M8619="PADD I","PADD 1",IF($M8619="PADD II","PADD 2",IF($M8619="PADD III","PADD 3",IF($M8619="PADD IV","PADD 4",IF($M8619="PADD V","PADD 5","")))))</f>
        <v>PADD 5</v>
      </c>
      <c r="G8619" s="6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6" t="s">
        <v>618</v>
      </c>
      <c r="I8619" s="6" t="s">
        <v>818</v>
      </c>
      <c r="J8619" s="6" t="s">
        <v>398</v>
      </c>
      <c r="K8619" s="10">
        <v>3.5</v>
      </c>
      <c r="L8619" s="10">
        <v>3.5</v>
      </c>
      <c r="M8619" s="6" t="s">
        <v>436</v>
      </c>
      <c r="N8619" s="6">
        <f>IF(OR($G8619="FCC",$G8619="Hydrocracker",$G8619="Reformer"),IF(COUNTIFS($D:$D,$D8619,$A:$A,$A8619,$B:$B,$B8619,$G:$G,"CDU",$J:$J,"PLANNED")&gt;0,"tied","standalone"),"")</f>
        <v/>
      </c>
    </row>
    <row r="8620" spans="1:14">
      <c r="A8620" s="6">
        <v>2027</v>
      </c>
      <c r="B8620" s="6">
        <v>6</v>
      </c>
      <c r="C8620" s="6" t="s">
        <v>65</v>
      </c>
      <c r="D8620" s="6" t="s">
        <v>487</v>
      </c>
      <c r="E8620" s="6" t="s">
        <v>488</v>
      </c>
      <c r="F8620" s="6" t="str">
        <f>IF($M8620="PADD I","PADD 1",IF($M8620="PADD II","PADD 2",IF($M8620="PADD III","PADD 3",IF($M8620="PADD IV","PADD 4",IF($M8620="PADD V","PADD 5","")))))</f>
        <v>PADD 4</v>
      </c>
      <c r="G8620" s="6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6" t="s">
        <v>44</v>
      </c>
      <c r="I8620" s="6" t="s">
        <v>543</v>
      </c>
      <c r="J8620" s="6" t="s">
        <v>398</v>
      </c>
      <c r="K8620" s="10">
        <v>0.3</v>
      </c>
      <c r="L8620" s="10">
        <v>10</v>
      </c>
      <c r="M8620" s="6" t="s">
        <v>480</v>
      </c>
      <c r="N8620" s="6">
        <f>IF(OR($G8620="FCC",$G8620="Hydrocracker",$G8620="Reformer"),IF(COUNTIFS($D:$D,$D8620,$A:$A,$A8620,$B:$B,$B8620,$G:$G,"CDU",$J:$J,"PLANNED")&gt;0,"tied","standalone"),"")</f>
        <v/>
      </c>
    </row>
    <row r="8621" spans="1:14">
      <c r="A8621" s="6">
        <v>2027</v>
      </c>
      <c r="B8621" s="6">
        <v>6</v>
      </c>
      <c r="C8621" s="6" t="s">
        <v>65</v>
      </c>
      <c r="D8621" s="6" t="s">
        <v>487</v>
      </c>
      <c r="E8621" s="6" t="s">
        <v>488</v>
      </c>
      <c r="F8621" s="6" t="str">
        <f>IF($M8621="PADD I","PADD 1",IF($M8621="PADD II","PADD 2",IF($M8621="PADD III","PADD 3",IF($M8621="PADD IV","PADD 4",IF($M8621="PADD V","PADD 5","")))))</f>
        <v>PADD 4</v>
      </c>
      <c r="G8621" s="6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6" t="s">
        <v>471</v>
      </c>
      <c r="I8621" s="6" t="s">
        <v>607</v>
      </c>
      <c r="J8621" s="6" t="s">
        <v>398</v>
      </c>
      <c r="K8621" s="10">
        <v>0.3</v>
      </c>
      <c r="L8621" s="10">
        <v>10</v>
      </c>
      <c r="M8621" s="6" t="s">
        <v>480</v>
      </c>
      <c r="N8621" s="6" t="str">
        <f>IF(OR($G8621="FCC",$G8621="Hydrocracker",$G8621="Reformer"),IF(COUNTIFS($D:$D,$D8621,$A:$A,$A8621,$B:$B,$B8621,$G:$G,"CDU",$J:$J,"PLANNED")&gt;0,"tied","standalone"),"")</f>
        <v>standalone</v>
      </c>
    </row>
    <row r="8622" spans="1:14">
      <c r="A8622" s="6">
        <v>2027</v>
      </c>
      <c r="B8622" s="6">
        <v>6</v>
      </c>
      <c r="C8622" s="6" t="s">
        <v>65</v>
      </c>
      <c r="D8622" s="6" t="s">
        <v>487</v>
      </c>
      <c r="E8622" s="6" t="s">
        <v>488</v>
      </c>
      <c r="F8622" s="6" t="str">
        <f>IF($M8622="PADD I","PADD 1",IF($M8622="PADD II","PADD 2",IF($M8622="PADD III","PADD 3",IF($M8622="PADD IV","PADD 4",IF($M8622="PADD V","PADD 5","")))))</f>
        <v>PADD 4</v>
      </c>
      <c r="G8622" s="6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6" t="s">
        <v>426</v>
      </c>
      <c r="I8622" s="6" t="s">
        <v>478</v>
      </c>
      <c r="J8622" s="6" t="s">
        <v>398</v>
      </c>
      <c r="K8622" s="10">
        <v>0.255</v>
      </c>
      <c r="L8622" s="10">
        <v>8.5</v>
      </c>
      <c r="M8622" s="6" t="s">
        <v>480</v>
      </c>
      <c r="N8622" s="6" t="str">
        <f>IF(OR($G8622="FCC",$G8622="Hydrocracker",$G8622="Reformer"),IF(COUNTIFS($D:$D,$D8622,$A:$A,$A8622,$B:$B,$B8622,$G:$G,"CDU",$J:$J,"PLANNED")&gt;0,"tied","standalone"),"")</f>
        <v>standalone</v>
      </c>
    </row>
    <row r="8623" spans="1:14">
      <c r="A8623" s="6">
        <v>2027</v>
      </c>
      <c r="B8623" s="6">
        <v>7</v>
      </c>
      <c r="C8623" s="6" t="s">
        <v>66</v>
      </c>
      <c r="D8623" s="6" t="s">
        <v>378</v>
      </c>
      <c r="E8623" s="6" t="s">
        <v>477</v>
      </c>
      <c r="F8623" s="6" t="str">
        <f>IF($M8623="PADD I","PADD 1",IF($M8623="PADD II","PADD 2",IF($M8623="PADD III","PADD 3",IF($M8623="PADD IV","PADD 4",IF($M8623="PADD V","PADD 5","")))))</f>
        <v>PADD 3</v>
      </c>
      <c r="G8623" s="6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6" t="s">
        <v>39</v>
      </c>
      <c r="I8623" s="6" t="s">
        <v>124</v>
      </c>
      <c r="J8623" s="6" t="s">
        <v>398</v>
      </c>
      <c r="K8623" s="10">
        <v>96</v>
      </c>
      <c r="L8623" s="10">
        <v>96</v>
      </c>
      <c r="M8623" s="6" t="s">
        <v>421</v>
      </c>
      <c r="N8623" s="6">
        <f>IF(OR($G8623="FCC",$G8623="Hydrocracker",$G8623="Reformer"),IF(COUNTIFS($D:$D,$D8623,$A:$A,$A8623,$B:$B,$B8623,$G:$G,"CDU",$J:$J,"PLANNED")&gt;0,"tied","standalone"),"")</f>
        <v/>
      </c>
    </row>
    <row r="8624" spans="1:14">
      <c r="A8624" s="6">
        <v>2027</v>
      </c>
      <c r="B8624" s="6">
        <v>7</v>
      </c>
      <c r="C8624" s="6" t="s">
        <v>66</v>
      </c>
      <c r="D8624" s="6" t="s">
        <v>378</v>
      </c>
      <c r="E8624" s="6" t="s">
        <v>477</v>
      </c>
      <c r="F8624" s="6" t="str">
        <f>IF($M8624="PADD I","PADD 1",IF($M8624="PADD II","PADD 2",IF($M8624="PADD III","PADD 3",IF($M8624="PADD IV","PADD 4",IF($M8624="PADD V","PADD 5","")))))</f>
        <v>PADD 3</v>
      </c>
      <c r="G8624" s="6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6" t="s">
        <v>426</v>
      </c>
      <c r="I8624" s="6" t="s">
        <v>478</v>
      </c>
      <c r="J8624" s="6" t="s">
        <v>398</v>
      </c>
      <c r="K8624" s="10">
        <v>68</v>
      </c>
      <c r="L8624" s="10">
        <v>68</v>
      </c>
      <c r="M8624" s="6" t="s">
        <v>421</v>
      </c>
      <c r="N8624" s="6" t="str">
        <f>IF(OR($G8624="FCC",$G8624="Hydrocracker",$G8624="Reformer"),IF(COUNTIFS($D:$D,$D8624,$A:$A,$A8624,$B:$B,$B8624,$G:$G,"CDU",$J:$J,"PLANNED")&gt;0,"tied","standalone"),"")</f>
        <v>tied</v>
      </c>
    </row>
    <row r="8625" spans="1:14">
      <c r="A8625" s="6">
        <v>2027</v>
      </c>
      <c r="B8625" s="6">
        <v>7</v>
      </c>
      <c r="C8625" s="6" t="s">
        <v>66</v>
      </c>
      <c r="D8625" s="6" t="s">
        <v>792</v>
      </c>
      <c r="E8625" s="6" t="s">
        <v>438</v>
      </c>
      <c r="F8625" s="6" t="str">
        <f>IF($M8625="PADD I","PADD 1",IF($M8625="PADD II","PADD 2",IF($M8625="PADD III","PADD 3",IF($M8625="PADD IV","PADD 4",IF($M8625="PADD V","PADD 5","")))))</f>
        <v>PADD 5</v>
      </c>
      <c r="G8625" s="6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6" t="s">
        <v>618</v>
      </c>
      <c r="I8625" s="6" t="s">
        <v>818</v>
      </c>
      <c r="J8625" s="6" t="s">
        <v>398</v>
      </c>
      <c r="K8625" s="10">
        <v>3.5</v>
      </c>
      <c r="L8625" s="10">
        <v>3.5</v>
      </c>
      <c r="M8625" s="6" t="s">
        <v>436</v>
      </c>
      <c r="N8625" s="6">
        <f>IF(OR($G8625="FCC",$G8625="Hydrocracker",$G8625="Reformer"),IF(COUNTIFS($D:$D,$D8625,$A:$A,$A8625,$B:$B,$B8625,$G:$G,"CDU",$J:$J,"PLANNED")&gt;0,"tied","standalone"),"")</f>
        <v/>
      </c>
    </row>
    <row r="8626" spans="1:14">
      <c r="A8626" s="6">
        <v>2027</v>
      </c>
      <c r="B8626" s="6">
        <v>8</v>
      </c>
      <c r="C8626" s="6" t="s">
        <v>67</v>
      </c>
      <c r="D8626" s="6" t="s">
        <v>378</v>
      </c>
      <c r="E8626" s="6" t="s">
        <v>477</v>
      </c>
      <c r="F8626" s="6" t="str">
        <f>IF($M8626="PADD I","PADD 1",IF($M8626="PADD II","PADD 2",IF($M8626="PADD III","PADD 3",IF($M8626="PADD IV","PADD 4",IF($M8626="PADD V","PADD 5","")))))</f>
        <v>PADD 3</v>
      </c>
      <c r="G8626" s="6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6" t="s">
        <v>39</v>
      </c>
      <c r="I8626" s="6" t="s">
        <v>124</v>
      </c>
      <c r="J8626" s="6" t="s">
        <v>398</v>
      </c>
      <c r="K8626" s="10">
        <v>27.84</v>
      </c>
      <c r="L8626" s="10">
        <v>96</v>
      </c>
      <c r="M8626" s="6" t="s">
        <v>421</v>
      </c>
      <c r="N8626" s="6">
        <f>IF(OR($G8626="FCC",$G8626="Hydrocracker",$G8626="Reformer"),IF(COUNTIFS($D:$D,$D8626,$A:$A,$A8626,$B:$B,$B8626,$G:$G,"CDU",$J:$J,"PLANNED")&gt;0,"tied","standalone"),"")</f>
        <v/>
      </c>
    </row>
    <row r="8627" spans="1:14">
      <c r="A8627" s="6">
        <v>2027</v>
      </c>
      <c r="B8627" s="6">
        <v>8</v>
      </c>
      <c r="C8627" s="6" t="s">
        <v>67</v>
      </c>
      <c r="D8627" s="6" t="s">
        <v>378</v>
      </c>
      <c r="E8627" s="6" t="s">
        <v>477</v>
      </c>
      <c r="F8627" s="6" t="str">
        <f>IF($M8627="PADD I","PADD 1",IF($M8627="PADD II","PADD 2",IF($M8627="PADD III","PADD 3",IF($M8627="PADD IV","PADD 4",IF($M8627="PADD V","PADD 5","")))))</f>
        <v>PADD 3</v>
      </c>
      <c r="G8627" s="6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6" t="s">
        <v>426</v>
      </c>
      <c r="I8627" s="6" t="s">
        <v>478</v>
      </c>
      <c r="J8627" s="6" t="s">
        <v>398</v>
      </c>
      <c r="K8627" s="10">
        <v>19.72</v>
      </c>
      <c r="L8627" s="10">
        <v>68</v>
      </c>
      <c r="M8627" s="6" t="s">
        <v>421</v>
      </c>
      <c r="N8627" s="6" t="str">
        <f>IF(OR($G8627="FCC",$G8627="Hydrocracker",$G8627="Reformer"),IF(COUNTIFS($D:$D,$D8627,$A:$A,$A8627,$B:$B,$B8627,$G:$G,"CDU",$J:$J,"PLANNED")&gt;0,"tied","standalone"),"")</f>
        <v>tied</v>
      </c>
    </row>
    <row r="8628" spans="1:14">
      <c r="A8628" s="6">
        <v>2027</v>
      </c>
      <c r="B8628" s="6">
        <v>8</v>
      </c>
      <c r="C8628" s="6" t="s">
        <v>67</v>
      </c>
      <c r="D8628" s="6" t="s">
        <v>792</v>
      </c>
      <c r="E8628" s="6" t="s">
        <v>438</v>
      </c>
      <c r="F8628" s="6" t="str">
        <f>IF($M8628="PADD I","PADD 1",IF($M8628="PADD II","PADD 2",IF($M8628="PADD III","PADD 3",IF($M8628="PADD IV","PADD 4",IF($M8628="PADD V","PADD 5","")))))</f>
        <v>PADD 5</v>
      </c>
      <c r="G8628" s="6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6" t="s">
        <v>618</v>
      </c>
      <c r="I8628" s="6" t="s">
        <v>818</v>
      </c>
      <c r="J8628" s="6" t="s">
        <v>398</v>
      </c>
      <c r="K8628" s="10">
        <v>3.5</v>
      </c>
      <c r="L8628" s="10">
        <v>3.5</v>
      </c>
      <c r="M8628" s="6" t="s">
        <v>436</v>
      </c>
      <c r="N8628" s="6">
        <f>IF(OR($G8628="FCC",$G8628="Hydrocracker",$G8628="Reformer"),IF(COUNTIFS($D:$D,$D8628,$A:$A,$A8628,$B:$B,$B8628,$G:$G,"CDU",$J:$J,"PLANNED")&gt;0,"tied","standalone"),"")</f>
        <v/>
      </c>
    </row>
    <row r="8629" spans="1:14">
      <c r="A8629" s="6">
        <v>2027</v>
      </c>
      <c r="B8629" s="6">
        <v>9</v>
      </c>
      <c r="C8629" s="6" t="s">
        <v>68</v>
      </c>
      <c r="D8629" s="6" t="s">
        <v>540</v>
      </c>
      <c r="E8629" s="6" t="s">
        <v>541</v>
      </c>
      <c r="F8629" s="6" t="str">
        <f>IF($M8629="PADD I","PADD 1",IF($M8629="PADD II","PADD 2",IF($M8629="PADD III","PADD 3",IF($M8629="PADD IV","PADD 4",IF($M8629="PADD V","PADD 5","")))))</f>
        <v>PADD 3</v>
      </c>
      <c r="G8629" s="6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6" t="s">
        <v>39</v>
      </c>
      <c r="I8629" s="6" t="s">
        <v>1130</v>
      </c>
      <c r="J8629" s="6" t="s">
        <v>398</v>
      </c>
      <c r="K8629" s="10">
        <v>325.5</v>
      </c>
      <c r="L8629" s="10">
        <v>350</v>
      </c>
      <c r="M8629" s="6" t="s">
        <v>421</v>
      </c>
      <c r="N8629" s="6">
        <f>IF(OR($G8629="FCC",$G8629="Hydrocracker",$G8629="Reformer"),IF(COUNTIFS($D:$D,$D8629,$A:$A,$A8629,$B:$B,$B8629,$G:$G,"CDU",$J:$J,"PLANNED")&gt;0,"tied","standalone"),"")</f>
        <v/>
      </c>
    </row>
    <row r="8630" spans="1:14">
      <c r="A8630" s="6">
        <v>2027</v>
      </c>
      <c r="B8630" s="6">
        <v>9</v>
      </c>
      <c r="C8630" s="6" t="s">
        <v>68</v>
      </c>
      <c r="D8630" s="6" t="s">
        <v>373</v>
      </c>
      <c r="E8630" s="6" t="s">
        <v>438</v>
      </c>
      <c r="F8630" s="6" t="str">
        <f>IF($M8630="PADD I","PADD 1",IF($M8630="PADD II","PADD 2",IF($M8630="PADD III","PADD 3",IF($M8630="PADD IV","PADD 4",IF($M8630="PADD V","PADD 5","")))))</f>
        <v>PADD 3</v>
      </c>
      <c r="G8630" s="6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6" t="s">
        <v>39</v>
      </c>
      <c r="I8630" s="6" t="s">
        <v>99</v>
      </c>
      <c r="J8630" s="6" t="s">
        <v>398</v>
      </c>
      <c r="K8630" s="10">
        <v>134.85</v>
      </c>
      <c r="L8630" s="10">
        <v>145</v>
      </c>
      <c r="M8630" s="6" t="s">
        <v>421</v>
      </c>
      <c r="N8630" s="6">
        <f>IF(OR($G8630="FCC",$G8630="Hydrocracker",$G8630="Reformer"),IF(COUNTIFS($D:$D,$D8630,$A:$A,$A8630,$B:$B,$B8630,$G:$G,"CDU",$J:$J,"PLANNED")&gt;0,"tied","standalone"),"")</f>
        <v/>
      </c>
    </row>
    <row r="8631" spans="1:14">
      <c r="A8631" s="6">
        <v>2027</v>
      </c>
      <c r="B8631" s="6">
        <v>9</v>
      </c>
      <c r="C8631" s="6" t="s">
        <v>68</v>
      </c>
      <c r="D8631" s="6" t="s">
        <v>373</v>
      </c>
      <c r="E8631" s="6" t="s">
        <v>438</v>
      </c>
      <c r="F8631" s="6" t="str">
        <f>IF($M8631="PADD I","PADD 1",IF($M8631="PADD II","PADD 2",IF($M8631="PADD III","PADD 3",IF($M8631="PADD IV","PADD 4",IF($M8631="PADD V","PADD 5","")))))</f>
        <v>PADD 3</v>
      </c>
      <c r="G8631" s="6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6" t="s">
        <v>39</v>
      </c>
      <c r="I8631" s="6" t="s">
        <v>97</v>
      </c>
      <c r="J8631" s="6" t="s">
        <v>398</v>
      </c>
      <c r="K8631" s="10">
        <v>134.85</v>
      </c>
      <c r="L8631" s="10">
        <v>145</v>
      </c>
      <c r="M8631" s="6" t="s">
        <v>421</v>
      </c>
      <c r="N8631" s="6">
        <f>IF(OR($G8631="FCC",$G8631="Hydrocracker",$G8631="Reformer"),IF(COUNTIFS($D:$D,$D8631,$A:$A,$A8631,$B:$B,$B8631,$G:$G,"CDU",$J:$J,"PLANNED")&gt;0,"tied","standalone"),"")</f>
        <v/>
      </c>
    </row>
    <row r="8632" spans="1:14">
      <c r="A8632" s="6">
        <v>2027</v>
      </c>
      <c r="B8632" s="6">
        <v>9</v>
      </c>
      <c r="C8632" s="6" t="s">
        <v>68</v>
      </c>
      <c r="D8632" s="6" t="s">
        <v>720</v>
      </c>
      <c r="E8632" s="6" t="s">
        <v>455</v>
      </c>
      <c r="F8632" s="6" t="str">
        <f>IF($M8632="PADD I","PADD 1",IF($M8632="PADD II","PADD 2",IF($M8632="PADD III","PADD 3",IF($M8632="PADD IV","PADD 4",IF($M8632="PADD V","PADD 5","")))))</f>
        <v>PADD 2</v>
      </c>
      <c r="G8632" s="6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6" t="s">
        <v>39</v>
      </c>
      <c r="I8632" s="6" t="s">
        <v>108</v>
      </c>
      <c r="J8632" s="6" t="s">
        <v>398</v>
      </c>
      <c r="K8632" s="10">
        <v>110</v>
      </c>
      <c r="L8632" s="10">
        <v>110</v>
      </c>
      <c r="M8632" s="6" t="s">
        <v>425</v>
      </c>
      <c r="N8632" s="6">
        <f>IF(OR($G8632="FCC",$G8632="Hydrocracker",$G8632="Reformer"),IF(COUNTIFS($D:$D,$D8632,$A:$A,$A8632,$B:$B,$B8632,$G:$G,"CDU",$J:$J,"PLANNED")&gt;0,"tied","standalone"),"")</f>
        <v/>
      </c>
    </row>
    <row r="8633" spans="1:14">
      <c r="A8633" s="6">
        <v>2027</v>
      </c>
      <c r="B8633" s="6">
        <v>9</v>
      </c>
      <c r="C8633" s="6" t="s">
        <v>68</v>
      </c>
      <c r="D8633" s="6" t="s">
        <v>540</v>
      </c>
      <c r="E8633" s="6" t="s">
        <v>541</v>
      </c>
      <c r="F8633" s="6" t="str">
        <f>IF($M8633="PADD I","PADD 1",IF($M8633="PADD II","PADD 2",IF($M8633="PADD III","PADD 3",IF($M8633="PADD IV","PADD 4",IF($M8633="PADD V","PADD 5","")))))</f>
        <v>PADD 3</v>
      </c>
      <c r="G8633" s="6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6" t="s">
        <v>485</v>
      </c>
      <c r="I8633" s="6" t="s">
        <v>693</v>
      </c>
      <c r="J8633" s="6" t="s">
        <v>398</v>
      </c>
      <c r="K8633" s="10">
        <v>102.3</v>
      </c>
      <c r="L8633" s="10">
        <v>110</v>
      </c>
      <c r="M8633" s="6" t="s">
        <v>421</v>
      </c>
      <c r="N8633" s="6">
        <f>IF(OR($G8633="FCC",$G8633="Hydrocracker",$G8633="Reformer"),IF(COUNTIFS($D:$D,$D8633,$A:$A,$A8633,$B:$B,$B8633,$G:$G,"CDU",$J:$J,"PLANNED")&gt;0,"tied","standalone"),"")</f>
        <v/>
      </c>
    </row>
    <row r="8634" spans="1:14">
      <c r="A8634" s="6">
        <v>2027</v>
      </c>
      <c r="B8634" s="6">
        <v>9</v>
      </c>
      <c r="C8634" s="6" t="s">
        <v>68</v>
      </c>
      <c r="D8634" s="6" t="s">
        <v>652</v>
      </c>
      <c r="E8634" s="6" t="s">
        <v>419</v>
      </c>
      <c r="F8634" s="6" t="str">
        <f>IF($M8634="PADD I","PADD 1",IF($M8634="PADD II","PADD 2",IF($M8634="PADD III","PADD 3",IF($M8634="PADD IV","PADD 4",IF($M8634="PADD V","PADD 5","")))))</f>
        <v>PADD 2</v>
      </c>
      <c r="G8634" s="6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6" t="s">
        <v>39</v>
      </c>
      <c r="I8634" s="6" t="s">
        <v>130</v>
      </c>
      <c r="J8634" s="6" t="s">
        <v>398</v>
      </c>
      <c r="K8634" s="10">
        <v>95</v>
      </c>
      <c r="L8634" s="10">
        <v>95</v>
      </c>
      <c r="M8634" s="6" t="s">
        <v>425</v>
      </c>
      <c r="N8634" s="6">
        <f>IF(OR($G8634="FCC",$G8634="Hydrocracker",$G8634="Reformer"),IF(COUNTIFS($D:$D,$D8634,$A:$A,$A8634,$B:$B,$B8634,$G:$G,"CDU",$J:$J,"PLANNED")&gt;0,"tied","standalone"),"")</f>
        <v/>
      </c>
    </row>
    <row r="8635" spans="1:14">
      <c r="A8635" s="6">
        <v>2027</v>
      </c>
      <c r="B8635" s="6">
        <v>9</v>
      </c>
      <c r="C8635" s="6" t="s">
        <v>68</v>
      </c>
      <c r="D8635" s="6" t="s">
        <v>592</v>
      </c>
      <c r="E8635" s="6" t="s">
        <v>593</v>
      </c>
      <c r="F8635" s="6" t="str">
        <f>IF($M8635="PADD I","PADD 1",IF($M8635="PADD II","PADD 2",IF($M8635="PADD III","PADD 3",IF($M8635="PADD IV","PADD 4",IF($M8635="PADD V","PADD 5","")))))</f>
        <v>PADD 2</v>
      </c>
      <c r="G8635" s="6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6" t="s">
        <v>485</v>
      </c>
      <c r="I8635" s="6" t="s">
        <v>491</v>
      </c>
      <c r="J8635" s="6" t="s">
        <v>398</v>
      </c>
      <c r="K8635" s="10">
        <v>94.86</v>
      </c>
      <c r="L8635" s="10">
        <v>102</v>
      </c>
      <c r="M8635" s="6" t="s">
        <v>425</v>
      </c>
      <c r="N8635" s="6">
        <f>IF(OR($G8635="FCC",$G8635="Hydrocracker",$G8635="Reformer"),IF(COUNTIFS($D:$D,$D8635,$A:$A,$A8635,$B:$B,$B8635,$G:$G,"CDU",$J:$J,"PLANNED")&gt;0,"tied","standalone"),"")</f>
        <v/>
      </c>
    </row>
    <row r="8636" spans="1:14">
      <c r="A8636" s="6">
        <v>2027</v>
      </c>
      <c r="B8636" s="6">
        <v>9</v>
      </c>
      <c r="C8636" s="6" t="s">
        <v>68</v>
      </c>
      <c r="D8636" s="6" t="s">
        <v>540</v>
      </c>
      <c r="E8636" s="6" t="s">
        <v>541</v>
      </c>
      <c r="F8636" s="6" t="str">
        <f>IF($M8636="PADD I","PADD 1",IF($M8636="PADD II","PADD 2",IF($M8636="PADD III","PADD 3",IF($M8636="PADD IV","PADD 4",IF($M8636="PADD V","PADD 5","")))))</f>
        <v>PADD 3</v>
      </c>
      <c r="G8636" s="6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6" t="s">
        <v>39</v>
      </c>
      <c r="I8636" s="6" t="s">
        <v>542</v>
      </c>
      <c r="J8636" s="6" t="s">
        <v>398</v>
      </c>
      <c r="K8636" s="10">
        <v>94</v>
      </c>
      <c r="L8636" s="10">
        <v>200</v>
      </c>
      <c r="M8636" s="6" t="s">
        <v>421</v>
      </c>
      <c r="N8636" s="6">
        <f>IF(OR($G8636="FCC",$G8636="Hydrocracker",$G8636="Reformer"),IF(COUNTIFS($D:$D,$D8636,$A:$A,$A8636,$B:$B,$B8636,$G:$G,"CDU",$J:$J,"PLANNED")&gt;0,"tied","standalone"),"")</f>
        <v/>
      </c>
    </row>
    <row r="8637" spans="1:14">
      <c r="A8637" s="6">
        <v>2027</v>
      </c>
      <c r="B8637" s="6">
        <v>9</v>
      </c>
      <c r="C8637" s="6" t="s">
        <v>68</v>
      </c>
      <c r="D8637" s="6" t="s">
        <v>373</v>
      </c>
      <c r="E8637" s="6" t="s">
        <v>438</v>
      </c>
      <c r="F8637" s="6" t="str">
        <f>IF($M8637="PADD I","PADD 1",IF($M8637="PADD II","PADD 2",IF($M8637="PADD III","PADD 3",IF($M8637="PADD IV","PADD 4",IF($M8637="PADD V","PADD 5","")))))</f>
        <v>PADD 3</v>
      </c>
      <c r="G8637" s="6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6" t="s">
        <v>44</v>
      </c>
      <c r="I8637" s="6" t="s">
        <v>998</v>
      </c>
      <c r="J8637" s="6" t="s">
        <v>398</v>
      </c>
      <c r="K8637" s="10">
        <v>87.42</v>
      </c>
      <c r="L8637" s="10">
        <v>94</v>
      </c>
      <c r="M8637" s="6" t="s">
        <v>421</v>
      </c>
      <c r="N8637" s="6">
        <f>IF(OR($G8637="FCC",$G8637="Hydrocracker",$G8637="Reformer"),IF(COUNTIFS($D:$D,$D8637,$A:$A,$A8637,$B:$B,$B8637,$G:$G,"CDU",$J:$J,"PLANNED")&gt;0,"tied","standalone"),"")</f>
        <v/>
      </c>
    </row>
    <row r="8638" spans="1:14">
      <c r="A8638" s="6">
        <v>2027</v>
      </c>
      <c r="B8638" s="6">
        <v>9</v>
      </c>
      <c r="C8638" s="6" t="s">
        <v>68</v>
      </c>
      <c r="D8638" s="6" t="s">
        <v>789</v>
      </c>
      <c r="E8638" s="6" t="s">
        <v>455</v>
      </c>
      <c r="F8638" s="6" t="str">
        <f>IF($M8638="PADD I","PADD 1",IF($M8638="PADD II","PADD 2",IF($M8638="PADD III","PADD 3",IF($M8638="PADD IV","PADD 4",IF($M8638="PADD V","PADD 5","")))))</f>
        <v>PADD 2</v>
      </c>
      <c r="G8638" s="6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6" t="s">
        <v>39</v>
      </c>
      <c r="I8638" s="6" t="s">
        <v>134</v>
      </c>
      <c r="J8638" s="6" t="s">
        <v>398</v>
      </c>
      <c r="K8638" s="10">
        <v>85.095</v>
      </c>
      <c r="L8638" s="10">
        <v>91.5</v>
      </c>
      <c r="M8638" s="6" t="s">
        <v>425</v>
      </c>
      <c r="N8638" s="6">
        <f>IF(OR($G8638="FCC",$G8638="Hydrocracker",$G8638="Reformer"),IF(COUNTIFS($D:$D,$D8638,$A:$A,$A8638,$B:$B,$B8638,$G:$G,"CDU",$J:$J,"PLANNED")&gt;0,"tied","standalone"),"")</f>
        <v/>
      </c>
    </row>
    <row r="8639" spans="1:14">
      <c r="A8639" s="6">
        <v>2027</v>
      </c>
      <c r="B8639" s="6">
        <v>9</v>
      </c>
      <c r="C8639" s="6" t="s">
        <v>68</v>
      </c>
      <c r="D8639" s="6" t="s">
        <v>540</v>
      </c>
      <c r="E8639" s="6" t="s">
        <v>541</v>
      </c>
      <c r="F8639" s="6" t="str">
        <f>IF($M8639="PADD I","PADD 1",IF($M8639="PADD II","PADD 2",IF($M8639="PADD III","PADD 3",IF($M8639="PADD IV","PADD 4",IF($M8639="PADD V","PADD 5","")))))</f>
        <v>PADD 3</v>
      </c>
      <c r="G8639" s="6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6" t="s">
        <v>44</v>
      </c>
      <c r="I8639" s="6" t="s">
        <v>1448</v>
      </c>
      <c r="J8639" s="6" t="s">
        <v>398</v>
      </c>
      <c r="K8639" s="10">
        <v>80</v>
      </c>
      <c r="L8639" s="10">
        <v>80</v>
      </c>
      <c r="M8639" s="6" t="s">
        <v>421</v>
      </c>
      <c r="N8639" s="6">
        <f>IF(OR($G8639="FCC",$G8639="Hydrocracker",$G8639="Reformer"),IF(COUNTIFS($D:$D,$D8639,$A:$A,$A8639,$B:$B,$B8639,$G:$G,"CDU",$J:$J,"PLANNED")&gt;0,"tied","standalone"),"")</f>
        <v/>
      </c>
    </row>
    <row r="8640" spans="1:14">
      <c r="A8640" s="6">
        <v>2027</v>
      </c>
      <c r="B8640" s="6">
        <v>9</v>
      </c>
      <c r="C8640" s="6" t="s">
        <v>68</v>
      </c>
      <c r="D8640" s="6" t="s">
        <v>496</v>
      </c>
      <c r="E8640" s="6" t="s">
        <v>441</v>
      </c>
      <c r="F8640" s="6" t="str">
        <f>IF($M8640="PADD I","PADD 1",IF($M8640="PADD II","PADD 2",IF($M8640="PADD III","PADD 3",IF($M8640="PADD IV","PADD 4",IF($M8640="PADD V","PADD 5","")))))</f>
        <v>PADD 3</v>
      </c>
      <c r="G8640" s="6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6" t="s">
        <v>39</v>
      </c>
      <c r="I8640" s="6" t="s">
        <v>82</v>
      </c>
      <c r="J8640" s="6" t="s">
        <v>398</v>
      </c>
      <c r="K8640" s="10">
        <v>70</v>
      </c>
      <c r="L8640" s="10">
        <v>100</v>
      </c>
      <c r="M8640" s="6" t="s">
        <v>421</v>
      </c>
      <c r="N8640" s="6">
        <f>IF(OR($G8640="FCC",$G8640="Hydrocracker",$G8640="Reformer"),IF(COUNTIFS($D:$D,$D8640,$A:$A,$A8640,$B:$B,$B8640,$G:$G,"CDU",$J:$J,"PLANNED")&gt;0,"tied","standalone"),"")</f>
        <v/>
      </c>
    </row>
    <row r="8641" spans="1:14">
      <c r="A8641" s="6">
        <v>2027</v>
      </c>
      <c r="B8641" s="6">
        <v>9</v>
      </c>
      <c r="C8641" s="6" t="s">
        <v>68</v>
      </c>
      <c r="D8641" s="6" t="s">
        <v>1110</v>
      </c>
      <c r="E8641" s="6" t="s">
        <v>1089</v>
      </c>
      <c r="F8641" s="6" t="str">
        <f>IF($M8641="PADD I","PADD 1",IF($M8641="PADD II","PADD 2",IF($M8641="PADD III","PADD 3",IF($M8641="PADD IV","PADD 4",IF($M8641="PADD V","PADD 5","")))))</f>
        <v>PADD 2</v>
      </c>
      <c r="G8641" s="6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6" t="s">
        <v>426</v>
      </c>
      <c r="I8641" s="6" t="s">
        <v>106</v>
      </c>
      <c r="J8641" s="6" t="s">
        <v>398</v>
      </c>
      <c r="K8641" s="10">
        <v>68.59999999999999</v>
      </c>
      <c r="L8641" s="10">
        <v>98</v>
      </c>
      <c r="M8641" s="6" t="s">
        <v>425</v>
      </c>
      <c r="N8641" s="6" t="str">
        <f>IF(OR($G8641="FCC",$G8641="Hydrocracker",$G8641="Reformer"),IF(COUNTIFS($D:$D,$D8641,$A:$A,$A8641,$B:$B,$B8641,$G:$G,"CDU",$J:$J,"PLANNED")&gt;0,"tied","standalone"),"")</f>
        <v>standalone</v>
      </c>
    </row>
    <row r="8642" spans="1:14">
      <c r="A8642" s="6">
        <v>2027</v>
      </c>
      <c r="B8642" s="6">
        <v>9</v>
      </c>
      <c r="C8642" s="6" t="s">
        <v>68</v>
      </c>
      <c r="D8642" s="6" t="s">
        <v>626</v>
      </c>
      <c r="E8642" s="6" t="s">
        <v>419</v>
      </c>
      <c r="F8642" s="6" t="str">
        <f>IF($M8642="PADD I","PADD 1",IF($M8642="PADD II","PADD 2",IF($M8642="PADD III","PADD 3",IF($M8642="PADD IV","PADD 4",IF($M8642="PADD V","PADD 5","")))))</f>
        <v>PADD 3</v>
      </c>
      <c r="G8642" s="6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6" t="s">
        <v>39</v>
      </c>
      <c r="I8642" s="6" t="s">
        <v>111</v>
      </c>
      <c r="J8642" s="6" t="s">
        <v>398</v>
      </c>
      <c r="K8642" s="10">
        <v>66</v>
      </c>
      <c r="L8642" s="10">
        <v>110</v>
      </c>
      <c r="M8642" s="6" t="s">
        <v>421</v>
      </c>
      <c r="N8642" s="6">
        <f>IF(OR($G8642="FCC",$G8642="Hydrocracker",$G8642="Reformer"),IF(COUNTIFS($D:$D,$D8642,$A:$A,$A8642,$B:$B,$B8642,$G:$G,"CDU",$J:$J,"PLANNED")&gt;0,"tied","standalone"),"")</f>
        <v/>
      </c>
    </row>
    <row r="8643" spans="1:14">
      <c r="A8643" s="6">
        <v>2027</v>
      </c>
      <c r="B8643" s="6">
        <v>9</v>
      </c>
      <c r="C8643" s="6" t="s">
        <v>68</v>
      </c>
      <c r="D8643" s="6" t="s">
        <v>430</v>
      </c>
      <c r="E8643" s="6" t="s">
        <v>431</v>
      </c>
      <c r="F8643" s="6" t="str">
        <f>IF($M8643="PADD I","PADD 1",IF($M8643="PADD II","PADD 2",IF($M8643="PADD III","PADD 3",IF($M8643="PADD IV","PADD 4",IF($M8643="PADD V","PADD 5","")))))</f>
        <v>PADD 3</v>
      </c>
      <c r="G8643" s="6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6" t="s">
        <v>39</v>
      </c>
      <c r="I8643" s="6" t="s">
        <v>115</v>
      </c>
      <c r="J8643" s="6" t="s">
        <v>398</v>
      </c>
      <c r="K8643" s="10">
        <v>62.7</v>
      </c>
      <c r="L8643" s="10">
        <v>110</v>
      </c>
      <c r="M8643" s="6" t="s">
        <v>421</v>
      </c>
      <c r="N8643" s="6">
        <f>IF(OR($G8643="FCC",$G8643="Hydrocracker",$G8643="Reformer"),IF(COUNTIFS($D:$D,$D8643,$A:$A,$A8643,$B:$B,$B8643,$G:$G,"CDU",$J:$J,"PLANNED")&gt;0,"tied","standalone"),"")</f>
        <v/>
      </c>
    </row>
    <row r="8644" spans="1:14">
      <c r="A8644" s="6">
        <v>2027</v>
      </c>
      <c r="B8644" s="6">
        <v>9</v>
      </c>
      <c r="C8644" s="6" t="s">
        <v>68</v>
      </c>
      <c r="D8644" s="6" t="s">
        <v>437</v>
      </c>
      <c r="E8644" s="6" t="s">
        <v>438</v>
      </c>
      <c r="F8644" s="6" t="str">
        <f>IF($M8644="PADD I","PADD 1",IF($M8644="PADD II","PADD 2",IF($M8644="PADD III","PADD 3",IF($M8644="PADD IV","PADD 4",IF($M8644="PADD V","PADD 5","")))))</f>
        <v>PADD 3</v>
      </c>
      <c r="G8644" s="6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6" t="s">
        <v>494</v>
      </c>
      <c r="I8644" s="6" t="s">
        <v>526</v>
      </c>
      <c r="J8644" s="6" t="s">
        <v>398</v>
      </c>
      <c r="K8644" s="10">
        <v>55.8</v>
      </c>
      <c r="L8644" s="10">
        <v>60</v>
      </c>
      <c r="M8644" s="6" t="s">
        <v>421</v>
      </c>
      <c r="N8644" s="6" t="str">
        <f>IF(OR($G8644="FCC",$G8644="Hydrocracker",$G8644="Reformer"),IF(COUNTIFS($D:$D,$D8644,$A:$A,$A8644,$B:$B,$B8644,$G:$G,"CDU",$J:$J,"PLANNED")&gt;0,"tied","standalone"),"")</f>
        <v>standalone</v>
      </c>
    </row>
    <row r="8645" spans="1:14">
      <c r="A8645" s="6">
        <v>2027</v>
      </c>
      <c r="B8645" s="6">
        <v>9</v>
      </c>
      <c r="C8645" s="6" t="s">
        <v>68</v>
      </c>
      <c r="D8645" s="6" t="s">
        <v>592</v>
      </c>
      <c r="E8645" s="6" t="s">
        <v>593</v>
      </c>
      <c r="F8645" s="6" t="str">
        <f>IF($M8645="PADD I","PADD 1",IF($M8645="PADD II","PADD 2",IF($M8645="PADD III","PADD 3",IF($M8645="PADD IV","PADD 4",IF($M8645="PADD V","PADD 5","")))))</f>
        <v>PADD 2</v>
      </c>
      <c r="G8645" s="6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6" t="s">
        <v>471</v>
      </c>
      <c r="I8645" s="6" t="s">
        <v>1164</v>
      </c>
      <c r="J8645" s="6" t="s">
        <v>398</v>
      </c>
      <c r="K8645" s="10">
        <v>55.8</v>
      </c>
      <c r="L8645" s="10">
        <v>60</v>
      </c>
      <c r="M8645" s="6" t="s">
        <v>425</v>
      </c>
      <c r="N8645" s="6" t="str">
        <f>IF(OR($G8645="FCC",$G8645="Hydrocracker",$G8645="Reformer"),IF(COUNTIFS($D:$D,$D8645,$A:$A,$A8645,$B:$B,$B8645,$G:$G,"CDU",$J:$J,"PLANNED")&gt;0,"tied","standalone"),"")</f>
        <v>standalone</v>
      </c>
    </row>
    <row r="8646" spans="1:14">
      <c r="A8646" s="6">
        <v>2027</v>
      </c>
      <c r="B8646" s="6">
        <v>9</v>
      </c>
      <c r="C8646" s="6" t="s">
        <v>68</v>
      </c>
      <c r="D8646" s="6" t="s">
        <v>561</v>
      </c>
      <c r="E8646" s="6" t="s">
        <v>455</v>
      </c>
      <c r="F8646" s="6" t="str">
        <f>IF($M8646="PADD I","PADD 1",IF($M8646="PADD II","PADD 2",IF($M8646="PADD III","PADD 3",IF($M8646="PADD IV","PADD 4",IF($M8646="PADD V","PADD 5","")))))</f>
        <v>PADD 3</v>
      </c>
      <c r="G8646" s="6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6" t="s">
        <v>39</v>
      </c>
      <c r="I8646" s="6" t="s">
        <v>113</v>
      </c>
      <c r="J8646" s="6" t="s">
        <v>398</v>
      </c>
      <c r="K8646" s="10">
        <v>51.7</v>
      </c>
      <c r="L8646" s="10">
        <v>110</v>
      </c>
      <c r="M8646" s="6" t="s">
        <v>421</v>
      </c>
      <c r="N8646" s="6">
        <f>IF(OR($G8646="FCC",$G8646="Hydrocracker",$G8646="Reformer"),IF(COUNTIFS($D:$D,$D8646,$A:$A,$A8646,$B:$B,$B8646,$G:$G,"CDU",$J:$J,"PLANNED")&gt;0,"tied","standalone"),"")</f>
        <v/>
      </c>
    </row>
    <row r="8647" spans="1:14">
      <c r="A8647" s="6">
        <v>2027</v>
      </c>
      <c r="B8647" s="6">
        <v>9</v>
      </c>
      <c r="C8647" s="6" t="s">
        <v>68</v>
      </c>
      <c r="D8647" s="6" t="s">
        <v>561</v>
      </c>
      <c r="E8647" s="6" t="s">
        <v>455</v>
      </c>
      <c r="F8647" s="6" t="str">
        <f>IF($M8647="PADD I","PADD 1",IF($M8647="PADD II","PADD 2",IF($M8647="PADD III","PADD 3",IF($M8647="PADD IV","PADD 4",IF($M8647="PADD V","PADD 5","")))))</f>
        <v>PADD 3</v>
      </c>
      <c r="G8647" s="6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6" t="s">
        <v>39</v>
      </c>
      <c r="I8647" s="6" t="s">
        <v>116</v>
      </c>
      <c r="J8647" s="6" t="s">
        <v>398</v>
      </c>
      <c r="K8647" s="10">
        <v>50.29</v>
      </c>
      <c r="L8647" s="10">
        <v>107</v>
      </c>
      <c r="M8647" s="6" t="s">
        <v>421</v>
      </c>
      <c r="N8647" s="6">
        <f>IF(OR($G8647="FCC",$G8647="Hydrocracker",$G8647="Reformer"),IF(COUNTIFS($D:$D,$D8647,$A:$A,$A8647,$B:$B,$B8647,$G:$G,"CDU",$J:$J,"PLANNED")&gt;0,"tied","standalone"),"")</f>
        <v/>
      </c>
    </row>
    <row r="8648" spans="1:14">
      <c r="A8648" s="6">
        <v>2027</v>
      </c>
      <c r="B8648" s="6">
        <v>9</v>
      </c>
      <c r="C8648" s="6" t="s">
        <v>68</v>
      </c>
      <c r="D8648" s="6" t="s">
        <v>540</v>
      </c>
      <c r="E8648" s="6" t="s">
        <v>541</v>
      </c>
      <c r="F8648" s="6" t="str">
        <f>IF($M8648="PADD I","PADD 1",IF($M8648="PADD II","PADD 2",IF($M8648="PADD III","PADD 3",IF($M8648="PADD IV","PADD 4",IF($M8648="PADD V","PADD 5","")))))</f>
        <v>PADD 3</v>
      </c>
      <c r="G8648" s="6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6" t="s">
        <v>428</v>
      </c>
      <c r="I8648" s="6" t="s">
        <v>610</v>
      </c>
      <c r="J8648" s="6" t="s">
        <v>398</v>
      </c>
      <c r="K8648" s="10">
        <v>48.88</v>
      </c>
      <c r="L8648" s="10">
        <v>104</v>
      </c>
      <c r="M8648" s="6" t="s">
        <v>421</v>
      </c>
      <c r="N8648" s="6">
        <f>IF(OR($G8648="FCC",$G8648="Hydrocracker",$G8648="Reformer"),IF(COUNTIFS($D:$D,$D8648,$A:$A,$A8648,$B:$B,$B8648,$G:$G,"CDU",$J:$J,"PLANNED")&gt;0,"tied","standalone"),"")</f>
        <v/>
      </c>
    </row>
    <row r="8649" spans="1:14">
      <c r="A8649" s="6">
        <v>2027</v>
      </c>
      <c r="B8649" s="6">
        <v>9</v>
      </c>
      <c r="C8649" s="6" t="s">
        <v>68</v>
      </c>
      <c r="D8649" s="6" t="s">
        <v>1373</v>
      </c>
      <c r="E8649" s="6" t="s">
        <v>419</v>
      </c>
      <c r="F8649" s="6" t="str">
        <f>IF($M8649="PADD I","PADD 1",IF($M8649="PADD II","PADD 2",IF($M8649="PADD III","PADD 3",IF($M8649="PADD IV","PADD 4",IF($M8649="PADD V","PADD 5","")))))</f>
        <v>PADD 5</v>
      </c>
      <c r="G8649" s="6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6" t="s">
        <v>39</v>
      </c>
      <c r="I8649" s="6" t="s">
        <v>82</v>
      </c>
      <c r="J8649" s="6" t="s">
        <v>398</v>
      </c>
      <c r="K8649" s="10">
        <v>47</v>
      </c>
      <c r="L8649" s="10">
        <v>100</v>
      </c>
      <c r="M8649" s="6" t="s">
        <v>436</v>
      </c>
      <c r="N8649" s="6">
        <f>IF(OR($G8649="FCC",$G8649="Hydrocracker",$G8649="Reformer"),IF(COUNTIFS($D:$D,$D8649,$A:$A,$A8649,$B:$B,$B8649,$G:$G,"CDU",$J:$J,"PLANNED")&gt;0,"tied","standalone"),"")</f>
        <v/>
      </c>
    </row>
    <row r="8650" spans="1:14">
      <c r="A8650" s="6">
        <v>2027</v>
      </c>
      <c r="B8650" s="6">
        <v>9</v>
      </c>
      <c r="C8650" s="6" t="s">
        <v>68</v>
      </c>
      <c r="D8650" s="6" t="s">
        <v>373</v>
      </c>
      <c r="E8650" s="6" t="s">
        <v>438</v>
      </c>
      <c r="F8650" s="6" t="str">
        <f>IF($M8650="PADD I","PADD 1",IF($M8650="PADD II","PADD 2",IF($M8650="PADD III","PADD 3",IF($M8650="PADD IV","PADD 4",IF($M8650="PADD V","PADD 5","")))))</f>
        <v>PADD 3</v>
      </c>
      <c r="G8650" s="6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6" t="s">
        <v>44</v>
      </c>
      <c r="I8650" s="6" t="s">
        <v>743</v>
      </c>
      <c r="J8650" s="6" t="s">
        <v>398</v>
      </c>
      <c r="K8650" s="10">
        <v>39.99</v>
      </c>
      <c r="L8650" s="10">
        <v>43</v>
      </c>
      <c r="M8650" s="6" t="s">
        <v>421</v>
      </c>
      <c r="N8650" s="6">
        <f>IF(OR($G8650="FCC",$G8650="Hydrocracker",$G8650="Reformer"),IF(COUNTIFS($D:$D,$D8650,$A:$A,$A8650,$B:$B,$B8650,$G:$G,"CDU",$J:$J,"PLANNED")&gt;0,"tied","standalone"),"")</f>
        <v/>
      </c>
    </row>
    <row r="8651" spans="1:14">
      <c r="A8651" s="6">
        <v>2027</v>
      </c>
      <c r="B8651" s="6">
        <v>9</v>
      </c>
      <c r="C8651" s="6" t="s">
        <v>68</v>
      </c>
      <c r="D8651" s="6" t="s">
        <v>484</v>
      </c>
      <c r="E8651" s="6" t="s">
        <v>438</v>
      </c>
      <c r="F8651" s="6" t="str">
        <f>IF($M8651="PADD I","PADD 1",IF($M8651="PADD II","PADD 2",IF($M8651="PADD III","PADD 3",IF($M8651="PADD IV","PADD 4",IF($M8651="PADD V","PADD 5","")))))</f>
        <v>PADD 5</v>
      </c>
      <c r="G8651" s="6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6" t="s">
        <v>44</v>
      </c>
      <c r="I8651" s="6" t="s">
        <v>1449</v>
      </c>
      <c r="J8651" s="6" t="s">
        <v>398</v>
      </c>
      <c r="K8651" s="10">
        <v>38</v>
      </c>
      <c r="L8651" s="10">
        <v>38</v>
      </c>
      <c r="M8651" s="6" t="s">
        <v>436</v>
      </c>
      <c r="N8651" s="6">
        <f>IF(OR($G8651="FCC",$G8651="Hydrocracker",$G8651="Reformer"),IF(COUNTIFS($D:$D,$D8651,$A:$A,$A8651,$B:$B,$B8651,$G:$G,"CDU",$J:$J,"PLANNED")&gt;0,"tied","standalone"),"")</f>
        <v/>
      </c>
    </row>
    <row r="8652" spans="1:14">
      <c r="A8652" s="6">
        <v>2027</v>
      </c>
      <c r="B8652" s="6">
        <v>9</v>
      </c>
      <c r="C8652" s="6" t="s">
        <v>68</v>
      </c>
      <c r="D8652" s="6" t="s">
        <v>652</v>
      </c>
      <c r="E8652" s="6" t="s">
        <v>419</v>
      </c>
      <c r="F8652" s="6" t="str">
        <f>IF($M8652="PADD I","PADD 1",IF($M8652="PADD II","PADD 2",IF($M8652="PADD III","PADD 3",IF($M8652="PADD IV","PADD 4",IF($M8652="PADD V","PADD 5","")))))</f>
        <v>PADD 2</v>
      </c>
      <c r="G8652" s="6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6" t="s">
        <v>39</v>
      </c>
      <c r="I8652" s="6" t="s">
        <v>711</v>
      </c>
      <c r="J8652" s="6" t="s">
        <v>398</v>
      </c>
      <c r="K8652" s="10">
        <v>35</v>
      </c>
      <c r="L8652" s="10">
        <v>35</v>
      </c>
      <c r="M8652" s="6" t="s">
        <v>425</v>
      </c>
      <c r="N8652" s="6">
        <f>IF(OR($G8652="FCC",$G8652="Hydrocracker",$G8652="Reformer"),IF(COUNTIFS($D:$D,$D8652,$A:$A,$A8652,$B:$B,$B8652,$G:$G,"CDU",$J:$J,"PLANNED")&gt;0,"tied","standalone"),"")</f>
        <v/>
      </c>
    </row>
    <row r="8653" spans="1:14">
      <c r="A8653" s="6">
        <v>2027</v>
      </c>
      <c r="B8653" s="6">
        <v>9</v>
      </c>
      <c r="C8653" s="6" t="s">
        <v>68</v>
      </c>
      <c r="D8653" s="6" t="s">
        <v>652</v>
      </c>
      <c r="E8653" s="6" t="s">
        <v>419</v>
      </c>
      <c r="F8653" s="6" t="str">
        <f>IF($M8653="PADD I","PADD 1",IF($M8653="PADD II","PADD 2",IF($M8653="PADD III","PADD 3",IF($M8653="PADD IV","PADD 4",IF($M8653="PADD V","PADD 5","")))))</f>
        <v>PADD 2</v>
      </c>
      <c r="G8653" s="6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6" t="s">
        <v>426</v>
      </c>
      <c r="I8653" s="6" t="s">
        <v>1174</v>
      </c>
      <c r="J8653" s="6" t="s">
        <v>398</v>
      </c>
      <c r="K8653" s="10">
        <v>35</v>
      </c>
      <c r="L8653" s="10">
        <v>35</v>
      </c>
      <c r="M8653" s="6" t="s">
        <v>425</v>
      </c>
      <c r="N8653" s="6" t="str">
        <f>IF(OR($G8653="FCC",$G8653="Hydrocracker",$G8653="Reformer"),IF(COUNTIFS($D:$D,$D8653,$A:$A,$A8653,$B:$B,$B8653,$G:$G,"CDU",$J:$J,"PLANNED")&gt;0,"tied","standalone"),"")</f>
        <v>tied</v>
      </c>
    </row>
    <row r="8654" spans="1:14">
      <c r="A8654" s="6">
        <v>2027</v>
      </c>
      <c r="B8654" s="6">
        <v>9</v>
      </c>
      <c r="C8654" s="6" t="s">
        <v>68</v>
      </c>
      <c r="D8654" s="6" t="s">
        <v>540</v>
      </c>
      <c r="E8654" s="6" t="s">
        <v>541</v>
      </c>
      <c r="F8654" s="6" t="str">
        <f>IF($M8654="PADD I","PADD 1",IF($M8654="PADD II","PADD 2",IF($M8654="PADD III","PADD 3",IF($M8654="PADD IV","PADD 4",IF($M8654="PADD V","PADD 5","")))))</f>
        <v>PADD 3</v>
      </c>
      <c r="G8654" s="6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6" t="s">
        <v>44</v>
      </c>
      <c r="I8654" s="6" t="s">
        <v>1450</v>
      </c>
      <c r="J8654" s="6" t="s">
        <v>398</v>
      </c>
      <c r="K8654" s="10">
        <v>32</v>
      </c>
      <c r="L8654" s="10">
        <v>32</v>
      </c>
      <c r="M8654" s="6" t="s">
        <v>421</v>
      </c>
      <c r="N8654" s="6">
        <f>IF(OR($G8654="FCC",$G8654="Hydrocracker",$G8654="Reformer"),IF(COUNTIFS($D:$D,$D8654,$A:$A,$A8654,$B:$B,$B8654,$G:$G,"CDU",$J:$J,"PLANNED")&gt;0,"tied","standalone"),"")</f>
        <v/>
      </c>
    </row>
    <row r="8655" spans="1:14">
      <c r="A8655" s="6">
        <v>2027</v>
      </c>
      <c r="B8655" s="6">
        <v>9</v>
      </c>
      <c r="C8655" s="6" t="s">
        <v>68</v>
      </c>
      <c r="D8655" s="6" t="s">
        <v>652</v>
      </c>
      <c r="E8655" s="6" t="s">
        <v>419</v>
      </c>
      <c r="F8655" s="6" t="str">
        <f>IF($M8655="PADD I","PADD 1",IF($M8655="PADD II","PADD 2",IF($M8655="PADD III","PADD 3",IF($M8655="PADD IV","PADD 4",IF($M8655="PADD V","PADD 5","")))))</f>
        <v>PADD 2</v>
      </c>
      <c r="G8655" s="6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6" t="s">
        <v>44</v>
      </c>
      <c r="I8655" s="6" t="s">
        <v>1049</v>
      </c>
      <c r="J8655" s="6" t="s">
        <v>398</v>
      </c>
      <c r="K8655" s="10">
        <v>30</v>
      </c>
      <c r="L8655" s="10">
        <v>30</v>
      </c>
      <c r="M8655" s="6" t="s">
        <v>425</v>
      </c>
      <c r="N8655" s="6">
        <f>IF(OR($G8655="FCC",$G8655="Hydrocracker",$G8655="Reformer"),IF(COUNTIFS($D:$D,$D8655,$A:$A,$A8655,$B:$B,$B8655,$G:$G,"CDU",$J:$J,"PLANNED")&gt;0,"tied","standalone"),"")</f>
        <v/>
      </c>
    </row>
    <row r="8656" spans="1:14">
      <c r="A8656" s="6">
        <v>2027</v>
      </c>
      <c r="B8656" s="6">
        <v>9</v>
      </c>
      <c r="C8656" s="6" t="s">
        <v>68</v>
      </c>
      <c r="D8656" s="6" t="s">
        <v>652</v>
      </c>
      <c r="E8656" s="6" t="s">
        <v>419</v>
      </c>
      <c r="F8656" s="6" t="str">
        <f>IF($M8656="PADD I","PADD 1",IF($M8656="PADD II","PADD 2",IF($M8656="PADD III","PADD 3",IF($M8656="PADD IV","PADD 4",IF($M8656="PADD V","PADD 5","")))))</f>
        <v>PADD 2</v>
      </c>
      <c r="G8656" s="6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6" t="s">
        <v>44</v>
      </c>
      <c r="I8656" s="6" t="s">
        <v>1048</v>
      </c>
      <c r="J8656" s="6" t="s">
        <v>398</v>
      </c>
      <c r="K8656" s="10">
        <v>30</v>
      </c>
      <c r="L8656" s="10">
        <v>30</v>
      </c>
      <c r="M8656" s="6" t="s">
        <v>425</v>
      </c>
      <c r="N8656" s="6">
        <f>IF(OR($G8656="FCC",$G8656="Hydrocracker",$G8656="Reformer"),IF(COUNTIFS($D:$D,$D8656,$A:$A,$A8656,$B:$B,$B8656,$G:$G,"CDU",$J:$J,"PLANNED")&gt;0,"tied","standalone"),"")</f>
        <v/>
      </c>
    </row>
    <row r="8657" spans="1:14">
      <c r="A8657" s="6">
        <v>2027</v>
      </c>
      <c r="B8657" s="6">
        <v>9</v>
      </c>
      <c r="C8657" s="6" t="s">
        <v>68</v>
      </c>
      <c r="D8657" s="6" t="s">
        <v>789</v>
      </c>
      <c r="E8657" s="6" t="s">
        <v>455</v>
      </c>
      <c r="F8657" s="6" t="str">
        <f>IF($M8657="PADD I","PADD 1",IF($M8657="PADD II","PADD 2",IF($M8657="PADD III","PADD 3",IF($M8657="PADD IV","PADD 4",IF($M8657="PADD V","PADD 5","")))))</f>
        <v>PADD 2</v>
      </c>
      <c r="G8657" s="6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6" t="s">
        <v>44</v>
      </c>
      <c r="I8657" s="6" t="s">
        <v>790</v>
      </c>
      <c r="J8657" s="6" t="s">
        <v>398</v>
      </c>
      <c r="K8657" s="10">
        <v>29.76</v>
      </c>
      <c r="L8657" s="10">
        <v>32</v>
      </c>
      <c r="M8657" s="6" t="s">
        <v>425</v>
      </c>
      <c r="N8657" s="6">
        <f>IF(OR($G8657="FCC",$G8657="Hydrocracker",$G8657="Reformer"),IF(COUNTIFS($D:$D,$D8657,$A:$A,$A8657,$B:$B,$B8657,$G:$G,"CDU",$J:$J,"PLANNED")&gt;0,"tied","standalone"),"")</f>
        <v/>
      </c>
    </row>
    <row r="8658" spans="1:14">
      <c r="A8658" s="6">
        <v>2027</v>
      </c>
      <c r="B8658" s="6">
        <v>9</v>
      </c>
      <c r="C8658" s="6" t="s">
        <v>68</v>
      </c>
      <c r="D8658" s="6" t="s">
        <v>789</v>
      </c>
      <c r="E8658" s="6" t="s">
        <v>455</v>
      </c>
      <c r="F8658" s="6" t="str">
        <f>IF($M8658="PADD I","PADD 1",IF($M8658="PADD II","PADD 2",IF($M8658="PADD III","PADD 3",IF($M8658="PADD IV","PADD 4",IF($M8658="PADD V","PADD 5","")))))</f>
        <v>PADD 2</v>
      </c>
      <c r="G8658" s="6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6" t="s">
        <v>44</v>
      </c>
      <c r="I8658" s="6" t="s">
        <v>739</v>
      </c>
      <c r="J8658" s="6" t="s">
        <v>398</v>
      </c>
      <c r="K8658" s="10">
        <v>29.76</v>
      </c>
      <c r="L8658" s="10">
        <v>32</v>
      </c>
      <c r="M8658" s="6" t="s">
        <v>425</v>
      </c>
      <c r="N8658" s="6">
        <f>IF(OR($G8658="FCC",$G8658="Hydrocracker",$G8658="Reformer"),IF(COUNTIFS($D:$D,$D8658,$A:$A,$A8658,$B:$B,$B8658,$G:$G,"CDU",$J:$J,"PLANNED")&gt;0,"tied","standalone"),"")</f>
        <v/>
      </c>
    </row>
    <row r="8659" spans="1:14">
      <c r="A8659" s="6">
        <v>2027</v>
      </c>
      <c r="B8659" s="6">
        <v>9</v>
      </c>
      <c r="C8659" s="6" t="s">
        <v>68</v>
      </c>
      <c r="D8659" s="6" t="s">
        <v>789</v>
      </c>
      <c r="E8659" s="6" t="s">
        <v>455</v>
      </c>
      <c r="F8659" s="6" t="str">
        <f>IF($M8659="PADD I","PADD 1",IF($M8659="PADD II","PADD 2",IF($M8659="PADD III","PADD 3",IF($M8659="PADD IV","PADD 4",IF($M8659="PADD V","PADD 5","")))))</f>
        <v>PADD 2</v>
      </c>
      <c r="G8659" s="6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6" t="s">
        <v>428</v>
      </c>
      <c r="I8659" s="6" t="s">
        <v>481</v>
      </c>
      <c r="J8659" s="6" t="s">
        <v>398</v>
      </c>
      <c r="K8659" s="10">
        <v>29.76</v>
      </c>
      <c r="L8659" s="10">
        <v>32</v>
      </c>
      <c r="M8659" s="6" t="s">
        <v>425</v>
      </c>
      <c r="N8659" s="6">
        <f>IF(OR($G8659="FCC",$G8659="Hydrocracker",$G8659="Reformer"),IF(COUNTIFS($D:$D,$D8659,$A:$A,$A8659,$B:$B,$B8659,$G:$G,"CDU",$J:$J,"PLANNED")&gt;0,"tied","standalone"),"")</f>
        <v/>
      </c>
    </row>
    <row r="8660" spans="1:14">
      <c r="A8660" s="6">
        <v>2027</v>
      </c>
      <c r="B8660" s="6">
        <v>9</v>
      </c>
      <c r="C8660" s="6" t="s">
        <v>68</v>
      </c>
      <c r="D8660" s="6" t="s">
        <v>789</v>
      </c>
      <c r="E8660" s="6" t="s">
        <v>455</v>
      </c>
      <c r="F8660" s="6" t="str">
        <f>IF($M8660="PADD I","PADD 1",IF($M8660="PADD II","PADD 2",IF($M8660="PADD III","PADD 3",IF($M8660="PADD IV","PADD 4",IF($M8660="PADD V","PADD 5","")))))</f>
        <v>PADD 2</v>
      </c>
      <c r="G8660" s="6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6" t="s">
        <v>426</v>
      </c>
      <c r="I8660" s="6" t="s">
        <v>106</v>
      </c>
      <c r="J8660" s="6" t="s">
        <v>398</v>
      </c>
      <c r="K8660" s="10">
        <v>27.9</v>
      </c>
      <c r="L8660" s="10">
        <v>30</v>
      </c>
      <c r="M8660" s="6" t="s">
        <v>425</v>
      </c>
      <c r="N8660" s="6" t="str">
        <f>IF(OR($G8660="FCC",$G8660="Hydrocracker",$G8660="Reformer"),IF(COUNTIFS($D:$D,$D8660,$A:$A,$A8660,$B:$B,$B8660,$G:$G,"CDU",$J:$J,"PLANNED")&gt;0,"tied","standalone"),"")</f>
        <v>tied</v>
      </c>
    </row>
    <row r="8661" spans="1:14">
      <c r="A8661" s="6">
        <v>2027</v>
      </c>
      <c r="B8661" s="6">
        <v>9</v>
      </c>
      <c r="C8661" s="6" t="s">
        <v>68</v>
      </c>
      <c r="D8661" s="6" t="s">
        <v>789</v>
      </c>
      <c r="E8661" s="6" t="s">
        <v>455</v>
      </c>
      <c r="F8661" s="6" t="str">
        <f>IF($M8661="PADD I","PADD 1",IF($M8661="PADD II","PADD 2",IF($M8661="PADD III","PADD 3",IF($M8661="PADD IV","PADD 4",IF($M8661="PADD V","PADD 5","")))))</f>
        <v>PADD 2</v>
      </c>
      <c r="G8661" s="6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6" t="s">
        <v>471</v>
      </c>
      <c r="I8661" s="6" t="s">
        <v>832</v>
      </c>
      <c r="J8661" s="6" t="s">
        <v>398</v>
      </c>
      <c r="K8661" s="10">
        <v>27.9</v>
      </c>
      <c r="L8661" s="10">
        <v>30</v>
      </c>
      <c r="M8661" s="6" t="s">
        <v>425</v>
      </c>
      <c r="N8661" s="6" t="str">
        <f>IF(OR($G8661="FCC",$G8661="Hydrocracker",$G8661="Reformer"),IF(COUNTIFS($D:$D,$D8661,$A:$A,$A8661,$B:$B,$B8661,$G:$G,"CDU",$J:$J,"PLANNED")&gt;0,"tied","standalone"),"")</f>
        <v>tied</v>
      </c>
    </row>
    <row r="8662" spans="1:14">
      <c r="A8662" s="6">
        <v>2027</v>
      </c>
      <c r="B8662" s="6">
        <v>9</v>
      </c>
      <c r="C8662" s="6" t="s">
        <v>68</v>
      </c>
      <c r="D8662" s="6" t="s">
        <v>496</v>
      </c>
      <c r="E8662" s="6" t="s">
        <v>441</v>
      </c>
      <c r="F8662" s="6" t="str">
        <f>IF($M8662="PADD I","PADD 1",IF($M8662="PADD II","PADD 2",IF($M8662="PADD III","PADD 3",IF($M8662="PADD IV","PADD 4",IF($M8662="PADD V","PADD 5","")))))</f>
        <v>PADD 3</v>
      </c>
      <c r="G8662" s="6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6" t="s">
        <v>428</v>
      </c>
      <c r="I8662" s="6" t="s">
        <v>1091</v>
      </c>
      <c r="J8662" s="6" t="s">
        <v>398</v>
      </c>
      <c r="K8662" s="10">
        <v>26.6</v>
      </c>
      <c r="L8662" s="10">
        <v>38</v>
      </c>
      <c r="M8662" s="6" t="s">
        <v>421</v>
      </c>
      <c r="N8662" s="6">
        <f>IF(OR($G8662="FCC",$G8662="Hydrocracker",$G8662="Reformer"),IF(COUNTIFS($D:$D,$D8662,$A:$A,$A8662,$B:$B,$B8662,$G:$G,"CDU",$J:$J,"PLANNED")&gt;0,"tied","standalone"),"")</f>
        <v/>
      </c>
    </row>
    <row r="8663" spans="1:14">
      <c r="A8663" s="6">
        <v>2027</v>
      </c>
      <c r="B8663" s="6">
        <v>9</v>
      </c>
      <c r="C8663" s="6" t="s">
        <v>68</v>
      </c>
      <c r="D8663" s="6" t="s">
        <v>652</v>
      </c>
      <c r="E8663" s="6" t="s">
        <v>419</v>
      </c>
      <c r="F8663" s="6" t="str">
        <f>IF($M8663="PADD I","PADD 1",IF($M8663="PADD II","PADD 2",IF($M8663="PADD III","PADD 3",IF($M8663="PADD IV","PADD 4",IF($M8663="PADD V","PADD 5","")))))</f>
        <v>PADD 2</v>
      </c>
      <c r="G8663" s="6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6" t="s">
        <v>426</v>
      </c>
      <c r="I8663" s="6" t="s">
        <v>704</v>
      </c>
      <c r="J8663" s="6" t="s">
        <v>398</v>
      </c>
      <c r="K8663" s="10">
        <v>26</v>
      </c>
      <c r="L8663" s="10">
        <v>26</v>
      </c>
      <c r="M8663" s="6" t="s">
        <v>425</v>
      </c>
      <c r="N8663" s="6" t="str">
        <f>IF(OR($G8663="FCC",$G8663="Hydrocracker",$G8663="Reformer"),IF(COUNTIFS($D:$D,$D8663,$A:$A,$A8663,$B:$B,$B8663,$G:$G,"CDU",$J:$J,"PLANNED")&gt;0,"tied","standalone"),"")</f>
        <v>tied</v>
      </c>
    </row>
    <row r="8664" spans="1:14">
      <c r="A8664" s="6">
        <v>2027</v>
      </c>
      <c r="B8664" s="6">
        <v>9</v>
      </c>
      <c r="C8664" s="6" t="s">
        <v>68</v>
      </c>
      <c r="D8664" s="6" t="s">
        <v>652</v>
      </c>
      <c r="E8664" s="6" t="s">
        <v>419</v>
      </c>
      <c r="F8664" s="6" t="str">
        <f>IF($M8664="PADD I","PADD 1",IF($M8664="PADD II","PADD 2",IF($M8664="PADD III","PADD 3",IF($M8664="PADD IV","PADD 4",IF($M8664="PADD V","PADD 5","")))))</f>
        <v>PADD 2</v>
      </c>
      <c r="G8664" s="6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6" t="s">
        <v>44</v>
      </c>
      <c r="I8664" s="6" t="s">
        <v>1051</v>
      </c>
      <c r="J8664" s="6" t="s">
        <v>398</v>
      </c>
      <c r="K8664" s="10">
        <v>25</v>
      </c>
      <c r="L8664" s="10">
        <v>25</v>
      </c>
      <c r="M8664" s="6" t="s">
        <v>425</v>
      </c>
      <c r="N8664" s="6">
        <f>IF(OR($G8664="FCC",$G8664="Hydrocracker",$G8664="Reformer"),IF(COUNTIFS($D:$D,$D8664,$A:$A,$A8664,$B:$B,$B8664,$G:$G,"CDU",$J:$J,"PLANNED")&gt;0,"tied","standalone"),"")</f>
        <v/>
      </c>
    </row>
    <row r="8665" spans="1:14">
      <c r="A8665" s="6">
        <v>2027</v>
      </c>
      <c r="B8665" s="6">
        <v>9</v>
      </c>
      <c r="C8665" s="6" t="s">
        <v>68</v>
      </c>
      <c r="D8665" s="6" t="s">
        <v>789</v>
      </c>
      <c r="E8665" s="6" t="s">
        <v>455</v>
      </c>
      <c r="F8665" s="6" t="str">
        <f>IF($M8665="PADD I","PADD 1",IF($M8665="PADD II","PADD 2",IF($M8665="PADD III","PADD 3",IF($M8665="PADD IV","PADD 4",IF($M8665="PADD V","PADD 5","")))))</f>
        <v>PADD 2</v>
      </c>
      <c r="G8665" s="6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6" t="s">
        <v>44</v>
      </c>
      <c r="I8665" s="6" t="s">
        <v>543</v>
      </c>
      <c r="J8665" s="6" t="s">
        <v>398</v>
      </c>
      <c r="K8665" s="10">
        <v>24.645</v>
      </c>
      <c r="L8665" s="10">
        <v>26.5</v>
      </c>
      <c r="M8665" s="6" t="s">
        <v>425</v>
      </c>
      <c r="N8665" s="6">
        <f>IF(OR($G8665="FCC",$G8665="Hydrocracker",$G8665="Reformer"),IF(COUNTIFS($D:$D,$D8665,$A:$A,$A8665,$B:$B,$B8665,$G:$G,"CDU",$J:$J,"PLANNED")&gt;0,"tied","standalone"),"")</f>
        <v/>
      </c>
    </row>
    <row r="8666" spans="1:14">
      <c r="A8666" s="6">
        <v>2027</v>
      </c>
      <c r="B8666" s="6">
        <v>9</v>
      </c>
      <c r="C8666" s="6" t="s">
        <v>68</v>
      </c>
      <c r="D8666" s="6" t="s">
        <v>41</v>
      </c>
      <c r="E8666" s="6" t="s">
        <v>786</v>
      </c>
      <c r="F8666" s="6" t="str">
        <f>IF($M8666="PADD I","PADD 1",IF($M8666="PADD II","PADD 2",IF($M8666="PADD III","PADD 3",IF($M8666="PADD IV","PADD 4",IF($M8666="PADD V","PADD 5","")))))</f>
        <v>PADD 1</v>
      </c>
      <c r="G8666" s="6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6" t="s">
        <v>428</v>
      </c>
      <c r="I8666" s="6" t="s">
        <v>1060</v>
      </c>
      <c r="J8666" s="6" t="s">
        <v>398</v>
      </c>
      <c r="K8666" s="10">
        <v>22.6269</v>
      </c>
      <c r="L8666" s="10">
        <v>24.33</v>
      </c>
      <c r="M8666" s="6" t="s">
        <v>463</v>
      </c>
      <c r="N8666" s="6">
        <f>IF(OR($G8666="FCC",$G8666="Hydrocracker",$G8666="Reformer"),IF(COUNTIFS($D:$D,$D8666,$A:$A,$A8666,$B:$B,$B8666,$G:$G,"CDU",$J:$J,"PLANNED")&gt;0,"tied","standalone"),"")</f>
        <v/>
      </c>
    </row>
    <row r="8667" spans="1:14">
      <c r="A8667" s="6">
        <v>2027</v>
      </c>
      <c r="B8667" s="6">
        <v>9</v>
      </c>
      <c r="C8667" s="6" t="s">
        <v>68</v>
      </c>
      <c r="D8667" s="6" t="s">
        <v>1373</v>
      </c>
      <c r="E8667" s="6" t="s">
        <v>419</v>
      </c>
      <c r="F8667" s="6" t="str">
        <f>IF($M8667="PADD I","PADD 1",IF($M8667="PADD II","PADD 2",IF($M8667="PADD III","PADD 3",IF($M8667="PADD IV","PADD 4",IF($M8667="PADD V","PADD 5","")))))</f>
        <v>PADD 5</v>
      </c>
      <c r="G8667" s="6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6" t="s">
        <v>428</v>
      </c>
      <c r="I8667" s="6" t="s">
        <v>481</v>
      </c>
      <c r="J8667" s="6" t="s">
        <v>398</v>
      </c>
      <c r="K8667" s="10">
        <v>21.855</v>
      </c>
      <c r="L8667" s="10">
        <v>46.5</v>
      </c>
      <c r="M8667" s="6" t="s">
        <v>436</v>
      </c>
      <c r="N8667" s="6">
        <f>IF(OR($G8667="FCC",$G8667="Hydrocracker",$G8667="Reformer"),IF(COUNTIFS($D:$D,$D8667,$A:$A,$A8667,$B:$B,$B8667,$G:$G,"CDU",$J:$J,"PLANNED")&gt;0,"tied","standalone"),"")</f>
        <v/>
      </c>
    </row>
    <row r="8668" spans="1:14">
      <c r="A8668" s="6">
        <v>2027</v>
      </c>
      <c r="B8668" s="6">
        <v>9</v>
      </c>
      <c r="C8668" s="6" t="s">
        <v>68</v>
      </c>
      <c r="D8668" s="6" t="s">
        <v>507</v>
      </c>
      <c r="E8668" s="6" t="s">
        <v>438</v>
      </c>
      <c r="F8668" s="6" t="str">
        <f>IF($M8668="PADD I","PADD 1",IF($M8668="PADD II","PADD 2",IF($M8668="PADD III","PADD 3",IF($M8668="PADD IV","PADD 4",IF($M8668="PADD V","PADD 5","")))))</f>
        <v>PADD 5</v>
      </c>
      <c r="G8668" s="6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6" t="s">
        <v>471</v>
      </c>
      <c r="I8668" s="6" t="s">
        <v>609</v>
      </c>
      <c r="J8668" s="6" t="s">
        <v>398</v>
      </c>
      <c r="K8668" s="10">
        <v>20</v>
      </c>
      <c r="L8668" s="10">
        <v>20</v>
      </c>
      <c r="M8668" s="6" t="s">
        <v>436</v>
      </c>
      <c r="N8668" s="6" t="str">
        <f>IF(OR($G8668="FCC",$G8668="Hydrocracker",$G8668="Reformer"),IF(COUNTIFS($D:$D,$D8668,$A:$A,$A8668,$B:$B,$B8668,$G:$G,"CDU",$J:$J,"PLANNED")&gt;0,"tied","standalone"),"")</f>
        <v>standalone</v>
      </c>
    </row>
    <row r="8669" spans="1:14">
      <c r="A8669" s="6">
        <v>2027</v>
      </c>
      <c r="B8669" s="6">
        <v>9</v>
      </c>
      <c r="C8669" s="6" t="s">
        <v>68</v>
      </c>
      <c r="D8669" s="6" t="s">
        <v>789</v>
      </c>
      <c r="E8669" s="6" t="s">
        <v>455</v>
      </c>
      <c r="F8669" s="6" t="str">
        <f>IF($M8669="PADD I","PADD 1",IF($M8669="PADD II","PADD 2",IF($M8669="PADD III","PADD 3",IF($M8669="PADD IV","PADD 4",IF($M8669="PADD V","PADD 5","")))))</f>
        <v>PADD 2</v>
      </c>
      <c r="G8669" s="6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6" t="s">
        <v>44</v>
      </c>
      <c r="I8669" s="6" t="s">
        <v>1246</v>
      </c>
      <c r="J8669" s="6" t="s">
        <v>398</v>
      </c>
      <c r="K8669" s="10">
        <v>18.6</v>
      </c>
      <c r="L8669" s="10">
        <v>20</v>
      </c>
      <c r="M8669" s="6" t="s">
        <v>425</v>
      </c>
      <c r="N8669" s="6">
        <f>IF(OR($G8669="FCC",$G8669="Hydrocracker",$G8669="Reformer"),IF(COUNTIFS($D:$D,$D8669,$A:$A,$A8669,$B:$B,$B8669,$G:$G,"CDU",$J:$J,"PLANNED")&gt;0,"tied","standalone"),"")</f>
        <v/>
      </c>
    </row>
    <row r="8670" spans="1:14">
      <c r="A8670" s="6">
        <v>2027</v>
      </c>
      <c r="B8670" s="6">
        <v>9</v>
      </c>
      <c r="C8670" s="6" t="s">
        <v>68</v>
      </c>
      <c r="D8670" s="6" t="s">
        <v>592</v>
      </c>
      <c r="E8670" s="6" t="s">
        <v>593</v>
      </c>
      <c r="F8670" s="6" t="str">
        <f>IF($M8670="PADD I","PADD 1",IF($M8670="PADD II","PADD 2",IF($M8670="PADD III","PADD 3",IF($M8670="PADD IV","PADD 4",IF($M8670="PADD V","PADD 5","")))))</f>
        <v>PADD 2</v>
      </c>
      <c r="G8670" s="6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6" t="s">
        <v>44</v>
      </c>
      <c r="I8670" s="6" t="s">
        <v>1056</v>
      </c>
      <c r="J8670" s="6" t="s">
        <v>398</v>
      </c>
      <c r="K8670" s="10">
        <v>18</v>
      </c>
      <c r="L8670" s="10">
        <v>36</v>
      </c>
      <c r="M8670" s="6" t="s">
        <v>425</v>
      </c>
      <c r="N8670" s="6">
        <f>IF(OR($G8670="FCC",$G8670="Hydrocracker",$G8670="Reformer"),IF(COUNTIFS($D:$D,$D8670,$A:$A,$A8670,$B:$B,$B8670,$G:$G,"CDU",$J:$J,"PLANNED")&gt;0,"tied","standalone"),"")</f>
        <v/>
      </c>
    </row>
    <row r="8671" spans="1:14">
      <c r="A8671" s="6">
        <v>2027</v>
      </c>
      <c r="B8671" s="6">
        <v>9</v>
      </c>
      <c r="C8671" s="6" t="s">
        <v>68</v>
      </c>
      <c r="D8671" s="6" t="s">
        <v>430</v>
      </c>
      <c r="E8671" s="6" t="s">
        <v>431</v>
      </c>
      <c r="F8671" s="6" t="str">
        <f>IF($M8671="PADD I","PADD 1",IF($M8671="PADD II","PADD 2",IF($M8671="PADD III","PADD 3",IF($M8671="PADD IV","PADD 4",IF($M8671="PADD V","PADD 5","")))))</f>
        <v>PADD 3</v>
      </c>
      <c r="G8671" s="6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6" t="s">
        <v>44</v>
      </c>
      <c r="I8671" s="6" t="s">
        <v>1301</v>
      </c>
      <c r="J8671" s="6" t="s">
        <v>398</v>
      </c>
      <c r="K8671" s="10">
        <v>17.1</v>
      </c>
      <c r="L8671" s="10">
        <v>30</v>
      </c>
      <c r="M8671" s="6" t="s">
        <v>421</v>
      </c>
      <c r="N8671" s="6">
        <f>IF(OR($G8671="FCC",$G8671="Hydrocracker",$G8671="Reformer"),IF(COUNTIFS($D:$D,$D8671,$A:$A,$A8671,$B:$B,$B8671,$G:$G,"CDU",$J:$J,"PLANNED")&gt;0,"tied","standalone"),"")</f>
        <v/>
      </c>
    </row>
    <row r="8672" spans="1:14">
      <c r="A8672" s="6">
        <v>2027</v>
      </c>
      <c r="B8672" s="6">
        <v>9</v>
      </c>
      <c r="C8672" s="6" t="s">
        <v>68</v>
      </c>
      <c r="D8672" s="6" t="s">
        <v>1373</v>
      </c>
      <c r="E8672" s="6" t="s">
        <v>419</v>
      </c>
      <c r="F8672" s="6" t="str">
        <f>IF($M8672="PADD I","PADD 1",IF($M8672="PADD II","PADD 2",IF($M8672="PADD III","PADD 3",IF($M8672="PADD IV","PADD 4",IF($M8672="PADD V","PADD 5","")))))</f>
        <v>PADD 5</v>
      </c>
      <c r="G8672" s="6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6" t="s">
        <v>426</v>
      </c>
      <c r="I8672" s="6" t="s">
        <v>106</v>
      </c>
      <c r="J8672" s="6" t="s">
        <v>398</v>
      </c>
      <c r="K8672" s="10">
        <v>16.45</v>
      </c>
      <c r="L8672" s="10">
        <v>35</v>
      </c>
      <c r="M8672" s="6" t="s">
        <v>436</v>
      </c>
      <c r="N8672" s="6" t="str">
        <f>IF(OR($G8672="FCC",$G8672="Hydrocracker",$G8672="Reformer"),IF(COUNTIFS($D:$D,$D8672,$A:$A,$A8672,$B:$B,$B8672,$G:$G,"CDU",$J:$J,"PLANNED")&gt;0,"tied","standalone"),"")</f>
        <v>tied</v>
      </c>
    </row>
    <row r="8673" spans="1:14">
      <c r="A8673" s="6">
        <v>2027</v>
      </c>
      <c r="B8673" s="6">
        <v>9</v>
      </c>
      <c r="C8673" s="6" t="s">
        <v>68</v>
      </c>
      <c r="D8673" s="6" t="s">
        <v>41</v>
      </c>
      <c r="E8673" s="6" t="s">
        <v>786</v>
      </c>
      <c r="F8673" s="6" t="str">
        <f>IF($M8673="PADD I","PADD 1",IF($M8673="PADD II","PADD 2",IF($M8673="PADD III","PADD 3",IF($M8673="PADD IV","PADD 4",IF($M8673="PADD V","PADD 5","")))))</f>
        <v>PADD 1</v>
      </c>
      <c r="G8673" s="6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6" t="s">
        <v>494</v>
      </c>
      <c r="I8673" s="6" t="s">
        <v>495</v>
      </c>
      <c r="J8673" s="6" t="s">
        <v>398</v>
      </c>
      <c r="K8673" s="10">
        <v>16.08</v>
      </c>
      <c r="L8673" s="10">
        <v>24</v>
      </c>
      <c r="M8673" s="6" t="s">
        <v>463</v>
      </c>
      <c r="N8673" s="6" t="str">
        <f>IF(OR($G8673="FCC",$G8673="Hydrocracker",$G8673="Reformer"),IF(COUNTIFS($D:$D,$D8673,$A:$A,$A8673,$B:$B,$B8673,$G:$G,"CDU",$J:$J,"PLANNED")&gt;0,"tied","standalone"),"")</f>
        <v>standalone</v>
      </c>
    </row>
    <row r="8674" spans="1:14">
      <c r="A8674" s="6">
        <v>2027</v>
      </c>
      <c r="B8674" s="6">
        <v>9</v>
      </c>
      <c r="C8674" s="6" t="s">
        <v>68</v>
      </c>
      <c r="D8674" s="6" t="s">
        <v>430</v>
      </c>
      <c r="E8674" s="6" t="s">
        <v>431</v>
      </c>
      <c r="F8674" s="6" t="str">
        <f>IF($M8674="PADD I","PADD 1",IF($M8674="PADD II","PADD 2",IF($M8674="PADD III","PADD 3",IF($M8674="PADD IV","PADD 4",IF($M8674="PADD V","PADD 5","")))))</f>
        <v>PADD 3</v>
      </c>
      <c r="G8674" s="6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6" t="s">
        <v>485</v>
      </c>
      <c r="I8674" s="6" t="s">
        <v>565</v>
      </c>
      <c r="J8674" s="6" t="s">
        <v>398</v>
      </c>
      <c r="K8674" s="10">
        <v>15.675</v>
      </c>
      <c r="L8674" s="10">
        <v>27.5</v>
      </c>
      <c r="M8674" s="6" t="s">
        <v>421</v>
      </c>
      <c r="N8674" s="6">
        <f>IF(OR($G8674="FCC",$G8674="Hydrocracker",$G8674="Reformer"),IF(COUNTIFS($D:$D,$D8674,$A:$A,$A8674,$B:$B,$B8674,$G:$G,"CDU",$J:$J,"PLANNED")&gt;0,"tied","standalone"),"")</f>
        <v/>
      </c>
    </row>
    <row r="8675" spans="1:14">
      <c r="A8675" s="6">
        <v>2027</v>
      </c>
      <c r="B8675" s="6">
        <v>9</v>
      </c>
      <c r="C8675" s="6" t="s">
        <v>68</v>
      </c>
      <c r="D8675" s="6" t="s">
        <v>1373</v>
      </c>
      <c r="E8675" s="6" t="s">
        <v>419</v>
      </c>
      <c r="F8675" s="6" t="str">
        <f>IF($M8675="PADD I","PADD 1",IF($M8675="PADD II","PADD 2",IF($M8675="PADD III","PADD 3",IF($M8675="PADD IV","PADD 4",IF($M8675="PADD V","PADD 5","")))))</f>
        <v>PADD 5</v>
      </c>
      <c r="G8675" s="6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6" t="s">
        <v>44</v>
      </c>
      <c r="I8675" s="6" t="s">
        <v>861</v>
      </c>
      <c r="J8675" s="6" t="s">
        <v>398</v>
      </c>
      <c r="K8675" s="10">
        <v>15.04</v>
      </c>
      <c r="L8675" s="10">
        <v>32</v>
      </c>
      <c r="M8675" s="6" t="s">
        <v>436</v>
      </c>
      <c r="N8675" s="6">
        <f>IF(OR($G8675="FCC",$G8675="Hydrocracker",$G8675="Reformer"),IF(COUNTIFS($D:$D,$D8675,$A:$A,$A8675,$B:$B,$B8675,$G:$G,"CDU",$J:$J,"PLANNED")&gt;0,"tied","standalone"),"")</f>
        <v/>
      </c>
    </row>
    <row r="8676" spans="1:14">
      <c r="A8676" s="6">
        <v>2027</v>
      </c>
      <c r="B8676" s="6">
        <v>9</v>
      </c>
      <c r="C8676" s="6" t="s">
        <v>68</v>
      </c>
      <c r="D8676" s="6" t="s">
        <v>1380</v>
      </c>
      <c r="E8676" s="6" t="s">
        <v>1381</v>
      </c>
      <c r="F8676" s="6" t="str">
        <f>IF($M8676="PADD I","PADD 1",IF($M8676="PADD II","PADD 2",IF($M8676="PADD III","PADD 3",IF($M8676="PADD IV","PADD 4",IF($M8676="PADD V","PADD 5","")))))</f>
        <v>PADD 4</v>
      </c>
      <c r="G8676" s="6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6" t="s">
        <v>494</v>
      </c>
      <c r="I8676" s="6" t="s">
        <v>757</v>
      </c>
      <c r="J8676" s="6" t="s">
        <v>398</v>
      </c>
      <c r="K8676" s="10">
        <v>14.94</v>
      </c>
      <c r="L8676" s="10">
        <v>18</v>
      </c>
      <c r="M8676" s="6" t="s">
        <v>480</v>
      </c>
      <c r="N8676" s="6" t="str">
        <f>IF(OR($G8676="FCC",$G8676="Hydrocracker",$G8676="Reformer"),IF(COUNTIFS($D:$D,$D8676,$A:$A,$A8676,$B:$B,$B8676,$G:$G,"CDU",$J:$J,"PLANNED")&gt;0,"tied","standalone"),"")</f>
        <v>tied</v>
      </c>
    </row>
    <row r="8677" spans="1:14">
      <c r="A8677" s="6">
        <v>2027</v>
      </c>
      <c r="B8677" s="6">
        <v>9</v>
      </c>
      <c r="C8677" s="6" t="s">
        <v>68</v>
      </c>
      <c r="D8677" s="6" t="s">
        <v>622</v>
      </c>
      <c r="E8677" s="6" t="s">
        <v>623</v>
      </c>
      <c r="F8677" s="6" t="str">
        <f>IF($M8677="PADD I","PADD 1",IF($M8677="PADD II","PADD 2",IF($M8677="PADD III","PADD 3",IF($M8677="PADD IV","PADD 4",IF($M8677="PADD V","PADD 5","")))))</f>
        <v>PADD 3</v>
      </c>
      <c r="G8677" s="6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6" t="s">
        <v>39</v>
      </c>
      <c r="I8677" s="6" t="s">
        <v>624</v>
      </c>
      <c r="J8677" s="6" t="s">
        <v>398</v>
      </c>
      <c r="K8677" s="10">
        <v>13.5</v>
      </c>
      <c r="L8677" s="10">
        <v>50</v>
      </c>
      <c r="M8677" s="6" t="s">
        <v>421</v>
      </c>
      <c r="N8677" s="6">
        <f>IF(OR($G8677="FCC",$G8677="Hydrocracker",$G8677="Reformer"),IF(COUNTIFS($D:$D,$D8677,$A:$A,$A8677,$B:$B,$B8677,$G:$G,"CDU",$J:$J,"PLANNED")&gt;0,"tied","standalone"),"")</f>
        <v/>
      </c>
    </row>
    <row r="8678" spans="1:14">
      <c r="A8678" s="6">
        <v>2027</v>
      </c>
      <c r="B8678" s="6">
        <v>9</v>
      </c>
      <c r="C8678" s="6" t="s">
        <v>68</v>
      </c>
      <c r="D8678" s="6" t="s">
        <v>1110</v>
      </c>
      <c r="E8678" s="6" t="s">
        <v>1089</v>
      </c>
      <c r="F8678" s="6" t="str">
        <f>IF($M8678="PADD I","PADD 1",IF($M8678="PADD II","PADD 2",IF($M8678="PADD III","PADD 3",IF($M8678="PADD IV","PADD 4",IF($M8678="PADD V","PADD 5","")))))</f>
        <v>PADD 2</v>
      </c>
      <c r="G8678" s="6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6" t="s">
        <v>510</v>
      </c>
      <c r="I8678" s="6" t="s">
        <v>666</v>
      </c>
      <c r="J8678" s="6" t="s">
        <v>398</v>
      </c>
      <c r="K8678" s="10">
        <v>13.3</v>
      </c>
      <c r="L8678" s="10">
        <v>19</v>
      </c>
      <c r="M8678" s="6" t="s">
        <v>425</v>
      </c>
      <c r="N8678" s="6">
        <f>IF(OR($G8678="FCC",$G8678="Hydrocracker",$G8678="Reformer"),IF(COUNTIFS($D:$D,$D8678,$A:$A,$A8678,$B:$B,$B8678,$G:$G,"CDU",$J:$J,"PLANNED")&gt;0,"tied","standalone"),"")</f>
        <v/>
      </c>
    </row>
    <row r="8679" spans="1:14">
      <c r="A8679" s="6">
        <v>2027</v>
      </c>
      <c r="B8679" s="6">
        <v>9</v>
      </c>
      <c r="C8679" s="6" t="s">
        <v>68</v>
      </c>
      <c r="D8679" s="6" t="s">
        <v>1380</v>
      </c>
      <c r="E8679" s="6" t="s">
        <v>1381</v>
      </c>
      <c r="F8679" s="6" t="str">
        <f>IF($M8679="PADD I","PADD 1",IF($M8679="PADD II","PADD 2",IF($M8679="PADD III","PADD 3",IF($M8679="PADD IV","PADD 4",IF($M8679="PADD V","PADD 5","")))))</f>
        <v>PADD 4</v>
      </c>
      <c r="G8679" s="6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6" t="s">
        <v>39</v>
      </c>
      <c r="I8679" s="6" t="s">
        <v>136</v>
      </c>
      <c r="J8679" s="6" t="s">
        <v>398</v>
      </c>
      <c r="K8679" s="10">
        <v>12.45</v>
      </c>
      <c r="L8679" s="10">
        <v>15</v>
      </c>
      <c r="M8679" s="6" t="s">
        <v>480</v>
      </c>
      <c r="N8679" s="6">
        <f>IF(OR($G8679="FCC",$G8679="Hydrocracker",$G8679="Reformer"),IF(COUNTIFS($D:$D,$D8679,$A:$A,$A8679,$B:$B,$B8679,$G:$G,"CDU",$J:$J,"PLANNED")&gt;0,"tied","standalone"),"")</f>
        <v/>
      </c>
    </row>
    <row r="8680" spans="1:14">
      <c r="A8680" s="6">
        <v>2027</v>
      </c>
      <c r="B8680" s="6">
        <v>9</v>
      </c>
      <c r="C8680" s="6" t="s">
        <v>68</v>
      </c>
      <c r="D8680" s="6" t="s">
        <v>652</v>
      </c>
      <c r="E8680" s="6" t="s">
        <v>419</v>
      </c>
      <c r="F8680" s="6" t="str">
        <f>IF($M8680="PADD I","PADD 1",IF($M8680="PADD II","PADD 2",IF($M8680="PADD III","PADD 3",IF($M8680="PADD IV","PADD 4",IF($M8680="PADD V","PADD 5","")))))</f>
        <v>PADD 2</v>
      </c>
      <c r="G8680" s="6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6" t="s">
        <v>510</v>
      </c>
      <c r="I8680" s="6" t="s">
        <v>666</v>
      </c>
      <c r="J8680" s="6" t="s">
        <v>398</v>
      </c>
      <c r="K8680" s="10">
        <v>12</v>
      </c>
      <c r="L8680" s="10">
        <v>12</v>
      </c>
      <c r="M8680" s="6" t="s">
        <v>425</v>
      </c>
      <c r="N8680" s="6">
        <f>IF(OR($G8680="FCC",$G8680="Hydrocracker",$G8680="Reformer"),IF(COUNTIFS($D:$D,$D8680,$A:$A,$A8680,$B:$B,$B8680,$G:$G,"CDU",$J:$J,"PLANNED")&gt;0,"tied","standalone"),"")</f>
        <v/>
      </c>
    </row>
    <row r="8681" spans="1:14">
      <c r="A8681" s="6">
        <v>2027</v>
      </c>
      <c r="B8681" s="6">
        <v>9</v>
      </c>
      <c r="C8681" s="6" t="s">
        <v>68</v>
      </c>
      <c r="D8681" s="6" t="s">
        <v>430</v>
      </c>
      <c r="E8681" s="6" t="s">
        <v>431</v>
      </c>
      <c r="F8681" s="6" t="str">
        <f>IF($M8681="PADD I","PADD 1",IF($M8681="PADD II","PADD 2",IF($M8681="PADD III","PADD 3",IF($M8681="PADD IV","PADD 4",IF($M8681="PADD V","PADD 5","")))))</f>
        <v>PADD 3</v>
      </c>
      <c r="G8681" s="6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6" t="s">
        <v>44</v>
      </c>
      <c r="I8681" s="6" t="s">
        <v>1297</v>
      </c>
      <c r="J8681" s="6" t="s">
        <v>398</v>
      </c>
      <c r="K8681" s="10">
        <v>12</v>
      </c>
      <c r="L8681" s="10">
        <v>40</v>
      </c>
      <c r="M8681" s="6" t="s">
        <v>421</v>
      </c>
      <c r="N8681" s="6">
        <f>IF(OR($G8681="FCC",$G8681="Hydrocracker",$G8681="Reformer"),IF(COUNTIFS($D:$D,$D8681,$A:$A,$A8681,$B:$B,$B8681,$G:$G,"CDU",$J:$J,"PLANNED")&gt;0,"tied","standalone"),"")</f>
        <v/>
      </c>
    </row>
    <row r="8682" spans="1:14">
      <c r="A8682" s="6">
        <v>2027</v>
      </c>
      <c r="B8682" s="6">
        <v>9</v>
      </c>
      <c r="C8682" s="6" t="s">
        <v>68</v>
      </c>
      <c r="D8682" s="6" t="s">
        <v>789</v>
      </c>
      <c r="E8682" s="6" t="s">
        <v>455</v>
      </c>
      <c r="F8682" s="6" t="str">
        <f>IF($M8682="PADD I","PADD 1",IF($M8682="PADD II","PADD 2",IF($M8682="PADD III","PADD 3",IF($M8682="PADD IV","PADD 4",IF($M8682="PADD V","PADD 5","")))))</f>
        <v>PADD 2</v>
      </c>
      <c r="G8682" s="6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6" t="s">
        <v>494</v>
      </c>
      <c r="I8682" s="6" t="s">
        <v>845</v>
      </c>
      <c r="J8682" s="6" t="s">
        <v>398</v>
      </c>
      <c r="K8682" s="10">
        <v>11.16</v>
      </c>
      <c r="L8682" s="10">
        <v>12</v>
      </c>
      <c r="M8682" s="6" t="s">
        <v>425</v>
      </c>
      <c r="N8682" s="6" t="str">
        <f>IF(OR($G8682="FCC",$G8682="Hydrocracker",$G8682="Reformer"),IF(COUNTIFS($D:$D,$D8682,$A:$A,$A8682,$B:$B,$B8682,$G:$G,"CDU",$J:$J,"PLANNED")&gt;0,"tied","standalone"),"")</f>
        <v>tied</v>
      </c>
    </row>
    <row r="8683" spans="1:14">
      <c r="A8683" s="6">
        <v>2027</v>
      </c>
      <c r="B8683" s="6">
        <v>9</v>
      </c>
      <c r="C8683" s="6" t="s">
        <v>68</v>
      </c>
      <c r="D8683" s="6" t="s">
        <v>1373</v>
      </c>
      <c r="E8683" s="6" t="s">
        <v>419</v>
      </c>
      <c r="F8683" s="6" t="str">
        <f>IF($M8683="PADD I","PADD 1",IF($M8683="PADD II","PADD 2",IF($M8683="PADD III","PADD 3",IF($M8683="PADD IV","PADD 4",IF($M8683="PADD V","PADD 5","")))))</f>
        <v>PADD 5</v>
      </c>
      <c r="G8683" s="6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6" t="s">
        <v>44</v>
      </c>
      <c r="I8683" s="6" t="s">
        <v>508</v>
      </c>
      <c r="J8683" s="6" t="s">
        <v>398</v>
      </c>
      <c r="K8683" s="10">
        <v>9.4</v>
      </c>
      <c r="L8683" s="10">
        <v>20</v>
      </c>
      <c r="M8683" s="6" t="s">
        <v>436</v>
      </c>
      <c r="N8683" s="6">
        <f>IF(OR($G8683="FCC",$G8683="Hydrocracker",$G8683="Reformer"),IF(COUNTIFS($D:$D,$D8683,$A:$A,$A8683,$B:$B,$B8683,$G:$G,"CDU",$J:$J,"PLANNED")&gt;0,"tied","standalone"),"")</f>
        <v/>
      </c>
    </row>
    <row r="8684" spans="1:14">
      <c r="A8684" s="6">
        <v>2027</v>
      </c>
      <c r="B8684" s="6">
        <v>9</v>
      </c>
      <c r="C8684" s="6" t="s">
        <v>68</v>
      </c>
      <c r="D8684" s="6" t="s">
        <v>1380</v>
      </c>
      <c r="E8684" s="6" t="s">
        <v>1381</v>
      </c>
      <c r="F8684" s="6" t="str">
        <f>IF($M8684="PADD I","PADD 1",IF($M8684="PADD II","PADD 2",IF($M8684="PADD III","PADD 3",IF($M8684="PADD IV","PADD 4",IF($M8684="PADD V","PADD 5","")))))</f>
        <v>PADD 4</v>
      </c>
      <c r="G8684" s="6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6" t="s">
        <v>39</v>
      </c>
      <c r="I8684" s="6" t="s">
        <v>132</v>
      </c>
      <c r="J8684" s="6" t="s">
        <v>398</v>
      </c>
      <c r="K8684" s="10">
        <v>8.300000000000001</v>
      </c>
      <c r="L8684" s="10">
        <v>10</v>
      </c>
      <c r="M8684" s="6" t="s">
        <v>480</v>
      </c>
      <c r="N8684" s="6">
        <f>IF(OR($G8684="FCC",$G8684="Hydrocracker",$G8684="Reformer"),IF(COUNTIFS($D:$D,$D8684,$A:$A,$A8684,$B:$B,$B8684,$G:$G,"CDU",$J:$J,"PLANNED")&gt;0,"tied","standalone"),"")</f>
        <v/>
      </c>
    </row>
    <row r="8685" spans="1:14">
      <c r="A8685" s="6">
        <v>2027</v>
      </c>
      <c r="B8685" s="6">
        <v>9</v>
      </c>
      <c r="C8685" s="6" t="s">
        <v>68</v>
      </c>
      <c r="D8685" s="6" t="s">
        <v>518</v>
      </c>
      <c r="E8685" s="6" t="s">
        <v>419</v>
      </c>
      <c r="F8685" s="6" t="str">
        <f>IF($M8685="PADD I","PADD 1",IF($M8685="PADD II","PADD 2",IF($M8685="PADD III","PADD 3",IF($M8685="PADD IV","PADD 4",IF($M8685="PADD V","PADD 5","")))))</f>
        <v>PADD 3</v>
      </c>
      <c r="G8685" s="6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6" t="s">
        <v>44</v>
      </c>
      <c r="I8685" s="6" t="s">
        <v>1226</v>
      </c>
      <c r="J8685" s="6" t="s">
        <v>398</v>
      </c>
      <c r="K8685" s="10">
        <v>8.050000000000001</v>
      </c>
      <c r="L8685" s="10">
        <v>35</v>
      </c>
      <c r="M8685" s="6" t="s">
        <v>421</v>
      </c>
      <c r="N8685" s="6">
        <f>IF(OR($G8685="FCC",$G8685="Hydrocracker",$G8685="Reformer"),IF(COUNTIFS($D:$D,$D8685,$A:$A,$A8685,$B:$B,$B8685,$G:$G,"CDU",$J:$J,"PLANNED")&gt;0,"tied","standalone"),"")</f>
        <v/>
      </c>
    </row>
    <row r="8686" spans="1:14">
      <c r="A8686" s="6">
        <v>2027</v>
      </c>
      <c r="B8686" s="6">
        <v>9</v>
      </c>
      <c r="C8686" s="6" t="s">
        <v>68</v>
      </c>
      <c r="D8686" s="6" t="s">
        <v>1373</v>
      </c>
      <c r="E8686" s="6" t="s">
        <v>419</v>
      </c>
      <c r="F8686" s="6" t="str">
        <f>IF($M8686="PADD I","PADD 1",IF($M8686="PADD II","PADD 2",IF($M8686="PADD III","PADD 3",IF($M8686="PADD IV","PADD 4",IF($M8686="PADD V","PADD 5","")))))</f>
        <v>PADD 5</v>
      </c>
      <c r="G8686" s="6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6" t="s">
        <v>44</v>
      </c>
      <c r="I8686" s="6" t="s">
        <v>1423</v>
      </c>
      <c r="J8686" s="6" t="s">
        <v>398</v>
      </c>
      <c r="K8686" s="10">
        <v>7.99</v>
      </c>
      <c r="L8686" s="10">
        <v>17</v>
      </c>
      <c r="M8686" s="6" t="s">
        <v>436</v>
      </c>
      <c r="N8686" s="6">
        <f>IF(OR($G8686="FCC",$G8686="Hydrocracker",$G8686="Reformer"),IF(COUNTIFS($D:$D,$D8686,$A:$A,$A8686,$B:$B,$B8686,$G:$G,"CDU",$J:$J,"PLANNED")&gt;0,"tied","standalone"),"")</f>
        <v/>
      </c>
    </row>
    <row r="8687" spans="1:14">
      <c r="A8687" s="6">
        <v>2027</v>
      </c>
      <c r="B8687" s="6">
        <v>9</v>
      </c>
      <c r="C8687" s="6" t="s">
        <v>68</v>
      </c>
      <c r="D8687" s="6" t="s">
        <v>1373</v>
      </c>
      <c r="E8687" s="6" t="s">
        <v>419</v>
      </c>
      <c r="F8687" s="6" t="str">
        <f>IF($M8687="PADD I","PADD 1",IF($M8687="PADD II","PADD 2",IF($M8687="PADD III","PADD 3",IF($M8687="PADD IV","PADD 4",IF($M8687="PADD V","PADD 5","")))))</f>
        <v>PADD 5</v>
      </c>
      <c r="G8687" s="6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6" t="s">
        <v>471</v>
      </c>
      <c r="I8687" s="6" t="s">
        <v>1153</v>
      </c>
      <c r="J8687" s="6" t="s">
        <v>398</v>
      </c>
      <c r="K8687" s="10">
        <v>7.52</v>
      </c>
      <c r="L8687" s="10">
        <v>16</v>
      </c>
      <c r="M8687" s="6" t="s">
        <v>436</v>
      </c>
      <c r="N8687" s="6" t="str">
        <f>IF(OR($G8687="FCC",$G8687="Hydrocracker",$G8687="Reformer"),IF(COUNTIFS($D:$D,$D8687,$A:$A,$A8687,$B:$B,$B8687,$G:$G,"CDU",$J:$J,"PLANNED")&gt;0,"tied","standalone"),"")</f>
        <v>tied</v>
      </c>
    </row>
    <row r="8688" spans="1:14">
      <c r="A8688" s="6">
        <v>2027</v>
      </c>
      <c r="B8688" s="6">
        <v>9</v>
      </c>
      <c r="C8688" s="6" t="s">
        <v>68</v>
      </c>
      <c r="D8688" s="6" t="s">
        <v>937</v>
      </c>
      <c r="E8688" s="6" t="s">
        <v>455</v>
      </c>
      <c r="F8688" s="6" t="str">
        <f>IF($M8688="PADD I","PADD 1",IF($M8688="PADD II","PADD 2",IF($M8688="PADD III","PADD 3",IF($M8688="PADD IV","PADD 4",IF($M8688="PADD V","PADD 5","")))))</f>
        <v>PADD 3</v>
      </c>
      <c r="G8688" s="6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6" t="s">
        <v>494</v>
      </c>
      <c r="I8688" s="6" t="s">
        <v>1072</v>
      </c>
      <c r="J8688" s="6" t="s">
        <v>398</v>
      </c>
      <c r="K8688" s="10">
        <v>6.9</v>
      </c>
      <c r="L8688" s="10">
        <v>30</v>
      </c>
      <c r="M8688" s="6" t="s">
        <v>421</v>
      </c>
      <c r="N8688" s="6" t="str">
        <f>IF(OR($G8688="FCC",$G8688="Hydrocracker",$G8688="Reformer"),IF(COUNTIFS($D:$D,$D8688,$A:$A,$A8688,$B:$B,$B8688,$G:$G,"CDU",$J:$J,"PLANNED")&gt;0,"tied","standalone"),"")</f>
        <v>standalone</v>
      </c>
    </row>
    <row r="8689" spans="1:14">
      <c r="A8689" s="6">
        <v>2027</v>
      </c>
      <c r="B8689" s="6">
        <v>9</v>
      </c>
      <c r="C8689" s="6" t="s">
        <v>68</v>
      </c>
      <c r="D8689" s="6" t="s">
        <v>789</v>
      </c>
      <c r="E8689" s="6" t="s">
        <v>455</v>
      </c>
      <c r="F8689" s="6" t="str">
        <f>IF($M8689="PADD I","PADD 1",IF($M8689="PADD II","PADD 2",IF($M8689="PADD III","PADD 3",IF($M8689="PADD IV","PADD 4",IF($M8689="PADD V","PADD 5","")))))</f>
        <v>PADD 2</v>
      </c>
      <c r="G8689" s="6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6" t="s">
        <v>618</v>
      </c>
      <c r="I8689" s="6" t="s">
        <v>654</v>
      </c>
      <c r="J8689" s="6" t="s">
        <v>398</v>
      </c>
      <c r="K8689" s="10">
        <v>6.51</v>
      </c>
      <c r="L8689" s="10">
        <v>7</v>
      </c>
      <c r="M8689" s="6" t="s">
        <v>425</v>
      </c>
      <c r="N8689" s="6">
        <f>IF(OR($G8689="FCC",$G8689="Hydrocracker",$G8689="Reformer"),IF(COUNTIFS($D:$D,$D8689,$A:$A,$A8689,$B:$B,$B8689,$G:$G,"CDU",$J:$J,"PLANNED")&gt;0,"tied","standalone"),"")</f>
        <v/>
      </c>
    </row>
    <row r="8690" spans="1:14">
      <c r="A8690" s="6">
        <v>2027</v>
      </c>
      <c r="B8690" s="6">
        <v>9</v>
      </c>
      <c r="C8690" s="6" t="s">
        <v>68</v>
      </c>
      <c r="D8690" s="6" t="s">
        <v>789</v>
      </c>
      <c r="E8690" s="6" t="s">
        <v>455</v>
      </c>
      <c r="F8690" s="6" t="str">
        <f>IF($M8690="PADD I","PADD 1",IF($M8690="PADD II","PADD 2",IF($M8690="PADD III","PADD 3",IF($M8690="PADD IV","PADD 4",IF($M8690="PADD V","PADD 5","")))))</f>
        <v>PADD 2</v>
      </c>
      <c r="G8690" s="6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6" t="s">
        <v>510</v>
      </c>
      <c r="I8690" s="6" t="s">
        <v>666</v>
      </c>
      <c r="J8690" s="6" t="s">
        <v>398</v>
      </c>
      <c r="K8690" s="10">
        <v>5.766</v>
      </c>
      <c r="L8690" s="10">
        <v>6.2</v>
      </c>
      <c r="M8690" s="6" t="s">
        <v>425</v>
      </c>
      <c r="N8690" s="6">
        <f>IF(OR($G8690="FCC",$G8690="Hydrocracker",$G8690="Reformer"),IF(COUNTIFS($D:$D,$D8690,$A:$A,$A8690,$B:$B,$B8690,$G:$G,"CDU",$J:$J,"PLANNED")&gt;0,"tied","standalone"),"")</f>
        <v/>
      </c>
    </row>
    <row r="8691" spans="1:14">
      <c r="A8691" s="6">
        <v>2027</v>
      </c>
      <c r="B8691" s="6">
        <v>9</v>
      </c>
      <c r="C8691" s="6" t="s">
        <v>68</v>
      </c>
      <c r="D8691" s="6" t="s">
        <v>382</v>
      </c>
      <c r="E8691" s="6" t="s">
        <v>431</v>
      </c>
      <c r="F8691" s="6" t="str">
        <f>IF($M8691="PADD I","PADD 1",IF($M8691="PADD II","PADD 2",IF($M8691="PADD III","PADD 3",IF($M8691="PADD IV","PADD 4",IF($M8691="PADD V","PADD 5","")))))</f>
        <v>PADD 3</v>
      </c>
      <c r="G8691" s="6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6" t="s">
        <v>44</v>
      </c>
      <c r="I8691" s="6" t="s">
        <v>993</v>
      </c>
      <c r="J8691" s="6" t="s">
        <v>398</v>
      </c>
      <c r="K8691" s="10">
        <v>5.2</v>
      </c>
      <c r="L8691" s="10">
        <v>40</v>
      </c>
      <c r="M8691" s="6" t="s">
        <v>421</v>
      </c>
      <c r="N8691" s="6">
        <f>IF(OR($G8691="FCC",$G8691="Hydrocracker",$G8691="Reformer"),IF(COUNTIFS($D:$D,$D8691,$A:$A,$A8691,$B:$B,$B8691,$G:$G,"CDU",$J:$J,"PLANNED")&gt;0,"tied","standalone"),"")</f>
        <v/>
      </c>
    </row>
    <row r="8692" spans="1:14">
      <c r="A8692" s="6">
        <v>2027</v>
      </c>
      <c r="B8692" s="6">
        <v>9</v>
      </c>
      <c r="C8692" s="6" t="s">
        <v>68</v>
      </c>
      <c r="D8692" s="6" t="s">
        <v>518</v>
      </c>
      <c r="E8692" s="6" t="s">
        <v>419</v>
      </c>
      <c r="F8692" s="6" t="str">
        <f>IF($M8692="PADD I","PADD 1",IF($M8692="PADD II","PADD 2",IF($M8692="PADD III","PADD 3",IF($M8692="PADD IV","PADD 4",IF($M8692="PADD V","PADD 5","")))))</f>
        <v>PADD 3</v>
      </c>
      <c r="G8692" s="6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6" t="s">
        <v>618</v>
      </c>
      <c r="I8692" s="6" t="s">
        <v>1451</v>
      </c>
      <c r="J8692" s="6" t="s">
        <v>398</v>
      </c>
      <c r="K8692" s="10">
        <v>4.6</v>
      </c>
      <c r="L8692" s="10">
        <v>20</v>
      </c>
      <c r="M8692" s="6" t="s">
        <v>421</v>
      </c>
      <c r="N8692" s="6">
        <f>IF(OR($G8692="FCC",$G8692="Hydrocracker",$G8692="Reformer"),IF(COUNTIFS($D:$D,$D8692,$A:$A,$A8692,$B:$B,$B8692,$G:$G,"CDU",$J:$J,"PLANNED")&gt;0,"tied","standalone"),"")</f>
        <v/>
      </c>
    </row>
    <row r="8693" spans="1:14">
      <c r="A8693" s="6">
        <v>2027</v>
      </c>
      <c r="B8693" s="6">
        <v>9</v>
      </c>
      <c r="C8693" s="6" t="s">
        <v>68</v>
      </c>
      <c r="D8693" s="6" t="s">
        <v>1380</v>
      </c>
      <c r="E8693" s="6" t="s">
        <v>1381</v>
      </c>
      <c r="F8693" s="6" t="str">
        <f>IF($M8693="PADD I","PADD 1",IF($M8693="PADD II","PADD 2",IF($M8693="PADD III","PADD 3",IF($M8693="PADD IV","PADD 4",IF($M8693="PADD V","PADD 5","")))))</f>
        <v>PADD 4</v>
      </c>
      <c r="G8693" s="6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6" t="s">
        <v>44</v>
      </c>
      <c r="I8693" s="6" t="s">
        <v>1452</v>
      </c>
      <c r="J8693" s="6" t="s">
        <v>398</v>
      </c>
      <c r="K8693" s="10">
        <v>4.15</v>
      </c>
      <c r="L8693" s="10">
        <v>5</v>
      </c>
      <c r="M8693" s="6" t="s">
        <v>480</v>
      </c>
      <c r="N8693" s="6">
        <f>IF(OR($G8693="FCC",$G8693="Hydrocracker",$G8693="Reformer"),IF(COUNTIFS($D:$D,$D8693,$A:$A,$A8693,$B:$B,$B8693,$G:$G,"CDU",$J:$J,"PLANNED")&gt;0,"tied","standalone"),"")</f>
        <v/>
      </c>
    </row>
    <row r="8694" spans="1:14">
      <c r="A8694" s="6">
        <v>2027</v>
      </c>
      <c r="B8694" s="6">
        <v>9</v>
      </c>
      <c r="C8694" s="6" t="s">
        <v>68</v>
      </c>
      <c r="D8694" s="6" t="s">
        <v>1373</v>
      </c>
      <c r="E8694" s="6" t="s">
        <v>419</v>
      </c>
      <c r="F8694" s="6" t="str">
        <f>IF($M8694="PADD I","PADD 1",IF($M8694="PADD II","PADD 2",IF($M8694="PADD III","PADD 3",IF($M8694="PADD IV","PADD 4",IF($M8694="PADD V","PADD 5","")))))</f>
        <v>PADD 5</v>
      </c>
      <c r="G8694" s="6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6" t="s">
        <v>510</v>
      </c>
      <c r="I8694" s="6" t="s">
        <v>666</v>
      </c>
      <c r="J8694" s="6" t="s">
        <v>398</v>
      </c>
      <c r="K8694" s="10">
        <v>3.995</v>
      </c>
      <c r="L8694" s="10">
        <v>8.5</v>
      </c>
      <c r="M8694" s="6" t="s">
        <v>436</v>
      </c>
      <c r="N8694" s="6">
        <f>IF(OR($G8694="FCC",$G8694="Hydrocracker",$G8694="Reformer"),IF(COUNTIFS($D:$D,$D8694,$A:$A,$A8694,$B:$B,$B8694,$G:$G,"CDU",$J:$J,"PLANNED")&gt;0,"tied","standalone"),"")</f>
        <v/>
      </c>
    </row>
    <row r="8695" spans="1:14">
      <c r="A8695" s="6">
        <v>2027</v>
      </c>
      <c r="B8695" s="6">
        <v>9</v>
      </c>
      <c r="C8695" s="6" t="s">
        <v>68</v>
      </c>
      <c r="D8695" s="6" t="s">
        <v>792</v>
      </c>
      <c r="E8695" s="6" t="s">
        <v>438</v>
      </c>
      <c r="F8695" s="6" t="str">
        <f>IF($M8695="PADD I","PADD 1",IF($M8695="PADD II","PADD 2",IF($M8695="PADD III","PADD 3",IF($M8695="PADD IV","PADD 4",IF($M8695="PADD V","PADD 5","")))))</f>
        <v>PADD 5</v>
      </c>
      <c r="G8695" s="6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6" t="s">
        <v>618</v>
      </c>
      <c r="I8695" s="6" t="s">
        <v>818</v>
      </c>
      <c r="J8695" s="6" t="s">
        <v>398</v>
      </c>
      <c r="K8695" s="10">
        <v>3.5</v>
      </c>
      <c r="L8695" s="10">
        <v>3.5</v>
      </c>
      <c r="M8695" s="6" t="s">
        <v>436</v>
      </c>
      <c r="N8695" s="6">
        <f>IF(OR($G8695="FCC",$G8695="Hydrocracker",$G8695="Reformer"),IF(COUNTIFS($D:$D,$D8695,$A:$A,$A8695,$B:$B,$B8695,$G:$G,"CDU",$J:$J,"PLANNED")&gt;0,"tied","standalone"),"")</f>
        <v/>
      </c>
    </row>
    <row r="8696" spans="1:14">
      <c r="A8696" s="6">
        <v>2027</v>
      </c>
      <c r="B8696" s="6">
        <v>9</v>
      </c>
      <c r="C8696" s="6" t="s">
        <v>68</v>
      </c>
      <c r="D8696" s="6" t="s">
        <v>1380</v>
      </c>
      <c r="E8696" s="6" t="s">
        <v>1381</v>
      </c>
      <c r="F8696" s="6" t="str">
        <f>IF($M8696="PADD I","PADD 1",IF($M8696="PADD II","PADD 2",IF($M8696="PADD III","PADD 3",IF($M8696="PADD IV","PADD 4",IF($M8696="PADD V","PADD 5","")))))</f>
        <v>PADD 4</v>
      </c>
      <c r="G8696" s="6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6" t="s">
        <v>426</v>
      </c>
      <c r="I8696" s="6" t="s">
        <v>106</v>
      </c>
      <c r="J8696" s="6" t="s">
        <v>398</v>
      </c>
      <c r="K8696" s="10">
        <v>2.324</v>
      </c>
      <c r="L8696" s="10">
        <v>2.8</v>
      </c>
      <c r="M8696" s="6" t="s">
        <v>480</v>
      </c>
      <c r="N8696" s="6" t="str">
        <f>IF(OR($G8696="FCC",$G8696="Hydrocracker",$G8696="Reformer"),IF(COUNTIFS($D:$D,$D8696,$A:$A,$A8696,$B:$B,$B8696,$G:$G,"CDU",$J:$J,"PLANNED")&gt;0,"tied","standalone"),"")</f>
        <v>tied</v>
      </c>
    </row>
    <row r="8697" spans="1:14">
      <c r="A8697" s="6">
        <v>2027</v>
      </c>
      <c r="B8697" s="6">
        <v>9</v>
      </c>
      <c r="C8697" s="6" t="s">
        <v>68</v>
      </c>
      <c r="D8697" s="6" t="s">
        <v>1380</v>
      </c>
      <c r="E8697" s="6" t="s">
        <v>1381</v>
      </c>
      <c r="F8697" s="6" t="str">
        <f>IF($M8697="PADD I","PADD 1",IF($M8697="PADD II","PADD 2",IF($M8697="PADD III","PADD 3",IF($M8697="PADD IV","PADD 4",IF($M8697="PADD V","PADD 5","")))))</f>
        <v>PADD 4</v>
      </c>
      <c r="G8697" s="6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6" t="s">
        <v>471</v>
      </c>
      <c r="I8697" s="6" t="s">
        <v>15</v>
      </c>
      <c r="J8697" s="6" t="s">
        <v>398</v>
      </c>
      <c r="K8697" s="10">
        <v>0.83</v>
      </c>
      <c r="L8697" s="10">
        <v>1</v>
      </c>
      <c r="M8697" s="6" t="s">
        <v>480</v>
      </c>
      <c r="N8697" s="6" t="str">
        <f>IF(OR($G8697="FCC",$G8697="Hydrocracker",$G8697="Reformer"),IF(COUNTIFS($D:$D,$D8697,$A:$A,$A8697,$B:$B,$B8697,$G:$G,"CDU",$J:$J,"PLANNED")&gt;0,"tied","standalone"),"")</f>
        <v>tied</v>
      </c>
    </row>
    <row r="8698" spans="1:14">
      <c r="A8698" s="6">
        <v>2027</v>
      </c>
      <c r="B8698" s="6">
        <v>10</v>
      </c>
      <c r="C8698" s="6" t="s">
        <v>69</v>
      </c>
      <c r="D8698" s="6" t="s">
        <v>597</v>
      </c>
      <c r="E8698" s="6" t="s">
        <v>441</v>
      </c>
      <c r="F8698" s="6" t="str">
        <f>IF($M8698="PADD I","PADD 1",IF($M8698="PADD II","PADD 2",IF($M8698="PADD III","PADD 3",IF($M8698="PADD IV","PADD 4",IF($M8698="PADD V","PADD 5","")))))</f>
        <v>PADD 5</v>
      </c>
      <c r="G8698" s="6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6" t="s">
        <v>39</v>
      </c>
      <c r="I8698" s="6" t="s">
        <v>82</v>
      </c>
      <c r="J8698" s="6" t="s">
        <v>398</v>
      </c>
      <c r="K8698" s="10">
        <v>232.8</v>
      </c>
      <c r="L8698" s="10">
        <v>240</v>
      </c>
      <c r="M8698" s="6" t="s">
        <v>436</v>
      </c>
      <c r="N8698" s="6">
        <f>IF(OR($G8698="FCC",$G8698="Hydrocracker",$G8698="Reformer"),IF(COUNTIFS($D:$D,$D8698,$A:$A,$A8698,$B:$B,$B8698,$G:$G,"CDU",$J:$J,"PLANNED")&gt;0,"tied","standalone"),"")</f>
        <v/>
      </c>
    </row>
    <row r="8699" spans="1:14">
      <c r="A8699" s="6">
        <v>2027</v>
      </c>
      <c r="B8699" s="6">
        <v>10</v>
      </c>
      <c r="C8699" s="6" t="s">
        <v>69</v>
      </c>
      <c r="D8699" s="6" t="s">
        <v>368</v>
      </c>
      <c r="E8699" s="6" t="s">
        <v>715</v>
      </c>
      <c r="F8699" s="6" t="str">
        <f>IF($M8699="PADD I","PADD 1",IF($M8699="PADD II","PADD 2",IF($M8699="PADD III","PADD 3",IF($M8699="PADD IV","PADD 4",IF($M8699="PADD V","PADD 5","")))))</f>
        <v>PADD 3</v>
      </c>
      <c r="G8699" s="6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6" t="s">
        <v>39</v>
      </c>
      <c r="I8699" s="6" t="s">
        <v>87</v>
      </c>
      <c r="J8699" s="6" t="s">
        <v>398</v>
      </c>
      <c r="K8699" s="10">
        <v>232.8</v>
      </c>
      <c r="L8699" s="10">
        <v>240</v>
      </c>
      <c r="M8699" s="6" t="s">
        <v>421</v>
      </c>
      <c r="N8699" s="6">
        <f>IF(OR($G8699="FCC",$G8699="Hydrocracker",$G8699="Reformer"),IF(COUNTIFS($D:$D,$D8699,$A:$A,$A8699,$B:$B,$B8699,$G:$G,"CDU",$J:$J,"PLANNED")&gt;0,"tied","standalone"),"")</f>
        <v/>
      </c>
    </row>
    <row r="8700" spans="1:14">
      <c r="A8700" s="6">
        <v>2027</v>
      </c>
      <c r="B8700" s="6">
        <v>10</v>
      </c>
      <c r="C8700" s="6" t="s">
        <v>69</v>
      </c>
      <c r="D8700" s="6" t="s">
        <v>540</v>
      </c>
      <c r="E8700" s="6" t="s">
        <v>541</v>
      </c>
      <c r="F8700" s="6" t="str">
        <f>IF($M8700="PADD I","PADD 1",IF($M8700="PADD II","PADD 2",IF($M8700="PADD III","PADD 3",IF($M8700="PADD IV","PADD 4",IF($M8700="PADD V","PADD 5","")))))</f>
        <v>PADD 3</v>
      </c>
      <c r="G8700" s="6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6" t="s">
        <v>39</v>
      </c>
      <c r="I8700" s="6" t="s">
        <v>542</v>
      </c>
      <c r="J8700" s="6" t="s">
        <v>398</v>
      </c>
      <c r="K8700" s="10">
        <v>200</v>
      </c>
      <c r="L8700" s="10">
        <v>200</v>
      </c>
      <c r="M8700" s="6" t="s">
        <v>421</v>
      </c>
      <c r="N8700" s="6">
        <f>IF(OR($G8700="FCC",$G8700="Hydrocracker",$G8700="Reformer"),IF(COUNTIFS($D:$D,$D8700,$A:$A,$A8700,$B:$B,$B8700,$G:$G,"CDU",$J:$J,"PLANNED")&gt;0,"tied","standalone"),"")</f>
        <v/>
      </c>
    </row>
    <row r="8701" spans="1:14">
      <c r="A8701" s="6">
        <v>2027</v>
      </c>
      <c r="B8701" s="6">
        <v>10</v>
      </c>
      <c r="C8701" s="6" t="s">
        <v>69</v>
      </c>
      <c r="D8701" s="6" t="s">
        <v>373</v>
      </c>
      <c r="E8701" s="6" t="s">
        <v>438</v>
      </c>
      <c r="F8701" s="6" t="str">
        <f>IF($M8701="PADD I","PADD 1",IF($M8701="PADD II","PADD 2",IF($M8701="PADD III","PADD 3",IF($M8701="PADD IV","PADD 4",IF($M8701="PADD V","PADD 5","")))))</f>
        <v>PADD 3</v>
      </c>
      <c r="G8701" s="6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6" t="s">
        <v>39</v>
      </c>
      <c r="I8701" s="6" t="s">
        <v>99</v>
      </c>
      <c r="J8701" s="6" t="s">
        <v>398</v>
      </c>
      <c r="K8701" s="10">
        <v>145</v>
      </c>
      <c r="L8701" s="10">
        <v>145</v>
      </c>
      <c r="M8701" s="6" t="s">
        <v>421</v>
      </c>
      <c r="N8701" s="6">
        <f>IF(OR($G8701="FCC",$G8701="Hydrocracker",$G8701="Reformer"),IF(COUNTIFS($D:$D,$D8701,$A:$A,$A8701,$B:$B,$B8701,$G:$G,"CDU",$J:$J,"PLANNED")&gt;0,"tied","standalone"),"")</f>
        <v/>
      </c>
    </row>
    <row r="8702" spans="1:14">
      <c r="A8702" s="6">
        <v>2027</v>
      </c>
      <c r="B8702" s="6">
        <v>10</v>
      </c>
      <c r="C8702" s="6" t="s">
        <v>69</v>
      </c>
      <c r="D8702" s="6" t="s">
        <v>373</v>
      </c>
      <c r="E8702" s="6" t="s">
        <v>438</v>
      </c>
      <c r="F8702" s="6" t="str">
        <f>IF($M8702="PADD I","PADD 1",IF($M8702="PADD II","PADD 2",IF($M8702="PADD III","PADD 3",IF($M8702="PADD IV","PADD 4",IF($M8702="PADD V","PADD 5","")))))</f>
        <v>PADD 3</v>
      </c>
      <c r="G8702" s="6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6" t="s">
        <v>39</v>
      </c>
      <c r="I8702" s="6" t="s">
        <v>97</v>
      </c>
      <c r="J8702" s="6" t="s">
        <v>398</v>
      </c>
      <c r="K8702" s="10">
        <v>145</v>
      </c>
      <c r="L8702" s="10">
        <v>145</v>
      </c>
      <c r="M8702" s="6" t="s">
        <v>421</v>
      </c>
      <c r="N8702" s="6">
        <f>IF(OR($G8702="FCC",$G8702="Hydrocracker",$G8702="Reformer"),IF(COUNTIFS($D:$D,$D8702,$A:$A,$A8702,$B:$B,$B8702,$G:$G,"CDU",$J:$J,"PLANNED")&gt;0,"tied","standalone"),"")</f>
        <v/>
      </c>
    </row>
    <row r="8703" spans="1:14">
      <c r="A8703" s="6">
        <v>2027</v>
      </c>
      <c r="B8703" s="6">
        <v>10</v>
      </c>
      <c r="C8703" s="6" t="s">
        <v>69</v>
      </c>
      <c r="D8703" s="6" t="s">
        <v>540</v>
      </c>
      <c r="E8703" s="6" t="s">
        <v>541</v>
      </c>
      <c r="F8703" s="6" t="str">
        <f>IF($M8703="PADD I","PADD 1",IF($M8703="PADD II","PADD 2",IF($M8703="PADD III","PADD 3",IF($M8703="PADD IV","PADD 4",IF($M8703="PADD V","PADD 5","")))))</f>
        <v>PADD 3</v>
      </c>
      <c r="G8703" s="6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6" t="s">
        <v>428</v>
      </c>
      <c r="I8703" s="6" t="s">
        <v>610</v>
      </c>
      <c r="J8703" s="6" t="s">
        <v>398</v>
      </c>
      <c r="K8703" s="10">
        <v>104</v>
      </c>
      <c r="L8703" s="10">
        <v>104</v>
      </c>
      <c r="M8703" s="6" t="s">
        <v>421</v>
      </c>
      <c r="N8703" s="6">
        <f>IF(OR($G8703="FCC",$G8703="Hydrocracker",$G8703="Reformer"),IF(COUNTIFS($D:$D,$D8703,$A:$A,$A8703,$B:$B,$B8703,$G:$G,"CDU",$J:$J,"PLANNED")&gt;0,"tied","standalone"),"")</f>
        <v/>
      </c>
    </row>
    <row r="8704" spans="1:14">
      <c r="A8704" s="6">
        <v>2027</v>
      </c>
      <c r="B8704" s="6">
        <v>10</v>
      </c>
      <c r="C8704" s="6" t="s">
        <v>69</v>
      </c>
      <c r="D8704" s="6" t="s">
        <v>1373</v>
      </c>
      <c r="E8704" s="6" t="s">
        <v>419</v>
      </c>
      <c r="F8704" s="6" t="str">
        <f>IF($M8704="PADD I","PADD 1",IF($M8704="PADD II","PADD 2",IF($M8704="PADD III","PADD 3",IF($M8704="PADD IV","PADD 4",IF($M8704="PADD V","PADD 5","")))))</f>
        <v>PADD 5</v>
      </c>
      <c r="G8704" s="6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6" t="s">
        <v>39</v>
      </c>
      <c r="I8704" s="6" t="s">
        <v>82</v>
      </c>
      <c r="J8704" s="6" t="s">
        <v>398</v>
      </c>
      <c r="K8704" s="10">
        <v>100</v>
      </c>
      <c r="L8704" s="10">
        <v>100</v>
      </c>
      <c r="M8704" s="6" t="s">
        <v>436</v>
      </c>
      <c r="N8704" s="6">
        <f>IF(OR($G8704="FCC",$G8704="Hydrocracker",$G8704="Reformer"),IF(COUNTIFS($D:$D,$D8704,$A:$A,$A8704,$B:$B,$B8704,$G:$G,"CDU",$J:$J,"PLANNED")&gt;0,"tied","standalone"),"")</f>
        <v/>
      </c>
    </row>
    <row r="8705" spans="1:14">
      <c r="A8705" s="6">
        <v>2027</v>
      </c>
      <c r="B8705" s="6">
        <v>10</v>
      </c>
      <c r="C8705" s="6" t="s">
        <v>69</v>
      </c>
      <c r="D8705" s="6" t="s">
        <v>373</v>
      </c>
      <c r="E8705" s="6" t="s">
        <v>438</v>
      </c>
      <c r="F8705" s="6" t="str">
        <f>IF($M8705="PADD I","PADD 1",IF($M8705="PADD II","PADD 2",IF($M8705="PADD III","PADD 3",IF($M8705="PADD IV","PADD 4",IF($M8705="PADD V","PADD 5","")))))</f>
        <v>PADD 3</v>
      </c>
      <c r="G8705" s="6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6" t="s">
        <v>44</v>
      </c>
      <c r="I8705" s="6" t="s">
        <v>998</v>
      </c>
      <c r="J8705" s="6" t="s">
        <v>398</v>
      </c>
      <c r="K8705" s="10">
        <v>94</v>
      </c>
      <c r="L8705" s="10">
        <v>94</v>
      </c>
      <c r="M8705" s="6" t="s">
        <v>421</v>
      </c>
      <c r="N8705" s="6">
        <f>IF(OR($G8705="FCC",$G8705="Hydrocracker",$G8705="Reformer"),IF(COUNTIFS($D:$D,$D8705,$A:$A,$A8705,$B:$B,$B8705,$G:$G,"CDU",$J:$J,"PLANNED")&gt;0,"tied","standalone"),"")</f>
        <v/>
      </c>
    </row>
    <row r="8706" spans="1:14">
      <c r="A8706" s="6">
        <v>2027</v>
      </c>
      <c r="B8706" s="6">
        <v>10</v>
      </c>
      <c r="C8706" s="6" t="s">
        <v>69</v>
      </c>
      <c r="D8706" s="6" t="s">
        <v>540</v>
      </c>
      <c r="E8706" s="6" t="s">
        <v>541</v>
      </c>
      <c r="F8706" s="6" t="str">
        <f>IF($M8706="PADD I","PADD 1",IF($M8706="PADD II","PADD 2",IF($M8706="PADD III","PADD 3",IF($M8706="PADD IV","PADD 4",IF($M8706="PADD V","PADD 5","")))))</f>
        <v>PADD 3</v>
      </c>
      <c r="G8706" s="6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6" t="s">
        <v>39</v>
      </c>
      <c r="I8706" s="6" t="s">
        <v>1130</v>
      </c>
      <c r="J8706" s="6" t="s">
        <v>398</v>
      </c>
      <c r="K8706" s="10">
        <v>80.5</v>
      </c>
      <c r="L8706" s="10">
        <v>350</v>
      </c>
      <c r="M8706" s="6" t="s">
        <v>421</v>
      </c>
      <c r="N8706" s="6">
        <f>IF(OR($G8706="FCC",$G8706="Hydrocracker",$G8706="Reformer"),IF(COUNTIFS($D:$D,$D8706,$A:$A,$A8706,$B:$B,$B8706,$G:$G,"CDU",$J:$J,"PLANNED")&gt;0,"tied","standalone"),"")</f>
        <v/>
      </c>
    </row>
    <row r="8707" spans="1:14">
      <c r="A8707" s="6">
        <v>2027</v>
      </c>
      <c r="B8707" s="6">
        <v>10</v>
      </c>
      <c r="C8707" s="6" t="s">
        <v>69</v>
      </c>
      <c r="D8707" s="6" t="s">
        <v>1110</v>
      </c>
      <c r="E8707" s="6" t="s">
        <v>1089</v>
      </c>
      <c r="F8707" s="6" t="str">
        <f>IF($M8707="PADD I","PADD 1",IF($M8707="PADD II","PADD 2",IF($M8707="PADD III","PADD 3",IF($M8707="PADD IV","PADD 4",IF($M8707="PADD V","PADD 5","")))))</f>
        <v>PADD 2</v>
      </c>
      <c r="G8707" s="6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6" t="s">
        <v>426</v>
      </c>
      <c r="I8707" s="6" t="s">
        <v>106</v>
      </c>
      <c r="J8707" s="6" t="s">
        <v>398</v>
      </c>
      <c r="K8707" s="10">
        <v>75.45999999999999</v>
      </c>
      <c r="L8707" s="10">
        <v>98</v>
      </c>
      <c r="M8707" s="6" t="s">
        <v>425</v>
      </c>
      <c r="N8707" s="6" t="str">
        <f>IF(OR($G8707="FCC",$G8707="Hydrocracker",$G8707="Reformer"),IF(COUNTIFS($D:$D,$D8707,$A:$A,$A8707,$B:$B,$B8707,$G:$G,"CDU",$J:$J,"PLANNED")&gt;0,"tied","standalone"),"")</f>
        <v>standalone</v>
      </c>
    </row>
    <row r="8708" spans="1:14">
      <c r="A8708" s="6">
        <v>2027</v>
      </c>
      <c r="B8708" s="6">
        <v>10</v>
      </c>
      <c r="C8708" s="6" t="s">
        <v>69</v>
      </c>
      <c r="D8708" s="6" t="s">
        <v>561</v>
      </c>
      <c r="E8708" s="6" t="s">
        <v>455</v>
      </c>
      <c r="F8708" s="6" t="str">
        <f>IF($M8708="PADD I","PADD 1",IF($M8708="PADD II","PADD 2",IF($M8708="PADD III","PADD 3",IF($M8708="PADD IV","PADD 4",IF($M8708="PADD V","PADD 5","")))))</f>
        <v>PADD 3</v>
      </c>
      <c r="G8708" s="6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6" t="s">
        <v>39</v>
      </c>
      <c r="I8708" s="6" t="s">
        <v>113</v>
      </c>
      <c r="J8708" s="6" t="s">
        <v>398</v>
      </c>
      <c r="K8708" s="10">
        <v>63.8</v>
      </c>
      <c r="L8708" s="10">
        <v>110</v>
      </c>
      <c r="M8708" s="6" t="s">
        <v>421</v>
      </c>
      <c r="N8708" s="6">
        <f>IF(OR($G8708="FCC",$G8708="Hydrocracker",$G8708="Reformer"),IF(COUNTIFS($D:$D,$D8708,$A:$A,$A8708,$B:$B,$B8708,$G:$G,"CDU",$J:$J,"PLANNED")&gt;0,"tied","standalone"),"")</f>
        <v/>
      </c>
    </row>
    <row r="8709" spans="1:14">
      <c r="A8709" s="6">
        <v>2027</v>
      </c>
      <c r="B8709" s="6">
        <v>10</v>
      </c>
      <c r="C8709" s="6" t="s">
        <v>69</v>
      </c>
      <c r="D8709" s="6" t="s">
        <v>561</v>
      </c>
      <c r="E8709" s="6" t="s">
        <v>455</v>
      </c>
      <c r="F8709" s="6" t="str">
        <f>IF($M8709="PADD I","PADD 1",IF($M8709="PADD II","PADD 2",IF($M8709="PADD III","PADD 3",IF($M8709="PADD IV","PADD 4",IF($M8709="PADD V","PADD 5","")))))</f>
        <v>PADD 3</v>
      </c>
      <c r="G8709" s="6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6" t="s">
        <v>39</v>
      </c>
      <c r="I8709" s="6" t="s">
        <v>116</v>
      </c>
      <c r="J8709" s="6" t="s">
        <v>398</v>
      </c>
      <c r="K8709" s="10">
        <v>62.06</v>
      </c>
      <c r="L8709" s="10">
        <v>107</v>
      </c>
      <c r="M8709" s="6" t="s">
        <v>421</v>
      </c>
      <c r="N8709" s="6">
        <f>IF(OR($G8709="FCC",$G8709="Hydrocracker",$G8709="Reformer"),IF(COUNTIFS($D:$D,$D8709,$A:$A,$A8709,$B:$B,$B8709,$G:$G,"CDU",$J:$J,"PLANNED")&gt;0,"tied","standalone"),"")</f>
        <v/>
      </c>
    </row>
    <row r="8710" spans="1:14">
      <c r="A8710" s="6">
        <v>2027</v>
      </c>
      <c r="B8710" s="6">
        <v>10</v>
      </c>
      <c r="C8710" s="6" t="s">
        <v>69</v>
      </c>
      <c r="D8710" s="6" t="s">
        <v>496</v>
      </c>
      <c r="E8710" s="6" t="s">
        <v>441</v>
      </c>
      <c r="F8710" s="6" t="str">
        <f>IF($M8710="PADD I","PADD 1",IF($M8710="PADD II","PADD 2",IF($M8710="PADD III","PADD 3",IF($M8710="PADD IV","PADD 4",IF($M8710="PADD V","PADD 5","")))))</f>
        <v>PADD 3</v>
      </c>
      <c r="G8710" s="6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6" t="s">
        <v>39</v>
      </c>
      <c r="I8710" s="6" t="s">
        <v>82</v>
      </c>
      <c r="J8710" s="6" t="s">
        <v>398</v>
      </c>
      <c r="K8710" s="10">
        <v>61</v>
      </c>
      <c r="L8710" s="10">
        <v>100</v>
      </c>
      <c r="M8710" s="6" t="s">
        <v>421</v>
      </c>
      <c r="N8710" s="6">
        <f>IF(OR($G8710="FCC",$G8710="Hydrocracker",$G8710="Reformer"),IF(COUNTIFS($D:$D,$D8710,$A:$A,$A8710,$B:$B,$B8710,$G:$G,"CDU",$J:$J,"PLANNED")&gt;0,"tied","standalone"),"")</f>
        <v/>
      </c>
    </row>
    <row r="8711" spans="1:14">
      <c r="A8711" s="6">
        <v>2027</v>
      </c>
      <c r="B8711" s="6">
        <v>10</v>
      </c>
      <c r="C8711" s="6" t="s">
        <v>69</v>
      </c>
      <c r="D8711" s="6" t="s">
        <v>626</v>
      </c>
      <c r="E8711" s="6" t="s">
        <v>419</v>
      </c>
      <c r="F8711" s="6" t="str">
        <f>IF($M8711="PADD I","PADD 1",IF($M8711="PADD II","PADD 2",IF($M8711="PADD III","PADD 3",IF($M8711="PADD IV","PADD 4",IF($M8711="PADD V","PADD 5","")))))</f>
        <v>PADD 3</v>
      </c>
      <c r="G8711" s="6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6" t="s">
        <v>39</v>
      </c>
      <c r="I8711" s="6" t="s">
        <v>111</v>
      </c>
      <c r="J8711" s="6" t="s">
        <v>398</v>
      </c>
      <c r="K8711" s="10">
        <v>60.5</v>
      </c>
      <c r="L8711" s="10">
        <v>110</v>
      </c>
      <c r="M8711" s="6" t="s">
        <v>421</v>
      </c>
      <c r="N8711" s="6">
        <f>IF(OR($G8711="FCC",$G8711="Hydrocracker",$G8711="Reformer"),IF(COUNTIFS($D:$D,$D8711,$A:$A,$A8711,$B:$B,$B8711,$G:$G,"CDU",$J:$J,"PLANNED")&gt;0,"tied","standalone"),"")</f>
        <v/>
      </c>
    </row>
    <row r="8712" spans="1:14">
      <c r="A8712" s="6">
        <v>2027</v>
      </c>
      <c r="B8712" s="6">
        <v>10</v>
      </c>
      <c r="C8712" s="6" t="s">
        <v>69</v>
      </c>
      <c r="D8712" s="6" t="s">
        <v>592</v>
      </c>
      <c r="E8712" s="6" t="s">
        <v>593</v>
      </c>
      <c r="F8712" s="6" t="str">
        <f>IF($M8712="PADD I","PADD 1",IF($M8712="PADD II","PADD 2",IF($M8712="PADD III","PADD 3",IF($M8712="PADD IV","PADD 4",IF($M8712="PADD V","PADD 5","")))))</f>
        <v>PADD 2</v>
      </c>
      <c r="G8712" s="6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6" t="s">
        <v>471</v>
      </c>
      <c r="I8712" s="6" t="s">
        <v>1164</v>
      </c>
      <c r="J8712" s="6" t="s">
        <v>398</v>
      </c>
      <c r="K8712" s="10">
        <v>60</v>
      </c>
      <c r="L8712" s="10">
        <v>60</v>
      </c>
      <c r="M8712" s="6" t="s">
        <v>425</v>
      </c>
      <c r="N8712" s="6" t="str">
        <f>IF(OR($G8712="FCC",$G8712="Hydrocracker",$G8712="Reformer"),IF(COUNTIFS($D:$D,$D8712,$A:$A,$A8712,$B:$B,$B8712,$G:$G,"CDU",$J:$J,"PLANNED")&gt;0,"tied","standalone"),"")</f>
        <v>standalone</v>
      </c>
    </row>
    <row r="8713" spans="1:14">
      <c r="A8713" s="6">
        <v>2027</v>
      </c>
      <c r="B8713" s="6">
        <v>10</v>
      </c>
      <c r="C8713" s="6" t="s">
        <v>69</v>
      </c>
      <c r="D8713" s="6" t="s">
        <v>789</v>
      </c>
      <c r="E8713" s="6" t="s">
        <v>455</v>
      </c>
      <c r="F8713" s="6" t="str">
        <f>IF($M8713="PADD I","PADD 1",IF($M8713="PADD II","PADD 2",IF($M8713="PADD III","PADD 3",IF($M8713="PADD IV","PADD 4",IF($M8713="PADD V","PADD 5","")))))</f>
        <v>PADD 2</v>
      </c>
      <c r="G8713" s="6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6" t="s">
        <v>39</v>
      </c>
      <c r="I8713" s="6" t="s">
        <v>134</v>
      </c>
      <c r="J8713" s="6" t="s">
        <v>398</v>
      </c>
      <c r="K8713" s="10">
        <v>50.325</v>
      </c>
      <c r="L8713" s="10">
        <v>91.5</v>
      </c>
      <c r="M8713" s="6" t="s">
        <v>425</v>
      </c>
      <c r="N8713" s="6">
        <f>IF(OR($G8713="FCC",$G8713="Hydrocracker",$G8713="Reformer"),IF(COUNTIFS($D:$D,$D8713,$A:$A,$A8713,$B:$B,$B8713,$G:$G,"CDU",$J:$J,"PLANNED")&gt;0,"tied","standalone"),"")</f>
        <v/>
      </c>
    </row>
    <row r="8714" spans="1:14">
      <c r="A8714" s="6">
        <v>2027</v>
      </c>
      <c r="B8714" s="6">
        <v>10</v>
      </c>
      <c r="C8714" s="6" t="s">
        <v>69</v>
      </c>
      <c r="D8714" s="6" t="s">
        <v>1373</v>
      </c>
      <c r="E8714" s="6" t="s">
        <v>419</v>
      </c>
      <c r="F8714" s="6" t="str">
        <f>IF($M8714="PADD I","PADD 1",IF($M8714="PADD II","PADD 2",IF($M8714="PADD III","PADD 3",IF($M8714="PADD IV","PADD 4",IF($M8714="PADD V","PADD 5","")))))</f>
        <v>PADD 5</v>
      </c>
      <c r="G8714" s="6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6" t="s">
        <v>428</v>
      </c>
      <c r="I8714" s="6" t="s">
        <v>481</v>
      </c>
      <c r="J8714" s="6" t="s">
        <v>398</v>
      </c>
      <c r="K8714" s="10">
        <v>46.5</v>
      </c>
      <c r="L8714" s="10">
        <v>46.5</v>
      </c>
      <c r="M8714" s="6" t="s">
        <v>436</v>
      </c>
      <c r="N8714" s="6">
        <f>IF(OR($G8714="FCC",$G8714="Hydrocracker",$G8714="Reformer"),IF(COUNTIFS($D:$D,$D8714,$A:$A,$A8714,$B:$B,$B8714,$G:$G,"CDU",$J:$J,"PLANNED")&gt;0,"tied","standalone"),"")</f>
        <v/>
      </c>
    </row>
    <row r="8715" spans="1:14">
      <c r="A8715" s="6">
        <v>2027</v>
      </c>
      <c r="B8715" s="6">
        <v>10</v>
      </c>
      <c r="C8715" s="6" t="s">
        <v>69</v>
      </c>
      <c r="D8715" s="6" t="s">
        <v>430</v>
      </c>
      <c r="E8715" s="6" t="s">
        <v>431</v>
      </c>
      <c r="F8715" s="6" t="str">
        <f>IF($M8715="PADD I","PADD 1",IF($M8715="PADD II","PADD 2",IF($M8715="PADD III","PADD 3",IF($M8715="PADD IV","PADD 4",IF($M8715="PADD V","PADD 5","")))))</f>
        <v>PADD 3</v>
      </c>
      <c r="G8715" s="6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6" t="s">
        <v>485</v>
      </c>
      <c r="I8715" s="6" t="s">
        <v>1036</v>
      </c>
      <c r="J8715" s="6" t="s">
        <v>398</v>
      </c>
      <c r="K8715" s="10">
        <v>45</v>
      </c>
      <c r="L8715" s="10">
        <v>45</v>
      </c>
      <c r="M8715" s="6" t="s">
        <v>421</v>
      </c>
      <c r="N8715" s="6">
        <f>IF(OR($G8715="FCC",$G8715="Hydrocracker",$G8715="Reformer"),IF(COUNTIFS($D:$D,$D8715,$A:$A,$A8715,$B:$B,$B8715,$G:$G,"CDU",$J:$J,"PLANNED")&gt;0,"tied","standalone"),"")</f>
        <v/>
      </c>
    </row>
    <row r="8716" spans="1:14">
      <c r="A8716" s="6">
        <v>2027</v>
      </c>
      <c r="B8716" s="6">
        <v>10</v>
      </c>
      <c r="C8716" s="6" t="s">
        <v>69</v>
      </c>
      <c r="D8716" s="6" t="s">
        <v>373</v>
      </c>
      <c r="E8716" s="6" t="s">
        <v>438</v>
      </c>
      <c r="F8716" s="6" t="str">
        <f>IF($M8716="PADD I","PADD 1",IF($M8716="PADD II","PADD 2",IF($M8716="PADD III","PADD 3",IF($M8716="PADD IV","PADD 4",IF($M8716="PADD V","PADD 5","")))))</f>
        <v>PADD 3</v>
      </c>
      <c r="G8716" s="6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6" t="s">
        <v>44</v>
      </c>
      <c r="I8716" s="6" t="s">
        <v>743</v>
      </c>
      <c r="J8716" s="6" t="s">
        <v>398</v>
      </c>
      <c r="K8716" s="10">
        <v>43</v>
      </c>
      <c r="L8716" s="10">
        <v>43</v>
      </c>
      <c r="M8716" s="6" t="s">
        <v>421</v>
      </c>
      <c r="N8716" s="6">
        <f>IF(OR($G8716="FCC",$G8716="Hydrocracker",$G8716="Reformer"),IF(COUNTIFS($D:$D,$D8716,$A:$A,$A8716,$B:$B,$B8716,$G:$G,"CDU",$J:$J,"PLANNED")&gt;0,"tied","standalone"),"")</f>
        <v/>
      </c>
    </row>
    <row r="8717" spans="1:14">
      <c r="A8717" s="6">
        <v>2027</v>
      </c>
      <c r="B8717" s="6">
        <v>10</v>
      </c>
      <c r="C8717" s="6" t="s">
        <v>69</v>
      </c>
      <c r="D8717" s="6" t="s">
        <v>458</v>
      </c>
      <c r="E8717" s="6" t="s">
        <v>459</v>
      </c>
      <c r="F8717" s="6" t="str">
        <f>IF($M8717="PADD I","PADD 1",IF($M8717="PADD II","PADD 2",IF($M8717="PADD III","PADD 3",IF($M8717="PADD IV","PADD 4",IF($M8717="PADD V","PADD 5","")))))</f>
        <v>PADD 3</v>
      </c>
      <c r="G8717" s="6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6" t="s">
        <v>426</v>
      </c>
      <c r="I8717" s="6" t="s">
        <v>476</v>
      </c>
      <c r="J8717" s="6" t="s">
        <v>398</v>
      </c>
      <c r="K8717" s="10">
        <v>41.8</v>
      </c>
      <c r="L8717" s="10">
        <v>76</v>
      </c>
      <c r="M8717" s="6" t="s">
        <v>421</v>
      </c>
      <c r="N8717" s="6" t="str">
        <f>IF(OR($G8717="FCC",$G8717="Hydrocracker",$G8717="Reformer"),IF(COUNTIFS($D:$D,$D8717,$A:$A,$A8717,$B:$B,$B8717,$G:$G,"CDU",$J:$J,"PLANNED")&gt;0,"tied","standalone"),"")</f>
        <v>tied</v>
      </c>
    </row>
    <row r="8718" spans="1:14">
      <c r="A8718" s="6">
        <v>2027</v>
      </c>
      <c r="B8718" s="6">
        <v>10</v>
      </c>
      <c r="C8718" s="6" t="s">
        <v>69</v>
      </c>
      <c r="D8718" s="6" t="s">
        <v>382</v>
      </c>
      <c r="E8718" s="6" t="s">
        <v>431</v>
      </c>
      <c r="F8718" s="6" t="str">
        <f>IF($M8718="PADD I","PADD 1",IF($M8718="PADD II","PADD 2",IF($M8718="PADD III","PADD 3",IF($M8718="PADD IV","PADD 4",IF($M8718="PADD V","PADD 5","")))))</f>
        <v>PADD 3</v>
      </c>
      <c r="G8718" s="6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6" t="s">
        <v>44</v>
      </c>
      <c r="I8718" s="6" t="s">
        <v>993</v>
      </c>
      <c r="J8718" s="6" t="s">
        <v>398</v>
      </c>
      <c r="K8718" s="10">
        <v>40</v>
      </c>
      <c r="L8718" s="10">
        <v>40</v>
      </c>
      <c r="M8718" s="6" t="s">
        <v>421</v>
      </c>
      <c r="N8718" s="6">
        <f>IF(OR($G8718="FCC",$G8718="Hydrocracker",$G8718="Reformer"),IF(COUNTIFS($D:$D,$D8718,$A:$A,$A8718,$B:$B,$B8718,$G:$G,"CDU",$J:$J,"PLANNED")&gt;0,"tied","standalone"),"")</f>
        <v/>
      </c>
    </row>
    <row r="8719" spans="1:14">
      <c r="A8719" s="6">
        <v>2027</v>
      </c>
      <c r="B8719" s="6">
        <v>10</v>
      </c>
      <c r="C8719" s="6" t="s">
        <v>69</v>
      </c>
      <c r="D8719" s="6" t="s">
        <v>1373</v>
      </c>
      <c r="E8719" s="6" t="s">
        <v>419</v>
      </c>
      <c r="F8719" s="6" t="str">
        <f>IF($M8719="PADD I","PADD 1",IF($M8719="PADD II","PADD 2",IF($M8719="PADD III","PADD 3",IF($M8719="PADD IV","PADD 4",IF($M8719="PADD V","PADD 5","")))))</f>
        <v>PADD 5</v>
      </c>
      <c r="G8719" s="6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6" t="s">
        <v>426</v>
      </c>
      <c r="I8719" s="6" t="s">
        <v>106</v>
      </c>
      <c r="J8719" s="6" t="s">
        <v>398</v>
      </c>
      <c r="K8719" s="10">
        <v>35</v>
      </c>
      <c r="L8719" s="10">
        <v>35</v>
      </c>
      <c r="M8719" s="6" t="s">
        <v>436</v>
      </c>
      <c r="N8719" s="6" t="str">
        <f>IF(OR($G8719="FCC",$G8719="Hydrocracker",$G8719="Reformer"),IF(COUNTIFS($D:$D,$D8719,$A:$A,$A8719,$B:$B,$B8719,$G:$G,"CDU",$J:$J,"PLANNED")&gt;0,"tied","standalone"),"")</f>
        <v>tied</v>
      </c>
    </row>
    <row r="8720" spans="1:14">
      <c r="A8720" s="6">
        <v>2027</v>
      </c>
      <c r="B8720" s="6">
        <v>10</v>
      </c>
      <c r="C8720" s="6" t="s">
        <v>69</v>
      </c>
      <c r="D8720" s="6" t="s">
        <v>1373</v>
      </c>
      <c r="E8720" s="6" t="s">
        <v>419</v>
      </c>
      <c r="F8720" s="6" t="str">
        <f>IF($M8720="PADD I","PADD 1",IF($M8720="PADD II","PADD 2",IF($M8720="PADD III","PADD 3",IF($M8720="PADD IV","PADD 4",IF($M8720="PADD V","PADD 5","")))))</f>
        <v>PADD 5</v>
      </c>
      <c r="G8720" s="6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6" t="s">
        <v>44</v>
      </c>
      <c r="I8720" s="6" t="s">
        <v>861</v>
      </c>
      <c r="J8720" s="6" t="s">
        <v>398</v>
      </c>
      <c r="K8720" s="10">
        <v>32</v>
      </c>
      <c r="L8720" s="10">
        <v>32</v>
      </c>
      <c r="M8720" s="6" t="s">
        <v>436</v>
      </c>
      <c r="N8720" s="6">
        <f>IF(OR($G8720="FCC",$G8720="Hydrocracker",$G8720="Reformer"),IF(COUNTIFS($D:$D,$D8720,$A:$A,$A8720,$B:$B,$B8720,$G:$G,"CDU",$J:$J,"PLANNED")&gt;0,"tied","standalone"),"")</f>
        <v/>
      </c>
    </row>
    <row r="8721" spans="1:14">
      <c r="A8721" s="6">
        <v>2027</v>
      </c>
      <c r="B8721" s="6">
        <v>10</v>
      </c>
      <c r="C8721" s="6" t="s">
        <v>69</v>
      </c>
      <c r="D8721" s="6" t="s">
        <v>1191</v>
      </c>
      <c r="E8721" s="6" t="s">
        <v>1129</v>
      </c>
      <c r="F8721" s="6" t="str">
        <f>IF($M8721="PADD I","PADD 1",IF($M8721="PADD II","PADD 2",IF($M8721="PADD III","PADD 3",IF($M8721="PADD IV","PADD 4",IF($M8721="PADD V","PADD 5","")))))</f>
        <v>PADD 3</v>
      </c>
      <c r="G8721" s="6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6" t="s">
        <v>39</v>
      </c>
      <c r="I8721" s="6" t="s">
        <v>132</v>
      </c>
      <c r="J8721" s="6" t="s">
        <v>398</v>
      </c>
      <c r="K8721" s="10">
        <v>30.8</v>
      </c>
      <c r="L8721" s="10">
        <v>40</v>
      </c>
      <c r="M8721" s="6" t="s">
        <v>421</v>
      </c>
      <c r="N8721" s="6">
        <f>IF(OR($G8721="FCC",$G8721="Hydrocracker",$G8721="Reformer"),IF(COUNTIFS($D:$D,$D8721,$A:$A,$A8721,$B:$B,$B8721,$G:$G,"CDU",$J:$J,"PLANNED")&gt;0,"tied","standalone"),"")</f>
        <v/>
      </c>
    </row>
    <row r="8722" spans="1:14">
      <c r="A8722" s="6">
        <v>2027</v>
      </c>
      <c r="B8722" s="6">
        <v>10</v>
      </c>
      <c r="C8722" s="6" t="s">
        <v>69</v>
      </c>
      <c r="D8722" s="6" t="s">
        <v>652</v>
      </c>
      <c r="E8722" s="6" t="s">
        <v>419</v>
      </c>
      <c r="F8722" s="6" t="str">
        <f>IF($M8722="PADD I","PADD 1",IF($M8722="PADD II","PADD 2",IF($M8722="PADD III","PADD 3",IF($M8722="PADD IV","PADD 4",IF($M8722="PADD V","PADD 5","")))))</f>
        <v>PADD 2</v>
      </c>
      <c r="G8722" s="6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6" t="s">
        <v>39</v>
      </c>
      <c r="I8722" s="6" t="s">
        <v>130</v>
      </c>
      <c r="J8722" s="6" t="s">
        <v>398</v>
      </c>
      <c r="K8722" s="10">
        <v>30.4</v>
      </c>
      <c r="L8722" s="10">
        <v>95</v>
      </c>
      <c r="M8722" s="6" t="s">
        <v>425</v>
      </c>
      <c r="N8722" s="6">
        <f>IF(OR($G8722="FCC",$G8722="Hydrocracker",$G8722="Reformer"),IF(COUNTIFS($D:$D,$D8722,$A:$A,$A8722,$B:$B,$B8722,$G:$G,"CDU",$J:$J,"PLANNED")&gt;0,"tied","standalone"),"")</f>
        <v/>
      </c>
    </row>
    <row r="8723" spans="1:14">
      <c r="A8723" s="6">
        <v>2027</v>
      </c>
      <c r="B8723" s="6">
        <v>10</v>
      </c>
      <c r="C8723" s="6" t="s">
        <v>69</v>
      </c>
      <c r="D8723" s="6" t="s">
        <v>937</v>
      </c>
      <c r="E8723" s="6" t="s">
        <v>455</v>
      </c>
      <c r="F8723" s="6" t="str">
        <f>IF($M8723="PADD I","PADD 1",IF($M8723="PADD II","PADD 2",IF($M8723="PADD III","PADD 3",IF($M8723="PADD IV","PADD 4",IF($M8723="PADD V","PADD 5","")))))</f>
        <v>PADD 3</v>
      </c>
      <c r="G8723" s="6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6" t="s">
        <v>494</v>
      </c>
      <c r="I8723" s="6" t="s">
        <v>1072</v>
      </c>
      <c r="J8723" s="6" t="s">
        <v>398</v>
      </c>
      <c r="K8723" s="10">
        <v>30</v>
      </c>
      <c r="L8723" s="10">
        <v>30</v>
      </c>
      <c r="M8723" s="6" t="s">
        <v>421</v>
      </c>
      <c r="N8723" s="6" t="str">
        <f>IF(OR($G8723="FCC",$G8723="Hydrocracker",$G8723="Reformer"),IF(COUNTIFS($D:$D,$D8723,$A:$A,$A8723,$B:$B,$B8723,$G:$G,"CDU",$J:$J,"PLANNED")&gt;0,"tied","standalone"),"")</f>
        <v>standalone</v>
      </c>
    </row>
    <row r="8724" spans="1:14">
      <c r="A8724" s="6">
        <v>2027</v>
      </c>
      <c r="B8724" s="6">
        <v>10</v>
      </c>
      <c r="C8724" s="6" t="s">
        <v>69</v>
      </c>
      <c r="D8724" s="6" t="s">
        <v>430</v>
      </c>
      <c r="E8724" s="6" t="s">
        <v>431</v>
      </c>
      <c r="F8724" s="6" t="str">
        <f>IF($M8724="PADD I","PADD 1",IF($M8724="PADD II","PADD 2",IF($M8724="PADD III","PADD 3",IF($M8724="PADD IV","PADD 4",IF($M8724="PADD V","PADD 5","")))))</f>
        <v>PADD 3</v>
      </c>
      <c r="G8724" s="6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6" t="s">
        <v>485</v>
      </c>
      <c r="I8724" s="6" t="s">
        <v>565</v>
      </c>
      <c r="J8724" s="6" t="s">
        <v>398</v>
      </c>
      <c r="K8724" s="10">
        <v>27.5</v>
      </c>
      <c r="L8724" s="10">
        <v>27.5</v>
      </c>
      <c r="M8724" s="6" t="s">
        <v>421</v>
      </c>
      <c r="N8724" s="6">
        <f>IF(OR($G8724="FCC",$G8724="Hydrocracker",$G8724="Reformer"),IF(COUNTIFS($D:$D,$D8724,$A:$A,$A8724,$B:$B,$B8724,$G:$G,"CDU",$J:$J,"PLANNED")&gt;0,"tied","standalone"),"")</f>
        <v/>
      </c>
    </row>
    <row r="8725" spans="1:14">
      <c r="A8725" s="6">
        <v>2027</v>
      </c>
      <c r="B8725" s="6">
        <v>10</v>
      </c>
      <c r="C8725" s="6" t="s">
        <v>69</v>
      </c>
      <c r="D8725" s="6" t="s">
        <v>540</v>
      </c>
      <c r="E8725" s="6" t="s">
        <v>541</v>
      </c>
      <c r="F8725" s="6" t="str">
        <f>IF($M8725="PADD I","PADD 1",IF($M8725="PADD II","PADD 2",IF($M8725="PADD III","PADD 3",IF($M8725="PADD IV","PADD 4",IF($M8725="PADD V","PADD 5","")))))</f>
        <v>PADD 3</v>
      </c>
      <c r="G8725" s="6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6" t="s">
        <v>485</v>
      </c>
      <c r="I8725" s="6" t="s">
        <v>693</v>
      </c>
      <c r="J8725" s="6" t="s">
        <v>398</v>
      </c>
      <c r="K8725" s="10">
        <v>25.3</v>
      </c>
      <c r="L8725" s="10">
        <v>110</v>
      </c>
      <c r="M8725" s="6" t="s">
        <v>421</v>
      </c>
      <c r="N8725" s="6">
        <f>IF(OR($G8725="FCC",$G8725="Hydrocracker",$G8725="Reformer"),IF(COUNTIFS($D:$D,$D8725,$A:$A,$A8725,$B:$B,$B8725,$G:$G,"CDU",$J:$J,"PLANNED")&gt;0,"tied","standalone"),"")</f>
        <v/>
      </c>
    </row>
    <row r="8726" spans="1:14">
      <c r="A8726" s="6">
        <v>2027</v>
      </c>
      <c r="B8726" s="6">
        <v>10</v>
      </c>
      <c r="C8726" s="6" t="s">
        <v>69</v>
      </c>
      <c r="D8726" s="6" t="s">
        <v>518</v>
      </c>
      <c r="E8726" s="6" t="s">
        <v>419</v>
      </c>
      <c r="F8726" s="6" t="str">
        <f>IF($M8726="PADD I","PADD 1",IF($M8726="PADD II","PADD 2",IF($M8726="PADD III","PADD 3",IF($M8726="PADD IV","PADD 4",IF($M8726="PADD V","PADD 5","")))))</f>
        <v>PADD 3</v>
      </c>
      <c r="G8726" s="6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6" t="s">
        <v>44</v>
      </c>
      <c r="I8726" s="6" t="s">
        <v>1226</v>
      </c>
      <c r="J8726" s="6" t="s">
        <v>398</v>
      </c>
      <c r="K8726" s="10">
        <v>23.8</v>
      </c>
      <c r="L8726" s="10">
        <v>35</v>
      </c>
      <c r="M8726" s="6" t="s">
        <v>421</v>
      </c>
      <c r="N8726" s="6">
        <f>IF(OR($G8726="FCC",$G8726="Hydrocracker",$G8726="Reformer"),IF(COUNTIFS($D:$D,$D8726,$A:$A,$A8726,$B:$B,$B8726,$G:$G,"CDU",$J:$J,"PLANNED")&gt;0,"tied","standalone"),"")</f>
        <v/>
      </c>
    </row>
    <row r="8727" spans="1:14">
      <c r="A8727" s="6">
        <v>2027</v>
      </c>
      <c r="B8727" s="6">
        <v>10</v>
      </c>
      <c r="C8727" s="6" t="s">
        <v>69</v>
      </c>
      <c r="D8727" s="6" t="s">
        <v>496</v>
      </c>
      <c r="E8727" s="6" t="s">
        <v>441</v>
      </c>
      <c r="F8727" s="6" t="str">
        <f>IF($M8727="PADD I","PADD 1",IF($M8727="PADD II","PADD 2",IF($M8727="PADD III","PADD 3",IF($M8727="PADD IV","PADD 4",IF($M8727="PADD V","PADD 5","")))))</f>
        <v>PADD 3</v>
      </c>
      <c r="G8727" s="6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6" t="s">
        <v>428</v>
      </c>
      <c r="I8727" s="6" t="s">
        <v>1091</v>
      </c>
      <c r="J8727" s="6" t="s">
        <v>398</v>
      </c>
      <c r="K8727" s="10">
        <v>23.18</v>
      </c>
      <c r="L8727" s="10">
        <v>38</v>
      </c>
      <c r="M8727" s="6" t="s">
        <v>421</v>
      </c>
      <c r="N8727" s="6">
        <f>IF(OR($G8727="FCC",$G8727="Hydrocracker",$G8727="Reformer"),IF(COUNTIFS($D:$D,$D8727,$A:$A,$A8727,$B:$B,$B8727,$G:$G,"CDU",$J:$J,"PLANNED")&gt;0,"tied","standalone"),"")</f>
        <v/>
      </c>
    </row>
    <row r="8728" spans="1:14">
      <c r="A8728" s="6">
        <v>2027</v>
      </c>
      <c r="B8728" s="6">
        <v>10</v>
      </c>
      <c r="C8728" s="6" t="s">
        <v>69</v>
      </c>
      <c r="D8728" s="6" t="s">
        <v>458</v>
      </c>
      <c r="E8728" s="6" t="s">
        <v>459</v>
      </c>
      <c r="F8728" s="6" t="str">
        <f>IF($M8728="PADD I","PADD 1",IF($M8728="PADD II","PADD 2",IF($M8728="PADD III","PADD 3",IF($M8728="PADD IV","PADD 4",IF($M8728="PADD V","PADD 5","")))))</f>
        <v>PADD 3</v>
      </c>
      <c r="G8728" s="6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6" t="s">
        <v>44</v>
      </c>
      <c r="I8728" s="6" t="s">
        <v>528</v>
      </c>
      <c r="J8728" s="6" t="s">
        <v>398</v>
      </c>
      <c r="K8728" s="10">
        <v>23.1</v>
      </c>
      <c r="L8728" s="10">
        <v>42</v>
      </c>
      <c r="M8728" s="6" t="s">
        <v>421</v>
      </c>
      <c r="N8728" s="6">
        <f>IF(OR($G8728="FCC",$G8728="Hydrocracker",$G8728="Reformer"),IF(COUNTIFS($D:$D,$D8728,$A:$A,$A8728,$B:$B,$B8728,$G:$G,"CDU",$J:$J,"PLANNED")&gt;0,"tied","standalone"),"")</f>
        <v/>
      </c>
    </row>
    <row r="8729" spans="1:14">
      <c r="A8729" s="6">
        <v>2027</v>
      </c>
      <c r="B8729" s="6">
        <v>10</v>
      </c>
      <c r="C8729" s="6" t="s">
        <v>69</v>
      </c>
      <c r="D8729" s="6" t="s">
        <v>458</v>
      </c>
      <c r="E8729" s="6" t="s">
        <v>459</v>
      </c>
      <c r="F8729" s="6" t="str">
        <f>IF($M8729="PADD I","PADD 1",IF($M8729="PADD II","PADD 2",IF($M8729="PADD III","PADD 3",IF($M8729="PADD IV","PADD 4",IF($M8729="PADD V","PADD 5","")))))</f>
        <v>PADD 3</v>
      </c>
      <c r="G8729" s="6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6" t="s">
        <v>39</v>
      </c>
      <c r="I8729" s="6" t="s">
        <v>572</v>
      </c>
      <c r="J8729" s="6" t="s">
        <v>398</v>
      </c>
      <c r="K8729" s="10">
        <v>22</v>
      </c>
      <c r="L8729" s="10">
        <v>40</v>
      </c>
      <c r="M8729" s="6" t="s">
        <v>421</v>
      </c>
      <c r="N8729" s="6">
        <f>IF(OR($G8729="FCC",$G8729="Hydrocracker",$G8729="Reformer"),IF(COUNTIFS($D:$D,$D8729,$A:$A,$A8729,$B:$B,$B8729,$G:$G,"CDU",$J:$J,"PLANNED")&gt;0,"tied","standalone"),"")</f>
        <v/>
      </c>
    </row>
    <row r="8730" spans="1:14">
      <c r="A8730" s="6">
        <v>2027</v>
      </c>
      <c r="B8730" s="6">
        <v>10</v>
      </c>
      <c r="C8730" s="6" t="s">
        <v>69</v>
      </c>
      <c r="D8730" s="6" t="s">
        <v>51</v>
      </c>
      <c r="E8730" s="6" t="s">
        <v>431</v>
      </c>
      <c r="F8730" s="6" t="str">
        <f>IF($M8730="PADD I","PADD 1",IF($M8730="PADD II","PADD 2",IF($M8730="PADD III","PADD 3",IF($M8730="PADD IV","PADD 4",IF($M8730="PADD V","PADD 5","")))))</f>
        <v>PADD 3</v>
      </c>
      <c r="G8730" s="6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6" t="s">
        <v>510</v>
      </c>
      <c r="I8730" s="6" t="s">
        <v>670</v>
      </c>
      <c r="J8730" s="6" t="s">
        <v>398</v>
      </c>
      <c r="K8730" s="10">
        <v>21</v>
      </c>
      <c r="L8730" s="10">
        <v>21</v>
      </c>
      <c r="M8730" s="6" t="s">
        <v>421</v>
      </c>
      <c r="N8730" s="6">
        <f>IF(OR($G8730="FCC",$G8730="Hydrocracker",$G8730="Reformer"),IF(COUNTIFS($D:$D,$D8730,$A:$A,$A8730,$B:$B,$B8730,$G:$G,"CDU",$J:$J,"PLANNED")&gt;0,"tied","standalone"),"")</f>
        <v/>
      </c>
    </row>
    <row r="8731" spans="1:14">
      <c r="A8731" s="6">
        <v>2027</v>
      </c>
      <c r="B8731" s="6">
        <v>10</v>
      </c>
      <c r="C8731" s="6" t="s">
        <v>69</v>
      </c>
      <c r="D8731" s="6" t="s">
        <v>518</v>
      </c>
      <c r="E8731" s="6" t="s">
        <v>419</v>
      </c>
      <c r="F8731" s="6" t="str">
        <f>IF($M8731="PADD I","PADD 1",IF($M8731="PADD II","PADD 2",IF($M8731="PADD III","PADD 3",IF($M8731="PADD IV","PADD 4",IF($M8731="PADD V","PADD 5","")))))</f>
        <v>PADD 3</v>
      </c>
      <c r="G8731" s="6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6" t="s">
        <v>44</v>
      </c>
      <c r="I8731" s="6" t="s">
        <v>1081</v>
      </c>
      <c r="J8731" s="6" t="s">
        <v>398</v>
      </c>
      <c r="K8731" s="10">
        <v>20</v>
      </c>
      <c r="L8731" s="10">
        <v>20</v>
      </c>
      <c r="M8731" s="6" t="s">
        <v>421</v>
      </c>
      <c r="N8731" s="6">
        <f>IF(OR($G8731="FCC",$G8731="Hydrocracker",$G8731="Reformer"),IF(COUNTIFS($D:$D,$D8731,$A:$A,$A8731,$B:$B,$B8731,$G:$G,"CDU",$J:$J,"PLANNED")&gt;0,"tied","standalone"),"")</f>
        <v/>
      </c>
    </row>
    <row r="8732" spans="1:14">
      <c r="A8732" s="6">
        <v>2027</v>
      </c>
      <c r="B8732" s="6">
        <v>10</v>
      </c>
      <c r="C8732" s="6" t="s">
        <v>69</v>
      </c>
      <c r="D8732" s="6" t="s">
        <v>1373</v>
      </c>
      <c r="E8732" s="6" t="s">
        <v>419</v>
      </c>
      <c r="F8732" s="6" t="str">
        <f>IF($M8732="PADD I","PADD 1",IF($M8732="PADD II","PADD 2",IF($M8732="PADD III","PADD 3",IF($M8732="PADD IV","PADD 4",IF($M8732="PADD V","PADD 5","")))))</f>
        <v>PADD 5</v>
      </c>
      <c r="G8732" s="6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6" t="s">
        <v>44</v>
      </c>
      <c r="I8732" s="6" t="s">
        <v>508</v>
      </c>
      <c r="J8732" s="6" t="s">
        <v>398</v>
      </c>
      <c r="K8732" s="10">
        <v>20</v>
      </c>
      <c r="L8732" s="10">
        <v>20</v>
      </c>
      <c r="M8732" s="6" t="s">
        <v>436</v>
      </c>
      <c r="N8732" s="6">
        <f>IF(OR($G8732="FCC",$G8732="Hydrocracker",$G8732="Reformer"),IF(COUNTIFS($D:$D,$D8732,$A:$A,$A8732,$B:$B,$B8732,$G:$G,"CDU",$J:$J,"PLANNED")&gt;0,"tied","standalone"),"")</f>
        <v/>
      </c>
    </row>
    <row r="8733" spans="1:14">
      <c r="A8733" s="6">
        <v>2027</v>
      </c>
      <c r="B8733" s="6">
        <v>10</v>
      </c>
      <c r="C8733" s="6" t="s">
        <v>69</v>
      </c>
      <c r="D8733" s="6" t="s">
        <v>1191</v>
      </c>
      <c r="E8733" s="6" t="s">
        <v>1129</v>
      </c>
      <c r="F8733" s="6" t="str">
        <f>IF($M8733="PADD I","PADD 1",IF($M8733="PADD II","PADD 2",IF($M8733="PADD III","PADD 3",IF($M8733="PADD IV","PADD 4",IF($M8733="PADD V","PADD 5","")))))</f>
        <v>PADD 3</v>
      </c>
      <c r="G8733" s="6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6" t="s">
        <v>44</v>
      </c>
      <c r="I8733" s="6" t="s">
        <v>977</v>
      </c>
      <c r="J8733" s="6" t="s">
        <v>398</v>
      </c>
      <c r="K8733" s="10">
        <v>19.25</v>
      </c>
      <c r="L8733" s="10">
        <v>25</v>
      </c>
      <c r="M8733" s="6" t="s">
        <v>421</v>
      </c>
      <c r="N8733" s="6">
        <f>IF(OR($G8733="FCC",$G8733="Hydrocracker",$G8733="Reformer"),IF(COUNTIFS($D:$D,$D8733,$A:$A,$A8733,$B:$B,$B8733,$G:$G,"CDU",$J:$J,"PLANNED")&gt;0,"tied","standalone"),"")</f>
        <v/>
      </c>
    </row>
    <row r="8734" spans="1:14">
      <c r="A8734" s="6">
        <v>2027</v>
      </c>
      <c r="B8734" s="6">
        <v>10</v>
      </c>
      <c r="C8734" s="6" t="s">
        <v>69</v>
      </c>
      <c r="D8734" s="6" t="s">
        <v>789</v>
      </c>
      <c r="E8734" s="6" t="s">
        <v>455</v>
      </c>
      <c r="F8734" s="6" t="str">
        <f>IF($M8734="PADD I","PADD 1",IF($M8734="PADD II","PADD 2",IF($M8734="PADD III","PADD 3",IF($M8734="PADD IV","PADD 4",IF($M8734="PADD V","PADD 5","")))))</f>
        <v>PADD 2</v>
      </c>
      <c r="G8734" s="6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6" t="s">
        <v>44</v>
      </c>
      <c r="I8734" s="6" t="s">
        <v>790</v>
      </c>
      <c r="J8734" s="6" t="s">
        <v>398</v>
      </c>
      <c r="K8734" s="10">
        <v>17.6</v>
      </c>
      <c r="L8734" s="10">
        <v>32</v>
      </c>
      <c r="M8734" s="6" t="s">
        <v>425</v>
      </c>
      <c r="N8734" s="6">
        <f>IF(OR($G8734="FCC",$G8734="Hydrocracker",$G8734="Reformer"),IF(COUNTIFS($D:$D,$D8734,$A:$A,$A8734,$B:$B,$B8734,$G:$G,"CDU",$J:$J,"PLANNED")&gt;0,"tied","standalone"),"")</f>
        <v/>
      </c>
    </row>
    <row r="8735" spans="1:14">
      <c r="A8735" s="6">
        <v>2027</v>
      </c>
      <c r="B8735" s="6">
        <v>10</v>
      </c>
      <c r="C8735" s="6" t="s">
        <v>69</v>
      </c>
      <c r="D8735" s="6" t="s">
        <v>789</v>
      </c>
      <c r="E8735" s="6" t="s">
        <v>455</v>
      </c>
      <c r="F8735" s="6" t="str">
        <f>IF($M8735="PADD I","PADD 1",IF($M8735="PADD II","PADD 2",IF($M8735="PADD III","PADD 3",IF($M8735="PADD IV","PADD 4",IF($M8735="PADD V","PADD 5","")))))</f>
        <v>PADD 2</v>
      </c>
      <c r="G8735" s="6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6" t="s">
        <v>44</v>
      </c>
      <c r="I8735" s="6" t="s">
        <v>739</v>
      </c>
      <c r="J8735" s="6" t="s">
        <v>398</v>
      </c>
      <c r="K8735" s="10">
        <v>17.6</v>
      </c>
      <c r="L8735" s="10">
        <v>32</v>
      </c>
      <c r="M8735" s="6" t="s">
        <v>425</v>
      </c>
      <c r="N8735" s="6">
        <f>IF(OR($G8735="FCC",$G8735="Hydrocracker",$G8735="Reformer"),IF(COUNTIFS($D:$D,$D8735,$A:$A,$A8735,$B:$B,$B8735,$G:$G,"CDU",$J:$J,"PLANNED")&gt;0,"tied","standalone"),"")</f>
        <v/>
      </c>
    </row>
    <row r="8736" spans="1:14">
      <c r="A8736" s="6">
        <v>2027</v>
      </c>
      <c r="B8736" s="6">
        <v>10</v>
      </c>
      <c r="C8736" s="6" t="s">
        <v>69</v>
      </c>
      <c r="D8736" s="6" t="s">
        <v>789</v>
      </c>
      <c r="E8736" s="6" t="s">
        <v>455</v>
      </c>
      <c r="F8736" s="6" t="str">
        <f>IF($M8736="PADD I","PADD 1",IF($M8736="PADD II","PADD 2",IF($M8736="PADD III","PADD 3",IF($M8736="PADD IV","PADD 4",IF($M8736="PADD V","PADD 5","")))))</f>
        <v>PADD 2</v>
      </c>
      <c r="G8736" s="6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6" t="s">
        <v>428</v>
      </c>
      <c r="I8736" s="6" t="s">
        <v>481</v>
      </c>
      <c r="J8736" s="6" t="s">
        <v>398</v>
      </c>
      <c r="K8736" s="10">
        <v>17.6</v>
      </c>
      <c r="L8736" s="10">
        <v>32</v>
      </c>
      <c r="M8736" s="6" t="s">
        <v>425</v>
      </c>
      <c r="N8736" s="6">
        <f>IF(OR($G8736="FCC",$G8736="Hydrocracker",$G8736="Reformer"),IF(COUNTIFS($D:$D,$D8736,$A:$A,$A8736,$B:$B,$B8736,$G:$G,"CDU",$J:$J,"PLANNED")&gt;0,"tied","standalone"),"")</f>
        <v/>
      </c>
    </row>
    <row r="8737" spans="1:14">
      <c r="A8737" s="6">
        <v>2027</v>
      </c>
      <c r="B8737" s="6">
        <v>10</v>
      </c>
      <c r="C8737" s="6" t="s">
        <v>69</v>
      </c>
      <c r="D8737" s="6" t="s">
        <v>430</v>
      </c>
      <c r="E8737" s="6" t="s">
        <v>431</v>
      </c>
      <c r="F8737" s="6" t="str">
        <f>IF($M8737="PADD I","PADD 1",IF($M8737="PADD II","PADD 2",IF($M8737="PADD III","PADD 3",IF($M8737="PADD IV","PADD 4",IF($M8737="PADD V","PADD 5","")))))</f>
        <v>PADD 3</v>
      </c>
      <c r="G8737" s="6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6" t="s">
        <v>39</v>
      </c>
      <c r="I8737" s="6" t="s">
        <v>115</v>
      </c>
      <c r="J8737" s="6" t="s">
        <v>398</v>
      </c>
      <c r="K8737" s="10">
        <v>17.6</v>
      </c>
      <c r="L8737" s="10">
        <v>110</v>
      </c>
      <c r="M8737" s="6" t="s">
        <v>421</v>
      </c>
      <c r="N8737" s="6">
        <f>IF(OR($G8737="FCC",$G8737="Hydrocracker",$G8737="Reformer"),IF(COUNTIFS($D:$D,$D8737,$A:$A,$A8737,$B:$B,$B8737,$G:$G,"CDU",$J:$J,"PLANNED")&gt;0,"tied","standalone"),"")</f>
        <v/>
      </c>
    </row>
    <row r="8738" spans="1:14">
      <c r="A8738" s="6">
        <v>2027</v>
      </c>
      <c r="B8738" s="6">
        <v>10</v>
      </c>
      <c r="C8738" s="6" t="s">
        <v>69</v>
      </c>
      <c r="D8738" s="6" t="s">
        <v>458</v>
      </c>
      <c r="E8738" s="6" t="s">
        <v>459</v>
      </c>
      <c r="F8738" s="6" t="str">
        <f>IF($M8738="PADD I","PADD 1",IF($M8738="PADD II","PADD 2",IF($M8738="PADD III","PADD 3",IF($M8738="PADD IV","PADD 4",IF($M8738="PADD V","PADD 5","")))))</f>
        <v>PADD 3</v>
      </c>
      <c r="G8738" s="6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6" t="s">
        <v>44</v>
      </c>
      <c r="I8738" s="6" t="s">
        <v>547</v>
      </c>
      <c r="J8738" s="6" t="s">
        <v>398</v>
      </c>
      <c r="K8738" s="10">
        <v>17.05</v>
      </c>
      <c r="L8738" s="10">
        <v>31</v>
      </c>
      <c r="M8738" s="6" t="s">
        <v>421</v>
      </c>
      <c r="N8738" s="6">
        <f>IF(OR($G8738="FCC",$G8738="Hydrocracker",$G8738="Reformer"),IF(COUNTIFS($D:$D,$D8738,$A:$A,$A8738,$B:$B,$B8738,$G:$G,"CDU",$J:$J,"PLANNED")&gt;0,"tied","standalone"),"")</f>
        <v/>
      </c>
    </row>
    <row r="8739" spans="1:14">
      <c r="A8739" s="6">
        <v>2027</v>
      </c>
      <c r="B8739" s="6">
        <v>10</v>
      </c>
      <c r="C8739" s="6" t="s">
        <v>69</v>
      </c>
      <c r="D8739" s="6" t="s">
        <v>1373</v>
      </c>
      <c r="E8739" s="6" t="s">
        <v>419</v>
      </c>
      <c r="F8739" s="6" t="str">
        <f>IF($M8739="PADD I","PADD 1",IF($M8739="PADD II","PADD 2",IF($M8739="PADD III","PADD 3",IF($M8739="PADD IV","PADD 4",IF($M8739="PADD V","PADD 5","")))))</f>
        <v>PADD 5</v>
      </c>
      <c r="G8739" s="6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6" t="s">
        <v>44</v>
      </c>
      <c r="I8739" s="6" t="s">
        <v>1423</v>
      </c>
      <c r="J8739" s="6" t="s">
        <v>398</v>
      </c>
      <c r="K8739" s="10">
        <v>17</v>
      </c>
      <c r="L8739" s="10">
        <v>17</v>
      </c>
      <c r="M8739" s="6" t="s">
        <v>436</v>
      </c>
      <c r="N8739" s="6">
        <f>IF(OR($G8739="FCC",$G8739="Hydrocracker",$G8739="Reformer"),IF(COUNTIFS($D:$D,$D8739,$A:$A,$A8739,$B:$B,$B8739,$G:$G,"CDU",$J:$J,"PLANNED")&gt;0,"tied","standalone"),"")</f>
        <v/>
      </c>
    </row>
    <row r="8740" spans="1:14">
      <c r="A8740" s="6">
        <v>2027</v>
      </c>
      <c r="B8740" s="6">
        <v>10</v>
      </c>
      <c r="C8740" s="6" t="s">
        <v>69</v>
      </c>
      <c r="D8740" s="6" t="s">
        <v>789</v>
      </c>
      <c r="E8740" s="6" t="s">
        <v>455</v>
      </c>
      <c r="F8740" s="6" t="str">
        <f>IF($M8740="PADD I","PADD 1",IF($M8740="PADD II","PADD 2",IF($M8740="PADD III","PADD 3",IF($M8740="PADD IV","PADD 4",IF($M8740="PADD V","PADD 5","")))))</f>
        <v>PADD 2</v>
      </c>
      <c r="G8740" s="6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6" t="s">
        <v>426</v>
      </c>
      <c r="I8740" s="6" t="s">
        <v>106</v>
      </c>
      <c r="J8740" s="6" t="s">
        <v>398</v>
      </c>
      <c r="K8740" s="10">
        <v>16.5</v>
      </c>
      <c r="L8740" s="10">
        <v>30</v>
      </c>
      <c r="M8740" s="6" t="s">
        <v>425</v>
      </c>
      <c r="N8740" s="6" t="str">
        <f>IF(OR($G8740="FCC",$G8740="Hydrocracker",$G8740="Reformer"),IF(COUNTIFS($D:$D,$D8740,$A:$A,$A8740,$B:$B,$B8740,$G:$G,"CDU",$J:$J,"PLANNED")&gt;0,"tied","standalone"),"")</f>
        <v>tied</v>
      </c>
    </row>
    <row r="8741" spans="1:14">
      <c r="A8741" s="6">
        <v>2027</v>
      </c>
      <c r="B8741" s="6">
        <v>10</v>
      </c>
      <c r="C8741" s="6" t="s">
        <v>69</v>
      </c>
      <c r="D8741" s="6" t="s">
        <v>789</v>
      </c>
      <c r="E8741" s="6" t="s">
        <v>455</v>
      </c>
      <c r="F8741" s="6" t="str">
        <f>IF($M8741="PADD I","PADD 1",IF($M8741="PADD II","PADD 2",IF($M8741="PADD III","PADD 3",IF($M8741="PADD IV","PADD 4",IF($M8741="PADD V","PADD 5","")))))</f>
        <v>PADD 2</v>
      </c>
      <c r="G8741" s="6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6" t="s">
        <v>471</v>
      </c>
      <c r="I8741" s="6" t="s">
        <v>832</v>
      </c>
      <c r="J8741" s="6" t="s">
        <v>398</v>
      </c>
      <c r="K8741" s="10">
        <v>16.5</v>
      </c>
      <c r="L8741" s="10">
        <v>30</v>
      </c>
      <c r="M8741" s="6" t="s">
        <v>425</v>
      </c>
      <c r="N8741" s="6" t="str">
        <f>IF(OR($G8741="FCC",$G8741="Hydrocracker",$G8741="Reformer"),IF(COUNTIFS($D:$D,$D8741,$A:$A,$A8741,$B:$B,$B8741,$G:$G,"CDU",$J:$J,"PLANNED")&gt;0,"tied","standalone"),"")</f>
        <v>tied</v>
      </c>
    </row>
    <row r="8742" spans="1:14">
      <c r="A8742" s="6">
        <v>2027</v>
      </c>
      <c r="B8742" s="6">
        <v>10</v>
      </c>
      <c r="C8742" s="6" t="s">
        <v>69</v>
      </c>
      <c r="D8742" s="6" t="s">
        <v>1373</v>
      </c>
      <c r="E8742" s="6" t="s">
        <v>419</v>
      </c>
      <c r="F8742" s="6" t="str">
        <f>IF($M8742="PADD I","PADD 1",IF($M8742="PADD II","PADD 2",IF($M8742="PADD III","PADD 3",IF($M8742="PADD IV","PADD 4",IF($M8742="PADD V","PADD 5","")))))</f>
        <v>PADD 5</v>
      </c>
      <c r="G8742" s="6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6" t="s">
        <v>471</v>
      </c>
      <c r="I8742" s="6" t="s">
        <v>1153</v>
      </c>
      <c r="J8742" s="6" t="s">
        <v>398</v>
      </c>
      <c r="K8742" s="10">
        <v>16</v>
      </c>
      <c r="L8742" s="10">
        <v>16</v>
      </c>
      <c r="M8742" s="6" t="s">
        <v>436</v>
      </c>
      <c r="N8742" s="6" t="str">
        <f>IF(OR($G8742="FCC",$G8742="Hydrocracker",$G8742="Reformer"),IF(COUNTIFS($D:$D,$D8742,$A:$A,$A8742,$B:$B,$B8742,$G:$G,"CDU",$J:$J,"PLANNED")&gt;0,"tied","standalone"),"")</f>
        <v>tied</v>
      </c>
    </row>
    <row r="8743" spans="1:14">
      <c r="A8743" s="6">
        <v>2027</v>
      </c>
      <c r="B8743" s="6">
        <v>10</v>
      </c>
      <c r="C8743" s="6" t="s">
        <v>69</v>
      </c>
      <c r="D8743" s="6" t="s">
        <v>1110</v>
      </c>
      <c r="E8743" s="6" t="s">
        <v>1089</v>
      </c>
      <c r="F8743" s="6" t="str">
        <f>IF($M8743="PADD I","PADD 1",IF($M8743="PADD II","PADD 2",IF($M8743="PADD III","PADD 3",IF($M8743="PADD IV","PADD 4",IF($M8743="PADD V","PADD 5","")))))</f>
        <v>PADD 2</v>
      </c>
      <c r="G8743" s="6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6" t="s">
        <v>510</v>
      </c>
      <c r="I8743" s="6" t="s">
        <v>666</v>
      </c>
      <c r="J8743" s="6" t="s">
        <v>398</v>
      </c>
      <c r="K8743" s="10">
        <v>14.63</v>
      </c>
      <c r="L8743" s="10">
        <v>19</v>
      </c>
      <c r="M8743" s="6" t="s">
        <v>425</v>
      </c>
      <c r="N8743" s="6">
        <f>IF(OR($G8743="FCC",$G8743="Hydrocracker",$G8743="Reformer"),IF(COUNTIFS($D:$D,$D8743,$A:$A,$A8743,$B:$B,$B8743,$G:$G,"CDU",$J:$J,"PLANNED")&gt;0,"tied","standalone"),"")</f>
        <v/>
      </c>
    </row>
    <row r="8744" spans="1:14">
      <c r="A8744" s="6">
        <v>2027</v>
      </c>
      <c r="B8744" s="6">
        <v>10</v>
      </c>
      <c r="C8744" s="6" t="s">
        <v>69</v>
      </c>
      <c r="D8744" s="6" t="s">
        <v>789</v>
      </c>
      <c r="E8744" s="6" t="s">
        <v>455</v>
      </c>
      <c r="F8744" s="6" t="str">
        <f>IF($M8744="PADD I","PADD 1",IF($M8744="PADD II","PADD 2",IF($M8744="PADD III","PADD 3",IF($M8744="PADD IV","PADD 4",IF($M8744="PADD V","PADD 5","")))))</f>
        <v>PADD 2</v>
      </c>
      <c r="G8744" s="6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6" t="s">
        <v>44</v>
      </c>
      <c r="I8744" s="6" t="s">
        <v>543</v>
      </c>
      <c r="J8744" s="6" t="s">
        <v>398</v>
      </c>
      <c r="K8744" s="10">
        <v>14.575</v>
      </c>
      <c r="L8744" s="10">
        <v>26.5</v>
      </c>
      <c r="M8744" s="6" t="s">
        <v>425</v>
      </c>
      <c r="N8744" s="6">
        <f>IF(OR($G8744="FCC",$G8744="Hydrocracker",$G8744="Reformer"),IF(COUNTIFS($D:$D,$D8744,$A:$A,$A8744,$B:$B,$B8744,$G:$G,"CDU",$J:$J,"PLANNED")&gt;0,"tied","standalone"),"")</f>
        <v/>
      </c>
    </row>
    <row r="8745" spans="1:14">
      <c r="A8745" s="6">
        <v>2027</v>
      </c>
      <c r="B8745" s="6">
        <v>10</v>
      </c>
      <c r="C8745" s="6" t="s">
        <v>69</v>
      </c>
      <c r="D8745" s="6" t="s">
        <v>1010</v>
      </c>
      <c r="E8745" s="6" t="s">
        <v>931</v>
      </c>
      <c r="F8745" s="6" t="str">
        <f>IF($M8745="PADD I","PADD 1",IF($M8745="PADD II","PADD 2",IF($M8745="PADD III","PADD 3",IF($M8745="PADD IV","PADD 4",IF($M8745="PADD V","PADD 5","")))))</f>
        <v>PADD 3</v>
      </c>
      <c r="G8745" s="6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6" t="s">
        <v>39</v>
      </c>
      <c r="I8745" s="6" t="s">
        <v>1097</v>
      </c>
      <c r="J8745" s="6" t="s">
        <v>398</v>
      </c>
      <c r="K8745" s="10">
        <v>13.86</v>
      </c>
      <c r="L8745" s="10">
        <v>33</v>
      </c>
      <c r="M8745" s="6" t="s">
        <v>421</v>
      </c>
      <c r="N8745" s="6">
        <f>IF(OR($G8745="FCC",$G8745="Hydrocracker",$G8745="Reformer"),IF(COUNTIFS($D:$D,$D8745,$A:$A,$A8745,$B:$B,$B8745,$G:$G,"CDU",$J:$J,"PLANNED")&gt;0,"tied","standalone"),"")</f>
        <v/>
      </c>
    </row>
    <row r="8746" spans="1:14">
      <c r="A8746" s="6">
        <v>2027</v>
      </c>
      <c r="B8746" s="6">
        <v>10</v>
      </c>
      <c r="C8746" s="6" t="s">
        <v>69</v>
      </c>
      <c r="D8746" s="6" t="s">
        <v>437</v>
      </c>
      <c r="E8746" s="6" t="s">
        <v>438</v>
      </c>
      <c r="F8746" s="6" t="str">
        <f>IF($M8746="PADD I","PADD 1",IF($M8746="PADD II","PADD 2",IF($M8746="PADD III","PADD 3",IF($M8746="PADD IV","PADD 4",IF($M8746="PADD V","PADD 5","")))))</f>
        <v>PADD 3</v>
      </c>
      <c r="G8746" s="6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6" t="s">
        <v>494</v>
      </c>
      <c r="I8746" s="6" t="s">
        <v>526</v>
      </c>
      <c r="J8746" s="6" t="s">
        <v>398</v>
      </c>
      <c r="K8746" s="10">
        <v>13.8</v>
      </c>
      <c r="L8746" s="10">
        <v>60</v>
      </c>
      <c r="M8746" s="6" t="s">
        <v>421</v>
      </c>
      <c r="N8746" s="6" t="str">
        <f>IF(OR($G8746="FCC",$G8746="Hydrocracker",$G8746="Reformer"),IF(COUNTIFS($D:$D,$D8746,$A:$A,$A8746,$B:$B,$B8746,$G:$G,"CDU",$J:$J,"PLANNED")&gt;0,"tied","standalone"),"")</f>
        <v>standalone</v>
      </c>
    </row>
    <row r="8747" spans="1:14">
      <c r="A8747" s="6">
        <v>2027</v>
      </c>
      <c r="B8747" s="6">
        <v>10</v>
      </c>
      <c r="C8747" s="6" t="s">
        <v>69</v>
      </c>
      <c r="D8747" s="6" t="s">
        <v>518</v>
      </c>
      <c r="E8747" s="6" t="s">
        <v>419</v>
      </c>
      <c r="F8747" s="6" t="str">
        <f>IF($M8747="PADD I","PADD 1",IF($M8747="PADD II","PADD 2",IF($M8747="PADD III","PADD 3",IF($M8747="PADD IV","PADD 4",IF($M8747="PADD V","PADD 5","")))))</f>
        <v>PADD 3</v>
      </c>
      <c r="G8747" s="6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6" t="s">
        <v>618</v>
      </c>
      <c r="I8747" s="6" t="s">
        <v>1451</v>
      </c>
      <c r="J8747" s="6" t="s">
        <v>398</v>
      </c>
      <c r="K8747" s="10">
        <v>13.6</v>
      </c>
      <c r="L8747" s="10">
        <v>20</v>
      </c>
      <c r="M8747" s="6" t="s">
        <v>421</v>
      </c>
      <c r="N8747" s="6">
        <f>IF(OR($G8747="FCC",$G8747="Hydrocracker",$G8747="Reformer"),IF(COUNTIFS($D:$D,$D8747,$A:$A,$A8747,$B:$B,$B8747,$G:$G,"CDU",$J:$J,"PLANNED")&gt;0,"tied","standalone"),"")</f>
        <v/>
      </c>
    </row>
    <row r="8748" spans="1:14">
      <c r="A8748" s="6">
        <v>2027</v>
      </c>
      <c r="B8748" s="6">
        <v>10</v>
      </c>
      <c r="C8748" s="6" t="s">
        <v>69</v>
      </c>
      <c r="D8748" s="6" t="s">
        <v>1010</v>
      </c>
      <c r="E8748" s="6" t="s">
        <v>931</v>
      </c>
      <c r="F8748" s="6" t="str">
        <f>IF($M8748="PADD I","PADD 1",IF($M8748="PADD II","PADD 2",IF($M8748="PADD III","PADD 3",IF($M8748="PADD IV","PADD 4",IF($M8748="PADD V","PADD 5","")))))</f>
        <v>PADD 3</v>
      </c>
      <c r="G8748" s="6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6" t="s">
        <v>39</v>
      </c>
      <c r="I8748" s="6" t="s">
        <v>424</v>
      </c>
      <c r="J8748" s="6" t="s">
        <v>398</v>
      </c>
      <c r="K8748" s="10">
        <v>11.34</v>
      </c>
      <c r="L8748" s="10">
        <v>27</v>
      </c>
      <c r="M8748" s="6" t="s">
        <v>421</v>
      </c>
      <c r="N8748" s="6">
        <f>IF(OR($G8748="FCC",$G8748="Hydrocracker",$G8748="Reformer"),IF(COUNTIFS($D:$D,$D8748,$A:$A,$A8748,$B:$B,$B8748,$G:$G,"CDU",$J:$J,"PLANNED")&gt;0,"tied","standalone"),"")</f>
        <v/>
      </c>
    </row>
    <row r="8749" spans="1:14">
      <c r="A8749" s="6">
        <v>2027</v>
      </c>
      <c r="B8749" s="6">
        <v>10</v>
      </c>
      <c r="C8749" s="6" t="s">
        <v>69</v>
      </c>
      <c r="D8749" s="6" t="s">
        <v>652</v>
      </c>
      <c r="E8749" s="6" t="s">
        <v>419</v>
      </c>
      <c r="F8749" s="6" t="str">
        <f>IF($M8749="PADD I","PADD 1",IF($M8749="PADD II","PADD 2",IF($M8749="PADD III","PADD 3",IF($M8749="PADD IV","PADD 4",IF($M8749="PADD V","PADD 5","")))))</f>
        <v>PADD 2</v>
      </c>
      <c r="G8749" s="6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6" t="s">
        <v>39</v>
      </c>
      <c r="I8749" s="6" t="s">
        <v>711</v>
      </c>
      <c r="J8749" s="6" t="s">
        <v>398</v>
      </c>
      <c r="K8749" s="10">
        <v>11.2</v>
      </c>
      <c r="L8749" s="10">
        <v>35</v>
      </c>
      <c r="M8749" s="6" t="s">
        <v>425</v>
      </c>
      <c r="N8749" s="6">
        <f>IF(OR($G8749="FCC",$G8749="Hydrocracker",$G8749="Reformer"),IF(COUNTIFS($D:$D,$D8749,$A:$A,$A8749,$B:$B,$B8749,$G:$G,"CDU",$J:$J,"PLANNED")&gt;0,"tied","standalone"),"")</f>
        <v/>
      </c>
    </row>
    <row r="8750" spans="1:14">
      <c r="A8750" s="6">
        <v>2027</v>
      </c>
      <c r="B8750" s="6">
        <v>10</v>
      </c>
      <c r="C8750" s="6" t="s">
        <v>69</v>
      </c>
      <c r="D8750" s="6" t="s">
        <v>652</v>
      </c>
      <c r="E8750" s="6" t="s">
        <v>419</v>
      </c>
      <c r="F8750" s="6" t="str">
        <f>IF($M8750="PADD I","PADD 1",IF($M8750="PADD II","PADD 2",IF($M8750="PADD III","PADD 3",IF($M8750="PADD IV","PADD 4",IF($M8750="PADD V","PADD 5","")))))</f>
        <v>PADD 2</v>
      </c>
      <c r="G8750" s="6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6" t="s">
        <v>426</v>
      </c>
      <c r="I8750" s="6" t="s">
        <v>1174</v>
      </c>
      <c r="J8750" s="6" t="s">
        <v>398</v>
      </c>
      <c r="K8750" s="10">
        <v>11.2</v>
      </c>
      <c r="L8750" s="10">
        <v>35</v>
      </c>
      <c r="M8750" s="6" t="s">
        <v>425</v>
      </c>
      <c r="N8750" s="6" t="str">
        <f>IF(OR($G8750="FCC",$G8750="Hydrocracker",$G8750="Reformer"),IF(COUNTIFS($D:$D,$D8750,$A:$A,$A8750,$B:$B,$B8750,$G:$G,"CDU",$J:$J,"PLANNED")&gt;0,"tied","standalone"),"")</f>
        <v>tied</v>
      </c>
    </row>
    <row r="8751" spans="1:14">
      <c r="A8751" s="6">
        <v>2027</v>
      </c>
      <c r="B8751" s="6">
        <v>10</v>
      </c>
      <c r="C8751" s="6" t="s">
        <v>69</v>
      </c>
      <c r="D8751" s="6" t="s">
        <v>789</v>
      </c>
      <c r="E8751" s="6" t="s">
        <v>455</v>
      </c>
      <c r="F8751" s="6" t="str">
        <f>IF($M8751="PADD I","PADD 1",IF($M8751="PADD II","PADD 2",IF($M8751="PADD III","PADD 3",IF($M8751="PADD IV","PADD 4",IF($M8751="PADD V","PADD 5","")))))</f>
        <v>PADD 2</v>
      </c>
      <c r="G8751" s="6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6" t="s">
        <v>44</v>
      </c>
      <c r="I8751" s="6" t="s">
        <v>1246</v>
      </c>
      <c r="J8751" s="6" t="s">
        <v>398</v>
      </c>
      <c r="K8751" s="10">
        <v>11</v>
      </c>
      <c r="L8751" s="10">
        <v>20</v>
      </c>
      <c r="M8751" s="6" t="s">
        <v>425</v>
      </c>
      <c r="N8751" s="6">
        <f>IF(OR($G8751="FCC",$G8751="Hydrocracker",$G8751="Reformer"),IF(COUNTIFS($D:$D,$D8751,$A:$A,$A8751,$B:$B,$B8751,$G:$G,"CDU",$J:$J,"PLANNED")&gt;0,"tied","standalone"),"")</f>
        <v/>
      </c>
    </row>
    <row r="8752" spans="1:14">
      <c r="A8752" s="6">
        <v>2027</v>
      </c>
      <c r="B8752" s="6">
        <v>10</v>
      </c>
      <c r="C8752" s="6" t="s">
        <v>69</v>
      </c>
      <c r="D8752" s="6" t="s">
        <v>1191</v>
      </c>
      <c r="E8752" s="6" t="s">
        <v>1129</v>
      </c>
      <c r="F8752" s="6" t="str">
        <f>IF($M8752="PADD I","PADD 1",IF($M8752="PADD II","PADD 2",IF($M8752="PADD III","PADD 3",IF($M8752="PADD IV","PADD 4",IF($M8752="PADD V","PADD 5","")))))</f>
        <v>PADD 3</v>
      </c>
      <c r="G8752" s="6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6" t="s">
        <v>471</v>
      </c>
      <c r="I8752" s="6" t="s">
        <v>609</v>
      </c>
      <c r="J8752" s="6" t="s">
        <v>398</v>
      </c>
      <c r="K8752" s="10">
        <v>10.395</v>
      </c>
      <c r="L8752" s="10">
        <v>13.5</v>
      </c>
      <c r="M8752" s="6" t="s">
        <v>421</v>
      </c>
      <c r="N8752" s="6" t="str">
        <f>IF(OR($G8752="FCC",$G8752="Hydrocracker",$G8752="Reformer"),IF(COUNTIFS($D:$D,$D8752,$A:$A,$A8752,$B:$B,$B8752,$G:$G,"CDU",$J:$J,"PLANNED")&gt;0,"tied","standalone"),"")</f>
        <v>tied</v>
      </c>
    </row>
    <row r="8753" spans="1:14">
      <c r="A8753" s="6">
        <v>2027</v>
      </c>
      <c r="B8753" s="6">
        <v>10</v>
      </c>
      <c r="C8753" s="6" t="s">
        <v>69</v>
      </c>
      <c r="D8753" s="6" t="s">
        <v>652</v>
      </c>
      <c r="E8753" s="6" t="s">
        <v>419</v>
      </c>
      <c r="F8753" s="6" t="str">
        <f>IF($M8753="PADD I","PADD 1",IF($M8753="PADD II","PADD 2",IF($M8753="PADD III","PADD 3",IF($M8753="PADD IV","PADD 4",IF($M8753="PADD V","PADD 5","")))))</f>
        <v>PADD 2</v>
      </c>
      <c r="G8753" s="6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6" t="s">
        <v>44</v>
      </c>
      <c r="I8753" s="6" t="s">
        <v>1049</v>
      </c>
      <c r="J8753" s="6" t="s">
        <v>398</v>
      </c>
      <c r="K8753" s="10">
        <v>9.6</v>
      </c>
      <c r="L8753" s="10">
        <v>30</v>
      </c>
      <c r="M8753" s="6" t="s">
        <v>425</v>
      </c>
      <c r="N8753" s="6">
        <f>IF(OR($G8753="FCC",$G8753="Hydrocracker",$G8753="Reformer"),IF(COUNTIFS($D:$D,$D8753,$A:$A,$A8753,$B:$B,$B8753,$G:$G,"CDU",$J:$J,"PLANNED")&gt;0,"tied","standalone"),"")</f>
        <v/>
      </c>
    </row>
    <row r="8754" spans="1:14">
      <c r="A8754" s="6">
        <v>2027</v>
      </c>
      <c r="B8754" s="6">
        <v>10</v>
      </c>
      <c r="C8754" s="6" t="s">
        <v>69</v>
      </c>
      <c r="D8754" s="6" t="s">
        <v>652</v>
      </c>
      <c r="E8754" s="6" t="s">
        <v>419</v>
      </c>
      <c r="F8754" s="6" t="str">
        <f>IF($M8754="PADD I","PADD 1",IF($M8754="PADD II","PADD 2",IF($M8754="PADD III","PADD 3",IF($M8754="PADD IV","PADD 4",IF($M8754="PADD V","PADD 5","")))))</f>
        <v>PADD 2</v>
      </c>
      <c r="G8754" s="6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6" t="s">
        <v>44</v>
      </c>
      <c r="I8754" s="6" t="s">
        <v>1048</v>
      </c>
      <c r="J8754" s="6" t="s">
        <v>398</v>
      </c>
      <c r="K8754" s="10">
        <v>9.6</v>
      </c>
      <c r="L8754" s="10">
        <v>30</v>
      </c>
      <c r="M8754" s="6" t="s">
        <v>425</v>
      </c>
      <c r="N8754" s="6">
        <f>IF(OR($G8754="FCC",$G8754="Hydrocracker",$G8754="Reformer"),IF(COUNTIFS($D:$D,$D8754,$A:$A,$A8754,$B:$B,$B8754,$G:$G,"CDU",$J:$J,"PLANNED")&gt;0,"tied","standalone"),"")</f>
        <v/>
      </c>
    </row>
    <row r="8755" spans="1:14">
      <c r="A8755" s="6">
        <v>2027</v>
      </c>
      <c r="B8755" s="6">
        <v>10</v>
      </c>
      <c r="C8755" s="6" t="s">
        <v>69</v>
      </c>
      <c r="D8755" s="6" t="s">
        <v>1380</v>
      </c>
      <c r="E8755" s="6" t="s">
        <v>1381</v>
      </c>
      <c r="F8755" s="6" t="str">
        <f>IF($M8755="PADD I","PADD 1",IF($M8755="PADD II","PADD 2",IF($M8755="PADD III","PADD 3",IF($M8755="PADD IV","PADD 4",IF($M8755="PADD V","PADD 5","")))))</f>
        <v>PADD 4</v>
      </c>
      <c r="G8755" s="6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6" t="s">
        <v>494</v>
      </c>
      <c r="I8755" s="6" t="s">
        <v>757</v>
      </c>
      <c r="J8755" s="6" t="s">
        <v>398</v>
      </c>
      <c r="K8755" s="10">
        <v>8.640000000000001</v>
      </c>
      <c r="L8755" s="10">
        <v>18</v>
      </c>
      <c r="M8755" s="6" t="s">
        <v>480</v>
      </c>
      <c r="N8755" s="6" t="str">
        <f>IF(OR($G8755="FCC",$G8755="Hydrocracker",$G8755="Reformer"),IF(COUNTIFS($D:$D,$D8755,$A:$A,$A8755,$B:$B,$B8755,$G:$G,"CDU",$J:$J,"PLANNED")&gt;0,"tied","standalone"),"")</f>
        <v>tied</v>
      </c>
    </row>
    <row r="8756" spans="1:14">
      <c r="A8756" s="6">
        <v>2027</v>
      </c>
      <c r="B8756" s="6">
        <v>10</v>
      </c>
      <c r="C8756" s="6" t="s">
        <v>69</v>
      </c>
      <c r="D8756" s="6" t="s">
        <v>1373</v>
      </c>
      <c r="E8756" s="6" t="s">
        <v>419</v>
      </c>
      <c r="F8756" s="6" t="str">
        <f>IF($M8756="PADD I","PADD 1",IF($M8756="PADD II","PADD 2",IF($M8756="PADD III","PADD 3",IF($M8756="PADD IV","PADD 4",IF($M8756="PADD V","PADD 5","")))))</f>
        <v>PADD 5</v>
      </c>
      <c r="G8756" s="6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6" t="s">
        <v>510</v>
      </c>
      <c r="I8756" s="6" t="s">
        <v>666</v>
      </c>
      <c r="J8756" s="6" t="s">
        <v>398</v>
      </c>
      <c r="K8756" s="10">
        <v>8.5</v>
      </c>
      <c r="L8756" s="10">
        <v>8.5</v>
      </c>
      <c r="M8756" s="6" t="s">
        <v>436</v>
      </c>
      <c r="N8756" s="6">
        <f>IF(OR($G8756="FCC",$G8756="Hydrocracker",$G8756="Reformer"),IF(COUNTIFS($D:$D,$D8756,$A:$A,$A8756,$B:$B,$B8756,$G:$G,"CDU",$J:$J,"PLANNED")&gt;0,"tied","standalone"),"")</f>
        <v/>
      </c>
    </row>
    <row r="8757" spans="1:14">
      <c r="A8757" s="6">
        <v>2027</v>
      </c>
      <c r="B8757" s="6">
        <v>10</v>
      </c>
      <c r="C8757" s="6" t="s">
        <v>69</v>
      </c>
      <c r="D8757" s="6" t="s">
        <v>652</v>
      </c>
      <c r="E8757" s="6" t="s">
        <v>419</v>
      </c>
      <c r="F8757" s="6" t="str">
        <f>IF($M8757="PADD I","PADD 1",IF($M8757="PADD II","PADD 2",IF($M8757="PADD III","PADD 3",IF($M8757="PADD IV","PADD 4",IF($M8757="PADD V","PADD 5","")))))</f>
        <v>PADD 2</v>
      </c>
      <c r="G8757" s="6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6" t="s">
        <v>426</v>
      </c>
      <c r="I8757" s="6" t="s">
        <v>704</v>
      </c>
      <c r="J8757" s="6" t="s">
        <v>398</v>
      </c>
      <c r="K8757" s="10">
        <v>8.32</v>
      </c>
      <c r="L8757" s="10">
        <v>26</v>
      </c>
      <c r="M8757" s="6" t="s">
        <v>425</v>
      </c>
      <c r="N8757" s="6" t="str">
        <f>IF(OR($G8757="FCC",$G8757="Hydrocracker",$G8757="Reformer"),IF(COUNTIFS($D:$D,$D8757,$A:$A,$A8757,$B:$B,$B8757,$G:$G,"CDU",$J:$J,"PLANNED")&gt;0,"tied","standalone"),"")</f>
        <v>tied</v>
      </c>
    </row>
    <row r="8758" spans="1:14">
      <c r="A8758" s="6">
        <v>2027</v>
      </c>
      <c r="B8758" s="6">
        <v>10</v>
      </c>
      <c r="C8758" s="6" t="s">
        <v>69</v>
      </c>
      <c r="D8758" s="6" t="s">
        <v>652</v>
      </c>
      <c r="E8758" s="6" t="s">
        <v>419</v>
      </c>
      <c r="F8758" s="6" t="str">
        <f>IF($M8758="PADD I","PADD 1",IF($M8758="PADD II","PADD 2",IF($M8758="PADD III","PADD 3",IF($M8758="PADD IV","PADD 4",IF($M8758="PADD V","PADD 5","")))))</f>
        <v>PADD 2</v>
      </c>
      <c r="G8758" s="6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6" t="s">
        <v>44</v>
      </c>
      <c r="I8758" s="6" t="s">
        <v>1051</v>
      </c>
      <c r="J8758" s="6" t="s">
        <v>398</v>
      </c>
      <c r="K8758" s="10">
        <v>8</v>
      </c>
      <c r="L8758" s="10">
        <v>25</v>
      </c>
      <c r="M8758" s="6" t="s">
        <v>425</v>
      </c>
      <c r="N8758" s="6">
        <f>IF(OR($G8758="FCC",$G8758="Hydrocracker",$G8758="Reformer"),IF(COUNTIFS($D:$D,$D8758,$A:$A,$A8758,$B:$B,$B8758,$G:$G,"CDU",$J:$J,"PLANNED")&gt;0,"tied","standalone"),"")</f>
        <v/>
      </c>
    </row>
    <row r="8759" spans="1:14">
      <c r="A8759" s="6">
        <v>2027</v>
      </c>
      <c r="B8759" s="6">
        <v>10</v>
      </c>
      <c r="C8759" s="6" t="s">
        <v>69</v>
      </c>
      <c r="D8759" s="6" t="s">
        <v>1380</v>
      </c>
      <c r="E8759" s="6" t="s">
        <v>1381</v>
      </c>
      <c r="F8759" s="6" t="str">
        <f>IF($M8759="PADD I","PADD 1",IF($M8759="PADD II","PADD 2",IF($M8759="PADD III","PADD 3",IF($M8759="PADD IV","PADD 4",IF($M8759="PADD V","PADD 5","")))))</f>
        <v>PADD 4</v>
      </c>
      <c r="G8759" s="6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6" t="s">
        <v>39</v>
      </c>
      <c r="I8759" s="6" t="s">
        <v>136</v>
      </c>
      <c r="J8759" s="6" t="s">
        <v>398</v>
      </c>
      <c r="K8759" s="10">
        <v>7.2</v>
      </c>
      <c r="L8759" s="10">
        <v>15</v>
      </c>
      <c r="M8759" s="6" t="s">
        <v>480</v>
      </c>
      <c r="N8759" s="6">
        <f>IF(OR($G8759="FCC",$G8759="Hydrocracker",$G8759="Reformer"),IF(COUNTIFS($D:$D,$D8759,$A:$A,$A8759,$B:$B,$B8759,$G:$G,"CDU",$J:$J,"PLANNED")&gt;0,"tied","standalone"),"")</f>
        <v/>
      </c>
    </row>
    <row r="8760" spans="1:14">
      <c r="A8760" s="6">
        <v>2027</v>
      </c>
      <c r="B8760" s="6">
        <v>10</v>
      </c>
      <c r="C8760" s="6" t="s">
        <v>69</v>
      </c>
      <c r="D8760" s="6" t="s">
        <v>430</v>
      </c>
      <c r="E8760" s="6" t="s">
        <v>431</v>
      </c>
      <c r="F8760" s="6" t="str">
        <f>IF($M8760="PADD I","PADD 1",IF($M8760="PADD II","PADD 2",IF($M8760="PADD III","PADD 3",IF($M8760="PADD IV","PADD 4",IF($M8760="PADD V","PADD 5","")))))</f>
        <v>PADD 3</v>
      </c>
      <c r="G8760" s="6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6" t="s">
        <v>44</v>
      </c>
      <c r="I8760" s="6" t="s">
        <v>1301</v>
      </c>
      <c r="J8760" s="6" t="s">
        <v>398</v>
      </c>
      <c r="K8760" s="10">
        <v>6.9</v>
      </c>
      <c r="L8760" s="10">
        <v>30</v>
      </c>
      <c r="M8760" s="6" t="s">
        <v>421</v>
      </c>
      <c r="N8760" s="6">
        <f>IF(OR($G8760="FCC",$G8760="Hydrocracker",$G8760="Reformer"),IF(COUNTIFS($D:$D,$D8760,$A:$A,$A8760,$B:$B,$B8760,$G:$G,"CDU",$J:$J,"PLANNED")&gt;0,"tied","standalone"),"")</f>
        <v/>
      </c>
    </row>
    <row r="8761" spans="1:14">
      <c r="A8761" s="6">
        <v>2027</v>
      </c>
      <c r="B8761" s="6">
        <v>10</v>
      </c>
      <c r="C8761" s="6" t="s">
        <v>69</v>
      </c>
      <c r="D8761" s="6" t="s">
        <v>1010</v>
      </c>
      <c r="E8761" s="6" t="s">
        <v>931</v>
      </c>
      <c r="F8761" s="6" t="str">
        <f>IF($M8761="PADD I","PADD 1",IF($M8761="PADD II","PADD 2",IF($M8761="PADD III","PADD 3",IF($M8761="PADD IV","PADD 4",IF($M8761="PADD V","PADD 5","")))))</f>
        <v>PADD 3</v>
      </c>
      <c r="G8761" s="6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6" t="s">
        <v>44</v>
      </c>
      <c r="I8761" s="6" t="s">
        <v>1105</v>
      </c>
      <c r="J8761" s="6" t="s">
        <v>398</v>
      </c>
      <c r="K8761" s="10">
        <v>6.72</v>
      </c>
      <c r="L8761" s="10">
        <v>16</v>
      </c>
      <c r="M8761" s="6" t="s">
        <v>421</v>
      </c>
      <c r="N8761" s="6">
        <f>IF(OR($G8761="FCC",$G8761="Hydrocracker",$G8761="Reformer"),IF(COUNTIFS($D:$D,$D8761,$A:$A,$A8761,$B:$B,$B8761,$G:$G,"CDU",$J:$J,"PLANNED")&gt;0,"tied","standalone"),"")</f>
        <v/>
      </c>
    </row>
    <row r="8762" spans="1:14">
      <c r="A8762" s="6">
        <v>2027</v>
      </c>
      <c r="B8762" s="6">
        <v>10</v>
      </c>
      <c r="C8762" s="6" t="s">
        <v>69</v>
      </c>
      <c r="D8762" s="6" t="s">
        <v>789</v>
      </c>
      <c r="E8762" s="6" t="s">
        <v>455</v>
      </c>
      <c r="F8762" s="6" t="str">
        <f>IF($M8762="PADD I","PADD 1",IF($M8762="PADD II","PADD 2",IF($M8762="PADD III","PADD 3",IF($M8762="PADD IV","PADD 4",IF($M8762="PADD V","PADD 5","")))))</f>
        <v>PADD 2</v>
      </c>
      <c r="G8762" s="6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6" t="s">
        <v>494</v>
      </c>
      <c r="I8762" s="6" t="s">
        <v>845</v>
      </c>
      <c r="J8762" s="6" t="s">
        <v>398</v>
      </c>
      <c r="K8762" s="10">
        <v>6.6</v>
      </c>
      <c r="L8762" s="10">
        <v>12</v>
      </c>
      <c r="M8762" s="6" t="s">
        <v>425</v>
      </c>
      <c r="N8762" s="6" t="str">
        <f>IF(OR($G8762="FCC",$G8762="Hydrocracker",$G8762="Reformer"),IF(COUNTIFS($D:$D,$D8762,$A:$A,$A8762,$B:$B,$B8762,$G:$G,"CDU",$J:$J,"PLANNED")&gt;0,"tied","standalone"),"")</f>
        <v>tied</v>
      </c>
    </row>
    <row r="8763" spans="1:14">
      <c r="A8763" s="6">
        <v>2027</v>
      </c>
      <c r="B8763" s="6">
        <v>10</v>
      </c>
      <c r="C8763" s="6" t="s">
        <v>69</v>
      </c>
      <c r="D8763" s="6" t="s">
        <v>592</v>
      </c>
      <c r="E8763" s="6" t="s">
        <v>593</v>
      </c>
      <c r="F8763" s="6" t="str">
        <f>IF($M8763="PADD I","PADD 1",IF($M8763="PADD II","PADD 2",IF($M8763="PADD III","PADD 3",IF($M8763="PADD IV","PADD 4",IF($M8763="PADD V","PADD 5","")))))</f>
        <v>PADD 2</v>
      </c>
      <c r="G8763" s="6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6" t="s">
        <v>485</v>
      </c>
      <c r="I8763" s="6" t="s">
        <v>491</v>
      </c>
      <c r="J8763" s="6" t="s">
        <v>398</v>
      </c>
      <c r="K8763" s="10">
        <v>6.12</v>
      </c>
      <c r="L8763" s="10">
        <v>102</v>
      </c>
      <c r="M8763" s="6" t="s">
        <v>425</v>
      </c>
      <c r="N8763" s="6">
        <f>IF(OR($G8763="FCC",$G8763="Hydrocracker",$G8763="Reformer"),IF(COUNTIFS($D:$D,$D8763,$A:$A,$A8763,$B:$B,$B8763,$G:$G,"CDU",$J:$J,"PLANNED")&gt;0,"tied","standalone"),"")</f>
        <v/>
      </c>
    </row>
    <row r="8764" spans="1:14">
      <c r="A8764" s="6">
        <v>2027</v>
      </c>
      <c r="B8764" s="6">
        <v>10</v>
      </c>
      <c r="C8764" s="6" t="s">
        <v>69</v>
      </c>
      <c r="D8764" s="6" t="s">
        <v>1010</v>
      </c>
      <c r="E8764" s="6" t="s">
        <v>931</v>
      </c>
      <c r="F8764" s="6" t="str">
        <f>IF($M8764="PADD I","PADD 1",IF($M8764="PADD II","PADD 2",IF($M8764="PADD III","PADD 3",IF($M8764="PADD IV","PADD 4",IF($M8764="PADD V","PADD 5","")))))</f>
        <v>PADD 3</v>
      </c>
      <c r="G8764" s="6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6" t="s">
        <v>44</v>
      </c>
      <c r="I8764" s="6" t="s">
        <v>834</v>
      </c>
      <c r="J8764" s="6" t="s">
        <v>398</v>
      </c>
      <c r="K8764" s="10">
        <v>5.88</v>
      </c>
      <c r="L8764" s="10">
        <v>14</v>
      </c>
      <c r="M8764" s="6" t="s">
        <v>421</v>
      </c>
      <c r="N8764" s="6">
        <f>IF(OR($G8764="FCC",$G8764="Hydrocracker",$G8764="Reformer"),IF(COUNTIFS($D:$D,$D8764,$A:$A,$A8764,$B:$B,$B8764,$G:$G,"CDU",$J:$J,"PLANNED")&gt;0,"tied","standalone"),"")</f>
        <v/>
      </c>
    </row>
    <row r="8765" spans="1:14">
      <c r="A8765" s="6">
        <v>2027</v>
      </c>
      <c r="B8765" s="6">
        <v>10</v>
      </c>
      <c r="C8765" s="6" t="s">
        <v>69</v>
      </c>
      <c r="D8765" s="6" t="s">
        <v>41</v>
      </c>
      <c r="E8765" s="6" t="s">
        <v>786</v>
      </c>
      <c r="F8765" s="6" t="str">
        <f>IF($M8765="PADD I","PADD 1",IF($M8765="PADD II","PADD 2",IF($M8765="PADD III","PADD 3",IF($M8765="PADD IV","PADD 4",IF($M8765="PADD V","PADD 5","")))))</f>
        <v>PADD 1</v>
      </c>
      <c r="G8765" s="6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6" t="s">
        <v>428</v>
      </c>
      <c r="I8765" s="6" t="s">
        <v>1060</v>
      </c>
      <c r="J8765" s="6" t="s">
        <v>398</v>
      </c>
      <c r="K8765" s="10">
        <v>5.5959</v>
      </c>
      <c r="L8765" s="10">
        <v>24.33</v>
      </c>
      <c r="M8765" s="6" t="s">
        <v>463</v>
      </c>
      <c r="N8765" s="6">
        <f>IF(OR($G8765="FCC",$G8765="Hydrocracker",$G8765="Reformer"),IF(COUNTIFS($D:$D,$D8765,$A:$A,$A8765,$B:$B,$B8765,$G:$G,"CDU",$J:$J,"PLANNED")&gt;0,"tied","standalone"),"")</f>
        <v/>
      </c>
    </row>
    <row r="8766" spans="1:14">
      <c r="A8766" s="6">
        <v>2027</v>
      </c>
      <c r="B8766" s="6">
        <v>10</v>
      </c>
      <c r="C8766" s="6" t="s">
        <v>69</v>
      </c>
      <c r="D8766" s="6" t="s">
        <v>773</v>
      </c>
      <c r="E8766" s="6" t="s">
        <v>774</v>
      </c>
      <c r="F8766" s="6" t="str">
        <f>IF($M8766="PADD I","PADD 1",IF($M8766="PADD II","PADD 2",IF($M8766="PADD III","PADD 3",IF($M8766="PADD IV","PADD 4",IF($M8766="PADD V","PADD 5","")))))</f>
        <v>PADD 4</v>
      </c>
      <c r="G8766" s="6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6" t="s">
        <v>494</v>
      </c>
      <c r="I8766" s="6" t="s">
        <v>14</v>
      </c>
      <c r="J8766" s="6" t="s">
        <v>398</v>
      </c>
      <c r="K8766" s="10">
        <v>4.9</v>
      </c>
      <c r="L8766" s="10">
        <v>4.9</v>
      </c>
      <c r="M8766" s="6" t="s">
        <v>480</v>
      </c>
      <c r="N8766" s="6" t="str">
        <f>IF(OR($G8766="FCC",$G8766="Hydrocracker",$G8766="Reformer"),IF(COUNTIFS($D:$D,$D8766,$A:$A,$A8766,$B:$B,$B8766,$G:$G,"CDU",$J:$J,"PLANNED")&gt;0,"tied","standalone"),"")</f>
        <v>standalone</v>
      </c>
    </row>
    <row r="8767" spans="1:14">
      <c r="A8767" s="6">
        <v>2027</v>
      </c>
      <c r="B8767" s="6">
        <v>10</v>
      </c>
      <c r="C8767" s="6" t="s">
        <v>69</v>
      </c>
      <c r="D8767" s="6" t="s">
        <v>1380</v>
      </c>
      <c r="E8767" s="6" t="s">
        <v>1381</v>
      </c>
      <c r="F8767" s="6" t="str">
        <f>IF($M8767="PADD I","PADD 1",IF($M8767="PADD II","PADD 2",IF($M8767="PADD III","PADD 3",IF($M8767="PADD IV","PADD 4",IF($M8767="PADD V","PADD 5","")))))</f>
        <v>PADD 4</v>
      </c>
      <c r="G8767" s="6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6" t="s">
        <v>39</v>
      </c>
      <c r="I8767" s="6" t="s">
        <v>132</v>
      </c>
      <c r="J8767" s="6" t="s">
        <v>398</v>
      </c>
      <c r="K8767" s="10">
        <v>4.8</v>
      </c>
      <c r="L8767" s="10">
        <v>10</v>
      </c>
      <c r="M8767" s="6" t="s">
        <v>480</v>
      </c>
      <c r="N8767" s="6">
        <f>IF(OR($G8767="FCC",$G8767="Hydrocracker",$G8767="Reformer"),IF(COUNTIFS($D:$D,$D8767,$A:$A,$A8767,$B:$B,$B8767,$G:$G,"CDU",$J:$J,"PLANNED")&gt;0,"tied","standalone"),"")</f>
        <v/>
      </c>
    </row>
    <row r="8768" spans="1:14">
      <c r="A8768" s="6">
        <v>2027</v>
      </c>
      <c r="B8768" s="6">
        <v>10</v>
      </c>
      <c r="C8768" s="6" t="s">
        <v>69</v>
      </c>
      <c r="D8768" s="6" t="s">
        <v>789</v>
      </c>
      <c r="E8768" s="6" t="s">
        <v>455</v>
      </c>
      <c r="F8768" s="6" t="str">
        <f>IF($M8768="PADD I","PADD 1",IF($M8768="PADD II","PADD 2",IF($M8768="PADD III","PADD 3",IF($M8768="PADD IV","PADD 4",IF($M8768="PADD V","PADD 5","")))))</f>
        <v>PADD 2</v>
      </c>
      <c r="G8768" s="6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6" t="s">
        <v>618</v>
      </c>
      <c r="I8768" s="6" t="s">
        <v>654</v>
      </c>
      <c r="J8768" s="6" t="s">
        <v>398</v>
      </c>
      <c r="K8768" s="10">
        <v>3.85</v>
      </c>
      <c r="L8768" s="10">
        <v>7</v>
      </c>
      <c r="M8768" s="6" t="s">
        <v>425</v>
      </c>
      <c r="N8768" s="6">
        <f>IF(OR($G8768="FCC",$G8768="Hydrocracker",$G8768="Reformer"),IF(COUNTIFS($D:$D,$D8768,$A:$A,$A8768,$B:$B,$B8768,$G:$G,"CDU",$J:$J,"PLANNED")&gt;0,"tied","standalone"),"")</f>
        <v/>
      </c>
    </row>
    <row r="8769" spans="1:14">
      <c r="A8769" s="6">
        <v>2027</v>
      </c>
      <c r="B8769" s="6">
        <v>10</v>
      </c>
      <c r="C8769" s="6" t="s">
        <v>69</v>
      </c>
      <c r="D8769" s="6" t="s">
        <v>652</v>
      </c>
      <c r="E8769" s="6" t="s">
        <v>419</v>
      </c>
      <c r="F8769" s="6" t="str">
        <f>IF($M8769="PADD I","PADD 1",IF($M8769="PADD II","PADD 2",IF($M8769="PADD III","PADD 3",IF($M8769="PADD IV","PADD 4",IF($M8769="PADD V","PADD 5","")))))</f>
        <v>PADD 2</v>
      </c>
      <c r="G8769" s="6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6" t="s">
        <v>510</v>
      </c>
      <c r="I8769" s="6" t="s">
        <v>666</v>
      </c>
      <c r="J8769" s="6" t="s">
        <v>398</v>
      </c>
      <c r="K8769" s="10">
        <v>3.84</v>
      </c>
      <c r="L8769" s="10">
        <v>12</v>
      </c>
      <c r="M8769" s="6" t="s">
        <v>425</v>
      </c>
      <c r="N8769" s="6">
        <f>IF(OR($G8769="FCC",$G8769="Hydrocracker",$G8769="Reformer"),IF(COUNTIFS($D:$D,$D8769,$A:$A,$A8769,$B:$B,$B8769,$G:$G,"CDU",$J:$J,"PLANNED")&gt;0,"tied","standalone"),"")</f>
        <v/>
      </c>
    </row>
    <row r="8770" spans="1:14">
      <c r="A8770" s="6">
        <v>2027</v>
      </c>
      <c r="B8770" s="6">
        <v>10</v>
      </c>
      <c r="C8770" s="6" t="s">
        <v>69</v>
      </c>
      <c r="D8770" s="6" t="s">
        <v>1010</v>
      </c>
      <c r="E8770" s="6" t="s">
        <v>931</v>
      </c>
      <c r="F8770" s="6" t="str">
        <f>IF($M8770="PADD I","PADD 1",IF($M8770="PADD II","PADD 2",IF($M8770="PADD III","PADD 3",IF($M8770="PADD IV","PADD 4",IF($M8770="PADD V","PADD 5","")))))</f>
        <v>PADD 3</v>
      </c>
      <c r="G8770" s="6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6" t="s">
        <v>687</v>
      </c>
      <c r="I8770" s="6" t="s">
        <v>1397</v>
      </c>
      <c r="J8770" s="6" t="s">
        <v>398</v>
      </c>
      <c r="K8770" s="10">
        <v>3.612</v>
      </c>
      <c r="L8770" s="10">
        <v>8.6</v>
      </c>
      <c r="M8770" s="6" t="s">
        <v>421</v>
      </c>
      <c r="N8770" s="6">
        <f>IF(OR($G8770="FCC",$G8770="Hydrocracker",$G8770="Reformer"),IF(COUNTIFS($D:$D,$D8770,$A:$A,$A8770,$B:$B,$B8770,$G:$G,"CDU",$J:$J,"PLANNED")&gt;0,"tied","standalone"),"")</f>
        <v/>
      </c>
    </row>
    <row r="8771" spans="1:14">
      <c r="A8771" s="6">
        <v>2027</v>
      </c>
      <c r="B8771" s="6">
        <v>10</v>
      </c>
      <c r="C8771" s="6" t="s">
        <v>69</v>
      </c>
      <c r="D8771" s="6" t="s">
        <v>792</v>
      </c>
      <c r="E8771" s="6" t="s">
        <v>438</v>
      </c>
      <c r="F8771" s="6" t="str">
        <f>IF($M8771="PADD I","PADD 1",IF($M8771="PADD II","PADD 2",IF($M8771="PADD III","PADD 3",IF($M8771="PADD IV","PADD 4",IF($M8771="PADD V","PADD 5","")))))</f>
        <v>PADD 5</v>
      </c>
      <c r="G8771" s="6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6" t="s">
        <v>618</v>
      </c>
      <c r="I8771" s="6" t="s">
        <v>818</v>
      </c>
      <c r="J8771" s="6" t="s">
        <v>398</v>
      </c>
      <c r="K8771" s="10">
        <v>3.5</v>
      </c>
      <c r="L8771" s="10">
        <v>3.5</v>
      </c>
      <c r="M8771" s="6" t="s">
        <v>436</v>
      </c>
      <c r="N8771" s="6">
        <f>IF(OR($G8771="FCC",$G8771="Hydrocracker",$G8771="Reformer"),IF(COUNTIFS($D:$D,$D8771,$A:$A,$A8771,$B:$B,$B8771,$G:$G,"CDU",$J:$J,"PLANNED")&gt;0,"tied","standalone"),"")</f>
        <v/>
      </c>
    </row>
    <row r="8772" spans="1:14">
      <c r="A8772" s="6">
        <v>2027</v>
      </c>
      <c r="B8772" s="6">
        <v>10</v>
      </c>
      <c r="C8772" s="6" t="s">
        <v>69</v>
      </c>
      <c r="D8772" s="6" t="s">
        <v>789</v>
      </c>
      <c r="E8772" s="6" t="s">
        <v>455</v>
      </c>
      <c r="F8772" s="6" t="str">
        <f>IF($M8772="PADD I","PADD 1",IF($M8772="PADD II","PADD 2",IF($M8772="PADD III","PADD 3",IF($M8772="PADD IV","PADD 4",IF($M8772="PADD V","PADD 5","")))))</f>
        <v>PADD 2</v>
      </c>
      <c r="G8772" s="6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6" t="s">
        <v>510</v>
      </c>
      <c r="I8772" s="6" t="s">
        <v>666</v>
      </c>
      <c r="J8772" s="6" t="s">
        <v>398</v>
      </c>
      <c r="K8772" s="10">
        <v>3.41</v>
      </c>
      <c r="L8772" s="10">
        <v>6.2</v>
      </c>
      <c r="M8772" s="6" t="s">
        <v>425</v>
      </c>
      <c r="N8772" s="6">
        <f>IF(OR($G8772="FCC",$G8772="Hydrocracker",$G8772="Reformer"),IF(COUNTIFS($D:$D,$D8772,$A:$A,$A8772,$B:$B,$B8772,$G:$G,"CDU",$J:$J,"PLANNED")&gt;0,"tied","standalone"),"")</f>
        <v/>
      </c>
    </row>
    <row r="8773" spans="1:14">
      <c r="A8773" s="6">
        <v>2027</v>
      </c>
      <c r="B8773" s="6">
        <v>10</v>
      </c>
      <c r="C8773" s="6" t="s">
        <v>69</v>
      </c>
      <c r="D8773" s="6" t="s">
        <v>1010</v>
      </c>
      <c r="E8773" s="6" t="s">
        <v>931</v>
      </c>
      <c r="F8773" s="6" t="str">
        <f>IF($M8773="PADD I","PADD 1",IF($M8773="PADD II","PADD 2",IF($M8773="PADD III","PADD 3",IF($M8773="PADD IV","PADD 4",IF($M8773="PADD V","PADD 5","")))))</f>
        <v>PADD 3</v>
      </c>
      <c r="G8773" s="6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6" t="s">
        <v>44</v>
      </c>
      <c r="I8773" s="6" t="s">
        <v>1011</v>
      </c>
      <c r="J8773" s="6" t="s">
        <v>398</v>
      </c>
      <c r="K8773" s="10">
        <v>3.36</v>
      </c>
      <c r="L8773" s="10">
        <v>8</v>
      </c>
      <c r="M8773" s="6" t="s">
        <v>421</v>
      </c>
      <c r="N8773" s="6">
        <f>IF(OR($G8773="FCC",$G8773="Hydrocracker",$G8773="Reformer"),IF(COUNTIFS($D:$D,$D8773,$A:$A,$A8773,$B:$B,$B8773,$G:$G,"CDU",$J:$J,"PLANNED")&gt;0,"tied","standalone"),"")</f>
        <v/>
      </c>
    </row>
    <row r="8774" spans="1:14">
      <c r="A8774" s="6">
        <v>2027</v>
      </c>
      <c r="B8774" s="6">
        <v>10</v>
      </c>
      <c r="C8774" s="6" t="s">
        <v>69</v>
      </c>
      <c r="D8774" s="6" t="s">
        <v>720</v>
      </c>
      <c r="E8774" s="6" t="s">
        <v>455</v>
      </c>
      <c r="F8774" s="6" t="str">
        <f>IF($M8774="PADD I","PADD 1",IF($M8774="PADD II","PADD 2",IF($M8774="PADD III","PADD 3",IF($M8774="PADD IV","PADD 4",IF($M8774="PADD V","PADD 5","")))))</f>
        <v>PADD 2</v>
      </c>
      <c r="G8774" s="6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6" t="s">
        <v>39</v>
      </c>
      <c r="I8774" s="6" t="s">
        <v>108</v>
      </c>
      <c r="J8774" s="6" t="s">
        <v>398</v>
      </c>
      <c r="K8774" s="10">
        <v>3.3</v>
      </c>
      <c r="L8774" s="10">
        <v>110</v>
      </c>
      <c r="M8774" s="6" t="s">
        <v>425</v>
      </c>
      <c r="N8774" s="6">
        <f>IF(OR($G8774="FCC",$G8774="Hydrocracker",$G8774="Reformer"),IF(COUNTIFS($D:$D,$D8774,$A:$A,$A8774,$B:$B,$B8774,$G:$G,"CDU",$J:$J,"PLANNED")&gt;0,"tied","standalone"),"")</f>
        <v/>
      </c>
    </row>
    <row r="8775" spans="1:14">
      <c r="A8775" s="6">
        <v>2027</v>
      </c>
      <c r="B8775" s="6">
        <v>10</v>
      </c>
      <c r="C8775" s="6" t="s">
        <v>69</v>
      </c>
      <c r="D8775" s="6" t="s">
        <v>458</v>
      </c>
      <c r="E8775" s="6" t="s">
        <v>459</v>
      </c>
      <c r="F8775" s="6" t="str">
        <f>IF($M8775="PADD I","PADD 1",IF($M8775="PADD II","PADD 2",IF($M8775="PADD III","PADD 3",IF($M8775="PADD IV","PADD 4",IF($M8775="PADD V","PADD 5","")))))</f>
        <v>PADD 3</v>
      </c>
      <c r="G8775" s="6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6" t="s">
        <v>510</v>
      </c>
      <c r="I8775" s="6" t="s">
        <v>656</v>
      </c>
      <c r="J8775" s="6" t="s">
        <v>398</v>
      </c>
      <c r="K8775" s="10">
        <v>2.75</v>
      </c>
      <c r="L8775" s="10">
        <v>5</v>
      </c>
      <c r="M8775" s="6" t="s">
        <v>421</v>
      </c>
      <c r="N8775" s="6">
        <f>IF(OR($G8775="FCC",$G8775="Hydrocracker",$G8775="Reformer"),IF(COUNTIFS($D:$D,$D8775,$A:$A,$A8775,$B:$B,$B8775,$G:$G,"CDU",$J:$J,"PLANNED")&gt;0,"tied","standalone"),"")</f>
        <v/>
      </c>
    </row>
    <row r="8776" spans="1:14">
      <c r="A8776" s="6">
        <v>2027</v>
      </c>
      <c r="B8776" s="6">
        <v>10</v>
      </c>
      <c r="C8776" s="6" t="s">
        <v>69</v>
      </c>
      <c r="D8776" s="6" t="s">
        <v>540</v>
      </c>
      <c r="E8776" s="6" t="s">
        <v>541</v>
      </c>
      <c r="F8776" s="6" t="str">
        <f>IF($M8776="PADD I","PADD 1",IF($M8776="PADD II","PADD 2",IF($M8776="PADD III","PADD 3",IF($M8776="PADD IV","PADD 4",IF($M8776="PADD V","PADD 5","")))))</f>
        <v>PADD 3</v>
      </c>
      <c r="G8776" s="6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6" t="s">
        <v>44</v>
      </c>
      <c r="I8776" s="6" t="s">
        <v>1448</v>
      </c>
      <c r="J8776" s="6" t="s">
        <v>398</v>
      </c>
      <c r="K8776" s="10">
        <v>2.4</v>
      </c>
      <c r="L8776" s="10">
        <v>80</v>
      </c>
      <c r="M8776" s="6" t="s">
        <v>421</v>
      </c>
      <c r="N8776" s="6">
        <f>IF(OR($G8776="FCC",$G8776="Hydrocracker",$G8776="Reformer"),IF(COUNTIFS($D:$D,$D8776,$A:$A,$A8776,$B:$B,$B8776,$G:$G,"CDU",$J:$J,"PLANNED")&gt;0,"tied","standalone"),"")</f>
        <v/>
      </c>
    </row>
    <row r="8777" spans="1:14">
      <c r="A8777" s="6">
        <v>2027</v>
      </c>
      <c r="B8777" s="6">
        <v>10</v>
      </c>
      <c r="C8777" s="6" t="s">
        <v>69</v>
      </c>
      <c r="D8777" s="6" t="s">
        <v>1380</v>
      </c>
      <c r="E8777" s="6" t="s">
        <v>1381</v>
      </c>
      <c r="F8777" s="6" t="str">
        <f>IF($M8777="PADD I","PADD 1",IF($M8777="PADD II","PADD 2",IF($M8777="PADD III","PADD 3",IF($M8777="PADD IV","PADD 4",IF($M8777="PADD V","PADD 5","")))))</f>
        <v>PADD 4</v>
      </c>
      <c r="G8777" s="6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6" t="s">
        <v>44</v>
      </c>
      <c r="I8777" s="6" t="s">
        <v>1452</v>
      </c>
      <c r="J8777" s="6" t="s">
        <v>398</v>
      </c>
      <c r="K8777" s="10">
        <v>2.4</v>
      </c>
      <c r="L8777" s="10">
        <v>5</v>
      </c>
      <c r="M8777" s="6" t="s">
        <v>480</v>
      </c>
      <c r="N8777" s="6">
        <f>IF(OR($G8777="FCC",$G8777="Hydrocracker",$G8777="Reformer"),IF(COUNTIFS($D:$D,$D8777,$A:$A,$A8777,$B:$B,$B8777,$G:$G,"CDU",$J:$J,"PLANNED")&gt;0,"tied","standalone"),"")</f>
        <v/>
      </c>
    </row>
    <row r="8778" spans="1:14">
      <c r="A8778" s="6">
        <v>2027</v>
      </c>
      <c r="B8778" s="6">
        <v>10</v>
      </c>
      <c r="C8778" s="6" t="s">
        <v>69</v>
      </c>
      <c r="D8778" s="6" t="s">
        <v>1010</v>
      </c>
      <c r="E8778" s="6" t="s">
        <v>931</v>
      </c>
      <c r="F8778" s="6" t="str">
        <f>IF($M8778="PADD I","PADD 1",IF($M8778="PADD II","PADD 2",IF($M8778="PADD III","PADD 3",IF($M8778="PADD IV","PADD 4",IF($M8778="PADD V","PADD 5","")))))</f>
        <v>PADD 3</v>
      </c>
      <c r="G8778" s="6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6" t="s">
        <v>471</v>
      </c>
      <c r="I8778" s="6" t="s">
        <v>1111</v>
      </c>
      <c r="J8778" s="6" t="s">
        <v>398</v>
      </c>
      <c r="K8778" s="10">
        <v>2.31</v>
      </c>
      <c r="L8778" s="10">
        <v>5.5</v>
      </c>
      <c r="M8778" s="6" t="s">
        <v>421</v>
      </c>
      <c r="N8778" s="6" t="str">
        <f>IF(OR($G8778="FCC",$G8778="Hydrocracker",$G8778="Reformer"),IF(COUNTIFS($D:$D,$D8778,$A:$A,$A8778,$B:$B,$B8778,$G:$G,"CDU",$J:$J,"PLANNED")&gt;0,"tied","standalone"),"")</f>
        <v>tied</v>
      </c>
    </row>
    <row r="8779" spans="1:14">
      <c r="A8779" s="6">
        <v>2027</v>
      </c>
      <c r="B8779" s="6">
        <v>10</v>
      </c>
      <c r="C8779" s="6" t="s">
        <v>69</v>
      </c>
      <c r="D8779" s="6" t="s">
        <v>1010</v>
      </c>
      <c r="E8779" s="6" t="s">
        <v>931</v>
      </c>
      <c r="F8779" s="6" t="str">
        <f>IF($M8779="PADD I","PADD 1",IF($M8779="PADD II","PADD 2",IF($M8779="PADD III","PADD 3",IF($M8779="PADD IV","PADD 4",IF($M8779="PADD V","PADD 5","")))))</f>
        <v>PADD 3</v>
      </c>
      <c r="G8779" s="6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6" t="s">
        <v>471</v>
      </c>
      <c r="I8779" s="6" t="s">
        <v>860</v>
      </c>
      <c r="J8779" s="6" t="s">
        <v>398</v>
      </c>
      <c r="K8779" s="10">
        <v>2.31</v>
      </c>
      <c r="L8779" s="10">
        <v>5.5</v>
      </c>
      <c r="M8779" s="6" t="s">
        <v>421</v>
      </c>
      <c r="N8779" s="6" t="str">
        <f>IF(OR($G8779="FCC",$G8779="Hydrocracker",$G8779="Reformer"),IF(COUNTIFS($D:$D,$D8779,$A:$A,$A8779,$B:$B,$B8779,$G:$G,"CDU",$J:$J,"PLANNED")&gt;0,"tied","standalone"),"")</f>
        <v>tied</v>
      </c>
    </row>
    <row r="8780" spans="1:14">
      <c r="A8780" s="6">
        <v>2027</v>
      </c>
      <c r="B8780" s="6">
        <v>10</v>
      </c>
      <c r="C8780" s="6" t="s">
        <v>69</v>
      </c>
      <c r="D8780" s="6" t="s">
        <v>921</v>
      </c>
      <c r="E8780" s="6" t="s">
        <v>922</v>
      </c>
      <c r="F8780" s="6" t="str">
        <f>IF($M8780="PADD I","PADD 1",IF($M8780="PADD II","PADD 2",IF($M8780="PADD III","PADD 3",IF($M8780="PADD IV","PADD 4",IF($M8780="PADD V","PADD 5","")))))</f>
        <v>PADD 4</v>
      </c>
      <c r="G8780" s="6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6" t="s">
        <v>39</v>
      </c>
      <c r="I8780" s="6" t="s">
        <v>82</v>
      </c>
      <c r="J8780" s="6" t="s">
        <v>398</v>
      </c>
      <c r="K8780" s="10">
        <v>1.53</v>
      </c>
      <c r="L8780" s="10">
        <v>3.4</v>
      </c>
      <c r="M8780" s="6" t="s">
        <v>480</v>
      </c>
      <c r="N8780" s="6">
        <f>IF(OR($G8780="FCC",$G8780="Hydrocracker",$G8780="Reformer"),IF(COUNTIFS($D:$D,$D8780,$A:$A,$A8780,$B:$B,$B8780,$G:$G,"CDU",$J:$J,"PLANNED")&gt;0,"tied","standalone"),"")</f>
        <v/>
      </c>
    </row>
    <row r="8781" spans="1:14">
      <c r="A8781" s="6">
        <v>2027</v>
      </c>
      <c r="B8781" s="6">
        <v>10</v>
      </c>
      <c r="C8781" s="6" t="s">
        <v>69</v>
      </c>
      <c r="D8781" s="6" t="s">
        <v>921</v>
      </c>
      <c r="E8781" s="6" t="s">
        <v>922</v>
      </c>
      <c r="F8781" s="6" t="str">
        <f>IF($M8781="PADD I","PADD 1",IF($M8781="PADD II","PADD 2",IF($M8781="PADD III","PADD 3",IF($M8781="PADD IV","PADD 4",IF($M8781="PADD V","PADD 5","")))))</f>
        <v>PADD 4</v>
      </c>
      <c r="G8781" s="6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6" t="s">
        <v>44</v>
      </c>
      <c r="I8781" s="6" t="s">
        <v>923</v>
      </c>
      <c r="J8781" s="6" t="s">
        <v>398</v>
      </c>
      <c r="K8781" s="10">
        <v>1.35</v>
      </c>
      <c r="L8781" s="10">
        <v>3</v>
      </c>
      <c r="M8781" s="6" t="s">
        <v>480</v>
      </c>
      <c r="N8781" s="6">
        <f>IF(OR($G8781="FCC",$G8781="Hydrocracker",$G8781="Reformer"),IF(COUNTIFS($D:$D,$D8781,$A:$A,$A8781,$B:$B,$B8781,$G:$G,"CDU",$J:$J,"PLANNED")&gt;0,"tied","standalone"),"")</f>
        <v/>
      </c>
    </row>
    <row r="8782" spans="1:14">
      <c r="A8782" s="6">
        <v>2027</v>
      </c>
      <c r="B8782" s="6">
        <v>10</v>
      </c>
      <c r="C8782" s="6" t="s">
        <v>69</v>
      </c>
      <c r="D8782" s="6" t="s">
        <v>921</v>
      </c>
      <c r="E8782" s="6" t="s">
        <v>922</v>
      </c>
      <c r="F8782" s="6" t="str">
        <f>IF($M8782="PADD I","PADD 1",IF($M8782="PADD II","PADD 2",IF($M8782="PADD III","PADD 3",IF($M8782="PADD IV","PADD 4",IF($M8782="PADD V","PADD 5","")))))</f>
        <v>PADD 4</v>
      </c>
      <c r="G8782" s="6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6" t="s">
        <v>471</v>
      </c>
      <c r="I8782" s="6" t="s">
        <v>15</v>
      </c>
      <c r="J8782" s="6" t="s">
        <v>398</v>
      </c>
      <c r="K8782" s="10">
        <v>1.35</v>
      </c>
      <c r="L8782" s="10">
        <v>3</v>
      </c>
      <c r="M8782" s="6" t="s">
        <v>480</v>
      </c>
      <c r="N8782" s="6" t="str">
        <f>IF(OR($G8782="FCC",$G8782="Hydrocracker",$G8782="Reformer"),IF(COUNTIFS($D:$D,$D8782,$A:$A,$A8782,$B:$B,$B8782,$G:$G,"CDU",$J:$J,"PLANNED")&gt;0,"tied","standalone"),"")</f>
        <v>tied</v>
      </c>
    </row>
    <row r="8783" spans="1:14">
      <c r="A8783" s="6">
        <v>2027</v>
      </c>
      <c r="B8783" s="6">
        <v>10</v>
      </c>
      <c r="C8783" s="6" t="s">
        <v>69</v>
      </c>
      <c r="D8783" s="6" t="s">
        <v>1380</v>
      </c>
      <c r="E8783" s="6" t="s">
        <v>1381</v>
      </c>
      <c r="F8783" s="6" t="str">
        <f>IF($M8783="PADD I","PADD 1",IF($M8783="PADD II","PADD 2",IF($M8783="PADD III","PADD 3",IF($M8783="PADD IV","PADD 4",IF($M8783="PADD V","PADD 5","")))))</f>
        <v>PADD 4</v>
      </c>
      <c r="G8783" s="6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6" t="s">
        <v>426</v>
      </c>
      <c r="I8783" s="6" t="s">
        <v>106</v>
      </c>
      <c r="J8783" s="6" t="s">
        <v>398</v>
      </c>
      <c r="K8783" s="10">
        <v>1.344</v>
      </c>
      <c r="L8783" s="10">
        <v>2.8</v>
      </c>
      <c r="M8783" s="6" t="s">
        <v>480</v>
      </c>
      <c r="N8783" s="6" t="str">
        <f>IF(OR($G8783="FCC",$G8783="Hydrocracker",$G8783="Reformer"),IF(COUNTIFS($D:$D,$D8783,$A:$A,$A8783,$B:$B,$B8783,$G:$G,"CDU",$J:$J,"PLANNED")&gt;0,"tied","standalone"),"")</f>
        <v>tied</v>
      </c>
    </row>
    <row r="8784" spans="1:14">
      <c r="A8784" s="6">
        <v>2027</v>
      </c>
      <c r="B8784" s="6">
        <v>10</v>
      </c>
      <c r="C8784" s="6" t="s">
        <v>69</v>
      </c>
      <c r="D8784" s="6" t="s">
        <v>484</v>
      </c>
      <c r="E8784" s="6" t="s">
        <v>438</v>
      </c>
      <c r="F8784" s="6" t="str">
        <f>IF($M8784="PADD I","PADD 1",IF($M8784="PADD II","PADD 2",IF($M8784="PADD III","PADD 3",IF($M8784="PADD IV","PADD 4",IF($M8784="PADD V","PADD 5","")))))</f>
        <v>PADD 5</v>
      </c>
      <c r="G8784" s="6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6" t="s">
        <v>44</v>
      </c>
      <c r="I8784" s="6" t="s">
        <v>1449</v>
      </c>
      <c r="J8784" s="6" t="s">
        <v>398</v>
      </c>
      <c r="K8784" s="10">
        <v>1.14</v>
      </c>
      <c r="L8784" s="10">
        <v>38</v>
      </c>
      <c r="M8784" s="6" t="s">
        <v>436</v>
      </c>
      <c r="N8784" s="6">
        <f>IF(OR($G8784="FCC",$G8784="Hydrocracker",$G8784="Reformer"),IF(COUNTIFS($D:$D,$D8784,$A:$A,$A8784,$B:$B,$B8784,$G:$G,"CDU",$J:$J,"PLANNED")&gt;0,"tied","standalone"),"")</f>
        <v/>
      </c>
    </row>
    <row r="8785" spans="1:14">
      <c r="A8785" s="6">
        <v>2027</v>
      </c>
      <c r="B8785" s="6">
        <v>10</v>
      </c>
      <c r="C8785" s="6" t="s">
        <v>69</v>
      </c>
      <c r="D8785" s="6" t="s">
        <v>540</v>
      </c>
      <c r="E8785" s="6" t="s">
        <v>541</v>
      </c>
      <c r="F8785" s="6" t="str">
        <f>IF($M8785="PADD I","PADD 1",IF($M8785="PADD II","PADD 2",IF($M8785="PADD III","PADD 3",IF($M8785="PADD IV","PADD 4",IF($M8785="PADD V","PADD 5","")))))</f>
        <v>PADD 3</v>
      </c>
      <c r="G8785" s="6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6" t="s">
        <v>44</v>
      </c>
      <c r="I8785" s="6" t="s">
        <v>1450</v>
      </c>
      <c r="J8785" s="6" t="s">
        <v>398</v>
      </c>
      <c r="K8785" s="10">
        <v>0.96</v>
      </c>
      <c r="L8785" s="10">
        <v>32</v>
      </c>
      <c r="M8785" s="6" t="s">
        <v>421</v>
      </c>
      <c r="N8785" s="6">
        <f>IF(OR($G8785="FCC",$G8785="Hydrocracker",$G8785="Reformer"),IF(COUNTIFS($D:$D,$D8785,$A:$A,$A8785,$B:$B,$B8785,$G:$G,"CDU",$J:$J,"PLANNED")&gt;0,"tied","standalone"),"")</f>
        <v/>
      </c>
    </row>
    <row r="8786" spans="1:14">
      <c r="A8786" s="6">
        <v>2027</v>
      </c>
      <c r="B8786" s="6">
        <v>10</v>
      </c>
      <c r="C8786" s="6" t="s">
        <v>69</v>
      </c>
      <c r="D8786" s="6" t="s">
        <v>507</v>
      </c>
      <c r="E8786" s="6" t="s">
        <v>438</v>
      </c>
      <c r="F8786" s="6" t="str">
        <f>IF($M8786="PADD I","PADD 1",IF($M8786="PADD II","PADD 2",IF($M8786="PADD III","PADD 3",IF($M8786="PADD IV","PADD 4",IF($M8786="PADD V","PADD 5","")))))</f>
        <v>PADD 5</v>
      </c>
      <c r="G8786" s="6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6" t="s">
        <v>471</v>
      </c>
      <c r="I8786" s="6" t="s">
        <v>609</v>
      </c>
      <c r="J8786" s="6" t="s">
        <v>398</v>
      </c>
      <c r="K8786" s="10">
        <v>0.6</v>
      </c>
      <c r="L8786" s="10">
        <v>20</v>
      </c>
      <c r="M8786" s="6" t="s">
        <v>436</v>
      </c>
      <c r="N8786" s="6" t="str">
        <f>IF(OR($G8786="FCC",$G8786="Hydrocracker",$G8786="Reformer"),IF(COUNTIFS($D:$D,$D8786,$A:$A,$A8786,$B:$B,$B8786,$G:$G,"CDU",$J:$J,"PLANNED")&gt;0,"tied","standalone"),"")</f>
        <v>standalone</v>
      </c>
    </row>
    <row r="8787" spans="1:14">
      <c r="A8787" s="6">
        <v>2027</v>
      </c>
      <c r="B8787" s="6">
        <v>10</v>
      </c>
      <c r="C8787" s="6" t="s">
        <v>69</v>
      </c>
      <c r="D8787" s="6" t="s">
        <v>1380</v>
      </c>
      <c r="E8787" s="6" t="s">
        <v>1381</v>
      </c>
      <c r="F8787" s="6" t="str">
        <f>IF($M8787="PADD I","PADD 1",IF($M8787="PADD II","PADD 2",IF($M8787="PADD III","PADD 3",IF($M8787="PADD IV","PADD 4",IF($M8787="PADD V","PADD 5","")))))</f>
        <v>PADD 4</v>
      </c>
      <c r="G8787" s="6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6" t="s">
        <v>471</v>
      </c>
      <c r="I8787" s="6" t="s">
        <v>15</v>
      </c>
      <c r="J8787" s="6" t="s">
        <v>398</v>
      </c>
      <c r="K8787" s="10">
        <v>0.48</v>
      </c>
      <c r="L8787" s="10">
        <v>1</v>
      </c>
      <c r="M8787" s="6" t="s">
        <v>480</v>
      </c>
      <c r="N8787" s="6" t="str">
        <f>IF(OR($G8787="FCC",$G8787="Hydrocracker",$G8787="Reformer"),IF(COUNTIFS($D:$D,$D8787,$A:$A,$A8787,$B:$B,$B8787,$G:$G,"CDU",$J:$J,"PLANNED")&gt;0,"tied","standalone"),"")</f>
        <v>tied</v>
      </c>
    </row>
    <row r="8788" spans="1:14">
      <c r="A8788" s="6">
        <v>2027</v>
      </c>
      <c r="B8788" s="6">
        <v>10</v>
      </c>
      <c r="C8788" s="6" t="s">
        <v>69</v>
      </c>
      <c r="D8788" s="6" t="s">
        <v>921</v>
      </c>
      <c r="E8788" s="6" t="s">
        <v>922</v>
      </c>
      <c r="F8788" s="6" t="str">
        <f>IF($M8788="PADD I","PADD 1",IF($M8788="PADD II","PADD 2",IF($M8788="PADD III","PADD 3",IF($M8788="PADD IV","PADD 4",IF($M8788="PADD V","PADD 5","")))))</f>
        <v>PADD 4</v>
      </c>
      <c r="G8788" s="6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6" t="s">
        <v>618</v>
      </c>
      <c r="I8788" s="6" t="s">
        <v>1252</v>
      </c>
      <c r="J8788" s="6" t="s">
        <v>398</v>
      </c>
      <c r="K8788" s="10">
        <v>0.45</v>
      </c>
      <c r="L8788" s="10">
        <v>1</v>
      </c>
      <c r="M8788" s="6" t="s">
        <v>480</v>
      </c>
      <c r="N8788" s="6">
        <f>IF(OR($G8788="FCC",$G8788="Hydrocracker",$G8788="Reformer"),IF(COUNTIFS($D:$D,$D8788,$A:$A,$A8788,$B:$B,$B8788,$G:$G,"CDU",$J:$J,"PLANNED")&gt;0,"tied","standalone"),"")</f>
        <v/>
      </c>
    </row>
    <row r="8789" spans="1:14">
      <c r="A8789" s="6">
        <v>2027</v>
      </c>
      <c r="B8789" s="6">
        <v>11</v>
      </c>
      <c r="C8789" s="6" t="s">
        <v>70</v>
      </c>
      <c r="D8789" s="6" t="s">
        <v>368</v>
      </c>
      <c r="E8789" s="6" t="s">
        <v>715</v>
      </c>
      <c r="F8789" s="6" t="str">
        <f>IF($M8789="PADD I","PADD 1",IF($M8789="PADD II","PADD 2",IF($M8789="PADD III","PADD 3",IF($M8789="PADD IV","PADD 4",IF($M8789="PADD V","PADD 5","")))))</f>
        <v>PADD 3</v>
      </c>
      <c r="G8789" s="6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6" t="s">
        <v>39</v>
      </c>
      <c r="I8789" s="6" t="s">
        <v>87</v>
      </c>
      <c r="J8789" s="6" t="s">
        <v>398</v>
      </c>
      <c r="K8789" s="10">
        <v>160.8</v>
      </c>
      <c r="L8789" s="10">
        <v>240</v>
      </c>
      <c r="M8789" s="6" t="s">
        <v>421</v>
      </c>
      <c r="N8789" s="6">
        <f>IF(OR($G8789="FCC",$G8789="Hydrocracker",$G8789="Reformer"),IF(COUNTIFS($D:$D,$D8789,$A:$A,$A8789,$B:$B,$B8789,$G:$G,"CDU",$J:$J,"PLANNED")&gt;0,"tied","standalone"),"")</f>
        <v/>
      </c>
    </row>
    <row r="8790" spans="1:14">
      <c r="A8790" s="6">
        <v>2027</v>
      </c>
      <c r="B8790" s="6">
        <v>11</v>
      </c>
      <c r="C8790" s="6" t="s">
        <v>70</v>
      </c>
      <c r="D8790" s="6" t="s">
        <v>458</v>
      </c>
      <c r="E8790" s="6" t="s">
        <v>459</v>
      </c>
      <c r="F8790" s="6" t="str">
        <f>IF($M8790="PADD I","PADD 1",IF($M8790="PADD II","PADD 2",IF($M8790="PADD III","PADD 3",IF($M8790="PADD IV","PADD 4",IF($M8790="PADD V","PADD 5","")))))</f>
        <v>PADD 3</v>
      </c>
      <c r="G8790" s="6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6" t="s">
        <v>426</v>
      </c>
      <c r="I8790" s="6" t="s">
        <v>476</v>
      </c>
      <c r="J8790" s="6" t="s">
        <v>398</v>
      </c>
      <c r="K8790" s="10">
        <v>43.32</v>
      </c>
      <c r="L8790" s="10">
        <v>76</v>
      </c>
      <c r="M8790" s="6" t="s">
        <v>421</v>
      </c>
      <c r="N8790" s="6" t="str">
        <f>IF(OR($G8790="FCC",$G8790="Hydrocracker",$G8790="Reformer"),IF(COUNTIFS($D:$D,$D8790,$A:$A,$A8790,$B:$B,$B8790,$G:$G,"CDU",$J:$J,"PLANNED")&gt;0,"tied","standalone"),"")</f>
        <v>tied</v>
      </c>
    </row>
    <row r="8791" spans="1:14">
      <c r="A8791" s="6">
        <v>2027</v>
      </c>
      <c r="B8791" s="6">
        <v>11</v>
      </c>
      <c r="C8791" s="6" t="s">
        <v>70</v>
      </c>
      <c r="D8791" s="6" t="s">
        <v>1373</v>
      </c>
      <c r="E8791" s="6" t="s">
        <v>419</v>
      </c>
      <c r="F8791" s="6" t="str">
        <f>IF($M8791="PADD I","PADD 1",IF($M8791="PADD II","PADD 2",IF($M8791="PADD III","PADD 3",IF($M8791="PADD IV","PADD 4",IF($M8791="PADD V","PADD 5","")))))</f>
        <v>PADD 5</v>
      </c>
      <c r="G8791" s="6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6" t="s">
        <v>39</v>
      </c>
      <c r="I8791" s="6" t="s">
        <v>82</v>
      </c>
      <c r="J8791" s="6" t="s">
        <v>398</v>
      </c>
      <c r="K8791" s="10">
        <v>33</v>
      </c>
      <c r="L8791" s="10">
        <v>100</v>
      </c>
      <c r="M8791" s="6" t="s">
        <v>436</v>
      </c>
      <c r="N8791" s="6">
        <f>IF(OR($G8791="FCC",$G8791="Hydrocracker",$G8791="Reformer"),IF(COUNTIFS($D:$D,$D8791,$A:$A,$A8791,$B:$B,$B8791,$G:$G,"CDU",$J:$J,"PLANNED")&gt;0,"tied","standalone"),"")</f>
        <v/>
      </c>
    </row>
    <row r="8792" spans="1:14">
      <c r="A8792" s="6">
        <v>2027</v>
      </c>
      <c r="B8792" s="6">
        <v>11</v>
      </c>
      <c r="C8792" s="6" t="s">
        <v>70</v>
      </c>
      <c r="D8792" s="6" t="s">
        <v>1010</v>
      </c>
      <c r="E8792" s="6" t="s">
        <v>931</v>
      </c>
      <c r="F8792" s="6" t="str">
        <f>IF($M8792="PADD I","PADD 1",IF($M8792="PADD II","PADD 2",IF($M8792="PADD III","PADD 3",IF($M8792="PADD IV","PADD 4",IF($M8792="PADD V","PADD 5","")))))</f>
        <v>PADD 3</v>
      </c>
      <c r="G8792" s="6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6" t="s">
        <v>39</v>
      </c>
      <c r="I8792" s="6" t="s">
        <v>1097</v>
      </c>
      <c r="J8792" s="6" t="s">
        <v>398</v>
      </c>
      <c r="K8792" s="10">
        <v>24.09</v>
      </c>
      <c r="L8792" s="10">
        <v>33</v>
      </c>
      <c r="M8792" s="6" t="s">
        <v>421</v>
      </c>
      <c r="N8792" s="6">
        <f>IF(OR($G8792="FCC",$G8792="Hydrocracker",$G8792="Reformer"),IF(COUNTIFS($D:$D,$D8792,$A:$A,$A8792,$B:$B,$B8792,$G:$G,"CDU",$J:$J,"PLANNED")&gt;0,"tied","standalone"),"")</f>
        <v/>
      </c>
    </row>
    <row r="8793" spans="1:14">
      <c r="A8793" s="6">
        <v>2027</v>
      </c>
      <c r="B8793" s="6">
        <v>11</v>
      </c>
      <c r="C8793" s="6" t="s">
        <v>70</v>
      </c>
      <c r="D8793" s="6" t="s">
        <v>458</v>
      </c>
      <c r="E8793" s="6" t="s">
        <v>459</v>
      </c>
      <c r="F8793" s="6" t="str">
        <f>IF($M8793="PADD I","PADD 1",IF($M8793="PADD II","PADD 2",IF($M8793="PADD III","PADD 3",IF($M8793="PADD IV","PADD 4",IF($M8793="PADD V","PADD 5","")))))</f>
        <v>PADD 3</v>
      </c>
      <c r="G8793" s="6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6" t="s">
        <v>44</v>
      </c>
      <c r="I8793" s="6" t="s">
        <v>528</v>
      </c>
      <c r="J8793" s="6" t="s">
        <v>398</v>
      </c>
      <c r="K8793" s="10">
        <v>23.94</v>
      </c>
      <c r="L8793" s="10">
        <v>42</v>
      </c>
      <c r="M8793" s="6" t="s">
        <v>421</v>
      </c>
      <c r="N8793" s="6">
        <f>IF(OR($G8793="FCC",$G8793="Hydrocracker",$G8793="Reformer"),IF(COUNTIFS($D:$D,$D8793,$A:$A,$A8793,$B:$B,$B8793,$G:$G,"CDU",$J:$J,"PLANNED")&gt;0,"tied","standalone"),"")</f>
        <v/>
      </c>
    </row>
    <row r="8794" spans="1:14">
      <c r="A8794" s="6">
        <v>2027</v>
      </c>
      <c r="B8794" s="6">
        <v>11</v>
      </c>
      <c r="C8794" s="6" t="s">
        <v>70</v>
      </c>
      <c r="D8794" s="6" t="s">
        <v>458</v>
      </c>
      <c r="E8794" s="6" t="s">
        <v>459</v>
      </c>
      <c r="F8794" s="6" t="str">
        <f>IF($M8794="PADD I","PADD 1",IF($M8794="PADD II","PADD 2",IF($M8794="PADD III","PADD 3",IF($M8794="PADD IV","PADD 4",IF($M8794="PADD V","PADD 5","")))))</f>
        <v>PADD 3</v>
      </c>
      <c r="G8794" s="6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6" t="s">
        <v>39</v>
      </c>
      <c r="I8794" s="6" t="s">
        <v>572</v>
      </c>
      <c r="J8794" s="6" t="s">
        <v>398</v>
      </c>
      <c r="K8794" s="10">
        <v>22.8</v>
      </c>
      <c r="L8794" s="10">
        <v>40</v>
      </c>
      <c r="M8794" s="6" t="s">
        <v>421</v>
      </c>
      <c r="N8794" s="6">
        <f>IF(OR($G8794="FCC",$G8794="Hydrocracker",$G8794="Reformer"),IF(COUNTIFS($D:$D,$D8794,$A:$A,$A8794,$B:$B,$B8794,$G:$G,"CDU",$J:$J,"PLANNED")&gt;0,"tied","standalone"),"")</f>
        <v/>
      </c>
    </row>
    <row r="8795" spans="1:14">
      <c r="A8795" s="6">
        <v>2027</v>
      </c>
      <c r="B8795" s="6">
        <v>11</v>
      </c>
      <c r="C8795" s="6" t="s">
        <v>70</v>
      </c>
      <c r="D8795" s="6" t="s">
        <v>51</v>
      </c>
      <c r="E8795" s="6" t="s">
        <v>431</v>
      </c>
      <c r="F8795" s="6" t="str">
        <f>IF($M8795="PADD I","PADD 1",IF($M8795="PADD II","PADD 2",IF($M8795="PADD III","PADD 3",IF($M8795="PADD IV","PADD 4",IF($M8795="PADD V","PADD 5","")))))</f>
        <v>PADD 3</v>
      </c>
      <c r="G8795" s="6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6" t="s">
        <v>510</v>
      </c>
      <c r="I8795" s="6" t="s">
        <v>670</v>
      </c>
      <c r="J8795" s="6" t="s">
        <v>398</v>
      </c>
      <c r="K8795" s="10">
        <v>21</v>
      </c>
      <c r="L8795" s="10">
        <v>21</v>
      </c>
      <c r="M8795" s="6" t="s">
        <v>421</v>
      </c>
      <c r="N8795" s="6">
        <f>IF(OR($G8795="FCC",$G8795="Hydrocracker",$G8795="Reformer"),IF(COUNTIFS($D:$D,$D8795,$A:$A,$A8795,$B:$B,$B8795,$G:$G,"CDU",$J:$J,"PLANNED")&gt;0,"tied","standalone"),"")</f>
        <v/>
      </c>
    </row>
    <row r="8796" spans="1:14">
      <c r="A8796" s="6">
        <v>2027</v>
      </c>
      <c r="B8796" s="6">
        <v>11</v>
      </c>
      <c r="C8796" s="6" t="s">
        <v>70</v>
      </c>
      <c r="D8796" s="6" t="s">
        <v>1010</v>
      </c>
      <c r="E8796" s="6" t="s">
        <v>931</v>
      </c>
      <c r="F8796" s="6" t="str">
        <f>IF($M8796="PADD I","PADD 1",IF($M8796="PADD II","PADD 2",IF($M8796="PADD III","PADD 3",IF($M8796="PADD IV","PADD 4",IF($M8796="PADD V","PADD 5","")))))</f>
        <v>PADD 3</v>
      </c>
      <c r="G8796" s="6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6" t="s">
        <v>39</v>
      </c>
      <c r="I8796" s="6" t="s">
        <v>424</v>
      </c>
      <c r="J8796" s="6" t="s">
        <v>398</v>
      </c>
      <c r="K8796" s="10">
        <v>19.71</v>
      </c>
      <c r="L8796" s="10">
        <v>27</v>
      </c>
      <c r="M8796" s="6" t="s">
        <v>421</v>
      </c>
      <c r="N8796" s="6">
        <f>IF(OR($G8796="FCC",$G8796="Hydrocracker",$G8796="Reformer"),IF(COUNTIFS($D:$D,$D8796,$A:$A,$A8796,$B:$B,$B8796,$G:$G,"CDU",$J:$J,"PLANNED")&gt;0,"tied","standalone"),"")</f>
        <v/>
      </c>
    </row>
    <row r="8797" spans="1:14">
      <c r="A8797" s="6">
        <v>2027</v>
      </c>
      <c r="B8797" s="6">
        <v>11</v>
      </c>
      <c r="C8797" s="6" t="s">
        <v>70</v>
      </c>
      <c r="D8797" s="6" t="s">
        <v>458</v>
      </c>
      <c r="E8797" s="6" t="s">
        <v>459</v>
      </c>
      <c r="F8797" s="6" t="str">
        <f>IF($M8797="PADD I","PADD 1",IF($M8797="PADD II","PADD 2",IF($M8797="PADD III","PADD 3",IF($M8797="PADD IV","PADD 4",IF($M8797="PADD V","PADD 5","")))))</f>
        <v>PADD 3</v>
      </c>
      <c r="G8797" s="6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6" t="s">
        <v>44</v>
      </c>
      <c r="I8797" s="6" t="s">
        <v>547</v>
      </c>
      <c r="J8797" s="6" t="s">
        <v>398</v>
      </c>
      <c r="K8797" s="10">
        <v>17.67</v>
      </c>
      <c r="L8797" s="10">
        <v>31</v>
      </c>
      <c r="M8797" s="6" t="s">
        <v>421</v>
      </c>
      <c r="N8797" s="6">
        <f>IF(OR($G8797="FCC",$G8797="Hydrocracker",$G8797="Reformer"),IF(COUNTIFS($D:$D,$D8797,$A:$A,$A8797,$B:$B,$B8797,$G:$G,"CDU",$J:$J,"PLANNED")&gt;0,"tied","standalone"),"")</f>
        <v/>
      </c>
    </row>
    <row r="8798" spans="1:14">
      <c r="A8798" s="6">
        <v>2027</v>
      </c>
      <c r="B8798" s="6">
        <v>11</v>
      </c>
      <c r="C8798" s="6" t="s">
        <v>70</v>
      </c>
      <c r="D8798" s="6" t="s">
        <v>1373</v>
      </c>
      <c r="E8798" s="6" t="s">
        <v>419</v>
      </c>
      <c r="F8798" s="6" t="str">
        <f>IF($M8798="PADD I","PADD 1",IF($M8798="PADD II","PADD 2",IF($M8798="PADD III","PADD 3",IF($M8798="PADD IV","PADD 4",IF($M8798="PADD V","PADD 5","")))))</f>
        <v>PADD 5</v>
      </c>
      <c r="G8798" s="6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6" t="s">
        <v>428</v>
      </c>
      <c r="I8798" s="6" t="s">
        <v>481</v>
      </c>
      <c r="J8798" s="6" t="s">
        <v>398</v>
      </c>
      <c r="K8798" s="10">
        <v>15.345</v>
      </c>
      <c r="L8798" s="10">
        <v>46.5</v>
      </c>
      <c r="M8798" s="6" t="s">
        <v>436</v>
      </c>
      <c r="N8798" s="6">
        <f>IF(OR($G8798="FCC",$G8798="Hydrocracker",$G8798="Reformer"),IF(COUNTIFS($D:$D,$D8798,$A:$A,$A8798,$B:$B,$B8798,$G:$G,"CDU",$J:$J,"PLANNED")&gt;0,"tied","standalone"),"")</f>
        <v/>
      </c>
    </row>
    <row r="8799" spans="1:14">
      <c r="A8799" s="6">
        <v>2027</v>
      </c>
      <c r="B8799" s="6">
        <v>11</v>
      </c>
      <c r="C8799" s="6" t="s">
        <v>70</v>
      </c>
      <c r="D8799" s="6" t="s">
        <v>1191</v>
      </c>
      <c r="E8799" s="6" t="s">
        <v>1129</v>
      </c>
      <c r="F8799" s="6" t="str">
        <f>IF($M8799="PADD I","PADD 1",IF($M8799="PADD II","PADD 2",IF($M8799="PADD III","PADD 3",IF($M8799="PADD IV","PADD 4",IF($M8799="PADD V","PADD 5","")))))</f>
        <v>PADD 3</v>
      </c>
      <c r="G8799" s="6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6" t="s">
        <v>39</v>
      </c>
      <c r="I8799" s="6" t="s">
        <v>132</v>
      </c>
      <c r="J8799" s="6" t="s">
        <v>398</v>
      </c>
      <c r="K8799" s="10">
        <v>14.8</v>
      </c>
      <c r="L8799" s="10">
        <v>40</v>
      </c>
      <c r="M8799" s="6" t="s">
        <v>421</v>
      </c>
      <c r="N8799" s="6">
        <f>IF(OR($G8799="FCC",$G8799="Hydrocracker",$G8799="Reformer"),IF(COUNTIFS($D:$D,$D8799,$A:$A,$A8799,$B:$B,$B8799,$G:$G,"CDU",$J:$J,"PLANNED")&gt;0,"tied","standalone"),"")</f>
        <v/>
      </c>
    </row>
    <row r="8800" spans="1:14">
      <c r="A8800" s="6">
        <v>2027</v>
      </c>
      <c r="B8800" s="6">
        <v>11</v>
      </c>
      <c r="C8800" s="6" t="s">
        <v>70</v>
      </c>
      <c r="D8800" s="6" t="s">
        <v>937</v>
      </c>
      <c r="E8800" s="6" t="s">
        <v>455</v>
      </c>
      <c r="F8800" s="6" t="str">
        <f>IF($M8800="PADD I","PADD 1",IF($M8800="PADD II","PADD 2",IF($M8800="PADD III","PADD 3",IF($M8800="PADD IV","PADD 4",IF($M8800="PADD V","PADD 5","")))))</f>
        <v>PADD 3</v>
      </c>
      <c r="G8800" s="6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6" t="s">
        <v>494</v>
      </c>
      <c r="I8800" s="6" t="s">
        <v>1072</v>
      </c>
      <c r="J8800" s="6" t="s">
        <v>398</v>
      </c>
      <c r="K8800" s="10">
        <v>12.9</v>
      </c>
      <c r="L8800" s="10">
        <v>30</v>
      </c>
      <c r="M8800" s="6" t="s">
        <v>421</v>
      </c>
      <c r="N8800" s="6" t="str">
        <f>IF(OR($G8800="FCC",$G8800="Hydrocracker",$G8800="Reformer"),IF(COUNTIFS($D:$D,$D8800,$A:$A,$A8800,$B:$B,$B8800,$G:$G,"CDU",$J:$J,"PLANNED")&gt;0,"tied","standalone"),"")</f>
        <v>standalone</v>
      </c>
    </row>
    <row r="8801" spans="1:14">
      <c r="A8801" s="6">
        <v>2027</v>
      </c>
      <c r="B8801" s="6">
        <v>11</v>
      </c>
      <c r="C8801" s="6" t="s">
        <v>70</v>
      </c>
      <c r="D8801" s="6" t="s">
        <v>1010</v>
      </c>
      <c r="E8801" s="6" t="s">
        <v>931</v>
      </c>
      <c r="F8801" s="6" t="str">
        <f>IF($M8801="PADD I","PADD 1",IF($M8801="PADD II","PADD 2",IF($M8801="PADD III","PADD 3",IF($M8801="PADD IV","PADD 4",IF($M8801="PADD V","PADD 5","")))))</f>
        <v>PADD 3</v>
      </c>
      <c r="G8801" s="6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6" t="s">
        <v>44</v>
      </c>
      <c r="I8801" s="6" t="s">
        <v>1105</v>
      </c>
      <c r="J8801" s="6" t="s">
        <v>398</v>
      </c>
      <c r="K8801" s="10">
        <v>11.68</v>
      </c>
      <c r="L8801" s="10">
        <v>16</v>
      </c>
      <c r="M8801" s="6" t="s">
        <v>421</v>
      </c>
      <c r="N8801" s="6">
        <f>IF(OR($G8801="FCC",$G8801="Hydrocracker",$G8801="Reformer"),IF(COUNTIFS($D:$D,$D8801,$A:$A,$A8801,$B:$B,$B8801,$G:$G,"CDU",$J:$J,"PLANNED")&gt;0,"tied","standalone"),"")</f>
        <v/>
      </c>
    </row>
    <row r="8802" spans="1:14">
      <c r="A8802" s="6">
        <v>2027</v>
      </c>
      <c r="B8802" s="6">
        <v>11</v>
      </c>
      <c r="C8802" s="6" t="s">
        <v>70</v>
      </c>
      <c r="D8802" s="6" t="s">
        <v>1373</v>
      </c>
      <c r="E8802" s="6" t="s">
        <v>419</v>
      </c>
      <c r="F8802" s="6" t="str">
        <f>IF($M8802="PADD I","PADD 1",IF($M8802="PADD II","PADD 2",IF($M8802="PADD III","PADD 3",IF($M8802="PADD IV","PADD 4",IF($M8802="PADD V","PADD 5","")))))</f>
        <v>PADD 5</v>
      </c>
      <c r="G8802" s="6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6" t="s">
        <v>426</v>
      </c>
      <c r="I8802" s="6" t="s">
        <v>106</v>
      </c>
      <c r="J8802" s="6" t="s">
        <v>398</v>
      </c>
      <c r="K8802" s="10">
        <v>11.55</v>
      </c>
      <c r="L8802" s="10">
        <v>35</v>
      </c>
      <c r="M8802" s="6" t="s">
        <v>436</v>
      </c>
      <c r="N8802" s="6" t="str">
        <f>IF(OR($G8802="FCC",$G8802="Hydrocracker",$G8802="Reformer"),IF(COUNTIFS($D:$D,$D8802,$A:$A,$A8802,$B:$B,$B8802,$G:$G,"CDU",$J:$J,"PLANNED")&gt;0,"tied","standalone"),"")</f>
        <v>tied</v>
      </c>
    </row>
    <row r="8803" spans="1:14">
      <c r="A8803" s="6">
        <v>2027</v>
      </c>
      <c r="B8803" s="6">
        <v>11</v>
      </c>
      <c r="C8803" s="6" t="s">
        <v>70</v>
      </c>
      <c r="D8803" s="6" t="s">
        <v>1373</v>
      </c>
      <c r="E8803" s="6" t="s">
        <v>419</v>
      </c>
      <c r="F8803" s="6" t="str">
        <f>IF($M8803="PADD I","PADD 1",IF($M8803="PADD II","PADD 2",IF($M8803="PADD III","PADD 3",IF($M8803="PADD IV","PADD 4",IF($M8803="PADD V","PADD 5","")))))</f>
        <v>PADD 5</v>
      </c>
      <c r="G8803" s="6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6" t="s">
        <v>44</v>
      </c>
      <c r="I8803" s="6" t="s">
        <v>861</v>
      </c>
      <c r="J8803" s="6" t="s">
        <v>398</v>
      </c>
      <c r="K8803" s="10">
        <v>10.56</v>
      </c>
      <c r="L8803" s="10">
        <v>32</v>
      </c>
      <c r="M8803" s="6" t="s">
        <v>436</v>
      </c>
      <c r="N8803" s="6">
        <f>IF(OR($G8803="FCC",$G8803="Hydrocracker",$G8803="Reformer"),IF(COUNTIFS($D:$D,$D8803,$A:$A,$A8803,$B:$B,$B8803,$G:$G,"CDU",$J:$J,"PLANNED")&gt;0,"tied","standalone"),"")</f>
        <v/>
      </c>
    </row>
    <row r="8804" spans="1:14">
      <c r="A8804" s="6">
        <v>2027</v>
      </c>
      <c r="B8804" s="6">
        <v>11</v>
      </c>
      <c r="C8804" s="6" t="s">
        <v>70</v>
      </c>
      <c r="D8804" s="6" t="s">
        <v>1010</v>
      </c>
      <c r="E8804" s="6" t="s">
        <v>931</v>
      </c>
      <c r="F8804" s="6" t="str">
        <f>IF($M8804="PADD I","PADD 1",IF($M8804="PADD II","PADD 2",IF($M8804="PADD III","PADD 3",IF($M8804="PADD IV","PADD 4",IF($M8804="PADD V","PADD 5","")))))</f>
        <v>PADD 3</v>
      </c>
      <c r="G8804" s="6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6" t="s">
        <v>44</v>
      </c>
      <c r="I8804" s="6" t="s">
        <v>834</v>
      </c>
      <c r="J8804" s="6" t="s">
        <v>398</v>
      </c>
      <c r="K8804" s="10">
        <v>10.22</v>
      </c>
      <c r="L8804" s="10">
        <v>14</v>
      </c>
      <c r="M8804" s="6" t="s">
        <v>421</v>
      </c>
      <c r="N8804" s="6">
        <f>IF(OR($G8804="FCC",$G8804="Hydrocracker",$G8804="Reformer"),IF(COUNTIFS($D:$D,$D8804,$A:$A,$A8804,$B:$B,$B8804,$G:$G,"CDU",$J:$J,"PLANNED")&gt;0,"tied","standalone"),"")</f>
        <v/>
      </c>
    </row>
    <row r="8805" spans="1:14">
      <c r="A8805" s="6">
        <v>2027</v>
      </c>
      <c r="B8805" s="6">
        <v>11</v>
      </c>
      <c r="C8805" s="6" t="s">
        <v>70</v>
      </c>
      <c r="D8805" s="6" t="s">
        <v>1191</v>
      </c>
      <c r="E8805" s="6" t="s">
        <v>1129</v>
      </c>
      <c r="F8805" s="6" t="str">
        <f>IF($M8805="PADD I","PADD 1",IF($M8805="PADD II","PADD 2",IF($M8805="PADD III","PADD 3",IF($M8805="PADD IV","PADD 4",IF($M8805="PADD V","PADD 5","")))))</f>
        <v>PADD 3</v>
      </c>
      <c r="G8805" s="6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6" t="s">
        <v>44</v>
      </c>
      <c r="I8805" s="6" t="s">
        <v>977</v>
      </c>
      <c r="J8805" s="6" t="s">
        <v>398</v>
      </c>
      <c r="K8805" s="10">
        <v>9.25</v>
      </c>
      <c r="L8805" s="10">
        <v>25</v>
      </c>
      <c r="M8805" s="6" t="s">
        <v>421</v>
      </c>
      <c r="N8805" s="6">
        <f>IF(OR($G8805="FCC",$G8805="Hydrocracker",$G8805="Reformer"),IF(COUNTIFS($D:$D,$D8805,$A:$A,$A8805,$B:$B,$B8805,$G:$G,"CDU",$J:$J,"PLANNED")&gt;0,"tied","standalone"),"")</f>
        <v/>
      </c>
    </row>
    <row r="8806" spans="1:14">
      <c r="A8806" s="6">
        <v>2027</v>
      </c>
      <c r="B8806" s="6">
        <v>11</v>
      </c>
      <c r="C8806" s="6" t="s">
        <v>70</v>
      </c>
      <c r="D8806" s="6" t="s">
        <v>1373</v>
      </c>
      <c r="E8806" s="6" t="s">
        <v>419</v>
      </c>
      <c r="F8806" s="6" t="str">
        <f>IF($M8806="PADD I","PADD 1",IF($M8806="PADD II","PADD 2",IF($M8806="PADD III","PADD 3",IF($M8806="PADD IV","PADD 4",IF($M8806="PADD V","PADD 5","")))))</f>
        <v>PADD 5</v>
      </c>
      <c r="G8806" s="6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6" t="s">
        <v>44</v>
      </c>
      <c r="I8806" s="6" t="s">
        <v>508</v>
      </c>
      <c r="J8806" s="6" t="s">
        <v>398</v>
      </c>
      <c r="K8806" s="10">
        <v>6.6</v>
      </c>
      <c r="L8806" s="10">
        <v>20</v>
      </c>
      <c r="M8806" s="6" t="s">
        <v>436</v>
      </c>
      <c r="N8806" s="6">
        <f>IF(OR($G8806="FCC",$G8806="Hydrocracker",$G8806="Reformer"),IF(COUNTIFS($D:$D,$D8806,$A:$A,$A8806,$B:$B,$B8806,$G:$G,"CDU",$J:$J,"PLANNED")&gt;0,"tied","standalone"),"")</f>
        <v/>
      </c>
    </row>
    <row r="8807" spans="1:14">
      <c r="A8807" s="6">
        <v>2027</v>
      </c>
      <c r="B8807" s="6">
        <v>11</v>
      </c>
      <c r="C8807" s="6" t="s">
        <v>70</v>
      </c>
      <c r="D8807" s="6" t="s">
        <v>1010</v>
      </c>
      <c r="E8807" s="6" t="s">
        <v>931</v>
      </c>
      <c r="F8807" s="6" t="str">
        <f>IF($M8807="PADD I","PADD 1",IF($M8807="PADD II","PADD 2",IF($M8807="PADD III","PADD 3",IF($M8807="PADD IV","PADD 4",IF($M8807="PADD V","PADD 5","")))))</f>
        <v>PADD 3</v>
      </c>
      <c r="G8807" s="6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6" t="s">
        <v>687</v>
      </c>
      <c r="I8807" s="6" t="s">
        <v>1397</v>
      </c>
      <c r="J8807" s="6" t="s">
        <v>398</v>
      </c>
      <c r="K8807" s="10">
        <v>6.278</v>
      </c>
      <c r="L8807" s="10">
        <v>8.6</v>
      </c>
      <c r="M8807" s="6" t="s">
        <v>421</v>
      </c>
      <c r="N8807" s="6">
        <f>IF(OR($G8807="FCC",$G8807="Hydrocracker",$G8807="Reformer"),IF(COUNTIFS($D:$D,$D8807,$A:$A,$A8807,$B:$B,$B8807,$G:$G,"CDU",$J:$J,"PLANNED")&gt;0,"tied","standalone"),"")</f>
        <v/>
      </c>
    </row>
    <row r="8808" spans="1:14">
      <c r="A8808" s="6">
        <v>2027</v>
      </c>
      <c r="B8808" s="6">
        <v>11</v>
      </c>
      <c r="C8808" s="6" t="s">
        <v>70</v>
      </c>
      <c r="D8808" s="6" t="s">
        <v>430</v>
      </c>
      <c r="E8808" s="6" t="s">
        <v>431</v>
      </c>
      <c r="F8808" s="6" t="str">
        <f>IF($M8808="PADD I","PADD 1",IF($M8808="PADD II","PADD 2",IF($M8808="PADD III","PADD 3",IF($M8808="PADD IV","PADD 4",IF($M8808="PADD V","PADD 5","")))))</f>
        <v>PADD 3</v>
      </c>
      <c r="G8808" s="6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6" t="s">
        <v>485</v>
      </c>
      <c r="I8808" s="6" t="s">
        <v>1036</v>
      </c>
      <c r="J8808" s="6" t="s">
        <v>398</v>
      </c>
      <c r="K8808" s="10">
        <v>5.85</v>
      </c>
      <c r="L8808" s="10">
        <v>45</v>
      </c>
      <c r="M8808" s="6" t="s">
        <v>421</v>
      </c>
      <c r="N8808" s="6">
        <f>IF(OR($G8808="FCC",$G8808="Hydrocracker",$G8808="Reformer"),IF(COUNTIFS($D:$D,$D8808,$A:$A,$A8808,$B:$B,$B8808,$G:$G,"CDU",$J:$J,"PLANNED")&gt;0,"tied","standalone"),"")</f>
        <v/>
      </c>
    </row>
    <row r="8809" spans="1:14">
      <c r="A8809" s="6">
        <v>2027</v>
      </c>
      <c r="B8809" s="6">
        <v>11</v>
      </c>
      <c r="C8809" s="6" t="s">
        <v>70</v>
      </c>
      <c r="D8809" s="6" t="s">
        <v>1010</v>
      </c>
      <c r="E8809" s="6" t="s">
        <v>931</v>
      </c>
      <c r="F8809" s="6" t="str">
        <f>IF($M8809="PADD I","PADD 1",IF($M8809="PADD II","PADD 2",IF($M8809="PADD III","PADD 3",IF($M8809="PADD IV","PADD 4",IF($M8809="PADD V","PADD 5","")))))</f>
        <v>PADD 3</v>
      </c>
      <c r="G8809" s="6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6" t="s">
        <v>44</v>
      </c>
      <c r="I8809" s="6" t="s">
        <v>1011</v>
      </c>
      <c r="J8809" s="6" t="s">
        <v>398</v>
      </c>
      <c r="K8809" s="10">
        <v>5.84</v>
      </c>
      <c r="L8809" s="10">
        <v>8</v>
      </c>
      <c r="M8809" s="6" t="s">
        <v>421</v>
      </c>
      <c r="N8809" s="6">
        <f>IF(OR($G8809="FCC",$G8809="Hydrocracker",$G8809="Reformer"),IF(COUNTIFS($D:$D,$D8809,$A:$A,$A8809,$B:$B,$B8809,$G:$G,"CDU",$J:$J,"PLANNED")&gt;0,"tied","standalone"),"")</f>
        <v/>
      </c>
    </row>
    <row r="8810" spans="1:14">
      <c r="A8810" s="6">
        <v>2027</v>
      </c>
      <c r="B8810" s="6">
        <v>11</v>
      </c>
      <c r="C8810" s="6" t="s">
        <v>70</v>
      </c>
      <c r="D8810" s="6" t="s">
        <v>1373</v>
      </c>
      <c r="E8810" s="6" t="s">
        <v>419</v>
      </c>
      <c r="F8810" s="6" t="str">
        <f>IF($M8810="PADD I","PADD 1",IF($M8810="PADD II","PADD 2",IF($M8810="PADD III","PADD 3",IF($M8810="PADD IV","PADD 4",IF($M8810="PADD V","PADD 5","")))))</f>
        <v>PADD 5</v>
      </c>
      <c r="G8810" s="6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6" t="s">
        <v>44</v>
      </c>
      <c r="I8810" s="6" t="s">
        <v>1423</v>
      </c>
      <c r="J8810" s="6" t="s">
        <v>398</v>
      </c>
      <c r="K8810" s="10">
        <v>5.61</v>
      </c>
      <c r="L8810" s="10">
        <v>17</v>
      </c>
      <c r="M8810" s="6" t="s">
        <v>436</v>
      </c>
      <c r="N8810" s="6">
        <f>IF(OR($G8810="FCC",$G8810="Hydrocracker",$G8810="Reformer"),IF(COUNTIFS($D:$D,$D8810,$A:$A,$A8810,$B:$B,$B8810,$G:$G,"CDU",$J:$J,"PLANNED")&gt;0,"tied","standalone"),"")</f>
        <v/>
      </c>
    </row>
    <row r="8811" spans="1:14">
      <c r="A8811" s="6">
        <v>2027</v>
      </c>
      <c r="B8811" s="6">
        <v>11</v>
      </c>
      <c r="C8811" s="6" t="s">
        <v>70</v>
      </c>
      <c r="D8811" s="6" t="s">
        <v>430</v>
      </c>
      <c r="E8811" s="6" t="s">
        <v>431</v>
      </c>
      <c r="F8811" s="6" t="str">
        <f>IF($M8811="PADD I","PADD 1",IF($M8811="PADD II","PADD 2",IF($M8811="PADD III","PADD 3",IF($M8811="PADD IV","PADD 4",IF($M8811="PADD V","PADD 5","")))))</f>
        <v>PADD 3</v>
      </c>
      <c r="G8811" s="6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6" t="s">
        <v>485</v>
      </c>
      <c r="I8811" s="6" t="s">
        <v>565</v>
      </c>
      <c r="J8811" s="6" t="s">
        <v>398</v>
      </c>
      <c r="K8811" s="10">
        <v>5.5</v>
      </c>
      <c r="L8811" s="10">
        <v>27.5</v>
      </c>
      <c r="M8811" s="6" t="s">
        <v>421</v>
      </c>
      <c r="N8811" s="6">
        <f>IF(OR($G8811="FCC",$G8811="Hydrocracker",$G8811="Reformer"),IF(COUNTIFS($D:$D,$D8811,$A:$A,$A8811,$B:$B,$B8811,$G:$G,"CDU",$J:$J,"PLANNED")&gt;0,"tied","standalone"),"")</f>
        <v/>
      </c>
    </row>
    <row r="8812" spans="1:14">
      <c r="A8812" s="6">
        <v>2027</v>
      </c>
      <c r="B8812" s="6">
        <v>11</v>
      </c>
      <c r="C8812" s="6" t="s">
        <v>70</v>
      </c>
      <c r="D8812" s="6" t="s">
        <v>1373</v>
      </c>
      <c r="E8812" s="6" t="s">
        <v>419</v>
      </c>
      <c r="F8812" s="6" t="str">
        <f>IF($M8812="PADD I","PADD 1",IF($M8812="PADD II","PADD 2",IF($M8812="PADD III","PADD 3",IF($M8812="PADD IV","PADD 4",IF($M8812="PADD V","PADD 5","")))))</f>
        <v>PADD 5</v>
      </c>
      <c r="G8812" s="6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6" t="s">
        <v>471</v>
      </c>
      <c r="I8812" s="6" t="s">
        <v>1153</v>
      </c>
      <c r="J8812" s="6" t="s">
        <v>398</v>
      </c>
      <c r="K8812" s="10">
        <v>5.28</v>
      </c>
      <c r="L8812" s="10">
        <v>16</v>
      </c>
      <c r="M8812" s="6" t="s">
        <v>436</v>
      </c>
      <c r="N8812" s="6" t="str">
        <f>IF(OR($G8812="FCC",$G8812="Hydrocracker",$G8812="Reformer"),IF(COUNTIFS($D:$D,$D8812,$A:$A,$A8812,$B:$B,$B8812,$G:$G,"CDU",$J:$J,"PLANNED")&gt;0,"tied","standalone"),"")</f>
        <v>tied</v>
      </c>
    </row>
    <row r="8813" spans="1:14">
      <c r="A8813" s="6">
        <v>2027</v>
      </c>
      <c r="B8813" s="6">
        <v>11</v>
      </c>
      <c r="C8813" s="6" t="s">
        <v>70</v>
      </c>
      <c r="D8813" s="6" t="s">
        <v>1191</v>
      </c>
      <c r="E8813" s="6" t="s">
        <v>1129</v>
      </c>
      <c r="F8813" s="6" t="str">
        <f>IF($M8813="PADD I","PADD 1",IF($M8813="PADD II","PADD 2",IF($M8813="PADD III","PADD 3",IF($M8813="PADD IV","PADD 4",IF($M8813="PADD V","PADD 5","")))))</f>
        <v>PADD 3</v>
      </c>
      <c r="G8813" s="6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6" t="s">
        <v>471</v>
      </c>
      <c r="I8813" s="6" t="s">
        <v>609</v>
      </c>
      <c r="J8813" s="6" t="s">
        <v>398</v>
      </c>
      <c r="K8813" s="10">
        <v>4.995</v>
      </c>
      <c r="L8813" s="10">
        <v>13.5</v>
      </c>
      <c r="M8813" s="6" t="s">
        <v>421</v>
      </c>
      <c r="N8813" s="6" t="str">
        <f>IF(OR($G8813="FCC",$G8813="Hydrocracker",$G8813="Reformer"),IF(COUNTIFS($D:$D,$D8813,$A:$A,$A8813,$B:$B,$B8813,$G:$G,"CDU",$J:$J,"PLANNED")&gt;0,"tied","standalone"),"")</f>
        <v>tied</v>
      </c>
    </row>
    <row r="8814" spans="1:14">
      <c r="A8814" s="6">
        <v>2027</v>
      </c>
      <c r="B8814" s="6">
        <v>11</v>
      </c>
      <c r="C8814" s="6" t="s">
        <v>70</v>
      </c>
      <c r="D8814" s="6" t="s">
        <v>773</v>
      </c>
      <c r="E8814" s="6" t="s">
        <v>774</v>
      </c>
      <c r="F8814" s="6" t="str">
        <f>IF($M8814="PADD I","PADD 1",IF($M8814="PADD II","PADD 2",IF($M8814="PADD III","PADD 3",IF($M8814="PADD IV","PADD 4",IF($M8814="PADD V","PADD 5","")))))</f>
        <v>PADD 4</v>
      </c>
      <c r="G8814" s="6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6" t="s">
        <v>494</v>
      </c>
      <c r="I8814" s="6" t="s">
        <v>14</v>
      </c>
      <c r="J8814" s="6" t="s">
        <v>398</v>
      </c>
      <c r="K8814" s="10">
        <v>4.753</v>
      </c>
      <c r="L8814" s="10">
        <v>4.9</v>
      </c>
      <c r="M8814" s="6" t="s">
        <v>480</v>
      </c>
      <c r="N8814" s="6" t="str">
        <f>IF(OR($G8814="FCC",$G8814="Hydrocracker",$G8814="Reformer"),IF(COUNTIFS($D:$D,$D8814,$A:$A,$A8814,$B:$B,$B8814,$G:$G,"CDU",$J:$J,"PLANNED")&gt;0,"tied","standalone"),"")</f>
        <v>standalone</v>
      </c>
    </row>
    <row r="8815" spans="1:14">
      <c r="A8815" s="6">
        <v>2027</v>
      </c>
      <c r="B8815" s="6">
        <v>11</v>
      </c>
      <c r="C8815" s="6" t="s">
        <v>70</v>
      </c>
      <c r="D8815" s="6" t="s">
        <v>373</v>
      </c>
      <c r="E8815" s="6" t="s">
        <v>438</v>
      </c>
      <c r="F8815" s="6" t="str">
        <f>IF($M8815="PADD I","PADD 1",IF($M8815="PADD II","PADD 2",IF($M8815="PADD III","PADD 3",IF($M8815="PADD IV","PADD 4",IF($M8815="PADD V","PADD 5","")))))</f>
        <v>PADD 3</v>
      </c>
      <c r="G8815" s="6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6" t="s">
        <v>39</v>
      </c>
      <c r="I8815" s="6" t="s">
        <v>99</v>
      </c>
      <c r="J8815" s="6" t="s">
        <v>398</v>
      </c>
      <c r="K8815" s="10">
        <v>4.35</v>
      </c>
      <c r="L8815" s="10">
        <v>145</v>
      </c>
      <c r="M8815" s="6" t="s">
        <v>421</v>
      </c>
      <c r="N8815" s="6">
        <f>IF(OR($G8815="FCC",$G8815="Hydrocracker",$G8815="Reformer"),IF(COUNTIFS($D:$D,$D8815,$A:$A,$A8815,$B:$B,$B8815,$G:$G,"CDU",$J:$J,"PLANNED")&gt;0,"tied","standalone"),"")</f>
        <v/>
      </c>
    </row>
    <row r="8816" spans="1:14">
      <c r="A8816" s="6">
        <v>2027</v>
      </c>
      <c r="B8816" s="6">
        <v>11</v>
      </c>
      <c r="C8816" s="6" t="s">
        <v>70</v>
      </c>
      <c r="D8816" s="6" t="s">
        <v>373</v>
      </c>
      <c r="E8816" s="6" t="s">
        <v>438</v>
      </c>
      <c r="F8816" s="6" t="str">
        <f>IF($M8816="PADD I","PADD 1",IF($M8816="PADD II","PADD 2",IF($M8816="PADD III","PADD 3",IF($M8816="PADD IV","PADD 4",IF($M8816="PADD V","PADD 5","")))))</f>
        <v>PADD 3</v>
      </c>
      <c r="G8816" s="6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6" t="s">
        <v>39</v>
      </c>
      <c r="I8816" s="6" t="s">
        <v>97</v>
      </c>
      <c r="J8816" s="6" t="s">
        <v>398</v>
      </c>
      <c r="K8816" s="10">
        <v>4.35</v>
      </c>
      <c r="L8816" s="10">
        <v>145</v>
      </c>
      <c r="M8816" s="6" t="s">
        <v>421</v>
      </c>
      <c r="N8816" s="6">
        <f>IF(OR($G8816="FCC",$G8816="Hydrocracker",$G8816="Reformer"),IF(COUNTIFS($D:$D,$D8816,$A:$A,$A8816,$B:$B,$B8816,$G:$G,"CDU",$J:$J,"PLANNED")&gt;0,"tied","standalone"),"")</f>
        <v/>
      </c>
    </row>
    <row r="8817" spans="1:14">
      <c r="A8817" s="6">
        <v>2027</v>
      </c>
      <c r="B8817" s="6">
        <v>11</v>
      </c>
      <c r="C8817" s="6" t="s">
        <v>70</v>
      </c>
      <c r="D8817" s="6" t="s">
        <v>1010</v>
      </c>
      <c r="E8817" s="6" t="s">
        <v>931</v>
      </c>
      <c r="F8817" s="6" t="str">
        <f>IF($M8817="PADD I","PADD 1",IF($M8817="PADD II","PADD 2",IF($M8817="PADD III","PADD 3",IF($M8817="PADD IV","PADD 4",IF($M8817="PADD V","PADD 5","")))))</f>
        <v>PADD 3</v>
      </c>
      <c r="G8817" s="6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6" t="s">
        <v>471</v>
      </c>
      <c r="I8817" s="6" t="s">
        <v>1111</v>
      </c>
      <c r="J8817" s="6" t="s">
        <v>398</v>
      </c>
      <c r="K8817" s="10">
        <v>4.015</v>
      </c>
      <c r="L8817" s="10">
        <v>5.5</v>
      </c>
      <c r="M8817" s="6" t="s">
        <v>421</v>
      </c>
      <c r="N8817" s="6" t="str">
        <f>IF(OR($G8817="FCC",$G8817="Hydrocracker",$G8817="Reformer"),IF(COUNTIFS($D:$D,$D8817,$A:$A,$A8817,$B:$B,$B8817,$G:$G,"CDU",$J:$J,"PLANNED")&gt;0,"tied","standalone"),"")</f>
        <v>tied</v>
      </c>
    </row>
    <row r="8818" spans="1:14">
      <c r="A8818" s="6">
        <v>2027</v>
      </c>
      <c r="B8818" s="6">
        <v>11</v>
      </c>
      <c r="C8818" s="6" t="s">
        <v>70</v>
      </c>
      <c r="D8818" s="6" t="s">
        <v>1010</v>
      </c>
      <c r="E8818" s="6" t="s">
        <v>931</v>
      </c>
      <c r="F8818" s="6" t="str">
        <f>IF($M8818="PADD I","PADD 1",IF($M8818="PADD II","PADD 2",IF($M8818="PADD III","PADD 3",IF($M8818="PADD IV","PADD 4",IF($M8818="PADD V","PADD 5","")))))</f>
        <v>PADD 3</v>
      </c>
      <c r="G8818" s="6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6" t="s">
        <v>471</v>
      </c>
      <c r="I8818" s="6" t="s">
        <v>860</v>
      </c>
      <c r="J8818" s="6" t="s">
        <v>398</v>
      </c>
      <c r="K8818" s="10">
        <v>4.015</v>
      </c>
      <c r="L8818" s="10">
        <v>5.5</v>
      </c>
      <c r="M8818" s="6" t="s">
        <v>421</v>
      </c>
      <c r="N8818" s="6" t="str">
        <f>IF(OR($G8818="FCC",$G8818="Hydrocracker",$G8818="Reformer"),IF(COUNTIFS($D:$D,$D8818,$A:$A,$A8818,$B:$B,$B8818,$G:$G,"CDU",$J:$J,"PLANNED")&gt;0,"tied","standalone"),"")</f>
        <v>tied</v>
      </c>
    </row>
    <row r="8819" spans="1:14">
      <c r="A8819" s="6">
        <v>2027</v>
      </c>
      <c r="B8819" s="6">
        <v>11</v>
      </c>
      <c r="C8819" s="6" t="s">
        <v>70</v>
      </c>
      <c r="D8819" s="6" t="s">
        <v>792</v>
      </c>
      <c r="E8819" s="6" t="s">
        <v>438</v>
      </c>
      <c r="F8819" s="6" t="str">
        <f>IF($M8819="PADD I","PADD 1",IF($M8819="PADD II","PADD 2",IF($M8819="PADD III","PADD 3",IF($M8819="PADD IV","PADD 4",IF($M8819="PADD V","PADD 5","")))))</f>
        <v>PADD 5</v>
      </c>
      <c r="G8819" s="6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6" t="s">
        <v>618</v>
      </c>
      <c r="I8819" s="6" t="s">
        <v>818</v>
      </c>
      <c r="J8819" s="6" t="s">
        <v>398</v>
      </c>
      <c r="K8819" s="10">
        <v>3.5</v>
      </c>
      <c r="L8819" s="10">
        <v>3.5</v>
      </c>
      <c r="M8819" s="6" t="s">
        <v>436</v>
      </c>
      <c r="N8819" s="6">
        <f>IF(OR($G8819="FCC",$G8819="Hydrocracker",$G8819="Reformer"),IF(COUNTIFS($D:$D,$D8819,$A:$A,$A8819,$B:$B,$B8819,$G:$G,"CDU",$J:$J,"PLANNED")&gt;0,"tied","standalone"),"")</f>
        <v/>
      </c>
    </row>
    <row r="8820" spans="1:14">
      <c r="A8820" s="6">
        <v>2027</v>
      </c>
      <c r="B8820" s="6">
        <v>11</v>
      </c>
      <c r="C8820" s="6" t="s">
        <v>70</v>
      </c>
      <c r="D8820" s="6" t="s">
        <v>458</v>
      </c>
      <c r="E8820" s="6" t="s">
        <v>459</v>
      </c>
      <c r="F8820" s="6" t="str">
        <f>IF($M8820="PADD I","PADD 1",IF($M8820="PADD II","PADD 2",IF($M8820="PADD III","PADD 3",IF($M8820="PADD IV","PADD 4",IF($M8820="PADD V","PADD 5","")))))</f>
        <v>PADD 3</v>
      </c>
      <c r="G8820" s="6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6" t="s">
        <v>510</v>
      </c>
      <c r="I8820" s="6" t="s">
        <v>656</v>
      </c>
      <c r="J8820" s="6" t="s">
        <v>398</v>
      </c>
      <c r="K8820" s="10">
        <v>2.85</v>
      </c>
      <c r="L8820" s="10">
        <v>5</v>
      </c>
      <c r="M8820" s="6" t="s">
        <v>421</v>
      </c>
      <c r="N8820" s="6">
        <f>IF(OR($G8820="FCC",$G8820="Hydrocracker",$G8820="Reformer"),IF(COUNTIFS($D:$D,$D8820,$A:$A,$A8820,$B:$B,$B8820,$G:$G,"CDU",$J:$J,"PLANNED")&gt;0,"tied","standalone"),"")</f>
        <v/>
      </c>
    </row>
    <row r="8821" spans="1:14">
      <c r="A8821" s="6">
        <v>2027</v>
      </c>
      <c r="B8821" s="6">
        <v>11</v>
      </c>
      <c r="C8821" s="6" t="s">
        <v>70</v>
      </c>
      <c r="D8821" s="6" t="s">
        <v>373</v>
      </c>
      <c r="E8821" s="6" t="s">
        <v>438</v>
      </c>
      <c r="F8821" s="6" t="str">
        <f>IF($M8821="PADD I","PADD 1",IF($M8821="PADD II","PADD 2",IF($M8821="PADD III","PADD 3",IF($M8821="PADD IV","PADD 4",IF($M8821="PADD V","PADD 5","")))))</f>
        <v>PADD 3</v>
      </c>
      <c r="G8821" s="6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6" t="s">
        <v>44</v>
      </c>
      <c r="I8821" s="6" t="s">
        <v>998</v>
      </c>
      <c r="J8821" s="6" t="s">
        <v>398</v>
      </c>
      <c r="K8821" s="10">
        <v>2.82</v>
      </c>
      <c r="L8821" s="10">
        <v>94</v>
      </c>
      <c r="M8821" s="6" t="s">
        <v>421</v>
      </c>
      <c r="N8821" s="6">
        <f>IF(OR($G8821="FCC",$G8821="Hydrocracker",$G8821="Reformer"),IF(COUNTIFS($D:$D,$D8821,$A:$A,$A8821,$B:$B,$B8821,$G:$G,"CDU",$J:$J,"PLANNED")&gt;0,"tied","standalone"),"")</f>
        <v/>
      </c>
    </row>
    <row r="8822" spans="1:14">
      <c r="A8822" s="6">
        <v>2027</v>
      </c>
      <c r="B8822" s="6">
        <v>11</v>
      </c>
      <c r="C8822" s="6" t="s">
        <v>70</v>
      </c>
      <c r="D8822" s="6" t="s">
        <v>1373</v>
      </c>
      <c r="E8822" s="6" t="s">
        <v>419</v>
      </c>
      <c r="F8822" s="6" t="str">
        <f>IF($M8822="PADD I","PADD 1",IF($M8822="PADD II","PADD 2",IF($M8822="PADD III","PADD 3",IF($M8822="PADD IV","PADD 4",IF($M8822="PADD V","PADD 5","")))))</f>
        <v>PADD 5</v>
      </c>
      <c r="G8822" s="6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6" t="s">
        <v>510</v>
      </c>
      <c r="I8822" s="6" t="s">
        <v>666</v>
      </c>
      <c r="J8822" s="6" t="s">
        <v>398</v>
      </c>
      <c r="K8822" s="10">
        <v>2.805</v>
      </c>
      <c r="L8822" s="10">
        <v>8.5</v>
      </c>
      <c r="M8822" s="6" t="s">
        <v>436</v>
      </c>
      <c r="N8822" s="6">
        <f>IF(OR($G8822="FCC",$G8822="Hydrocracker",$G8822="Reformer"),IF(COUNTIFS($D:$D,$D8822,$A:$A,$A8822,$B:$B,$B8822,$G:$G,"CDU",$J:$J,"PLANNED")&gt;0,"tied","standalone"),"")</f>
        <v/>
      </c>
    </row>
    <row r="8823" spans="1:14">
      <c r="A8823" s="6">
        <v>2027</v>
      </c>
      <c r="B8823" s="6">
        <v>11</v>
      </c>
      <c r="C8823" s="6" t="s">
        <v>70</v>
      </c>
      <c r="D8823" s="6" t="s">
        <v>592</v>
      </c>
      <c r="E8823" s="6" t="s">
        <v>593</v>
      </c>
      <c r="F8823" s="6" t="str">
        <f>IF($M8823="PADD I","PADD 1",IF($M8823="PADD II","PADD 2",IF($M8823="PADD III","PADD 3",IF($M8823="PADD IV","PADD 4",IF($M8823="PADD V","PADD 5","")))))</f>
        <v>PADD 2</v>
      </c>
      <c r="G8823" s="6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6" t="s">
        <v>471</v>
      </c>
      <c r="I8823" s="6" t="s">
        <v>1164</v>
      </c>
      <c r="J8823" s="6" t="s">
        <v>398</v>
      </c>
      <c r="K8823" s="10">
        <v>1.8</v>
      </c>
      <c r="L8823" s="10">
        <v>60</v>
      </c>
      <c r="M8823" s="6" t="s">
        <v>425</v>
      </c>
      <c r="N8823" s="6" t="str">
        <f>IF(OR($G8823="FCC",$G8823="Hydrocracker",$G8823="Reformer"),IF(COUNTIFS($D:$D,$D8823,$A:$A,$A8823,$B:$B,$B8823,$G:$G,"CDU",$J:$J,"PLANNED")&gt;0,"tied","standalone"),"")</f>
        <v>standalone</v>
      </c>
    </row>
    <row r="8824" spans="1:14">
      <c r="A8824" s="6">
        <v>2027</v>
      </c>
      <c r="B8824" s="6">
        <v>11</v>
      </c>
      <c r="C8824" s="6" t="s">
        <v>70</v>
      </c>
      <c r="D8824" s="6" t="s">
        <v>373</v>
      </c>
      <c r="E8824" s="6" t="s">
        <v>438</v>
      </c>
      <c r="F8824" s="6" t="str">
        <f>IF($M8824="PADD I","PADD 1",IF($M8824="PADD II","PADD 2",IF($M8824="PADD III","PADD 3",IF($M8824="PADD IV","PADD 4",IF($M8824="PADD V","PADD 5","")))))</f>
        <v>PADD 3</v>
      </c>
      <c r="G8824" s="6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6" t="s">
        <v>44</v>
      </c>
      <c r="I8824" s="6" t="s">
        <v>743</v>
      </c>
      <c r="J8824" s="6" t="s">
        <v>398</v>
      </c>
      <c r="K8824" s="10">
        <v>1.29</v>
      </c>
      <c r="L8824" s="10">
        <v>43</v>
      </c>
      <c r="M8824" s="6" t="s">
        <v>421</v>
      </c>
      <c r="N8824" s="6">
        <f>IF(OR($G8824="FCC",$G8824="Hydrocracker",$G8824="Reformer"),IF(COUNTIFS($D:$D,$D8824,$A:$A,$A8824,$B:$B,$B8824,$G:$G,"CDU",$J:$J,"PLANNED")&gt;0,"tied","standalone"),"")</f>
        <v/>
      </c>
    </row>
    <row r="8825" spans="1:14">
      <c r="A8825" s="6">
        <v>2027</v>
      </c>
      <c r="B8825" s="6">
        <v>11</v>
      </c>
      <c r="C8825" s="6" t="s">
        <v>70</v>
      </c>
      <c r="D8825" s="6" t="s">
        <v>382</v>
      </c>
      <c r="E8825" s="6" t="s">
        <v>431</v>
      </c>
      <c r="F8825" s="6" t="str">
        <f>IF($M8825="PADD I","PADD 1",IF($M8825="PADD II","PADD 2",IF($M8825="PADD III","PADD 3",IF($M8825="PADD IV","PADD 4",IF($M8825="PADD V","PADD 5","")))))</f>
        <v>PADD 3</v>
      </c>
      <c r="G8825" s="6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6" t="s">
        <v>44</v>
      </c>
      <c r="I8825" s="6" t="s">
        <v>993</v>
      </c>
      <c r="J8825" s="6" t="s">
        <v>398</v>
      </c>
      <c r="K8825" s="10">
        <v>1.2</v>
      </c>
      <c r="L8825" s="10">
        <v>40</v>
      </c>
      <c r="M8825" s="6" t="s">
        <v>421</v>
      </c>
      <c r="N8825" s="6">
        <f>IF(OR($G8825="FCC",$G8825="Hydrocracker",$G8825="Reformer"),IF(COUNTIFS($D:$D,$D8825,$A:$A,$A8825,$B:$B,$B8825,$G:$G,"CDU",$J:$J,"PLANNED")&gt;0,"tied","standalone"),"")</f>
        <v/>
      </c>
    </row>
    <row r="8826" spans="1:14">
      <c r="A8826" s="6">
        <v>2027</v>
      </c>
      <c r="B8826" s="6">
        <v>11</v>
      </c>
      <c r="C8826" s="6" t="s">
        <v>70</v>
      </c>
      <c r="D8826" s="6" t="s">
        <v>518</v>
      </c>
      <c r="E8826" s="6" t="s">
        <v>419</v>
      </c>
      <c r="F8826" s="6" t="str">
        <f>IF($M8826="PADD I","PADD 1",IF($M8826="PADD II","PADD 2",IF($M8826="PADD III","PADD 3",IF($M8826="PADD IV","PADD 4",IF($M8826="PADD V","PADD 5","")))))</f>
        <v>PADD 3</v>
      </c>
      <c r="G8826" s="6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6" t="s">
        <v>44</v>
      </c>
      <c r="I8826" s="6" t="s">
        <v>1081</v>
      </c>
      <c r="J8826" s="6" t="s">
        <v>398</v>
      </c>
      <c r="K8826" s="10">
        <v>0.6</v>
      </c>
      <c r="L8826" s="10">
        <v>20</v>
      </c>
      <c r="M8826" s="6" t="s">
        <v>421</v>
      </c>
      <c r="N8826" s="6">
        <f>IF(OR($G8826="FCC",$G8826="Hydrocracker",$G8826="Reformer"),IF(COUNTIFS($D:$D,$D8826,$A:$A,$A8826,$B:$B,$B8826,$G:$G,"CDU",$J:$J,"PLANNED")&gt;0,"tied","standalone"),"")</f>
        <v/>
      </c>
    </row>
    <row r="8827" spans="1:14">
      <c r="A8827" s="6">
        <v>2027</v>
      </c>
      <c r="B8827" s="6">
        <v>12</v>
      </c>
      <c r="C8827" s="6" t="s">
        <v>71</v>
      </c>
      <c r="D8827" s="6" t="s">
        <v>792</v>
      </c>
      <c r="E8827" s="6" t="s">
        <v>438</v>
      </c>
      <c r="F8827" s="6" t="str">
        <f>IF($M8827="PADD I","PADD 1",IF($M8827="PADD II","PADD 2",IF($M8827="PADD III","PADD 3",IF($M8827="PADD IV","PADD 4",IF($M8827="PADD V","PADD 5","")))))</f>
        <v>PADD 5</v>
      </c>
      <c r="G8827" s="6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6" t="s">
        <v>618</v>
      </c>
      <c r="I8827" s="6" t="s">
        <v>818</v>
      </c>
      <c r="J8827" s="6" t="s">
        <v>398</v>
      </c>
      <c r="K8827" s="10">
        <v>3.5</v>
      </c>
      <c r="L8827" s="10">
        <v>3.5</v>
      </c>
      <c r="M8827" s="6" t="s">
        <v>436</v>
      </c>
      <c r="N8827" s="6">
        <f>IF(OR($G8827="FCC",$G8827="Hydrocracker",$G8827="Reformer"),IF(COUNTIFS($D:$D,$D8827,$A:$A,$A8827,$B:$B,$B8827,$G:$G,"CDU",$J:$J,"PLANNED")&gt;0,"tied","standalone"),"")</f>
        <v/>
      </c>
    </row>
    <row r="8828" spans="1:14">
      <c r="F8828" s="6">
        <f>IF($M8828="PADD I","PADD 1",IF($M8828="PADD II","PADD 2",IF($M8828="PADD III","PADD 3",IF($M8828="PADD IV","PADD 4",IF($M8828="PADD V","PADD 5","")))))</f>
        <v/>
      </c>
      <c r="G8828" s="6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  <c r="N8828" s="6">
        <f>IF(OR($G8828="FCC",$G8828="Hydrocracker",$G8828="Reformer"),IF(COUNTIFS($D:$D,$D8828,$A:$A,$A8828,$B:$B,$B8828,$G:$G,"CDU",$J:$J,"PLANNED")&gt;0,"tied","standalone"),"")</f>
        <v/>
      </c>
    </row>
    <row r="8829" spans="1:14">
      <c r="F8829" s="6">
        <f>IF($M8829="PADD I","PADD 1",IF($M8829="PADD II","PADD 2",IF($M8829="PADD III","PADD 3",IF($M8829="PADD IV","PADD 4",IF($M8829="PADD V","PADD 5","")))))</f>
        <v/>
      </c>
      <c r="G8829" s="6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  <c r="N8829" s="6">
        <f>IF(OR($G8829="FCC",$G8829="Hydrocracker",$G8829="Reformer"),IF(COUNTIFS($D:$D,$D8829,$A:$A,$A8829,$B:$B,$B8829,$G:$G,"CDU",$J:$J,"PLANNED")&gt;0,"tied","standalone"),"")</f>
        <v/>
      </c>
    </row>
    <row r="8830" spans="1:14">
      <c r="F8830" s="6">
        <f>IF($M8830="PADD I","PADD 1",IF($M8830="PADD II","PADD 2",IF($M8830="PADD III","PADD 3",IF($M8830="PADD IV","PADD 4",IF($M8830="PADD V","PADD 5","")))))</f>
        <v/>
      </c>
      <c r="G8830" s="6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  <c r="N8830" s="6">
        <f>IF(OR($G8830="FCC",$G8830="Hydrocracker",$G8830="Reformer"),IF(COUNTIFS($D:$D,$D8830,$A:$A,$A8830,$B:$B,$B8830,$G:$G,"CDU",$J:$J,"PLANNED")&gt;0,"tied","standalone"),"")</f>
        <v/>
      </c>
    </row>
    <row r="8831" spans="1:14">
      <c r="F8831" s="6">
        <f>IF($M8831="PADD I","PADD 1",IF($M8831="PADD II","PADD 2",IF($M8831="PADD III","PADD 3",IF($M8831="PADD IV","PADD 4",IF($M8831="PADD V","PADD 5","")))))</f>
        <v/>
      </c>
      <c r="G8831" s="6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  <c r="N8831" s="6">
        <f>IF(OR($G8831="FCC",$G8831="Hydrocracker",$G8831="Reformer"),IF(COUNTIFS($D:$D,$D8831,$A:$A,$A8831,$B:$B,$B8831,$G:$G,"CDU",$J:$J,"PLANNED")&gt;0,"tied","standalone"),"")</f>
        <v/>
      </c>
    </row>
    <row r="8832" spans="1:14">
      <c r="F8832" s="6">
        <f>IF($M8832="PADD I","PADD 1",IF($M8832="PADD II","PADD 2",IF($M8832="PADD III","PADD 3",IF($M8832="PADD IV","PADD 4",IF($M8832="PADD V","PADD 5","")))))</f>
        <v/>
      </c>
      <c r="G8832" s="6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  <c r="N8832" s="6">
        <f>IF(OR($G8832="FCC",$G8832="Hydrocracker",$G8832="Reformer"),IF(COUNTIFS($D:$D,$D8832,$A:$A,$A8832,$B:$B,$B8832,$G:$G,"CDU",$J:$J,"PLANNED")&gt;0,"tied","standalone"),"")</f>
        <v/>
      </c>
    </row>
    <row r="8833" spans="6:14">
      <c r="F8833" s="6">
        <f>IF($M8833="PADD I","PADD 1",IF($M8833="PADD II","PADD 2",IF($M8833="PADD III","PADD 3",IF($M8833="PADD IV","PADD 4",IF($M8833="PADD V","PADD 5","")))))</f>
        <v/>
      </c>
      <c r="G8833" s="6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  <c r="N8833" s="6">
        <f>IF(OR($G8833="FCC",$G8833="Hydrocracker",$G8833="Reformer"),IF(COUNTIFS($D:$D,$D8833,$A:$A,$A8833,$B:$B,$B8833,$G:$G,"CDU",$J:$J,"PLANNED")&gt;0,"tied","standalone"),"")</f>
        <v/>
      </c>
    </row>
    <row r="8834" spans="6:14">
      <c r="F8834" s="6">
        <f>IF($M8834="PADD I","PADD 1",IF($M8834="PADD II","PADD 2",IF($M8834="PADD III","PADD 3",IF($M8834="PADD IV","PADD 4",IF($M8834="PADD V","PADD 5","")))))</f>
        <v/>
      </c>
      <c r="G8834" s="6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  <c r="N8834" s="6">
        <f>IF(OR($G8834="FCC",$G8834="Hydrocracker",$G8834="Reformer"),IF(COUNTIFS($D:$D,$D8834,$A:$A,$A8834,$B:$B,$B8834,$G:$G,"CDU",$J:$J,"PLANNED")&gt;0,"tied","standalone"),"")</f>
        <v/>
      </c>
    </row>
    <row r="8835" spans="6:14">
      <c r="F8835" s="6">
        <f>IF($M8835="PADD I","PADD 1",IF($M8835="PADD II","PADD 2",IF($M8835="PADD III","PADD 3",IF($M8835="PADD IV","PADD 4",IF($M8835="PADD V","PADD 5","")))))</f>
        <v/>
      </c>
      <c r="G8835" s="6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  <c r="N8835" s="6">
        <f>IF(OR($G8835="FCC",$G8835="Hydrocracker",$G8835="Reformer"),IF(COUNTIFS($D:$D,$D8835,$A:$A,$A8835,$B:$B,$B8835,$G:$G,"CDU",$J:$J,"PLANNED")&gt;0,"tied","standalone"),"")</f>
        <v/>
      </c>
    </row>
    <row r="8836" spans="6:14">
      <c r="F8836" s="6">
        <f>IF($M8836="PADD I","PADD 1",IF($M8836="PADD II","PADD 2",IF($M8836="PADD III","PADD 3",IF($M8836="PADD IV","PADD 4",IF($M8836="PADD V","PADD 5","")))))</f>
        <v/>
      </c>
      <c r="G8836" s="6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  <c r="N8836" s="6">
        <f>IF(OR($G8836="FCC",$G8836="Hydrocracker",$G8836="Reformer"),IF(COUNTIFS($D:$D,$D8836,$A:$A,$A8836,$B:$B,$B8836,$G:$G,"CDU",$J:$J,"PLANNED")&gt;0,"tied","standalone"),"")</f>
        <v/>
      </c>
    </row>
    <row r="8837" spans="6:14">
      <c r="F8837" s="6">
        <f>IF($M8837="PADD I","PADD 1",IF($M8837="PADD II","PADD 2",IF($M8837="PADD III","PADD 3",IF($M8837="PADD IV","PADD 4",IF($M8837="PADD V","PADD 5","")))))</f>
        <v/>
      </c>
      <c r="G8837" s="6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  <c r="N8837" s="6">
        <f>IF(OR($G8837="FCC",$G8837="Hydrocracker",$G8837="Reformer"),IF(COUNTIFS($D:$D,$D8837,$A:$A,$A8837,$B:$B,$B8837,$G:$G,"CDU",$J:$J,"PLANNED")&gt;0,"tied","standalone"),"")</f>
        <v/>
      </c>
    </row>
    <row r="8838" spans="6:14">
      <c r="F8838" s="6">
        <f>IF($M8838="PADD I","PADD 1",IF($M8838="PADD II","PADD 2",IF($M8838="PADD III","PADD 3",IF($M8838="PADD IV","PADD 4",IF($M8838="PADD V","PADD 5","")))))</f>
        <v/>
      </c>
      <c r="G8838" s="6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  <c r="N8838" s="6">
        <f>IF(OR($G8838="FCC",$G8838="Hydrocracker",$G8838="Reformer"),IF(COUNTIFS($D:$D,$D8838,$A:$A,$A8838,$B:$B,$B8838,$G:$G,"CDU",$J:$J,"PLANNED")&gt;0,"tied","standalone"),"")</f>
        <v/>
      </c>
    </row>
    <row r="8839" spans="6:14">
      <c r="F8839" s="6">
        <f>IF($M8839="PADD I","PADD 1",IF($M8839="PADD II","PADD 2",IF($M8839="PADD III","PADD 3",IF($M8839="PADD IV","PADD 4",IF($M8839="PADD V","PADD 5","")))))</f>
        <v/>
      </c>
      <c r="G8839" s="6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  <c r="N8839" s="6">
        <f>IF(OR($G8839="FCC",$G8839="Hydrocracker",$G8839="Reformer"),IF(COUNTIFS($D:$D,$D8839,$A:$A,$A8839,$B:$B,$B8839,$G:$G,"CDU",$J:$J,"PLANNED")&gt;0,"tied","standalone"),"")</f>
        <v/>
      </c>
    </row>
    <row r="8840" spans="6:14">
      <c r="F8840" s="6">
        <f>IF($M8840="PADD I","PADD 1",IF($M8840="PADD II","PADD 2",IF($M8840="PADD III","PADD 3",IF($M8840="PADD IV","PADD 4",IF($M8840="PADD V","PADD 5","")))))</f>
        <v/>
      </c>
      <c r="G8840" s="6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  <c r="N8840" s="6">
        <f>IF(OR($G8840="FCC",$G8840="Hydrocracker",$G8840="Reformer"),IF(COUNTIFS($D:$D,$D8840,$A:$A,$A8840,$B:$B,$B8840,$G:$G,"CDU",$J:$J,"PLANNED")&gt;0,"tied","standalone"),"")</f>
        <v/>
      </c>
    </row>
    <row r="8841" spans="6:14">
      <c r="F8841" s="6">
        <f>IF($M8841="PADD I","PADD 1",IF($M8841="PADD II","PADD 2",IF($M8841="PADD III","PADD 3",IF($M8841="PADD IV","PADD 4",IF($M8841="PADD V","PADD 5","")))))</f>
        <v/>
      </c>
      <c r="G8841" s="6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  <c r="N8841" s="6">
        <f>IF(OR($G8841="FCC",$G8841="Hydrocracker",$G8841="Reformer"),IF(COUNTIFS($D:$D,$D8841,$A:$A,$A8841,$B:$B,$B8841,$G:$G,"CDU",$J:$J,"PLANNED")&gt;0,"tied","standalone"),"")</f>
        <v/>
      </c>
    </row>
    <row r="8842" spans="6:14">
      <c r="F8842" s="6">
        <f>IF($M8842="PADD I","PADD 1",IF($M8842="PADD II","PADD 2",IF($M8842="PADD III","PADD 3",IF($M8842="PADD IV","PADD 4",IF($M8842="PADD V","PADD 5","")))))</f>
        <v/>
      </c>
      <c r="G8842" s="6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  <c r="N8842" s="6">
        <f>IF(OR($G8842="FCC",$G8842="Hydrocracker",$G8842="Reformer"),IF(COUNTIFS($D:$D,$D8842,$A:$A,$A8842,$B:$B,$B8842,$G:$G,"CDU",$J:$J,"PLANNED")&gt;0,"tied","standalone"),"")</f>
        <v/>
      </c>
    </row>
    <row r="8843" spans="6:14">
      <c r="F8843" s="6">
        <f>IF($M8843="PADD I","PADD 1",IF($M8843="PADD II","PADD 2",IF($M8843="PADD III","PADD 3",IF($M8843="PADD IV","PADD 4",IF($M8843="PADD V","PADD 5","")))))</f>
        <v/>
      </c>
      <c r="G8843" s="6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  <c r="N8843" s="6">
        <f>IF(OR($G8843="FCC",$G8843="Hydrocracker",$G8843="Reformer"),IF(COUNTIFS($D:$D,$D8843,$A:$A,$A8843,$B:$B,$B8843,$G:$G,"CDU",$J:$J,"PLANNED")&gt;0,"tied","standalone"),"")</f>
        <v/>
      </c>
    </row>
    <row r="8844" spans="6:14">
      <c r="F8844" s="6">
        <f>IF($M8844="PADD I","PADD 1",IF($M8844="PADD II","PADD 2",IF($M8844="PADD III","PADD 3",IF($M8844="PADD IV","PADD 4",IF($M8844="PADD V","PADD 5","")))))</f>
        <v/>
      </c>
      <c r="G8844" s="6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  <c r="N8844" s="6">
        <f>IF(OR($G8844="FCC",$G8844="Hydrocracker",$G8844="Reformer"),IF(COUNTIFS($D:$D,$D8844,$A:$A,$A8844,$B:$B,$B8844,$G:$G,"CDU",$J:$J,"PLANNED")&gt;0,"tied","standalone"),"")</f>
        <v/>
      </c>
    </row>
    <row r="8845" spans="6:14">
      <c r="F8845" s="6">
        <f>IF($M8845="PADD I","PADD 1",IF($M8845="PADD II","PADD 2",IF($M8845="PADD III","PADD 3",IF($M8845="PADD IV","PADD 4",IF($M8845="PADD V","PADD 5","")))))</f>
        <v/>
      </c>
      <c r="G8845" s="6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  <c r="N8845" s="6">
        <f>IF(OR($G8845="FCC",$G8845="Hydrocracker",$G8845="Reformer"),IF(COUNTIFS($D:$D,$D8845,$A:$A,$A8845,$B:$B,$B8845,$G:$G,"CDU",$J:$J,"PLANNED")&gt;0,"tied","standalone"),"")</f>
        <v/>
      </c>
    </row>
    <row r="8846" spans="6:14">
      <c r="F8846" s="6">
        <f>IF($M8846="PADD I","PADD 1",IF($M8846="PADD II","PADD 2",IF($M8846="PADD III","PADD 3",IF($M8846="PADD IV","PADD 4",IF($M8846="PADD V","PADD 5","")))))</f>
        <v/>
      </c>
      <c r="G8846" s="6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  <c r="N8846" s="6">
        <f>IF(OR($G8846="FCC",$G8846="Hydrocracker",$G8846="Reformer"),IF(COUNTIFS($D:$D,$D8846,$A:$A,$A8846,$B:$B,$B8846,$G:$G,"CDU",$J:$J,"PLANNED")&gt;0,"tied","standalone"),"")</f>
        <v/>
      </c>
    </row>
    <row r="8847" spans="6:14">
      <c r="F8847" s="6">
        <f>IF($M8847="PADD I","PADD 1",IF($M8847="PADD II","PADD 2",IF($M8847="PADD III","PADD 3",IF($M8847="PADD IV","PADD 4",IF($M8847="PADD V","PADD 5","")))))</f>
        <v/>
      </c>
      <c r="G8847" s="6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  <c r="N8847" s="6">
        <f>IF(OR($G8847="FCC",$G8847="Hydrocracker",$G8847="Reformer"),IF(COUNTIFS($D:$D,$D8847,$A:$A,$A8847,$B:$B,$B8847,$G:$G,"CDU",$J:$J,"PLANNED")&gt;0,"tied","standalone"),"")</f>
        <v/>
      </c>
    </row>
    <row r="8848" spans="6:14">
      <c r="F8848" s="6">
        <f>IF($M8848="PADD I","PADD 1",IF($M8848="PADD II","PADD 2",IF($M8848="PADD III","PADD 3",IF($M8848="PADD IV","PADD 4",IF($M8848="PADD V","PADD 5","")))))</f>
        <v/>
      </c>
      <c r="G8848" s="6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  <c r="N8848" s="6">
        <f>IF(OR($G8848="FCC",$G8848="Hydrocracker",$G8848="Reformer"),IF(COUNTIFS($D:$D,$D8848,$A:$A,$A8848,$B:$B,$B8848,$G:$G,"CDU",$J:$J,"PLANNED")&gt;0,"tied","standalone"),"")</f>
        <v/>
      </c>
    </row>
    <row r="8849" spans="6:14">
      <c r="F8849" s="6">
        <f>IF($M8849="PADD I","PADD 1",IF($M8849="PADD II","PADD 2",IF($M8849="PADD III","PADD 3",IF($M8849="PADD IV","PADD 4",IF($M8849="PADD V","PADD 5","")))))</f>
        <v/>
      </c>
      <c r="G8849" s="6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  <c r="N8849" s="6">
        <f>IF(OR($G8849="FCC",$G8849="Hydrocracker",$G8849="Reformer"),IF(COUNTIFS($D:$D,$D8849,$A:$A,$A8849,$B:$B,$B8849,$G:$G,"CDU",$J:$J,"PLANNED")&gt;0,"tied","standalone"),"")</f>
        <v/>
      </c>
    </row>
    <row r="8850" spans="6:14">
      <c r="F8850" s="6">
        <f>IF($M8850="PADD I","PADD 1",IF($M8850="PADD II","PADD 2",IF($M8850="PADD III","PADD 3",IF($M8850="PADD IV","PADD 4",IF($M8850="PADD V","PADD 5","")))))</f>
        <v/>
      </c>
      <c r="G8850" s="6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  <c r="N8850" s="6">
        <f>IF(OR($G8850="FCC",$G8850="Hydrocracker",$G8850="Reformer"),IF(COUNTIFS($D:$D,$D8850,$A:$A,$A8850,$B:$B,$B8850,$G:$G,"CDU",$J:$J,"PLANNED")&gt;0,"tied","standalone"),"")</f>
        <v/>
      </c>
    </row>
    <row r="8851" spans="6:14">
      <c r="F8851" s="6">
        <f>IF($M8851="PADD I","PADD 1",IF($M8851="PADD II","PADD 2",IF($M8851="PADD III","PADD 3",IF($M8851="PADD IV","PADD 4",IF($M8851="PADD V","PADD 5","")))))</f>
        <v/>
      </c>
      <c r="G8851" s="6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  <c r="N8851" s="6">
        <f>IF(OR($G8851="FCC",$G8851="Hydrocracker",$G8851="Reformer"),IF(COUNTIFS($D:$D,$D8851,$A:$A,$A8851,$B:$B,$B8851,$G:$G,"CDU",$J:$J,"PLANNED")&gt;0,"tied","standalone"),"")</f>
        <v/>
      </c>
    </row>
    <row r="8852" spans="6:14">
      <c r="F8852" s="6">
        <f>IF($M8852="PADD I","PADD 1",IF($M8852="PADD II","PADD 2",IF($M8852="PADD III","PADD 3",IF($M8852="PADD IV","PADD 4",IF($M8852="PADD V","PADD 5","")))))</f>
        <v/>
      </c>
      <c r="G8852" s="6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  <c r="N8852" s="6">
        <f>IF(OR($G8852="FCC",$G8852="Hydrocracker",$G8852="Reformer"),IF(COUNTIFS($D:$D,$D8852,$A:$A,$A8852,$B:$B,$B8852,$G:$G,"CDU",$J:$J,"PLANNED")&gt;0,"tied","standalone"),"")</f>
        <v/>
      </c>
    </row>
    <row r="8853" spans="6:14">
      <c r="F8853" s="6">
        <f>IF($M8853="PADD I","PADD 1",IF($M8853="PADD II","PADD 2",IF($M8853="PADD III","PADD 3",IF($M8853="PADD IV","PADD 4",IF($M8853="PADD V","PADD 5","")))))</f>
        <v/>
      </c>
      <c r="G8853" s="6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  <c r="N8853" s="6">
        <f>IF(OR($G8853="FCC",$G8853="Hydrocracker",$G8853="Reformer"),IF(COUNTIFS($D:$D,$D8853,$A:$A,$A8853,$B:$B,$B8853,$G:$G,"CDU",$J:$J,"PLANNED")&gt;0,"tied","standalone"),"")</f>
        <v/>
      </c>
    </row>
    <row r="8854" spans="6:14">
      <c r="F8854" s="6">
        <f>IF($M8854="PADD I","PADD 1",IF($M8854="PADD II","PADD 2",IF($M8854="PADD III","PADD 3",IF($M8854="PADD IV","PADD 4",IF($M8854="PADD V","PADD 5","")))))</f>
        <v/>
      </c>
      <c r="G8854" s="6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  <c r="N8854" s="6">
        <f>IF(OR($G8854="FCC",$G8854="Hydrocracker",$G8854="Reformer"),IF(COUNTIFS($D:$D,$D8854,$A:$A,$A8854,$B:$B,$B8854,$G:$G,"CDU",$J:$J,"PLANNED")&gt;0,"tied","standalone"),"")</f>
        <v/>
      </c>
    </row>
    <row r="8855" spans="6:14">
      <c r="F8855" s="6">
        <f>IF($M8855="PADD I","PADD 1",IF($M8855="PADD II","PADD 2",IF($M8855="PADD III","PADD 3",IF($M8855="PADD IV","PADD 4",IF($M8855="PADD V","PADD 5","")))))</f>
        <v/>
      </c>
      <c r="G8855" s="6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  <c r="N8855" s="6">
        <f>IF(OR($G8855="FCC",$G8855="Hydrocracker",$G8855="Reformer"),IF(COUNTIFS($D:$D,$D8855,$A:$A,$A8855,$B:$B,$B8855,$G:$G,"CDU",$J:$J,"PLANNED")&gt;0,"tied","standalone"),"")</f>
        <v/>
      </c>
    </row>
    <row r="8856" spans="6:14">
      <c r="F8856" s="6">
        <f>IF($M8856="PADD I","PADD 1",IF($M8856="PADD II","PADD 2",IF($M8856="PADD III","PADD 3",IF($M8856="PADD IV","PADD 4",IF($M8856="PADD V","PADD 5","")))))</f>
        <v/>
      </c>
      <c r="G8856" s="6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  <c r="N8856" s="6">
        <f>IF(OR($G8856="FCC",$G8856="Hydrocracker",$G8856="Reformer"),IF(COUNTIFS($D:$D,$D8856,$A:$A,$A8856,$B:$B,$B8856,$G:$G,"CDU",$J:$J,"PLANNED")&gt;0,"tied","standalone"),"")</f>
        <v/>
      </c>
    </row>
    <row r="8857" spans="6:14">
      <c r="F8857" s="6">
        <f>IF($M8857="PADD I","PADD 1",IF($M8857="PADD II","PADD 2",IF($M8857="PADD III","PADD 3",IF($M8857="PADD IV","PADD 4",IF($M8857="PADD V","PADD 5","")))))</f>
        <v/>
      </c>
      <c r="G8857" s="6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  <c r="N8857" s="6">
        <f>IF(OR($G8857="FCC",$G8857="Hydrocracker",$G8857="Reformer"),IF(COUNTIFS($D:$D,$D8857,$A:$A,$A8857,$B:$B,$B8857,$G:$G,"CDU",$J:$J,"PLANNED")&gt;0,"tied","standalone"),"")</f>
        <v/>
      </c>
    </row>
    <row r="8858" spans="6:14">
      <c r="F8858" s="6">
        <f>IF($M8858="PADD I","PADD 1",IF($M8858="PADD II","PADD 2",IF($M8858="PADD III","PADD 3",IF($M8858="PADD IV","PADD 4",IF($M8858="PADD V","PADD 5","")))))</f>
        <v/>
      </c>
      <c r="G8858" s="6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  <c r="N8858" s="6">
        <f>IF(OR($G8858="FCC",$G8858="Hydrocracker",$G8858="Reformer"),IF(COUNTIFS($D:$D,$D8858,$A:$A,$A8858,$B:$B,$B8858,$G:$G,"CDU",$J:$J,"PLANNED")&gt;0,"tied","standalone"),"")</f>
        <v/>
      </c>
    </row>
    <row r="8859" spans="6:14">
      <c r="F8859" s="6">
        <f>IF($M8859="PADD I","PADD 1",IF($M8859="PADD II","PADD 2",IF($M8859="PADD III","PADD 3",IF($M8859="PADD IV","PADD 4",IF($M8859="PADD V","PADD 5","")))))</f>
        <v/>
      </c>
      <c r="G8859" s="6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  <c r="N8859" s="6">
        <f>IF(OR($G8859="FCC",$G8859="Hydrocracker",$G8859="Reformer"),IF(COUNTIFS($D:$D,$D8859,$A:$A,$A8859,$B:$B,$B8859,$G:$G,"CDU",$J:$J,"PLANNED")&gt;0,"tied","standalone"),"")</f>
        <v/>
      </c>
    </row>
    <row r="8860" spans="6:14">
      <c r="F8860" s="6">
        <f>IF($M8860="PADD I","PADD 1",IF($M8860="PADD II","PADD 2",IF($M8860="PADD III","PADD 3",IF($M8860="PADD IV","PADD 4",IF($M8860="PADD V","PADD 5","")))))</f>
        <v/>
      </c>
      <c r="G8860" s="6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  <c r="N8860" s="6">
        <f>IF(OR($G8860="FCC",$G8860="Hydrocracker",$G8860="Reformer"),IF(COUNTIFS($D:$D,$D8860,$A:$A,$A8860,$B:$B,$B8860,$G:$G,"CDU",$J:$J,"PLANNED")&gt;0,"tied","standalone"),"")</f>
        <v/>
      </c>
    </row>
    <row r="8861" spans="6:14">
      <c r="F8861" s="6">
        <f>IF($M8861="PADD I","PADD 1",IF($M8861="PADD II","PADD 2",IF($M8861="PADD III","PADD 3",IF($M8861="PADD IV","PADD 4",IF($M8861="PADD V","PADD 5","")))))</f>
        <v/>
      </c>
      <c r="G8861" s="6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  <c r="N8861" s="6">
        <f>IF(OR($G8861="FCC",$G8861="Hydrocracker",$G8861="Reformer"),IF(COUNTIFS($D:$D,$D8861,$A:$A,$A8861,$B:$B,$B8861,$G:$G,"CDU",$J:$J,"PLANNED")&gt;0,"tied","standalone"),"")</f>
        <v/>
      </c>
    </row>
    <row r="8862" spans="6:14">
      <c r="F8862" s="6">
        <f>IF($M8862="PADD I","PADD 1",IF($M8862="PADD II","PADD 2",IF($M8862="PADD III","PADD 3",IF($M8862="PADD IV","PADD 4",IF($M8862="PADD V","PADD 5","")))))</f>
        <v/>
      </c>
      <c r="G8862" s="6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  <c r="N8862" s="6">
        <f>IF(OR($G8862="FCC",$G8862="Hydrocracker",$G8862="Reformer"),IF(COUNTIFS($D:$D,$D8862,$A:$A,$A8862,$B:$B,$B8862,$G:$G,"CDU",$J:$J,"PLANNED")&gt;0,"tied","standalone"),"")</f>
        <v/>
      </c>
    </row>
    <row r="8863" spans="6:14">
      <c r="F8863" s="6">
        <f>IF($M8863="PADD I","PADD 1",IF($M8863="PADD II","PADD 2",IF($M8863="PADD III","PADD 3",IF($M8863="PADD IV","PADD 4",IF($M8863="PADD V","PADD 5","")))))</f>
        <v/>
      </c>
      <c r="G8863" s="6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  <c r="N8863" s="6">
        <f>IF(OR($G8863="FCC",$G8863="Hydrocracker",$G8863="Reformer"),IF(COUNTIFS($D:$D,$D8863,$A:$A,$A8863,$B:$B,$B8863,$G:$G,"CDU",$J:$J,"PLANNED")&gt;0,"tied","standalone"),"")</f>
        <v/>
      </c>
    </row>
    <row r="8864" spans="6:14">
      <c r="F8864" s="6">
        <f>IF($M8864="PADD I","PADD 1",IF($M8864="PADD II","PADD 2",IF($M8864="PADD III","PADD 3",IF($M8864="PADD IV","PADD 4",IF($M8864="PADD V","PADD 5","")))))</f>
        <v/>
      </c>
      <c r="G8864" s="6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  <c r="N8864" s="6">
        <f>IF(OR($G8864="FCC",$G8864="Hydrocracker",$G8864="Reformer"),IF(COUNTIFS($D:$D,$D8864,$A:$A,$A8864,$B:$B,$B8864,$G:$G,"CDU",$J:$J,"PLANNED")&gt;0,"tied","standalone"),"")</f>
        <v/>
      </c>
    </row>
    <row r="8865" spans="6:14">
      <c r="F8865" s="6">
        <f>IF($M8865="PADD I","PADD 1",IF($M8865="PADD II","PADD 2",IF($M8865="PADD III","PADD 3",IF($M8865="PADD IV","PADD 4",IF($M8865="PADD V","PADD 5","")))))</f>
        <v/>
      </c>
      <c r="G8865" s="6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  <c r="N8865" s="6">
        <f>IF(OR($G8865="FCC",$G8865="Hydrocracker",$G8865="Reformer"),IF(COUNTIFS($D:$D,$D8865,$A:$A,$A8865,$B:$B,$B8865,$G:$G,"CDU",$J:$J,"PLANNED")&gt;0,"tied","standalone"),"")</f>
        <v/>
      </c>
    </row>
    <row r="8866" spans="6:14">
      <c r="F8866" s="6">
        <f>IF($M8866="PADD I","PADD 1",IF($M8866="PADD II","PADD 2",IF($M8866="PADD III","PADD 3",IF($M8866="PADD IV","PADD 4",IF($M8866="PADD V","PADD 5","")))))</f>
        <v/>
      </c>
      <c r="G8866" s="6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  <c r="N8866" s="6">
        <f>IF(OR($G8866="FCC",$G8866="Hydrocracker",$G8866="Reformer"),IF(COUNTIFS($D:$D,$D8866,$A:$A,$A8866,$B:$B,$B8866,$G:$G,"CDU",$J:$J,"PLANNED")&gt;0,"tied","standalone"),"")</f>
        <v/>
      </c>
    </row>
    <row r="8867" spans="6:14">
      <c r="F8867" s="6">
        <f>IF($M8867="PADD I","PADD 1",IF($M8867="PADD II","PADD 2",IF($M8867="PADD III","PADD 3",IF($M8867="PADD IV","PADD 4",IF($M8867="PADD V","PADD 5","")))))</f>
        <v/>
      </c>
      <c r="G8867" s="6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  <c r="N8867" s="6">
        <f>IF(OR($G8867="FCC",$G8867="Hydrocracker",$G8867="Reformer"),IF(COUNTIFS($D:$D,$D8867,$A:$A,$A8867,$B:$B,$B8867,$G:$G,"CDU",$J:$J,"PLANNED")&gt;0,"tied","standalone"),"")</f>
        <v/>
      </c>
    </row>
    <row r="8868" spans="6:14">
      <c r="F8868" s="6">
        <f>IF($M8868="PADD I","PADD 1",IF($M8868="PADD II","PADD 2",IF($M8868="PADD III","PADD 3",IF($M8868="PADD IV","PADD 4",IF($M8868="PADD V","PADD 5","")))))</f>
        <v/>
      </c>
      <c r="G8868" s="6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  <c r="N8868" s="6">
        <f>IF(OR($G8868="FCC",$G8868="Hydrocracker",$G8868="Reformer"),IF(COUNTIFS($D:$D,$D8868,$A:$A,$A8868,$B:$B,$B8868,$G:$G,"CDU",$J:$J,"PLANNED")&gt;0,"tied","standalone"),"")</f>
        <v/>
      </c>
    </row>
    <row r="8869" spans="6:14">
      <c r="F8869" s="6">
        <f>IF($M8869="PADD I","PADD 1",IF($M8869="PADD II","PADD 2",IF($M8869="PADD III","PADD 3",IF($M8869="PADD IV","PADD 4",IF($M8869="PADD V","PADD 5","")))))</f>
        <v/>
      </c>
      <c r="G8869" s="6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  <c r="N8869" s="6">
        <f>IF(OR($G8869="FCC",$G8869="Hydrocracker",$G8869="Reformer"),IF(COUNTIFS($D:$D,$D8869,$A:$A,$A8869,$B:$B,$B8869,$G:$G,"CDU",$J:$J,"PLANNED")&gt;0,"tied","standalone"),"")</f>
        <v/>
      </c>
    </row>
    <row r="8870" spans="6:14">
      <c r="F8870" s="6">
        <f>IF($M8870="PADD I","PADD 1",IF($M8870="PADD II","PADD 2",IF($M8870="PADD III","PADD 3",IF($M8870="PADD IV","PADD 4",IF($M8870="PADD V","PADD 5","")))))</f>
        <v/>
      </c>
      <c r="G8870" s="6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  <c r="N8870" s="6">
        <f>IF(OR($G8870="FCC",$G8870="Hydrocracker",$G8870="Reformer"),IF(COUNTIFS($D:$D,$D8870,$A:$A,$A8870,$B:$B,$B8870,$G:$G,"CDU",$J:$J,"PLANNED")&gt;0,"tied","standalone"),"")</f>
        <v/>
      </c>
    </row>
    <row r="8871" spans="6:14">
      <c r="F8871" s="6">
        <f>IF($M8871="PADD I","PADD 1",IF($M8871="PADD II","PADD 2",IF($M8871="PADD III","PADD 3",IF($M8871="PADD IV","PADD 4",IF($M8871="PADD V","PADD 5","")))))</f>
        <v/>
      </c>
      <c r="G8871" s="6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  <c r="N8871" s="6">
        <f>IF(OR($G8871="FCC",$G8871="Hydrocracker",$G8871="Reformer"),IF(COUNTIFS($D:$D,$D8871,$A:$A,$A8871,$B:$B,$B8871,$G:$G,"CDU",$J:$J,"PLANNED")&gt;0,"tied","standalone"),"")</f>
        <v/>
      </c>
    </row>
    <row r="8872" spans="6:14">
      <c r="F8872" s="6">
        <f>IF($M8872="PADD I","PADD 1",IF($M8872="PADD II","PADD 2",IF($M8872="PADD III","PADD 3",IF($M8872="PADD IV","PADD 4",IF($M8872="PADD V","PADD 5","")))))</f>
        <v/>
      </c>
      <c r="G8872" s="6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  <c r="N8872" s="6">
        <f>IF(OR($G8872="FCC",$G8872="Hydrocracker",$G8872="Reformer"),IF(COUNTIFS($D:$D,$D8872,$A:$A,$A8872,$B:$B,$B8872,$G:$G,"CDU",$J:$J,"PLANNED")&gt;0,"tied","standalone"),"")</f>
        <v/>
      </c>
    </row>
    <row r="8873" spans="6:14">
      <c r="F8873" s="6">
        <f>IF($M8873="PADD I","PADD 1",IF($M8873="PADD II","PADD 2",IF($M8873="PADD III","PADD 3",IF($M8873="PADD IV","PADD 4",IF($M8873="PADD V","PADD 5","")))))</f>
        <v/>
      </c>
      <c r="G8873" s="6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  <c r="N8873" s="6">
        <f>IF(OR($G8873="FCC",$G8873="Hydrocracker",$G8873="Reformer"),IF(COUNTIFS($D:$D,$D8873,$A:$A,$A8873,$B:$B,$B8873,$G:$G,"CDU",$J:$J,"PLANNED")&gt;0,"tied","standalone"),"")</f>
        <v/>
      </c>
    </row>
    <row r="8874" spans="6:14">
      <c r="F8874" s="6">
        <f>IF($M8874="PADD I","PADD 1",IF($M8874="PADD II","PADD 2",IF($M8874="PADD III","PADD 3",IF($M8874="PADD IV","PADD 4",IF($M8874="PADD V","PADD 5","")))))</f>
        <v/>
      </c>
      <c r="G8874" s="6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  <c r="N8874" s="6">
        <f>IF(OR($G8874="FCC",$G8874="Hydrocracker",$G8874="Reformer"),IF(COUNTIFS($D:$D,$D8874,$A:$A,$A8874,$B:$B,$B8874,$G:$G,"CDU",$J:$J,"PLANNED")&gt;0,"tied","standalone"),"")</f>
        <v/>
      </c>
    </row>
    <row r="8875" spans="6:14">
      <c r="F8875" s="6">
        <f>IF($M8875="PADD I","PADD 1",IF($M8875="PADD II","PADD 2",IF($M8875="PADD III","PADD 3",IF($M8875="PADD IV","PADD 4",IF($M8875="PADD V","PADD 5","")))))</f>
        <v/>
      </c>
      <c r="G8875" s="6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  <c r="N8875" s="6">
        <f>IF(OR($G8875="FCC",$G8875="Hydrocracker",$G8875="Reformer"),IF(COUNTIFS($D:$D,$D8875,$A:$A,$A8875,$B:$B,$B8875,$G:$G,"CDU",$J:$J,"PLANNED")&gt;0,"tied","standalone"),"")</f>
        <v/>
      </c>
    </row>
    <row r="8876" spans="6:14">
      <c r="F8876" s="6">
        <f>IF($M8876="PADD I","PADD 1",IF($M8876="PADD II","PADD 2",IF($M8876="PADD III","PADD 3",IF($M8876="PADD IV","PADD 4",IF($M8876="PADD V","PADD 5","")))))</f>
        <v/>
      </c>
      <c r="G8876" s="6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  <c r="N8876" s="6">
        <f>IF(OR($G8876="FCC",$G8876="Hydrocracker",$G8876="Reformer"),IF(COUNTIFS($D:$D,$D8876,$A:$A,$A8876,$B:$B,$B8876,$G:$G,"CDU",$J:$J,"PLANNED")&gt;0,"tied","standalone"),"")</f>
        <v/>
      </c>
    </row>
    <row r="8877" spans="6:14">
      <c r="F8877" s="6">
        <f>IF($M8877="PADD I","PADD 1",IF($M8877="PADD II","PADD 2",IF($M8877="PADD III","PADD 3",IF($M8877="PADD IV","PADD 4",IF($M8877="PADD V","PADD 5","")))))</f>
        <v/>
      </c>
      <c r="G8877" s="6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  <c r="N8877" s="6">
        <f>IF(OR($G8877="FCC",$G8877="Hydrocracker",$G8877="Reformer"),IF(COUNTIFS($D:$D,$D8877,$A:$A,$A8877,$B:$B,$B8877,$G:$G,"CDU",$J:$J,"PLANNED")&gt;0,"tied","standalone"),"")</f>
        <v/>
      </c>
    </row>
    <row r="8878" spans="6:14">
      <c r="F8878" s="6">
        <f>IF($M8878="PADD I","PADD 1",IF($M8878="PADD II","PADD 2",IF($M8878="PADD III","PADD 3",IF($M8878="PADD IV","PADD 4",IF($M8878="PADD V","PADD 5","")))))</f>
        <v/>
      </c>
      <c r="G8878" s="6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  <c r="N8878" s="6">
        <f>IF(OR($G8878="FCC",$G8878="Hydrocracker",$G8878="Reformer"),IF(COUNTIFS($D:$D,$D8878,$A:$A,$A8878,$B:$B,$B8878,$G:$G,"CDU",$J:$J,"PLANNED")&gt;0,"tied","standalone"),"")</f>
        <v/>
      </c>
    </row>
    <row r="8879" spans="6:14">
      <c r="F8879" s="6">
        <f>IF($M8879="PADD I","PADD 1",IF($M8879="PADD II","PADD 2",IF($M8879="PADD III","PADD 3",IF($M8879="PADD IV","PADD 4",IF($M8879="PADD V","PADD 5","")))))</f>
        <v/>
      </c>
      <c r="G8879" s="6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  <c r="N8879" s="6">
        <f>IF(OR($G8879="FCC",$G8879="Hydrocracker",$G8879="Reformer"),IF(COUNTIFS($D:$D,$D8879,$A:$A,$A8879,$B:$B,$B8879,$G:$G,"CDU",$J:$J,"PLANNED")&gt;0,"tied","standalone"),"")</f>
        <v/>
      </c>
    </row>
    <row r="8880" spans="6:14">
      <c r="F8880" s="6">
        <f>IF($M8880="PADD I","PADD 1",IF($M8880="PADD II","PADD 2",IF($M8880="PADD III","PADD 3",IF($M8880="PADD IV","PADD 4",IF($M8880="PADD V","PADD 5","")))))</f>
        <v/>
      </c>
      <c r="G8880" s="6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  <c r="N8880" s="6">
        <f>IF(OR($G8880="FCC",$G8880="Hydrocracker",$G8880="Reformer"),IF(COUNTIFS($D:$D,$D8880,$A:$A,$A8880,$B:$B,$B8880,$G:$G,"CDU",$J:$J,"PLANNED")&gt;0,"tied","standalone"),"")</f>
        <v/>
      </c>
    </row>
    <row r="8881" spans="6:14">
      <c r="F8881" s="6">
        <f>IF($M8881="PADD I","PADD 1",IF($M8881="PADD II","PADD 2",IF($M8881="PADD III","PADD 3",IF($M8881="PADD IV","PADD 4",IF($M8881="PADD V","PADD 5","")))))</f>
        <v/>
      </c>
      <c r="G8881" s="6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  <c r="N8881" s="6">
        <f>IF(OR($G8881="FCC",$G8881="Hydrocracker",$G8881="Reformer"),IF(COUNTIFS($D:$D,$D8881,$A:$A,$A8881,$B:$B,$B8881,$G:$G,"CDU",$J:$J,"PLANNED")&gt;0,"tied","standalone"),"")</f>
        <v/>
      </c>
    </row>
    <row r="8882" spans="6:14">
      <c r="F8882" s="6">
        <f>IF($M8882="PADD I","PADD 1",IF($M8882="PADD II","PADD 2",IF($M8882="PADD III","PADD 3",IF($M8882="PADD IV","PADD 4",IF($M8882="PADD V","PADD 5","")))))</f>
        <v/>
      </c>
      <c r="G8882" s="6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  <c r="N8882" s="6">
        <f>IF(OR($G8882="FCC",$G8882="Hydrocracker",$G8882="Reformer"),IF(COUNTIFS($D:$D,$D8882,$A:$A,$A8882,$B:$B,$B8882,$G:$G,"CDU",$J:$J,"PLANNED")&gt;0,"tied","standalone"),"")</f>
        <v/>
      </c>
    </row>
    <row r="8883" spans="6:14">
      <c r="F8883" s="6">
        <f>IF($M8883="PADD I","PADD 1",IF($M8883="PADD II","PADD 2",IF($M8883="PADD III","PADD 3",IF($M8883="PADD IV","PADD 4",IF($M8883="PADD V","PADD 5","")))))</f>
        <v/>
      </c>
      <c r="G8883" s="6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  <c r="N8883" s="6">
        <f>IF(OR($G8883="FCC",$G8883="Hydrocracker",$G8883="Reformer"),IF(COUNTIFS($D:$D,$D8883,$A:$A,$A8883,$B:$B,$B8883,$G:$G,"CDU",$J:$J,"PLANNED")&gt;0,"tied","standalone"),"")</f>
        <v/>
      </c>
    </row>
    <row r="8884" spans="6:14">
      <c r="F8884" s="6">
        <f>IF($M8884="PADD I","PADD 1",IF($M8884="PADD II","PADD 2",IF($M8884="PADD III","PADD 3",IF($M8884="PADD IV","PADD 4",IF($M8884="PADD V","PADD 5","")))))</f>
        <v/>
      </c>
      <c r="G8884" s="6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  <c r="N8884" s="6">
        <f>IF(OR($G8884="FCC",$G8884="Hydrocracker",$G8884="Reformer"),IF(COUNTIFS($D:$D,$D8884,$A:$A,$A8884,$B:$B,$B8884,$G:$G,"CDU",$J:$J,"PLANNED")&gt;0,"tied","standalone"),"")</f>
        <v/>
      </c>
    </row>
    <row r="8885" spans="6:14">
      <c r="F8885" s="6">
        <f>IF($M8885="PADD I","PADD 1",IF($M8885="PADD II","PADD 2",IF($M8885="PADD III","PADD 3",IF($M8885="PADD IV","PADD 4",IF($M8885="PADD V","PADD 5","")))))</f>
        <v/>
      </c>
      <c r="G8885" s="6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  <c r="N8885" s="6">
        <f>IF(OR($G8885="FCC",$G8885="Hydrocracker",$G8885="Reformer"),IF(COUNTIFS($D:$D,$D8885,$A:$A,$A8885,$B:$B,$B8885,$G:$G,"CDU",$J:$J,"PLANNED")&gt;0,"tied","standalone"),"")</f>
        <v/>
      </c>
    </row>
    <row r="8886" spans="6:14">
      <c r="F8886" s="6">
        <f>IF($M8886="PADD I","PADD 1",IF($M8886="PADD II","PADD 2",IF($M8886="PADD III","PADD 3",IF($M8886="PADD IV","PADD 4",IF($M8886="PADD V","PADD 5","")))))</f>
        <v/>
      </c>
      <c r="G8886" s="6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  <c r="N8886" s="6">
        <f>IF(OR($G8886="FCC",$G8886="Hydrocracker",$G8886="Reformer"),IF(COUNTIFS($D:$D,$D8886,$A:$A,$A8886,$B:$B,$B8886,$G:$G,"CDU",$J:$J,"PLANNED")&gt;0,"tied","standalone"),"")</f>
        <v/>
      </c>
    </row>
    <row r="8887" spans="6:14">
      <c r="F8887" s="6">
        <f>IF($M8887="PADD I","PADD 1",IF($M8887="PADD II","PADD 2",IF($M8887="PADD III","PADD 3",IF($M8887="PADD IV","PADD 4",IF($M8887="PADD V","PADD 5","")))))</f>
        <v/>
      </c>
      <c r="G8887" s="6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  <c r="N8887" s="6">
        <f>IF(OR($G8887="FCC",$G8887="Hydrocracker",$G8887="Reformer"),IF(COUNTIFS($D:$D,$D8887,$A:$A,$A8887,$B:$B,$B8887,$G:$G,"CDU",$J:$J,"PLANNED")&gt;0,"tied","standalone"),"")</f>
        <v/>
      </c>
    </row>
    <row r="8888" spans="6:14">
      <c r="F8888" s="6">
        <f>IF($M8888="PADD I","PADD 1",IF($M8888="PADD II","PADD 2",IF($M8888="PADD III","PADD 3",IF($M8888="PADD IV","PADD 4",IF($M8888="PADD V","PADD 5","")))))</f>
        <v/>
      </c>
      <c r="G8888" s="6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  <c r="N8888" s="6">
        <f>IF(OR($G8888="FCC",$G8888="Hydrocracker",$G8888="Reformer"),IF(COUNTIFS($D:$D,$D8888,$A:$A,$A8888,$B:$B,$B8888,$G:$G,"CDU",$J:$J,"PLANNED")&gt;0,"tied","standalone"),"")</f>
        <v/>
      </c>
    </row>
    <row r="8889" spans="6:14">
      <c r="F8889" s="6">
        <f>IF($M8889="PADD I","PADD 1",IF($M8889="PADD II","PADD 2",IF($M8889="PADD III","PADD 3",IF($M8889="PADD IV","PADD 4",IF($M8889="PADD V","PADD 5","")))))</f>
        <v/>
      </c>
      <c r="G8889" s="6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  <c r="N8889" s="6">
        <f>IF(OR($G8889="FCC",$G8889="Hydrocracker",$G8889="Reformer"),IF(COUNTIFS($D:$D,$D8889,$A:$A,$A8889,$B:$B,$B8889,$G:$G,"CDU",$J:$J,"PLANNED")&gt;0,"tied","standalone"),"")</f>
        <v/>
      </c>
    </row>
    <row r="8890" spans="6:14">
      <c r="F8890" s="6">
        <f>IF($M8890="PADD I","PADD 1",IF($M8890="PADD II","PADD 2",IF($M8890="PADD III","PADD 3",IF($M8890="PADD IV","PADD 4",IF($M8890="PADD V","PADD 5","")))))</f>
        <v/>
      </c>
      <c r="G8890" s="6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  <c r="N8890" s="6">
        <f>IF(OR($G8890="FCC",$G8890="Hydrocracker",$G8890="Reformer"),IF(COUNTIFS($D:$D,$D8890,$A:$A,$A8890,$B:$B,$B8890,$G:$G,"CDU",$J:$J,"PLANNED")&gt;0,"tied","standalone"),"")</f>
        <v/>
      </c>
    </row>
    <row r="8891" spans="6:14">
      <c r="F8891" s="6">
        <f>IF($M8891="PADD I","PADD 1",IF($M8891="PADD II","PADD 2",IF($M8891="PADD III","PADD 3",IF($M8891="PADD IV","PADD 4",IF($M8891="PADD V","PADD 5","")))))</f>
        <v/>
      </c>
      <c r="G8891" s="6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  <c r="N8891" s="6">
        <f>IF(OR($G8891="FCC",$G8891="Hydrocracker",$G8891="Reformer"),IF(COUNTIFS($D:$D,$D8891,$A:$A,$A8891,$B:$B,$B8891,$G:$G,"CDU",$J:$J,"PLANNED")&gt;0,"tied","standalone"),"")</f>
        <v/>
      </c>
    </row>
    <row r="8892" spans="6:14">
      <c r="F8892" s="6">
        <f>IF($M8892="PADD I","PADD 1",IF($M8892="PADD II","PADD 2",IF($M8892="PADD III","PADD 3",IF($M8892="PADD IV","PADD 4",IF($M8892="PADD V","PADD 5","")))))</f>
        <v/>
      </c>
      <c r="G8892" s="6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  <c r="N8892" s="6">
        <f>IF(OR($G8892="FCC",$G8892="Hydrocracker",$G8892="Reformer"),IF(COUNTIFS($D:$D,$D8892,$A:$A,$A8892,$B:$B,$B8892,$G:$G,"CDU",$J:$J,"PLANNED")&gt;0,"tied","standalone"),"")</f>
        <v/>
      </c>
    </row>
    <row r="8893" spans="6:14">
      <c r="F8893" s="6">
        <f>IF($M8893="PADD I","PADD 1",IF($M8893="PADD II","PADD 2",IF($M8893="PADD III","PADD 3",IF($M8893="PADD IV","PADD 4",IF($M8893="PADD V","PADD 5","")))))</f>
        <v/>
      </c>
      <c r="G8893" s="6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  <c r="N8893" s="6">
        <f>IF(OR($G8893="FCC",$G8893="Hydrocracker",$G8893="Reformer"),IF(COUNTIFS($D:$D,$D8893,$A:$A,$A8893,$B:$B,$B8893,$G:$G,"CDU",$J:$J,"PLANNED")&gt;0,"tied","standalone"),"")</f>
        <v/>
      </c>
    </row>
    <row r="8894" spans="6:14">
      <c r="F8894" s="6">
        <f>IF($M8894="PADD I","PADD 1",IF($M8894="PADD II","PADD 2",IF($M8894="PADD III","PADD 3",IF($M8894="PADD IV","PADD 4",IF($M8894="PADD V","PADD 5","")))))</f>
        <v/>
      </c>
      <c r="G8894" s="6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  <c r="N8894" s="6">
        <f>IF(OR($G8894="FCC",$G8894="Hydrocracker",$G8894="Reformer"),IF(COUNTIFS($D:$D,$D8894,$A:$A,$A8894,$B:$B,$B8894,$G:$G,"CDU",$J:$J,"PLANNED")&gt;0,"tied","standalone"),"")</f>
        <v/>
      </c>
    </row>
    <row r="8895" spans="6:14">
      <c r="F8895" s="6">
        <f>IF($M8895="PADD I","PADD 1",IF($M8895="PADD II","PADD 2",IF($M8895="PADD III","PADD 3",IF($M8895="PADD IV","PADD 4",IF($M8895="PADD V","PADD 5","")))))</f>
        <v/>
      </c>
      <c r="G8895" s="6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  <c r="N8895" s="6">
        <f>IF(OR($G8895="FCC",$G8895="Hydrocracker",$G8895="Reformer"),IF(COUNTIFS($D:$D,$D8895,$A:$A,$A8895,$B:$B,$B8895,$G:$G,"CDU",$J:$J,"PLANNED")&gt;0,"tied","standalone"),"")</f>
        <v/>
      </c>
    </row>
    <row r="8896" spans="6:14">
      <c r="F8896" s="6">
        <f>IF($M8896="PADD I","PADD 1",IF($M8896="PADD II","PADD 2",IF($M8896="PADD III","PADD 3",IF($M8896="PADD IV","PADD 4",IF($M8896="PADD V","PADD 5","")))))</f>
        <v/>
      </c>
      <c r="G8896" s="6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  <c r="N8896" s="6">
        <f>IF(OR($G8896="FCC",$G8896="Hydrocracker",$G8896="Reformer"),IF(COUNTIFS($D:$D,$D8896,$A:$A,$A8896,$B:$B,$B8896,$G:$G,"CDU",$J:$J,"PLANNED")&gt;0,"tied","standalone"),"")</f>
        <v/>
      </c>
    </row>
    <row r="8897" spans="6:14">
      <c r="F8897" s="6">
        <f>IF($M8897="PADD I","PADD 1",IF($M8897="PADD II","PADD 2",IF($M8897="PADD III","PADD 3",IF($M8897="PADD IV","PADD 4",IF($M8897="PADD V","PADD 5","")))))</f>
        <v/>
      </c>
      <c r="G8897" s="6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  <c r="N8897" s="6">
        <f>IF(OR($G8897="FCC",$G8897="Hydrocracker",$G8897="Reformer"),IF(COUNTIFS($D:$D,$D8897,$A:$A,$A8897,$B:$B,$B8897,$G:$G,"CDU",$J:$J,"PLANNED")&gt;0,"tied","standalone"),"")</f>
        <v/>
      </c>
    </row>
    <row r="8898" spans="6:14">
      <c r="F8898" s="6">
        <f>IF($M8898="PADD I","PADD 1",IF($M8898="PADD II","PADD 2",IF($M8898="PADD III","PADD 3",IF($M8898="PADD IV","PADD 4",IF($M8898="PADD V","PADD 5","")))))</f>
        <v/>
      </c>
      <c r="G8898" s="6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  <c r="N8898" s="6">
        <f>IF(OR($G8898="FCC",$G8898="Hydrocracker",$G8898="Reformer"),IF(COUNTIFS($D:$D,$D8898,$A:$A,$A8898,$B:$B,$B8898,$G:$G,"CDU",$J:$J,"PLANNED")&gt;0,"tied","standalone"),"")</f>
        <v/>
      </c>
    </row>
    <row r="8899" spans="6:14">
      <c r="F8899" s="6">
        <f>IF($M8899="PADD I","PADD 1",IF($M8899="PADD II","PADD 2",IF($M8899="PADD III","PADD 3",IF($M8899="PADD IV","PADD 4",IF($M8899="PADD V","PADD 5","")))))</f>
        <v/>
      </c>
      <c r="G8899" s="6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  <c r="N8899" s="6">
        <f>IF(OR($G8899="FCC",$G8899="Hydrocracker",$G8899="Reformer"),IF(COUNTIFS($D:$D,$D8899,$A:$A,$A8899,$B:$B,$B8899,$G:$G,"CDU",$J:$J,"PLANNED")&gt;0,"tied","standalone"),"")</f>
        <v/>
      </c>
    </row>
    <row r="8900" spans="6:14">
      <c r="F8900" s="6">
        <f>IF($M8900="PADD I","PADD 1",IF($M8900="PADD II","PADD 2",IF($M8900="PADD III","PADD 3",IF($M8900="PADD IV","PADD 4",IF($M8900="PADD V","PADD 5","")))))</f>
        <v/>
      </c>
      <c r="G8900" s="6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  <c r="N8900" s="6">
        <f>IF(OR($G8900="FCC",$G8900="Hydrocracker",$G8900="Reformer"),IF(COUNTIFS($D:$D,$D8900,$A:$A,$A8900,$B:$B,$B8900,$G:$G,"CDU",$J:$J,"PLANNED")&gt;0,"tied","standalone"),"")</f>
        <v/>
      </c>
    </row>
    <row r="8901" spans="6:14">
      <c r="F8901" s="6">
        <f>IF($M8901="PADD I","PADD 1",IF($M8901="PADD II","PADD 2",IF($M8901="PADD III","PADD 3",IF($M8901="PADD IV","PADD 4",IF($M8901="PADD V","PADD 5","")))))</f>
        <v/>
      </c>
      <c r="G8901" s="6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  <c r="N8901" s="6">
        <f>IF(OR($G8901="FCC",$G8901="Hydrocracker",$G8901="Reformer"),IF(COUNTIFS($D:$D,$D8901,$A:$A,$A8901,$B:$B,$B8901,$G:$G,"CDU",$J:$J,"PLANNED")&gt;0,"tied","standalone"),"")</f>
        <v/>
      </c>
    </row>
    <row r="8902" spans="6:14">
      <c r="F8902" s="6">
        <f>IF($M8902="PADD I","PADD 1",IF($M8902="PADD II","PADD 2",IF($M8902="PADD III","PADD 3",IF($M8902="PADD IV","PADD 4",IF($M8902="PADD V","PADD 5","")))))</f>
        <v/>
      </c>
      <c r="G8902" s="6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  <c r="N8902" s="6">
        <f>IF(OR($G8902="FCC",$G8902="Hydrocracker",$G8902="Reformer"),IF(COUNTIFS($D:$D,$D8902,$A:$A,$A8902,$B:$B,$B8902,$G:$G,"CDU",$J:$J,"PLANNED")&gt;0,"tied","standalone"),"")</f>
        <v/>
      </c>
    </row>
    <row r="8903" spans="6:14">
      <c r="F8903" s="6">
        <f>IF($M8903="PADD I","PADD 1",IF($M8903="PADD II","PADD 2",IF($M8903="PADD III","PADD 3",IF($M8903="PADD IV","PADD 4",IF($M8903="PADD V","PADD 5","")))))</f>
        <v/>
      </c>
      <c r="G8903" s="6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  <c r="N8903" s="6">
        <f>IF(OR($G8903="FCC",$G8903="Hydrocracker",$G8903="Reformer"),IF(COUNTIFS($D:$D,$D8903,$A:$A,$A8903,$B:$B,$B8903,$G:$G,"CDU",$J:$J,"PLANNED")&gt;0,"tied","standalone"),"")</f>
        <v/>
      </c>
    </row>
    <row r="8904" spans="6:14">
      <c r="F8904" s="6">
        <f>IF($M8904="PADD I","PADD 1",IF($M8904="PADD II","PADD 2",IF($M8904="PADD III","PADD 3",IF($M8904="PADD IV","PADD 4",IF($M8904="PADD V","PADD 5","")))))</f>
        <v/>
      </c>
      <c r="G8904" s="6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  <c r="N8904" s="6">
        <f>IF(OR($G8904="FCC",$G8904="Hydrocracker",$G8904="Reformer"),IF(COUNTIFS($D:$D,$D8904,$A:$A,$A8904,$B:$B,$B8904,$G:$G,"CDU",$J:$J,"PLANNED")&gt;0,"tied","standalone"),"")</f>
        <v/>
      </c>
    </row>
    <row r="8905" spans="6:14">
      <c r="F8905" s="6">
        <f>IF($M8905="PADD I","PADD 1",IF($M8905="PADD II","PADD 2",IF($M8905="PADD III","PADD 3",IF($M8905="PADD IV","PADD 4",IF($M8905="PADD V","PADD 5","")))))</f>
        <v/>
      </c>
      <c r="G8905" s="6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  <c r="N8905" s="6">
        <f>IF(OR($G8905="FCC",$G8905="Hydrocracker",$G8905="Reformer"),IF(COUNTIFS($D:$D,$D8905,$A:$A,$A8905,$B:$B,$B8905,$G:$G,"CDU",$J:$J,"PLANNED")&gt;0,"tied","standalone"),"")</f>
        <v/>
      </c>
    </row>
    <row r="8906" spans="6:14">
      <c r="F8906" s="6">
        <f>IF($M8906="PADD I","PADD 1",IF($M8906="PADD II","PADD 2",IF($M8906="PADD III","PADD 3",IF($M8906="PADD IV","PADD 4",IF($M8906="PADD V","PADD 5","")))))</f>
        <v/>
      </c>
      <c r="G8906" s="6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  <c r="N8906" s="6">
        <f>IF(OR($G8906="FCC",$G8906="Hydrocracker",$G8906="Reformer"),IF(COUNTIFS($D:$D,$D8906,$A:$A,$A8906,$B:$B,$B8906,$G:$G,"CDU",$J:$J,"PLANNED")&gt;0,"tied","standalone"),"")</f>
        <v/>
      </c>
    </row>
    <row r="8907" spans="6:14">
      <c r="F8907" s="6">
        <f>IF($M8907="PADD I","PADD 1",IF($M8907="PADD II","PADD 2",IF($M8907="PADD III","PADD 3",IF($M8907="PADD IV","PADD 4",IF($M8907="PADD V","PADD 5","")))))</f>
        <v/>
      </c>
      <c r="G8907" s="6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  <c r="N8907" s="6">
        <f>IF(OR($G8907="FCC",$G8907="Hydrocracker",$G8907="Reformer"),IF(COUNTIFS($D:$D,$D8907,$A:$A,$A8907,$B:$B,$B8907,$G:$G,"CDU",$J:$J,"PLANNED")&gt;0,"tied","standalone"),"")</f>
        <v/>
      </c>
    </row>
    <row r="8908" spans="6:14">
      <c r="F8908" s="6">
        <f>IF($M8908="PADD I","PADD 1",IF($M8908="PADD II","PADD 2",IF($M8908="PADD III","PADD 3",IF($M8908="PADD IV","PADD 4",IF($M8908="PADD V","PADD 5","")))))</f>
        <v/>
      </c>
      <c r="G8908" s="6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  <c r="N8908" s="6">
        <f>IF(OR($G8908="FCC",$G8908="Hydrocracker",$G8908="Reformer"),IF(COUNTIFS($D:$D,$D8908,$A:$A,$A8908,$B:$B,$B8908,$G:$G,"CDU",$J:$J,"PLANNED")&gt;0,"tied","standalone"),"")</f>
        <v/>
      </c>
    </row>
    <row r="8909" spans="6:14">
      <c r="F8909" s="6">
        <f>IF($M8909="PADD I","PADD 1",IF($M8909="PADD II","PADD 2",IF($M8909="PADD III","PADD 3",IF($M8909="PADD IV","PADD 4",IF($M8909="PADD V","PADD 5","")))))</f>
        <v/>
      </c>
      <c r="G8909" s="6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  <c r="N8909" s="6">
        <f>IF(OR($G8909="FCC",$G8909="Hydrocracker",$G8909="Reformer"),IF(COUNTIFS($D:$D,$D8909,$A:$A,$A8909,$B:$B,$B8909,$G:$G,"CDU",$J:$J,"PLANNED")&gt;0,"tied","standalone"),"")</f>
        <v/>
      </c>
    </row>
    <row r="8910" spans="6:14">
      <c r="F8910" s="6">
        <f>IF($M8910="PADD I","PADD 1",IF($M8910="PADD II","PADD 2",IF($M8910="PADD III","PADD 3",IF($M8910="PADD IV","PADD 4",IF($M8910="PADD V","PADD 5","")))))</f>
        <v/>
      </c>
      <c r="G8910" s="6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  <c r="N8910" s="6">
        <f>IF(OR($G8910="FCC",$G8910="Hydrocracker",$G8910="Reformer"),IF(COUNTIFS($D:$D,$D8910,$A:$A,$A8910,$B:$B,$B8910,$G:$G,"CDU",$J:$J,"PLANNED")&gt;0,"tied","standalone"),"")</f>
        <v/>
      </c>
    </row>
    <row r="8911" spans="6:14">
      <c r="F8911" s="6">
        <f>IF($M8911="PADD I","PADD 1",IF($M8911="PADD II","PADD 2",IF($M8911="PADD III","PADD 3",IF($M8911="PADD IV","PADD 4",IF($M8911="PADD V","PADD 5","")))))</f>
        <v/>
      </c>
      <c r="G8911" s="6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  <c r="N8911" s="6">
        <f>IF(OR($G8911="FCC",$G8911="Hydrocracker",$G8911="Reformer"),IF(COUNTIFS($D:$D,$D8911,$A:$A,$A8911,$B:$B,$B8911,$G:$G,"CDU",$J:$J,"PLANNED")&gt;0,"tied","standalone"),"")</f>
        <v/>
      </c>
    </row>
    <row r="8912" spans="6:14">
      <c r="F8912" s="6">
        <f>IF($M8912="PADD I","PADD 1",IF($M8912="PADD II","PADD 2",IF($M8912="PADD III","PADD 3",IF($M8912="PADD IV","PADD 4",IF($M8912="PADD V","PADD 5","")))))</f>
        <v/>
      </c>
      <c r="G8912" s="6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  <c r="N8912" s="6">
        <f>IF(OR($G8912="FCC",$G8912="Hydrocracker",$G8912="Reformer"),IF(COUNTIFS($D:$D,$D8912,$A:$A,$A8912,$B:$B,$B8912,$G:$G,"CDU",$J:$J,"PLANNED")&gt;0,"tied","standalone"),"")</f>
        <v/>
      </c>
    </row>
    <row r="8913" spans="6:14">
      <c r="F8913" s="6">
        <f>IF($M8913="PADD I","PADD 1",IF($M8913="PADD II","PADD 2",IF($M8913="PADD III","PADD 3",IF($M8913="PADD IV","PADD 4",IF($M8913="PADD V","PADD 5","")))))</f>
        <v/>
      </c>
      <c r="G8913" s="6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  <c r="N8913" s="6">
        <f>IF(OR($G8913="FCC",$G8913="Hydrocracker",$G8913="Reformer"),IF(COUNTIFS($D:$D,$D8913,$A:$A,$A8913,$B:$B,$B8913,$G:$G,"CDU",$J:$J,"PLANNED")&gt;0,"tied","standalone"),"")</f>
        <v/>
      </c>
    </row>
    <row r="8914" spans="6:14">
      <c r="F8914" s="6">
        <f>IF($M8914="PADD I","PADD 1",IF($M8914="PADD II","PADD 2",IF($M8914="PADD III","PADD 3",IF($M8914="PADD IV","PADD 4",IF($M8914="PADD V","PADD 5","")))))</f>
        <v/>
      </c>
      <c r="G8914" s="6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  <c r="N8914" s="6">
        <f>IF(OR($G8914="FCC",$G8914="Hydrocracker",$G8914="Reformer"),IF(COUNTIFS($D:$D,$D8914,$A:$A,$A8914,$B:$B,$B8914,$G:$G,"CDU",$J:$J,"PLANNED")&gt;0,"tied","standalone"),"")</f>
        <v/>
      </c>
    </row>
    <row r="8915" spans="6:14">
      <c r="F8915" s="6">
        <f>IF($M8915="PADD I","PADD 1",IF($M8915="PADD II","PADD 2",IF($M8915="PADD III","PADD 3",IF($M8915="PADD IV","PADD 4",IF($M8915="PADD V","PADD 5","")))))</f>
        <v/>
      </c>
      <c r="G8915" s="6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  <c r="N8915" s="6">
        <f>IF(OR($G8915="FCC",$G8915="Hydrocracker",$G8915="Reformer"),IF(COUNTIFS($D:$D,$D8915,$A:$A,$A8915,$B:$B,$B8915,$G:$G,"CDU",$J:$J,"PLANNED")&gt;0,"tied","standalone"),"")</f>
        <v/>
      </c>
    </row>
    <row r="8916" spans="6:14">
      <c r="F8916" s="6">
        <f>IF($M8916="PADD I","PADD 1",IF($M8916="PADD II","PADD 2",IF($M8916="PADD III","PADD 3",IF($M8916="PADD IV","PADD 4",IF($M8916="PADD V","PADD 5","")))))</f>
        <v/>
      </c>
      <c r="G8916" s="6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  <c r="N8916" s="6">
        <f>IF(OR($G8916="FCC",$G8916="Hydrocracker",$G8916="Reformer"),IF(COUNTIFS($D:$D,$D8916,$A:$A,$A8916,$B:$B,$B8916,$G:$G,"CDU",$J:$J,"PLANNED")&gt;0,"tied","standalone"),"")</f>
        <v/>
      </c>
    </row>
    <row r="8917" spans="6:14">
      <c r="F8917" s="6">
        <f>IF($M8917="PADD I","PADD 1",IF($M8917="PADD II","PADD 2",IF($M8917="PADD III","PADD 3",IF($M8917="PADD IV","PADD 4",IF($M8917="PADD V","PADD 5","")))))</f>
        <v/>
      </c>
      <c r="G8917" s="6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  <c r="N8917" s="6">
        <f>IF(OR($G8917="FCC",$G8917="Hydrocracker",$G8917="Reformer"),IF(COUNTIFS($D:$D,$D8917,$A:$A,$A8917,$B:$B,$B8917,$G:$G,"CDU",$J:$J,"PLANNED")&gt;0,"tied","standalone"),"")</f>
        <v/>
      </c>
    </row>
    <row r="8918" spans="6:14">
      <c r="F8918" s="6">
        <f>IF($M8918="PADD I","PADD 1",IF($M8918="PADD II","PADD 2",IF($M8918="PADD III","PADD 3",IF($M8918="PADD IV","PADD 4",IF($M8918="PADD V","PADD 5","")))))</f>
        <v/>
      </c>
      <c r="G8918" s="6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  <c r="N8918" s="6">
        <f>IF(OR($G8918="FCC",$G8918="Hydrocracker",$G8918="Reformer"),IF(COUNTIFS($D:$D,$D8918,$A:$A,$A8918,$B:$B,$B8918,$G:$G,"CDU",$J:$J,"PLANNED")&gt;0,"tied","standalone"),"")</f>
        <v/>
      </c>
    </row>
    <row r="8919" spans="6:14">
      <c r="F8919" s="6">
        <f>IF($M8919="PADD I","PADD 1",IF($M8919="PADD II","PADD 2",IF($M8919="PADD III","PADD 3",IF($M8919="PADD IV","PADD 4",IF($M8919="PADD V","PADD 5","")))))</f>
        <v/>
      </c>
      <c r="G8919" s="6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  <c r="N8919" s="6">
        <f>IF(OR($G8919="FCC",$G8919="Hydrocracker",$G8919="Reformer"),IF(COUNTIFS($D:$D,$D8919,$A:$A,$A8919,$B:$B,$B8919,$G:$G,"CDU",$J:$J,"PLANNED")&gt;0,"tied","standalone"),"")</f>
        <v/>
      </c>
    </row>
    <row r="8920" spans="6:14">
      <c r="F8920" s="6">
        <f>IF($M8920="PADD I","PADD 1",IF($M8920="PADD II","PADD 2",IF($M8920="PADD III","PADD 3",IF($M8920="PADD IV","PADD 4",IF($M8920="PADD V","PADD 5","")))))</f>
        <v/>
      </c>
      <c r="G8920" s="6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  <c r="N8920" s="6">
        <f>IF(OR($G8920="FCC",$G8920="Hydrocracker",$G8920="Reformer"),IF(COUNTIFS($D:$D,$D8920,$A:$A,$A8920,$B:$B,$B8920,$G:$G,"CDU",$J:$J,"PLANNED")&gt;0,"tied","standalone"),"")</f>
        <v/>
      </c>
    </row>
    <row r="8921" spans="6:14">
      <c r="F8921" s="6">
        <f>IF($M8921="PADD I","PADD 1",IF($M8921="PADD II","PADD 2",IF($M8921="PADD III","PADD 3",IF($M8921="PADD IV","PADD 4",IF($M8921="PADD V","PADD 5","")))))</f>
        <v/>
      </c>
      <c r="G8921" s="6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  <c r="N8921" s="6">
        <f>IF(OR($G8921="FCC",$G8921="Hydrocracker",$G8921="Reformer"),IF(COUNTIFS($D:$D,$D8921,$A:$A,$A8921,$B:$B,$B8921,$G:$G,"CDU",$J:$J,"PLANNED")&gt;0,"tied","standalone"),"")</f>
        <v/>
      </c>
    </row>
    <row r="8922" spans="6:14">
      <c r="F8922" s="6">
        <f>IF($M8922="PADD I","PADD 1",IF($M8922="PADD II","PADD 2",IF($M8922="PADD III","PADD 3",IF($M8922="PADD IV","PADD 4",IF($M8922="PADD V","PADD 5","")))))</f>
        <v/>
      </c>
      <c r="G8922" s="6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  <c r="N8922" s="6">
        <f>IF(OR($G8922="FCC",$G8922="Hydrocracker",$G8922="Reformer"),IF(COUNTIFS($D:$D,$D8922,$A:$A,$A8922,$B:$B,$B8922,$G:$G,"CDU",$J:$J,"PLANNED")&gt;0,"tied","standalone"),"")</f>
        <v/>
      </c>
    </row>
    <row r="8923" spans="6:14">
      <c r="F8923" s="6">
        <f>IF($M8923="PADD I","PADD 1",IF($M8923="PADD II","PADD 2",IF($M8923="PADD III","PADD 3",IF($M8923="PADD IV","PADD 4",IF($M8923="PADD V","PADD 5","")))))</f>
        <v/>
      </c>
      <c r="G8923" s="6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  <c r="N8923" s="6">
        <f>IF(OR($G8923="FCC",$G8923="Hydrocracker",$G8923="Reformer"),IF(COUNTIFS($D:$D,$D8923,$A:$A,$A8923,$B:$B,$B8923,$G:$G,"CDU",$J:$J,"PLANNED")&gt;0,"tied","standalone"),"")</f>
        <v/>
      </c>
    </row>
    <row r="8924" spans="6:14">
      <c r="F8924" s="6">
        <f>IF($M8924="PADD I","PADD 1",IF($M8924="PADD II","PADD 2",IF($M8924="PADD III","PADD 3",IF($M8924="PADD IV","PADD 4",IF($M8924="PADD V","PADD 5","")))))</f>
        <v/>
      </c>
      <c r="G8924" s="6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  <c r="N8924" s="6">
        <f>IF(OR($G8924="FCC",$G8924="Hydrocracker",$G8924="Reformer"),IF(COUNTIFS($D:$D,$D8924,$A:$A,$A8924,$B:$B,$B8924,$G:$G,"CDU",$J:$J,"PLANNED")&gt;0,"tied","standalone"),"")</f>
        <v/>
      </c>
    </row>
    <row r="8925" spans="6:14">
      <c r="F8925" s="6">
        <f>IF($M8925="PADD I","PADD 1",IF($M8925="PADD II","PADD 2",IF($M8925="PADD III","PADD 3",IF($M8925="PADD IV","PADD 4",IF($M8925="PADD V","PADD 5","")))))</f>
        <v/>
      </c>
      <c r="G8925" s="6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  <c r="N8925" s="6">
        <f>IF(OR($G8925="FCC",$G8925="Hydrocracker",$G8925="Reformer"),IF(COUNTIFS($D:$D,$D8925,$A:$A,$A8925,$B:$B,$B8925,$G:$G,"CDU",$J:$J,"PLANNED")&gt;0,"tied","standalone"),"")</f>
        <v/>
      </c>
    </row>
    <row r="8926" spans="6:14">
      <c r="F8926" s="6">
        <f>IF($M8926="PADD I","PADD 1",IF($M8926="PADD II","PADD 2",IF($M8926="PADD III","PADD 3",IF($M8926="PADD IV","PADD 4",IF($M8926="PADD V","PADD 5","")))))</f>
        <v/>
      </c>
      <c r="G8926" s="6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  <c r="N8926" s="6">
        <f>IF(OR($G8926="FCC",$G8926="Hydrocracker",$G8926="Reformer"),IF(COUNTIFS($D:$D,$D8926,$A:$A,$A8926,$B:$B,$B8926,$G:$G,"CDU",$J:$J,"PLANNED")&gt;0,"tied","standalone"),"")</f>
        <v/>
      </c>
    </row>
    <row r="8927" spans="6:14">
      <c r="F8927" s="6">
        <f>IF($M8927="PADD I","PADD 1",IF($M8927="PADD II","PADD 2",IF($M8927="PADD III","PADD 3",IF($M8927="PADD IV","PADD 4",IF($M8927="PADD V","PADD 5","")))))</f>
        <v/>
      </c>
      <c r="G8927" s="6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  <c r="N8927" s="6">
        <f>IF(OR($G8927="FCC",$G8927="Hydrocracker",$G8927="Reformer"),IF(COUNTIFS($D:$D,$D8927,$A:$A,$A8927,$B:$B,$B8927,$G:$G,"CDU",$J:$J,"PLANNED")&gt;0,"tied","standalone"),"")</f>
        <v/>
      </c>
    </row>
    <row r="8928" spans="6:14">
      <c r="F8928" s="6">
        <f>IF($M8928="PADD I","PADD 1",IF($M8928="PADD II","PADD 2",IF($M8928="PADD III","PADD 3",IF($M8928="PADD IV","PADD 4",IF($M8928="PADD V","PADD 5","")))))</f>
        <v/>
      </c>
      <c r="G8928" s="6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  <c r="N8928" s="6">
        <f>IF(OR($G8928="FCC",$G8928="Hydrocracker",$G8928="Reformer"),IF(COUNTIFS($D:$D,$D8928,$A:$A,$A8928,$B:$B,$B8928,$G:$G,"CDU",$J:$J,"PLANNED")&gt;0,"tied","standalone"),"")</f>
        <v/>
      </c>
    </row>
    <row r="8929" spans="6:14">
      <c r="F8929" s="6">
        <f>IF($M8929="PADD I","PADD 1",IF($M8929="PADD II","PADD 2",IF($M8929="PADD III","PADD 3",IF($M8929="PADD IV","PADD 4",IF($M8929="PADD V","PADD 5","")))))</f>
        <v/>
      </c>
      <c r="G8929" s="6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  <c r="N8929" s="6">
        <f>IF(OR($G8929="FCC",$G8929="Hydrocracker",$G8929="Reformer"),IF(COUNTIFS($D:$D,$D8929,$A:$A,$A8929,$B:$B,$B8929,$G:$G,"CDU",$J:$J,"PLANNED")&gt;0,"tied","standalone"),"")</f>
        <v/>
      </c>
    </row>
    <row r="8930" spans="6:14">
      <c r="F8930" s="6">
        <f>IF($M8930="PADD I","PADD 1",IF($M8930="PADD II","PADD 2",IF($M8930="PADD III","PADD 3",IF($M8930="PADD IV","PADD 4",IF($M8930="PADD V","PADD 5","")))))</f>
        <v/>
      </c>
      <c r="G8930" s="6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  <c r="N8930" s="6">
        <f>IF(OR($G8930="FCC",$G8930="Hydrocracker",$G8930="Reformer"),IF(COUNTIFS($D:$D,$D8930,$A:$A,$A8930,$B:$B,$B8930,$G:$G,"CDU",$J:$J,"PLANNED")&gt;0,"tied","standalone"),"")</f>
        <v/>
      </c>
    </row>
    <row r="8931" spans="6:14">
      <c r="F8931" s="6">
        <f>IF($M8931="PADD I","PADD 1",IF($M8931="PADD II","PADD 2",IF($M8931="PADD III","PADD 3",IF($M8931="PADD IV","PADD 4",IF($M8931="PADD V","PADD 5","")))))</f>
        <v/>
      </c>
      <c r="G8931" s="6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  <c r="N8931" s="6">
        <f>IF(OR($G8931="FCC",$G8931="Hydrocracker",$G8931="Reformer"),IF(COUNTIFS($D:$D,$D8931,$A:$A,$A8931,$B:$B,$B8931,$G:$G,"CDU",$J:$J,"PLANNED")&gt;0,"tied","standalone"),"")</f>
        <v/>
      </c>
    </row>
    <row r="8932" spans="6:14">
      <c r="F8932" s="6">
        <f>IF($M8932="PADD I","PADD 1",IF($M8932="PADD II","PADD 2",IF($M8932="PADD III","PADD 3",IF($M8932="PADD IV","PADD 4",IF($M8932="PADD V","PADD 5","")))))</f>
        <v/>
      </c>
      <c r="G8932" s="6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  <c r="N8932" s="6">
        <f>IF(OR($G8932="FCC",$G8932="Hydrocracker",$G8932="Reformer"),IF(COUNTIFS($D:$D,$D8932,$A:$A,$A8932,$B:$B,$B8932,$G:$G,"CDU",$J:$J,"PLANNED")&gt;0,"tied","standalone"),"")</f>
        <v/>
      </c>
    </row>
    <row r="8933" spans="6:14">
      <c r="F8933" s="6">
        <f>IF($M8933="PADD I","PADD 1",IF($M8933="PADD II","PADD 2",IF($M8933="PADD III","PADD 3",IF($M8933="PADD IV","PADD 4",IF($M8933="PADD V","PADD 5","")))))</f>
        <v/>
      </c>
      <c r="G8933" s="6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  <c r="N8933" s="6">
        <f>IF(OR($G8933="FCC",$G8933="Hydrocracker",$G8933="Reformer"),IF(COUNTIFS($D:$D,$D8933,$A:$A,$A8933,$B:$B,$B8933,$G:$G,"CDU",$J:$J,"PLANNED")&gt;0,"tied","standalone"),"")</f>
        <v/>
      </c>
    </row>
    <row r="8934" spans="6:14">
      <c r="F8934" s="6">
        <f>IF($M8934="PADD I","PADD 1",IF($M8934="PADD II","PADD 2",IF($M8934="PADD III","PADD 3",IF($M8934="PADD IV","PADD 4",IF($M8934="PADD V","PADD 5","")))))</f>
        <v/>
      </c>
      <c r="G8934" s="6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  <c r="N8934" s="6">
        <f>IF(OR($G8934="FCC",$G8934="Hydrocracker",$G8934="Reformer"),IF(COUNTIFS($D:$D,$D8934,$A:$A,$A8934,$B:$B,$B8934,$G:$G,"CDU",$J:$J,"PLANNED")&gt;0,"tied","standalone"),"")</f>
        <v/>
      </c>
    </row>
    <row r="8935" spans="6:14">
      <c r="F8935" s="6">
        <f>IF($M8935="PADD I","PADD 1",IF($M8935="PADD II","PADD 2",IF($M8935="PADD III","PADD 3",IF($M8935="PADD IV","PADD 4",IF($M8935="PADD V","PADD 5","")))))</f>
        <v/>
      </c>
      <c r="G8935" s="6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  <c r="N8935" s="6">
        <f>IF(OR($G8935="FCC",$G8935="Hydrocracker",$G8935="Reformer"),IF(COUNTIFS($D:$D,$D8935,$A:$A,$A8935,$B:$B,$B8935,$G:$G,"CDU",$J:$J,"PLANNED")&gt;0,"tied","standalone"),"")</f>
        <v/>
      </c>
    </row>
    <row r="8936" spans="6:14">
      <c r="F8936" s="6">
        <f>IF($M8936="PADD I","PADD 1",IF($M8936="PADD II","PADD 2",IF($M8936="PADD III","PADD 3",IF($M8936="PADD IV","PADD 4",IF($M8936="PADD V","PADD 5","")))))</f>
        <v/>
      </c>
      <c r="G8936" s="6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  <c r="N8936" s="6">
        <f>IF(OR($G8936="FCC",$G8936="Hydrocracker",$G8936="Reformer"),IF(COUNTIFS($D:$D,$D8936,$A:$A,$A8936,$B:$B,$B8936,$G:$G,"CDU",$J:$J,"PLANNED")&gt;0,"tied","standalone"),"")</f>
        <v/>
      </c>
    </row>
    <row r="8937" spans="6:14">
      <c r="F8937" s="6">
        <f>IF($M8937="PADD I","PADD 1",IF($M8937="PADD II","PADD 2",IF($M8937="PADD III","PADD 3",IF($M8937="PADD IV","PADD 4",IF($M8937="PADD V","PADD 5","")))))</f>
        <v/>
      </c>
      <c r="G8937" s="6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  <c r="N8937" s="6">
        <f>IF(OR($G8937="FCC",$G8937="Hydrocracker",$G8937="Reformer"),IF(COUNTIFS($D:$D,$D8937,$A:$A,$A8937,$B:$B,$B8937,$G:$G,"CDU",$J:$J,"PLANNED")&gt;0,"tied","standalone"),"")</f>
        <v/>
      </c>
    </row>
    <row r="8938" spans="6:14">
      <c r="F8938" s="6">
        <f>IF($M8938="PADD I","PADD 1",IF($M8938="PADD II","PADD 2",IF($M8938="PADD III","PADD 3",IF($M8938="PADD IV","PADD 4",IF($M8938="PADD V","PADD 5","")))))</f>
        <v/>
      </c>
      <c r="G8938" s="6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  <c r="N8938" s="6">
        <f>IF(OR($G8938="FCC",$G8938="Hydrocracker",$G8938="Reformer"),IF(COUNTIFS($D:$D,$D8938,$A:$A,$A8938,$B:$B,$B8938,$G:$G,"CDU",$J:$J,"PLANNED")&gt;0,"tied","standalone"),"")</f>
        <v/>
      </c>
    </row>
    <row r="8939" spans="6:14">
      <c r="F8939" s="6">
        <f>IF($M8939="PADD I","PADD 1",IF($M8939="PADD II","PADD 2",IF($M8939="PADD III","PADD 3",IF($M8939="PADD IV","PADD 4",IF($M8939="PADD V","PADD 5","")))))</f>
        <v/>
      </c>
      <c r="G8939" s="6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  <c r="N8939" s="6">
        <f>IF(OR($G8939="FCC",$G8939="Hydrocracker",$G8939="Reformer"),IF(COUNTIFS($D:$D,$D8939,$A:$A,$A8939,$B:$B,$B8939,$G:$G,"CDU",$J:$J,"PLANNED")&gt;0,"tied","standalone"),"")</f>
        <v/>
      </c>
    </row>
    <row r="8940" spans="6:14">
      <c r="F8940" s="6">
        <f>IF($M8940="PADD I","PADD 1",IF($M8940="PADD II","PADD 2",IF($M8940="PADD III","PADD 3",IF($M8940="PADD IV","PADD 4",IF($M8940="PADD V","PADD 5","")))))</f>
        <v/>
      </c>
      <c r="G8940" s="6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  <c r="N8940" s="6">
        <f>IF(OR($G8940="FCC",$G8940="Hydrocracker",$G8940="Reformer"),IF(COUNTIFS($D:$D,$D8940,$A:$A,$A8940,$B:$B,$B8940,$G:$G,"CDU",$J:$J,"PLANNED")&gt;0,"tied","standalone"),"")</f>
        <v/>
      </c>
    </row>
    <row r="8941" spans="6:14">
      <c r="F8941" s="6">
        <f>IF($M8941="PADD I","PADD 1",IF($M8941="PADD II","PADD 2",IF($M8941="PADD III","PADD 3",IF($M8941="PADD IV","PADD 4",IF($M8941="PADD V","PADD 5","")))))</f>
        <v/>
      </c>
      <c r="G8941" s="6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  <c r="N8941" s="6">
        <f>IF(OR($G8941="FCC",$G8941="Hydrocracker",$G8941="Reformer"),IF(COUNTIFS($D:$D,$D8941,$A:$A,$A8941,$B:$B,$B8941,$G:$G,"CDU",$J:$J,"PLANNED")&gt;0,"tied","standalone"),"")</f>
        <v/>
      </c>
    </row>
    <row r="8942" spans="6:14">
      <c r="F8942" s="6">
        <f>IF($M8942="PADD I","PADD 1",IF($M8942="PADD II","PADD 2",IF($M8942="PADD III","PADD 3",IF($M8942="PADD IV","PADD 4",IF($M8942="PADD V","PADD 5","")))))</f>
        <v/>
      </c>
      <c r="G8942" s="6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  <c r="N8942" s="6">
        <f>IF(OR($G8942="FCC",$G8942="Hydrocracker",$G8942="Reformer"),IF(COUNTIFS($D:$D,$D8942,$A:$A,$A8942,$B:$B,$B8942,$G:$G,"CDU",$J:$J,"PLANNED")&gt;0,"tied","standalone"),"")</f>
        <v/>
      </c>
    </row>
    <row r="8943" spans="6:14">
      <c r="F8943" s="6">
        <f>IF($M8943="PADD I","PADD 1",IF($M8943="PADD II","PADD 2",IF($M8943="PADD III","PADD 3",IF($M8943="PADD IV","PADD 4",IF($M8943="PADD V","PADD 5","")))))</f>
        <v/>
      </c>
      <c r="G8943" s="6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  <c r="N8943" s="6">
        <f>IF(OR($G8943="FCC",$G8943="Hydrocracker",$G8943="Reformer"),IF(COUNTIFS($D:$D,$D8943,$A:$A,$A8943,$B:$B,$B8943,$G:$G,"CDU",$J:$J,"PLANNED")&gt;0,"tied","standalone"),"")</f>
        <v/>
      </c>
    </row>
    <row r="8944" spans="6:14">
      <c r="F8944" s="6">
        <f>IF($M8944="PADD I","PADD 1",IF($M8944="PADD II","PADD 2",IF($M8944="PADD III","PADD 3",IF($M8944="PADD IV","PADD 4",IF($M8944="PADD V","PADD 5","")))))</f>
        <v/>
      </c>
      <c r="G8944" s="6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  <c r="N8944" s="6">
        <f>IF(OR($G8944="FCC",$G8944="Hydrocracker",$G8944="Reformer"),IF(COUNTIFS($D:$D,$D8944,$A:$A,$A8944,$B:$B,$B8944,$G:$G,"CDU",$J:$J,"PLANNED")&gt;0,"tied","standalone"),"")</f>
        <v/>
      </c>
    </row>
    <row r="8945" spans="6:14">
      <c r="F8945" s="6">
        <f>IF($M8945="PADD I","PADD 1",IF($M8945="PADD II","PADD 2",IF($M8945="PADD III","PADD 3",IF($M8945="PADD IV","PADD 4",IF($M8945="PADD V","PADD 5","")))))</f>
        <v/>
      </c>
      <c r="G8945" s="6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  <c r="N8945" s="6">
        <f>IF(OR($G8945="FCC",$G8945="Hydrocracker",$G8945="Reformer"),IF(COUNTIFS($D:$D,$D8945,$A:$A,$A8945,$B:$B,$B8945,$G:$G,"CDU",$J:$J,"PLANNED")&gt;0,"tied","standalone"),"")</f>
        <v/>
      </c>
    </row>
    <row r="8946" spans="6:14">
      <c r="F8946" s="6">
        <f>IF($M8946="PADD I","PADD 1",IF($M8946="PADD II","PADD 2",IF($M8946="PADD III","PADD 3",IF($M8946="PADD IV","PADD 4",IF($M8946="PADD V","PADD 5","")))))</f>
        <v/>
      </c>
      <c r="G8946" s="6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  <c r="N8946" s="6">
        <f>IF(OR($G8946="FCC",$G8946="Hydrocracker",$G8946="Reformer"),IF(COUNTIFS($D:$D,$D8946,$A:$A,$A8946,$B:$B,$B8946,$G:$G,"CDU",$J:$J,"PLANNED")&gt;0,"tied","standalone"),"")</f>
        <v/>
      </c>
    </row>
    <row r="8947" spans="6:14">
      <c r="F8947" s="6">
        <f>IF($M8947="PADD I","PADD 1",IF($M8947="PADD II","PADD 2",IF($M8947="PADD III","PADD 3",IF($M8947="PADD IV","PADD 4",IF($M8947="PADD V","PADD 5","")))))</f>
        <v/>
      </c>
      <c r="G8947" s="6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  <c r="N8947" s="6">
        <f>IF(OR($G8947="FCC",$G8947="Hydrocracker",$G8947="Reformer"),IF(COUNTIFS($D:$D,$D8947,$A:$A,$A8947,$B:$B,$B8947,$G:$G,"CDU",$J:$J,"PLANNED")&gt;0,"tied","standalone"),"")</f>
        <v/>
      </c>
    </row>
    <row r="8948" spans="6:14">
      <c r="F8948" s="6">
        <f>IF($M8948="PADD I","PADD 1",IF($M8948="PADD II","PADD 2",IF($M8948="PADD III","PADD 3",IF($M8948="PADD IV","PADD 4",IF($M8948="PADD V","PADD 5","")))))</f>
        <v/>
      </c>
      <c r="G8948" s="6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  <c r="N8948" s="6">
        <f>IF(OR($G8948="FCC",$G8948="Hydrocracker",$G8948="Reformer"),IF(COUNTIFS($D:$D,$D8948,$A:$A,$A8948,$B:$B,$B8948,$G:$G,"CDU",$J:$J,"PLANNED")&gt;0,"tied","standalone"),"")</f>
        <v/>
      </c>
    </row>
    <row r="8949" spans="6:14">
      <c r="F8949" s="6">
        <f>IF($M8949="PADD I","PADD 1",IF($M8949="PADD II","PADD 2",IF($M8949="PADD III","PADD 3",IF($M8949="PADD IV","PADD 4",IF($M8949="PADD V","PADD 5","")))))</f>
        <v/>
      </c>
      <c r="G8949" s="6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  <c r="N8949" s="6">
        <f>IF(OR($G8949="FCC",$G8949="Hydrocracker",$G8949="Reformer"),IF(COUNTIFS($D:$D,$D8949,$A:$A,$A8949,$B:$B,$B8949,$G:$G,"CDU",$J:$J,"PLANNED")&gt;0,"tied","standalone"),"")</f>
        <v/>
      </c>
    </row>
    <row r="8950" spans="6:14">
      <c r="F8950" s="6">
        <f>IF($M8950="PADD I","PADD 1",IF($M8950="PADD II","PADD 2",IF($M8950="PADD III","PADD 3",IF($M8950="PADD IV","PADD 4",IF($M8950="PADD V","PADD 5","")))))</f>
        <v/>
      </c>
      <c r="G8950" s="6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  <c r="N8950" s="6">
        <f>IF(OR($G8950="FCC",$G8950="Hydrocracker",$G8950="Reformer"),IF(COUNTIFS($D:$D,$D8950,$A:$A,$A8950,$B:$B,$B8950,$G:$G,"CDU",$J:$J,"PLANNED")&gt;0,"tied","standalone"),"")</f>
        <v/>
      </c>
    </row>
    <row r="8951" spans="6:14">
      <c r="F8951" s="6">
        <f>IF($M8951="PADD I","PADD 1",IF($M8951="PADD II","PADD 2",IF($M8951="PADD III","PADD 3",IF($M8951="PADD IV","PADD 4",IF($M8951="PADD V","PADD 5","")))))</f>
        <v/>
      </c>
      <c r="G8951" s="6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  <c r="N8951" s="6">
        <f>IF(OR($G8951="FCC",$G8951="Hydrocracker",$G8951="Reformer"),IF(COUNTIFS($D:$D,$D8951,$A:$A,$A8951,$B:$B,$B8951,$G:$G,"CDU",$J:$J,"PLANNED")&gt;0,"tied","standalone"),"")</f>
        <v/>
      </c>
    </row>
    <row r="8952" spans="6:14">
      <c r="F8952" s="6">
        <f>IF($M8952="PADD I","PADD 1",IF($M8952="PADD II","PADD 2",IF($M8952="PADD III","PADD 3",IF($M8952="PADD IV","PADD 4",IF($M8952="PADD V","PADD 5","")))))</f>
        <v/>
      </c>
      <c r="G8952" s="6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  <c r="N8952" s="6">
        <f>IF(OR($G8952="FCC",$G8952="Hydrocracker",$G8952="Reformer"),IF(COUNTIFS($D:$D,$D8952,$A:$A,$A8952,$B:$B,$B8952,$G:$G,"CDU",$J:$J,"PLANNED")&gt;0,"tied","standalone"),"")</f>
        <v/>
      </c>
    </row>
    <row r="8953" spans="6:14">
      <c r="F8953" s="6">
        <f>IF($M8953="PADD I","PADD 1",IF($M8953="PADD II","PADD 2",IF($M8953="PADD III","PADD 3",IF($M8953="PADD IV","PADD 4",IF($M8953="PADD V","PADD 5","")))))</f>
        <v/>
      </c>
      <c r="G8953" s="6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  <c r="N8953" s="6">
        <f>IF(OR($G8953="FCC",$G8953="Hydrocracker",$G8953="Reformer"),IF(COUNTIFS($D:$D,$D8953,$A:$A,$A8953,$B:$B,$B8953,$G:$G,"CDU",$J:$J,"PLANNED")&gt;0,"tied","standalone"),"")</f>
        <v/>
      </c>
    </row>
    <row r="8954" spans="6:14">
      <c r="F8954" s="6">
        <f>IF($M8954="PADD I","PADD 1",IF($M8954="PADD II","PADD 2",IF($M8954="PADD III","PADD 3",IF($M8954="PADD IV","PADD 4",IF($M8954="PADD V","PADD 5","")))))</f>
        <v/>
      </c>
      <c r="G8954" s="6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  <c r="N8954" s="6">
        <f>IF(OR($G8954="FCC",$G8954="Hydrocracker",$G8954="Reformer"),IF(COUNTIFS($D:$D,$D8954,$A:$A,$A8954,$B:$B,$B8954,$G:$G,"CDU",$J:$J,"PLANNED")&gt;0,"tied","standalone"),"")</f>
        <v/>
      </c>
    </row>
    <row r="8955" spans="6:14">
      <c r="F8955" s="6">
        <f>IF($M8955="PADD I","PADD 1",IF($M8955="PADD II","PADD 2",IF($M8955="PADD III","PADD 3",IF($M8955="PADD IV","PADD 4",IF($M8955="PADD V","PADD 5","")))))</f>
        <v/>
      </c>
      <c r="G8955" s="6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  <c r="N8955" s="6">
        <f>IF(OR($G8955="FCC",$G8955="Hydrocracker",$G8955="Reformer"),IF(COUNTIFS($D:$D,$D8955,$A:$A,$A8955,$B:$B,$B8955,$G:$G,"CDU",$J:$J,"PLANNED")&gt;0,"tied","standalone"),"")</f>
        <v/>
      </c>
    </row>
    <row r="8956" spans="6:14">
      <c r="F8956" s="6">
        <f>IF($M8956="PADD I","PADD 1",IF($M8956="PADD II","PADD 2",IF($M8956="PADD III","PADD 3",IF($M8956="PADD IV","PADD 4",IF($M8956="PADD V","PADD 5","")))))</f>
        <v/>
      </c>
      <c r="G8956" s="6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  <c r="N8956" s="6">
        <f>IF(OR($G8956="FCC",$G8956="Hydrocracker",$G8956="Reformer"),IF(COUNTIFS($D:$D,$D8956,$A:$A,$A8956,$B:$B,$B8956,$G:$G,"CDU",$J:$J,"PLANNED")&gt;0,"tied","standalone"),"")</f>
        <v/>
      </c>
    </row>
    <row r="8957" spans="6:14">
      <c r="F8957" s="6">
        <f>IF($M8957="PADD I","PADD 1",IF($M8957="PADD II","PADD 2",IF($M8957="PADD III","PADD 3",IF($M8957="PADD IV","PADD 4",IF($M8957="PADD V","PADD 5","")))))</f>
        <v/>
      </c>
      <c r="G8957" s="6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  <c r="N8957" s="6">
        <f>IF(OR($G8957="FCC",$G8957="Hydrocracker",$G8957="Reformer"),IF(COUNTIFS($D:$D,$D8957,$A:$A,$A8957,$B:$B,$B8957,$G:$G,"CDU",$J:$J,"PLANNED")&gt;0,"tied","standalone"),"")</f>
        <v/>
      </c>
    </row>
    <row r="8958" spans="6:14">
      <c r="F8958" s="6">
        <f>IF($M8958="PADD I","PADD 1",IF($M8958="PADD II","PADD 2",IF($M8958="PADD III","PADD 3",IF($M8958="PADD IV","PADD 4",IF($M8958="PADD V","PADD 5","")))))</f>
        <v/>
      </c>
      <c r="G8958" s="6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  <c r="N8958" s="6">
        <f>IF(OR($G8958="FCC",$G8958="Hydrocracker",$G8958="Reformer"),IF(COUNTIFS($D:$D,$D8958,$A:$A,$A8958,$B:$B,$B8958,$G:$G,"CDU",$J:$J,"PLANNED")&gt;0,"tied","standalone"),"")</f>
        <v/>
      </c>
    </row>
    <row r="8959" spans="6:14">
      <c r="F8959" s="6">
        <f>IF($M8959="PADD I","PADD 1",IF($M8959="PADD II","PADD 2",IF($M8959="PADD III","PADD 3",IF($M8959="PADD IV","PADD 4",IF($M8959="PADD V","PADD 5","")))))</f>
        <v/>
      </c>
      <c r="G8959" s="6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  <c r="N8959" s="6">
        <f>IF(OR($G8959="FCC",$G8959="Hydrocracker",$G8959="Reformer"),IF(COUNTIFS($D:$D,$D8959,$A:$A,$A8959,$B:$B,$B8959,$G:$G,"CDU",$J:$J,"PLANNED")&gt;0,"tied","standalone"),"")</f>
        <v/>
      </c>
    </row>
    <row r="8960" spans="6:14">
      <c r="F8960" s="6">
        <f>IF($M8960="PADD I","PADD 1",IF($M8960="PADD II","PADD 2",IF($M8960="PADD III","PADD 3",IF($M8960="PADD IV","PADD 4",IF($M8960="PADD V","PADD 5","")))))</f>
        <v/>
      </c>
      <c r="G8960" s="6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  <c r="N8960" s="6">
        <f>IF(OR($G8960="FCC",$G8960="Hydrocracker",$G8960="Reformer"),IF(COUNTIFS($D:$D,$D8960,$A:$A,$A8960,$B:$B,$B8960,$G:$G,"CDU",$J:$J,"PLANNED")&gt;0,"tied","standalone"),"")</f>
        <v/>
      </c>
    </row>
    <row r="8961" spans="6:14">
      <c r="F8961" s="6">
        <f>IF($M8961="PADD I","PADD 1",IF($M8961="PADD II","PADD 2",IF($M8961="PADD III","PADD 3",IF($M8961="PADD IV","PADD 4",IF($M8961="PADD V","PADD 5","")))))</f>
        <v/>
      </c>
      <c r="G8961" s="6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  <c r="N8961" s="6">
        <f>IF(OR($G8961="FCC",$G8961="Hydrocracker",$G8961="Reformer"),IF(COUNTIFS($D:$D,$D8961,$A:$A,$A8961,$B:$B,$B8961,$G:$G,"CDU",$J:$J,"PLANNED")&gt;0,"tied","standalone"),"")</f>
        <v/>
      </c>
    </row>
    <row r="8962" spans="6:14">
      <c r="F8962" s="6">
        <f>IF($M8962="PADD I","PADD 1",IF($M8962="PADD II","PADD 2",IF($M8962="PADD III","PADD 3",IF($M8962="PADD IV","PADD 4",IF($M8962="PADD V","PADD 5","")))))</f>
        <v/>
      </c>
      <c r="G8962" s="6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  <c r="N8962" s="6">
        <f>IF(OR($G8962="FCC",$G8962="Hydrocracker",$G8962="Reformer"),IF(COUNTIFS($D:$D,$D8962,$A:$A,$A8962,$B:$B,$B8962,$G:$G,"CDU",$J:$J,"PLANNED")&gt;0,"tied","standalone"),"")</f>
        <v/>
      </c>
    </row>
    <row r="8963" spans="6:14">
      <c r="F8963" s="6">
        <f>IF($M8963="PADD I","PADD 1",IF($M8963="PADD II","PADD 2",IF($M8963="PADD III","PADD 3",IF($M8963="PADD IV","PADD 4",IF($M8963="PADD V","PADD 5","")))))</f>
        <v/>
      </c>
      <c r="G8963" s="6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  <c r="N8963" s="6">
        <f>IF(OR($G8963="FCC",$G8963="Hydrocracker",$G8963="Reformer"),IF(COUNTIFS($D:$D,$D8963,$A:$A,$A8963,$B:$B,$B8963,$G:$G,"CDU",$J:$J,"PLANNED")&gt;0,"tied","standalone"),"")</f>
        <v/>
      </c>
    </row>
    <row r="8964" spans="6:14">
      <c r="F8964" s="6">
        <f>IF($M8964="PADD I","PADD 1",IF($M8964="PADD II","PADD 2",IF($M8964="PADD III","PADD 3",IF($M8964="PADD IV","PADD 4",IF($M8964="PADD V","PADD 5","")))))</f>
        <v/>
      </c>
      <c r="G8964" s="6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  <c r="N8964" s="6">
        <f>IF(OR($G8964="FCC",$G8964="Hydrocracker",$G8964="Reformer"),IF(COUNTIFS($D:$D,$D8964,$A:$A,$A8964,$B:$B,$B8964,$G:$G,"CDU",$J:$J,"PLANNED")&gt;0,"tied","standalone"),"")</f>
        <v/>
      </c>
    </row>
    <row r="8965" spans="6:14">
      <c r="F8965" s="6">
        <f>IF($M8965="PADD I","PADD 1",IF($M8965="PADD II","PADD 2",IF($M8965="PADD III","PADD 3",IF($M8965="PADD IV","PADD 4",IF($M8965="PADD V","PADD 5","")))))</f>
        <v/>
      </c>
      <c r="G8965" s="6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  <c r="N8965" s="6">
        <f>IF(OR($G8965="FCC",$G8965="Hydrocracker",$G8965="Reformer"),IF(COUNTIFS($D:$D,$D8965,$A:$A,$A8965,$B:$B,$B8965,$G:$G,"CDU",$J:$J,"PLANNED")&gt;0,"tied","standalone"),"")</f>
        <v/>
      </c>
    </row>
    <row r="8966" spans="6:14">
      <c r="F8966" s="6">
        <f>IF($M8966="PADD I","PADD 1",IF($M8966="PADD II","PADD 2",IF($M8966="PADD III","PADD 3",IF($M8966="PADD IV","PADD 4",IF($M8966="PADD V","PADD 5","")))))</f>
        <v/>
      </c>
      <c r="G8966" s="6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  <c r="N8966" s="6">
        <f>IF(OR($G8966="FCC",$G8966="Hydrocracker",$G8966="Reformer"),IF(COUNTIFS($D:$D,$D8966,$A:$A,$A8966,$B:$B,$B8966,$G:$G,"CDU",$J:$J,"PLANNED")&gt;0,"tied","standalone"),"")</f>
        <v/>
      </c>
    </row>
    <row r="8967" spans="6:14">
      <c r="F8967" s="6">
        <f>IF($M8967="PADD I","PADD 1",IF($M8967="PADD II","PADD 2",IF($M8967="PADD III","PADD 3",IF($M8967="PADD IV","PADD 4",IF($M8967="PADD V","PADD 5","")))))</f>
        <v/>
      </c>
      <c r="G8967" s="6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  <c r="N8967" s="6">
        <f>IF(OR($G8967="FCC",$G8967="Hydrocracker",$G8967="Reformer"),IF(COUNTIFS($D:$D,$D8967,$A:$A,$A8967,$B:$B,$B8967,$G:$G,"CDU",$J:$J,"PLANNED")&gt;0,"tied","standalone"),"")</f>
        <v/>
      </c>
    </row>
    <row r="8968" spans="6:14">
      <c r="F8968" s="6">
        <f>IF($M8968="PADD I","PADD 1",IF($M8968="PADD II","PADD 2",IF($M8968="PADD III","PADD 3",IF($M8968="PADD IV","PADD 4",IF($M8968="PADD V","PADD 5","")))))</f>
        <v/>
      </c>
      <c r="G8968" s="6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  <c r="N8968" s="6">
        <f>IF(OR($G8968="FCC",$G8968="Hydrocracker",$G8968="Reformer"),IF(COUNTIFS($D:$D,$D8968,$A:$A,$A8968,$B:$B,$B8968,$G:$G,"CDU",$J:$J,"PLANNED")&gt;0,"tied","standalone"),"")</f>
        <v/>
      </c>
    </row>
    <row r="8969" spans="6:14">
      <c r="F8969" s="6">
        <f>IF($M8969="PADD I","PADD 1",IF($M8969="PADD II","PADD 2",IF($M8969="PADD III","PADD 3",IF($M8969="PADD IV","PADD 4",IF($M8969="PADD V","PADD 5","")))))</f>
        <v/>
      </c>
      <c r="G8969" s="6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  <c r="N8969" s="6">
        <f>IF(OR($G8969="FCC",$G8969="Hydrocracker",$G8969="Reformer"),IF(COUNTIFS($D:$D,$D8969,$A:$A,$A8969,$B:$B,$B8969,$G:$G,"CDU",$J:$J,"PLANNED")&gt;0,"tied","standalone"),"")</f>
        <v/>
      </c>
    </row>
    <row r="8970" spans="6:14">
      <c r="F8970" s="6">
        <f>IF($M8970="PADD I","PADD 1",IF($M8970="PADD II","PADD 2",IF($M8970="PADD III","PADD 3",IF($M8970="PADD IV","PADD 4",IF($M8970="PADD V","PADD 5","")))))</f>
        <v/>
      </c>
      <c r="G8970" s="6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  <c r="N8970" s="6">
        <f>IF(OR($G8970="FCC",$G8970="Hydrocracker",$G8970="Reformer"),IF(COUNTIFS($D:$D,$D8970,$A:$A,$A8970,$B:$B,$B8970,$G:$G,"CDU",$J:$J,"PLANNED")&gt;0,"tied","standalone"),"")</f>
        <v/>
      </c>
    </row>
    <row r="8971" spans="6:14">
      <c r="F8971" s="6">
        <f>IF($M8971="PADD I","PADD 1",IF($M8971="PADD II","PADD 2",IF($M8971="PADD III","PADD 3",IF($M8971="PADD IV","PADD 4",IF($M8971="PADD V","PADD 5","")))))</f>
        <v/>
      </c>
      <c r="G8971" s="6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  <c r="N8971" s="6">
        <f>IF(OR($G8971="FCC",$G8971="Hydrocracker",$G8971="Reformer"),IF(COUNTIFS($D:$D,$D8971,$A:$A,$A8971,$B:$B,$B8971,$G:$G,"CDU",$J:$J,"PLANNED")&gt;0,"tied","standalone"),"")</f>
        <v/>
      </c>
    </row>
    <row r="8972" spans="6:14">
      <c r="F8972" s="6">
        <f>IF($M8972="PADD I","PADD 1",IF($M8972="PADD II","PADD 2",IF($M8972="PADD III","PADD 3",IF($M8972="PADD IV","PADD 4",IF($M8972="PADD V","PADD 5","")))))</f>
        <v/>
      </c>
      <c r="G8972" s="6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  <c r="N8972" s="6">
        <f>IF(OR($G8972="FCC",$G8972="Hydrocracker",$G8972="Reformer"),IF(COUNTIFS($D:$D,$D8972,$A:$A,$A8972,$B:$B,$B8972,$G:$G,"CDU",$J:$J,"PLANNED")&gt;0,"tied","standalone"),"")</f>
        <v/>
      </c>
    </row>
    <row r="8973" spans="6:14">
      <c r="F8973" s="6">
        <f>IF($M8973="PADD I","PADD 1",IF($M8973="PADD II","PADD 2",IF($M8973="PADD III","PADD 3",IF($M8973="PADD IV","PADD 4",IF($M8973="PADD V","PADD 5","")))))</f>
        <v/>
      </c>
      <c r="G8973" s="6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  <c r="N8973" s="6">
        <f>IF(OR($G8973="FCC",$G8973="Hydrocracker",$G8973="Reformer"),IF(COUNTIFS($D:$D,$D8973,$A:$A,$A8973,$B:$B,$B8973,$G:$G,"CDU",$J:$J,"PLANNED")&gt;0,"tied","standalone"),"")</f>
        <v/>
      </c>
    </row>
    <row r="8974" spans="6:14">
      <c r="F8974" s="6">
        <f>IF($M8974="PADD I","PADD 1",IF($M8974="PADD II","PADD 2",IF($M8974="PADD III","PADD 3",IF($M8974="PADD IV","PADD 4",IF($M8974="PADD V","PADD 5","")))))</f>
        <v/>
      </c>
      <c r="G8974" s="6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  <c r="N8974" s="6">
        <f>IF(OR($G8974="FCC",$G8974="Hydrocracker",$G8974="Reformer"),IF(COUNTIFS($D:$D,$D8974,$A:$A,$A8974,$B:$B,$B8974,$G:$G,"CDU",$J:$J,"PLANNED")&gt;0,"tied","standalone"),"")</f>
        <v/>
      </c>
    </row>
    <row r="8975" spans="6:14">
      <c r="F8975" s="6">
        <f>IF($M8975="PADD I","PADD 1",IF($M8975="PADD II","PADD 2",IF($M8975="PADD III","PADD 3",IF($M8975="PADD IV","PADD 4",IF($M8975="PADD V","PADD 5","")))))</f>
        <v/>
      </c>
      <c r="G8975" s="6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  <c r="N8975" s="6">
        <f>IF(OR($G8975="FCC",$G8975="Hydrocracker",$G8975="Reformer"),IF(COUNTIFS($D:$D,$D8975,$A:$A,$A8975,$B:$B,$B8975,$G:$G,"CDU",$J:$J,"PLANNED")&gt;0,"tied","standalone"),"")</f>
        <v/>
      </c>
    </row>
    <row r="8976" spans="6:14">
      <c r="F8976" s="6">
        <f>IF($M8976="PADD I","PADD 1",IF($M8976="PADD II","PADD 2",IF($M8976="PADD III","PADD 3",IF($M8976="PADD IV","PADD 4",IF($M8976="PADD V","PADD 5","")))))</f>
        <v/>
      </c>
      <c r="G8976" s="6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  <c r="N8976" s="6">
        <f>IF(OR($G8976="FCC",$G8976="Hydrocracker",$G8976="Reformer"),IF(COUNTIFS($D:$D,$D8976,$A:$A,$A8976,$B:$B,$B8976,$G:$G,"CDU",$J:$J,"PLANNED")&gt;0,"tied","standalone"),"")</f>
        <v/>
      </c>
    </row>
    <row r="8977" spans="6:14">
      <c r="F8977" s="6">
        <f>IF($M8977="PADD I","PADD 1",IF($M8977="PADD II","PADD 2",IF($M8977="PADD III","PADD 3",IF($M8977="PADD IV","PADD 4",IF($M8977="PADD V","PADD 5","")))))</f>
        <v/>
      </c>
      <c r="G8977" s="6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  <c r="N8977" s="6">
        <f>IF(OR($G8977="FCC",$G8977="Hydrocracker",$G8977="Reformer"),IF(COUNTIFS($D:$D,$D8977,$A:$A,$A8977,$B:$B,$B8977,$G:$G,"CDU",$J:$J,"PLANNED")&gt;0,"tied","standalone"),"")</f>
        <v/>
      </c>
    </row>
    <row r="8978" spans="6:14">
      <c r="F8978" s="6">
        <f>IF($M8978="PADD I","PADD 1",IF($M8978="PADD II","PADD 2",IF($M8978="PADD III","PADD 3",IF($M8978="PADD IV","PADD 4",IF($M8978="PADD V","PADD 5","")))))</f>
        <v/>
      </c>
      <c r="G8978" s="6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  <c r="N8978" s="6">
        <f>IF(OR($G8978="FCC",$G8978="Hydrocracker",$G8978="Reformer"),IF(COUNTIFS($D:$D,$D8978,$A:$A,$A8978,$B:$B,$B8978,$G:$G,"CDU",$J:$J,"PLANNED")&gt;0,"tied","standalone"),"")</f>
        <v/>
      </c>
    </row>
    <row r="8979" spans="6:14">
      <c r="F8979" s="6">
        <f>IF($M8979="PADD I","PADD 1",IF($M8979="PADD II","PADD 2",IF($M8979="PADD III","PADD 3",IF($M8979="PADD IV","PADD 4",IF($M8979="PADD V","PADD 5","")))))</f>
        <v/>
      </c>
      <c r="G8979" s="6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  <c r="N8979" s="6">
        <f>IF(OR($G8979="FCC",$G8979="Hydrocracker",$G8979="Reformer"),IF(COUNTIFS($D:$D,$D8979,$A:$A,$A8979,$B:$B,$B8979,$G:$G,"CDU",$J:$J,"PLANNED")&gt;0,"tied","standalone"),"")</f>
        <v/>
      </c>
    </row>
    <row r="8980" spans="6:14">
      <c r="F8980" s="6">
        <f>IF($M8980="PADD I","PADD 1",IF($M8980="PADD II","PADD 2",IF($M8980="PADD III","PADD 3",IF($M8980="PADD IV","PADD 4",IF($M8980="PADD V","PADD 5","")))))</f>
        <v/>
      </c>
      <c r="G8980" s="6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  <c r="N8980" s="6">
        <f>IF(OR($G8980="FCC",$G8980="Hydrocracker",$G8980="Reformer"),IF(COUNTIFS($D:$D,$D8980,$A:$A,$A8980,$B:$B,$B8980,$G:$G,"CDU",$J:$J,"PLANNED")&gt;0,"tied","standalone"),"")</f>
        <v/>
      </c>
    </row>
    <row r="8981" spans="6:14">
      <c r="F8981" s="6">
        <f>IF($M8981="PADD I","PADD 1",IF($M8981="PADD II","PADD 2",IF($M8981="PADD III","PADD 3",IF($M8981="PADD IV","PADD 4",IF($M8981="PADD V","PADD 5","")))))</f>
        <v/>
      </c>
      <c r="G8981" s="6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  <c r="N8981" s="6">
        <f>IF(OR($G8981="FCC",$G8981="Hydrocracker",$G8981="Reformer"),IF(COUNTIFS($D:$D,$D8981,$A:$A,$A8981,$B:$B,$B8981,$G:$G,"CDU",$J:$J,"PLANNED")&gt;0,"tied","standalone"),"")</f>
        <v/>
      </c>
    </row>
    <row r="8982" spans="6:14">
      <c r="F8982" s="6">
        <f>IF($M8982="PADD I","PADD 1",IF($M8982="PADD II","PADD 2",IF($M8982="PADD III","PADD 3",IF($M8982="PADD IV","PADD 4",IF($M8982="PADD V","PADD 5","")))))</f>
        <v/>
      </c>
      <c r="G8982" s="6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  <c r="N8982" s="6">
        <f>IF(OR($G8982="FCC",$G8982="Hydrocracker",$G8982="Reformer"),IF(COUNTIFS($D:$D,$D8982,$A:$A,$A8982,$B:$B,$B8982,$G:$G,"CDU",$J:$J,"PLANNED")&gt;0,"tied","standalone"),"")</f>
        <v/>
      </c>
    </row>
    <row r="8983" spans="6:14">
      <c r="F8983" s="6">
        <f>IF($M8983="PADD I","PADD 1",IF($M8983="PADD II","PADD 2",IF($M8983="PADD III","PADD 3",IF($M8983="PADD IV","PADD 4",IF($M8983="PADD V","PADD 5","")))))</f>
        <v/>
      </c>
      <c r="G8983" s="6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  <c r="N8983" s="6">
        <f>IF(OR($G8983="FCC",$G8983="Hydrocracker",$G8983="Reformer"),IF(COUNTIFS($D:$D,$D8983,$A:$A,$A8983,$B:$B,$B8983,$G:$G,"CDU",$J:$J,"PLANNED")&gt;0,"tied","standalone"),"")</f>
        <v/>
      </c>
    </row>
    <row r="8984" spans="6:14">
      <c r="F8984" s="6">
        <f>IF($M8984="PADD I","PADD 1",IF($M8984="PADD II","PADD 2",IF($M8984="PADD III","PADD 3",IF($M8984="PADD IV","PADD 4",IF($M8984="PADD V","PADD 5","")))))</f>
        <v/>
      </c>
      <c r="G8984" s="6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  <c r="N8984" s="6">
        <f>IF(OR($G8984="FCC",$G8984="Hydrocracker",$G8984="Reformer"),IF(COUNTIFS($D:$D,$D8984,$A:$A,$A8984,$B:$B,$B8984,$G:$G,"CDU",$J:$J,"PLANNED")&gt;0,"tied","standalone"),"")</f>
        <v/>
      </c>
    </row>
    <row r="8985" spans="6:14">
      <c r="F8985" s="6">
        <f>IF($M8985="PADD I","PADD 1",IF($M8985="PADD II","PADD 2",IF($M8985="PADD III","PADD 3",IF($M8985="PADD IV","PADD 4",IF($M8985="PADD V","PADD 5","")))))</f>
        <v/>
      </c>
      <c r="G8985" s="6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  <c r="N8985" s="6">
        <f>IF(OR($G8985="FCC",$G8985="Hydrocracker",$G8985="Reformer"),IF(COUNTIFS($D:$D,$D8985,$A:$A,$A8985,$B:$B,$B8985,$G:$G,"CDU",$J:$J,"PLANNED")&gt;0,"tied","standalone"),"")</f>
        <v/>
      </c>
    </row>
    <row r="8986" spans="6:14">
      <c r="F8986" s="6">
        <f>IF($M8986="PADD I","PADD 1",IF($M8986="PADD II","PADD 2",IF($M8986="PADD III","PADD 3",IF($M8986="PADD IV","PADD 4",IF($M8986="PADD V","PADD 5","")))))</f>
        <v/>
      </c>
      <c r="G8986" s="6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  <c r="N8986" s="6">
        <f>IF(OR($G8986="FCC",$G8986="Hydrocracker",$G8986="Reformer"),IF(COUNTIFS($D:$D,$D8986,$A:$A,$A8986,$B:$B,$B8986,$G:$G,"CDU",$J:$J,"PLANNED")&gt;0,"tied","standalone"),"")</f>
        <v/>
      </c>
    </row>
    <row r="8987" spans="6:14">
      <c r="F8987" s="6">
        <f>IF($M8987="PADD I","PADD 1",IF($M8987="PADD II","PADD 2",IF($M8987="PADD III","PADD 3",IF($M8987="PADD IV","PADD 4",IF($M8987="PADD V","PADD 5","")))))</f>
        <v/>
      </c>
      <c r="G8987" s="6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  <c r="N8987" s="6">
        <f>IF(OR($G8987="FCC",$G8987="Hydrocracker",$G8987="Reformer"),IF(COUNTIFS($D:$D,$D8987,$A:$A,$A8987,$B:$B,$B8987,$G:$G,"CDU",$J:$J,"PLANNED")&gt;0,"tied","standalone"),"")</f>
        <v/>
      </c>
    </row>
    <row r="8988" spans="6:14">
      <c r="F8988" s="6">
        <f>IF($M8988="PADD I","PADD 1",IF($M8988="PADD II","PADD 2",IF($M8988="PADD III","PADD 3",IF($M8988="PADD IV","PADD 4",IF($M8988="PADD V","PADD 5","")))))</f>
        <v/>
      </c>
      <c r="G8988" s="6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  <c r="N8988" s="6">
        <f>IF(OR($G8988="FCC",$G8988="Hydrocracker",$G8988="Reformer"),IF(COUNTIFS($D:$D,$D8988,$A:$A,$A8988,$B:$B,$B8988,$G:$G,"CDU",$J:$J,"PLANNED")&gt;0,"tied","standalone"),"")</f>
        <v/>
      </c>
    </row>
    <row r="8989" spans="6:14">
      <c r="F8989" s="6">
        <f>IF($M8989="PADD I","PADD 1",IF($M8989="PADD II","PADD 2",IF($M8989="PADD III","PADD 3",IF($M8989="PADD IV","PADD 4",IF($M8989="PADD V","PADD 5","")))))</f>
        <v/>
      </c>
      <c r="G8989" s="6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  <c r="N8989" s="6">
        <f>IF(OR($G8989="FCC",$G8989="Hydrocracker",$G8989="Reformer"),IF(COUNTIFS($D:$D,$D8989,$A:$A,$A8989,$B:$B,$B8989,$G:$G,"CDU",$J:$J,"PLANNED")&gt;0,"tied","standalone"),"")</f>
        <v/>
      </c>
    </row>
    <row r="8990" spans="6:14">
      <c r="F8990" s="6">
        <f>IF($M8990="PADD I","PADD 1",IF($M8990="PADD II","PADD 2",IF($M8990="PADD III","PADD 3",IF($M8990="PADD IV","PADD 4",IF($M8990="PADD V","PADD 5","")))))</f>
        <v/>
      </c>
      <c r="G8990" s="6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  <c r="N8990" s="6">
        <f>IF(OR($G8990="FCC",$G8990="Hydrocracker",$G8990="Reformer"),IF(COUNTIFS($D:$D,$D8990,$A:$A,$A8990,$B:$B,$B8990,$G:$G,"CDU",$J:$J,"PLANNED")&gt;0,"tied","standalone"),"")</f>
        <v/>
      </c>
    </row>
    <row r="8991" spans="6:14">
      <c r="F8991" s="6">
        <f>IF($M8991="PADD I","PADD 1",IF($M8991="PADD II","PADD 2",IF($M8991="PADD III","PADD 3",IF($M8991="PADD IV","PADD 4",IF($M8991="PADD V","PADD 5","")))))</f>
        <v/>
      </c>
      <c r="G8991" s="6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  <c r="N8991" s="6">
        <f>IF(OR($G8991="FCC",$G8991="Hydrocracker",$G8991="Reformer"),IF(COUNTIFS($D:$D,$D8991,$A:$A,$A8991,$B:$B,$B8991,$G:$G,"CDU",$J:$J,"PLANNED")&gt;0,"tied","standalone"),"")</f>
        <v/>
      </c>
    </row>
    <row r="8992" spans="6:14">
      <c r="F8992" s="6">
        <f>IF($M8992="PADD I","PADD 1",IF($M8992="PADD II","PADD 2",IF($M8992="PADD III","PADD 3",IF($M8992="PADD IV","PADD 4",IF($M8992="PADD V","PADD 5","")))))</f>
        <v/>
      </c>
      <c r="G8992" s="6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  <c r="N8992" s="6">
        <f>IF(OR($G8992="FCC",$G8992="Hydrocracker",$G8992="Reformer"),IF(COUNTIFS($D:$D,$D8992,$A:$A,$A8992,$B:$B,$B8992,$G:$G,"CDU",$J:$J,"PLANNED")&gt;0,"tied","standalone"),"")</f>
        <v/>
      </c>
    </row>
    <row r="8993" spans="6:14">
      <c r="F8993" s="6">
        <f>IF($M8993="PADD I","PADD 1",IF($M8993="PADD II","PADD 2",IF($M8993="PADD III","PADD 3",IF($M8993="PADD IV","PADD 4",IF($M8993="PADD V","PADD 5","")))))</f>
        <v/>
      </c>
      <c r="G8993" s="6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  <c r="N8993" s="6">
        <f>IF(OR($G8993="FCC",$G8993="Hydrocracker",$G8993="Reformer"),IF(COUNTIFS($D:$D,$D8993,$A:$A,$A8993,$B:$B,$B8993,$G:$G,"CDU",$J:$J,"PLANNED")&gt;0,"tied","standalone"),"")</f>
        <v/>
      </c>
    </row>
    <row r="8994" spans="6:14">
      <c r="F8994" s="6">
        <f>IF($M8994="PADD I","PADD 1",IF($M8994="PADD II","PADD 2",IF($M8994="PADD III","PADD 3",IF($M8994="PADD IV","PADD 4",IF($M8994="PADD V","PADD 5","")))))</f>
        <v/>
      </c>
      <c r="G8994" s="6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  <c r="N8994" s="6">
        <f>IF(OR($G8994="FCC",$G8994="Hydrocracker",$G8994="Reformer"),IF(COUNTIFS($D:$D,$D8994,$A:$A,$A8994,$B:$B,$B8994,$G:$G,"CDU",$J:$J,"PLANNED")&gt;0,"tied","standalone"),"")</f>
        <v/>
      </c>
    </row>
    <row r="8995" spans="6:14">
      <c r="F8995" s="6">
        <f>IF($M8995="PADD I","PADD 1",IF($M8995="PADD II","PADD 2",IF($M8995="PADD III","PADD 3",IF($M8995="PADD IV","PADD 4",IF($M8995="PADD V","PADD 5","")))))</f>
        <v/>
      </c>
      <c r="G8995" s="6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  <c r="N8995" s="6">
        <f>IF(OR($G8995="FCC",$G8995="Hydrocracker",$G8995="Reformer"),IF(COUNTIFS($D:$D,$D8995,$A:$A,$A8995,$B:$B,$B8995,$G:$G,"CDU",$J:$J,"PLANNED")&gt;0,"tied","standalone"),"")</f>
        <v/>
      </c>
    </row>
    <row r="8996" spans="6:14">
      <c r="F8996" s="6">
        <f>IF($M8996="PADD I","PADD 1",IF($M8996="PADD II","PADD 2",IF($M8996="PADD III","PADD 3",IF($M8996="PADD IV","PADD 4",IF($M8996="PADD V","PADD 5","")))))</f>
        <v/>
      </c>
      <c r="G8996" s="6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  <c r="N8996" s="6">
        <f>IF(OR($G8996="FCC",$G8996="Hydrocracker",$G8996="Reformer"),IF(COUNTIFS($D:$D,$D8996,$A:$A,$A8996,$B:$B,$B8996,$G:$G,"CDU",$J:$J,"PLANNED")&gt;0,"tied","standalone"),"")</f>
        <v/>
      </c>
    </row>
    <row r="8997" spans="6:14">
      <c r="F8997" s="6">
        <f>IF($M8997="PADD I","PADD 1",IF($M8997="PADD II","PADD 2",IF($M8997="PADD III","PADD 3",IF($M8997="PADD IV","PADD 4",IF($M8997="PADD V","PADD 5","")))))</f>
        <v/>
      </c>
      <c r="G8997" s="6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  <c r="N8997" s="6">
        <f>IF(OR($G8997="FCC",$G8997="Hydrocracker",$G8997="Reformer"),IF(COUNTIFS($D:$D,$D8997,$A:$A,$A8997,$B:$B,$B8997,$G:$G,"CDU",$J:$J,"PLANNED")&gt;0,"tied","standalone"),"")</f>
        <v/>
      </c>
    </row>
    <row r="8998" spans="6:14">
      <c r="F8998" s="6">
        <f>IF($M8998="PADD I","PADD 1",IF($M8998="PADD II","PADD 2",IF($M8998="PADD III","PADD 3",IF($M8998="PADD IV","PADD 4",IF($M8998="PADD V","PADD 5","")))))</f>
        <v/>
      </c>
      <c r="G8998" s="6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  <c r="N8998" s="6">
        <f>IF(OR($G8998="FCC",$G8998="Hydrocracker",$G8998="Reformer"),IF(COUNTIFS($D:$D,$D8998,$A:$A,$A8998,$B:$B,$B8998,$G:$G,"CDU",$J:$J,"PLANNED")&gt;0,"tied","standalone"),"")</f>
        <v/>
      </c>
    </row>
    <row r="8999" spans="6:14">
      <c r="F8999" s="6">
        <f>IF($M8999="PADD I","PADD 1",IF($M8999="PADD II","PADD 2",IF($M8999="PADD III","PADD 3",IF($M8999="PADD IV","PADD 4",IF($M8999="PADD V","PADD 5","")))))</f>
        <v/>
      </c>
      <c r="G8999" s="6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  <c r="N8999" s="6">
        <f>IF(OR($G8999="FCC",$G8999="Hydrocracker",$G8999="Reformer"),IF(COUNTIFS($D:$D,$D8999,$A:$A,$A8999,$B:$B,$B8999,$G:$G,"CDU",$J:$J,"PLANNED")&gt;0,"tied","standalone"),"")</f>
        <v/>
      </c>
    </row>
    <row r="9000" spans="6:14">
      <c r="F9000" s="6">
        <f>IF($M9000="PADD I","PADD 1",IF($M9000="PADD II","PADD 2",IF($M9000="PADD III","PADD 3",IF($M9000="PADD IV","PADD 4",IF($M9000="PADD V","PADD 5","")))))</f>
        <v/>
      </c>
      <c r="G9000" s="6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  <c r="N9000" s="6">
        <f>IF(OR($G9000="FCC",$G9000="Hydrocracker",$G9000="Reformer"),IF(COUNTIFS($D:$D,$D9000,$A:$A,$A9000,$B:$B,$B9000,$G:$G,"CDU",$J:$J,"PLANNED")&gt;0,"tied","standalone"),"")</f>
        <v/>
      </c>
    </row>
    <row r="9001" spans="6:14">
      <c r="F9001" s="6">
        <f>IF($M9001="PADD I","PADD 1",IF($M9001="PADD II","PADD 2",IF($M9001="PADD III","PADD 3",IF($M9001="PADD IV","PADD 4",IF($M9001="PADD V","PADD 5","")))))</f>
        <v/>
      </c>
      <c r="G9001" s="6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  <c r="N9001" s="6">
        <f>IF(OR($G9001="FCC",$G9001="Hydrocracker",$G9001="Reformer"),IF(COUNTIFS($D:$D,$D9001,$A:$A,$A9001,$B:$B,$B9001,$G:$G,"CDU",$J:$J,"PLANNED")&gt;0,"tied","standalone"),"")</f>
        <v/>
      </c>
    </row>
    <row r="9002" spans="6:14">
      <c r="F9002" s="6">
        <f>IF($M9002="PADD I","PADD 1",IF($M9002="PADD II","PADD 2",IF($M9002="PADD III","PADD 3",IF($M9002="PADD IV","PADD 4",IF($M9002="PADD V","PADD 5","")))))</f>
        <v/>
      </c>
      <c r="G9002" s="6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  <c r="N9002" s="6">
        <f>IF(OR($G9002="FCC",$G9002="Hydrocracker",$G9002="Reformer"),IF(COUNTIFS($D:$D,$D9002,$A:$A,$A9002,$B:$B,$B9002,$G:$G,"CDU",$J:$J,"PLANNED")&gt;0,"tied","standalone"),"")</f>
        <v/>
      </c>
    </row>
    <row r="9003" spans="6:14">
      <c r="F9003" s="6">
        <f>IF($M9003="PADD I","PADD 1",IF($M9003="PADD II","PADD 2",IF($M9003="PADD III","PADD 3",IF($M9003="PADD IV","PADD 4",IF($M9003="PADD V","PADD 5","")))))</f>
        <v/>
      </c>
      <c r="G9003" s="6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  <c r="N9003" s="6">
        <f>IF(OR($G9003="FCC",$G9003="Hydrocracker",$G9003="Reformer"),IF(COUNTIFS($D:$D,$D9003,$A:$A,$A9003,$B:$B,$B9003,$G:$G,"CDU",$J:$J,"PLANNED")&gt;0,"tied","standalone"),"")</f>
        <v/>
      </c>
    </row>
    <row r="9004" spans="6:14">
      <c r="F9004" s="6">
        <f>IF($M9004="PADD I","PADD 1",IF($M9004="PADD II","PADD 2",IF($M9004="PADD III","PADD 3",IF($M9004="PADD IV","PADD 4",IF($M9004="PADD V","PADD 5","")))))</f>
        <v/>
      </c>
      <c r="G9004" s="6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  <c r="N9004" s="6">
        <f>IF(OR($G9004="FCC",$G9004="Hydrocracker",$G9004="Reformer"),IF(COUNTIFS($D:$D,$D9004,$A:$A,$A9004,$B:$B,$B9004,$G:$G,"CDU",$J:$J,"PLANNED")&gt;0,"tied","standalone"),"")</f>
        <v/>
      </c>
    </row>
    <row r="9005" spans="6:14">
      <c r="F9005" s="6">
        <f>IF($M9005="PADD I","PADD 1",IF($M9005="PADD II","PADD 2",IF($M9005="PADD III","PADD 3",IF($M9005="PADD IV","PADD 4",IF($M9005="PADD V","PADD 5","")))))</f>
        <v/>
      </c>
      <c r="G9005" s="6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  <c r="N9005" s="6">
        <f>IF(OR($G9005="FCC",$G9005="Hydrocracker",$G9005="Reformer"),IF(COUNTIFS($D:$D,$D9005,$A:$A,$A9005,$B:$B,$B9005,$G:$G,"CDU",$J:$J,"PLANNED")&gt;0,"tied","standalone"),"")</f>
        <v/>
      </c>
    </row>
    <row r="9006" spans="6:14">
      <c r="F9006" s="6">
        <f>IF($M9006="PADD I","PADD 1",IF($M9006="PADD II","PADD 2",IF($M9006="PADD III","PADD 3",IF($M9006="PADD IV","PADD 4",IF($M9006="PADD V","PADD 5","")))))</f>
        <v/>
      </c>
      <c r="G9006" s="6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  <c r="N9006" s="6">
        <f>IF(OR($G9006="FCC",$G9006="Hydrocracker",$G9006="Reformer"),IF(COUNTIFS($D:$D,$D9006,$A:$A,$A9006,$B:$B,$B9006,$G:$G,"CDU",$J:$J,"PLANNED")&gt;0,"tied","standalone"),"")</f>
        <v/>
      </c>
    </row>
    <row r="9007" spans="6:14">
      <c r="F9007" s="6">
        <f>IF($M9007="PADD I","PADD 1",IF($M9007="PADD II","PADD 2",IF($M9007="PADD III","PADD 3",IF($M9007="PADD IV","PADD 4",IF($M9007="PADD V","PADD 5","")))))</f>
        <v/>
      </c>
      <c r="G9007" s="6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  <c r="N9007" s="6">
        <f>IF(OR($G9007="FCC",$G9007="Hydrocracker",$G9007="Reformer"),IF(COUNTIFS($D:$D,$D9007,$A:$A,$A9007,$B:$B,$B9007,$G:$G,"CDU",$J:$J,"PLANNED")&gt;0,"tied","standalone"),"")</f>
        <v/>
      </c>
    </row>
    <row r="9008" spans="6:14">
      <c r="F9008" s="6">
        <f>IF($M9008="PADD I","PADD 1",IF($M9008="PADD II","PADD 2",IF($M9008="PADD III","PADD 3",IF($M9008="PADD IV","PADD 4",IF($M9008="PADD V","PADD 5","")))))</f>
        <v/>
      </c>
      <c r="G9008" s="6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  <c r="N9008" s="6">
        <f>IF(OR($G9008="FCC",$G9008="Hydrocracker",$G9008="Reformer"),IF(COUNTIFS($D:$D,$D9008,$A:$A,$A9008,$B:$B,$B9008,$G:$G,"CDU",$J:$J,"PLANNED")&gt;0,"tied","standalone"),"")</f>
        <v/>
      </c>
    </row>
    <row r="9009" spans="6:14">
      <c r="F9009" s="6">
        <f>IF($M9009="PADD I","PADD 1",IF($M9009="PADD II","PADD 2",IF($M9009="PADD III","PADD 3",IF($M9009="PADD IV","PADD 4",IF($M9009="PADD V","PADD 5","")))))</f>
        <v/>
      </c>
      <c r="G9009" s="6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  <c r="N9009" s="6">
        <f>IF(OR($G9009="FCC",$G9009="Hydrocracker",$G9009="Reformer"),IF(COUNTIFS($D:$D,$D9009,$A:$A,$A9009,$B:$B,$B9009,$G:$G,"CDU",$J:$J,"PLANNED")&gt;0,"tied","standalone"),"")</f>
        <v/>
      </c>
    </row>
    <row r="9010" spans="6:14">
      <c r="F9010" s="6">
        <f>IF($M9010="PADD I","PADD 1",IF($M9010="PADD II","PADD 2",IF($M9010="PADD III","PADD 3",IF($M9010="PADD IV","PADD 4",IF($M9010="PADD V","PADD 5","")))))</f>
        <v/>
      </c>
      <c r="G9010" s="6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  <c r="N9010" s="6">
        <f>IF(OR($G9010="FCC",$G9010="Hydrocracker",$G9010="Reformer"),IF(COUNTIFS($D:$D,$D9010,$A:$A,$A9010,$B:$B,$B9010,$G:$G,"CDU",$J:$J,"PLANNED")&gt;0,"tied","standalone"),"")</f>
        <v/>
      </c>
    </row>
    <row r="9011" spans="6:14">
      <c r="F9011" s="6">
        <f>IF($M9011="PADD I","PADD 1",IF($M9011="PADD II","PADD 2",IF($M9011="PADD III","PADD 3",IF($M9011="PADD IV","PADD 4",IF($M9011="PADD V","PADD 5","")))))</f>
        <v/>
      </c>
      <c r="G9011" s="6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  <c r="N9011" s="6">
        <f>IF(OR($G9011="FCC",$G9011="Hydrocracker",$G9011="Reformer"),IF(COUNTIFS($D:$D,$D9011,$A:$A,$A9011,$B:$B,$B9011,$G:$G,"CDU",$J:$J,"PLANNED")&gt;0,"tied","standalone"),"")</f>
        <v/>
      </c>
    </row>
    <row r="9012" spans="6:14">
      <c r="F9012" s="6">
        <f>IF($M9012="PADD I","PADD 1",IF($M9012="PADD II","PADD 2",IF($M9012="PADD III","PADD 3",IF($M9012="PADD IV","PADD 4",IF($M9012="PADD V","PADD 5","")))))</f>
        <v/>
      </c>
      <c r="G9012" s="6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  <c r="N9012" s="6">
        <f>IF(OR($G9012="FCC",$G9012="Hydrocracker",$G9012="Reformer"),IF(COUNTIFS($D:$D,$D9012,$A:$A,$A9012,$B:$B,$B9012,$G:$G,"CDU",$J:$J,"PLANNED")&gt;0,"tied","standalone"),"")</f>
        <v/>
      </c>
    </row>
    <row r="9013" spans="6:14">
      <c r="F9013" s="6">
        <f>IF($M9013="PADD I","PADD 1",IF($M9013="PADD II","PADD 2",IF($M9013="PADD III","PADD 3",IF($M9013="PADD IV","PADD 4",IF($M9013="PADD V","PADD 5","")))))</f>
        <v/>
      </c>
      <c r="G9013" s="6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  <c r="N9013" s="6">
        <f>IF(OR($G9013="FCC",$G9013="Hydrocracker",$G9013="Reformer"),IF(COUNTIFS($D:$D,$D9013,$A:$A,$A9013,$B:$B,$B9013,$G:$G,"CDU",$J:$J,"PLANNED")&gt;0,"tied","standalone"),"")</f>
        <v/>
      </c>
    </row>
    <row r="9014" spans="6:14">
      <c r="F9014" s="6">
        <f>IF($M9014="PADD I","PADD 1",IF($M9014="PADD II","PADD 2",IF($M9014="PADD III","PADD 3",IF($M9014="PADD IV","PADD 4",IF($M9014="PADD V","PADD 5","")))))</f>
        <v/>
      </c>
      <c r="G9014" s="6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  <c r="N9014" s="6">
        <f>IF(OR($G9014="FCC",$G9014="Hydrocracker",$G9014="Reformer"),IF(COUNTIFS($D:$D,$D9014,$A:$A,$A9014,$B:$B,$B9014,$G:$G,"CDU",$J:$J,"PLANNED")&gt;0,"tied","standalone"),"")</f>
        <v/>
      </c>
    </row>
    <row r="9015" spans="6:14">
      <c r="F9015" s="6">
        <f>IF($M9015="PADD I","PADD 1",IF($M9015="PADD II","PADD 2",IF($M9015="PADD III","PADD 3",IF($M9015="PADD IV","PADD 4",IF($M9015="PADD V","PADD 5","")))))</f>
        <v/>
      </c>
      <c r="G9015" s="6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  <c r="N9015" s="6">
        <f>IF(OR($G9015="FCC",$G9015="Hydrocracker",$G9015="Reformer"),IF(COUNTIFS($D:$D,$D9015,$A:$A,$A9015,$B:$B,$B9015,$G:$G,"CDU",$J:$J,"PLANNED")&gt;0,"tied","standalone"),"")</f>
        <v/>
      </c>
    </row>
    <row r="9016" spans="6:14">
      <c r="F9016" s="6">
        <f>IF($M9016="PADD I","PADD 1",IF($M9016="PADD II","PADD 2",IF($M9016="PADD III","PADD 3",IF($M9016="PADD IV","PADD 4",IF($M9016="PADD V","PADD 5","")))))</f>
        <v/>
      </c>
      <c r="G9016" s="6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  <c r="N9016" s="6">
        <f>IF(OR($G9016="FCC",$G9016="Hydrocracker",$G9016="Reformer"),IF(COUNTIFS($D:$D,$D9016,$A:$A,$A9016,$B:$B,$B9016,$G:$G,"CDU",$J:$J,"PLANNED")&gt;0,"tied","standalone"),"")</f>
        <v/>
      </c>
    </row>
    <row r="9017" spans="6:14">
      <c r="F9017" s="6">
        <f>IF($M9017="PADD I","PADD 1",IF($M9017="PADD II","PADD 2",IF($M9017="PADD III","PADD 3",IF($M9017="PADD IV","PADD 4",IF($M9017="PADD V","PADD 5","")))))</f>
        <v/>
      </c>
      <c r="G9017" s="6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  <c r="N9017" s="6">
        <f>IF(OR($G9017="FCC",$G9017="Hydrocracker",$G9017="Reformer"),IF(COUNTIFS($D:$D,$D9017,$A:$A,$A9017,$B:$B,$B9017,$G:$G,"CDU",$J:$J,"PLANNED")&gt;0,"tied","standalone"),"")</f>
        <v/>
      </c>
    </row>
    <row r="9018" spans="6:14">
      <c r="F9018" s="6">
        <f>IF($M9018="PADD I","PADD 1",IF($M9018="PADD II","PADD 2",IF($M9018="PADD III","PADD 3",IF($M9018="PADD IV","PADD 4",IF($M9018="PADD V","PADD 5","")))))</f>
        <v/>
      </c>
      <c r="G9018" s="6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  <c r="N9018" s="6">
        <f>IF(OR($G9018="FCC",$G9018="Hydrocracker",$G9018="Reformer"),IF(COUNTIFS($D:$D,$D9018,$A:$A,$A9018,$B:$B,$B9018,$G:$G,"CDU",$J:$J,"PLANNED")&gt;0,"tied","standalone"),"")</f>
        <v/>
      </c>
    </row>
    <row r="9019" spans="6:14">
      <c r="F9019" s="6">
        <f>IF($M9019="PADD I","PADD 1",IF($M9019="PADD II","PADD 2",IF($M9019="PADD III","PADD 3",IF($M9019="PADD IV","PADD 4",IF($M9019="PADD V","PADD 5","")))))</f>
        <v/>
      </c>
      <c r="G9019" s="6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  <c r="N9019" s="6">
        <f>IF(OR($G9019="FCC",$G9019="Hydrocracker",$G9019="Reformer"),IF(COUNTIFS($D:$D,$D9019,$A:$A,$A9019,$B:$B,$B9019,$G:$G,"CDU",$J:$J,"PLANNED")&gt;0,"tied","standalone"),"")</f>
        <v/>
      </c>
    </row>
    <row r="9020" spans="6:14">
      <c r="F9020" s="6">
        <f>IF($M9020="PADD I","PADD 1",IF($M9020="PADD II","PADD 2",IF($M9020="PADD III","PADD 3",IF($M9020="PADD IV","PADD 4",IF($M9020="PADD V","PADD 5","")))))</f>
        <v/>
      </c>
      <c r="G9020" s="6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  <c r="N9020" s="6">
        <f>IF(OR($G9020="FCC",$G9020="Hydrocracker",$G9020="Reformer"),IF(COUNTIFS($D:$D,$D9020,$A:$A,$A9020,$B:$B,$B9020,$G:$G,"CDU",$J:$J,"PLANNED")&gt;0,"tied","standalone"),"")</f>
        <v/>
      </c>
    </row>
    <row r="9021" spans="6:14">
      <c r="F9021" s="6">
        <f>IF($M9021="PADD I","PADD 1",IF($M9021="PADD II","PADD 2",IF($M9021="PADD III","PADD 3",IF($M9021="PADD IV","PADD 4",IF($M9021="PADD V","PADD 5","")))))</f>
        <v/>
      </c>
      <c r="G9021" s="6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  <c r="N9021" s="6">
        <f>IF(OR($G9021="FCC",$G9021="Hydrocracker",$G9021="Reformer"),IF(COUNTIFS($D:$D,$D9021,$A:$A,$A9021,$B:$B,$B9021,$G:$G,"CDU",$J:$J,"PLANNED")&gt;0,"tied","standalone"),"")</f>
        <v/>
      </c>
    </row>
    <row r="9022" spans="6:14">
      <c r="F9022" s="6">
        <f>IF($M9022="PADD I","PADD 1",IF($M9022="PADD II","PADD 2",IF($M9022="PADD III","PADD 3",IF($M9022="PADD IV","PADD 4",IF($M9022="PADD V","PADD 5","")))))</f>
        <v/>
      </c>
      <c r="G9022" s="6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  <c r="N9022" s="6">
        <f>IF(OR($G9022="FCC",$G9022="Hydrocracker",$G9022="Reformer"),IF(COUNTIFS($D:$D,$D9022,$A:$A,$A9022,$B:$B,$B9022,$G:$G,"CDU",$J:$J,"PLANNED")&gt;0,"tied","standalone"),"")</f>
        <v/>
      </c>
    </row>
    <row r="9023" spans="6:14">
      <c r="F9023" s="6">
        <f>IF($M9023="PADD I","PADD 1",IF($M9023="PADD II","PADD 2",IF($M9023="PADD III","PADD 3",IF($M9023="PADD IV","PADD 4",IF($M9023="PADD V","PADD 5","")))))</f>
        <v/>
      </c>
      <c r="G9023" s="6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  <c r="N9023" s="6">
        <f>IF(OR($G9023="FCC",$G9023="Hydrocracker",$G9023="Reformer"),IF(COUNTIFS($D:$D,$D9023,$A:$A,$A9023,$B:$B,$B9023,$G:$G,"CDU",$J:$J,"PLANNED")&gt;0,"tied","standalone"),"")</f>
        <v/>
      </c>
    </row>
    <row r="9024" spans="6:14">
      <c r="F9024" s="6">
        <f>IF($M9024="PADD I","PADD 1",IF($M9024="PADD II","PADD 2",IF($M9024="PADD III","PADD 3",IF($M9024="PADD IV","PADD 4",IF($M9024="PADD V","PADD 5","")))))</f>
        <v/>
      </c>
      <c r="G9024" s="6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  <c r="N9024" s="6">
        <f>IF(OR($G9024="FCC",$G9024="Hydrocracker",$G9024="Reformer"),IF(COUNTIFS($D:$D,$D9024,$A:$A,$A9024,$B:$B,$B9024,$G:$G,"CDU",$J:$J,"PLANNED")&gt;0,"tied","standalone"),"")</f>
        <v/>
      </c>
    </row>
    <row r="9025" spans="6:14">
      <c r="F9025" s="6">
        <f>IF($M9025="PADD I","PADD 1",IF($M9025="PADD II","PADD 2",IF($M9025="PADD III","PADD 3",IF($M9025="PADD IV","PADD 4",IF($M9025="PADD V","PADD 5","")))))</f>
        <v/>
      </c>
      <c r="G9025" s="6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  <c r="N9025" s="6">
        <f>IF(OR($G9025="FCC",$G9025="Hydrocracker",$G9025="Reformer"),IF(COUNTIFS($D:$D,$D9025,$A:$A,$A9025,$B:$B,$B9025,$G:$G,"CDU",$J:$J,"PLANNED")&gt;0,"tied","standalone"),"")</f>
        <v/>
      </c>
    </row>
    <row r="9026" spans="6:14">
      <c r="F9026" s="6">
        <f>IF($M9026="PADD I","PADD 1",IF($M9026="PADD II","PADD 2",IF($M9026="PADD III","PADD 3",IF($M9026="PADD IV","PADD 4",IF($M9026="PADD V","PADD 5","")))))</f>
        <v/>
      </c>
      <c r="G9026" s="6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  <c r="N9026" s="6">
        <f>IF(OR($G9026="FCC",$G9026="Hydrocracker",$G9026="Reformer"),IF(COUNTIFS($D:$D,$D9026,$A:$A,$A9026,$B:$B,$B9026,$G:$G,"CDU",$J:$J,"PLANNED")&gt;0,"tied","standalone"),"")</f>
        <v/>
      </c>
    </row>
    <row r="9027" spans="6:14">
      <c r="F9027" s="6">
        <f>IF($M9027="PADD I","PADD 1",IF($M9027="PADD II","PADD 2",IF($M9027="PADD III","PADD 3",IF($M9027="PADD IV","PADD 4",IF($M9027="PADD V","PADD 5","")))))</f>
        <v/>
      </c>
      <c r="G9027" s="6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  <c r="N9027" s="6">
        <f>IF(OR($G9027="FCC",$G9027="Hydrocracker",$G9027="Reformer"),IF(COUNTIFS($D:$D,$D9027,$A:$A,$A9027,$B:$B,$B9027,$G:$G,"CDU",$J:$J,"PLANNED")&gt;0,"tied","standalone"),"")</f>
        <v/>
      </c>
    </row>
    <row r="9028" spans="6:14">
      <c r="F9028" s="6">
        <f>IF($M9028="PADD I","PADD 1",IF($M9028="PADD II","PADD 2",IF($M9028="PADD III","PADD 3",IF($M9028="PADD IV","PADD 4",IF($M9028="PADD V","PADD 5","")))))</f>
        <v/>
      </c>
      <c r="G9028" s="6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  <c r="N9028" s="6">
        <f>IF(OR($G9028="FCC",$G9028="Hydrocracker",$G9028="Reformer"),IF(COUNTIFS($D:$D,$D9028,$A:$A,$A9028,$B:$B,$B9028,$G:$G,"CDU",$J:$J,"PLANNED")&gt;0,"tied","standalone"),"")</f>
        <v/>
      </c>
    </row>
    <row r="9029" spans="6:14">
      <c r="F9029" s="6">
        <f>IF($M9029="PADD I","PADD 1",IF($M9029="PADD II","PADD 2",IF($M9029="PADD III","PADD 3",IF($M9029="PADD IV","PADD 4",IF($M9029="PADD V","PADD 5","")))))</f>
        <v/>
      </c>
      <c r="G9029" s="6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  <c r="N9029" s="6">
        <f>IF(OR($G9029="FCC",$G9029="Hydrocracker",$G9029="Reformer"),IF(COUNTIFS($D:$D,$D9029,$A:$A,$A9029,$B:$B,$B9029,$G:$G,"CDU",$J:$J,"PLANNED")&gt;0,"tied","standalone"),"")</f>
        <v/>
      </c>
    </row>
    <row r="9030" spans="6:14">
      <c r="F9030" s="6">
        <f>IF($M9030="PADD I","PADD 1",IF($M9030="PADD II","PADD 2",IF($M9030="PADD III","PADD 3",IF($M9030="PADD IV","PADD 4",IF($M9030="PADD V","PADD 5","")))))</f>
        <v/>
      </c>
      <c r="G9030" s="6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  <c r="N9030" s="6">
        <f>IF(OR($G9030="FCC",$G9030="Hydrocracker",$G9030="Reformer"),IF(COUNTIFS($D:$D,$D9030,$A:$A,$A9030,$B:$B,$B9030,$G:$G,"CDU",$J:$J,"PLANNED")&gt;0,"tied","standalone"),"")</f>
        <v/>
      </c>
    </row>
    <row r="9031" spans="6:14">
      <c r="F9031" s="6">
        <f>IF($M9031="PADD I","PADD 1",IF($M9031="PADD II","PADD 2",IF($M9031="PADD III","PADD 3",IF($M9031="PADD IV","PADD 4",IF($M9031="PADD V","PADD 5","")))))</f>
        <v/>
      </c>
      <c r="G9031" s="6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  <c r="N9031" s="6">
        <f>IF(OR($G9031="FCC",$G9031="Hydrocracker",$G9031="Reformer"),IF(COUNTIFS($D:$D,$D9031,$A:$A,$A9031,$B:$B,$B9031,$G:$G,"CDU",$J:$J,"PLANNED")&gt;0,"tied","standalone"),"")</f>
        <v/>
      </c>
    </row>
    <row r="9032" spans="6:14">
      <c r="F9032" s="6">
        <f>IF($M9032="PADD I","PADD 1",IF($M9032="PADD II","PADD 2",IF($M9032="PADD III","PADD 3",IF($M9032="PADD IV","PADD 4",IF($M9032="PADD V","PADD 5","")))))</f>
        <v/>
      </c>
      <c r="G9032" s="6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  <c r="N9032" s="6">
        <f>IF(OR($G9032="FCC",$G9032="Hydrocracker",$G9032="Reformer"),IF(COUNTIFS($D:$D,$D9032,$A:$A,$A9032,$B:$B,$B9032,$G:$G,"CDU",$J:$J,"PLANNED")&gt;0,"tied","standalone"),"")</f>
        <v/>
      </c>
    </row>
    <row r="9033" spans="6:14">
      <c r="F9033" s="6">
        <f>IF($M9033="PADD I","PADD 1",IF($M9033="PADD II","PADD 2",IF($M9033="PADD III","PADD 3",IF($M9033="PADD IV","PADD 4",IF($M9033="PADD V","PADD 5","")))))</f>
        <v/>
      </c>
      <c r="G9033" s="6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  <c r="N9033" s="6">
        <f>IF(OR($G9033="FCC",$G9033="Hydrocracker",$G9033="Reformer"),IF(COUNTIFS($D:$D,$D9033,$A:$A,$A9033,$B:$B,$B9033,$G:$G,"CDU",$J:$J,"PLANNED")&gt;0,"tied","standalone"),"")</f>
        <v/>
      </c>
    </row>
    <row r="9034" spans="6:14">
      <c r="F9034" s="6">
        <f>IF($M9034="PADD I","PADD 1",IF($M9034="PADD II","PADD 2",IF($M9034="PADD III","PADD 3",IF($M9034="PADD IV","PADD 4",IF($M9034="PADD V","PADD 5","")))))</f>
        <v/>
      </c>
      <c r="G9034" s="6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  <c r="N9034" s="6">
        <f>IF(OR($G9034="FCC",$G9034="Hydrocracker",$G9034="Reformer"),IF(COUNTIFS($D:$D,$D9034,$A:$A,$A9034,$B:$B,$B9034,$G:$G,"CDU",$J:$J,"PLANNED")&gt;0,"tied","standalone"),"")</f>
        <v/>
      </c>
    </row>
    <row r="9035" spans="6:14">
      <c r="F9035" s="6">
        <f>IF($M9035="PADD I","PADD 1",IF($M9035="PADD II","PADD 2",IF($M9035="PADD III","PADD 3",IF($M9035="PADD IV","PADD 4",IF($M9035="PADD V","PADD 5","")))))</f>
        <v/>
      </c>
      <c r="G9035" s="6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  <c r="N9035" s="6">
        <f>IF(OR($G9035="FCC",$G9035="Hydrocracker",$G9035="Reformer"),IF(COUNTIFS($D:$D,$D9035,$A:$A,$A9035,$B:$B,$B9035,$G:$G,"CDU",$J:$J,"PLANNED")&gt;0,"tied","standalone"),"")</f>
        <v/>
      </c>
    </row>
    <row r="9036" spans="6:14">
      <c r="F9036" s="6">
        <f>IF($M9036="PADD I","PADD 1",IF($M9036="PADD II","PADD 2",IF($M9036="PADD III","PADD 3",IF($M9036="PADD IV","PADD 4",IF($M9036="PADD V","PADD 5","")))))</f>
        <v/>
      </c>
      <c r="G9036" s="6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  <c r="N9036" s="6">
        <f>IF(OR($G9036="FCC",$G9036="Hydrocracker",$G9036="Reformer"),IF(COUNTIFS($D:$D,$D9036,$A:$A,$A9036,$B:$B,$B9036,$G:$G,"CDU",$J:$J,"PLANNED")&gt;0,"tied","standalone"),"")</f>
        <v/>
      </c>
    </row>
    <row r="9037" spans="6:14">
      <c r="F9037" s="6">
        <f>IF($M9037="PADD I","PADD 1",IF($M9037="PADD II","PADD 2",IF($M9037="PADD III","PADD 3",IF($M9037="PADD IV","PADD 4",IF($M9037="PADD V","PADD 5","")))))</f>
        <v/>
      </c>
      <c r="G9037" s="6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  <c r="N9037" s="6">
        <f>IF(OR($G9037="FCC",$G9037="Hydrocracker",$G9037="Reformer"),IF(COUNTIFS($D:$D,$D9037,$A:$A,$A9037,$B:$B,$B9037,$G:$G,"CDU",$J:$J,"PLANNED")&gt;0,"tied","standalone"),"")</f>
        <v/>
      </c>
    </row>
    <row r="9038" spans="6:14">
      <c r="F9038" s="6">
        <f>IF($M9038="PADD I","PADD 1",IF($M9038="PADD II","PADD 2",IF($M9038="PADD III","PADD 3",IF($M9038="PADD IV","PADD 4",IF($M9038="PADD V","PADD 5","")))))</f>
        <v/>
      </c>
      <c r="G9038" s="6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  <c r="N9038" s="6">
        <f>IF(OR($G9038="FCC",$G9038="Hydrocracker",$G9038="Reformer"),IF(COUNTIFS($D:$D,$D9038,$A:$A,$A9038,$B:$B,$B9038,$G:$G,"CDU",$J:$J,"PLANNED")&gt;0,"tied","standalone"),"")</f>
        <v/>
      </c>
    </row>
    <row r="9039" spans="6:14">
      <c r="F9039" s="6">
        <f>IF($M9039="PADD I","PADD 1",IF($M9039="PADD II","PADD 2",IF($M9039="PADD III","PADD 3",IF($M9039="PADD IV","PADD 4",IF($M9039="PADD V","PADD 5","")))))</f>
        <v/>
      </c>
      <c r="G9039" s="6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  <c r="N9039" s="6">
        <f>IF(OR($G9039="FCC",$G9039="Hydrocracker",$G9039="Reformer"),IF(COUNTIFS($D:$D,$D9039,$A:$A,$A9039,$B:$B,$B9039,$G:$G,"CDU",$J:$J,"PLANNED")&gt;0,"tied","standalone"),"")</f>
        <v/>
      </c>
    </row>
    <row r="9040" spans="6:14">
      <c r="F9040" s="6">
        <f>IF($M9040="PADD I","PADD 1",IF($M9040="PADD II","PADD 2",IF($M9040="PADD III","PADD 3",IF($M9040="PADD IV","PADD 4",IF($M9040="PADD V","PADD 5","")))))</f>
        <v/>
      </c>
      <c r="G9040" s="6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  <c r="N9040" s="6">
        <f>IF(OR($G9040="FCC",$G9040="Hydrocracker",$G9040="Reformer"),IF(COUNTIFS($D:$D,$D9040,$A:$A,$A9040,$B:$B,$B9040,$G:$G,"CDU",$J:$J,"PLANNED")&gt;0,"tied","standalone"),"")</f>
        <v/>
      </c>
    </row>
    <row r="9041" spans="6:14">
      <c r="F9041" s="6">
        <f>IF($M9041="PADD I","PADD 1",IF($M9041="PADD II","PADD 2",IF($M9041="PADD III","PADD 3",IF($M9041="PADD IV","PADD 4",IF($M9041="PADD V","PADD 5","")))))</f>
        <v/>
      </c>
      <c r="G9041" s="6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  <c r="N9041" s="6">
        <f>IF(OR($G9041="FCC",$G9041="Hydrocracker",$G9041="Reformer"),IF(COUNTIFS($D:$D,$D9041,$A:$A,$A9041,$B:$B,$B9041,$G:$G,"CDU",$J:$J,"PLANNED")&gt;0,"tied","standalone"),"")</f>
        <v/>
      </c>
    </row>
    <row r="9042" spans="6:14">
      <c r="F9042" s="6">
        <f>IF($M9042="PADD I","PADD 1",IF($M9042="PADD II","PADD 2",IF($M9042="PADD III","PADD 3",IF($M9042="PADD IV","PADD 4",IF($M9042="PADD V","PADD 5","")))))</f>
        <v/>
      </c>
      <c r="G9042" s="6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  <c r="N9042" s="6">
        <f>IF(OR($G9042="FCC",$G9042="Hydrocracker",$G9042="Reformer"),IF(COUNTIFS($D:$D,$D9042,$A:$A,$A9042,$B:$B,$B9042,$G:$G,"CDU",$J:$J,"PLANNED")&gt;0,"tied","standalone"),"")</f>
        <v/>
      </c>
    </row>
    <row r="9043" spans="6:14">
      <c r="F9043" s="6">
        <f>IF($M9043="PADD I","PADD 1",IF($M9043="PADD II","PADD 2",IF($M9043="PADD III","PADD 3",IF($M9043="PADD IV","PADD 4",IF($M9043="PADD V","PADD 5","")))))</f>
        <v/>
      </c>
      <c r="G9043" s="6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  <c r="N9043" s="6">
        <f>IF(OR($G9043="FCC",$G9043="Hydrocracker",$G9043="Reformer"),IF(COUNTIFS($D:$D,$D9043,$A:$A,$A9043,$B:$B,$B9043,$G:$G,"CDU",$J:$J,"PLANNED")&gt;0,"tied","standalone"),"")</f>
        <v/>
      </c>
    </row>
    <row r="9044" spans="6:14">
      <c r="F9044" s="6">
        <f>IF($M9044="PADD I","PADD 1",IF($M9044="PADD II","PADD 2",IF($M9044="PADD III","PADD 3",IF($M9044="PADD IV","PADD 4",IF($M9044="PADD V","PADD 5","")))))</f>
        <v/>
      </c>
      <c r="G9044" s="6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  <c r="N9044" s="6">
        <f>IF(OR($G9044="FCC",$G9044="Hydrocracker",$G9044="Reformer"),IF(COUNTIFS($D:$D,$D9044,$A:$A,$A9044,$B:$B,$B9044,$G:$G,"CDU",$J:$J,"PLANNED")&gt;0,"tied","standalone"),"")</f>
        <v/>
      </c>
    </row>
    <row r="9045" spans="6:14">
      <c r="F9045" s="6">
        <f>IF($M9045="PADD I","PADD 1",IF($M9045="PADD II","PADD 2",IF($M9045="PADD III","PADD 3",IF($M9045="PADD IV","PADD 4",IF($M9045="PADD V","PADD 5","")))))</f>
        <v/>
      </c>
      <c r="G9045" s="6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  <c r="N9045" s="6">
        <f>IF(OR($G9045="FCC",$G9045="Hydrocracker",$G9045="Reformer"),IF(COUNTIFS($D:$D,$D9045,$A:$A,$A9045,$B:$B,$B9045,$G:$G,"CDU",$J:$J,"PLANNED")&gt;0,"tied","standalone"),"")</f>
        <v/>
      </c>
    </row>
    <row r="9046" spans="6:14">
      <c r="F9046" s="6">
        <f>IF($M9046="PADD I","PADD 1",IF($M9046="PADD II","PADD 2",IF($M9046="PADD III","PADD 3",IF($M9046="PADD IV","PADD 4",IF($M9046="PADD V","PADD 5","")))))</f>
        <v/>
      </c>
      <c r="G9046" s="6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  <c r="N9046" s="6">
        <f>IF(OR($G9046="FCC",$G9046="Hydrocracker",$G9046="Reformer"),IF(COUNTIFS($D:$D,$D9046,$A:$A,$A9046,$B:$B,$B9046,$G:$G,"CDU",$J:$J,"PLANNED")&gt;0,"tied","standalone"),"")</f>
        <v/>
      </c>
    </row>
    <row r="9047" spans="6:14">
      <c r="F9047" s="6">
        <f>IF($M9047="PADD I","PADD 1",IF($M9047="PADD II","PADD 2",IF($M9047="PADD III","PADD 3",IF($M9047="PADD IV","PADD 4",IF($M9047="PADD V","PADD 5","")))))</f>
        <v/>
      </c>
      <c r="G9047" s="6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  <c r="N9047" s="6">
        <f>IF(OR($G9047="FCC",$G9047="Hydrocracker",$G9047="Reformer"),IF(COUNTIFS($D:$D,$D9047,$A:$A,$A9047,$B:$B,$B9047,$G:$G,"CDU",$J:$J,"PLANNED")&gt;0,"tied","standalone"),"")</f>
        <v/>
      </c>
    </row>
    <row r="9048" spans="6:14">
      <c r="F9048" s="6">
        <f>IF($M9048="PADD I","PADD 1",IF($M9048="PADD II","PADD 2",IF($M9048="PADD III","PADD 3",IF($M9048="PADD IV","PADD 4",IF($M9048="PADD V","PADD 5","")))))</f>
        <v/>
      </c>
      <c r="G9048" s="6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  <c r="N9048" s="6">
        <f>IF(OR($G9048="FCC",$G9048="Hydrocracker",$G9048="Reformer"),IF(COUNTIFS($D:$D,$D9048,$A:$A,$A9048,$B:$B,$B9048,$G:$G,"CDU",$J:$J,"PLANNED")&gt;0,"tied","standalone"),"")</f>
        <v/>
      </c>
    </row>
    <row r="9049" spans="6:14">
      <c r="F9049" s="6">
        <f>IF($M9049="PADD I","PADD 1",IF($M9049="PADD II","PADD 2",IF($M9049="PADD III","PADD 3",IF($M9049="PADD IV","PADD 4",IF($M9049="PADD V","PADD 5","")))))</f>
        <v/>
      </c>
      <c r="G9049" s="6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  <c r="N9049" s="6">
        <f>IF(OR($G9049="FCC",$G9049="Hydrocracker",$G9049="Reformer"),IF(COUNTIFS($D:$D,$D9049,$A:$A,$A9049,$B:$B,$B9049,$G:$G,"CDU",$J:$J,"PLANNED")&gt;0,"tied","standalone"),"")</f>
        <v/>
      </c>
    </row>
    <row r="9050" spans="6:14">
      <c r="F9050" s="6">
        <f>IF($M9050="PADD I","PADD 1",IF($M9050="PADD II","PADD 2",IF($M9050="PADD III","PADD 3",IF($M9050="PADD IV","PADD 4",IF($M9050="PADD V","PADD 5","")))))</f>
        <v/>
      </c>
      <c r="G9050" s="6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  <c r="N9050" s="6">
        <f>IF(OR($G9050="FCC",$G9050="Hydrocracker",$G9050="Reformer"),IF(COUNTIFS($D:$D,$D9050,$A:$A,$A9050,$B:$B,$B9050,$G:$G,"CDU",$J:$J,"PLANNED")&gt;0,"tied","standalone"),"")</f>
        <v/>
      </c>
    </row>
    <row r="9051" spans="6:14">
      <c r="F9051" s="6">
        <f>IF($M9051="PADD I","PADD 1",IF($M9051="PADD II","PADD 2",IF($M9051="PADD III","PADD 3",IF($M9051="PADD IV","PADD 4",IF($M9051="PADD V","PADD 5","")))))</f>
        <v/>
      </c>
      <c r="G9051" s="6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  <c r="N9051" s="6">
        <f>IF(OR($G9051="FCC",$G9051="Hydrocracker",$G9051="Reformer"),IF(COUNTIFS($D:$D,$D9051,$A:$A,$A9051,$B:$B,$B9051,$G:$G,"CDU",$J:$J,"PLANNED")&gt;0,"tied","standalone"),"")</f>
        <v/>
      </c>
    </row>
    <row r="9052" spans="6:14">
      <c r="F9052" s="6">
        <f>IF($M9052="PADD I","PADD 1",IF($M9052="PADD II","PADD 2",IF($M9052="PADD III","PADD 3",IF($M9052="PADD IV","PADD 4",IF($M9052="PADD V","PADD 5","")))))</f>
        <v/>
      </c>
      <c r="G9052" s="6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  <c r="N9052" s="6">
        <f>IF(OR($G9052="FCC",$G9052="Hydrocracker",$G9052="Reformer"),IF(COUNTIFS($D:$D,$D9052,$A:$A,$A9052,$B:$B,$B9052,$G:$G,"CDU",$J:$J,"PLANNED")&gt;0,"tied","standalone"),"")</f>
        <v/>
      </c>
    </row>
    <row r="9053" spans="6:14">
      <c r="F9053" s="6">
        <f>IF($M9053="PADD I","PADD 1",IF($M9053="PADD II","PADD 2",IF($M9053="PADD III","PADD 3",IF($M9053="PADD IV","PADD 4",IF($M9053="PADD V","PADD 5","")))))</f>
        <v/>
      </c>
      <c r="G9053" s="6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  <c r="N9053" s="6">
        <f>IF(OR($G9053="FCC",$G9053="Hydrocracker",$G9053="Reformer"),IF(COUNTIFS($D:$D,$D9053,$A:$A,$A9053,$B:$B,$B9053,$G:$G,"CDU",$J:$J,"PLANNED")&gt;0,"tied","standalone"),"")</f>
        <v/>
      </c>
    </row>
    <row r="9054" spans="6:14">
      <c r="F9054" s="6">
        <f>IF($M9054="PADD I","PADD 1",IF($M9054="PADD II","PADD 2",IF($M9054="PADD III","PADD 3",IF($M9054="PADD IV","PADD 4",IF($M9054="PADD V","PADD 5","")))))</f>
        <v/>
      </c>
      <c r="G9054" s="6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  <c r="N9054" s="6">
        <f>IF(OR($G9054="FCC",$G9054="Hydrocracker",$G9054="Reformer"),IF(COUNTIFS($D:$D,$D9054,$A:$A,$A9054,$B:$B,$B9054,$G:$G,"CDU",$J:$J,"PLANNED")&gt;0,"tied","standalone"),"")</f>
        <v/>
      </c>
    </row>
    <row r="9055" spans="6:14">
      <c r="F9055" s="6">
        <f>IF($M9055="PADD I","PADD 1",IF($M9055="PADD II","PADD 2",IF($M9055="PADD III","PADD 3",IF($M9055="PADD IV","PADD 4",IF($M9055="PADD V","PADD 5","")))))</f>
        <v/>
      </c>
      <c r="G9055" s="6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  <c r="N9055" s="6">
        <f>IF(OR($G9055="FCC",$G9055="Hydrocracker",$G9055="Reformer"),IF(COUNTIFS($D:$D,$D9055,$A:$A,$A9055,$B:$B,$B9055,$G:$G,"CDU",$J:$J,"PLANNED")&gt;0,"tied","standalone"),"")</f>
        <v/>
      </c>
    </row>
    <row r="9056" spans="6:14">
      <c r="F9056" s="6">
        <f>IF($M9056="PADD I","PADD 1",IF($M9056="PADD II","PADD 2",IF($M9056="PADD III","PADD 3",IF($M9056="PADD IV","PADD 4",IF($M9056="PADD V","PADD 5","")))))</f>
        <v/>
      </c>
      <c r="G9056" s="6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  <c r="N9056" s="6">
        <f>IF(OR($G9056="FCC",$G9056="Hydrocracker",$G9056="Reformer"),IF(COUNTIFS($D:$D,$D9056,$A:$A,$A9056,$B:$B,$B9056,$G:$G,"CDU",$J:$J,"PLANNED")&gt;0,"tied","standalone"),"")</f>
        <v/>
      </c>
    </row>
    <row r="9057" spans="6:14">
      <c r="F9057" s="6">
        <f>IF($M9057="PADD I","PADD 1",IF($M9057="PADD II","PADD 2",IF($M9057="PADD III","PADD 3",IF($M9057="PADD IV","PADD 4",IF($M9057="PADD V","PADD 5","")))))</f>
        <v/>
      </c>
      <c r="G9057" s="6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  <c r="N9057" s="6">
        <f>IF(OR($G9057="FCC",$G9057="Hydrocracker",$G9057="Reformer"),IF(COUNTIFS($D:$D,$D9057,$A:$A,$A9057,$B:$B,$B9057,$G:$G,"CDU",$J:$J,"PLANNED")&gt;0,"tied","standalone"),"")</f>
        <v/>
      </c>
    </row>
    <row r="9058" spans="6:14">
      <c r="F9058" s="6">
        <f>IF($M9058="PADD I","PADD 1",IF($M9058="PADD II","PADD 2",IF($M9058="PADD III","PADD 3",IF($M9058="PADD IV","PADD 4",IF($M9058="PADD V","PADD 5","")))))</f>
        <v/>
      </c>
      <c r="G9058" s="6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  <c r="N9058" s="6">
        <f>IF(OR($G9058="FCC",$G9058="Hydrocracker",$G9058="Reformer"),IF(COUNTIFS($D:$D,$D9058,$A:$A,$A9058,$B:$B,$B9058,$G:$G,"CDU",$J:$J,"PLANNED")&gt;0,"tied","standalone"),"")</f>
        <v/>
      </c>
    </row>
    <row r="9059" spans="6:14">
      <c r="F9059" s="6">
        <f>IF($M9059="PADD I","PADD 1",IF($M9059="PADD II","PADD 2",IF($M9059="PADD III","PADD 3",IF($M9059="PADD IV","PADD 4",IF($M9059="PADD V","PADD 5","")))))</f>
        <v/>
      </c>
      <c r="G9059" s="6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  <c r="N9059" s="6">
        <f>IF(OR($G9059="FCC",$G9059="Hydrocracker",$G9059="Reformer"),IF(COUNTIFS($D:$D,$D9059,$A:$A,$A9059,$B:$B,$B9059,$G:$G,"CDU",$J:$J,"PLANNED")&gt;0,"tied","standalone"),"")</f>
        <v/>
      </c>
    </row>
    <row r="9060" spans="6:14">
      <c r="F9060" s="6">
        <f>IF($M9060="PADD I","PADD 1",IF($M9060="PADD II","PADD 2",IF($M9060="PADD III","PADD 3",IF($M9060="PADD IV","PADD 4",IF($M9060="PADD V","PADD 5","")))))</f>
        <v/>
      </c>
      <c r="G9060" s="6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  <c r="N9060" s="6">
        <f>IF(OR($G9060="FCC",$G9060="Hydrocracker",$G9060="Reformer"),IF(COUNTIFS($D:$D,$D9060,$A:$A,$A9060,$B:$B,$B9060,$G:$G,"CDU",$J:$J,"PLANNED")&gt;0,"tied","standalone"),"")</f>
        <v/>
      </c>
    </row>
    <row r="9061" spans="6:14">
      <c r="F9061" s="6">
        <f>IF($M9061="PADD I","PADD 1",IF($M9061="PADD II","PADD 2",IF($M9061="PADD III","PADD 3",IF($M9061="PADD IV","PADD 4",IF($M9061="PADD V","PADD 5","")))))</f>
        <v/>
      </c>
      <c r="G9061" s="6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  <c r="N9061" s="6">
        <f>IF(OR($G9061="FCC",$G9061="Hydrocracker",$G9061="Reformer"),IF(COUNTIFS($D:$D,$D9061,$A:$A,$A9061,$B:$B,$B9061,$G:$G,"CDU",$J:$J,"PLANNED")&gt;0,"tied","standalone"),"")</f>
        <v/>
      </c>
    </row>
    <row r="9062" spans="6:14">
      <c r="F9062" s="6">
        <f>IF($M9062="PADD I","PADD 1",IF($M9062="PADD II","PADD 2",IF($M9062="PADD III","PADD 3",IF($M9062="PADD IV","PADD 4",IF($M9062="PADD V","PADD 5","")))))</f>
        <v/>
      </c>
      <c r="G9062" s="6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  <c r="N9062" s="6">
        <f>IF(OR($G9062="FCC",$G9062="Hydrocracker",$G9062="Reformer"),IF(COUNTIFS($D:$D,$D9062,$A:$A,$A9062,$B:$B,$B9062,$G:$G,"CDU",$J:$J,"PLANNED")&gt;0,"tied","standalone"),"")</f>
        <v/>
      </c>
    </row>
    <row r="9063" spans="6:14">
      <c r="F9063" s="6">
        <f>IF($M9063="PADD I","PADD 1",IF($M9063="PADD II","PADD 2",IF($M9063="PADD III","PADD 3",IF($M9063="PADD IV","PADD 4",IF($M9063="PADD V","PADD 5","")))))</f>
        <v/>
      </c>
      <c r="G9063" s="6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  <c r="N9063" s="6">
        <f>IF(OR($G9063="FCC",$G9063="Hydrocracker",$G9063="Reformer"),IF(COUNTIFS($D:$D,$D9063,$A:$A,$A9063,$B:$B,$B9063,$G:$G,"CDU",$J:$J,"PLANNED")&gt;0,"tied","standalone"),"")</f>
        <v/>
      </c>
    </row>
    <row r="9064" spans="6:14">
      <c r="F9064" s="6">
        <f>IF($M9064="PADD I","PADD 1",IF($M9064="PADD II","PADD 2",IF($M9064="PADD III","PADD 3",IF($M9064="PADD IV","PADD 4",IF($M9064="PADD V","PADD 5","")))))</f>
        <v/>
      </c>
      <c r="G9064" s="6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  <c r="N9064" s="6">
        <f>IF(OR($G9064="FCC",$G9064="Hydrocracker",$G9064="Reformer"),IF(COUNTIFS($D:$D,$D9064,$A:$A,$A9064,$B:$B,$B9064,$G:$G,"CDU",$J:$J,"PLANNED")&gt;0,"tied","standalone"),"")</f>
        <v/>
      </c>
    </row>
    <row r="9065" spans="6:14">
      <c r="F9065" s="6">
        <f>IF($M9065="PADD I","PADD 1",IF($M9065="PADD II","PADD 2",IF($M9065="PADD III","PADD 3",IF($M9065="PADD IV","PADD 4",IF($M9065="PADD V","PADD 5","")))))</f>
        <v/>
      </c>
      <c r="G9065" s="6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  <c r="N9065" s="6">
        <f>IF(OR($G9065="FCC",$G9065="Hydrocracker",$G9065="Reformer"),IF(COUNTIFS($D:$D,$D9065,$A:$A,$A9065,$B:$B,$B9065,$G:$G,"CDU",$J:$J,"PLANNED")&gt;0,"tied","standalone"),"")</f>
        <v/>
      </c>
    </row>
    <row r="9066" spans="6:14">
      <c r="F9066" s="6">
        <f>IF($M9066="PADD I","PADD 1",IF($M9066="PADD II","PADD 2",IF($M9066="PADD III","PADD 3",IF($M9066="PADD IV","PADD 4",IF($M9066="PADD V","PADD 5","")))))</f>
        <v/>
      </c>
      <c r="G9066" s="6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  <c r="N9066" s="6">
        <f>IF(OR($G9066="FCC",$G9066="Hydrocracker",$G9066="Reformer"),IF(COUNTIFS($D:$D,$D9066,$A:$A,$A9066,$B:$B,$B9066,$G:$G,"CDU",$J:$J,"PLANNED")&gt;0,"tied","standalone"),"")</f>
        <v/>
      </c>
    </row>
    <row r="9067" spans="6:14">
      <c r="F9067" s="6">
        <f>IF($M9067="PADD I","PADD 1",IF($M9067="PADD II","PADD 2",IF($M9067="PADD III","PADD 3",IF($M9067="PADD IV","PADD 4",IF($M9067="PADD V","PADD 5","")))))</f>
        <v/>
      </c>
      <c r="G9067" s="6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  <c r="N9067" s="6">
        <f>IF(OR($G9067="FCC",$G9067="Hydrocracker",$G9067="Reformer"),IF(COUNTIFS($D:$D,$D9067,$A:$A,$A9067,$B:$B,$B9067,$G:$G,"CDU",$J:$J,"PLANNED")&gt;0,"tied","standalone"),"")</f>
        <v/>
      </c>
    </row>
    <row r="9068" spans="6:14">
      <c r="F9068" s="6">
        <f>IF($M9068="PADD I","PADD 1",IF($M9068="PADD II","PADD 2",IF($M9068="PADD III","PADD 3",IF($M9068="PADD IV","PADD 4",IF($M9068="PADD V","PADD 5","")))))</f>
        <v/>
      </c>
      <c r="G9068" s="6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  <c r="N9068" s="6">
        <f>IF(OR($G9068="FCC",$G9068="Hydrocracker",$G9068="Reformer"),IF(COUNTIFS($D:$D,$D9068,$A:$A,$A9068,$B:$B,$B9068,$G:$G,"CDU",$J:$J,"PLANNED")&gt;0,"tied","standalone"),"")</f>
        <v/>
      </c>
    </row>
    <row r="9069" spans="6:14">
      <c r="F9069" s="6">
        <f>IF($M9069="PADD I","PADD 1",IF($M9069="PADD II","PADD 2",IF($M9069="PADD III","PADD 3",IF($M9069="PADD IV","PADD 4",IF($M9069="PADD V","PADD 5","")))))</f>
        <v/>
      </c>
      <c r="G9069" s="6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  <c r="N9069" s="6">
        <f>IF(OR($G9069="FCC",$G9069="Hydrocracker",$G9069="Reformer"),IF(COUNTIFS($D:$D,$D9069,$A:$A,$A9069,$B:$B,$B9069,$G:$G,"CDU",$J:$J,"PLANNED")&gt;0,"tied","standalone"),"")</f>
        <v/>
      </c>
    </row>
    <row r="9070" spans="6:14">
      <c r="F9070" s="6">
        <f>IF($M9070="PADD I","PADD 1",IF($M9070="PADD II","PADD 2",IF($M9070="PADD III","PADD 3",IF($M9070="PADD IV","PADD 4",IF($M9070="PADD V","PADD 5","")))))</f>
        <v/>
      </c>
      <c r="G9070" s="6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  <c r="N9070" s="6">
        <f>IF(OR($G9070="FCC",$G9070="Hydrocracker",$G9070="Reformer"),IF(COUNTIFS($D:$D,$D9070,$A:$A,$A9070,$B:$B,$B9070,$G:$G,"CDU",$J:$J,"PLANNED")&gt;0,"tied","standalone"),"")</f>
        <v/>
      </c>
    </row>
    <row r="9071" spans="6:14">
      <c r="F9071" s="6">
        <f>IF($M9071="PADD I","PADD 1",IF($M9071="PADD II","PADD 2",IF($M9071="PADD III","PADD 3",IF($M9071="PADD IV","PADD 4",IF($M9071="PADD V","PADD 5","")))))</f>
        <v/>
      </c>
      <c r="G9071" s="6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  <c r="N9071" s="6">
        <f>IF(OR($G9071="FCC",$G9071="Hydrocracker",$G9071="Reformer"),IF(COUNTIFS($D:$D,$D9071,$A:$A,$A9071,$B:$B,$B9071,$G:$G,"CDU",$J:$J,"PLANNED")&gt;0,"tied","standalone"),"")</f>
        <v/>
      </c>
    </row>
    <row r="9072" spans="6:14">
      <c r="F9072" s="6">
        <f>IF($M9072="PADD I","PADD 1",IF($M9072="PADD II","PADD 2",IF($M9072="PADD III","PADD 3",IF($M9072="PADD IV","PADD 4",IF($M9072="PADD V","PADD 5","")))))</f>
        <v/>
      </c>
      <c r="G9072" s="6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  <c r="N9072" s="6">
        <f>IF(OR($G9072="FCC",$G9072="Hydrocracker",$G9072="Reformer"),IF(COUNTIFS($D:$D,$D9072,$A:$A,$A9072,$B:$B,$B9072,$G:$G,"CDU",$J:$J,"PLANNED")&gt;0,"tied","standalone"),"")</f>
        <v/>
      </c>
    </row>
    <row r="9073" spans="6:14">
      <c r="F9073" s="6">
        <f>IF($M9073="PADD I","PADD 1",IF($M9073="PADD II","PADD 2",IF($M9073="PADD III","PADD 3",IF($M9073="PADD IV","PADD 4",IF($M9073="PADD V","PADD 5","")))))</f>
        <v/>
      </c>
      <c r="G9073" s="6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  <c r="N9073" s="6">
        <f>IF(OR($G9073="FCC",$G9073="Hydrocracker",$G9073="Reformer"),IF(COUNTIFS($D:$D,$D9073,$A:$A,$A9073,$B:$B,$B9073,$G:$G,"CDU",$J:$J,"PLANNED")&gt;0,"tied","standalone"),"")</f>
        <v/>
      </c>
    </row>
    <row r="9074" spans="6:14">
      <c r="F9074" s="6">
        <f>IF($M9074="PADD I","PADD 1",IF($M9074="PADD II","PADD 2",IF($M9074="PADD III","PADD 3",IF($M9074="PADD IV","PADD 4",IF($M9074="PADD V","PADD 5","")))))</f>
        <v/>
      </c>
      <c r="G9074" s="6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  <c r="N9074" s="6">
        <f>IF(OR($G9074="FCC",$G9074="Hydrocracker",$G9074="Reformer"),IF(COUNTIFS($D:$D,$D9074,$A:$A,$A9074,$B:$B,$B9074,$G:$G,"CDU",$J:$J,"PLANNED")&gt;0,"tied","standalone"),"")</f>
        <v/>
      </c>
    </row>
    <row r="9075" spans="6:14">
      <c r="F9075" s="6">
        <f>IF($M9075="PADD I","PADD 1",IF($M9075="PADD II","PADD 2",IF($M9075="PADD III","PADD 3",IF($M9075="PADD IV","PADD 4",IF($M9075="PADD V","PADD 5","")))))</f>
        <v/>
      </c>
      <c r="G9075" s="6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  <c r="N9075" s="6">
        <f>IF(OR($G9075="FCC",$G9075="Hydrocracker",$G9075="Reformer"),IF(COUNTIFS($D:$D,$D9075,$A:$A,$A9075,$B:$B,$B9075,$G:$G,"CDU",$J:$J,"PLANNED")&gt;0,"tied","standalone"),"")</f>
        <v/>
      </c>
    </row>
    <row r="9076" spans="6:14">
      <c r="F9076" s="6">
        <f>IF($M9076="PADD I","PADD 1",IF($M9076="PADD II","PADD 2",IF($M9076="PADD III","PADD 3",IF($M9076="PADD IV","PADD 4",IF($M9076="PADD V","PADD 5","")))))</f>
        <v/>
      </c>
      <c r="G9076" s="6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  <c r="N9076" s="6">
        <f>IF(OR($G9076="FCC",$G9076="Hydrocracker",$G9076="Reformer"),IF(COUNTIFS($D:$D,$D9076,$A:$A,$A9076,$B:$B,$B9076,$G:$G,"CDU",$J:$J,"PLANNED")&gt;0,"tied","standalone"),"")</f>
        <v/>
      </c>
    </row>
    <row r="9077" spans="6:14">
      <c r="F9077" s="6">
        <f>IF($M9077="PADD I","PADD 1",IF($M9077="PADD II","PADD 2",IF($M9077="PADD III","PADD 3",IF($M9077="PADD IV","PADD 4",IF($M9077="PADD V","PADD 5","")))))</f>
        <v/>
      </c>
      <c r="G9077" s="6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  <c r="N9077" s="6">
        <f>IF(OR($G9077="FCC",$G9077="Hydrocracker",$G9077="Reformer"),IF(COUNTIFS($D:$D,$D9077,$A:$A,$A9077,$B:$B,$B9077,$G:$G,"CDU",$J:$J,"PLANNED")&gt;0,"tied","standalone"),"")</f>
        <v/>
      </c>
    </row>
    <row r="9078" spans="6:14">
      <c r="F9078" s="6">
        <f>IF($M9078="PADD I","PADD 1",IF($M9078="PADD II","PADD 2",IF($M9078="PADD III","PADD 3",IF($M9078="PADD IV","PADD 4",IF($M9078="PADD V","PADD 5","")))))</f>
        <v/>
      </c>
      <c r="G9078" s="6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  <c r="N9078" s="6">
        <f>IF(OR($G9078="FCC",$G9078="Hydrocracker",$G9078="Reformer"),IF(COUNTIFS($D:$D,$D9078,$A:$A,$A9078,$B:$B,$B9078,$G:$G,"CDU",$J:$J,"PLANNED")&gt;0,"tied","standalone"),"")</f>
        <v/>
      </c>
    </row>
    <row r="9079" spans="6:14">
      <c r="F9079" s="6">
        <f>IF($M9079="PADD I","PADD 1",IF($M9079="PADD II","PADD 2",IF($M9079="PADD III","PADD 3",IF($M9079="PADD IV","PADD 4",IF($M9079="PADD V","PADD 5","")))))</f>
        <v/>
      </c>
      <c r="G9079" s="6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  <c r="N9079" s="6">
        <f>IF(OR($G9079="FCC",$G9079="Hydrocracker",$G9079="Reformer"),IF(COUNTIFS($D:$D,$D9079,$A:$A,$A9079,$B:$B,$B9079,$G:$G,"CDU",$J:$J,"PLANNED")&gt;0,"tied","standalone"),"")</f>
        <v/>
      </c>
    </row>
    <row r="9080" spans="6:14">
      <c r="F9080" s="6">
        <f>IF($M9080="PADD I","PADD 1",IF($M9080="PADD II","PADD 2",IF($M9080="PADD III","PADD 3",IF($M9080="PADD IV","PADD 4",IF($M9080="PADD V","PADD 5","")))))</f>
        <v/>
      </c>
      <c r="G9080" s="6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  <c r="N9080" s="6">
        <f>IF(OR($G9080="FCC",$G9080="Hydrocracker",$G9080="Reformer"),IF(COUNTIFS($D:$D,$D9080,$A:$A,$A9080,$B:$B,$B9080,$G:$G,"CDU",$J:$J,"PLANNED")&gt;0,"tied","standalone"),"")</f>
        <v/>
      </c>
    </row>
    <row r="9081" spans="6:14">
      <c r="F9081" s="6">
        <f>IF($M9081="PADD I","PADD 1",IF($M9081="PADD II","PADD 2",IF($M9081="PADD III","PADD 3",IF($M9081="PADD IV","PADD 4",IF($M9081="PADD V","PADD 5","")))))</f>
        <v/>
      </c>
      <c r="G9081" s="6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  <c r="N9081" s="6">
        <f>IF(OR($G9081="FCC",$G9081="Hydrocracker",$G9081="Reformer"),IF(COUNTIFS($D:$D,$D9081,$A:$A,$A9081,$B:$B,$B9081,$G:$G,"CDU",$J:$J,"PLANNED")&gt;0,"tied","standalone"),"")</f>
        <v/>
      </c>
    </row>
    <row r="9082" spans="6:14">
      <c r="F9082" s="6">
        <f>IF($M9082="PADD I","PADD 1",IF($M9082="PADD II","PADD 2",IF($M9082="PADD III","PADD 3",IF($M9082="PADD IV","PADD 4",IF($M9082="PADD V","PADD 5","")))))</f>
        <v/>
      </c>
      <c r="G9082" s="6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  <c r="N9082" s="6">
        <f>IF(OR($G9082="FCC",$G9082="Hydrocracker",$G9082="Reformer"),IF(COUNTIFS($D:$D,$D9082,$A:$A,$A9082,$B:$B,$B9082,$G:$G,"CDU",$J:$J,"PLANNED")&gt;0,"tied","standalone"),"")</f>
        <v/>
      </c>
    </row>
    <row r="9083" spans="6:14">
      <c r="F9083" s="6">
        <f>IF($M9083="PADD I","PADD 1",IF($M9083="PADD II","PADD 2",IF($M9083="PADD III","PADD 3",IF($M9083="PADD IV","PADD 4",IF($M9083="PADD V","PADD 5","")))))</f>
        <v/>
      </c>
      <c r="G9083" s="6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  <c r="N9083" s="6">
        <f>IF(OR($G9083="FCC",$G9083="Hydrocracker",$G9083="Reformer"),IF(COUNTIFS($D:$D,$D9083,$A:$A,$A9083,$B:$B,$B9083,$G:$G,"CDU",$J:$J,"PLANNED")&gt;0,"tied","standalone"),"")</f>
        <v/>
      </c>
    </row>
    <row r="9084" spans="6:14">
      <c r="F9084" s="6">
        <f>IF($M9084="PADD I","PADD 1",IF($M9084="PADD II","PADD 2",IF($M9084="PADD III","PADD 3",IF($M9084="PADD IV","PADD 4",IF($M9084="PADD V","PADD 5","")))))</f>
        <v/>
      </c>
      <c r="G9084" s="6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  <c r="N9084" s="6">
        <f>IF(OR($G9084="FCC",$G9084="Hydrocracker",$G9084="Reformer"),IF(COUNTIFS($D:$D,$D9084,$A:$A,$A9084,$B:$B,$B9084,$G:$G,"CDU",$J:$J,"PLANNED")&gt;0,"tied","standalone"),"")</f>
        <v/>
      </c>
    </row>
    <row r="9085" spans="6:14">
      <c r="F9085" s="6">
        <f>IF($M9085="PADD I","PADD 1",IF($M9085="PADD II","PADD 2",IF($M9085="PADD III","PADD 3",IF($M9085="PADD IV","PADD 4",IF($M9085="PADD V","PADD 5","")))))</f>
        <v/>
      </c>
      <c r="G9085" s="6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  <c r="N9085" s="6">
        <f>IF(OR($G9085="FCC",$G9085="Hydrocracker",$G9085="Reformer"),IF(COUNTIFS($D:$D,$D9085,$A:$A,$A9085,$B:$B,$B9085,$G:$G,"CDU",$J:$J,"PLANNED")&gt;0,"tied","standalone"),"")</f>
        <v/>
      </c>
    </row>
    <row r="9086" spans="6:14">
      <c r="F9086" s="6">
        <f>IF($M9086="PADD I","PADD 1",IF($M9086="PADD II","PADD 2",IF($M9086="PADD III","PADD 3",IF($M9086="PADD IV","PADD 4",IF($M9086="PADD V","PADD 5","")))))</f>
        <v/>
      </c>
      <c r="G9086" s="6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  <c r="N9086" s="6">
        <f>IF(OR($G9086="FCC",$G9086="Hydrocracker",$G9086="Reformer"),IF(COUNTIFS($D:$D,$D9086,$A:$A,$A9086,$B:$B,$B9086,$G:$G,"CDU",$J:$J,"PLANNED")&gt;0,"tied","standalone"),"")</f>
        <v/>
      </c>
    </row>
    <row r="9087" spans="6:14">
      <c r="F9087" s="6">
        <f>IF($M9087="PADD I","PADD 1",IF($M9087="PADD II","PADD 2",IF($M9087="PADD III","PADD 3",IF($M9087="PADD IV","PADD 4",IF($M9087="PADD V","PADD 5","")))))</f>
        <v/>
      </c>
      <c r="G9087" s="6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  <c r="N9087" s="6">
        <f>IF(OR($G9087="FCC",$G9087="Hydrocracker",$G9087="Reformer"),IF(COUNTIFS($D:$D,$D9087,$A:$A,$A9087,$B:$B,$B9087,$G:$G,"CDU",$J:$J,"PLANNED")&gt;0,"tied","standalone"),"")</f>
        <v/>
      </c>
    </row>
    <row r="9088" spans="6:14">
      <c r="F9088" s="6">
        <f>IF($M9088="PADD I","PADD 1",IF($M9088="PADD II","PADD 2",IF($M9088="PADD III","PADD 3",IF($M9088="PADD IV","PADD 4",IF($M9088="PADD V","PADD 5","")))))</f>
        <v/>
      </c>
      <c r="G9088" s="6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  <c r="N9088" s="6">
        <f>IF(OR($G9088="FCC",$G9088="Hydrocracker",$G9088="Reformer"),IF(COUNTIFS($D:$D,$D9088,$A:$A,$A9088,$B:$B,$B9088,$G:$G,"CDU",$J:$J,"PLANNED")&gt;0,"tied","standalone"),"")</f>
        <v/>
      </c>
    </row>
    <row r="9089" spans="6:14">
      <c r="F9089" s="6">
        <f>IF($M9089="PADD I","PADD 1",IF($M9089="PADD II","PADD 2",IF($M9089="PADD III","PADD 3",IF($M9089="PADD IV","PADD 4",IF($M9089="PADD V","PADD 5","")))))</f>
        <v/>
      </c>
      <c r="G9089" s="6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  <c r="N9089" s="6">
        <f>IF(OR($G9089="FCC",$G9089="Hydrocracker",$G9089="Reformer"),IF(COUNTIFS($D:$D,$D9089,$A:$A,$A9089,$B:$B,$B9089,$G:$G,"CDU",$J:$J,"PLANNED")&gt;0,"tied","standalone"),"")</f>
        <v/>
      </c>
    </row>
    <row r="9090" spans="6:14">
      <c r="F9090" s="6">
        <f>IF($M9090="PADD I","PADD 1",IF($M9090="PADD II","PADD 2",IF($M9090="PADD III","PADD 3",IF($M9090="PADD IV","PADD 4",IF($M9090="PADD V","PADD 5","")))))</f>
        <v/>
      </c>
      <c r="G9090" s="6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  <c r="N9090" s="6">
        <f>IF(OR($G9090="FCC",$G9090="Hydrocracker",$G9090="Reformer"),IF(COUNTIFS($D:$D,$D9090,$A:$A,$A9090,$B:$B,$B9090,$G:$G,"CDU",$J:$J,"PLANNED")&gt;0,"tied","standalone"),"")</f>
        <v/>
      </c>
    </row>
    <row r="9091" spans="6:14">
      <c r="F9091" s="6">
        <f>IF($M9091="PADD I","PADD 1",IF($M9091="PADD II","PADD 2",IF($M9091="PADD III","PADD 3",IF($M9091="PADD IV","PADD 4",IF($M9091="PADD V","PADD 5","")))))</f>
        <v/>
      </c>
      <c r="G9091" s="6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  <c r="N9091" s="6">
        <f>IF(OR($G9091="FCC",$G9091="Hydrocracker",$G9091="Reformer"),IF(COUNTIFS($D:$D,$D9091,$A:$A,$A9091,$B:$B,$B9091,$G:$G,"CDU",$J:$J,"PLANNED")&gt;0,"tied","standalone"),"")</f>
        <v/>
      </c>
    </row>
    <row r="9092" spans="6:14">
      <c r="F9092" s="6">
        <f>IF($M9092="PADD I","PADD 1",IF($M9092="PADD II","PADD 2",IF($M9092="PADD III","PADD 3",IF($M9092="PADD IV","PADD 4",IF($M9092="PADD V","PADD 5","")))))</f>
        <v/>
      </c>
      <c r="G9092" s="6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  <c r="N9092" s="6">
        <f>IF(OR($G9092="FCC",$G9092="Hydrocracker",$G9092="Reformer"),IF(COUNTIFS($D:$D,$D9092,$A:$A,$A9092,$B:$B,$B9092,$G:$G,"CDU",$J:$J,"PLANNED")&gt;0,"tied","standalone"),"")</f>
        <v/>
      </c>
    </row>
    <row r="9093" spans="6:14">
      <c r="F9093" s="6">
        <f>IF($M9093="PADD I","PADD 1",IF($M9093="PADD II","PADD 2",IF($M9093="PADD III","PADD 3",IF($M9093="PADD IV","PADD 4",IF($M9093="PADD V","PADD 5","")))))</f>
        <v/>
      </c>
      <c r="G9093" s="6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  <c r="N9093" s="6">
        <f>IF(OR($G9093="FCC",$G9093="Hydrocracker",$G9093="Reformer"),IF(COUNTIFS($D:$D,$D9093,$A:$A,$A9093,$B:$B,$B9093,$G:$G,"CDU",$J:$J,"PLANNED")&gt;0,"tied","standalone"),"")</f>
        <v/>
      </c>
    </row>
    <row r="9094" spans="6:14">
      <c r="F9094" s="6">
        <f>IF($M9094="PADD I","PADD 1",IF($M9094="PADD II","PADD 2",IF($M9094="PADD III","PADD 3",IF($M9094="PADD IV","PADD 4",IF($M9094="PADD V","PADD 5","")))))</f>
        <v/>
      </c>
      <c r="G9094" s="6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  <c r="N9094" s="6">
        <f>IF(OR($G9094="FCC",$G9094="Hydrocracker",$G9094="Reformer"),IF(COUNTIFS($D:$D,$D9094,$A:$A,$A9094,$B:$B,$B9094,$G:$G,"CDU",$J:$J,"PLANNED")&gt;0,"tied","standalone"),"")</f>
        <v/>
      </c>
    </row>
    <row r="9095" spans="6:14">
      <c r="F9095" s="6">
        <f>IF($M9095="PADD I","PADD 1",IF($M9095="PADD II","PADD 2",IF($M9095="PADD III","PADD 3",IF($M9095="PADD IV","PADD 4",IF($M9095="PADD V","PADD 5","")))))</f>
        <v/>
      </c>
      <c r="G9095" s="6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  <c r="N9095" s="6">
        <f>IF(OR($G9095="FCC",$G9095="Hydrocracker",$G9095="Reformer"),IF(COUNTIFS($D:$D,$D9095,$A:$A,$A9095,$B:$B,$B9095,$G:$G,"CDU",$J:$J,"PLANNED")&gt;0,"tied","standalone"),"")</f>
        <v/>
      </c>
    </row>
    <row r="9096" spans="6:14">
      <c r="F9096" s="6">
        <f>IF($M9096="PADD I","PADD 1",IF($M9096="PADD II","PADD 2",IF($M9096="PADD III","PADD 3",IF($M9096="PADD IV","PADD 4",IF($M9096="PADD V","PADD 5","")))))</f>
        <v/>
      </c>
      <c r="G9096" s="6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  <c r="N9096" s="6">
        <f>IF(OR($G9096="FCC",$G9096="Hydrocracker",$G9096="Reformer"),IF(COUNTIFS($D:$D,$D9096,$A:$A,$A9096,$B:$B,$B9096,$G:$G,"CDU",$J:$J,"PLANNED")&gt;0,"tied","standalone"),"")</f>
        <v/>
      </c>
    </row>
    <row r="9097" spans="6:14">
      <c r="F9097" s="6">
        <f>IF($M9097="PADD I","PADD 1",IF($M9097="PADD II","PADD 2",IF($M9097="PADD III","PADD 3",IF($M9097="PADD IV","PADD 4",IF($M9097="PADD V","PADD 5","")))))</f>
        <v/>
      </c>
      <c r="G9097" s="6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  <c r="N9097" s="6">
        <f>IF(OR($G9097="FCC",$G9097="Hydrocracker",$G9097="Reformer"),IF(COUNTIFS($D:$D,$D9097,$A:$A,$A9097,$B:$B,$B9097,$G:$G,"CDU",$J:$J,"PLANNED")&gt;0,"tied","standalone"),"")</f>
        <v/>
      </c>
    </row>
    <row r="9098" spans="6:14">
      <c r="F9098" s="6">
        <f>IF($M9098="PADD I","PADD 1",IF($M9098="PADD II","PADD 2",IF($M9098="PADD III","PADD 3",IF($M9098="PADD IV","PADD 4",IF($M9098="PADD V","PADD 5","")))))</f>
        <v/>
      </c>
      <c r="G9098" s="6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  <c r="N9098" s="6">
        <f>IF(OR($G9098="FCC",$G9098="Hydrocracker",$G9098="Reformer"),IF(COUNTIFS($D:$D,$D9098,$A:$A,$A9098,$B:$B,$B9098,$G:$G,"CDU",$J:$J,"PLANNED")&gt;0,"tied","standalone"),"")</f>
        <v/>
      </c>
    </row>
    <row r="9099" spans="6:14">
      <c r="F9099" s="6">
        <f>IF($M9099="PADD I","PADD 1",IF($M9099="PADD II","PADD 2",IF($M9099="PADD III","PADD 3",IF($M9099="PADD IV","PADD 4",IF($M9099="PADD V","PADD 5","")))))</f>
        <v/>
      </c>
      <c r="G9099" s="6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  <c r="N9099" s="6">
        <f>IF(OR($G9099="FCC",$G9099="Hydrocracker",$G9099="Reformer"),IF(COUNTIFS($D:$D,$D9099,$A:$A,$A9099,$B:$B,$B9099,$G:$G,"CDU",$J:$J,"PLANNED")&gt;0,"tied","standalone"),"")</f>
        <v/>
      </c>
    </row>
    <row r="9100" spans="6:14">
      <c r="F9100" s="6">
        <f>IF($M9100="PADD I","PADD 1",IF($M9100="PADD II","PADD 2",IF($M9100="PADD III","PADD 3",IF($M9100="PADD IV","PADD 4",IF($M9100="PADD V","PADD 5","")))))</f>
        <v/>
      </c>
      <c r="G9100" s="6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  <c r="N9100" s="6">
        <f>IF(OR($G9100="FCC",$G9100="Hydrocracker",$G9100="Reformer"),IF(COUNTIFS($D:$D,$D9100,$A:$A,$A9100,$B:$B,$B9100,$G:$G,"CDU",$J:$J,"PLANNED")&gt;0,"tied","standalone"),"")</f>
        <v/>
      </c>
    </row>
    <row r="9101" spans="6:14">
      <c r="F9101" s="6">
        <f>IF($M9101="PADD I","PADD 1",IF($M9101="PADD II","PADD 2",IF($M9101="PADD III","PADD 3",IF($M9101="PADD IV","PADD 4",IF($M9101="PADD V","PADD 5","")))))</f>
        <v/>
      </c>
      <c r="G9101" s="6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  <c r="N9101" s="6">
        <f>IF(OR($G9101="FCC",$G9101="Hydrocracker",$G9101="Reformer"),IF(COUNTIFS($D:$D,$D9101,$A:$A,$A9101,$B:$B,$B9101,$G:$G,"CDU",$J:$J,"PLANNED")&gt;0,"tied","standalone"),"")</f>
        <v/>
      </c>
    </row>
    <row r="9102" spans="6:14">
      <c r="F9102" s="6">
        <f>IF($M9102="PADD I","PADD 1",IF($M9102="PADD II","PADD 2",IF($M9102="PADD III","PADD 3",IF($M9102="PADD IV","PADD 4",IF($M9102="PADD V","PADD 5","")))))</f>
        <v/>
      </c>
      <c r="G9102" s="6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  <c r="N9102" s="6">
        <f>IF(OR($G9102="FCC",$G9102="Hydrocracker",$G9102="Reformer"),IF(COUNTIFS($D:$D,$D9102,$A:$A,$A9102,$B:$B,$B9102,$G:$G,"CDU",$J:$J,"PLANNED")&gt;0,"tied","standalone"),"")</f>
        <v/>
      </c>
    </row>
    <row r="9103" spans="6:14">
      <c r="F9103" s="6">
        <f>IF($M9103="PADD I","PADD 1",IF($M9103="PADD II","PADD 2",IF($M9103="PADD III","PADD 3",IF($M9103="PADD IV","PADD 4",IF($M9103="PADD V","PADD 5","")))))</f>
        <v/>
      </c>
      <c r="G9103" s="6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  <c r="N9103" s="6">
        <f>IF(OR($G9103="FCC",$G9103="Hydrocracker",$G9103="Reformer"),IF(COUNTIFS($D:$D,$D9103,$A:$A,$A9103,$B:$B,$B9103,$G:$G,"CDU",$J:$J,"PLANNED")&gt;0,"tied","standalone"),"")</f>
        <v/>
      </c>
    </row>
    <row r="9104" spans="6:14">
      <c r="F9104" s="6">
        <f>IF($M9104="PADD I","PADD 1",IF($M9104="PADD II","PADD 2",IF($M9104="PADD III","PADD 3",IF($M9104="PADD IV","PADD 4",IF($M9104="PADD V","PADD 5","")))))</f>
        <v/>
      </c>
      <c r="G9104" s="6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  <c r="N9104" s="6">
        <f>IF(OR($G9104="FCC",$G9104="Hydrocracker",$G9104="Reformer"),IF(COUNTIFS($D:$D,$D9104,$A:$A,$A9104,$B:$B,$B9104,$G:$G,"CDU",$J:$J,"PLANNED")&gt;0,"tied","standalone"),"")</f>
        <v/>
      </c>
    </row>
    <row r="9105" spans="6:14">
      <c r="F9105" s="6">
        <f>IF($M9105="PADD I","PADD 1",IF($M9105="PADD II","PADD 2",IF($M9105="PADD III","PADD 3",IF($M9105="PADD IV","PADD 4",IF($M9105="PADD V","PADD 5","")))))</f>
        <v/>
      </c>
      <c r="G9105" s="6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  <c r="N9105" s="6">
        <f>IF(OR($G9105="FCC",$G9105="Hydrocracker",$G9105="Reformer"),IF(COUNTIFS($D:$D,$D9105,$A:$A,$A9105,$B:$B,$B9105,$G:$G,"CDU",$J:$J,"PLANNED")&gt;0,"tied","standalone"),"")</f>
        <v/>
      </c>
    </row>
    <row r="9106" spans="6:14">
      <c r="F9106" s="6">
        <f>IF($M9106="PADD I","PADD 1",IF($M9106="PADD II","PADD 2",IF($M9106="PADD III","PADD 3",IF($M9106="PADD IV","PADD 4",IF($M9106="PADD V","PADD 5","")))))</f>
        <v/>
      </c>
      <c r="G9106" s="6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  <c r="N9106" s="6">
        <f>IF(OR($G9106="FCC",$G9106="Hydrocracker",$G9106="Reformer"),IF(COUNTIFS($D:$D,$D9106,$A:$A,$A9106,$B:$B,$B9106,$G:$G,"CDU",$J:$J,"PLANNED")&gt;0,"tied","standalone"),"")</f>
        <v/>
      </c>
    </row>
    <row r="9107" spans="6:14">
      <c r="F9107" s="6">
        <f>IF($M9107="PADD I","PADD 1",IF($M9107="PADD II","PADD 2",IF($M9107="PADD III","PADD 3",IF($M9107="PADD IV","PADD 4",IF($M9107="PADD V","PADD 5","")))))</f>
        <v/>
      </c>
      <c r="G9107" s="6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  <c r="N9107" s="6">
        <f>IF(OR($G9107="FCC",$G9107="Hydrocracker",$G9107="Reformer"),IF(COUNTIFS($D:$D,$D9107,$A:$A,$A9107,$B:$B,$B9107,$G:$G,"CDU",$J:$J,"PLANNED")&gt;0,"tied","standalone"),"")</f>
        <v/>
      </c>
    </row>
    <row r="9108" spans="6:14">
      <c r="F9108" s="6">
        <f>IF($M9108="PADD I","PADD 1",IF($M9108="PADD II","PADD 2",IF($M9108="PADD III","PADD 3",IF($M9108="PADD IV","PADD 4",IF($M9108="PADD V","PADD 5","")))))</f>
        <v/>
      </c>
      <c r="G9108" s="6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  <c r="N9108" s="6">
        <f>IF(OR($G9108="FCC",$G9108="Hydrocracker",$G9108="Reformer"),IF(COUNTIFS($D:$D,$D9108,$A:$A,$A9108,$B:$B,$B9108,$G:$G,"CDU",$J:$J,"PLANNED")&gt;0,"tied","standalone"),"")</f>
        <v/>
      </c>
    </row>
    <row r="9109" spans="6:14">
      <c r="F9109" s="6">
        <f>IF($M9109="PADD I","PADD 1",IF($M9109="PADD II","PADD 2",IF($M9109="PADD III","PADD 3",IF($M9109="PADD IV","PADD 4",IF($M9109="PADD V","PADD 5","")))))</f>
        <v/>
      </c>
      <c r="G9109" s="6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  <c r="N9109" s="6">
        <f>IF(OR($G9109="FCC",$G9109="Hydrocracker",$G9109="Reformer"),IF(COUNTIFS($D:$D,$D9109,$A:$A,$A9109,$B:$B,$B9109,$G:$G,"CDU",$J:$J,"PLANNED")&gt;0,"tied","standalone"),"")</f>
        <v/>
      </c>
    </row>
    <row r="9110" spans="6:14">
      <c r="F9110" s="6">
        <f>IF($M9110="PADD I","PADD 1",IF($M9110="PADD II","PADD 2",IF($M9110="PADD III","PADD 3",IF($M9110="PADD IV","PADD 4",IF($M9110="PADD V","PADD 5","")))))</f>
        <v/>
      </c>
      <c r="G9110" s="6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  <c r="N9110" s="6">
        <f>IF(OR($G9110="FCC",$G9110="Hydrocracker",$G9110="Reformer"),IF(COUNTIFS($D:$D,$D9110,$A:$A,$A9110,$B:$B,$B9110,$G:$G,"CDU",$J:$J,"PLANNED")&gt;0,"tied","standalone"),"")</f>
        <v/>
      </c>
    </row>
    <row r="9111" spans="6:14">
      <c r="F9111" s="6">
        <f>IF($M9111="PADD I","PADD 1",IF($M9111="PADD II","PADD 2",IF($M9111="PADD III","PADD 3",IF($M9111="PADD IV","PADD 4",IF($M9111="PADD V","PADD 5","")))))</f>
        <v/>
      </c>
      <c r="G9111" s="6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  <c r="N9111" s="6">
        <f>IF(OR($G9111="FCC",$G9111="Hydrocracker",$G9111="Reformer"),IF(COUNTIFS($D:$D,$D9111,$A:$A,$A9111,$B:$B,$B9111,$G:$G,"CDU",$J:$J,"PLANNED")&gt;0,"tied","standalone"),"")</f>
        <v/>
      </c>
    </row>
    <row r="9112" spans="6:14">
      <c r="F9112" s="6">
        <f>IF($M9112="PADD I","PADD 1",IF($M9112="PADD II","PADD 2",IF($M9112="PADD III","PADD 3",IF($M9112="PADD IV","PADD 4",IF($M9112="PADD V","PADD 5","")))))</f>
        <v/>
      </c>
      <c r="G9112" s="6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  <c r="N9112" s="6">
        <f>IF(OR($G9112="FCC",$G9112="Hydrocracker",$G9112="Reformer"),IF(COUNTIFS($D:$D,$D9112,$A:$A,$A9112,$B:$B,$B9112,$G:$G,"CDU",$J:$J,"PLANNED")&gt;0,"tied","standalone"),"")</f>
        <v/>
      </c>
    </row>
    <row r="9113" spans="6:14">
      <c r="F9113" s="6">
        <f>IF($M9113="PADD I","PADD 1",IF($M9113="PADD II","PADD 2",IF($M9113="PADD III","PADD 3",IF($M9113="PADD IV","PADD 4",IF($M9113="PADD V","PADD 5","")))))</f>
        <v/>
      </c>
      <c r="G9113" s="6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  <c r="N9113" s="6">
        <f>IF(OR($G9113="FCC",$G9113="Hydrocracker",$G9113="Reformer"),IF(COUNTIFS($D:$D,$D9113,$A:$A,$A9113,$B:$B,$B9113,$G:$G,"CDU",$J:$J,"PLANNED")&gt;0,"tied","standalone"),"")</f>
        <v/>
      </c>
    </row>
    <row r="9114" spans="6:14">
      <c r="F9114" s="6">
        <f>IF($M9114="PADD I","PADD 1",IF($M9114="PADD II","PADD 2",IF($M9114="PADD III","PADD 3",IF($M9114="PADD IV","PADD 4",IF($M9114="PADD V","PADD 5","")))))</f>
        <v/>
      </c>
      <c r="G9114" s="6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  <c r="N9114" s="6">
        <f>IF(OR($G9114="FCC",$G9114="Hydrocracker",$G9114="Reformer"),IF(COUNTIFS($D:$D,$D9114,$A:$A,$A9114,$B:$B,$B9114,$G:$G,"CDU",$J:$J,"PLANNED")&gt;0,"tied","standalone"),"")</f>
        <v/>
      </c>
    </row>
    <row r="9115" spans="6:14">
      <c r="F9115" s="6">
        <f>IF($M9115="PADD I","PADD 1",IF($M9115="PADD II","PADD 2",IF($M9115="PADD III","PADD 3",IF($M9115="PADD IV","PADD 4",IF($M9115="PADD V","PADD 5","")))))</f>
        <v/>
      </c>
      <c r="G9115" s="6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  <c r="N9115" s="6">
        <f>IF(OR($G9115="FCC",$G9115="Hydrocracker",$G9115="Reformer"),IF(COUNTIFS($D:$D,$D9115,$A:$A,$A9115,$B:$B,$B9115,$G:$G,"CDU",$J:$J,"PLANNED")&gt;0,"tied","standalone"),"")</f>
        <v/>
      </c>
    </row>
    <row r="9116" spans="6:14">
      <c r="F9116" s="6">
        <f>IF($M9116="PADD I","PADD 1",IF($M9116="PADD II","PADD 2",IF($M9116="PADD III","PADD 3",IF($M9116="PADD IV","PADD 4",IF($M9116="PADD V","PADD 5","")))))</f>
        <v/>
      </c>
      <c r="G9116" s="6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  <c r="N9116" s="6">
        <f>IF(OR($G9116="FCC",$G9116="Hydrocracker",$G9116="Reformer"),IF(COUNTIFS($D:$D,$D9116,$A:$A,$A9116,$B:$B,$B9116,$G:$G,"CDU",$J:$J,"PLANNED")&gt;0,"tied","standalone"),"")</f>
        <v/>
      </c>
    </row>
    <row r="9117" spans="6:14">
      <c r="F9117" s="6">
        <f>IF($M9117="PADD I","PADD 1",IF($M9117="PADD II","PADD 2",IF($M9117="PADD III","PADD 3",IF($M9117="PADD IV","PADD 4",IF($M9117="PADD V","PADD 5","")))))</f>
        <v/>
      </c>
      <c r="G9117" s="6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  <c r="N9117" s="6">
        <f>IF(OR($G9117="FCC",$G9117="Hydrocracker",$G9117="Reformer"),IF(COUNTIFS($D:$D,$D9117,$A:$A,$A9117,$B:$B,$B9117,$G:$G,"CDU",$J:$J,"PLANNED")&gt;0,"tied","standalone"),"")</f>
        <v/>
      </c>
    </row>
    <row r="9118" spans="6:14">
      <c r="F9118" s="6">
        <f>IF($M9118="PADD I","PADD 1",IF($M9118="PADD II","PADD 2",IF($M9118="PADD III","PADD 3",IF($M9118="PADD IV","PADD 4",IF($M9118="PADD V","PADD 5","")))))</f>
        <v/>
      </c>
      <c r="G9118" s="6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  <c r="N9118" s="6">
        <f>IF(OR($G9118="FCC",$G9118="Hydrocracker",$G9118="Reformer"),IF(COUNTIFS($D:$D,$D9118,$A:$A,$A9118,$B:$B,$B9118,$G:$G,"CDU",$J:$J,"PLANNED")&gt;0,"tied","standalone"),"")</f>
        <v/>
      </c>
    </row>
    <row r="9119" spans="6:14">
      <c r="F9119" s="6">
        <f>IF($M9119="PADD I","PADD 1",IF($M9119="PADD II","PADD 2",IF($M9119="PADD III","PADD 3",IF($M9119="PADD IV","PADD 4",IF($M9119="PADD V","PADD 5","")))))</f>
        <v/>
      </c>
      <c r="G9119" s="6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  <c r="N9119" s="6">
        <f>IF(OR($G9119="FCC",$G9119="Hydrocracker",$G9119="Reformer"),IF(COUNTIFS($D:$D,$D9119,$A:$A,$A9119,$B:$B,$B9119,$G:$G,"CDU",$J:$J,"PLANNED")&gt;0,"tied","standalone"),"")</f>
        <v/>
      </c>
    </row>
    <row r="9120" spans="6:14">
      <c r="F9120" s="6">
        <f>IF($M9120="PADD I","PADD 1",IF($M9120="PADD II","PADD 2",IF($M9120="PADD III","PADD 3",IF($M9120="PADD IV","PADD 4",IF($M9120="PADD V","PADD 5","")))))</f>
        <v/>
      </c>
      <c r="G9120" s="6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  <c r="N9120" s="6">
        <f>IF(OR($G9120="FCC",$G9120="Hydrocracker",$G9120="Reformer"),IF(COUNTIFS($D:$D,$D9120,$A:$A,$A9120,$B:$B,$B9120,$G:$G,"CDU",$J:$J,"PLANNED")&gt;0,"tied","standalone"),"")</f>
        <v/>
      </c>
    </row>
    <row r="9121" spans="6:14">
      <c r="F9121" s="6">
        <f>IF($M9121="PADD I","PADD 1",IF($M9121="PADD II","PADD 2",IF($M9121="PADD III","PADD 3",IF($M9121="PADD IV","PADD 4",IF($M9121="PADD V","PADD 5","")))))</f>
        <v/>
      </c>
      <c r="G9121" s="6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  <c r="N9121" s="6">
        <f>IF(OR($G9121="FCC",$G9121="Hydrocracker",$G9121="Reformer"),IF(COUNTIFS($D:$D,$D9121,$A:$A,$A9121,$B:$B,$B9121,$G:$G,"CDU",$J:$J,"PLANNED")&gt;0,"tied","standalone"),"")</f>
        <v/>
      </c>
    </row>
    <row r="9122" spans="6:14">
      <c r="F9122" s="6">
        <f>IF($M9122="PADD I","PADD 1",IF($M9122="PADD II","PADD 2",IF($M9122="PADD III","PADD 3",IF($M9122="PADD IV","PADD 4",IF($M9122="PADD V","PADD 5","")))))</f>
        <v/>
      </c>
      <c r="G9122" s="6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  <c r="N9122" s="6">
        <f>IF(OR($G9122="FCC",$G9122="Hydrocracker",$G9122="Reformer"),IF(COUNTIFS($D:$D,$D9122,$A:$A,$A9122,$B:$B,$B9122,$G:$G,"CDU",$J:$J,"PLANNED")&gt;0,"tied","standalone"),"")</f>
        <v/>
      </c>
    </row>
    <row r="9123" spans="6:14">
      <c r="F9123" s="6">
        <f>IF($M9123="PADD I","PADD 1",IF($M9123="PADD II","PADD 2",IF($M9123="PADD III","PADD 3",IF($M9123="PADD IV","PADD 4",IF($M9123="PADD V","PADD 5","")))))</f>
        <v/>
      </c>
      <c r="G9123" s="6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  <c r="N9123" s="6">
        <f>IF(OR($G9123="FCC",$G9123="Hydrocracker",$G9123="Reformer"),IF(COUNTIFS($D:$D,$D9123,$A:$A,$A9123,$B:$B,$B9123,$G:$G,"CDU",$J:$J,"PLANNED")&gt;0,"tied","standalone"),"")</f>
        <v/>
      </c>
    </row>
    <row r="9124" spans="6:14">
      <c r="F9124" s="6">
        <f>IF($M9124="PADD I","PADD 1",IF($M9124="PADD II","PADD 2",IF($M9124="PADD III","PADD 3",IF($M9124="PADD IV","PADD 4",IF($M9124="PADD V","PADD 5","")))))</f>
        <v/>
      </c>
      <c r="G9124" s="6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  <c r="N9124" s="6">
        <f>IF(OR($G9124="FCC",$G9124="Hydrocracker",$G9124="Reformer"),IF(COUNTIFS($D:$D,$D9124,$A:$A,$A9124,$B:$B,$B9124,$G:$G,"CDU",$J:$J,"PLANNED")&gt;0,"tied","standalone"),"")</f>
        <v/>
      </c>
    </row>
    <row r="9125" spans="6:14">
      <c r="F9125" s="6">
        <f>IF($M9125="PADD I","PADD 1",IF($M9125="PADD II","PADD 2",IF($M9125="PADD III","PADD 3",IF($M9125="PADD IV","PADD 4",IF($M9125="PADD V","PADD 5","")))))</f>
        <v/>
      </c>
      <c r="G9125" s="6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  <c r="N9125" s="6">
        <f>IF(OR($G9125="FCC",$G9125="Hydrocracker",$G9125="Reformer"),IF(COUNTIFS($D:$D,$D9125,$A:$A,$A9125,$B:$B,$B9125,$G:$G,"CDU",$J:$J,"PLANNED")&gt;0,"tied","standalone"),"")</f>
        <v/>
      </c>
    </row>
    <row r="9126" spans="6:14">
      <c r="F9126" s="6">
        <f>IF($M9126="PADD I","PADD 1",IF($M9126="PADD II","PADD 2",IF($M9126="PADD III","PADD 3",IF($M9126="PADD IV","PADD 4",IF($M9126="PADD V","PADD 5","")))))</f>
        <v/>
      </c>
      <c r="G9126" s="6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  <c r="N9126" s="6">
        <f>IF(OR($G9126="FCC",$G9126="Hydrocracker",$G9126="Reformer"),IF(COUNTIFS($D:$D,$D9126,$A:$A,$A9126,$B:$B,$B9126,$G:$G,"CDU",$J:$J,"PLANNED")&gt;0,"tied","standalone"),"")</f>
        <v/>
      </c>
    </row>
    <row r="9127" spans="6:14">
      <c r="F9127" s="6">
        <f>IF($M9127="PADD I","PADD 1",IF($M9127="PADD II","PADD 2",IF($M9127="PADD III","PADD 3",IF($M9127="PADD IV","PADD 4",IF($M9127="PADD V","PADD 5","")))))</f>
        <v/>
      </c>
      <c r="G9127" s="6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  <c r="N9127" s="6">
        <f>IF(OR($G9127="FCC",$G9127="Hydrocracker",$G9127="Reformer"),IF(COUNTIFS($D:$D,$D9127,$A:$A,$A9127,$B:$B,$B9127,$G:$G,"CDU",$J:$J,"PLANNED")&gt;0,"tied","standalone"),"")</f>
        <v/>
      </c>
    </row>
    <row r="9128" spans="6:14">
      <c r="F9128" s="6">
        <f>IF($M9128="PADD I","PADD 1",IF($M9128="PADD II","PADD 2",IF($M9128="PADD III","PADD 3",IF($M9128="PADD IV","PADD 4",IF($M9128="PADD V","PADD 5","")))))</f>
        <v/>
      </c>
      <c r="G9128" s="6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  <c r="N9128" s="6">
        <f>IF(OR($G9128="FCC",$G9128="Hydrocracker",$G9128="Reformer"),IF(COUNTIFS($D:$D,$D9128,$A:$A,$A9128,$B:$B,$B9128,$G:$G,"CDU",$J:$J,"PLANNED")&gt;0,"tied","standalone"),"")</f>
        <v/>
      </c>
    </row>
    <row r="9129" spans="6:14">
      <c r="F9129" s="6">
        <f>IF($M9129="PADD I","PADD 1",IF($M9129="PADD II","PADD 2",IF($M9129="PADD III","PADD 3",IF($M9129="PADD IV","PADD 4",IF($M9129="PADD V","PADD 5","")))))</f>
        <v/>
      </c>
      <c r="G9129" s="6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  <c r="N9129" s="6">
        <f>IF(OR($G9129="FCC",$G9129="Hydrocracker",$G9129="Reformer"),IF(COUNTIFS($D:$D,$D9129,$A:$A,$A9129,$B:$B,$B9129,$G:$G,"CDU",$J:$J,"PLANNED")&gt;0,"tied","standalone"),"")</f>
        <v/>
      </c>
    </row>
    <row r="9130" spans="6:14">
      <c r="F9130" s="6">
        <f>IF($M9130="PADD I","PADD 1",IF($M9130="PADD II","PADD 2",IF($M9130="PADD III","PADD 3",IF($M9130="PADD IV","PADD 4",IF($M9130="PADD V","PADD 5","")))))</f>
        <v/>
      </c>
      <c r="G9130" s="6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  <c r="N9130" s="6">
        <f>IF(OR($G9130="FCC",$G9130="Hydrocracker",$G9130="Reformer"),IF(COUNTIFS($D:$D,$D9130,$A:$A,$A9130,$B:$B,$B9130,$G:$G,"CDU",$J:$J,"PLANNED")&gt;0,"tied","standalone"),"")</f>
        <v/>
      </c>
    </row>
    <row r="9131" spans="6:14">
      <c r="F9131" s="6">
        <f>IF($M9131="PADD I","PADD 1",IF($M9131="PADD II","PADD 2",IF($M9131="PADD III","PADD 3",IF($M9131="PADD IV","PADD 4",IF($M9131="PADD V","PADD 5","")))))</f>
        <v/>
      </c>
      <c r="G9131" s="6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  <c r="N9131" s="6">
        <f>IF(OR($G9131="FCC",$G9131="Hydrocracker",$G9131="Reformer"),IF(COUNTIFS($D:$D,$D9131,$A:$A,$A9131,$B:$B,$B9131,$G:$G,"CDU",$J:$J,"PLANNED")&gt;0,"tied","standalone"),"")</f>
        <v/>
      </c>
    </row>
    <row r="9132" spans="6:14">
      <c r="F9132" s="6">
        <f>IF($M9132="PADD I","PADD 1",IF($M9132="PADD II","PADD 2",IF($M9132="PADD III","PADD 3",IF($M9132="PADD IV","PADD 4",IF($M9132="PADD V","PADD 5","")))))</f>
        <v/>
      </c>
      <c r="G9132" s="6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  <c r="N9132" s="6">
        <f>IF(OR($G9132="FCC",$G9132="Hydrocracker",$G9132="Reformer"),IF(COUNTIFS($D:$D,$D9132,$A:$A,$A9132,$B:$B,$B9132,$G:$G,"CDU",$J:$J,"PLANNED")&gt;0,"tied","standalone"),"")</f>
        <v/>
      </c>
    </row>
    <row r="9133" spans="6:14">
      <c r="F9133" s="6">
        <f>IF($M9133="PADD I","PADD 1",IF($M9133="PADD II","PADD 2",IF($M9133="PADD III","PADD 3",IF($M9133="PADD IV","PADD 4",IF($M9133="PADD V","PADD 5","")))))</f>
        <v/>
      </c>
      <c r="G9133" s="6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  <c r="N9133" s="6">
        <f>IF(OR($G9133="FCC",$G9133="Hydrocracker",$G9133="Reformer"),IF(COUNTIFS($D:$D,$D9133,$A:$A,$A9133,$B:$B,$B9133,$G:$G,"CDU",$J:$J,"PLANNED")&gt;0,"tied","standalone"),"")</f>
        <v/>
      </c>
    </row>
    <row r="9134" spans="6:14">
      <c r="F9134" s="6">
        <f>IF($M9134="PADD I","PADD 1",IF($M9134="PADD II","PADD 2",IF($M9134="PADD III","PADD 3",IF($M9134="PADD IV","PADD 4",IF($M9134="PADD V","PADD 5","")))))</f>
        <v/>
      </c>
      <c r="G9134" s="6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  <c r="N9134" s="6">
        <f>IF(OR($G9134="FCC",$G9134="Hydrocracker",$G9134="Reformer"),IF(COUNTIFS($D:$D,$D9134,$A:$A,$A9134,$B:$B,$B9134,$G:$G,"CDU",$J:$J,"PLANNED")&gt;0,"tied","standalone"),"")</f>
        <v/>
      </c>
    </row>
    <row r="9135" spans="6:14">
      <c r="F9135" s="6">
        <f>IF($M9135="PADD I","PADD 1",IF($M9135="PADD II","PADD 2",IF($M9135="PADD III","PADD 3",IF($M9135="PADD IV","PADD 4",IF($M9135="PADD V","PADD 5","")))))</f>
        <v/>
      </c>
      <c r="G9135" s="6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  <c r="N9135" s="6">
        <f>IF(OR($G9135="FCC",$G9135="Hydrocracker",$G9135="Reformer"),IF(COUNTIFS($D:$D,$D9135,$A:$A,$A9135,$B:$B,$B9135,$G:$G,"CDU",$J:$J,"PLANNED")&gt;0,"tied","standalone"),"")</f>
        <v/>
      </c>
    </row>
    <row r="9136" spans="6:14">
      <c r="F9136" s="6">
        <f>IF($M9136="PADD I","PADD 1",IF($M9136="PADD II","PADD 2",IF($M9136="PADD III","PADD 3",IF($M9136="PADD IV","PADD 4",IF($M9136="PADD V","PADD 5","")))))</f>
        <v/>
      </c>
      <c r="G9136" s="6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  <c r="N9136" s="6">
        <f>IF(OR($G9136="FCC",$G9136="Hydrocracker",$G9136="Reformer"),IF(COUNTIFS($D:$D,$D9136,$A:$A,$A9136,$B:$B,$B9136,$G:$G,"CDU",$J:$J,"PLANNED")&gt;0,"tied","standalone"),"")</f>
        <v/>
      </c>
    </row>
    <row r="9137" spans="6:14">
      <c r="F9137" s="6">
        <f>IF($M9137="PADD I","PADD 1",IF($M9137="PADD II","PADD 2",IF($M9137="PADD III","PADD 3",IF($M9137="PADD IV","PADD 4",IF($M9137="PADD V","PADD 5","")))))</f>
        <v/>
      </c>
      <c r="G9137" s="6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  <c r="N9137" s="6">
        <f>IF(OR($G9137="FCC",$G9137="Hydrocracker",$G9137="Reformer"),IF(COUNTIFS($D:$D,$D9137,$A:$A,$A9137,$B:$B,$B9137,$G:$G,"CDU",$J:$J,"PLANNED")&gt;0,"tied","standalone"),"")</f>
        <v/>
      </c>
    </row>
    <row r="9138" spans="6:14">
      <c r="F9138" s="6">
        <f>IF($M9138="PADD I","PADD 1",IF($M9138="PADD II","PADD 2",IF($M9138="PADD III","PADD 3",IF($M9138="PADD IV","PADD 4",IF($M9138="PADD V","PADD 5","")))))</f>
        <v/>
      </c>
      <c r="G9138" s="6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  <c r="N9138" s="6">
        <f>IF(OR($G9138="FCC",$G9138="Hydrocracker",$G9138="Reformer"),IF(COUNTIFS($D:$D,$D9138,$A:$A,$A9138,$B:$B,$B9138,$G:$G,"CDU",$J:$J,"PLANNED")&gt;0,"tied","standalone"),"")</f>
        <v/>
      </c>
    </row>
    <row r="9139" spans="6:14">
      <c r="F9139" s="6">
        <f>IF($M9139="PADD I","PADD 1",IF($M9139="PADD II","PADD 2",IF($M9139="PADD III","PADD 3",IF($M9139="PADD IV","PADD 4",IF($M9139="PADD V","PADD 5","")))))</f>
        <v/>
      </c>
      <c r="G9139" s="6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  <c r="N9139" s="6">
        <f>IF(OR($G9139="FCC",$G9139="Hydrocracker",$G9139="Reformer"),IF(COUNTIFS($D:$D,$D9139,$A:$A,$A9139,$B:$B,$B9139,$G:$G,"CDU",$J:$J,"PLANNED")&gt;0,"tied","standalone"),"")</f>
        <v/>
      </c>
    </row>
    <row r="9140" spans="6:14">
      <c r="F9140" s="6">
        <f>IF($M9140="PADD I","PADD 1",IF($M9140="PADD II","PADD 2",IF($M9140="PADD III","PADD 3",IF($M9140="PADD IV","PADD 4",IF($M9140="PADD V","PADD 5","")))))</f>
        <v/>
      </c>
      <c r="G9140" s="6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  <c r="N9140" s="6">
        <f>IF(OR($G9140="FCC",$G9140="Hydrocracker",$G9140="Reformer"),IF(COUNTIFS($D:$D,$D9140,$A:$A,$A9140,$B:$B,$B9140,$G:$G,"CDU",$J:$J,"PLANNED")&gt;0,"tied","standalone"),"")</f>
        <v/>
      </c>
    </row>
    <row r="9141" spans="6:14">
      <c r="F9141" s="6">
        <f>IF($M9141="PADD I","PADD 1",IF($M9141="PADD II","PADD 2",IF($M9141="PADD III","PADD 3",IF($M9141="PADD IV","PADD 4",IF($M9141="PADD V","PADD 5","")))))</f>
        <v/>
      </c>
      <c r="G9141" s="6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  <c r="N9141" s="6">
        <f>IF(OR($G9141="FCC",$G9141="Hydrocracker",$G9141="Reformer"),IF(COUNTIFS($D:$D,$D9141,$A:$A,$A9141,$B:$B,$B9141,$G:$G,"CDU",$J:$J,"PLANNED")&gt;0,"tied","standalone"),"")</f>
        <v/>
      </c>
    </row>
    <row r="9142" spans="6:14">
      <c r="F9142" s="6">
        <f>IF($M9142="PADD I","PADD 1",IF($M9142="PADD II","PADD 2",IF($M9142="PADD III","PADD 3",IF($M9142="PADD IV","PADD 4",IF($M9142="PADD V","PADD 5","")))))</f>
        <v/>
      </c>
      <c r="G9142" s="6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  <c r="N9142" s="6">
        <f>IF(OR($G9142="FCC",$G9142="Hydrocracker",$G9142="Reformer"),IF(COUNTIFS($D:$D,$D9142,$A:$A,$A9142,$B:$B,$B9142,$G:$G,"CDU",$J:$J,"PLANNED")&gt;0,"tied","standalone"),"")</f>
        <v/>
      </c>
    </row>
    <row r="9143" spans="6:14">
      <c r="F9143" s="6">
        <f>IF($M9143="PADD I","PADD 1",IF($M9143="PADD II","PADD 2",IF($M9143="PADD III","PADD 3",IF($M9143="PADD IV","PADD 4",IF($M9143="PADD V","PADD 5","")))))</f>
        <v/>
      </c>
      <c r="G9143" s="6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  <c r="N9143" s="6">
        <f>IF(OR($G9143="FCC",$G9143="Hydrocracker",$G9143="Reformer"),IF(COUNTIFS($D:$D,$D9143,$A:$A,$A9143,$B:$B,$B9143,$G:$G,"CDU",$J:$J,"PLANNED")&gt;0,"tied","standalone"),"")</f>
        <v/>
      </c>
    </row>
    <row r="9144" spans="6:14">
      <c r="F9144" s="6">
        <f>IF($M9144="PADD I","PADD 1",IF($M9144="PADD II","PADD 2",IF($M9144="PADD III","PADD 3",IF($M9144="PADD IV","PADD 4",IF($M9144="PADD V","PADD 5","")))))</f>
        <v/>
      </c>
      <c r="G9144" s="6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  <c r="N9144" s="6">
        <f>IF(OR($G9144="FCC",$G9144="Hydrocracker",$G9144="Reformer"),IF(COUNTIFS($D:$D,$D9144,$A:$A,$A9144,$B:$B,$B9144,$G:$G,"CDU",$J:$J,"PLANNED")&gt;0,"tied","standalone"),"")</f>
        <v/>
      </c>
    </row>
    <row r="9145" spans="6:14">
      <c r="F9145" s="6">
        <f>IF($M9145="PADD I","PADD 1",IF($M9145="PADD II","PADD 2",IF($M9145="PADD III","PADD 3",IF($M9145="PADD IV","PADD 4",IF($M9145="PADD V","PADD 5","")))))</f>
        <v/>
      </c>
      <c r="G9145" s="6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  <c r="N9145" s="6">
        <f>IF(OR($G9145="FCC",$G9145="Hydrocracker",$G9145="Reformer"),IF(COUNTIFS($D:$D,$D9145,$A:$A,$A9145,$B:$B,$B9145,$G:$G,"CDU",$J:$J,"PLANNED")&gt;0,"tied","standalone"),"")</f>
        <v/>
      </c>
    </row>
    <row r="9146" spans="6:14">
      <c r="F9146" s="6">
        <f>IF($M9146="PADD I","PADD 1",IF($M9146="PADD II","PADD 2",IF($M9146="PADD III","PADD 3",IF($M9146="PADD IV","PADD 4",IF($M9146="PADD V","PADD 5","")))))</f>
        <v/>
      </c>
      <c r="G9146" s="6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  <c r="N9146" s="6">
        <f>IF(OR($G9146="FCC",$G9146="Hydrocracker",$G9146="Reformer"),IF(COUNTIFS($D:$D,$D9146,$A:$A,$A9146,$B:$B,$B9146,$G:$G,"CDU",$J:$J,"PLANNED")&gt;0,"tied","standalone"),"")</f>
        <v/>
      </c>
    </row>
    <row r="9147" spans="6:14">
      <c r="F9147" s="6">
        <f>IF($M9147="PADD I","PADD 1",IF($M9147="PADD II","PADD 2",IF($M9147="PADD III","PADD 3",IF($M9147="PADD IV","PADD 4",IF($M9147="PADD V","PADD 5","")))))</f>
        <v/>
      </c>
      <c r="G9147" s="6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  <c r="N9147" s="6">
        <f>IF(OR($G9147="FCC",$G9147="Hydrocracker",$G9147="Reformer"),IF(COUNTIFS($D:$D,$D9147,$A:$A,$A9147,$B:$B,$B9147,$G:$G,"CDU",$J:$J,"PLANNED")&gt;0,"tied","standalone"),"")</f>
        <v/>
      </c>
    </row>
    <row r="9148" spans="6:14">
      <c r="F9148" s="6">
        <f>IF($M9148="PADD I","PADD 1",IF($M9148="PADD II","PADD 2",IF($M9148="PADD III","PADD 3",IF($M9148="PADD IV","PADD 4",IF($M9148="PADD V","PADD 5","")))))</f>
        <v/>
      </c>
      <c r="G9148" s="6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  <c r="N9148" s="6">
        <f>IF(OR($G9148="FCC",$G9148="Hydrocracker",$G9148="Reformer"),IF(COUNTIFS($D:$D,$D9148,$A:$A,$A9148,$B:$B,$B9148,$G:$G,"CDU",$J:$J,"PLANNED")&gt;0,"tied","standalone"),"")</f>
        <v/>
      </c>
    </row>
    <row r="9149" spans="6:14">
      <c r="F9149" s="6">
        <f>IF($M9149="PADD I","PADD 1",IF($M9149="PADD II","PADD 2",IF($M9149="PADD III","PADD 3",IF($M9149="PADD IV","PADD 4",IF($M9149="PADD V","PADD 5","")))))</f>
        <v/>
      </c>
      <c r="G9149" s="6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  <c r="N9149" s="6">
        <f>IF(OR($G9149="FCC",$G9149="Hydrocracker",$G9149="Reformer"),IF(COUNTIFS($D:$D,$D9149,$A:$A,$A9149,$B:$B,$B9149,$G:$G,"CDU",$J:$J,"PLANNED")&gt;0,"tied","standalone"),"")</f>
        <v/>
      </c>
    </row>
    <row r="9150" spans="6:14">
      <c r="F9150" s="6">
        <f>IF($M9150="PADD I","PADD 1",IF($M9150="PADD II","PADD 2",IF($M9150="PADD III","PADD 3",IF($M9150="PADD IV","PADD 4",IF($M9150="PADD V","PADD 5","")))))</f>
        <v/>
      </c>
      <c r="G9150" s="6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  <c r="N9150" s="6">
        <f>IF(OR($G9150="FCC",$G9150="Hydrocracker",$G9150="Reformer"),IF(COUNTIFS($D:$D,$D9150,$A:$A,$A9150,$B:$B,$B9150,$G:$G,"CDU",$J:$J,"PLANNED")&gt;0,"tied","standalone"),"")</f>
        <v/>
      </c>
    </row>
    <row r="9151" spans="6:14">
      <c r="F9151" s="6">
        <f>IF($M9151="PADD I","PADD 1",IF($M9151="PADD II","PADD 2",IF($M9151="PADD III","PADD 3",IF($M9151="PADD IV","PADD 4",IF($M9151="PADD V","PADD 5","")))))</f>
        <v/>
      </c>
      <c r="G9151" s="6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  <c r="N9151" s="6">
        <f>IF(OR($G9151="FCC",$G9151="Hydrocracker",$G9151="Reformer"),IF(COUNTIFS($D:$D,$D9151,$A:$A,$A9151,$B:$B,$B9151,$G:$G,"CDU",$J:$J,"PLANNED")&gt;0,"tied","standalone"),"")</f>
        <v/>
      </c>
    </row>
    <row r="9152" spans="6:14">
      <c r="F9152" s="6">
        <f>IF($M9152="PADD I","PADD 1",IF($M9152="PADD II","PADD 2",IF($M9152="PADD III","PADD 3",IF($M9152="PADD IV","PADD 4",IF($M9152="PADD V","PADD 5","")))))</f>
        <v/>
      </c>
      <c r="G9152" s="6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  <c r="N9152" s="6">
        <f>IF(OR($G9152="FCC",$G9152="Hydrocracker",$G9152="Reformer"),IF(COUNTIFS($D:$D,$D9152,$A:$A,$A9152,$B:$B,$B9152,$G:$G,"CDU",$J:$J,"PLANNED")&gt;0,"tied","standalone"),"")</f>
        <v/>
      </c>
    </row>
    <row r="9153" spans="6:14">
      <c r="F9153" s="6">
        <f>IF($M9153="PADD I","PADD 1",IF($M9153="PADD II","PADD 2",IF($M9153="PADD III","PADD 3",IF($M9153="PADD IV","PADD 4",IF($M9153="PADD V","PADD 5","")))))</f>
        <v/>
      </c>
      <c r="G9153" s="6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  <c r="N9153" s="6">
        <f>IF(OR($G9153="FCC",$G9153="Hydrocracker",$G9153="Reformer"),IF(COUNTIFS($D:$D,$D9153,$A:$A,$A9153,$B:$B,$B9153,$G:$G,"CDU",$J:$J,"PLANNED")&gt;0,"tied","standalone"),"")</f>
        <v/>
      </c>
    </row>
    <row r="9154" spans="6:14">
      <c r="F9154" s="6">
        <f>IF($M9154="PADD I","PADD 1",IF($M9154="PADD II","PADD 2",IF($M9154="PADD III","PADD 3",IF($M9154="PADD IV","PADD 4",IF($M9154="PADD V","PADD 5","")))))</f>
        <v/>
      </c>
      <c r="G9154" s="6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  <c r="N9154" s="6">
        <f>IF(OR($G9154="FCC",$G9154="Hydrocracker",$G9154="Reformer"),IF(COUNTIFS($D:$D,$D9154,$A:$A,$A9154,$B:$B,$B9154,$G:$G,"CDU",$J:$J,"PLANNED")&gt;0,"tied","standalone"),"")</f>
        <v/>
      </c>
    </row>
    <row r="9155" spans="6:14">
      <c r="F9155" s="6">
        <f>IF($M9155="PADD I","PADD 1",IF($M9155="PADD II","PADD 2",IF($M9155="PADD III","PADD 3",IF($M9155="PADD IV","PADD 4",IF($M9155="PADD V","PADD 5","")))))</f>
        <v/>
      </c>
      <c r="G9155" s="6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  <c r="N9155" s="6">
        <f>IF(OR($G9155="FCC",$G9155="Hydrocracker",$G9155="Reformer"),IF(COUNTIFS($D:$D,$D9155,$A:$A,$A9155,$B:$B,$B9155,$G:$G,"CDU",$J:$J,"PLANNED")&gt;0,"tied","standalone"),"")</f>
        <v/>
      </c>
    </row>
    <row r="9156" spans="6:14">
      <c r="F9156" s="6">
        <f>IF($M9156="PADD I","PADD 1",IF($M9156="PADD II","PADD 2",IF($M9156="PADD III","PADD 3",IF($M9156="PADD IV","PADD 4",IF($M9156="PADD V","PADD 5","")))))</f>
        <v/>
      </c>
      <c r="G9156" s="6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  <c r="N9156" s="6">
        <f>IF(OR($G9156="FCC",$G9156="Hydrocracker",$G9156="Reformer"),IF(COUNTIFS($D:$D,$D9156,$A:$A,$A9156,$B:$B,$B9156,$G:$G,"CDU",$J:$J,"PLANNED")&gt;0,"tied","standalone"),"")</f>
        <v/>
      </c>
    </row>
    <row r="9157" spans="6:14">
      <c r="F9157" s="6">
        <f>IF($M9157="PADD I","PADD 1",IF($M9157="PADD II","PADD 2",IF($M9157="PADD III","PADD 3",IF($M9157="PADD IV","PADD 4",IF($M9157="PADD V","PADD 5","")))))</f>
        <v/>
      </c>
      <c r="G9157" s="6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  <c r="N9157" s="6">
        <f>IF(OR($G9157="FCC",$G9157="Hydrocracker",$G9157="Reformer"),IF(COUNTIFS($D:$D,$D9157,$A:$A,$A9157,$B:$B,$B9157,$G:$G,"CDU",$J:$J,"PLANNED")&gt;0,"tied","standalone"),"")</f>
        <v/>
      </c>
    </row>
    <row r="9158" spans="6:14">
      <c r="F9158" s="6">
        <f>IF($M9158="PADD I","PADD 1",IF($M9158="PADD II","PADD 2",IF($M9158="PADD III","PADD 3",IF($M9158="PADD IV","PADD 4",IF($M9158="PADD V","PADD 5","")))))</f>
        <v/>
      </c>
      <c r="G9158" s="6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  <c r="N9158" s="6">
        <f>IF(OR($G9158="FCC",$G9158="Hydrocracker",$G9158="Reformer"),IF(COUNTIFS($D:$D,$D9158,$A:$A,$A9158,$B:$B,$B9158,$G:$G,"CDU",$J:$J,"PLANNED")&gt;0,"tied","standalone"),"")</f>
        <v/>
      </c>
    </row>
    <row r="9159" spans="6:14">
      <c r="F9159" s="6">
        <f>IF($M9159="PADD I","PADD 1",IF($M9159="PADD II","PADD 2",IF($M9159="PADD III","PADD 3",IF($M9159="PADD IV","PADD 4",IF($M9159="PADD V","PADD 5","")))))</f>
        <v/>
      </c>
      <c r="G9159" s="6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  <c r="N9159" s="6">
        <f>IF(OR($G9159="FCC",$G9159="Hydrocracker",$G9159="Reformer"),IF(COUNTIFS($D:$D,$D9159,$A:$A,$A9159,$B:$B,$B9159,$G:$G,"CDU",$J:$J,"PLANNED")&gt;0,"tied","standalone"),"")</f>
        <v/>
      </c>
    </row>
    <row r="9160" spans="6:14">
      <c r="F9160" s="6">
        <f>IF($M9160="PADD I","PADD 1",IF($M9160="PADD II","PADD 2",IF($M9160="PADD III","PADD 3",IF($M9160="PADD IV","PADD 4",IF($M9160="PADD V","PADD 5","")))))</f>
        <v/>
      </c>
      <c r="G9160" s="6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  <c r="N9160" s="6">
        <f>IF(OR($G9160="FCC",$G9160="Hydrocracker",$G9160="Reformer"),IF(COUNTIFS($D:$D,$D9160,$A:$A,$A9160,$B:$B,$B9160,$G:$G,"CDU",$J:$J,"PLANNED")&gt;0,"tied","standalone"),"")</f>
        <v/>
      </c>
    </row>
    <row r="9161" spans="6:14">
      <c r="F9161" s="6">
        <f>IF($M9161="PADD I","PADD 1",IF($M9161="PADD II","PADD 2",IF($M9161="PADD III","PADD 3",IF($M9161="PADD IV","PADD 4",IF($M9161="PADD V","PADD 5","")))))</f>
        <v/>
      </c>
      <c r="G9161" s="6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  <c r="N9161" s="6">
        <f>IF(OR($G9161="FCC",$G9161="Hydrocracker",$G9161="Reformer"),IF(COUNTIFS($D:$D,$D9161,$A:$A,$A9161,$B:$B,$B9161,$G:$G,"CDU",$J:$J,"PLANNED")&gt;0,"tied","standalone"),"")</f>
        <v/>
      </c>
    </row>
    <row r="9162" spans="6:14">
      <c r="F9162" s="6">
        <f>IF($M9162="PADD I","PADD 1",IF($M9162="PADD II","PADD 2",IF($M9162="PADD III","PADD 3",IF($M9162="PADD IV","PADD 4",IF($M9162="PADD V","PADD 5","")))))</f>
        <v/>
      </c>
      <c r="G9162" s="6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  <c r="N9162" s="6">
        <f>IF(OR($G9162="FCC",$G9162="Hydrocracker",$G9162="Reformer"),IF(COUNTIFS($D:$D,$D9162,$A:$A,$A9162,$B:$B,$B9162,$G:$G,"CDU",$J:$J,"PLANNED")&gt;0,"tied","standalone"),"")</f>
        <v/>
      </c>
    </row>
    <row r="9163" spans="6:14">
      <c r="F9163" s="6">
        <f>IF($M9163="PADD I","PADD 1",IF($M9163="PADD II","PADD 2",IF($M9163="PADD III","PADD 3",IF($M9163="PADD IV","PADD 4",IF($M9163="PADD V","PADD 5","")))))</f>
        <v/>
      </c>
      <c r="G9163" s="6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  <c r="N9163" s="6">
        <f>IF(OR($G9163="FCC",$G9163="Hydrocracker",$G9163="Reformer"),IF(COUNTIFS($D:$D,$D9163,$A:$A,$A9163,$B:$B,$B9163,$G:$G,"CDU",$J:$J,"PLANNED")&gt;0,"tied","standalone"),"")</f>
        <v/>
      </c>
    </row>
    <row r="9164" spans="6:14">
      <c r="F9164" s="6">
        <f>IF($M9164="PADD I","PADD 1",IF($M9164="PADD II","PADD 2",IF($M9164="PADD III","PADD 3",IF($M9164="PADD IV","PADD 4",IF($M9164="PADD V","PADD 5","")))))</f>
        <v/>
      </c>
      <c r="G9164" s="6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  <c r="N9164" s="6">
        <f>IF(OR($G9164="FCC",$G9164="Hydrocracker",$G9164="Reformer"),IF(COUNTIFS($D:$D,$D9164,$A:$A,$A9164,$B:$B,$B9164,$G:$G,"CDU",$J:$J,"PLANNED")&gt;0,"tied","standalone"),"")</f>
        <v/>
      </c>
    </row>
    <row r="9165" spans="6:14">
      <c r="F9165" s="6">
        <f>IF($M9165="PADD I","PADD 1",IF($M9165="PADD II","PADD 2",IF($M9165="PADD III","PADD 3",IF($M9165="PADD IV","PADD 4",IF($M9165="PADD V","PADD 5","")))))</f>
        <v/>
      </c>
      <c r="G9165" s="6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  <c r="N9165" s="6">
        <f>IF(OR($G9165="FCC",$G9165="Hydrocracker",$G9165="Reformer"),IF(COUNTIFS($D:$D,$D9165,$A:$A,$A9165,$B:$B,$B9165,$G:$G,"CDU",$J:$J,"PLANNED")&gt;0,"tied","standalone"),"")</f>
        <v/>
      </c>
    </row>
    <row r="9166" spans="6:14">
      <c r="F9166" s="6">
        <f>IF($M9166="PADD I","PADD 1",IF($M9166="PADD II","PADD 2",IF($M9166="PADD III","PADD 3",IF($M9166="PADD IV","PADD 4",IF($M9166="PADD V","PADD 5","")))))</f>
        <v/>
      </c>
      <c r="G9166" s="6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  <c r="N9166" s="6">
        <f>IF(OR($G9166="FCC",$G9166="Hydrocracker",$G9166="Reformer"),IF(COUNTIFS($D:$D,$D9166,$A:$A,$A9166,$B:$B,$B9166,$G:$G,"CDU",$J:$J,"PLANNED")&gt;0,"tied","standalone"),"")</f>
        <v/>
      </c>
    </row>
    <row r="9167" spans="6:14">
      <c r="F9167" s="6">
        <f>IF($M9167="PADD I","PADD 1",IF($M9167="PADD II","PADD 2",IF($M9167="PADD III","PADD 3",IF($M9167="PADD IV","PADD 4",IF($M9167="PADD V","PADD 5","")))))</f>
        <v/>
      </c>
      <c r="G9167" s="6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  <c r="N9167" s="6">
        <f>IF(OR($G9167="FCC",$G9167="Hydrocracker",$G9167="Reformer"),IF(COUNTIFS($D:$D,$D9167,$A:$A,$A9167,$B:$B,$B9167,$G:$G,"CDU",$J:$J,"PLANNED")&gt;0,"tied","standalone"),"")</f>
        <v/>
      </c>
    </row>
    <row r="9168" spans="6:14">
      <c r="F9168" s="6">
        <f>IF($M9168="PADD I","PADD 1",IF($M9168="PADD II","PADD 2",IF($M9168="PADD III","PADD 3",IF($M9168="PADD IV","PADD 4",IF($M9168="PADD V","PADD 5","")))))</f>
        <v/>
      </c>
      <c r="G9168" s="6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  <c r="N9168" s="6">
        <f>IF(OR($G9168="FCC",$G9168="Hydrocracker",$G9168="Reformer"),IF(COUNTIFS($D:$D,$D9168,$A:$A,$A9168,$B:$B,$B9168,$G:$G,"CDU",$J:$J,"PLANNED")&gt;0,"tied","standalone"),"")</f>
        <v/>
      </c>
    </row>
    <row r="9169" spans="6:14">
      <c r="F9169" s="6">
        <f>IF($M9169="PADD I","PADD 1",IF($M9169="PADD II","PADD 2",IF($M9169="PADD III","PADD 3",IF($M9169="PADD IV","PADD 4",IF($M9169="PADD V","PADD 5","")))))</f>
        <v/>
      </c>
      <c r="G9169" s="6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  <c r="N9169" s="6">
        <f>IF(OR($G9169="FCC",$G9169="Hydrocracker",$G9169="Reformer"),IF(COUNTIFS($D:$D,$D9169,$A:$A,$A9169,$B:$B,$B9169,$G:$G,"CDU",$J:$J,"PLANNED")&gt;0,"tied","standalone"),"")</f>
        <v/>
      </c>
    </row>
    <row r="9170" spans="6:14">
      <c r="F9170" s="6">
        <f>IF($M9170="PADD I","PADD 1",IF($M9170="PADD II","PADD 2",IF($M9170="PADD III","PADD 3",IF($M9170="PADD IV","PADD 4",IF($M9170="PADD V","PADD 5","")))))</f>
        <v/>
      </c>
      <c r="G9170" s="6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  <c r="N9170" s="6">
        <f>IF(OR($G9170="FCC",$G9170="Hydrocracker",$G9170="Reformer"),IF(COUNTIFS($D:$D,$D9170,$A:$A,$A9170,$B:$B,$B9170,$G:$G,"CDU",$J:$J,"PLANNED")&gt;0,"tied","standalone"),"")</f>
        <v/>
      </c>
    </row>
    <row r="9171" spans="6:14">
      <c r="F9171" s="6">
        <f>IF($M9171="PADD I","PADD 1",IF($M9171="PADD II","PADD 2",IF($M9171="PADD III","PADD 3",IF($M9171="PADD IV","PADD 4",IF($M9171="PADD V","PADD 5","")))))</f>
        <v/>
      </c>
      <c r="G9171" s="6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  <c r="N9171" s="6">
        <f>IF(OR($G9171="FCC",$G9171="Hydrocracker",$G9171="Reformer"),IF(COUNTIFS($D:$D,$D9171,$A:$A,$A9171,$B:$B,$B9171,$G:$G,"CDU",$J:$J,"PLANNED")&gt;0,"tied","standalone"),"")</f>
        <v/>
      </c>
    </row>
    <row r="9172" spans="6:14">
      <c r="F9172" s="6">
        <f>IF($M9172="PADD I","PADD 1",IF($M9172="PADD II","PADD 2",IF($M9172="PADD III","PADD 3",IF($M9172="PADD IV","PADD 4",IF($M9172="PADD V","PADD 5","")))))</f>
        <v/>
      </c>
      <c r="G9172" s="6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  <c r="N9172" s="6">
        <f>IF(OR($G9172="FCC",$G9172="Hydrocracker",$G9172="Reformer"),IF(COUNTIFS($D:$D,$D9172,$A:$A,$A9172,$B:$B,$B9172,$G:$G,"CDU",$J:$J,"PLANNED")&gt;0,"tied","standalone"),"")</f>
        <v/>
      </c>
    </row>
    <row r="9173" spans="6:14">
      <c r="F9173" s="6">
        <f>IF($M9173="PADD I","PADD 1",IF($M9173="PADD II","PADD 2",IF($M9173="PADD III","PADD 3",IF($M9173="PADD IV","PADD 4",IF($M9173="PADD V","PADD 5","")))))</f>
        <v/>
      </c>
      <c r="G9173" s="6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  <c r="N9173" s="6">
        <f>IF(OR($G9173="FCC",$G9173="Hydrocracker",$G9173="Reformer"),IF(COUNTIFS($D:$D,$D9173,$A:$A,$A9173,$B:$B,$B9173,$G:$G,"CDU",$J:$J,"PLANNED")&gt;0,"tied","standalone"),"")</f>
        <v/>
      </c>
    </row>
    <row r="9174" spans="6:14">
      <c r="F9174" s="6">
        <f>IF($M9174="PADD I","PADD 1",IF($M9174="PADD II","PADD 2",IF($M9174="PADD III","PADD 3",IF($M9174="PADD IV","PADD 4",IF($M9174="PADD V","PADD 5","")))))</f>
        <v/>
      </c>
      <c r="G9174" s="6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  <c r="N9174" s="6">
        <f>IF(OR($G9174="FCC",$G9174="Hydrocracker",$G9174="Reformer"),IF(COUNTIFS($D:$D,$D9174,$A:$A,$A9174,$B:$B,$B9174,$G:$G,"CDU",$J:$J,"PLANNED")&gt;0,"tied","standalone"),"")</f>
        <v/>
      </c>
    </row>
    <row r="9175" spans="6:14">
      <c r="F9175" s="6">
        <f>IF($M9175="PADD I","PADD 1",IF($M9175="PADD II","PADD 2",IF($M9175="PADD III","PADD 3",IF($M9175="PADD IV","PADD 4",IF($M9175="PADD V","PADD 5","")))))</f>
        <v/>
      </c>
      <c r="G9175" s="6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  <c r="N9175" s="6">
        <f>IF(OR($G9175="FCC",$G9175="Hydrocracker",$G9175="Reformer"),IF(COUNTIFS($D:$D,$D9175,$A:$A,$A9175,$B:$B,$B9175,$G:$G,"CDU",$J:$J,"PLANNED")&gt;0,"tied","standalone"),"")</f>
        <v/>
      </c>
    </row>
    <row r="9176" spans="6:14">
      <c r="F9176" s="6">
        <f>IF($M9176="PADD I","PADD 1",IF($M9176="PADD II","PADD 2",IF($M9176="PADD III","PADD 3",IF($M9176="PADD IV","PADD 4",IF($M9176="PADD V","PADD 5","")))))</f>
        <v/>
      </c>
      <c r="G9176" s="6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  <c r="N9176" s="6">
        <f>IF(OR($G9176="FCC",$G9176="Hydrocracker",$G9176="Reformer"),IF(COUNTIFS($D:$D,$D9176,$A:$A,$A9176,$B:$B,$B9176,$G:$G,"CDU",$J:$J,"PLANNED")&gt;0,"tied","standalone"),"")</f>
        <v/>
      </c>
    </row>
    <row r="9177" spans="6:14">
      <c r="F9177" s="6">
        <f>IF($M9177="PADD I","PADD 1",IF($M9177="PADD II","PADD 2",IF($M9177="PADD III","PADD 3",IF($M9177="PADD IV","PADD 4",IF($M9177="PADD V","PADD 5","")))))</f>
        <v/>
      </c>
      <c r="G9177" s="6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  <c r="N9177" s="6">
        <f>IF(OR($G9177="FCC",$G9177="Hydrocracker",$G9177="Reformer"),IF(COUNTIFS($D:$D,$D9177,$A:$A,$A9177,$B:$B,$B9177,$G:$G,"CDU",$J:$J,"PLANNED")&gt;0,"tied","standalone"),"")</f>
        <v/>
      </c>
    </row>
    <row r="9178" spans="6:14">
      <c r="F9178" s="6">
        <f>IF($M9178="PADD I","PADD 1",IF($M9178="PADD II","PADD 2",IF($M9178="PADD III","PADD 3",IF($M9178="PADD IV","PADD 4",IF($M9178="PADD V","PADD 5","")))))</f>
        <v/>
      </c>
      <c r="G9178" s="6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  <c r="N9178" s="6">
        <f>IF(OR($G9178="FCC",$G9178="Hydrocracker",$G9178="Reformer"),IF(COUNTIFS($D:$D,$D9178,$A:$A,$A9178,$B:$B,$B9178,$G:$G,"CDU",$J:$J,"PLANNED")&gt;0,"tied","standalone"),"")</f>
        <v/>
      </c>
    </row>
    <row r="9179" spans="6:14">
      <c r="F9179" s="6">
        <f>IF($M9179="PADD I","PADD 1",IF($M9179="PADD II","PADD 2",IF($M9179="PADD III","PADD 3",IF($M9179="PADD IV","PADD 4",IF($M9179="PADD V","PADD 5","")))))</f>
        <v/>
      </c>
      <c r="G9179" s="6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  <c r="N9179" s="6">
        <f>IF(OR($G9179="FCC",$G9179="Hydrocracker",$G9179="Reformer"),IF(COUNTIFS($D:$D,$D9179,$A:$A,$A9179,$B:$B,$B9179,$G:$G,"CDU",$J:$J,"PLANNED")&gt;0,"tied","standalone"),"")</f>
        <v/>
      </c>
    </row>
    <row r="9180" spans="6:14">
      <c r="F9180" s="6">
        <f>IF($M9180="PADD I","PADD 1",IF($M9180="PADD II","PADD 2",IF($M9180="PADD III","PADD 3",IF($M9180="PADD IV","PADD 4",IF($M9180="PADD V","PADD 5","")))))</f>
        <v/>
      </c>
      <c r="G9180" s="6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  <c r="N9180" s="6">
        <f>IF(OR($G9180="FCC",$G9180="Hydrocracker",$G9180="Reformer"),IF(COUNTIFS($D:$D,$D9180,$A:$A,$A9180,$B:$B,$B9180,$G:$G,"CDU",$J:$J,"PLANNED")&gt;0,"tied","standalone"),"")</f>
        <v/>
      </c>
    </row>
    <row r="9181" spans="6:14">
      <c r="F9181" s="6">
        <f>IF($M9181="PADD I","PADD 1",IF($M9181="PADD II","PADD 2",IF($M9181="PADD III","PADD 3",IF($M9181="PADD IV","PADD 4",IF($M9181="PADD V","PADD 5","")))))</f>
        <v/>
      </c>
      <c r="G9181" s="6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  <c r="N9181" s="6">
        <f>IF(OR($G9181="FCC",$G9181="Hydrocracker",$G9181="Reformer"),IF(COUNTIFS($D:$D,$D9181,$A:$A,$A9181,$B:$B,$B9181,$G:$G,"CDU",$J:$J,"PLANNED")&gt;0,"tied","standalone"),"")</f>
        <v/>
      </c>
    </row>
    <row r="9182" spans="6:14">
      <c r="F9182" s="6">
        <f>IF($M9182="PADD I","PADD 1",IF($M9182="PADD II","PADD 2",IF($M9182="PADD III","PADD 3",IF($M9182="PADD IV","PADD 4",IF($M9182="PADD V","PADD 5","")))))</f>
        <v/>
      </c>
      <c r="G9182" s="6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  <c r="N9182" s="6">
        <f>IF(OR($G9182="FCC",$G9182="Hydrocracker",$G9182="Reformer"),IF(COUNTIFS($D:$D,$D9182,$A:$A,$A9182,$B:$B,$B9182,$G:$G,"CDU",$J:$J,"PLANNED")&gt;0,"tied","standalone"),"")</f>
        <v/>
      </c>
    </row>
    <row r="9183" spans="6:14">
      <c r="F9183" s="6">
        <f>IF($M9183="PADD I","PADD 1",IF($M9183="PADD II","PADD 2",IF($M9183="PADD III","PADD 3",IF($M9183="PADD IV","PADD 4",IF($M9183="PADD V","PADD 5","")))))</f>
        <v/>
      </c>
      <c r="G9183" s="6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  <c r="N9183" s="6">
        <f>IF(OR($G9183="FCC",$G9183="Hydrocracker",$G9183="Reformer"),IF(COUNTIFS($D:$D,$D9183,$A:$A,$A9183,$B:$B,$B9183,$G:$G,"CDU",$J:$J,"PLANNED")&gt;0,"tied","standalone"),"")</f>
        <v/>
      </c>
    </row>
    <row r="9184" spans="6:14">
      <c r="F9184" s="6">
        <f>IF($M9184="PADD I","PADD 1",IF($M9184="PADD II","PADD 2",IF($M9184="PADD III","PADD 3",IF($M9184="PADD IV","PADD 4",IF($M9184="PADD V","PADD 5","")))))</f>
        <v/>
      </c>
      <c r="G9184" s="6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  <c r="N9184" s="6">
        <f>IF(OR($G9184="FCC",$G9184="Hydrocracker",$G9184="Reformer"),IF(COUNTIFS($D:$D,$D9184,$A:$A,$A9184,$B:$B,$B9184,$G:$G,"CDU",$J:$J,"PLANNED")&gt;0,"tied","standalone"),"")</f>
        <v/>
      </c>
    </row>
    <row r="9185" spans="6:14">
      <c r="F9185" s="6">
        <f>IF($M9185="PADD I","PADD 1",IF($M9185="PADD II","PADD 2",IF($M9185="PADD III","PADD 3",IF($M9185="PADD IV","PADD 4",IF($M9185="PADD V","PADD 5","")))))</f>
        <v/>
      </c>
      <c r="G9185" s="6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  <c r="N9185" s="6">
        <f>IF(OR($G9185="FCC",$G9185="Hydrocracker",$G9185="Reformer"),IF(COUNTIFS($D:$D,$D9185,$A:$A,$A9185,$B:$B,$B9185,$G:$G,"CDU",$J:$J,"PLANNED")&gt;0,"tied","standalone"),"")</f>
        <v/>
      </c>
    </row>
    <row r="9186" spans="6:14">
      <c r="F9186" s="6">
        <f>IF($M9186="PADD I","PADD 1",IF($M9186="PADD II","PADD 2",IF($M9186="PADD III","PADD 3",IF($M9186="PADD IV","PADD 4",IF($M9186="PADD V","PADD 5","")))))</f>
        <v/>
      </c>
      <c r="G9186" s="6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  <c r="N9186" s="6">
        <f>IF(OR($G9186="FCC",$G9186="Hydrocracker",$G9186="Reformer"),IF(COUNTIFS($D:$D,$D9186,$A:$A,$A9186,$B:$B,$B9186,$G:$G,"CDU",$J:$J,"PLANNED")&gt;0,"tied","standalone"),"")</f>
        <v/>
      </c>
    </row>
    <row r="9187" spans="6:14">
      <c r="F9187" s="6">
        <f>IF($M9187="PADD I","PADD 1",IF($M9187="PADD II","PADD 2",IF($M9187="PADD III","PADD 3",IF($M9187="PADD IV","PADD 4",IF($M9187="PADD V","PADD 5","")))))</f>
        <v/>
      </c>
      <c r="G9187" s="6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  <c r="N9187" s="6">
        <f>IF(OR($G9187="FCC",$G9187="Hydrocracker",$G9187="Reformer"),IF(COUNTIFS($D:$D,$D9187,$A:$A,$A9187,$B:$B,$B9187,$G:$G,"CDU",$J:$J,"PLANNED")&gt;0,"tied","standalone"),"")</f>
        <v/>
      </c>
    </row>
    <row r="9188" spans="6:14">
      <c r="F9188" s="6">
        <f>IF($M9188="PADD I","PADD 1",IF($M9188="PADD II","PADD 2",IF($M9188="PADD III","PADD 3",IF($M9188="PADD IV","PADD 4",IF($M9188="PADD V","PADD 5","")))))</f>
        <v/>
      </c>
      <c r="G9188" s="6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  <c r="N9188" s="6">
        <f>IF(OR($G9188="FCC",$G9188="Hydrocracker",$G9188="Reformer"),IF(COUNTIFS($D:$D,$D9188,$A:$A,$A9188,$B:$B,$B9188,$G:$G,"CDU",$J:$J,"PLANNED")&gt;0,"tied","standalone"),"")</f>
        <v/>
      </c>
    </row>
    <row r="9189" spans="6:14">
      <c r="F9189" s="6">
        <f>IF($M9189="PADD I","PADD 1",IF($M9189="PADD II","PADD 2",IF($M9189="PADD III","PADD 3",IF($M9189="PADD IV","PADD 4",IF($M9189="PADD V","PADD 5","")))))</f>
        <v/>
      </c>
      <c r="G9189" s="6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  <c r="N9189" s="6">
        <f>IF(OR($G9189="FCC",$G9189="Hydrocracker",$G9189="Reformer"),IF(COUNTIFS($D:$D,$D9189,$A:$A,$A9189,$B:$B,$B9189,$G:$G,"CDU",$J:$J,"PLANNED")&gt;0,"tied","standalone"),"")</f>
        <v/>
      </c>
    </row>
    <row r="9190" spans="6:14">
      <c r="F9190" s="6">
        <f>IF($M9190="PADD I","PADD 1",IF($M9190="PADD II","PADD 2",IF($M9190="PADD III","PADD 3",IF($M9190="PADD IV","PADD 4",IF($M9190="PADD V","PADD 5","")))))</f>
        <v/>
      </c>
      <c r="G9190" s="6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  <c r="N9190" s="6">
        <f>IF(OR($G9190="FCC",$G9190="Hydrocracker",$G9190="Reformer"),IF(COUNTIFS($D:$D,$D9190,$A:$A,$A9190,$B:$B,$B9190,$G:$G,"CDU",$J:$J,"PLANNED")&gt;0,"tied","standalone"),"")</f>
        <v/>
      </c>
    </row>
    <row r="9191" spans="6:14">
      <c r="F9191" s="6">
        <f>IF($M9191="PADD I","PADD 1",IF($M9191="PADD II","PADD 2",IF($M9191="PADD III","PADD 3",IF($M9191="PADD IV","PADD 4",IF($M9191="PADD V","PADD 5","")))))</f>
        <v/>
      </c>
      <c r="G9191" s="6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  <c r="N9191" s="6">
        <f>IF(OR($G9191="FCC",$G9191="Hydrocracker",$G9191="Reformer"),IF(COUNTIFS($D:$D,$D9191,$A:$A,$A9191,$B:$B,$B9191,$G:$G,"CDU",$J:$J,"PLANNED")&gt;0,"tied","standalone"),"")</f>
        <v/>
      </c>
    </row>
    <row r="9192" spans="6:14">
      <c r="F9192" s="6">
        <f>IF($M9192="PADD I","PADD 1",IF($M9192="PADD II","PADD 2",IF($M9192="PADD III","PADD 3",IF($M9192="PADD IV","PADD 4",IF($M9192="PADD V","PADD 5","")))))</f>
        <v/>
      </c>
      <c r="G9192" s="6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  <c r="N9192" s="6">
        <f>IF(OR($G9192="FCC",$G9192="Hydrocracker",$G9192="Reformer"),IF(COUNTIFS($D:$D,$D9192,$A:$A,$A9192,$B:$B,$B9192,$G:$G,"CDU",$J:$J,"PLANNED")&gt;0,"tied","standalone"),"")</f>
        <v/>
      </c>
    </row>
    <row r="9193" spans="6:14">
      <c r="F9193" s="6">
        <f>IF($M9193="PADD I","PADD 1",IF($M9193="PADD II","PADD 2",IF($M9193="PADD III","PADD 3",IF($M9193="PADD IV","PADD 4",IF($M9193="PADD V","PADD 5","")))))</f>
        <v/>
      </c>
      <c r="G9193" s="6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  <c r="N9193" s="6">
        <f>IF(OR($G9193="FCC",$G9193="Hydrocracker",$G9193="Reformer"),IF(COUNTIFS($D:$D,$D9193,$A:$A,$A9193,$B:$B,$B9193,$G:$G,"CDU",$J:$J,"PLANNED")&gt;0,"tied","standalone"),"")</f>
        <v/>
      </c>
    </row>
    <row r="9194" spans="6:14">
      <c r="F9194" s="6">
        <f>IF($M9194="PADD I","PADD 1",IF($M9194="PADD II","PADD 2",IF($M9194="PADD III","PADD 3",IF($M9194="PADD IV","PADD 4",IF($M9194="PADD V","PADD 5","")))))</f>
        <v/>
      </c>
      <c r="G9194" s="6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  <c r="N9194" s="6">
        <f>IF(OR($G9194="FCC",$G9194="Hydrocracker",$G9194="Reformer"),IF(COUNTIFS($D:$D,$D9194,$A:$A,$A9194,$B:$B,$B9194,$G:$G,"CDU",$J:$J,"PLANNED")&gt;0,"tied","standalone"),"")</f>
        <v/>
      </c>
    </row>
    <row r="9195" spans="6:14">
      <c r="F9195" s="6">
        <f>IF($M9195="PADD I","PADD 1",IF($M9195="PADD II","PADD 2",IF($M9195="PADD III","PADD 3",IF($M9195="PADD IV","PADD 4",IF($M9195="PADD V","PADD 5","")))))</f>
        <v/>
      </c>
      <c r="G9195" s="6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  <c r="N9195" s="6">
        <f>IF(OR($G9195="FCC",$G9195="Hydrocracker",$G9195="Reformer"),IF(COUNTIFS($D:$D,$D9195,$A:$A,$A9195,$B:$B,$B9195,$G:$G,"CDU",$J:$J,"PLANNED")&gt;0,"tied","standalone"),"")</f>
        <v/>
      </c>
    </row>
    <row r="9196" spans="6:14">
      <c r="F9196" s="6">
        <f>IF($M9196="PADD I","PADD 1",IF($M9196="PADD II","PADD 2",IF($M9196="PADD III","PADD 3",IF($M9196="PADD IV","PADD 4",IF($M9196="PADD V","PADD 5","")))))</f>
        <v/>
      </c>
      <c r="G9196" s="6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  <c r="N9196" s="6">
        <f>IF(OR($G9196="FCC",$G9196="Hydrocracker",$G9196="Reformer"),IF(COUNTIFS($D:$D,$D9196,$A:$A,$A9196,$B:$B,$B9196,$G:$G,"CDU",$J:$J,"PLANNED")&gt;0,"tied","standalone"),"")</f>
        <v/>
      </c>
    </row>
    <row r="9197" spans="6:14">
      <c r="F9197" s="6">
        <f>IF($M9197="PADD I","PADD 1",IF($M9197="PADD II","PADD 2",IF($M9197="PADD III","PADD 3",IF($M9197="PADD IV","PADD 4",IF($M9197="PADD V","PADD 5","")))))</f>
        <v/>
      </c>
      <c r="G9197" s="6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  <c r="N9197" s="6">
        <f>IF(OR($G9197="FCC",$G9197="Hydrocracker",$G9197="Reformer"),IF(COUNTIFS($D:$D,$D9197,$A:$A,$A9197,$B:$B,$B9197,$G:$G,"CDU",$J:$J,"PLANNED")&gt;0,"tied","standalone"),"")</f>
        <v/>
      </c>
    </row>
    <row r="9198" spans="6:14">
      <c r="F9198" s="6">
        <f>IF($M9198="PADD I","PADD 1",IF($M9198="PADD II","PADD 2",IF($M9198="PADD III","PADD 3",IF($M9198="PADD IV","PADD 4",IF($M9198="PADD V","PADD 5","")))))</f>
        <v/>
      </c>
      <c r="G9198" s="6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  <c r="N9198" s="6">
        <f>IF(OR($G9198="FCC",$G9198="Hydrocracker",$G9198="Reformer"),IF(COUNTIFS($D:$D,$D9198,$A:$A,$A9198,$B:$B,$B9198,$G:$G,"CDU",$J:$J,"PLANNED")&gt;0,"tied","standalone"),"")</f>
        <v/>
      </c>
    </row>
    <row r="9199" spans="6:14">
      <c r="F9199" s="6">
        <f>IF($M9199="PADD I","PADD 1",IF($M9199="PADD II","PADD 2",IF($M9199="PADD III","PADD 3",IF($M9199="PADD IV","PADD 4",IF($M9199="PADD V","PADD 5","")))))</f>
        <v/>
      </c>
      <c r="G9199" s="6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  <c r="N9199" s="6">
        <f>IF(OR($G9199="FCC",$G9199="Hydrocracker",$G9199="Reformer"),IF(COUNTIFS($D:$D,$D9199,$A:$A,$A9199,$B:$B,$B9199,$G:$G,"CDU",$J:$J,"PLANNED")&gt;0,"tied","standalone"),"")</f>
        <v/>
      </c>
    </row>
    <row r="9200" spans="6:14">
      <c r="F9200" s="6">
        <f>IF($M9200="PADD I","PADD 1",IF($M9200="PADD II","PADD 2",IF($M9200="PADD III","PADD 3",IF($M9200="PADD IV","PADD 4",IF($M9200="PADD V","PADD 5","")))))</f>
        <v/>
      </c>
      <c r="G9200" s="6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  <c r="N9200" s="6">
        <f>IF(OR($G9200="FCC",$G9200="Hydrocracker",$G9200="Reformer"),IF(COUNTIFS($D:$D,$D9200,$A:$A,$A9200,$B:$B,$B9200,$G:$G,"CDU",$J:$J,"PLANNED")&gt;0,"tied","standalone"),"")</f>
        <v/>
      </c>
    </row>
    <row r="9201" spans="6:14">
      <c r="F9201" s="6">
        <f>IF($M9201="PADD I","PADD 1",IF($M9201="PADD II","PADD 2",IF($M9201="PADD III","PADD 3",IF($M9201="PADD IV","PADD 4",IF($M9201="PADD V","PADD 5","")))))</f>
        <v/>
      </c>
      <c r="G9201" s="6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  <c r="N9201" s="6">
        <f>IF(OR($G9201="FCC",$G9201="Hydrocracker",$G9201="Reformer"),IF(COUNTIFS($D:$D,$D9201,$A:$A,$A9201,$B:$B,$B9201,$G:$G,"CDU",$J:$J,"PLANNED")&gt;0,"tied","standalone"),"")</f>
        <v/>
      </c>
    </row>
    <row r="9202" spans="6:14">
      <c r="F9202" s="6">
        <f>IF($M9202="PADD I","PADD 1",IF($M9202="PADD II","PADD 2",IF($M9202="PADD III","PADD 3",IF($M9202="PADD IV","PADD 4",IF($M9202="PADD V","PADD 5","")))))</f>
        <v/>
      </c>
      <c r="G9202" s="6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  <c r="N9202" s="6">
        <f>IF(OR($G9202="FCC",$G9202="Hydrocracker",$G9202="Reformer"),IF(COUNTIFS($D:$D,$D9202,$A:$A,$A9202,$B:$B,$B9202,$G:$G,"CDU",$J:$J,"PLANNED")&gt;0,"tied","standalone"),"")</f>
        <v/>
      </c>
    </row>
    <row r="9203" spans="6:14">
      <c r="F9203" s="6">
        <f>IF($M9203="PADD I","PADD 1",IF($M9203="PADD II","PADD 2",IF($M9203="PADD III","PADD 3",IF($M9203="PADD IV","PADD 4",IF($M9203="PADD V","PADD 5","")))))</f>
        <v/>
      </c>
      <c r="G9203" s="6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  <c r="N9203" s="6">
        <f>IF(OR($G9203="FCC",$G9203="Hydrocracker",$G9203="Reformer"),IF(COUNTIFS($D:$D,$D9203,$A:$A,$A9203,$B:$B,$B9203,$G:$G,"CDU",$J:$J,"PLANNED")&gt;0,"tied","standalone"),"")</f>
        <v/>
      </c>
    </row>
    <row r="9204" spans="6:14">
      <c r="F9204" s="6">
        <f>IF($M9204="PADD I","PADD 1",IF($M9204="PADD II","PADD 2",IF($M9204="PADD III","PADD 3",IF($M9204="PADD IV","PADD 4",IF($M9204="PADD V","PADD 5","")))))</f>
        <v/>
      </c>
      <c r="G9204" s="6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  <c r="N9204" s="6">
        <f>IF(OR($G9204="FCC",$G9204="Hydrocracker",$G9204="Reformer"),IF(COUNTIFS($D:$D,$D9204,$A:$A,$A9204,$B:$B,$B9204,$G:$G,"CDU",$J:$J,"PLANNED")&gt;0,"tied","standalone"),"")</f>
        <v/>
      </c>
    </row>
    <row r="9205" spans="6:14">
      <c r="F9205" s="6">
        <f>IF($M9205="PADD I","PADD 1",IF($M9205="PADD II","PADD 2",IF($M9205="PADD III","PADD 3",IF($M9205="PADD IV","PADD 4",IF($M9205="PADD V","PADD 5","")))))</f>
        <v/>
      </c>
      <c r="G9205" s="6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  <c r="N9205" s="6">
        <f>IF(OR($G9205="FCC",$G9205="Hydrocracker",$G9205="Reformer"),IF(COUNTIFS($D:$D,$D9205,$A:$A,$A9205,$B:$B,$B9205,$G:$G,"CDU",$J:$J,"PLANNED")&gt;0,"tied","standalone"),"")</f>
        <v/>
      </c>
    </row>
    <row r="9206" spans="6:14">
      <c r="F9206" s="6">
        <f>IF($M9206="PADD I","PADD 1",IF($M9206="PADD II","PADD 2",IF($M9206="PADD III","PADD 3",IF($M9206="PADD IV","PADD 4",IF($M9206="PADD V","PADD 5","")))))</f>
        <v/>
      </c>
      <c r="G9206" s="6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  <c r="N9206" s="6">
        <f>IF(OR($G9206="FCC",$G9206="Hydrocracker",$G9206="Reformer"),IF(COUNTIFS($D:$D,$D9206,$A:$A,$A9206,$B:$B,$B9206,$G:$G,"CDU",$J:$J,"PLANNED")&gt;0,"tied","standalone"),"")</f>
        <v/>
      </c>
    </row>
    <row r="9207" spans="6:14">
      <c r="F9207" s="6">
        <f>IF($M9207="PADD I","PADD 1",IF($M9207="PADD II","PADD 2",IF($M9207="PADD III","PADD 3",IF($M9207="PADD IV","PADD 4",IF($M9207="PADD V","PADD 5","")))))</f>
        <v/>
      </c>
      <c r="G9207" s="6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  <c r="N9207" s="6">
        <f>IF(OR($G9207="FCC",$G9207="Hydrocracker",$G9207="Reformer"),IF(COUNTIFS($D:$D,$D9207,$A:$A,$A9207,$B:$B,$B9207,$G:$G,"CDU",$J:$J,"PLANNED")&gt;0,"tied","standalone"),"")</f>
        <v/>
      </c>
    </row>
    <row r="9208" spans="6:14">
      <c r="F9208" s="6">
        <f>IF($M9208="PADD I","PADD 1",IF($M9208="PADD II","PADD 2",IF($M9208="PADD III","PADD 3",IF($M9208="PADD IV","PADD 4",IF($M9208="PADD V","PADD 5","")))))</f>
        <v/>
      </c>
      <c r="G9208" s="6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  <c r="N9208" s="6">
        <f>IF(OR($G9208="FCC",$G9208="Hydrocracker",$G9208="Reformer"),IF(COUNTIFS($D:$D,$D9208,$A:$A,$A9208,$B:$B,$B9208,$G:$G,"CDU",$J:$J,"PLANNED")&gt;0,"tied","standalone"),"")</f>
        <v/>
      </c>
    </row>
    <row r="9209" spans="6:14">
      <c r="F9209" s="6">
        <f>IF($M9209="PADD I","PADD 1",IF($M9209="PADD II","PADD 2",IF($M9209="PADD III","PADD 3",IF($M9209="PADD IV","PADD 4",IF($M9209="PADD V","PADD 5","")))))</f>
        <v/>
      </c>
      <c r="G9209" s="6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  <c r="N9209" s="6">
        <f>IF(OR($G9209="FCC",$G9209="Hydrocracker",$G9209="Reformer"),IF(COUNTIFS($D:$D,$D9209,$A:$A,$A9209,$B:$B,$B9209,$G:$G,"CDU",$J:$J,"PLANNED")&gt;0,"tied","standalone"),"")</f>
        <v/>
      </c>
    </row>
    <row r="9210" spans="6:14">
      <c r="F9210" s="6">
        <f>IF($M9210="PADD I","PADD 1",IF($M9210="PADD II","PADD 2",IF($M9210="PADD III","PADD 3",IF($M9210="PADD IV","PADD 4",IF($M9210="PADD V","PADD 5","")))))</f>
        <v/>
      </c>
      <c r="G9210" s="6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  <c r="N9210" s="6">
        <f>IF(OR($G9210="FCC",$G9210="Hydrocracker",$G9210="Reformer"),IF(COUNTIFS($D:$D,$D9210,$A:$A,$A9210,$B:$B,$B9210,$G:$G,"CDU",$J:$J,"PLANNED")&gt;0,"tied","standalone"),"")</f>
        <v/>
      </c>
    </row>
    <row r="9211" spans="6:14">
      <c r="F9211" s="6">
        <f>IF($M9211="PADD I","PADD 1",IF($M9211="PADD II","PADD 2",IF($M9211="PADD III","PADD 3",IF($M9211="PADD IV","PADD 4",IF($M9211="PADD V","PADD 5","")))))</f>
        <v/>
      </c>
      <c r="G9211" s="6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  <c r="N9211" s="6">
        <f>IF(OR($G9211="FCC",$G9211="Hydrocracker",$G9211="Reformer"),IF(COUNTIFS($D:$D,$D9211,$A:$A,$A9211,$B:$B,$B9211,$G:$G,"CDU",$J:$J,"PLANNED")&gt;0,"tied","standalone"),"")</f>
        <v/>
      </c>
    </row>
    <row r="9212" spans="6:14">
      <c r="F9212" s="6">
        <f>IF($M9212="PADD I","PADD 1",IF($M9212="PADD II","PADD 2",IF($M9212="PADD III","PADD 3",IF($M9212="PADD IV","PADD 4",IF($M9212="PADD V","PADD 5","")))))</f>
        <v/>
      </c>
      <c r="G9212" s="6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  <c r="N9212" s="6">
        <f>IF(OR($G9212="FCC",$G9212="Hydrocracker",$G9212="Reformer"),IF(COUNTIFS($D:$D,$D9212,$A:$A,$A9212,$B:$B,$B9212,$G:$G,"CDU",$J:$J,"PLANNED")&gt;0,"tied","standalone"),"")</f>
        <v/>
      </c>
    </row>
    <row r="9213" spans="6:14">
      <c r="F9213" s="6">
        <f>IF($M9213="PADD I","PADD 1",IF($M9213="PADD II","PADD 2",IF($M9213="PADD III","PADD 3",IF($M9213="PADD IV","PADD 4",IF($M9213="PADD V","PADD 5","")))))</f>
        <v/>
      </c>
      <c r="G9213" s="6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  <c r="N9213" s="6">
        <f>IF(OR($G9213="FCC",$G9213="Hydrocracker",$G9213="Reformer"),IF(COUNTIFS($D:$D,$D9213,$A:$A,$A9213,$B:$B,$B9213,$G:$G,"CDU",$J:$J,"PLANNED")&gt;0,"tied","standalone"),"")</f>
        <v/>
      </c>
    </row>
    <row r="9214" spans="6:14">
      <c r="F9214" s="6">
        <f>IF($M9214="PADD I","PADD 1",IF($M9214="PADD II","PADD 2",IF($M9214="PADD III","PADD 3",IF($M9214="PADD IV","PADD 4",IF($M9214="PADD V","PADD 5","")))))</f>
        <v/>
      </c>
      <c r="G9214" s="6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  <c r="N9214" s="6">
        <f>IF(OR($G9214="FCC",$G9214="Hydrocracker",$G9214="Reformer"),IF(COUNTIFS($D:$D,$D9214,$A:$A,$A9214,$B:$B,$B9214,$G:$G,"CDU",$J:$J,"PLANNED")&gt;0,"tied","standalone"),"")</f>
        <v/>
      </c>
    </row>
    <row r="9215" spans="6:14">
      <c r="F9215" s="6">
        <f>IF($M9215="PADD I","PADD 1",IF($M9215="PADD II","PADD 2",IF($M9215="PADD III","PADD 3",IF($M9215="PADD IV","PADD 4",IF($M9215="PADD V","PADD 5","")))))</f>
        <v/>
      </c>
      <c r="G9215" s="6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  <c r="N9215" s="6">
        <f>IF(OR($G9215="FCC",$G9215="Hydrocracker",$G9215="Reformer"),IF(COUNTIFS($D:$D,$D9215,$A:$A,$A9215,$B:$B,$B9215,$G:$G,"CDU",$J:$J,"PLANNED")&gt;0,"tied","standalone"),"")</f>
        <v/>
      </c>
    </row>
    <row r="9216" spans="6:14">
      <c r="F9216" s="6">
        <f>IF($M9216="PADD I","PADD 1",IF($M9216="PADD II","PADD 2",IF($M9216="PADD III","PADD 3",IF($M9216="PADD IV","PADD 4",IF($M9216="PADD V","PADD 5","")))))</f>
        <v/>
      </c>
      <c r="G9216" s="6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  <c r="N9216" s="6">
        <f>IF(OR($G9216="FCC",$G9216="Hydrocracker",$G9216="Reformer"),IF(COUNTIFS($D:$D,$D9216,$A:$A,$A9216,$B:$B,$B9216,$G:$G,"CDU",$J:$J,"PLANNED")&gt;0,"tied","standalone"),"")</f>
        <v/>
      </c>
    </row>
    <row r="9217" spans="6:14">
      <c r="F9217" s="6">
        <f>IF($M9217="PADD I","PADD 1",IF($M9217="PADD II","PADD 2",IF($M9217="PADD III","PADD 3",IF($M9217="PADD IV","PADD 4",IF($M9217="PADD V","PADD 5","")))))</f>
        <v/>
      </c>
      <c r="G9217" s="6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  <c r="N9217" s="6">
        <f>IF(OR($G9217="FCC",$G9217="Hydrocracker",$G9217="Reformer"),IF(COUNTIFS($D:$D,$D9217,$A:$A,$A9217,$B:$B,$B9217,$G:$G,"CDU",$J:$J,"PLANNED")&gt;0,"tied","standalone"),"")</f>
        <v/>
      </c>
    </row>
    <row r="9218" spans="6:14">
      <c r="F9218" s="6">
        <f>IF($M9218="PADD I","PADD 1",IF($M9218="PADD II","PADD 2",IF($M9218="PADD III","PADD 3",IF($M9218="PADD IV","PADD 4",IF($M9218="PADD V","PADD 5","")))))</f>
        <v/>
      </c>
      <c r="G9218" s="6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  <c r="N9218" s="6">
        <f>IF(OR($G9218="FCC",$G9218="Hydrocracker",$G9218="Reformer"),IF(COUNTIFS($D:$D,$D9218,$A:$A,$A9218,$B:$B,$B9218,$G:$G,"CDU",$J:$J,"PLANNED")&gt;0,"tied","standalone"),"")</f>
        <v/>
      </c>
    </row>
    <row r="9219" spans="6:14">
      <c r="F9219" s="6">
        <f>IF($M9219="PADD I","PADD 1",IF($M9219="PADD II","PADD 2",IF($M9219="PADD III","PADD 3",IF($M9219="PADD IV","PADD 4",IF($M9219="PADD V","PADD 5","")))))</f>
        <v/>
      </c>
      <c r="G9219" s="6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  <c r="N9219" s="6">
        <f>IF(OR($G9219="FCC",$G9219="Hydrocracker",$G9219="Reformer"),IF(COUNTIFS($D:$D,$D9219,$A:$A,$A9219,$B:$B,$B9219,$G:$G,"CDU",$J:$J,"PLANNED")&gt;0,"tied","standalone"),"")</f>
        <v/>
      </c>
    </row>
    <row r="9220" spans="6:14">
      <c r="F9220" s="6">
        <f>IF($M9220="PADD I","PADD 1",IF($M9220="PADD II","PADD 2",IF($M9220="PADD III","PADD 3",IF($M9220="PADD IV","PADD 4",IF($M9220="PADD V","PADD 5","")))))</f>
        <v/>
      </c>
      <c r="G9220" s="6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  <c r="N9220" s="6">
        <f>IF(OR($G9220="FCC",$G9220="Hydrocracker",$G9220="Reformer"),IF(COUNTIFS($D:$D,$D9220,$A:$A,$A9220,$B:$B,$B9220,$G:$G,"CDU",$J:$J,"PLANNED")&gt;0,"tied","standalone"),"")</f>
        <v/>
      </c>
    </row>
    <row r="9221" spans="6:14">
      <c r="F9221" s="6">
        <f>IF($M9221="PADD I","PADD 1",IF($M9221="PADD II","PADD 2",IF($M9221="PADD III","PADD 3",IF($M9221="PADD IV","PADD 4",IF($M9221="PADD V","PADD 5","")))))</f>
        <v/>
      </c>
      <c r="G9221" s="6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  <c r="N9221" s="6">
        <f>IF(OR($G9221="FCC",$G9221="Hydrocracker",$G9221="Reformer"),IF(COUNTIFS($D:$D,$D9221,$A:$A,$A9221,$B:$B,$B9221,$G:$G,"CDU",$J:$J,"PLANNED")&gt;0,"tied","standalone"),"")</f>
        <v/>
      </c>
    </row>
    <row r="9222" spans="6:14">
      <c r="F9222" s="6">
        <f>IF($M9222="PADD I","PADD 1",IF($M9222="PADD II","PADD 2",IF($M9222="PADD III","PADD 3",IF($M9222="PADD IV","PADD 4",IF($M9222="PADD V","PADD 5","")))))</f>
        <v/>
      </c>
      <c r="G9222" s="6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  <c r="N9222" s="6">
        <f>IF(OR($G9222="FCC",$G9222="Hydrocracker",$G9222="Reformer"),IF(COUNTIFS($D:$D,$D9222,$A:$A,$A9222,$B:$B,$B9222,$G:$G,"CDU",$J:$J,"PLANNED")&gt;0,"tied","standalone"),"")</f>
        <v/>
      </c>
    </row>
    <row r="9223" spans="6:14">
      <c r="F9223" s="6">
        <f>IF($M9223="PADD I","PADD 1",IF($M9223="PADD II","PADD 2",IF($M9223="PADD III","PADD 3",IF($M9223="PADD IV","PADD 4",IF($M9223="PADD V","PADD 5","")))))</f>
        <v/>
      </c>
      <c r="G9223" s="6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  <c r="N9223" s="6">
        <f>IF(OR($G9223="FCC",$G9223="Hydrocracker",$G9223="Reformer"),IF(COUNTIFS($D:$D,$D9223,$A:$A,$A9223,$B:$B,$B9223,$G:$G,"CDU",$J:$J,"PLANNED")&gt;0,"tied","standalone"),"")</f>
        <v/>
      </c>
    </row>
    <row r="9224" spans="6:14">
      <c r="F9224" s="6">
        <f>IF($M9224="PADD I","PADD 1",IF($M9224="PADD II","PADD 2",IF($M9224="PADD III","PADD 3",IF($M9224="PADD IV","PADD 4",IF($M9224="PADD V","PADD 5","")))))</f>
        <v/>
      </c>
      <c r="G9224" s="6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  <c r="N9224" s="6">
        <f>IF(OR($G9224="FCC",$G9224="Hydrocracker",$G9224="Reformer"),IF(COUNTIFS($D:$D,$D9224,$A:$A,$A9224,$B:$B,$B9224,$G:$G,"CDU",$J:$J,"PLANNED")&gt;0,"tied","standalone"),"")</f>
        <v/>
      </c>
    </row>
    <row r="9225" spans="6:14">
      <c r="F9225" s="6">
        <f>IF($M9225="PADD I","PADD 1",IF($M9225="PADD II","PADD 2",IF($M9225="PADD III","PADD 3",IF($M9225="PADD IV","PADD 4",IF($M9225="PADD V","PADD 5","")))))</f>
        <v/>
      </c>
      <c r="G9225" s="6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  <c r="N9225" s="6">
        <f>IF(OR($G9225="FCC",$G9225="Hydrocracker",$G9225="Reformer"),IF(COUNTIFS($D:$D,$D9225,$A:$A,$A9225,$B:$B,$B9225,$G:$G,"CDU",$J:$J,"PLANNED")&gt;0,"tied","standalone"),"")</f>
        <v/>
      </c>
    </row>
    <row r="9226" spans="6:14">
      <c r="F9226" s="6">
        <f>IF($M9226="PADD I","PADD 1",IF($M9226="PADD II","PADD 2",IF($M9226="PADD III","PADD 3",IF($M9226="PADD IV","PADD 4",IF($M9226="PADD V","PADD 5","")))))</f>
        <v/>
      </c>
      <c r="G9226" s="6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  <c r="N9226" s="6">
        <f>IF(OR($G9226="FCC",$G9226="Hydrocracker",$G9226="Reformer"),IF(COUNTIFS($D:$D,$D9226,$A:$A,$A9226,$B:$B,$B9226,$G:$G,"CDU",$J:$J,"PLANNED")&gt;0,"tied","standalone"),"")</f>
        <v/>
      </c>
    </row>
    <row r="9227" spans="6:14">
      <c r="F9227" s="6">
        <f>IF($M9227="PADD I","PADD 1",IF($M9227="PADD II","PADD 2",IF($M9227="PADD III","PADD 3",IF($M9227="PADD IV","PADD 4",IF($M9227="PADD V","PADD 5","")))))</f>
        <v/>
      </c>
      <c r="G9227" s="6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  <c r="N9227" s="6">
        <f>IF(OR($G9227="FCC",$G9227="Hydrocracker",$G9227="Reformer"),IF(COUNTIFS($D:$D,$D9227,$A:$A,$A9227,$B:$B,$B9227,$G:$G,"CDU",$J:$J,"PLANNED")&gt;0,"tied","standalone"),"")</f>
        <v/>
      </c>
    </row>
    <row r="9228" spans="6:14">
      <c r="F9228" s="6">
        <f>IF($M9228="PADD I","PADD 1",IF($M9228="PADD II","PADD 2",IF($M9228="PADD III","PADD 3",IF($M9228="PADD IV","PADD 4",IF($M9228="PADD V","PADD 5","")))))</f>
        <v/>
      </c>
      <c r="G9228" s="6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  <c r="N9228" s="6">
        <f>IF(OR($G9228="FCC",$G9228="Hydrocracker",$G9228="Reformer"),IF(COUNTIFS($D:$D,$D9228,$A:$A,$A9228,$B:$B,$B9228,$G:$G,"CDU",$J:$J,"PLANNED")&gt;0,"tied","standalone"),"")</f>
        <v/>
      </c>
    </row>
    <row r="9229" spans="6:14">
      <c r="F9229" s="6">
        <f>IF($M9229="PADD I","PADD 1",IF($M9229="PADD II","PADD 2",IF($M9229="PADD III","PADD 3",IF($M9229="PADD IV","PADD 4",IF($M9229="PADD V","PADD 5","")))))</f>
        <v/>
      </c>
      <c r="G9229" s="6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  <c r="N9229" s="6">
        <f>IF(OR($G9229="FCC",$G9229="Hydrocracker",$G9229="Reformer"),IF(COUNTIFS($D:$D,$D9229,$A:$A,$A9229,$B:$B,$B9229,$G:$G,"CDU",$J:$J,"PLANNED")&gt;0,"tied","standalone"),"")</f>
        <v/>
      </c>
    </row>
    <row r="9230" spans="6:14">
      <c r="F9230" s="6">
        <f>IF($M9230="PADD I","PADD 1",IF($M9230="PADD II","PADD 2",IF($M9230="PADD III","PADD 3",IF($M9230="PADD IV","PADD 4",IF($M9230="PADD V","PADD 5","")))))</f>
        <v/>
      </c>
      <c r="G9230" s="6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  <c r="N9230" s="6">
        <f>IF(OR($G9230="FCC",$G9230="Hydrocracker",$G9230="Reformer"),IF(COUNTIFS($D:$D,$D9230,$A:$A,$A9230,$B:$B,$B9230,$G:$G,"CDU",$J:$J,"PLANNED")&gt;0,"tied","standalone"),"")</f>
        <v/>
      </c>
    </row>
    <row r="9231" spans="6:14">
      <c r="F9231" s="6">
        <f>IF($M9231="PADD I","PADD 1",IF($M9231="PADD II","PADD 2",IF($M9231="PADD III","PADD 3",IF($M9231="PADD IV","PADD 4",IF($M9231="PADD V","PADD 5","")))))</f>
        <v/>
      </c>
      <c r="G9231" s="6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  <c r="N9231" s="6">
        <f>IF(OR($G9231="FCC",$G9231="Hydrocracker",$G9231="Reformer"),IF(COUNTIFS($D:$D,$D9231,$A:$A,$A9231,$B:$B,$B9231,$G:$G,"CDU",$J:$J,"PLANNED")&gt;0,"tied","standalone"),"")</f>
        <v/>
      </c>
    </row>
    <row r="9232" spans="6:14">
      <c r="F9232" s="6">
        <f>IF($M9232="PADD I","PADD 1",IF($M9232="PADD II","PADD 2",IF($M9232="PADD III","PADD 3",IF($M9232="PADD IV","PADD 4",IF($M9232="PADD V","PADD 5","")))))</f>
        <v/>
      </c>
      <c r="G9232" s="6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  <c r="N9232" s="6">
        <f>IF(OR($G9232="FCC",$G9232="Hydrocracker",$G9232="Reformer"),IF(COUNTIFS($D:$D,$D9232,$A:$A,$A9232,$B:$B,$B9232,$G:$G,"CDU",$J:$J,"PLANNED")&gt;0,"tied","standalone"),"")</f>
        <v/>
      </c>
    </row>
    <row r="9233" spans="6:14">
      <c r="F9233" s="6">
        <f>IF($M9233="PADD I","PADD 1",IF($M9233="PADD II","PADD 2",IF($M9233="PADD III","PADD 3",IF($M9233="PADD IV","PADD 4",IF($M9233="PADD V","PADD 5","")))))</f>
        <v/>
      </c>
      <c r="G9233" s="6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  <c r="N9233" s="6">
        <f>IF(OR($G9233="FCC",$G9233="Hydrocracker",$G9233="Reformer"),IF(COUNTIFS($D:$D,$D9233,$A:$A,$A9233,$B:$B,$B9233,$G:$G,"CDU",$J:$J,"PLANNED")&gt;0,"tied","standalone"),"")</f>
        <v/>
      </c>
    </row>
    <row r="9234" spans="6:14">
      <c r="F9234" s="6">
        <f>IF($M9234="PADD I","PADD 1",IF($M9234="PADD II","PADD 2",IF($M9234="PADD III","PADD 3",IF($M9234="PADD IV","PADD 4",IF($M9234="PADD V","PADD 5","")))))</f>
        <v/>
      </c>
      <c r="G9234" s="6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  <c r="N9234" s="6">
        <f>IF(OR($G9234="FCC",$G9234="Hydrocracker",$G9234="Reformer"),IF(COUNTIFS($D:$D,$D9234,$A:$A,$A9234,$B:$B,$B9234,$G:$G,"CDU",$J:$J,"PLANNED")&gt;0,"tied","standalone"),"")</f>
        <v/>
      </c>
    </row>
    <row r="9235" spans="6:14">
      <c r="F9235" s="6">
        <f>IF($M9235="PADD I","PADD 1",IF($M9235="PADD II","PADD 2",IF($M9235="PADD III","PADD 3",IF($M9235="PADD IV","PADD 4",IF($M9235="PADD V","PADD 5","")))))</f>
        <v/>
      </c>
      <c r="G9235" s="6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  <c r="N9235" s="6">
        <f>IF(OR($G9235="FCC",$G9235="Hydrocracker",$G9235="Reformer"),IF(COUNTIFS($D:$D,$D9235,$A:$A,$A9235,$B:$B,$B9235,$G:$G,"CDU",$J:$J,"PLANNED")&gt;0,"tied","standalone"),"")</f>
        <v/>
      </c>
    </row>
    <row r="9236" spans="6:14">
      <c r="F9236" s="6">
        <f>IF($M9236="PADD I","PADD 1",IF($M9236="PADD II","PADD 2",IF($M9236="PADD III","PADD 3",IF($M9236="PADD IV","PADD 4",IF($M9236="PADD V","PADD 5","")))))</f>
        <v/>
      </c>
      <c r="G9236" s="6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  <c r="N9236" s="6">
        <f>IF(OR($G9236="FCC",$G9236="Hydrocracker",$G9236="Reformer"),IF(COUNTIFS($D:$D,$D9236,$A:$A,$A9236,$B:$B,$B9236,$G:$G,"CDU",$J:$J,"PLANNED")&gt;0,"tied","standalone"),"")</f>
        <v/>
      </c>
    </row>
    <row r="9237" spans="6:14">
      <c r="F9237" s="6">
        <f>IF($M9237="PADD I","PADD 1",IF($M9237="PADD II","PADD 2",IF($M9237="PADD III","PADD 3",IF($M9237="PADD IV","PADD 4",IF($M9237="PADD V","PADD 5","")))))</f>
        <v/>
      </c>
      <c r="G9237" s="6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  <c r="N9237" s="6">
        <f>IF(OR($G9237="FCC",$G9237="Hydrocracker",$G9237="Reformer"),IF(COUNTIFS($D:$D,$D9237,$A:$A,$A9237,$B:$B,$B9237,$G:$G,"CDU",$J:$J,"PLANNED")&gt;0,"tied","standalone"),"")</f>
        <v/>
      </c>
    </row>
    <row r="9238" spans="6:14">
      <c r="F9238" s="6">
        <f>IF($M9238="PADD I","PADD 1",IF($M9238="PADD II","PADD 2",IF($M9238="PADD III","PADD 3",IF($M9238="PADD IV","PADD 4",IF($M9238="PADD V","PADD 5","")))))</f>
        <v/>
      </c>
      <c r="G9238" s="6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  <c r="N9238" s="6">
        <f>IF(OR($G9238="FCC",$G9238="Hydrocracker",$G9238="Reformer"),IF(COUNTIFS($D:$D,$D9238,$A:$A,$A9238,$B:$B,$B9238,$G:$G,"CDU",$J:$J,"PLANNED")&gt;0,"tied","standalone"),"")</f>
        <v/>
      </c>
    </row>
    <row r="9239" spans="6:14">
      <c r="F9239" s="6">
        <f>IF($M9239="PADD I","PADD 1",IF($M9239="PADD II","PADD 2",IF($M9239="PADD III","PADD 3",IF($M9239="PADD IV","PADD 4",IF($M9239="PADD V","PADD 5","")))))</f>
        <v/>
      </c>
      <c r="G9239" s="6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  <c r="N9239" s="6">
        <f>IF(OR($G9239="FCC",$G9239="Hydrocracker",$G9239="Reformer"),IF(COUNTIFS($D:$D,$D9239,$A:$A,$A9239,$B:$B,$B9239,$G:$G,"CDU",$J:$J,"PLANNED")&gt;0,"tied","standalone"),"")</f>
        <v/>
      </c>
    </row>
    <row r="9240" spans="6:14">
      <c r="F9240" s="6">
        <f>IF($M9240="PADD I","PADD 1",IF($M9240="PADD II","PADD 2",IF($M9240="PADD III","PADD 3",IF($M9240="PADD IV","PADD 4",IF($M9240="PADD V","PADD 5","")))))</f>
        <v/>
      </c>
      <c r="G9240" s="6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  <c r="N9240" s="6">
        <f>IF(OR($G9240="FCC",$G9240="Hydrocracker",$G9240="Reformer"),IF(COUNTIFS($D:$D,$D9240,$A:$A,$A9240,$B:$B,$B9240,$G:$G,"CDU",$J:$J,"PLANNED")&gt;0,"tied","standalone"),"")</f>
        <v/>
      </c>
    </row>
    <row r="9241" spans="6:14">
      <c r="F9241" s="6">
        <f>IF($M9241="PADD I","PADD 1",IF($M9241="PADD II","PADD 2",IF($M9241="PADD III","PADD 3",IF($M9241="PADD IV","PADD 4",IF($M9241="PADD V","PADD 5","")))))</f>
        <v/>
      </c>
      <c r="G9241" s="6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  <c r="N9241" s="6">
        <f>IF(OR($G9241="FCC",$G9241="Hydrocracker",$G9241="Reformer"),IF(COUNTIFS($D:$D,$D9241,$A:$A,$A9241,$B:$B,$B9241,$G:$G,"CDU",$J:$J,"PLANNED")&gt;0,"tied","standalone"),"")</f>
        <v/>
      </c>
    </row>
    <row r="9242" spans="6:14">
      <c r="F9242" s="6">
        <f>IF($M9242="PADD I","PADD 1",IF($M9242="PADD II","PADD 2",IF($M9242="PADD III","PADD 3",IF($M9242="PADD IV","PADD 4",IF($M9242="PADD V","PADD 5","")))))</f>
        <v/>
      </c>
      <c r="G9242" s="6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  <c r="N9242" s="6">
        <f>IF(OR($G9242="FCC",$G9242="Hydrocracker",$G9242="Reformer"),IF(COUNTIFS($D:$D,$D9242,$A:$A,$A9242,$B:$B,$B9242,$G:$G,"CDU",$J:$J,"PLANNED")&gt;0,"tied","standalone"),"")</f>
        <v/>
      </c>
    </row>
    <row r="9243" spans="6:14">
      <c r="F9243" s="6">
        <f>IF($M9243="PADD I","PADD 1",IF($M9243="PADD II","PADD 2",IF($M9243="PADD III","PADD 3",IF($M9243="PADD IV","PADD 4",IF($M9243="PADD V","PADD 5","")))))</f>
        <v/>
      </c>
      <c r="G9243" s="6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  <c r="N9243" s="6">
        <f>IF(OR($G9243="FCC",$G9243="Hydrocracker",$G9243="Reformer"),IF(COUNTIFS($D:$D,$D9243,$A:$A,$A9243,$B:$B,$B9243,$G:$G,"CDU",$J:$J,"PLANNED")&gt;0,"tied","standalone"),"")</f>
        <v/>
      </c>
    </row>
    <row r="9244" spans="6:14">
      <c r="F9244" s="6">
        <f>IF($M9244="PADD I","PADD 1",IF($M9244="PADD II","PADD 2",IF($M9244="PADD III","PADD 3",IF($M9244="PADD IV","PADD 4",IF($M9244="PADD V","PADD 5","")))))</f>
        <v/>
      </c>
      <c r="G9244" s="6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  <c r="N9244" s="6">
        <f>IF(OR($G9244="FCC",$G9244="Hydrocracker",$G9244="Reformer"),IF(COUNTIFS($D:$D,$D9244,$A:$A,$A9244,$B:$B,$B9244,$G:$G,"CDU",$J:$J,"PLANNED")&gt;0,"tied","standalone"),"")</f>
        <v/>
      </c>
    </row>
    <row r="9245" spans="6:14">
      <c r="F9245" s="6">
        <f>IF($M9245="PADD I","PADD 1",IF($M9245="PADD II","PADD 2",IF($M9245="PADD III","PADD 3",IF($M9245="PADD IV","PADD 4",IF($M9245="PADD V","PADD 5","")))))</f>
        <v/>
      </c>
      <c r="G9245" s="6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  <c r="N9245" s="6">
        <f>IF(OR($G9245="FCC",$G9245="Hydrocracker",$G9245="Reformer"),IF(COUNTIFS($D:$D,$D9245,$A:$A,$A9245,$B:$B,$B9245,$G:$G,"CDU",$J:$J,"PLANNED")&gt;0,"tied","standalone"),"")</f>
        <v/>
      </c>
    </row>
    <row r="9246" spans="6:14">
      <c r="F9246" s="6">
        <f>IF($M9246="PADD I","PADD 1",IF($M9246="PADD II","PADD 2",IF($M9246="PADD III","PADD 3",IF($M9246="PADD IV","PADD 4",IF($M9246="PADD V","PADD 5","")))))</f>
        <v/>
      </c>
      <c r="G9246" s="6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  <c r="N9246" s="6">
        <f>IF(OR($G9246="FCC",$G9246="Hydrocracker",$G9246="Reformer"),IF(COUNTIFS($D:$D,$D9246,$A:$A,$A9246,$B:$B,$B9246,$G:$G,"CDU",$J:$J,"PLANNED")&gt;0,"tied","standalone"),"")</f>
        <v/>
      </c>
    </row>
    <row r="9247" spans="6:14">
      <c r="F9247" s="6">
        <f>IF($M9247="PADD I","PADD 1",IF($M9247="PADD II","PADD 2",IF($M9247="PADD III","PADD 3",IF($M9247="PADD IV","PADD 4",IF($M9247="PADD V","PADD 5","")))))</f>
        <v/>
      </c>
      <c r="G9247" s="6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  <c r="N9247" s="6">
        <f>IF(OR($G9247="FCC",$G9247="Hydrocracker",$G9247="Reformer"),IF(COUNTIFS($D:$D,$D9247,$A:$A,$A9247,$B:$B,$B9247,$G:$G,"CDU",$J:$J,"PLANNED")&gt;0,"tied","standalone"),"")</f>
        <v/>
      </c>
    </row>
    <row r="9248" spans="6:14">
      <c r="F9248" s="6">
        <f>IF($M9248="PADD I","PADD 1",IF($M9248="PADD II","PADD 2",IF($M9248="PADD III","PADD 3",IF($M9248="PADD IV","PADD 4",IF($M9248="PADD V","PADD 5","")))))</f>
        <v/>
      </c>
      <c r="G9248" s="6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  <c r="N9248" s="6">
        <f>IF(OR($G9248="FCC",$G9248="Hydrocracker",$G9248="Reformer"),IF(COUNTIFS($D:$D,$D9248,$A:$A,$A9248,$B:$B,$B9248,$G:$G,"CDU",$J:$J,"PLANNED")&gt;0,"tied","standalone"),"")</f>
        <v/>
      </c>
    </row>
    <row r="9249" spans="6:14">
      <c r="F9249" s="6">
        <f>IF($M9249="PADD I","PADD 1",IF($M9249="PADD II","PADD 2",IF($M9249="PADD III","PADD 3",IF($M9249="PADD IV","PADD 4",IF($M9249="PADD V","PADD 5","")))))</f>
        <v/>
      </c>
      <c r="G9249" s="6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  <c r="N9249" s="6">
        <f>IF(OR($G9249="FCC",$G9249="Hydrocracker",$G9249="Reformer"),IF(COUNTIFS($D:$D,$D9249,$A:$A,$A9249,$B:$B,$B9249,$G:$G,"CDU",$J:$J,"PLANNED")&gt;0,"tied","standalone"),"")</f>
        <v/>
      </c>
    </row>
    <row r="9250" spans="6:14">
      <c r="F9250" s="6">
        <f>IF($M9250="PADD I","PADD 1",IF($M9250="PADD II","PADD 2",IF($M9250="PADD III","PADD 3",IF($M9250="PADD IV","PADD 4",IF($M9250="PADD V","PADD 5","")))))</f>
        <v/>
      </c>
      <c r="G9250" s="6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  <c r="N9250" s="6">
        <f>IF(OR($G9250="FCC",$G9250="Hydrocracker",$G9250="Reformer"),IF(COUNTIFS($D:$D,$D9250,$A:$A,$A9250,$B:$B,$B9250,$G:$G,"CDU",$J:$J,"PLANNED")&gt;0,"tied","standalone"),"")</f>
        <v/>
      </c>
    </row>
    <row r="9251" spans="6:14">
      <c r="F9251" s="6">
        <f>IF($M9251="PADD I","PADD 1",IF($M9251="PADD II","PADD 2",IF($M9251="PADD III","PADD 3",IF($M9251="PADD IV","PADD 4",IF($M9251="PADD V","PADD 5","")))))</f>
        <v/>
      </c>
      <c r="G9251" s="6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  <c r="N9251" s="6">
        <f>IF(OR($G9251="FCC",$G9251="Hydrocracker",$G9251="Reformer"),IF(COUNTIFS($D:$D,$D9251,$A:$A,$A9251,$B:$B,$B9251,$G:$G,"CDU",$J:$J,"PLANNED")&gt;0,"tied","standalone"),"")</f>
        <v/>
      </c>
    </row>
    <row r="9252" spans="6:14">
      <c r="F9252" s="6">
        <f>IF($M9252="PADD I","PADD 1",IF($M9252="PADD II","PADD 2",IF($M9252="PADD III","PADD 3",IF($M9252="PADD IV","PADD 4",IF($M9252="PADD V","PADD 5","")))))</f>
        <v/>
      </c>
      <c r="G9252" s="6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  <c r="N9252" s="6">
        <f>IF(OR($G9252="FCC",$G9252="Hydrocracker",$G9252="Reformer"),IF(COUNTIFS($D:$D,$D9252,$A:$A,$A9252,$B:$B,$B9252,$G:$G,"CDU",$J:$J,"PLANNED")&gt;0,"tied","standalone"),"")</f>
        <v/>
      </c>
    </row>
    <row r="9253" spans="6:14">
      <c r="F9253" s="6">
        <f>IF($M9253="PADD I","PADD 1",IF($M9253="PADD II","PADD 2",IF($M9253="PADD III","PADD 3",IF($M9253="PADD IV","PADD 4",IF($M9253="PADD V","PADD 5","")))))</f>
        <v/>
      </c>
      <c r="G9253" s="6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  <c r="N9253" s="6">
        <f>IF(OR($G9253="FCC",$G9253="Hydrocracker",$G9253="Reformer"),IF(COUNTIFS($D:$D,$D9253,$A:$A,$A9253,$B:$B,$B9253,$G:$G,"CDU",$J:$J,"PLANNED")&gt;0,"tied","standalone"),"")</f>
        <v/>
      </c>
    </row>
    <row r="9254" spans="6:14">
      <c r="F9254" s="6">
        <f>IF($M9254="PADD I","PADD 1",IF($M9254="PADD II","PADD 2",IF($M9254="PADD III","PADD 3",IF($M9254="PADD IV","PADD 4",IF($M9254="PADD V","PADD 5","")))))</f>
        <v/>
      </c>
      <c r="G9254" s="6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  <c r="N9254" s="6">
        <f>IF(OR($G9254="FCC",$G9254="Hydrocracker",$G9254="Reformer"),IF(COUNTIFS($D:$D,$D9254,$A:$A,$A9254,$B:$B,$B9254,$G:$G,"CDU",$J:$J,"PLANNED")&gt;0,"tied","standalone"),"")</f>
        <v/>
      </c>
    </row>
    <row r="9255" spans="6:14">
      <c r="F9255" s="6">
        <f>IF($M9255="PADD I","PADD 1",IF($M9255="PADD II","PADD 2",IF($M9255="PADD III","PADD 3",IF($M9255="PADD IV","PADD 4",IF($M9255="PADD V","PADD 5","")))))</f>
        <v/>
      </c>
      <c r="G9255" s="6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  <c r="N9255" s="6">
        <f>IF(OR($G9255="FCC",$G9255="Hydrocracker",$G9255="Reformer"),IF(COUNTIFS($D:$D,$D9255,$A:$A,$A9255,$B:$B,$B9255,$G:$G,"CDU",$J:$J,"PLANNED")&gt;0,"tied","standalone"),"")</f>
        <v/>
      </c>
    </row>
    <row r="9256" spans="6:14">
      <c r="F9256" s="6">
        <f>IF($M9256="PADD I","PADD 1",IF($M9256="PADD II","PADD 2",IF($M9256="PADD III","PADD 3",IF($M9256="PADD IV","PADD 4",IF($M9256="PADD V","PADD 5","")))))</f>
        <v/>
      </c>
      <c r="G9256" s="6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  <c r="N9256" s="6">
        <f>IF(OR($G9256="FCC",$G9256="Hydrocracker",$G9256="Reformer"),IF(COUNTIFS($D:$D,$D9256,$A:$A,$A9256,$B:$B,$B9256,$G:$G,"CDU",$J:$J,"PLANNED")&gt;0,"tied","standalone"),"")</f>
        <v/>
      </c>
    </row>
    <row r="9257" spans="6:14">
      <c r="F9257" s="6">
        <f>IF($M9257="PADD I","PADD 1",IF($M9257="PADD II","PADD 2",IF($M9257="PADD III","PADD 3",IF($M9257="PADD IV","PADD 4",IF($M9257="PADD V","PADD 5","")))))</f>
        <v/>
      </c>
      <c r="G9257" s="6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  <c r="N9257" s="6">
        <f>IF(OR($G9257="FCC",$G9257="Hydrocracker",$G9257="Reformer"),IF(COUNTIFS($D:$D,$D9257,$A:$A,$A9257,$B:$B,$B9257,$G:$G,"CDU",$J:$J,"PLANNED")&gt;0,"tied","standalone"),"")</f>
        <v/>
      </c>
    </row>
    <row r="9258" spans="6:14">
      <c r="F9258" s="6">
        <f>IF($M9258="PADD I","PADD 1",IF($M9258="PADD II","PADD 2",IF($M9258="PADD III","PADD 3",IF($M9258="PADD IV","PADD 4",IF($M9258="PADD V","PADD 5","")))))</f>
        <v/>
      </c>
      <c r="G9258" s="6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  <c r="N9258" s="6">
        <f>IF(OR($G9258="FCC",$G9258="Hydrocracker",$G9258="Reformer"),IF(COUNTIFS($D:$D,$D9258,$A:$A,$A9258,$B:$B,$B9258,$G:$G,"CDU",$J:$J,"PLANNED")&gt;0,"tied","standalone"),"")</f>
        <v/>
      </c>
    </row>
    <row r="9259" spans="6:14">
      <c r="F9259" s="6">
        <f>IF($M9259="PADD I","PADD 1",IF($M9259="PADD II","PADD 2",IF($M9259="PADD III","PADD 3",IF($M9259="PADD IV","PADD 4",IF($M9259="PADD V","PADD 5","")))))</f>
        <v/>
      </c>
      <c r="G9259" s="6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  <c r="N9259" s="6">
        <f>IF(OR($G9259="FCC",$G9259="Hydrocracker",$G9259="Reformer"),IF(COUNTIFS($D:$D,$D9259,$A:$A,$A9259,$B:$B,$B9259,$G:$G,"CDU",$J:$J,"PLANNED")&gt;0,"tied","standalone"),"")</f>
        <v/>
      </c>
    </row>
    <row r="9260" spans="6:14">
      <c r="F9260" s="6">
        <f>IF($M9260="PADD I","PADD 1",IF($M9260="PADD II","PADD 2",IF($M9260="PADD III","PADD 3",IF($M9260="PADD IV","PADD 4",IF($M9260="PADD V","PADD 5","")))))</f>
        <v/>
      </c>
      <c r="G9260" s="6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  <c r="N9260" s="6">
        <f>IF(OR($G9260="FCC",$G9260="Hydrocracker",$G9260="Reformer"),IF(COUNTIFS($D:$D,$D9260,$A:$A,$A9260,$B:$B,$B9260,$G:$G,"CDU",$J:$J,"PLANNED")&gt;0,"tied","standalone"),"")</f>
        <v/>
      </c>
    </row>
    <row r="9261" spans="6:14">
      <c r="F9261" s="6">
        <f>IF($M9261="PADD I","PADD 1",IF($M9261="PADD II","PADD 2",IF($M9261="PADD III","PADD 3",IF($M9261="PADD IV","PADD 4",IF($M9261="PADD V","PADD 5","")))))</f>
        <v/>
      </c>
      <c r="G9261" s="6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  <c r="N9261" s="6">
        <f>IF(OR($G9261="FCC",$G9261="Hydrocracker",$G9261="Reformer"),IF(COUNTIFS($D:$D,$D9261,$A:$A,$A9261,$B:$B,$B9261,$G:$G,"CDU",$J:$J,"PLANNED")&gt;0,"tied","standalone"),"")</f>
        <v/>
      </c>
    </row>
    <row r="9262" spans="6:14">
      <c r="F9262" s="6">
        <f>IF($M9262="PADD I","PADD 1",IF($M9262="PADD II","PADD 2",IF($M9262="PADD III","PADD 3",IF($M9262="PADD IV","PADD 4",IF($M9262="PADD V","PADD 5","")))))</f>
        <v/>
      </c>
      <c r="G9262" s="6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  <c r="N9262" s="6">
        <f>IF(OR($G9262="FCC",$G9262="Hydrocracker",$G9262="Reformer"),IF(COUNTIFS($D:$D,$D9262,$A:$A,$A9262,$B:$B,$B9262,$G:$G,"CDU",$J:$J,"PLANNED")&gt;0,"tied","standalone"),"")</f>
        <v/>
      </c>
    </row>
    <row r="9263" spans="6:14">
      <c r="F9263" s="6">
        <f>IF($M9263="PADD I","PADD 1",IF($M9263="PADD II","PADD 2",IF($M9263="PADD III","PADD 3",IF($M9263="PADD IV","PADD 4",IF($M9263="PADD V","PADD 5","")))))</f>
        <v/>
      </c>
      <c r="G9263" s="6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  <c r="N9263" s="6">
        <f>IF(OR($G9263="FCC",$G9263="Hydrocracker",$G9263="Reformer"),IF(COUNTIFS($D:$D,$D9263,$A:$A,$A9263,$B:$B,$B9263,$G:$G,"CDU",$J:$J,"PLANNED")&gt;0,"tied","standalone"),"")</f>
        <v/>
      </c>
    </row>
    <row r="9264" spans="6:14">
      <c r="F9264" s="6">
        <f>IF($M9264="PADD I","PADD 1",IF($M9264="PADD II","PADD 2",IF($M9264="PADD III","PADD 3",IF($M9264="PADD IV","PADD 4",IF($M9264="PADD V","PADD 5","")))))</f>
        <v/>
      </c>
      <c r="G9264" s="6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  <c r="N9264" s="6">
        <f>IF(OR($G9264="FCC",$G9264="Hydrocracker",$G9264="Reformer"),IF(COUNTIFS($D:$D,$D9264,$A:$A,$A9264,$B:$B,$B9264,$G:$G,"CDU",$J:$J,"PLANNED")&gt;0,"tied","standalone"),"")</f>
        <v/>
      </c>
    </row>
    <row r="9265" spans="6:14">
      <c r="F9265" s="6">
        <f>IF($M9265="PADD I","PADD 1",IF($M9265="PADD II","PADD 2",IF($M9265="PADD III","PADD 3",IF($M9265="PADD IV","PADD 4",IF($M9265="PADD V","PADD 5","")))))</f>
        <v/>
      </c>
      <c r="G9265" s="6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  <c r="N9265" s="6">
        <f>IF(OR($G9265="FCC",$G9265="Hydrocracker",$G9265="Reformer"),IF(COUNTIFS($D:$D,$D9265,$A:$A,$A9265,$B:$B,$B9265,$G:$G,"CDU",$J:$J,"PLANNED")&gt;0,"tied","standalone"),"")</f>
        <v/>
      </c>
    </row>
    <row r="9266" spans="6:14">
      <c r="F9266" s="6">
        <f>IF($M9266="PADD I","PADD 1",IF($M9266="PADD II","PADD 2",IF($M9266="PADD III","PADD 3",IF($M9266="PADD IV","PADD 4",IF($M9266="PADD V","PADD 5","")))))</f>
        <v/>
      </c>
      <c r="G9266" s="6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  <c r="N9266" s="6">
        <f>IF(OR($G9266="FCC",$G9266="Hydrocracker",$G9266="Reformer"),IF(COUNTIFS($D:$D,$D9266,$A:$A,$A9266,$B:$B,$B9266,$G:$G,"CDU",$J:$J,"PLANNED")&gt;0,"tied","standalone"),"")</f>
        <v/>
      </c>
    </row>
    <row r="9267" spans="6:14">
      <c r="F9267" s="6">
        <f>IF($M9267="PADD I","PADD 1",IF($M9267="PADD II","PADD 2",IF($M9267="PADD III","PADD 3",IF($M9267="PADD IV","PADD 4",IF($M9267="PADD V","PADD 5","")))))</f>
        <v/>
      </c>
      <c r="G9267" s="6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  <c r="N9267" s="6">
        <f>IF(OR($G9267="FCC",$G9267="Hydrocracker",$G9267="Reformer"),IF(COUNTIFS($D:$D,$D9267,$A:$A,$A9267,$B:$B,$B9267,$G:$G,"CDU",$J:$J,"PLANNED")&gt;0,"tied","standalone"),"")</f>
        <v/>
      </c>
    </row>
    <row r="9268" spans="6:14">
      <c r="F9268" s="6">
        <f>IF($M9268="PADD I","PADD 1",IF($M9268="PADD II","PADD 2",IF($M9268="PADD III","PADD 3",IF($M9268="PADD IV","PADD 4",IF($M9268="PADD V","PADD 5","")))))</f>
        <v/>
      </c>
      <c r="G9268" s="6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  <c r="N9268" s="6">
        <f>IF(OR($G9268="FCC",$G9268="Hydrocracker",$G9268="Reformer"),IF(COUNTIFS($D:$D,$D9268,$A:$A,$A9268,$B:$B,$B9268,$G:$G,"CDU",$J:$J,"PLANNED")&gt;0,"tied","standalone"),"")</f>
        <v/>
      </c>
    </row>
    <row r="9269" spans="6:14">
      <c r="F9269" s="6">
        <f>IF($M9269="PADD I","PADD 1",IF($M9269="PADD II","PADD 2",IF($M9269="PADD III","PADD 3",IF($M9269="PADD IV","PADD 4",IF($M9269="PADD V","PADD 5","")))))</f>
        <v/>
      </c>
      <c r="G9269" s="6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  <c r="N9269" s="6">
        <f>IF(OR($G9269="FCC",$G9269="Hydrocracker",$G9269="Reformer"),IF(COUNTIFS($D:$D,$D9269,$A:$A,$A9269,$B:$B,$B9269,$G:$G,"CDU",$J:$J,"PLANNED")&gt;0,"tied","standalone"),"")</f>
        <v/>
      </c>
    </row>
    <row r="9270" spans="6:14">
      <c r="F9270" s="6">
        <f>IF($M9270="PADD I","PADD 1",IF($M9270="PADD II","PADD 2",IF($M9270="PADD III","PADD 3",IF($M9270="PADD IV","PADD 4",IF($M9270="PADD V","PADD 5","")))))</f>
        <v/>
      </c>
      <c r="G9270" s="6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  <c r="N9270" s="6">
        <f>IF(OR($G9270="FCC",$G9270="Hydrocracker",$G9270="Reformer"),IF(COUNTIFS($D:$D,$D9270,$A:$A,$A9270,$B:$B,$B9270,$G:$G,"CDU",$J:$J,"PLANNED")&gt;0,"tied","standalone"),"")</f>
        <v/>
      </c>
    </row>
    <row r="9271" spans="6:14">
      <c r="F9271" s="6">
        <f>IF($M9271="PADD I","PADD 1",IF($M9271="PADD II","PADD 2",IF($M9271="PADD III","PADD 3",IF($M9271="PADD IV","PADD 4",IF($M9271="PADD V","PADD 5","")))))</f>
        <v/>
      </c>
      <c r="G9271" s="6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  <c r="N9271" s="6">
        <f>IF(OR($G9271="FCC",$G9271="Hydrocracker",$G9271="Reformer"),IF(COUNTIFS($D:$D,$D9271,$A:$A,$A9271,$B:$B,$B9271,$G:$G,"CDU",$J:$J,"PLANNED")&gt;0,"tied","standalone"),"")</f>
        <v/>
      </c>
    </row>
    <row r="9272" spans="6:14">
      <c r="F9272" s="6">
        <f>IF($M9272="PADD I","PADD 1",IF($M9272="PADD II","PADD 2",IF($M9272="PADD III","PADD 3",IF($M9272="PADD IV","PADD 4",IF($M9272="PADD V","PADD 5","")))))</f>
        <v/>
      </c>
      <c r="G9272" s="6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  <c r="N9272" s="6">
        <f>IF(OR($G9272="FCC",$G9272="Hydrocracker",$G9272="Reformer"),IF(COUNTIFS($D:$D,$D9272,$A:$A,$A9272,$B:$B,$B9272,$G:$G,"CDU",$J:$J,"PLANNED")&gt;0,"tied","standalone"),"")</f>
        <v/>
      </c>
    </row>
    <row r="9273" spans="6:14">
      <c r="F9273" s="6">
        <f>IF($M9273="PADD I","PADD 1",IF($M9273="PADD II","PADD 2",IF($M9273="PADD III","PADD 3",IF($M9273="PADD IV","PADD 4",IF($M9273="PADD V","PADD 5","")))))</f>
        <v/>
      </c>
      <c r="G9273" s="6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  <c r="N9273" s="6">
        <f>IF(OR($G9273="FCC",$G9273="Hydrocracker",$G9273="Reformer"),IF(COUNTIFS($D:$D,$D9273,$A:$A,$A9273,$B:$B,$B9273,$G:$G,"CDU",$J:$J,"PLANNED")&gt;0,"tied","standalone"),"")</f>
        <v/>
      </c>
    </row>
    <row r="9274" spans="6:14">
      <c r="F9274" s="6">
        <f>IF($M9274="PADD I","PADD 1",IF($M9274="PADD II","PADD 2",IF($M9274="PADD III","PADD 3",IF($M9274="PADD IV","PADD 4",IF($M9274="PADD V","PADD 5","")))))</f>
        <v/>
      </c>
      <c r="G9274" s="6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  <c r="N9274" s="6">
        <f>IF(OR($G9274="FCC",$G9274="Hydrocracker",$G9274="Reformer"),IF(COUNTIFS($D:$D,$D9274,$A:$A,$A9274,$B:$B,$B9274,$G:$G,"CDU",$J:$J,"PLANNED")&gt;0,"tied","standalone"),"")</f>
        <v/>
      </c>
    </row>
    <row r="9275" spans="6:14">
      <c r="F9275" s="6">
        <f>IF($M9275="PADD I","PADD 1",IF($M9275="PADD II","PADD 2",IF($M9275="PADD III","PADD 3",IF($M9275="PADD IV","PADD 4",IF($M9275="PADD V","PADD 5","")))))</f>
        <v/>
      </c>
      <c r="G9275" s="6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  <c r="N9275" s="6">
        <f>IF(OR($G9275="FCC",$G9275="Hydrocracker",$G9275="Reformer"),IF(COUNTIFS($D:$D,$D9275,$A:$A,$A9275,$B:$B,$B9275,$G:$G,"CDU",$J:$J,"PLANNED")&gt;0,"tied","standalone"),"")</f>
        <v/>
      </c>
    </row>
    <row r="9276" spans="6:14">
      <c r="F9276" s="6">
        <f>IF($M9276="PADD I","PADD 1",IF($M9276="PADD II","PADD 2",IF($M9276="PADD III","PADD 3",IF($M9276="PADD IV","PADD 4",IF($M9276="PADD V","PADD 5","")))))</f>
        <v/>
      </c>
      <c r="G9276" s="6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  <c r="N9276" s="6">
        <f>IF(OR($G9276="FCC",$G9276="Hydrocracker",$G9276="Reformer"),IF(COUNTIFS($D:$D,$D9276,$A:$A,$A9276,$B:$B,$B9276,$G:$G,"CDU",$J:$J,"PLANNED")&gt;0,"tied","standalone"),"")</f>
        <v/>
      </c>
    </row>
    <row r="9277" spans="6:14">
      <c r="F9277" s="6">
        <f>IF($M9277="PADD I","PADD 1",IF($M9277="PADD II","PADD 2",IF($M9277="PADD III","PADD 3",IF($M9277="PADD IV","PADD 4",IF($M9277="PADD V","PADD 5","")))))</f>
        <v/>
      </c>
      <c r="G9277" s="6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  <c r="N9277" s="6">
        <f>IF(OR($G9277="FCC",$G9277="Hydrocracker",$G9277="Reformer"),IF(COUNTIFS($D:$D,$D9277,$A:$A,$A9277,$B:$B,$B9277,$G:$G,"CDU",$J:$J,"PLANNED")&gt;0,"tied","standalone"),"")</f>
        <v/>
      </c>
    </row>
    <row r="9278" spans="6:14">
      <c r="F9278" s="6">
        <f>IF($M9278="PADD I","PADD 1",IF($M9278="PADD II","PADD 2",IF($M9278="PADD III","PADD 3",IF($M9278="PADD IV","PADD 4",IF($M9278="PADD V","PADD 5","")))))</f>
        <v/>
      </c>
      <c r="G9278" s="6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  <c r="N9278" s="6">
        <f>IF(OR($G9278="FCC",$G9278="Hydrocracker",$G9278="Reformer"),IF(COUNTIFS($D:$D,$D9278,$A:$A,$A9278,$B:$B,$B9278,$G:$G,"CDU",$J:$J,"PLANNED")&gt;0,"tied","standalone"),"")</f>
        <v/>
      </c>
    </row>
    <row r="9279" spans="6:14">
      <c r="F9279" s="6">
        <f>IF($M9279="PADD I","PADD 1",IF($M9279="PADD II","PADD 2",IF($M9279="PADD III","PADD 3",IF($M9279="PADD IV","PADD 4",IF($M9279="PADD V","PADD 5","")))))</f>
        <v/>
      </c>
      <c r="G9279" s="6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  <c r="N9279" s="6">
        <f>IF(OR($G9279="FCC",$G9279="Hydrocracker",$G9279="Reformer"),IF(COUNTIFS($D:$D,$D9279,$A:$A,$A9279,$B:$B,$B9279,$G:$G,"CDU",$J:$J,"PLANNED")&gt;0,"tied","standalone"),"")</f>
        <v/>
      </c>
    </row>
    <row r="9280" spans="6:14">
      <c r="F9280" s="6">
        <f>IF($M9280="PADD I","PADD 1",IF($M9280="PADD II","PADD 2",IF($M9280="PADD III","PADD 3",IF($M9280="PADD IV","PADD 4",IF($M9280="PADD V","PADD 5","")))))</f>
        <v/>
      </c>
      <c r="G9280" s="6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  <c r="N9280" s="6">
        <f>IF(OR($G9280="FCC",$G9280="Hydrocracker",$G9280="Reformer"),IF(COUNTIFS($D:$D,$D9280,$A:$A,$A9280,$B:$B,$B9280,$G:$G,"CDU",$J:$J,"PLANNED")&gt;0,"tied","standalone"),"")</f>
        <v/>
      </c>
    </row>
    <row r="9281" spans="6:14">
      <c r="F9281" s="6">
        <f>IF($M9281="PADD I","PADD 1",IF($M9281="PADD II","PADD 2",IF($M9281="PADD III","PADD 3",IF($M9281="PADD IV","PADD 4",IF($M9281="PADD V","PADD 5","")))))</f>
        <v/>
      </c>
      <c r="G9281" s="6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  <c r="N9281" s="6">
        <f>IF(OR($G9281="FCC",$G9281="Hydrocracker",$G9281="Reformer"),IF(COUNTIFS($D:$D,$D9281,$A:$A,$A9281,$B:$B,$B9281,$G:$G,"CDU",$J:$J,"PLANNED")&gt;0,"tied","standalone"),"")</f>
        <v/>
      </c>
    </row>
    <row r="9282" spans="6:14">
      <c r="F9282" s="6">
        <f>IF($M9282="PADD I","PADD 1",IF($M9282="PADD II","PADD 2",IF($M9282="PADD III","PADD 3",IF($M9282="PADD IV","PADD 4",IF($M9282="PADD V","PADD 5","")))))</f>
        <v/>
      </c>
      <c r="G9282" s="6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  <c r="N9282" s="6">
        <f>IF(OR($G9282="FCC",$G9282="Hydrocracker",$G9282="Reformer"),IF(COUNTIFS($D:$D,$D9282,$A:$A,$A9282,$B:$B,$B9282,$G:$G,"CDU",$J:$J,"PLANNED")&gt;0,"tied","standalone"),"")</f>
        <v/>
      </c>
    </row>
    <row r="9283" spans="6:14">
      <c r="F9283" s="6">
        <f>IF($M9283="PADD I","PADD 1",IF($M9283="PADD II","PADD 2",IF($M9283="PADD III","PADD 3",IF($M9283="PADD IV","PADD 4",IF($M9283="PADD V","PADD 5","")))))</f>
        <v/>
      </c>
      <c r="G9283" s="6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  <c r="N9283" s="6">
        <f>IF(OR($G9283="FCC",$G9283="Hydrocracker",$G9283="Reformer"),IF(COUNTIFS($D:$D,$D9283,$A:$A,$A9283,$B:$B,$B9283,$G:$G,"CDU",$J:$J,"PLANNED")&gt;0,"tied","standalone"),"")</f>
        <v/>
      </c>
    </row>
    <row r="9284" spans="6:14">
      <c r="F9284" s="6">
        <f>IF($M9284="PADD I","PADD 1",IF($M9284="PADD II","PADD 2",IF($M9284="PADD III","PADD 3",IF($M9284="PADD IV","PADD 4",IF($M9284="PADD V","PADD 5","")))))</f>
        <v/>
      </c>
      <c r="G9284" s="6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  <c r="N9284" s="6">
        <f>IF(OR($G9284="FCC",$G9284="Hydrocracker",$G9284="Reformer"),IF(COUNTIFS($D:$D,$D9284,$A:$A,$A9284,$B:$B,$B9284,$G:$G,"CDU",$J:$J,"PLANNED")&gt;0,"tied","standalone"),"")</f>
        <v/>
      </c>
    </row>
    <row r="9285" spans="6:14">
      <c r="F9285" s="6">
        <f>IF($M9285="PADD I","PADD 1",IF($M9285="PADD II","PADD 2",IF($M9285="PADD III","PADD 3",IF($M9285="PADD IV","PADD 4",IF($M9285="PADD V","PADD 5","")))))</f>
        <v/>
      </c>
      <c r="G9285" s="6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  <c r="N9285" s="6">
        <f>IF(OR($G9285="FCC",$G9285="Hydrocracker",$G9285="Reformer"),IF(COUNTIFS($D:$D,$D9285,$A:$A,$A9285,$B:$B,$B9285,$G:$G,"CDU",$J:$J,"PLANNED")&gt;0,"tied","standalone"),"")</f>
        <v/>
      </c>
    </row>
    <row r="9286" spans="6:14">
      <c r="F9286" s="6">
        <f>IF($M9286="PADD I","PADD 1",IF($M9286="PADD II","PADD 2",IF($M9286="PADD III","PADD 3",IF($M9286="PADD IV","PADD 4",IF($M9286="PADD V","PADD 5","")))))</f>
        <v/>
      </c>
      <c r="G9286" s="6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  <c r="N9286" s="6">
        <f>IF(OR($G9286="FCC",$G9286="Hydrocracker",$G9286="Reformer"),IF(COUNTIFS($D:$D,$D9286,$A:$A,$A9286,$B:$B,$B9286,$G:$G,"CDU",$J:$J,"PLANNED")&gt;0,"tied","standalone"),"")</f>
        <v/>
      </c>
    </row>
    <row r="9287" spans="6:14">
      <c r="F9287" s="6">
        <f>IF($M9287="PADD I","PADD 1",IF($M9287="PADD II","PADD 2",IF($M9287="PADD III","PADD 3",IF($M9287="PADD IV","PADD 4",IF($M9287="PADD V","PADD 5","")))))</f>
        <v/>
      </c>
      <c r="G9287" s="6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  <c r="N9287" s="6">
        <f>IF(OR($G9287="FCC",$G9287="Hydrocracker",$G9287="Reformer"),IF(COUNTIFS($D:$D,$D9287,$A:$A,$A9287,$B:$B,$B9287,$G:$G,"CDU",$J:$J,"PLANNED")&gt;0,"tied","standalone"),"")</f>
        <v/>
      </c>
    </row>
    <row r="9288" spans="6:14">
      <c r="F9288" s="6">
        <f>IF($M9288="PADD I","PADD 1",IF($M9288="PADD II","PADD 2",IF($M9288="PADD III","PADD 3",IF($M9288="PADD IV","PADD 4",IF($M9288="PADD V","PADD 5","")))))</f>
        <v/>
      </c>
      <c r="G9288" s="6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  <c r="N9288" s="6">
        <f>IF(OR($G9288="FCC",$G9288="Hydrocracker",$G9288="Reformer"),IF(COUNTIFS($D:$D,$D9288,$A:$A,$A9288,$B:$B,$B9288,$G:$G,"CDU",$J:$J,"PLANNED")&gt;0,"tied","standalone"),"")</f>
        <v/>
      </c>
    </row>
    <row r="9289" spans="6:14">
      <c r="F9289" s="6">
        <f>IF($M9289="PADD I","PADD 1",IF($M9289="PADD II","PADD 2",IF($M9289="PADD III","PADD 3",IF($M9289="PADD IV","PADD 4",IF($M9289="PADD V","PADD 5","")))))</f>
        <v/>
      </c>
      <c r="G9289" s="6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  <c r="N9289" s="6">
        <f>IF(OR($G9289="FCC",$G9289="Hydrocracker",$G9289="Reformer"),IF(COUNTIFS($D:$D,$D9289,$A:$A,$A9289,$B:$B,$B9289,$G:$G,"CDU",$J:$J,"PLANNED")&gt;0,"tied","standalone"),"")</f>
        <v/>
      </c>
    </row>
    <row r="9290" spans="6:14">
      <c r="F9290" s="6">
        <f>IF($M9290="PADD I","PADD 1",IF($M9290="PADD II","PADD 2",IF($M9290="PADD III","PADD 3",IF($M9290="PADD IV","PADD 4",IF($M9290="PADD V","PADD 5","")))))</f>
        <v/>
      </c>
      <c r="G9290" s="6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  <c r="N9290" s="6">
        <f>IF(OR($G9290="FCC",$G9290="Hydrocracker",$G9290="Reformer"),IF(COUNTIFS($D:$D,$D9290,$A:$A,$A9290,$B:$B,$B9290,$G:$G,"CDU",$J:$J,"PLANNED")&gt;0,"tied","standalone"),"")</f>
        <v/>
      </c>
    </row>
    <row r="9291" spans="6:14">
      <c r="F9291" s="6">
        <f>IF($M9291="PADD I","PADD 1",IF($M9291="PADD II","PADD 2",IF($M9291="PADD III","PADD 3",IF($M9291="PADD IV","PADD 4",IF($M9291="PADD V","PADD 5","")))))</f>
        <v/>
      </c>
      <c r="G9291" s="6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  <c r="N9291" s="6">
        <f>IF(OR($G9291="FCC",$G9291="Hydrocracker",$G9291="Reformer"),IF(COUNTIFS($D:$D,$D9291,$A:$A,$A9291,$B:$B,$B9291,$G:$G,"CDU",$J:$J,"PLANNED")&gt;0,"tied","standalone"),"")</f>
        <v/>
      </c>
    </row>
    <row r="9292" spans="6:14">
      <c r="F9292" s="6">
        <f>IF($M9292="PADD I","PADD 1",IF($M9292="PADD II","PADD 2",IF($M9292="PADD III","PADD 3",IF($M9292="PADD IV","PADD 4",IF($M9292="PADD V","PADD 5","")))))</f>
        <v/>
      </c>
      <c r="G9292" s="6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  <c r="N9292" s="6">
        <f>IF(OR($G9292="FCC",$G9292="Hydrocracker",$G9292="Reformer"),IF(COUNTIFS($D:$D,$D9292,$A:$A,$A9292,$B:$B,$B9292,$G:$G,"CDU",$J:$J,"PLANNED")&gt;0,"tied","standalone"),"")</f>
        <v/>
      </c>
    </row>
    <row r="9293" spans="6:14">
      <c r="F9293" s="6">
        <f>IF($M9293="PADD I","PADD 1",IF($M9293="PADD II","PADD 2",IF($M9293="PADD III","PADD 3",IF($M9293="PADD IV","PADD 4",IF($M9293="PADD V","PADD 5","")))))</f>
        <v/>
      </c>
      <c r="G9293" s="6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  <c r="N9293" s="6">
        <f>IF(OR($G9293="FCC",$G9293="Hydrocracker",$G9293="Reformer"),IF(COUNTIFS($D:$D,$D9293,$A:$A,$A9293,$B:$B,$B9293,$G:$G,"CDU",$J:$J,"PLANNED")&gt;0,"tied","standalone"),"")</f>
        <v/>
      </c>
    </row>
    <row r="9294" spans="6:14">
      <c r="F9294" s="6">
        <f>IF($M9294="PADD I","PADD 1",IF($M9294="PADD II","PADD 2",IF($M9294="PADD III","PADD 3",IF($M9294="PADD IV","PADD 4",IF($M9294="PADD V","PADD 5","")))))</f>
        <v/>
      </c>
      <c r="G9294" s="6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  <c r="N9294" s="6">
        <f>IF(OR($G9294="FCC",$G9294="Hydrocracker",$G9294="Reformer"),IF(COUNTIFS($D:$D,$D9294,$A:$A,$A9294,$B:$B,$B9294,$G:$G,"CDU",$J:$J,"PLANNED")&gt;0,"tied","standalone"),"")</f>
        <v/>
      </c>
    </row>
    <row r="9295" spans="6:14">
      <c r="F9295" s="6">
        <f>IF($M9295="PADD I","PADD 1",IF($M9295="PADD II","PADD 2",IF($M9295="PADD III","PADD 3",IF($M9295="PADD IV","PADD 4",IF($M9295="PADD V","PADD 5","")))))</f>
        <v/>
      </c>
      <c r="G9295" s="6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  <c r="N9295" s="6">
        <f>IF(OR($G9295="FCC",$G9295="Hydrocracker",$G9295="Reformer"),IF(COUNTIFS($D:$D,$D9295,$A:$A,$A9295,$B:$B,$B9295,$G:$G,"CDU",$J:$J,"PLANNED")&gt;0,"tied","standalone"),"")</f>
        <v/>
      </c>
    </row>
    <row r="9296" spans="6:14">
      <c r="F9296" s="6">
        <f>IF($M9296="PADD I","PADD 1",IF($M9296="PADD II","PADD 2",IF($M9296="PADD III","PADD 3",IF($M9296="PADD IV","PADD 4",IF($M9296="PADD V","PADD 5","")))))</f>
        <v/>
      </c>
      <c r="G9296" s="6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  <c r="N9296" s="6">
        <f>IF(OR($G9296="FCC",$G9296="Hydrocracker",$G9296="Reformer"),IF(COUNTIFS($D:$D,$D9296,$A:$A,$A9296,$B:$B,$B9296,$G:$G,"CDU",$J:$J,"PLANNED")&gt;0,"tied","standalone"),"")</f>
        <v/>
      </c>
    </row>
    <row r="9297" spans="6:14">
      <c r="F9297" s="6">
        <f>IF($M9297="PADD I","PADD 1",IF($M9297="PADD II","PADD 2",IF($M9297="PADD III","PADD 3",IF($M9297="PADD IV","PADD 4",IF($M9297="PADD V","PADD 5","")))))</f>
        <v/>
      </c>
      <c r="G9297" s="6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  <c r="N9297" s="6">
        <f>IF(OR($G9297="FCC",$G9297="Hydrocracker",$G9297="Reformer"),IF(COUNTIFS($D:$D,$D9297,$A:$A,$A9297,$B:$B,$B9297,$G:$G,"CDU",$J:$J,"PLANNED")&gt;0,"tied","standalone"),"")</f>
        <v/>
      </c>
    </row>
    <row r="9298" spans="6:14">
      <c r="F9298" s="6">
        <f>IF($M9298="PADD I","PADD 1",IF($M9298="PADD II","PADD 2",IF($M9298="PADD III","PADD 3",IF($M9298="PADD IV","PADD 4",IF($M9298="PADD V","PADD 5","")))))</f>
        <v/>
      </c>
      <c r="G9298" s="6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  <c r="N9298" s="6">
        <f>IF(OR($G9298="FCC",$G9298="Hydrocracker",$G9298="Reformer"),IF(COUNTIFS($D:$D,$D9298,$A:$A,$A9298,$B:$B,$B9298,$G:$G,"CDU",$J:$J,"PLANNED")&gt;0,"tied","standalone"),"")</f>
        <v/>
      </c>
    </row>
    <row r="9299" spans="6:14">
      <c r="F9299" s="6">
        <f>IF($M9299="PADD I","PADD 1",IF($M9299="PADD II","PADD 2",IF($M9299="PADD III","PADD 3",IF($M9299="PADD IV","PADD 4",IF($M9299="PADD V","PADD 5","")))))</f>
        <v/>
      </c>
      <c r="G9299" s="6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  <c r="N9299" s="6">
        <f>IF(OR($G9299="FCC",$G9299="Hydrocracker",$G9299="Reformer"),IF(COUNTIFS($D:$D,$D9299,$A:$A,$A9299,$B:$B,$B9299,$G:$G,"CDU",$J:$J,"PLANNED")&gt;0,"tied","standalone"),"")</f>
        <v/>
      </c>
    </row>
    <row r="9300" spans="6:14">
      <c r="F9300" s="6">
        <f>IF($M9300="PADD I","PADD 1",IF($M9300="PADD II","PADD 2",IF($M9300="PADD III","PADD 3",IF($M9300="PADD IV","PADD 4",IF($M9300="PADD V","PADD 5","")))))</f>
        <v/>
      </c>
      <c r="G9300" s="6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  <c r="N9300" s="6">
        <f>IF(OR($G9300="FCC",$G9300="Hydrocracker",$G9300="Reformer"),IF(COUNTIFS($D:$D,$D9300,$A:$A,$A9300,$B:$B,$B9300,$G:$G,"CDU",$J:$J,"PLANNED")&gt;0,"tied","standalone"),"")</f>
        <v/>
      </c>
    </row>
    <row r="9301" spans="6:14">
      <c r="F9301" s="6">
        <f>IF($M9301="PADD I","PADD 1",IF($M9301="PADD II","PADD 2",IF($M9301="PADD III","PADD 3",IF($M9301="PADD IV","PADD 4",IF($M9301="PADD V","PADD 5","")))))</f>
        <v/>
      </c>
      <c r="G9301" s="6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  <c r="N9301" s="6">
        <f>IF(OR($G9301="FCC",$G9301="Hydrocracker",$G9301="Reformer"),IF(COUNTIFS($D:$D,$D9301,$A:$A,$A9301,$B:$B,$B9301,$G:$G,"CDU",$J:$J,"PLANNED")&gt;0,"tied","standalone"),"")</f>
        <v/>
      </c>
    </row>
    <row r="9302" spans="6:14">
      <c r="F9302" s="6">
        <f>IF($M9302="PADD I","PADD 1",IF($M9302="PADD II","PADD 2",IF($M9302="PADD III","PADD 3",IF($M9302="PADD IV","PADD 4",IF($M9302="PADD V","PADD 5","")))))</f>
        <v/>
      </c>
      <c r="G9302" s="6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  <c r="N9302" s="6">
        <f>IF(OR($G9302="FCC",$G9302="Hydrocracker",$G9302="Reformer"),IF(COUNTIFS($D:$D,$D9302,$A:$A,$A9302,$B:$B,$B9302,$G:$G,"CDU",$J:$J,"PLANNED")&gt;0,"tied","standalone"),"")</f>
        <v/>
      </c>
    </row>
    <row r="9303" spans="6:14">
      <c r="F9303" s="6">
        <f>IF($M9303="PADD I","PADD 1",IF($M9303="PADD II","PADD 2",IF($M9303="PADD III","PADD 3",IF($M9303="PADD IV","PADD 4",IF($M9303="PADD V","PADD 5","")))))</f>
        <v/>
      </c>
      <c r="G9303" s="6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  <c r="N9303" s="6">
        <f>IF(OR($G9303="FCC",$G9303="Hydrocracker",$G9303="Reformer"),IF(COUNTIFS($D:$D,$D9303,$A:$A,$A9303,$B:$B,$B9303,$G:$G,"CDU",$J:$J,"PLANNED")&gt;0,"tied","standalone"),"")</f>
        <v/>
      </c>
    </row>
    <row r="9304" spans="6:14">
      <c r="F9304" s="6">
        <f>IF($M9304="PADD I","PADD 1",IF($M9304="PADD II","PADD 2",IF($M9304="PADD III","PADD 3",IF($M9304="PADD IV","PADD 4",IF($M9304="PADD V","PADD 5","")))))</f>
        <v/>
      </c>
      <c r="G9304" s="6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  <c r="N9304" s="6">
        <f>IF(OR($G9304="FCC",$G9304="Hydrocracker",$G9304="Reformer"),IF(COUNTIFS($D:$D,$D9304,$A:$A,$A9304,$B:$B,$B9304,$G:$G,"CDU",$J:$J,"PLANNED")&gt;0,"tied","standalone"),"")</f>
        <v/>
      </c>
    </row>
    <row r="9305" spans="6:14">
      <c r="F9305" s="6">
        <f>IF($M9305="PADD I","PADD 1",IF($M9305="PADD II","PADD 2",IF($M9305="PADD III","PADD 3",IF($M9305="PADD IV","PADD 4",IF($M9305="PADD V","PADD 5","")))))</f>
        <v/>
      </c>
      <c r="G9305" s="6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  <c r="N9305" s="6">
        <f>IF(OR($G9305="FCC",$G9305="Hydrocracker",$G9305="Reformer"),IF(COUNTIFS($D:$D,$D9305,$A:$A,$A9305,$B:$B,$B9305,$G:$G,"CDU",$J:$J,"PLANNED")&gt;0,"tied","standalone"),"")</f>
        <v/>
      </c>
    </row>
    <row r="9306" spans="6:14">
      <c r="F9306" s="6">
        <f>IF($M9306="PADD I","PADD 1",IF($M9306="PADD II","PADD 2",IF($M9306="PADD III","PADD 3",IF($M9306="PADD IV","PADD 4",IF($M9306="PADD V","PADD 5","")))))</f>
        <v/>
      </c>
      <c r="G9306" s="6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  <c r="N9306" s="6">
        <f>IF(OR($G9306="FCC",$G9306="Hydrocracker",$G9306="Reformer"),IF(COUNTIFS($D:$D,$D9306,$A:$A,$A9306,$B:$B,$B9306,$G:$G,"CDU",$J:$J,"PLANNED")&gt;0,"tied","standalone"),"")</f>
        <v/>
      </c>
    </row>
    <row r="9307" spans="6:14">
      <c r="F9307" s="6">
        <f>IF($M9307="PADD I","PADD 1",IF($M9307="PADD II","PADD 2",IF($M9307="PADD III","PADD 3",IF($M9307="PADD IV","PADD 4",IF($M9307="PADD V","PADD 5","")))))</f>
        <v/>
      </c>
      <c r="G9307" s="6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  <c r="N9307" s="6">
        <f>IF(OR($G9307="FCC",$G9307="Hydrocracker",$G9307="Reformer"),IF(COUNTIFS($D:$D,$D9307,$A:$A,$A9307,$B:$B,$B9307,$G:$G,"CDU",$J:$J,"PLANNED")&gt;0,"tied","standalone"),"")</f>
        <v/>
      </c>
    </row>
    <row r="9308" spans="6:14">
      <c r="F9308" s="6">
        <f>IF($M9308="PADD I","PADD 1",IF($M9308="PADD II","PADD 2",IF($M9308="PADD III","PADD 3",IF($M9308="PADD IV","PADD 4",IF($M9308="PADD V","PADD 5","")))))</f>
        <v/>
      </c>
      <c r="G9308" s="6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  <c r="N9308" s="6">
        <f>IF(OR($G9308="FCC",$G9308="Hydrocracker",$G9308="Reformer"),IF(COUNTIFS($D:$D,$D9308,$A:$A,$A9308,$B:$B,$B9308,$G:$G,"CDU",$J:$J,"PLANNED")&gt;0,"tied","standalone"),"")</f>
        <v/>
      </c>
    </row>
    <row r="9309" spans="6:14">
      <c r="F9309" s="6">
        <f>IF($M9309="PADD I","PADD 1",IF($M9309="PADD II","PADD 2",IF($M9309="PADD III","PADD 3",IF($M9309="PADD IV","PADD 4",IF($M9309="PADD V","PADD 5","")))))</f>
        <v/>
      </c>
      <c r="G9309" s="6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  <c r="N9309" s="6">
        <f>IF(OR($G9309="FCC",$G9309="Hydrocracker",$G9309="Reformer"),IF(COUNTIFS($D:$D,$D9309,$A:$A,$A9309,$B:$B,$B9309,$G:$G,"CDU",$J:$J,"PLANNED")&gt;0,"tied","standalone"),"")</f>
        <v/>
      </c>
    </row>
    <row r="9310" spans="6:14">
      <c r="F9310" s="6">
        <f>IF($M9310="PADD I","PADD 1",IF($M9310="PADD II","PADD 2",IF($M9310="PADD III","PADD 3",IF($M9310="PADD IV","PADD 4",IF($M9310="PADD V","PADD 5","")))))</f>
        <v/>
      </c>
      <c r="G9310" s="6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  <c r="N9310" s="6">
        <f>IF(OR($G9310="FCC",$G9310="Hydrocracker",$G9310="Reformer"),IF(COUNTIFS($D:$D,$D9310,$A:$A,$A9310,$B:$B,$B9310,$G:$G,"CDU",$J:$J,"PLANNED")&gt;0,"tied","standalone"),"")</f>
        <v/>
      </c>
    </row>
    <row r="9311" spans="6:14">
      <c r="F9311" s="6">
        <f>IF($M9311="PADD I","PADD 1",IF($M9311="PADD II","PADD 2",IF($M9311="PADD III","PADD 3",IF($M9311="PADD IV","PADD 4",IF($M9311="PADD V","PADD 5","")))))</f>
        <v/>
      </c>
      <c r="G9311" s="6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  <c r="N9311" s="6">
        <f>IF(OR($G9311="FCC",$G9311="Hydrocracker",$G9311="Reformer"),IF(COUNTIFS($D:$D,$D9311,$A:$A,$A9311,$B:$B,$B9311,$G:$G,"CDU",$J:$J,"PLANNED")&gt;0,"tied","standalone"),"")</f>
        <v/>
      </c>
    </row>
    <row r="9312" spans="6:14">
      <c r="F9312" s="6">
        <f>IF($M9312="PADD I","PADD 1",IF($M9312="PADD II","PADD 2",IF($M9312="PADD III","PADD 3",IF($M9312="PADD IV","PADD 4",IF($M9312="PADD V","PADD 5","")))))</f>
        <v/>
      </c>
      <c r="G9312" s="6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  <c r="N9312" s="6">
        <f>IF(OR($G9312="FCC",$G9312="Hydrocracker",$G9312="Reformer"),IF(COUNTIFS($D:$D,$D9312,$A:$A,$A9312,$B:$B,$B9312,$G:$G,"CDU",$J:$J,"PLANNED")&gt;0,"tied","standalone"),"")</f>
        <v/>
      </c>
    </row>
    <row r="9313" spans="6:14">
      <c r="F9313" s="6">
        <f>IF($M9313="PADD I","PADD 1",IF($M9313="PADD II","PADD 2",IF($M9313="PADD III","PADD 3",IF($M9313="PADD IV","PADD 4",IF($M9313="PADD V","PADD 5","")))))</f>
        <v/>
      </c>
      <c r="G9313" s="6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  <c r="N9313" s="6">
        <f>IF(OR($G9313="FCC",$G9313="Hydrocracker",$G9313="Reformer"),IF(COUNTIFS($D:$D,$D9313,$A:$A,$A9313,$B:$B,$B9313,$G:$G,"CDU",$J:$J,"PLANNED")&gt;0,"tied","standalone"),"")</f>
        <v/>
      </c>
    </row>
    <row r="9314" spans="6:14">
      <c r="F9314" s="6">
        <f>IF($M9314="PADD I","PADD 1",IF($M9314="PADD II","PADD 2",IF($M9314="PADD III","PADD 3",IF($M9314="PADD IV","PADD 4",IF($M9314="PADD V","PADD 5","")))))</f>
        <v/>
      </c>
      <c r="G9314" s="6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  <c r="N9314" s="6">
        <f>IF(OR($G9314="FCC",$G9314="Hydrocracker",$G9314="Reformer"),IF(COUNTIFS($D:$D,$D9314,$A:$A,$A9314,$B:$B,$B9314,$G:$G,"CDU",$J:$J,"PLANNED")&gt;0,"tied","standalone"),"")</f>
        <v/>
      </c>
    </row>
    <row r="9315" spans="6:14">
      <c r="F9315" s="6">
        <f>IF($M9315="PADD I","PADD 1",IF($M9315="PADD II","PADD 2",IF($M9315="PADD III","PADD 3",IF($M9315="PADD IV","PADD 4",IF($M9315="PADD V","PADD 5","")))))</f>
        <v/>
      </c>
      <c r="G9315" s="6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  <c r="N9315" s="6">
        <f>IF(OR($G9315="FCC",$G9315="Hydrocracker",$G9315="Reformer"),IF(COUNTIFS($D:$D,$D9315,$A:$A,$A9315,$B:$B,$B9315,$G:$G,"CDU",$J:$J,"PLANNED")&gt;0,"tied","standalone"),"")</f>
        <v/>
      </c>
    </row>
    <row r="9316" spans="6:14">
      <c r="F9316" s="6">
        <f>IF($M9316="PADD I","PADD 1",IF($M9316="PADD II","PADD 2",IF($M9316="PADD III","PADD 3",IF($M9316="PADD IV","PADD 4",IF($M9316="PADD V","PADD 5","")))))</f>
        <v/>
      </c>
      <c r="G9316" s="6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  <c r="N9316" s="6">
        <f>IF(OR($G9316="FCC",$G9316="Hydrocracker",$G9316="Reformer"),IF(COUNTIFS($D:$D,$D9316,$A:$A,$A9316,$B:$B,$B9316,$G:$G,"CDU",$J:$J,"PLANNED")&gt;0,"tied","standalone"),"")</f>
        <v/>
      </c>
    </row>
    <row r="9317" spans="6:14">
      <c r="F9317" s="6">
        <f>IF($M9317="PADD I","PADD 1",IF($M9317="PADD II","PADD 2",IF($M9317="PADD III","PADD 3",IF($M9317="PADD IV","PADD 4",IF($M9317="PADD V","PADD 5","")))))</f>
        <v/>
      </c>
      <c r="G9317" s="6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  <c r="N9317" s="6">
        <f>IF(OR($G9317="FCC",$G9317="Hydrocracker",$G9317="Reformer"),IF(COUNTIFS($D:$D,$D9317,$A:$A,$A9317,$B:$B,$B9317,$G:$G,"CDU",$J:$J,"PLANNED")&gt;0,"tied","standalone"),"")</f>
        <v/>
      </c>
    </row>
    <row r="9318" spans="6:14">
      <c r="F9318" s="6">
        <f>IF($M9318="PADD I","PADD 1",IF($M9318="PADD II","PADD 2",IF($M9318="PADD III","PADD 3",IF($M9318="PADD IV","PADD 4",IF($M9318="PADD V","PADD 5","")))))</f>
        <v/>
      </c>
      <c r="G9318" s="6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  <c r="N9318" s="6">
        <f>IF(OR($G9318="FCC",$G9318="Hydrocracker",$G9318="Reformer"),IF(COUNTIFS($D:$D,$D9318,$A:$A,$A9318,$B:$B,$B9318,$G:$G,"CDU",$J:$J,"PLANNED")&gt;0,"tied","standalone"),"")</f>
        <v/>
      </c>
    </row>
    <row r="9319" spans="6:14">
      <c r="F9319" s="6">
        <f>IF($M9319="PADD I","PADD 1",IF($M9319="PADD II","PADD 2",IF($M9319="PADD III","PADD 3",IF($M9319="PADD IV","PADD 4",IF($M9319="PADD V","PADD 5","")))))</f>
        <v/>
      </c>
      <c r="G9319" s="6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  <c r="N9319" s="6">
        <f>IF(OR($G9319="FCC",$G9319="Hydrocracker",$G9319="Reformer"),IF(COUNTIFS($D:$D,$D9319,$A:$A,$A9319,$B:$B,$B9319,$G:$G,"CDU",$J:$J,"PLANNED")&gt;0,"tied","standalone"),"")</f>
        <v/>
      </c>
    </row>
    <row r="9320" spans="6:14">
      <c r="F9320" s="6">
        <f>IF($M9320="PADD I","PADD 1",IF($M9320="PADD II","PADD 2",IF($M9320="PADD III","PADD 3",IF($M9320="PADD IV","PADD 4",IF($M9320="PADD V","PADD 5","")))))</f>
        <v/>
      </c>
      <c r="G9320" s="6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  <c r="N9320" s="6">
        <f>IF(OR($G9320="FCC",$G9320="Hydrocracker",$G9320="Reformer"),IF(COUNTIFS($D:$D,$D9320,$A:$A,$A9320,$B:$B,$B9320,$G:$G,"CDU",$J:$J,"PLANNED")&gt;0,"tied","standalone"),"")</f>
        <v/>
      </c>
    </row>
    <row r="9321" spans="6:14">
      <c r="F9321" s="6">
        <f>IF($M9321="PADD I","PADD 1",IF($M9321="PADD II","PADD 2",IF($M9321="PADD III","PADD 3",IF($M9321="PADD IV","PADD 4",IF($M9321="PADD V","PADD 5","")))))</f>
        <v/>
      </c>
      <c r="G9321" s="6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  <c r="N9321" s="6">
        <f>IF(OR($G9321="FCC",$G9321="Hydrocracker",$G9321="Reformer"),IF(COUNTIFS($D:$D,$D9321,$A:$A,$A9321,$B:$B,$B9321,$G:$G,"CDU",$J:$J,"PLANNED")&gt;0,"tied","standalone"),"")</f>
        <v/>
      </c>
    </row>
    <row r="9322" spans="6:14">
      <c r="F9322" s="6">
        <f>IF($M9322="PADD I","PADD 1",IF($M9322="PADD II","PADD 2",IF($M9322="PADD III","PADD 3",IF($M9322="PADD IV","PADD 4",IF($M9322="PADD V","PADD 5","")))))</f>
        <v/>
      </c>
      <c r="G9322" s="6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  <c r="N9322" s="6">
        <f>IF(OR($G9322="FCC",$G9322="Hydrocracker",$G9322="Reformer"),IF(COUNTIFS($D:$D,$D9322,$A:$A,$A9322,$B:$B,$B9322,$G:$G,"CDU",$J:$J,"PLANNED")&gt;0,"tied","standalone"),"")</f>
        <v/>
      </c>
    </row>
    <row r="9323" spans="6:14">
      <c r="F9323" s="6">
        <f>IF($M9323="PADD I","PADD 1",IF($M9323="PADD II","PADD 2",IF($M9323="PADD III","PADD 3",IF($M9323="PADD IV","PADD 4",IF($M9323="PADD V","PADD 5","")))))</f>
        <v/>
      </c>
      <c r="G9323" s="6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  <c r="N9323" s="6">
        <f>IF(OR($G9323="FCC",$G9323="Hydrocracker",$G9323="Reformer"),IF(COUNTIFS($D:$D,$D9323,$A:$A,$A9323,$B:$B,$B9323,$G:$G,"CDU",$J:$J,"PLANNED")&gt;0,"tied","standalone"),"")</f>
        <v/>
      </c>
    </row>
    <row r="9324" spans="6:14">
      <c r="F9324" s="6">
        <f>IF($M9324="PADD I","PADD 1",IF($M9324="PADD II","PADD 2",IF($M9324="PADD III","PADD 3",IF($M9324="PADD IV","PADD 4",IF($M9324="PADD V","PADD 5","")))))</f>
        <v/>
      </c>
      <c r="G9324" s="6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  <c r="N9324" s="6">
        <f>IF(OR($G9324="FCC",$G9324="Hydrocracker",$G9324="Reformer"),IF(COUNTIFS($D:$D,$D9324,$A:$A,$A9324,$B:$B,$B9324,$G:$G,"CDU",$J:$J,"PLANNED")&gt;0,"tied","standalone"),"")</f>
        <v/>
      </c>
    </row>
    <row r="9325" spans="6:14">
      <c r="F9325" s="6">
        <f>IF($M9325="PADD I","PADD 1",IF($M9325="PADD II","PADD 2",IF($M9325="PADD III","PADD 3",IF($M9325="PADD IV","PADD 4",IF($M9325="PADD V","PADD 5","")))))</f>
        <v/>
      </c>
      <c r="G9325" s="6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  <c r="N9325" s="6">
        <f>IF(OR($G9325="FCC",$G9325="Hydrocracker",$G9325="Reformer"),IF(COUNTIFS($D:$D,$D9325,$A:$A,$A9325,$B:$B,$B9325,$G:$G,"CDU",$J:$J,"PLANNED")&gt;0,"tied","standalone"),"")</f>
        <v/>
      </c>
    </row>
    <row r="9326" spans="6:14">
      <c r="F9326" s="6">
        <f>IF($M9326="PADD I","PADD 1",IF($M9326="PADD II","PADD 2",IF($M9326="PADD III","PADD 3",IF($M9326="PADD IV","PADD 4",IF($M9326="PADD V","PADD 5","")))))</f>
        <v/>
      </c>
      <c r="G9326" s="6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  <c r="N9326" s="6">
        <f>IF(OR($G9326="FCC",$G9326="Hydrocracker",$G9326="Reformer"),IF(COUNTIFS($D:$D,$D9326,$A:$A,$A9326,$B:$B,$B9326,$G:$G,"CDU",$J:$J,"PLANNED")&gt;0,"tied","standalone"),"")</f>
        <v/>
      </c>
    </row>
    <row r="9327" spans="6:14">
      <c r="F9327" s="6">
        <f>IF($M9327="PADD I","PADD 1",IF($M9327="PADD II","PADD 2",IF($M9327="PADD III","PADD 3",IF($M9327="PADD IV","PADD 4",IF($M9327="PADD V","PADD 5","")))))</f>
        <v/>
      </c>
      <c r="G9327" s="6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  <c r="N9327" s="6">
        <f>IF(OR($G9327="FCC",$G9327="Hydrocracker",$G9327="Reformer"),IF(COUNTIFS($D:$D,$D9327,$A:$A,$A9327,$B:$B,$B9327,$G:$G,"CDU",$J:$J,"PLANNED")&gt;0,"tied","standalone"),"")</f>
        <v/>
      </c>
    </row>
    <row r="9328" spans="6:14">
      <c r="F9328" s="6">
        <f>IF($M9328="PADD I","PADD 1",IF($M9328="PADD II","PADD 2",IF($M9328="PADD III","PADD 3",IF($M9328="PADD IV","PADD 4",IF($M9328="PADD V","PADD 5","")))))</f>
        <v/>
      </c>
      <c r="G9328" s="6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  <c r="N9328" s="6">
        <f>IF(OR($G9328="FCC",$G9328="Hydrocracker",$G9328="Reformer"),IF(COUNTIFS($D:$D,$D9328,$A:$A,$A9328,$B:$B,$B9328,$G:$G,"CDU",$J:$J,"PLANNED")&gt;0,"tied","standalone"),"")</f>
        <v/>
      </c>
    </row>
    <row r="9329" spans="6:14">
      <c r="F9329" s="6">
        <f>IF($M9329="PADD I","PADD 1",IF($M9329="PADD II","PADD 2",IF($M9329="PADD III","PADD 3",IF($M9329="PADD IV","PADD 4",IF($M9329="PADD V","PADD 5","")))))</f>
        <v/>
      </c>
      <c r="G9329" s="6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  <c r="N9329" s="6">
        <f>IF(OR($G9329="FCC",$G9329="Hydrocracker",$G9329="Reformer"),IF(COUNTIFS($D:$D,$D9329,$A:$A,$A9329,$B:$B,$B9329,$G:$G,"CDU",$J:$J,"PLANNED")&gt;0,"tied","standalone"),"")</f>
        <v/>
      </c>
    </row>
    <row r="9330" spans="6:14">
      <c r="F9330" s="6">
        <f>IF($M9330="PADD I","PADD 1",IF($M9330="PADD II","PADD 2",IF($M9330="PADD III","PADD 3",IF($M9330="PADD IV","PADD 4",IF($M9330="PADD V","PADD 5","")))))</f>
        <v/>
      </c>
      <c r="G9330" s="6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  <c r="N9330" s="6">
        <f>IF(OR($G9330="FCC",$G9330="Hydrocracker",$G9330="Reformer"),IF(COUNTIFS($D:$D,$D9330,$A:$A,$A9330,$B:$B,$B9330,$G:$G,"CDU",$J:$J,"PLANNED")&gt;0,"tied","standalone"),"")</f>
        <v/>
      </c>
    </row>
    <row r="9331" spans="6:14">
      <c r="F9331" s="6">
        <f>IF($M9331="PADD I","PADD 1",IF($M9331="PADD II","PADD 2",IF($M9331="PADD III","PADD 3",IF($M9331="PADD IV","PADD 4",IF($M9331="PADD V","PADD 5","")))))</f>
        <v/>
      </c>
      <c r="G9331" s="6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  <c r="N9331" s="6">
        <f>IF(OR($G9331="FCC",$G9331="Hydrocracker",$G9331="Reformer"),IF(COUNTIFS($D:$D,$D9331,$A:$A,$A9331,$B:$B,$B9331,$G:$G,"CDU",$J:$J,"PLANNED")&gt;0,"tied","standalone"),"")</f>
        <v/>
      </c>
    </row>
    <row r="9332" spans="6:14">
      <c r="F9332" s="6">
        <f>IF($M9332="PADD I","PADD 1",IF($M9332="PADD II","PADD 2",IF($M9332="PADD III","PADD 3",IF($M9332="PADD IV","PADD 4",IF($M9332="PADD V","PADD 5","")))))</f>
        <v/>
      </c>
      <c r="G9332" s="6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  <c r="N9332" s="6">
        <f>IF(OR($G9332="FCC",$G9332="Hydrocracker",$G9332="Reformer"),IF(COUNTIFS($D:$D,$D9332,$A:$A,$A9332,$B:$B,$B9332,$G:$G,"CDU",$J:$J,"PLANNED")&gt;0,"tied","standalone"),"")</f>
        <v/>
      </c>
    </row>
    <row r="9333" spans="6:14">
      <c r="F9333" s="6">
        <f>IF($M9333="PADD I","PADD 1",IF($M9333="PADD II","PADD 2",IF($M9333="PADD III","PADD 3",IF($M9333="PADD IV","PADD 4",IF($M9333="PADD V","PADD 5","")))))</f>
        <v/>
      </c>
      <c r="G9333" s="6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  <c r="N9333" s="6">
        <f>IF(OR($G9333="FCC",$G9333="Hydrocracker",$G9333="Reformer"),IF(COUNTIFS($D:$D,$D9333,$A:$A,$A9333,$B:$B,$B9333,$G:$G,"CDU",$J:$J,"PLANNED")&gt;0,"tied","standalone"),"")</f>
        <v/>
      </c>
    </row>
    <row r="9334" spans="6:14">
      <c r="F9334" s="6">
        <f>IF($M9334="PADD I","PADD 1",IF($M9334="PADD II","PADD 2",IF($M9334="PADD III","PADD 3",IF($M9334="PADD IV","PADD 4",IF($M9334="PADD V","PADD 5","")))))</f>
        <v/>
      </c>
      <c r="G9334" s="6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  <c r="N9334" s="6">
        <f>IF(OR($G9334="FCC",$G9334="Hydrocracker",$G9334="Reformer"),IF(COUNTIFS($D:$D,$D9334,$A:$A,$A9334,$B:$B,$B9334,$G:$G,"CDU",$J:$J,"PLANNED")&gt;0,"tied","standalone"),"")</f>
        <v/>
      </c>
    </row>
    <row r="9335" spans="6:14">
      <c r="F9335" s="6">
        <f>IF($M9335="PADD I","PADD 1",IF($M9335="PADD II","PADD 2",IF($M9335="PADD III","PADD 3",IF($M9335="PADD IV","PADD 4",IF($M9335="PADD V","PADD 5","")))))</f>
        <v/>
      </c>
      <c r="G9335" s="6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  <c r="N9335" s="6">
        <f>IF(OR($G9335="FCC",$G9335="Hydrocracker",$G9335="Reformer"),IF(COUNTIFS($D:$D,$D9335,$A:$A,$A9335,$B:$B,$B9335,$G:$G,"CDU",$J:$J,"PLANNED")&gt;0,"tied","standalone"),"")</f>
        <v/>
      </c>
    </row>
    <row r="9336" spans="6:14">
      <c r="F9336" s="6">
        <f>IF($M9336="PADD I","PADD 1",IF($M9336="PADD II","PADD 2",IF($M9336="PADD III","PADD 3",IF($M9336="PADD IV","PADD 4",IF($M9336="PADD V","PADD 5","")))))</f>
        <v/>
      </c>
      <c r="G9336" s="6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  <c r="N9336" s="6">
        <f>IF(OR($G9336="FCC",$G9336="Hydrocracker",$G9336="Reformer"),IF(COUNTIFS($D:$D,$D9336,$A:$A,$A9336,$B:$B,$B9336,$G:$G,"CDU",$J:$J,"PLANNED")&gt;0,"tied","standalone"),"")</f>
        <v/>
      </c>
    </row>
    <row r="9337" spans="6:14">
      <c r="F9337" s="6">
        <f>IF($M9337="PADD I","PADD 1",IF($M9337="PADD II","PADD 2",IF($M9337="PADD III","PADD 3",IF($M9337="PADD IV","PADD 4",IF($M9337="PADD V","PADD 5","")))))</f>
        <v/>
      </c>
      <c r="G9337" s="6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  <c r="N9337" s="6">
        <f>IF(OR($G9337="FCC",$G9337="Hydrocracker",$G9337="Reformer"),IF(COUNTIFS($D:$D,$D9337,$A:$A,$A9337,$B:$B,$B9337,$G:$G,"CDU",$J:$J,"PLANNED")&gt;0,"tied","standalone"),"")</f>
        <v/>
      </c>
    </row>
    <row r="9338" spans="6:14">
      <c r="F9338" s="6">
        <f>IF($M9338="PADD I","PADD 1",IF($M9338="PADD II","PADD 2",IF($M9338="PADD III","PADD 3",IF($M9338="PADD IV","PADD 4",IF($M9338="PADD V","PADD 5","")))))</f>
        <v/>
      </c>
      <c r="G9338" s="6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  <c r="N9338" s="6">
        <f>IF(OR($G9338="FCC",$G9338="Hydrocracker",$G9338="Reformer"),IF(COUNTIFS($D:$D,$D9338,$A:$A,$A9338,$B:$B,$B9338,$G:$G,"CDU",$J:$J,"PLANNED")&gt;0,"tied","standalone"),"")</f>
        <v/>
      </c>
    </row>
    <row r="9339" spans="6:14">
      <c r="F9339" s="6">
        <f>IF($M9339="PADD I","PADD 1",IF($M9339="PADD II","PADD 2",IF($M9339="PADD III","PADD 3",IF($M9339="PADD IV","PADD 4",IF($M9339="PADD V","PADD 5","")))))</f>
        <v/>
      </c>
      <c r="G9339" s="6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  <c r="N9339" s="6">
        <f>IF(OR($G9339="FCC",$G9339="Hydrocracker",$G9339="Reformer"),IF(COUNTIFS($D:$D,$D9339,$A:$A,$A9339,$B:$B,$B9339,$G:$G,"CDU",$J:$J,"PLANNED")&gt;0,"tied","standalone"),"")</f>
        <v/>
      </c>
    </row>
    <row r="9340" spans="6:14">
      <c r="F9340" s="6">
        <f>IF($M9340="PADD I","PADD 1",IF($M9340="PADD II","PADD 2",IF($M9340="PADD III","PADD 3",IF($M9340="PADD IV","PADD 4",IF($M9340="PADD V","PADD 5","")))))</f>
        <v/>
      </c>
      <c r="G9340" s="6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  <c r="N9340" s="6">
        <f>IF(OR($G9340="FCC",$G9340="Hydrocracker",$G9340="Reformer"),IF(COUNTIFS($D:$D,$D9340,$A:$A,$A9340,$B:$B,$B9340,$G:$G,"CDU",$J:$J,"PLANNED")&gt;0,"tied","standalone"),"")</f>
        <v/>
      </c>
    </row>
    <row r="9341" spans="6:14">
      <c r="F9341" s="6">
        <f>IF($M9341="PADD I","PADD 1",IF($M9341="PADD II","PADD 2",IF($M9341="PADD III","PADD 3",IF($M9341="PADD IV","PADD 4",IF($M9341="PADD V","PADD 5","")))))</f>
        <v/>
      </c>
      <c r="G9341" s="6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  <c r="N9341" s="6">
        <f>IF(OR($G9341="FCC",$G9341="Hydrocracker",$G9341="Reformer"),IF(COUNTIFS($D:$D,$D9341,$A:$A,$A9341,$B:$B,$B9341,$G:$G,"CDU",$J:$J,"PLANNED")&gt;0,"tied","standalone"),"")</f>
        <v/>
      </c>
    </row>
    <row r="9342" spans="6:14">
      <c r="F9342" s="6">
        <f>IF($M9342="PADD I","PADD 1",IF($M9342="PADD II","PADD 2",IF($M9342="PADD III","PADD 3",IF($M9342="PADD IV","PADD 4",IF($M9342="PADD V","PADD 5","")))))</f>
        <v/>
      </c>
      <c r="G9342" s="6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  <c r="N9342" s="6">
        <f>IF(OR($G9342="FCC",$G9342="Hydrocracker",$G9342="Reformer"),IF(COUNTIFS($D:$D,$D9342,$A:$A,$A9342,$B:$B,$B9342,$G:$G,"CDU",$J:$J,"PLANNED")&gt;0,"tied","standalone"),"")</f>
        <v/>
      </c>
    </row>
    <row r="9343" spans="6:14">
      <c r="F9343" s="6">
        <f>IF($M9343="PADD I","PADD 1",IF($M9343="PADD II","PADD 2",IF($M9343="PADD III","PADD 3",IF($M9343="PADD IV","PADD 4",IF($M9343="PADD V","PADD 5","")))))</f>
        <v/>
      </c>
      <c r="G9343" s="6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  <c r="N9343" s="6">
        <f>IF(OR($G9343="FCC",$G9343="Hydrocracker",$G9343="Reformer"),IF(COUNTIFS($D:$D,$D9343,$A:$A,$A9343,$B:$B,$B9343,$G:$G,"CDU",$J:$J,"PLANNED")&gt;0,"tied","standalone"),"")</f>
        <v/>
      </c>
    </row>
    <row r="9344" spans="6:14">
      <c r="F9344" s="6">
        <f>IF($M9344="PADD I","PADD 1",IF($M9344="PADD II","PADD 2",IF($M9344="PADD III","PADD 3",IF($M9344="PADD IV","PADD 4",IF($M9344="PADD V","PADD 5","")))))</f>
        <v/>
      </c>
      <c r="G9344" s="6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  <c r="N9344" s="6">
        <f>IF(OR($G9344="FCC",$G9344="Hydrocracker",$G9344="Reformer"),IF(COUNTIFS($D:$D,$D9344,$A:$A,$A9344,$B:$B,$B9344,$G:$G,"CDU",$J:$J,"PLANNED")&gt;0,"tied","standalone"),"")</f>
        <v/>
      </c>
    </row>
    <row r="9345" spans="6:14">
      <c r="F9345" s="6">
        <f>IF($M9345="PADD I","PADD 1",IF($M9345="PADD II","PADD 2",IF($M9345="PADD III","PADD 3",IF($M9345="PADD IV","PADD 4",IF($M9345="PADD V","PADD 5","")))))</f>
        <v/>
      </c>
      <c r="G9345" s="6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  <c r="N9345" s="6">
        <f>IF(OR($G9345="FCC",$G9345="Hydrocracker",$G9345="Reformer"),IF(COUNTIFS($D:$D,$D9345,$A:$A,$A9345,$B:$B,$B9345,$G:$G,"CDU",$J:$J,"PLANNED")&gt;0,"tied","standalone"),"")</f>
        <v/>
      </c>
    </row>
    <row r="9346" spans="6:14">
      <c r="F9346" s="6">
        <f>IF($M9346="PADD I","PADD 1",IF($M9346="PADD II","PADD 2",IF($M9346="PADD III","PADD 3",IF($M9346="PADD IV","PADD 4",IF($M9346="PADD V","PADD 5","")))))</f>
        <v/>
      </c>
      <c r="G9346" s="6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  <c r="N9346" s="6">
        <f>IF(OR($G9346="FCC",$G9346="Hydrocracker",$G9346="Reformer"),IF(COUNTIFS($D:$D,$D9346,$A:$A,$A9346,$B:$B,$B9346,$G:$G,"CDU",$J:$J,"PLANNED")&gt;0,"tied","standalone"),"")</f>
        <v/>
      </c>
    </row>
    <row r="9347" spans="6:14">
      <c r="F9347" s="6">
        <f>IF($M9347="PADD I","PADD 1",IF($M9347="PADD II","PADD 2",IF($M9347="PADD III","PADD 3",IF($M9347="PADD IV","PADD 4",IF($M9347="PADD V","PADD 5","")))))</f>
        <v/>
      </c>
      <c r="G9347" s="6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  <c r="N9347" s="6">
        <f>IF(OR($G9347="FCC",$G9347="Hydrocracker",$G9347="Reformer"),IF(COUNTIFS($D:$D,$D9347,$A:$A,$A9347,$B:$B,$B9347,$G:$G,"CDU",$J:$J,"PLANNED")&gt;0,"tied","standalone"),"")</f>
        <v/>
      </c>
    </row>
    <row r="9348" spans="6:14">
      <c r="F9348" s="6">
        <f>IF($M9348="PADD I","PADD 1",IF($M9348="PADD II","PADD 2",IF($M9348="PADD III","PADD 3",IF($M9348="PADD IV","PADD 4",IF($M9348="PADD V","PADD 5","")))))</f>
        <v/>
      </c>
      <c r="G9348" s="6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  <c r="N9348" s="6">
        <f>IF(OR($G9348="FCC",$G9348="Hydrocracker",$G9348="Reformer"),IF(COUNTIFS($D:$D,$D9348,$A:$A,$A9348,$B:$B,$B9348,$G:$G,"CDU",$J:$J,"PLANNED")&gt;0,"tied","standalone"),"")</f>
        <v/>
      </c>
    </row>
    <row r="9349" spans="6:14">
      <c r="F9349" s="6">
        <f>IF($M9349="PADD I","PADD 1",IF($M9349="PADD II","PADD 2",IF($M9349="PADD III","PADD 3",IF($M9349="PADD IV","PADD 4",IF($M9349="PADD V","PADD 5","")))))</f>
        <v/>
      </c>
      <c r="G9349" s="6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  <c r="N9349" s="6">
        <f>IF(OR($G9349="FCC",$G9349="Hydrocracker",$G9349="Reformer"),IF(COUNTIFS($D:$D,$D9349,$A:$A,$A9349,$B:$B,$B9349,$G:$G,"CDU",$J:$J,"PLANNED")&gt;0,"tied","standalone"),"")</f>
        <v/>
      </c>
    </row>
    <row r="9350" spans="6:14">
      <c r="F9350" s="6">
        <f>IF($M9350="PADD I","PADD 1",IF($M9350="PADD II","PADD 2",IF($M9350="PADD III","PADD 3",IF($M9350="PADD IV","PADD 4",IF($M9350="PADD V","PADD 5","")))))</f>
        <v/>
      </c>
      <c r="G9350" s="6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  <c r="N9350" s="6">
        <f>IF(OR($G9350="FCC",$G9350="Hydrocracker",$G9350="Reformer"),IF(COUNTIFS($D:$D,$D9350,$A:$A,$A9350,$B:$B,$B9350,$G:$G,"CDU",$J:$J,"PLANNED")&gt;0,"tied","standalone"),"")</f>
        <v/>
      </c>
    </row>
    <row r="9351" spans="6:14">
      <c r="F9351" s="6">
        <f>IF($M9351="PADD I","PADD 1",IF($M9351="PADD II","PADD 2",IF($M9351="PADD III","PADD 3",IF($M9351="PADD IV","PADD 4",IF($M9351="PADD V","PADD 5","")))))</f>
        <v/>
      </c>
      <c r="G9351" s="6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  <c r="N9351" s="6">
        <f>IF(OR($G9351="FCC",$G9351="Hydrocracker",$G9351="Reformer"),IF(COUNTIFS($D:$D,$D9351,$A:$A,$A9351,$B:$B,$B9351,$G:$G,"CDU",$J:$J,"PLANNED")&gt;0,"tied","standalone"),"")</f>
        <v/>
      </c>
    </row>
    <row r="9352" spans="6:14">
      <c r="F9352" s="6">
        <f>IF($M9352="PADD I","PADD 1",IF($M9352="PADD II","PADD 2",IF($M9352="PADD III","PADD 3",IF($M9352="PADD IV","PADD 4",IF($M9352="PADD V","PADD 5","")))))</f>
        <v/>
      </c>
      <c r="G9352" s="6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  <c r="N9352" s="6">
        <f>IF(OR($G9352="FCC",$G9352="Hydrocracker",$G9352="Reformer"),IF(COUNTIFS($D:$D,$D9352,$A:$A,$A9352,$B:$B,$B9352,$G:$G,"CDU",$J:$J,"PLANNED")&gt;0,"tied","standalone"),"")</f>
        <v/>
      </c>
    </row>
    <row r="9353" spans="6:14">
      <c r="F9353" s="6">
        <f>IF($M9353="PADD I","PADD 1",IF($M9353="PADD II","PADD 2",IF($M9353="PADD III","PADD 3",IF($M9353="PADD IV","PADD 4",IF($M9353="PADD V","PADD 5","")))))</f>
        <v/>
      </c>
      <c r="G9353" s="6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  <c r="N9353" s="6">
        <f>IF(OR($G9353="FCC",$G9353="Hydrocracker",$G9353="Reformer"),IF(COUNTIFS($D:$D,$D9353,$A:$A,$A9353,$B:$B,$B9353,$G:$G,"CDU",$J:$J,"PLANNED")&gt;0,"tied","standalone"),"")</f>
        <v/>
      </c>
    </row>
    <row r="9354" spans="6:14">
      <c r="F9354" s="6">
        <f>IF($M9354="PADD I","PADD 1",IF($M9354="PADD II","PADD 2",IF($M9354="PADD III","PADD 3",IF($M9354="PADD IV","PADD 4",IF($M9354="PADD V","PADD 5","")))))</f>
        <v/>
      </c>
      <c r="G9354" s="6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  <c r="N9354" s="6">
        <f>IF(OR($G9354="FCC",$G9354="Hydrocracker",$G9354="Reformer"),IF(COUNTIFS($D:$D,$D9354,$A:$A,$A9354,$B:$B,$B9354,$G:$G,"CDU",$J:$J,"PLANNED")&gt;0,"tied","standalone"),"")</f>
        <v/>
      </c>
    </row>
    <row r="9355" spans="6:14">
      <c r="F9355" s="6">
        <f>IF($M9355="PADD I","PADD 1",IF($M9355="PADD II","PADD 2",IF($M9355="PADD III","PADD 3",IF($M9355="PADD IV","PADD 4",IF($M9355="PADD V","PADD 5","")))))</f>
        <v/>
      </c>
      <c r="G9355" s="6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  <c r="N9355" s="6">
        <f>IF(OR($G9355="FCC",$G9355="Hydrocracker",$G9355="Reformer"),IF(COUNTIFS($D:$D,$D9355,$A:$A,$A9355,$B:$B,$B9355,$G:$G,"CDU",$J:$J,"PLANNED")&gt;0,"tied","standalone"),"")</f>
        <v/>
      </c>
    </row>
    <row r="9356" spans="6:14">
      <c r="F9356" s="6">
        <f>IF($M9356="PADD I","PADD 1",IF($M9356="PADD II","PADD 2",IF($M9356="PADD III","PADD 3",IF($M9356="PADD IV","PADD 4",IF($M9356="PADD V","PADD 5","")))))</f>
        <v/>
      </c>
      <c r="G9356" s="6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  <c r="N9356" s="6">
        <f>IF(OR($G9356="FCC",$G9356="Hydrocracker",$G9356="Reformer"),IF(COUNTIFS($D:$D,$D9356,$A:$A,$A9356,$B:$B,$B9356,$G:$G,"CDU",$J:$J,"PLANNED")&gt;0,"tied","standalone"),"")</f>
        <v/>
      </c>
    </row>
    <row r="9357" spans="6:14">
      <c r="F9357" s="6">
        <f>IF($M9357="PADD I","PADD 1",IF($M9357="PADD II","PADD 2",IF($M9357="PADD III","PADD 3",IF($M9357="PADD IV","PADD 4",IF($M9357="PADD V","PADD 5","")))))</f>
        <v/>
      </c>
      <c r="G9357" s="6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  <c r="N9357" s="6">
        <f>IF(OR($G9357="FCC",$G9357="Hydrocracker",$G9357="Reformer"),IF(COUNTIFS($D:$D,$D9357,$A:$A,$A9357,$B:$B,$B9357,$G:$G,"CDU",$J:$J,"PLANNED")&gt;0,"tied","standalone"),"")</f>
        <v/>
      </c>
    </row>
    <row r="9358" spans="6:14">
      <c r="F9358" s="6">
        <f>IF($M9358="PADD I","PADD 1",IF($M9358="PADD II","PADD 2",IF($M9358="PADD III","PADD 3",IF($M9358="PADD IV","PADD 4",IF($M9358="PADD V","PADD 5","")))))</f>
        <v/>
      </c>
      <c r="G9358" s="6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  <c r="N9358" s="6">
        <f>IF(OR($G9358="FCC",$G9358="Hydrocracker",$G9358="Reformer"),IF(COUNTIFS($D:$D,$D9358,$A:$A,$A9358,$B:$B,$B9358,$G:$G,"CDU",$J:$J,"PLANNED")&gt;0,"tied","standalone"),"")</f>
        <v/>
      </c>
    </row>
    <row r="9359" spans="6:14">
      <c r="F9359" s="6">
        <f>IF($M9359="PADD I","PADD 1",IF($M9359="PADD II","PADD 2",IF($M9359="PADD III","PADD 3",IF($M9359="PADD IV","PADD 4",IF($M9359="PADD V","PADD 5","")))))</f>
        <v/>
      </c>
      <c r="G9359" s="6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  <c r="N9359" s="6">
        <f>IF(OR($G9359="FCC",$G9359="Hydrocracker",$G9359="Reformer"),IF(COUNTIFS($D:$D,$D9359,$A:$A,$A9359,$B:$B,$B9359,$G:$G,"CDU",$J:$J,"PLANNED")&gt;0,"tied","standalone"),"")</f>
        <v/>
      </c>
    </row>
    <row r="9360" spans="6:14">
      <c r="F9360" s="6">
        <f>IF($M9360="PADD I","PADD 1",IF($M9360="PADD II","PADD 2",IF($M9360="PADD III","PADD 3",IF($M9360="PADD IV","PADD 4",IF($M9360="PADD V","PADD 5","")))))</f>
        <v/>
      </c>
      <c r="G9360" s="6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  <c r="N9360" s="6">
        <f>IF(OR($G9360="FCC",$G9360="Hydrocracker",$G9360="Reformer"),IF(COUNTIFS($D:$D,$D9360,$A:$A,$A9360,$B:$B,$B9360,$G:$G,"CDU",$J:$J,"PLANNED")&gt;0,"tied","standalone"),"")</f>
        <v/>
      </c>
    </row>
    <row r="9361" spans="6:14">
      <c r="F9361" s="6">
        <f>IF($M9361="PADD I","PADD 1",IF($M9361="PADD II","PADD 2",IF($M9361="PADD III","PADD 3",IF($M9361="PADD IV","PADD 4",IF($M9361="PADD V","PADD 5","")))))</f>
        <v/>
      </c>
      <c r="G9361" s="6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  <c r="N9361" s="6">
        <f>IF(OR($G9361="FCC",$G9361="Hydrocracker",$G9361="Reformer"),IF(COUNTIFS($D:$D,$D9361,$A:$A,$A9361,$B:$B,$B9361,$G:$G,"CDU",$J:$J,"PLANNED")&gt;0,"tied","standalone"),"")</f>
        <v/>
      </c>
    </row>
    <row r="9362" spans="6:14">
      <c r="F9362" s="6">
        <f>IF($M9362="PADD I","PADD 1",IF($M9362="PADD II","PADD 2",IF($M9362="PADD III","PADD 3",IF($M9362="PADD IV","PADD 4",IF($M9362="PADD V","PADD 5","")))))</f>
        <v/>
      </c>
      <c r="G9362" s="6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  <c r="N9362" s="6">
        <f>IF(OR($G9362="FCC",$G9362="Hydrocracker",$G9362="Reformer"),IF(COUNTIFS($D:$D,$D9362,$A:$A,$A9362,$B:$B,$B9362,$G:$G,"CDU",$J:$J,"PLANNED")&gt;0,"tied","standalone"),"")</f>
        <v/>
      </c>
    </row>
    <row r="9363" spans="6:14">
      <c r="F9363" s="6">
        <f>IF($M9363="PADD I","PADD 1",IF($M9363="PADD II","PADD 2",IF($M9363="PADD III","PADD 3",IF($M9363="PADD IV","PADD 4",IF($M9363="PADD V","PADD 5","")))))</f>
        <v/>
      </c>
      <c r="G9363" s="6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  <c r="N9363" s="6">
        <f>IF(OR($G9363="FCC",$G9363="Hydrocracker",$G9363="Reformer"),IF(COUNTIFS($D:$D,$D9363,$A:$A,$A9363,$B:$B,$B9363,$G:$G,"CDU",$J:$J,"PLANNED")&gt;0,"tied","standalone"),"")</f>
        <v/>
      </c>
    </row>
    <row r="9364" spans="6:14">
      <c r="F9364" s="6">
        <f>IF($M9364="PADD I","PADD 1",IF($M9364="PADD II","PADD 2",IF($M9364="PADD III","PADD 3",IF($M9364="PADD IV","PADD 4",IF($M9364="PADD V","PADD 5","")))))</f>
        <v/>
      </c>
      <c r="G9364" s="6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  <c r="N9364" s="6">
        <f>IF(OR($G9364="FCC",$G9364="Hydrocracker",$G9364="Reformer"),IF(COUNTIFS($D:$D,$D9364,$A:$A,$A9364,$B:$B,$B9364,$G:$G,"CDU",$J:$J,"PLANNED")&gt;0,"tied","standalone"),"")</f>
        <v/>
      </c>
    </row>
    <row r="9365" spans="6:14">
      <c r="F9365" s="6">
        <f>IF($M9365="PADD I","PADD 1",IF($M9365="PADD II","PADD 2",IF($M9365="PADD III","PADD 3",IF($M9365="PADD IV","PADD 4",IF($M9365="PADD V","PADD 5","")))))</f>
        <v/>
      </c>
      <c r="G9365" s="6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  <c r="N9365" s="6">
        <f>IF(OR($G9365="FCC",$G9365="Hydrocracker",$G9365="Reformer"),IF(COUNTIFS($D:$D,$D9365,$A:$A,$A9365,$B:$B,$B9365,$G:$G,"CDU",$J:$J,"PLANNED")&gt;0,"tied","standalone"),"")</f>
        <v/>
      </c>
    </row>
    <row r="9366" spans="6:14">
      <c r="F9366" s="6">
        <f>IF($M9366="PADD I","PADD 1",IF($M9366="PADD II","PADD 2",IF($M9366="PADD III","PADD 3",IF($M9366="PADD IV","PADD 4",IF($M9366="PADD V","PADD 5","")))))</f>
        <v/>
      </c>
      <c r="G9366" s="6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  <c r="N9366" s="6">
        <f>IF(OR($G9366="FCC",$G9366="Hydrocracker",$G9366="Reformer"),IF(COUNTIFS($D:$D,$D9366,$A:$A,$A9366,$B:$B,$B9366,$G:$G,"CDU",$J:$J,"PLANNED")&gt;0,"tied","standalone"),"")</f>
        <v/>
      </c>
    </row>
    <row r="9367" spans="6:14">
      <c r="F9367" s="6">
        <f>IF($M9367="PADD I","PADD 1",IF($M9367="PADD II","PADD 2",IF($M9367="PADD III","PADD 3",IF($M9367="PADD IV","PADD 4",IF($M9367="PADD V","PADD 5","")))))</f>
        <v/>
      </c>
      <c r="G9367" s="6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  <c r="N9367" s="6">
        <f>IF(OR($G9367="FCC",$G9367="Hydrocracker",$G9367="Reformer"),IF(COUNTIFS($D:$D,$D9367,$A:$A,$A9367,$B:$B,$B9367,$G:$G,"CDU",$J:$J,"PLANNED")&gt;0,"tied","standalone"),"")</f>
        <v/>
      </c>
    </row>
    <row r="9368" spans="6:14">
      <c r="F9368" s="6">
        <f>IF($M9368="PADD I","PADD 1",IF($M9368="PADD II","PADD 2",IF($M9368="PADD III","PADD 3",IF($M9368="PADD IV","PADD 4",IF($M9368="PADD V","PADD 5","")))))</f>
        <v/>
      </c>
      <c r="G9368" s="6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  <c r="N9368" s="6">
        <f>IF(OR($G9368="FCC",$G9368="Hydrocracker",$G9368="Reformer"),IF(COUNTIFS($D:$D,$D9368,$A:$A,$A9368,$B:$B,$B9368,$G:$G,"CDU",$J:$J,"PLANNED")&gt;0,"tied","standalone"),"")</f>
        <v/>
      </c>
    </row>
    <row r="9369" spans="6:14">
      <c r="F9369" s="6">
        <f>IF($M9369="PADD I","PADD 1",IF($M9369="PADD II","PADD 2",IF($M9369="PADD III","PADD 3",IF($M9369="PADD IV","PADD 4",IF($M9369="PADD V","PADD 5","")))))</f>
        <v/>
      </c>
      <c r="G9369" s="6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  <c r="N9369" s="6">
        <f>IF(OR($G9369="FCC",$G9369="Hydrocracker",$G9369="Reformer"),IF(COUNTIFS($D:$D,$D9369,$A:$A,$A9369,$B:$B,$B9369,$G:$G,"CDU",$J:$J,"PLANNED")&gt;0,"tied","standalone"),"")</f>
        <v/>
      </c>
    </row>
    <row r="9370" spans="6:14">
      <c r="F9370" s="6">
        <f>IF($M9370="PADD I","PADD 1",IF($M9370="PADD II","PADD 2",IF($M9370="PADD III","PADD 3",IF($M9370="PADD IV","PADD 4",IF($M9370="PADD V","PADD 5","")))))</f>
        <v/>
      </c>
      <c r="G9370" s="6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  <c r="N9370" s="6">
        <f>IF(OR($G9370="FCC",$G9370="Hydrocracker",$G9370="Reformer"),IF(COUNTIFS($D:$D,$D9370,$A:$A,$A9370,$B:$B,$B9370,$G:$G,"CDU",$J:$J,"PLANNED")&gt;0,"tied","standalone"),"")</f>
        <v/>
      </c>
    </row>
    <row r="9371" spans="6:14">
      <c r="F9371" s="6">
        <f>IF($M9371="PADD I","PADD 1",IF($M9371="PADD II","PADD 2",IF($M9371="PADD III","PADD 3",IF($M9371="PADD IV","PADD 4",IF($M9371="PADD V","PADD 5","")))))</f>
        <v/>
      </c>
      <c r="G9371" s="6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  <c r="N9371" s="6">
        <f>IF(OR($G9371="FCC",$G9371="Hydrocracker",$G9371="Reformer"),IF(COUNTIFS($D:$D,$D9371,$A:$A,$A9371,$B:$B,$B9371,$G:$G,"CDU",$J:$J,"PLANNED")&gt;0,"tied","standalone"),"")</f>
        <v/>
      </c>
    </row>
    <row r="9372" spans="6:14">
      <c r="F9372" s="6">
        <f>IF($M9372="PADD I","PADD 1",IF($M9372="PADD II","PADD 2",IF($M9372="PADD III","PADD 3",IF($M9372="PADD IV","PADD 4",IF($M9372="PADD V","PADD 5","")))))</f>
        <v/>
      </c>
      <c r="G9372" s="6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  <c r="N9372" s="6">
        <f>IF(OR($G9372="FCC",$G9372="Hydrocracker",$G9372="Reformer"),IF(COUNTIFS($D:$D,$D9372,$A:$A,$A9372,$B:$B,$B9372,$G:$G,"CDU",$J:$J,"PLANNED")&gt;0,"tied","standalone"),"")</f>
        <v/>
      </c>
    </row>
    <row r="9373" spans="6:14">
      <c r="F9373" s="6">
        <f>IF($M9373="PADD I","PADD 1",IF($M9373="PADD II","PADD 2",IF($M9373="PADD III","PADD 3",IF($M9373="PADD IV","PADD 4",IF($M9373="PADD V","PADD 5","")))))</f>
        <v/>
      </c>
      <c r="G9373" s="6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  <c r="N9373" s="6">
        <f>IF(OR($G9373="FCC",$G9373="Hydrocracker",$G9373="Reformer"),IF(COUNTIFS($D:$D,$D9373,$A:$A,$A9373,$B:$B,$B9373,$G:$G,"CDU",$J:$J,"PLANNED")&gt;0,"tied","standalone"),"")</f>
        <v/>
      </c>
    </row>
    <row r="9374" spans="6:14">
      <c r="F9374" s="6">
        <f>IF($M9374="PADD I","PADD 1",IF($M9374="PADD II","PADD 2",IF($M9374="PADD III","PADD 3",IF($M9374="PADD IV","PADD 4",IF($M9374="PADD V","PADD 5","")))))</f>
        <v/>
      </c>
      <c r="G9374" s="6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  <c r="N9374" s="6">
        <f>IF(OR($G9374="FCC",$G9374="Hydrocracker",$G9374="Reformer"),IF(COUNTIFS($D:$D,$D9374,$A:$A,$A9374,$B:$B,$B9374,$G:$G,"CDU",$J:$J,"PLANNED")&gt;0,"tied","standalone"),"")</f>
        <v/>
      </c>
    </row>
    <row r="9375" spans="6:14">
      <c r="F9375" s="6">
        <f>IF($M9375="PADD I","PADD 1",IF($M9375="PADD II","PADD 2",IF($M9375="PADD III","PADD 3",IF($M9375="PADD IV","PADD 4",IF($M9375="PADD V","PADD 5","")))))</f>
        <v/>
      </c>
      <c r="G9375" s="6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  <c r="N9375" s="6">
        <f>IF(OR($G9375="FCC",$G9375="Hydrocracker",$G9375="Reformer"),IF(COUNTIFS($D:$D,$D9375,$A:$A,$A9375,$B:$B,$B9375,$G:$G,"CDU",$J:$J,"PLANNED")&gt;0,"tied","standalone"),"")</f>
        <v/>
      </c>
    </row>
    <row r="9376" spans="6:14">
      <c r="F9376" s="6">
        <f>IF($M9376="PADD I","PADD 1",IF($M9376="PADD II","PADD 2",IF($M9376="PADD III","PADD 3",IF($M9376="PADD IV","PADD 4",IF($M9376="PADD V","PADD 5","")))))</f>
        <v/>
      </c>
      <c r="G9376" s="6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  <c r="N9376" s="6">
        <f>IF(OR($G9376="FCC",$G9376="Hydrocracker",$G9376="Reformer"),IF(COUNTIFS($D:$D,$D9376,$A:$A,$A9376,$B:$B,$B9376,$G:$G,"CDU",$J:$J,"PLANNED")&gt;0,"tied","standalone"),"")</f>
        <v/>
      </c>
    </row>
    <row r="9377" spans="6:14">
      <c r="F9377" s="6">
        <f>IF($M9377="PADD I","PADD 1",IF($M9377="PADD II","PADD 2",IF($M9377="PADD III","PADD 3",IF($M9377="PADD IV","PADD 4",IF($M9377="PADD V","PADD 5","")))))</f>
        <v/>
      </c>
      <c r="G9377" s="6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  <c r="N9377" s="6">
        <f>IF(OR($G9377="FCC",$G9377="Hydrocracker",$G9377="Reformer"),IF(COUNTIFS($D:$D,$D9377,$A:$A,$A9377,$B:$B,$B9377,$G:$G,"CDU",$J:$J,"PLANNED")&gt;0,"tied","standalone"),"")</f>
        <v/>
      </c>
    </row>
    <row r="9378" spans="6:14">
      <c r="F9378" s="6">
        <f>IF($M9378="PADD I","PADD 1",IF($M9378="PADD II","PADD 2",IF($M9378="PADD III","PADD 3",IF($M9378="PADD IV","PADD 4",IF($M9378="PADD V","PADD 5","")))))</f>
        <v/>
      </c>
      <c r="G9378" s="6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  <c r="N9378" s="6">
        <f>IF(OR($G9378="FCC",$G9378="Hydrocracker",$G9378="Reformer"),IF(COUNTIFS($D:$D,$D9378,$A:$A,$A9378,$B:$B,$B9378,$G:$G,"CDU",$J:$J,"PLANNED")&gt;0,"tied","standalone"),"")</f>
        <v/>
      </c>
    </row>
    <row r="9379" spans="6:14">
      <c r="F9379" s="6">
        <f>IF($M9379="PADD I","PADD 1",IF($M9379="PADD II","PADD 2",IF($M9379="PADD III","PADD 3",IF($M9379="PADD IV","PADD 4",IF($M9379="PADD V","PADD 5","")))))</f>
        <v/>
      </c>
      <c r="G9379" s="6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  <c r="N9379" s="6">
        <f>IF(OR($G9379="FCC",$G9379="Hydrocracker",$G9379="Reformer"),IF(COUNTIFS($D:$D,$D9379,$A:$A,$A9379,$B:$B,$B9379,$G:$G,"CDU",$J:$J,"PLANNED")&gt;0,"tied","standalone"),"")</f>
        <v/>
      </c>
    </row>
    <row r="9380" spans="6:14">
      <c r="F9380" s="6">
        <f>IF($M9380="PADD I","PADD 1",IF($M9380="PADD II","PADD 2",IF($M9380="PADD III","PADD 3",IF($M9380="PADD IV","PADD 4",IF($M9380="PADD V","PADD 5","")))))</f>
        <v/>
      </c>
      <c r="G9380" s="6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  <c r="N9380" s="6">
        <f>IF(OR($G9380="FCC",$G9380="Hydrocracker",$G9380="Reformer"),IF(COUNTIFS($D:$D,$D9380,$A:$A,$A9380,$B:$B,$B9380,$G:$G,"CDU",$J:$J,"PLANNED")&gt;0,"tied","standalone"),"")</f>
        <v/>
      </c>
    </row>
    <row r="9381" spans="6:14">
      <c r="F9381" s="6">
        <f>IF($M9381="PADD I","PADD 1",IF($M9381="PADD II","PADD 2",IF($M9381="PADD III","PADD 3",IF($M9381="PADD IV","PADD 4",IF($M9381="PADD V","PADD 5","")))))</f>
        <v/>
      </c>
      <c r="G9381" s="6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  <c r="N9381" s="6">
        <f>IF(OR($G9381="FCC",$G9381="Hydrocracker",$G9381="Reformer"),IF(COUNTIFS($D:$D,$D9381,$A:$A,$A9381,$B:$B,$B9381,$G:$G,"CDU",$J:$J,"PLANNED")&gt;0,"tied","standalone"),"")</f>
        <v/>
      </c>
    </row>
    <row r="9382" spans="6:14">
      <c r="F9382" s="6">
        <f>IF($M9382="PADD I","PADD 1",IF($M9382="PADD II","PADD 2",IF($M9382="PADD III","PADD 3",IF($M9382="PADD IV","PADD 4",IF($M9382="PADD V","PADD 5","")))))</f>
        <v/>
      </c>
      <c r="G9382" s="6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  <c r="N9382" s="6">
        <f>IF(OR($G9382="FCC",$G9382="Hydrocracker",$G9382="Reformer"),IF(COUNTIFS($D:$D,$D9382,$A:$A,$A9382,$B:$B,$B9382,$G:$G,"CDU",$J:$J,"PLANNED")&gt;0,"tied","standalone"),"")</f>
        <v/>
      </c>
    </row>
    <row r="9383" spans="6:14">
      <c r="F9383" s="6">
        <f>IF($M9383="PADD I","PADD 1",IF($M9383="PADD II","PADD 2",IF($M9383="PADD III","PADD 3",IF($M9383="PADD IV","PADD 4",IF($M9383="PADD V","PADD 5","")))))</f>
        <v/>
      </c>
      <c r="G9383" s="6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  <c r="N9383" s="6">
        <f>IF(OR($G9383="FCC",$G9383="Hydrocracker",$G9383="Reformer"),IF(COUNTIFS($D:$D,$D9383,$A:$A,$A9383,$B:$B,$B9383,$G:$G,"CDU",$J:$J,"PLANNED")&gt;0,"tied","standalone"),"")</f>
        <v/>
      </c>
    </row>
    <row r="9384" spans="6:14">
      <c r="F9384" s="6">
        <f>IF($M9384="PADD I","PADD 1",IF($M9384="PADD II","PADD 2",IF($M9384="PADD III","PADD 3",IF($M9384="PADD IV","PADD 4",IF($M9384="PADD V","PADD 5","")))))</f>
        <v/>
      </c>
      <c r="G9384" s="6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  <c r="N9384" s="6">
        <f>IF(OR($G9384="FCC",$G9384="Hydrocracker",$G9384="Reformer"),IF(COUNTIFS($D:$D,$D9384,$A:$A,$A9384,$B:$B,$B9384,$G:$G,"CDU",$J:$J,"PLANNED")&gt;0,"tied","standalone"),"")</f>
        <v/>
      </c>
    </row>
    <row r="9385" spans="6:14">
      <c r="F9385" s="6">
        <f>IF($M9385="PADD I","PADD 1",IF($M9385="PADD II","PADD 2",IF($M9385="PADD III","PADD 3",IF($M9385="PADD IV","PADD 4",IF($M9385="PADD V","PADD 5","")))))</f>
        <v/>
      </c>
      <c r="G9385" s="6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  <c r="N9385" s="6">
        <f>IF(OR($G9385="FCC",$G9385="Hydrocracker",$G9385="Reformer"),IF(COUNTIFS($D:$D,$D9385,$A:$A,$A9385,$B:$B,$B9385,$G:$G,"CDU",$J:$J,"PLANNED")&gt;0,"tied","standalone"),"")</f>
        <v/>
      </c>
    </row>
    <row r="9386" spans="6:14">
      <c r="F9386" s="6">
        <f>IF($M9386="PADD I","PADD 1",IF($M9386="PADD II","PADD 2",IF($M9386="PADD III","PADD 3",IF($M9386="PADD IV","PADD 4",IF($M9386="PADD V","PADD 5","")))))</f>
        <v/>
      </c>
      <c r="G9386" s="6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  <c r="N9386" s="6">
        <f>IF(OR($G9386="FCC",$G9386="Hydrocracker",$G9386="Reformer"),IF(COUNTIFS($D:$D,$D9386,$A:$A,$A9386,$B:$B,$B9386,$G:$G,"CDU",$J:$J,"PLANNED")&gt;0,"tied","standalone"),"")</f>
        <v/>
      </c>
    </row>
    <row r="9387" spans="6:14">
      <c r="F9387" s="6">
        <f>IF($M9387="PADD I","PADD 1",IF($M9387="PADD II","PADD 2",IF($M9387="PADD III","PADD 3",IF($M9387="PADD IV","PADD 4",IF($M9387="PADD V","PADD 5","")))))</f>
        <v/>
      </c>
      <c r="G9387" s="6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  <c r="N9387" s="6">
        <f>IF(OR($G9387="FCC",$G9387="Hydrocracker",$G9387="Reformer"),IF(COUNTIFS($D:$D,$D9387,$A:$A,$A9387,$B:$B,$B9387,$G:$G,"CDU",$J:$J,"PLANNED")&gt;0,"tied","standalone"),"")</f>
        <v/>
      </c>
    </row>
    <row r="9388" spans="6:14">
      <c r="F9388" s="6">
        <f>IF($M9388="PADD I","PADD 1",IF($M9388="PADD II","PADD 2",IF($M9388="PADD III","PADD 3",IF($M9388="PADD IV","PADD 4",IF($M9388="PADD V","PADD 5","")))))</f>
        <v/>
      </c>
      <c r="G9388" s="6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  <c r="N9388" s="6">
        <f>IF(OR($G9388="FCC",$G9388="Hydrocracker",$G9388="Reformer"),IF(COUNTIFS($D:$D,$D9388,$A:$A,$A9388,$B:$B,$B9388,$G:$G,"CDU",$J:$J,"PLANNED")&gt;0,"tied","standalone"),"")</f>
        <v/>
      </c>
    </row>
    <row r="9389" spans="6:14">
      <c r="F9389" s="6">
        <f>IF($M9389="PADD I","PADD 1",IF($M9389="PADD II","PADD 2",IF($M9389="PADD III","PADD 3",IF($M9389="PADD IV","PADD 4",IF($M9389="PADD V","PADD 5","")))))</f>
        <v/>
      </c>
      <c r="G9389" s="6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  <c r="N9389" s="6">
        <f>IF(OR($G9389="FCC",$G9389="Hydrocracker",$G9389="Reformer"),IF(COUNTIFS($D:$D,$D9389,$A:$A,$A9389,$B:$B,$B9389,$G:$G,"CDU",$J:$J,"PLANNED")&gt;0,"tied","standalone"),"")</f>
        <v/>
      </c>
    </row>
    <row r="9390" spans="6:14">
      <c r="F9390" s="6">
        <f>IF($M9390="PADD I","PADD 1",IF($M9390="PADD II","PADD 2",IF($M9390="PADD III","PADD 3",IF($M9390="PADD IV","PADD 4",IF($M9390="PADD V","PADD 5","")))))</f>
        <v/>
      </c>
      <c r="G9390" s="6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  <c r="N9390" s="6">
        <f>IF(OR($G9390="FCC",$G9390="Hydrocracker",$G9390="Reformer"),IF(COUNTIFS($D:$D,$D9390,$A:$A,$A9390,$B:$B,$B9390,$G:$G,"CDU",$J:$J,"PLANNED")&gt;0,"tied","standalone"),"")</f>
        <v/>
      </c>
    </row>
    <row r="9391" spans="6:14">
      <c r="F9391" s="6">
        <f>IF($M9391="PADD I","PADD 1",IF($M9391="PADD II","PADD 2",IF($M9391="PADD III","PADD 3",IF($M9391="PADD IV","PADD 4",IF($M9391="PADD V","PADD 5","")))))</f>
        <v/>
      </c>
      <c r="G9391" s="6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  <c r="N9391" s="6">
        <f>IF(OR($G9391="FCC",$G9391="Hydrocracker",$G9391="Reformer"),IF(COUNTIFS($D:$D,$D9391,$A:$A,$A9391,$B:$B,$B9391,$G:$G,"CDU",$J:$J,"PLANNED")&gt;0,"tied","standalone"),"")</f>
        <v/>
      </c>
    </row>
    <row r="9392" spans="6:14">
      <c r="F9392" s="6">
        <f>IF($M9392="PADD I","PADD 1",IF($M9392="PADD II","PADD 2",IF($M9392="PADD III","PADD 3",IF($M9392="PADD IV","PADD 4",IF($M9392="PADD V","PADD 5","")))))</f>
        <v/>
      </c>
      <c r="G9392" s="6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  <c r="N9392" s="6">
        <f>IF(OR($G9392="FCC",$G9392="Hydrocracker",$G9392="Reformer"),IF(COUNTIFS($D:$D,$D9392,$A:$A,$A9392,$B:$B,$B9392,$G:$G,"CDU",$J:$J,"PLANNED")&gt;0,"tied","standalone"),"")</f>
        <v/>
      </c>
    </row>
    <row r="9393" spans="6:14">
      <c r="F9393" s="6">
        <f>IF($M9393="PADD I","PADD 1",IF($M9393="PADD II","PADD 2",IF($M9393="PADD III","PADD 3",IF($M9393="PADD IV","PADD 4",IF($M9393="PADD V","PADD 5","")))))</f>
        <v/>
      </c>
      <c r="G9393" s="6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  <c r="N9393" s="6">
        <f>IF(OR($G9393="FCC",$G9393="Hydrocracker",$G9393="Reformer"),IF(COUNTIFS($D:$D,$D9393,$A:$A,$A9393,$B:$B,$B9393,$G:$G,"CDU",$J:$J,"PLANNED")&gt;0,"tied","standalone"),"")</f>
        <v/>
      </c>
    </row>
    <row r="9394" spans="6:14">
      <c r="F9394" s="6">
        <f>IF($M9394="PADD I","PADD 1",IF($M9394="PADD II","PADD 2",IF($M9394="PADD III","PADD 3",IF($M9394="PADD IV","PADD 4",IF($M9394="PADD V","PADD 5","")))))</f>
        <v/>
      </c>
      <c r="G9394" s="6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  <c r="N9394" s="6">
        <f>IF(OR($G9394="FCC",$G9394="Hydrocracker",$G9394="Reformer"),IF(COUNTIFS($D:$D,$D9394,$A:$A,$A9394,$B:$B,$B9394,$G:$G,"CDU",$J:$J,"PLANNED")&gt;0,"tied","standalone"),"")</f>
        <v/>
      </c>
    </row>
    <row r="9395" spans="6:14">
      <c r="F9395" s="6">
        <f>IF($M9395="PADD I","PADD 1",IF($M9395="PADD II","PADD 2",IF($M9395="PADD III","PADD 3",IF($M9395="PADD IV","PADD 4",IF($M9395="PADD V","PADD 5","")))))</f>
        <v/>
      </c>
      <c r="G9395" s="6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  <c r="N9395" s="6">
        <f>IF(OR($G9395="FCC",$G9395="Hydrocracker",$G9395="Reformer"),IF(COUNTIFS($D:$D,$D9395,$A:$A,$A9395,$B:$B,$B9395,$G:$G,"CDU",$J:$J,"PLANNED")&gt;0,"tied","standalone"),"")</f>
        <v/>
      </c>
    </row>
    <row r="9396" spans="6:14">
      <c r="F9396" s="6">
        <f>IF($M9396="PADD I","PADD 1",IF($M9396="PADD II","PADD 2",IF($M9396="PADD III","PADD 3",IF($M9396="PADD IV","PADD 4",IF($M9396="PADD V","PADD 5","")))))</f>
        <v/>
      </c>
      <c r="G9396" s="6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  <c r="N9396" s="6">
        <f>IF(OR($G9396="FCC",$G9396="Hydrocracker",$G9396="Reformer"),IF(COUNTIFS($D:$D,$D9396,$A:$A,$A9396,$B:$B,$B9396,$G:$G,"CDU",$J:$J,"PLANNED")&gt;0,"tied","standalone"),"")</f>
        <v/>
      </c>
    </row>
    <row r="9397" spans="6:14">
      <c r="F9397" s="6">
        <f>IF($M9397="PADD I","PADD 1",IF($M9397="PADD II","PADD 2",IF($M9397="PADD III","PADD 3",IF($M9397="PADD IV","PADD 4",IF($M9397="PADD V","PADD 5","")))))</f>
        <v/>
      </c>
      <c r="G9397" s="6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  <c r="N9397" s="6">
        <f>IF(OR($G9397="FCC",$G9397="Hydrocracker",$G9397="Reformer"),IF(COUNTIFS($D:$D,$D9397,$A:$A,$A9397,$B:$B,$B9397,$G:$G,"CDU",$J:$J,"PLANNED")&gt;0,"tied","standalone"),"")</f>
        <v/>
      </c>
    </row>
    <row r="9398" spans="6:14">
      <c r="F9398" s="6">
        <f>IF($M9398="PADD I","PADD 1",IF($M9398="PADD II","PADD 2",IF($M9398="PADD III","PADD 3",IF($M9398="PADD IV","PADD 4",IF($M9398="PADD V","PADD 5","")))))</f>
        <v/>
      </c>
      <c r="G9398" s="6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  <c r="N9398" s="6">
        <f>IF(OR($G9398="FCC",$G9398="Hydrocracker",$G9398="Reformer"),IF(COUNTIFS($D:$D,$D9398,$A:$A,$A9398,$B:$B,$B9398,$G:$G,"CDU",$J:$J,"PLANNED")&gt;0,"tied","standalone"),"")</f>
        <v/>
      </c>
    </row>
    <row r="9399" spans="6:14">
      <c r="F9399" s="6">
        <f>IF($M9399="PADD I","PADD 1",IF($M9399="PADD II","PADD 2",IF($M9399="PADD III","PADD 3",IF($M9399="PADD IV","PADD 4",IF($M9399="PADD V","PADD 5","")))))</f>
        <v/>
      </c>
      <c r="G9399" s="6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  <c r="N9399" s="6">
        <f>IF(OR($G9399="FCC",$G9399="Hydrocracker",$G9399="Reformer"),IF(COUNTIFS($D:$D,$D9399,$A:$A,$A9399,$B:$B,$B9399,$G:$G,"CDU",$J:$J,"PLANNED")&gt;0,"tied","standalone"),"")</f>
        <v/>
      </c>
    </row>
    <row r="9400" spans="6:14">
      <c r="F9400" s="6">
        <f>IF($M9400="PADD I","PADD 1",IF($M9400="PADD II","PADD 2",IF($M9400="PADD III","PADD 3",IF($M9400="PADD IV","PADD 4",IF($M9400="PADD V","PADD 5","")))))</f>
        <v/>
      </c>
      <c r="G9400" s="6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  <c r="N9400" s="6">
        <f>IF(OR($G9400="FCC",$G9400="Hydrocracker",$G9400="Reformer"),IF(COUNTIFS($D:$D,$D9400,$A:$A,$A9400,$B:$B,$B9400,$G:$G,"CDU",$J:$J,"PLANNED")&gt;0,"tied","standalone"),"")</f>
        <v/>
      </c>
    </row>
    <row r="9401" spans="6:14">
      <c r="F9401" s="6">
        <f>IF($M9401="PADD I","PADD 1",IF($M9401="PADD II","PADD 2",IF($M9401="PADD III","PADD 3",IF($M9401="PADD IV","PADD 4",IF($M9401="PADD V","PADD 5","")))))</f>
        <v/>
      </c>
      <c r="G9401" s="6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  <c r="N9401" s="6">
        <f>IF(OR($G9401="FCC",$G9401="Hydrocracker",$G9401="Reformer"),IF(COUNTIFS($D:$D,$D9401,$A:$A,$A9401,$B:$B,$B9401,$G:$G,"CDU",$J:$J,"PLANNED")&gt;0,"tied","standalone"),"")</f>
        <v/>
      </c>
    </row>
    <row r="9402" spans="6:14">
      <c r="F9402" s="6">
        <f>IF($M9402="PADD I","PADD 1",IF($M9402="PADD II","PADD 2",IF($M9402="PADD III","PADD 3",IF($M9402="PADD IV","PADD 4",IF($M9402="PADD V","PADD 5","")))))</f>
        <v/>
      </c>
      <c r="G9402" s="6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  <c r="N9402" s="6">
        <f>IF(OR($G9402="FCC",$G9402="Hydrocracker",$G9402="Reformer"),IF(COUNTIFS($D:$D,$D9402,$A:$A,$A9402,$B:$B,$B9402,$G:$G,"CDU",$J:$J,"PLANNED")&gt;0,"tied","standalone"),"")</f>
        <v/>
      </c>
    </row>
    <row r="9403" spans="6:14">
      <c r="F9403" s="6">
        <f>IF($M9403="PADD I","PADD 1",IF($M9403="PADD II","PADD 2",IF($M9403="PADD III","PADD 3",IF($M9403="PADD IV","PADD 4",IF($M9403="PADD V","PADD 5","")))))</f>
        <v/>
      </c>
      <c r="G9403" s="6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  <c r="N9403" s="6">
        <f>IF(OR($G9403="FCC",$G9403="Hydrocracker",$G9403="Reformer"),IF(COUNTIFS($D:$D,$D9403,$A:$A,$A9403,$B:$B,$B9403,$G:$G,"CDU",$J:$J,"PLANNED")&gt;0,"tied","standalone"),"")</f>
        <v/>
      </c>
    </row>
    <row r="9404" spans="6:14">
      <c r="F9404" s="6">
        <f>IF($M9404="PADD I","PADD 1",IF($M9404="PADD II","PADD 2",IF($M9404="PADD III","PADD 3",IF($M9404="PADD IV","PADD 4",IF($M9404="PADD V","PADD 5","")))))</f>
        <v/>
      </c>
      <c r="G9404" s="6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  <c r="N9404" s="6">
        <f>IF(OR($G9404="FCC",$G9404="Hydrocracker",$G9404="Reformer"),IF(COUNTIFS($D:$D,$D9404,$A:$A,$A9404,$B:$B,$B9404,$G:$G,"CDU",$J:$J,"PLANNED")&gt;0,"tied","standalone"),"")</f>
        <v/>
      </c>
    </row>
    <row r="9405" spans="6:14">
      <c r="F9405" s="6">
        <f>IF($M9405="PADD I","PADD 1",IF($M9405="PADD II","PADD 2",IF($M9405="PADD III","PADD 3",IF($M9405="PADD IV","PADD 4",IF($M9405="PADD V","PADD 5","")))))</f>
        <v/>
      </c>
      <c r="G9405" s="6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  <c r="N9405" s="6">
        <f>IF(OR($G9405="FCC",$G9405="Hydrocracker",$G9405="Reformer"),IF(COUNTIFS($D:$D,$D9405,$A:$A,$A9405,$B:$B,$B9405,$G:$G,"CDU",$J:$J,"PLANNED")&gt;0,"tied","standalone"),"")</f>
        <v/>
      </c>
    </row>
    <row r="9406" spans="6:14">
      <c r="F9406" s="6">
        <f>IF($M9406="PADD I","PADD 1",IF($M9406="PADD II","PADD 2",IF($M9406="PADD III","PADD 3",IF($M9406="PADD IV","PADD 4",IF($M9406="PADD V","PADD 5","")))))</f>
        <v/>
      </c>
      <c r="G9406" s="6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  <c r="N9406" s="6">
        <f>IF(OR($G9406="FCC",$G9406="Hydrocracker",$G9406="Reformer"),IF(COUNTIFS($D:$D,$D9406,$A:$A,$A9406,$B:$B,$B9406,$G:$G,"CDU",$J:$J,"PLANNED")&gt;0,"tied","standalone"),"")</f>
        <v/>
      </c>
    </row>
    <row r="9407" spans="6:14">
      <c r="F9407" s="6">
        <f>IF($M9407="PADD I","PADD 1",IF($M9407="PADD II","PADD 2",IF($M9407="PADD III","PADD 3",IF($M9407="PADD IV","PADD 4",IF($M9407="PADD V","PADD 5","")))))</f>
        <v/>
      </c>
      <c r="G9407" s="6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  <c r="N9407" s="6">
        <f>IF(OR($G9407="FCC",$G9407="Hydrocracker",$G9407="Reformer"),IF(COUNTIFS($D:$D,$D9407,$A:$A,$A9407,$B:$B,$B9407,$G:$G,"CDU",$J:$J,"PLANNED")&gt;0,"tied","standalone"),"")</f>
        <v/>
      </c>
    </row>
    <row r="9408" spans="6:14">
      <c r="F9408" s="6">
        <f>IF($M9408="PADD I","PADD 1",IF($M9408="PADD II","PADD 2",IF($M9408="PADD III","PADD 3",IF($M9408="PADD IV","PADD 4",IF($M9408="PADD V","PADD 5","")))))</f>
        <v/>
      </c>
      <c r="G9408" s="6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  <c r="N9408" s="6">
        <f>IF(OR($G9408="FCC",$G9408="Hydrocracker",$G9408="Reformer"),IF(COUNTIFS($D:$D,$D9408,$A:$A,$A9408,$B:$B,$B9408,$G:$G,"CDU",$J:$J,"PLANNED")&gt;0,"tied","standalone"),"")</f>
        <v/>
      </c>
    </row>
    <row r="9409" spans="6:14">
      <c r="F9409" s="6">
        <f>IF($M9409="PADD I","PADD 1",IF($M9409="PADD II","PADD 2",IF($M9409="PADD III","PADD 3",IF($M9409="PADD IV","PADD 4",IF($M9409="PADD V","PADD 5","")))))</f>
        <v/>
      </c>
      <c r="G9409" s="6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  <c r="N9409" s="6">
        <f>IF(OR($G9409="FCC",$G9409="Hydrocracker",$G9409="Reformer"),IF(COUNTIFS($D:$D,$D9409,$A:$A,$A9409,$B:$B,$B9409,$G:$G,"CDU",$J:$J,"PLANNED")&gt;0,"tied","standalone"),"")</f>
        <v/>
      </c>
    </row>
    <row r="9410" spans="6:14">
      <c r="F9410" s="6">
        <f>IF($M9410="PADD I","PADD 1",IF($M9410="PADD II","PADD 2",IF($M9410="PADD III","PADD 3",IF($M9410="PADD IV","PADD 4",IF($M9410="PADD V","PADD 5","")))))</f>
        <v/>
      </c>
      <c r="G9410" s="6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  <c r="N9410" s="6">
        <f>IF(OR($G9410="FCC",$G9410="Hydrocracker",$G9410="Reformer"),IF(COUNTIFS($D:$D,$D9410,$A:$A,$A9410,$B:$B,$B9410,$G:$G,"CDU",$J:$J,"PLANNED")&gt;0,"tied","standalone"),"")</f>
        <v/>
      </c>
    </row>
    <row r="9411" spans="6:14">
      <c r="F9411" s="6">
        <f>IF($M9411="PADD I","PADD 1",IF($M9411="PADD II","PADD 2",IF($M9411="PADD III","PADD 3",IF($M9411="PADD IV","PADD 4",IF($M9411="PADD V","PADD 5","")))))</f>
        <v/>
      </c>
      <c r="G9411" s="6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  <c r="N9411" s="6">
        <f>IF(OR($G9411="FCC",$G9411="Hydrocracker",$G9411="Reformer"),IF(COUNTIFS($D:$D,$D9411,$A:$A,$A9411,$B:$B,$B9411,$G:$G,"CDU",$J:$J,"PLANNED")&gt;0,"tied","standalone"),"")</f>
        <v/>
      </c>
    </row>
    <row r="9412" spans="6:14">
      <c r="F9412" s="6">
        <f>IF($M9412="PADD I","PADD 1",IF($M9412="PADD II","PADD 2",IF($M9412="PADD III","PADD 3",IF($M9412="PADD IV","PADD 4",IF($M9412="PADD V","PADD 5","")))))</f>
        <v/>
      </c>
      <c r="G9412" s="6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  <c r="N9412" s="6">
        <f>IF(OR($G9412="FCC",$G9412="Hydrocracker",$G9412="Reformer"),IF(COUNTIFS($D:$D,$D9412,$A:$A,$A9412,$B:$B,$B9412,$G:$G,"CDU",$J:$J,"PLANNED")&gt;0,"tied","standalone"),"")</f>
        <v/>
      </c>
    </row>
    <row r="9413" spans="6:14">
      <c r="F9413" s="6">
        <f>IF($M9413="PADD I","PADD 1",IF($M9413="PADD II","PADD 2",IF($M9413="PADD III","PADD 3",IF($M9413="PADD IV","PADD 4",IF($M9413="PADD V","PADD 5","")))))</f>
        <v/>
      </c>
      <c r="G9413" s="6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  <c r="N9413" s="6">
        <f>IF(OR($G9413="FCC",$G9413="Hydrocracker",$G9413="Reformer"),IF(COUNTIFS($D:$D,$D9413,$A:$A,$A9413,$B:$B,$B9413,$G:$G,"CDU",$J:$J,"PLANNED")&gt;0,"tied","standalone"),"")</f>
        <v/>
      </c>
    </row>
    <row r="9414" spans="6:14">
      <c r="F9414" s="6">
        <f>IF($M9414="PADD I","PADD 1",IF($M9414="PADD II","PADD 2",IF($M9414="PADD III","PADD 3",IF($M9414="PADD IV","PADD 4",IF($M9414="PADD V","PADD 5","")))))</f>
        <v/>
      </c>
      <c r="G9414" s="6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  <c r="N9414" s="6">
        <f>IF(OR($G9414="FCC",$G9414="Hydrocracker",$G9414="Reformer"),IF(COUNTIFS($D:$D,$D9414,$A:$A,$A9414,$B:$B,$B9414,$G:$G,"CDU",$J:$J,"PLANNED")&gt;0,"tied","standalone"),"")</f>
        <v/>
      </c>
    </row>
    <row r="9415" spans="6:14">
      <c r="F9415" s="6">
        <f>IF($M9415="PADD I","PADD 1",IF($M9415="PADD II","PADD 2",IF($M9415="PADD III","PADD 3",IF($M9415="PADD IV","PADD 4",IF($M9415="PADD V","PADD 5","")))))</f>
        <v/>
      </c>
      <c r="G9415" s="6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  <c r="N9415" s="6">
        <f>IF(OR($G9415="FCC",$G9415="Hydrocracker",$G9415="Reformer"),IF(COUNTIFS($D:$D,$D9415,$A:$A,$A9415,$B:$B,$B9415,$G:$G,"CDU",$J:$J,"PLANNED")&gt;0,"tied","standalone"),"")</f>
        <v/>
      </c>
    </row>
    <row r="9416" spans="6:14">
      <c r="F9416" s="6">
        <f>IF($M9416="PADD I","PADD 1",IF($M9416="PADD II","PADD 2",IF($M9416="PADD III","PADD 3",IF($M9416="PADD IV","PADD 4",IF($M9416="PADD V","PADD 5","")))))</f>
        <v/>
      </c>
      <c r="G9416" s="6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  <c r="N9416" s="6">
        <f>IF(OR($G9416="FCC",$G9416="Hydrocracker",$G9416="Reformer"),IF(COUNTIFS($D:$D,$D9416,$A:$A,$A9416,$B:$B,$B9416,$G:$G,"CDU",$J:$J,"PLANNED")&gt;0,"tied","standalone"),"")</f>
        <v/>
      </c>
    </row>
    <row r="9417" spans="6:14">
      <c r="F9417" s="6">
        <f>IF($M9417="PADD I","PADD 1",IF($M9417="PADD II","PADD 2",IF($M9417="PADD III","PADD 3",IF($M9417="PADD IV","PADD 4",IF($M9417="PADD V","PADD 5","")))))</f>
        <v/>
      </c>
      <c r="G9417" s="6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  <c r="N9417" s="6">
        <f>IF(OR($G9417="FCC",$G9417="Hydrocracker",$G9417="Reformer"),IF(COUNTIFS($D:$D,$D9417,$A:$A,$A9417,$B:$B,$B9417,$G:$G,"CDU",$J:$J,"PLANNED")&gt;0,"tied","standalone"),"")</f>
        <v/>
      </c>
    </row>
    <row r="9418" spans="6:14">
      <c r="F9418" s="6">
        <f>IF($M9418="PADD I","PADD 1",IF($M9418="PADD II","PADD 2",IF($M9418="PADD III","PADD 3",IF($M9418="PADD IV","PADD 4",IF($M9418="PADD V","PADD 5","")))))</f>
        <v/>
      </c>
      <c r="G9418" s="6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  <c r="N9418" s="6">
        <f>IF(OR($G9418="FCC",$G9418="Hydrocracker",$G9418="Reformer"),IF(COUNTIFS($D:$D,$D9418,$A:$A,$A9418,$B:$B,$B9418,$G:$G,"CDU",$J:$J,"PLANNED")&gt;0,"tied","standalone"),"")</f>
        <v/>
      </c>
    </row>
    <row r="9419" spans="6:14">
      <c r="F9419" s="6">
        <f>IF($M9419="PADD I","PADD 1",IF($M9419="PADD II","PADD 2",IF($M9419="PADD III","PADD 3",IF($M9419="PADD IV","PADD 4",IF($M9419="PADD V","PADD 5","")))))</f>
        <v/>
      </c>
      <c r="G9419" s="6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  <c r="N9419" s="6">
        <f>IF(OR($G9419="FCC",$G9419="Hydrocracker",$G9419="Reformer"),IF(COUNTIFS($D:$D,$D9419,$A:$A,$A9419,$B:$B,$B9419,$G:$G,"CDU",$J:$J,"PLANNED")&gt;0,"tied","standalone"),"")</f>
        <v/>
      </c>
    </row>
    <row r="9420" spans="6:14">
      <c r="F9420" s="6">
        <f>IF($M9420="PADD I","PADD 1",IF($M9420="PADD II","PADD 2",IF($M9420="PADD III","PADD 3",IF($M9420="PADD IV","PADD 4",IF($M9420="PADD V","PADD 5","")))))</f>
        <v/>
      </c>
      <c r="G9420" s="6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  <c r="N9420" s="6">
        <f>IF(OR($G9420="FCC",$G9420="Hydrocracker",$G9420="Reformer"),IF(COUNTIFS($D:$D,$D9420,$A:$A,$A9420,$B:$B,$B9420,$G:$G,"CDU",$J:$J,"PLANNED")&gt;0,"tied","standalone"),"")</f>
        <v/>
      </c>
    </row>
    <row r="9421" spans="6:14">
      <c r="F9421" s="6">
        <f>IF($M9421="PADD I","PADD 1",IF($M9421="PADD II","PADD 2",IF($M9421="PADD III","PADD 3",IF($M9421="PADD IV","PADD 4",IF($M9421="PADD V","PADD 5","")))))</f>
        <v/>
      </c>
      <c r="G9421" s="6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  <c r="N9421" s="6">
        <f>IF(OR($G9421="FCC",$G9421="Hydrocracker",$G9421="Reformer"),IF(COUNTIFS($D:$D,$D9421,$A:$A,$A9421,$B:$B,$B9421,$G:$G,"CDU",$J:$J,"PLANNED")&gt;0,"tied","standalone"),"")</f>
        <v/>
      </c>
    </row>
    <row r="9422" spans="6:14">
      <c r="F9422" s="6">
        <f>IF($M9422="PADD I","PADD 1",IF($M9422="PADD II","PADD 2",IF($M9422="PADD III","PADD 3",IF($M9422="PADD IV","PADD 4",IF($M9422="PADD V","PADD 5","")))))</f>
        <v/>
      </c>
      <c r="G9422" s="6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  <c r="N9422" s="6">
        <f>IF(OR($G9422="FCC",$G9422="Hydrocracker",$G9422="Reformer"),IF(COUNTIFS($D:$D,$D9422,$A:$A,$A9422,$B:$B,$B9422,$G:$G,"CDU",$J:$J,"PLANNED")&gt;0,"tied","standalone"),"")</f>
        <v/>
      </c>
    </row>
    <row r="9423" spans="6:14">
      <c r="F9423" s="6">
        <f>IF($M9423="PADD I","PADD 1",IF($M9423="PADD II","PADD 2",IF($M9423="PADD III","PADD 3",IF($M9423="PADD IV","PADD 4",IF($M9423="PADD V","PADD 5","")))))</f>
        <v/>
      </c>
      <c r="G9423" s="6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  <c r="N9423" s="6">
        <f>IF(OR($G9423="FCC",$G9423="Hydrocracker",$G9423="Reformer"),IF(COUNTIFS($D:$D,$D9423,$A:$A,$A9423,$B:$B,$B9423,$G:$G,"CDU",$J:$J,"PLANNED")&gt;0,"tied","standalone"),"")</f>
        <v/>
      </c>
    </row>
    <row r="9424" spans="6:14">
      <c r="F9424" s="6">
        <f>IF($M9424="PADD I","PADD 1",IF($M9424="PADD II","PADD 2",IF($M9424="PADD III","PADD 3",IF($M9424="PADD IV","PADD 4",IF($M9424="PADD V","PADD 5","")))))</f>
        <v/>
      </c>
      <c r="G9424" s="6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  <c r="N9424" s="6">
        <f>IF(OR($G9424="FCC",$G9424="Hydrocracker",$G9424="Reformer"),IF(COUNTIFS($D:$D,$D9424,$A:$A,$A9424,$B:$B,$B9424,$G:$G,"CDU",$J:$J,"PLANNED")&gt;0,"tied","standalone"),"")</f>
        <v/>
      </c>
    </row>
    <row r="9425" spans="6:14">
      <c r="F9425" s="6">
        <f>IF($M9425="PADD I","PADD 1",IF($M9425="PADD II","PADD 2",IF($M9425="PADD III","PADD 3",IF($M9425="PADD IV","PADD 4",IF($M9425="PADD V","PADD 5","")))))</f>
        <v/>
      </c>
      <c r="G9425" s="6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  <c r="N9425" s="6">
        <f>IF(OR($G9425="FCC",$G9425="Hydrocracker",$G9425="Reformer"),IF(COUNTIFS($D:$D,$D9425,$A:$A,$A9425,$B:$B,$B9425,$G:$G,"CDU",$J:$J,"PLANNED")&gt;0,"tied","standalone"),"")</f>
        <v/>
      </c>
    </row>
    <row r="9426" spans="6:14">
      <c r="F9426" s="6">
        <f>IF($M9426="PADD I","PADD 1",IF($M9426="PADD II","PADD 2",IF($M9426="PADD III","PADD 3",IF($M9426="PADD IV","PADD 4",IF($M9426="PADD V","PADD 5","")))))</f>
        <v/>
      </c>
      <c r="G9426" s="6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  <c r="N9426" s="6">
        <f>IF(OR($G9426="FCC",$G9426="Hydrocracker",$G9426="Reformer"),IF(COUNTIFS($D:$D,$D9426,$A:$A,$A9426,$B:$B,$B9426,$G:$G,"CDU",$J:$J,"PLANNED")&gt;0,"tied","standalone"),"")</f>
        <v/>
      </c>
    </row>
    <row r="9427" spans="6:14">
      <c r="F9427" s="6">
        <f>IF($M9427="PADD I","PADD 1",IF($M9427="PADD II","PADD 2",IF($M9427="PADD III","PADD 3",IF($M9427="PADD IV","PADD 4",IF($M9427="PADD V","PADD 5","")))))</f>
        <v/>
      </c>
      <c r="G9427" s="6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  <c r="N9427" s="6">
        <f>IF(OR($G9427="FCC",$G9427="Hydrocracker",$G9427="Reformer"),IF(COUNTIFS($D:$D,$D9427,$A:$A,$A9427,$B:$B,$B9427,$G:$G,"CDU",$J:$J,"PLANNED")&gt;0,"tied","standalone"),"")</f>
        <v/>
      </c>
    </row>
    <row r="9428" spans="6:14">
      <c r="F9428" s="6">
        <f>IF($M9428="PADD I","PADD 1",IF($M9428="PADD II","PADD 2",IF($M9428="PADD III","PADD 3",IF($M9428="PADD IV","PADD 4",IF($M9428="PADD V","PADD 5","")))))</f>
        <v/>
      </c>
      <c r="G9428" s="6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  <c r="N9428" s="6">
        <f>IF(OR($G9428="FCC",$G9428="Hydrocracker",$G9428="Reformer"),IF(COUNTIFS($D:$D,$D9428,$A:$A,$A9428,$B:$B,$B9428,$G:$G,"CDU",$J:$J,"PLANNED")&gt;0,"tied","standalone"),"")</f>
        <v/>
      </c>
    </row>
    <row r="9429" spans="6:14">
      <c r="F9429" s="6">
        <f>IF($M9429="PADD I","PADD 1",IF($M9429="PADD II","PADD 2",IF($M9429="PADD III","PADD 3",IF($M9429="PADD IV","PADD 4",IF($M9429="PADD V","PADD 5","")))))</f>
        <v/>
      </c>
      <c r="G9429" s="6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  <c r="N9429" s="6">
        <f>IF(OR($G9429="FCC",$G9429="Hydrocracker",$G9429="Reformer"),IF(COUNTIFS($D:$D,$D9429,$A:$A,$A9429,$B:$B,$B9429,$G:$G,"CDU",$J:$J,"PLANNED")&gt;0,"tied","standalone"),"")</f>
        <v/>
      </c>
    </row>
    <row r="9430" spans="6:14">
      <c r="F9430" s="6">
        <f>IF($M9430="PADD I","PADD 1",IF($M9430="PADD II","PADD 2",IF($M9430="PADD III","PADD 3",IF($M9430="PADD IV","PADD 4",IF($M9430="PADD V","PADD 5","")))))</f>
        <v/>
      </c>
      <c r="G9430" s="6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  <c r="N9430" s="6">
        <f>IF(OR($G9430="FCC",$G9430="Hydrocracker",$G9430="Reformer"),IF(COUNTIFS($D:$D,$D9430,$A:$A,$A9430,$B:$B,$B9430,$G:$G,"CDU",$J:$J,"PLANNED")&gt;0,"tied","standalone"),"")</f>
        <v/>
      </c>
    </row>
    <row r="9431" spans="6:14">
      <c r="F9431" s="6">
        <f>IF($M9431="PADD I","PADD 1",IF($M9431="PADD II","PADD 2",IF($M9431="PADD III","PADD 3",IF($M9431="PADD IV","PADD 4",IF($M9431="PADD V","PADD 5","")))))</f>
        <v/>
      </c>
      <c r="G9431" s="6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  <c r="N9431" s="6">
        <f>IF(OR($G9431="FCC",$G9431="Hydrocracker",$G9431="Reformer"),IF(COUNTIFS($D:$D,$D9431,$A:$A,$A9431,$B:$B,$B9431,$G:$G,"CDU",$J:$J,"PLANNED")&gt;0,"tied","standalone"),"")</f>
        <v/>
      </c>
    </row>
    <row r="9432" spans="6:14">
      <c r="F9432" s="6">
        <f>IF($M9432="PADD I","PADD 1",IF($M9432="PADD II","PADD 2",IF($M9432="PADD III","PADD 3",IF($M9432="PADD IV","PADD 4",IF($M9432="PADD V","PADD 5","")))))</f>
        <v/>
      </c>
      <c r="G9432" s="6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  <c r="N9432" s="6">
        <f>IF(OR($G9432="FCC",$G9432="Hydrocracker",$G9432="Reformer"),IF(COUNTIFS($D:$D,$D9432,$A:$A,$A9432,$B:$B,$B9432,$G:$G,"CDU",$J:$J,"PLANNED")&gt;0,"tied","standalone"),"")</f>
        <v/>
      </c>
    </row>
    <row r="9433" spans="6:14">
      <c r="F9433" s="6">
        <f>IF($M9433="PADD I","PADD 1",IF($M9433="PADD II","PADD 2",IF($M9433="PADD III","PADD 3",IF($M9433="PADD IV","PADD 4",IF($M9433="PADD V","PADD 5","")))))</f>
        <v/>
      </c>
      <c r="G9433" s="6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  <c r="N9433" s="6">
        <f>IF(OR($G9433="FCC",$G9433="Hydrocracker",$G9433="Reformer"),IF(COUNTIFS($D:$D,$D9433,$A:$A,$A9433,$B:$B,$B9433,$G:$G,"CDU",$J:$J,"PLANNED")&gt;0,"tied","standalone"),"")</f>
        <v/>
      </c>
    </row>
    <row r="9434" spans="6:14">
      <c r="F9434" s="6">
        <f>IF($M9434="PADD I","PADD 1",IF($M9434="PADD II","PADD 2",IF($M9434="PADD III","PADD 3",IF($M9434="PADD IV","PADD 4",IF($M9434="PADD V","PADD 5","")))))</f>
        <v/>
      </c>
      <c r="G9434" s="6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  <c r="N9434" s="6">
        <f>IF(OR($G9434="FCC",$G9434="Hydrocracker",$G9434="Reformer"),IF(COUNTIFS($D:$D,$D9434,$A:$A,$A9434,$B:$B,$B9434,$G:$G,"CDU",$J:$J,"PLANNED")&gt;0,"tied","standalone"),"")</f>
        <v/>
      </c>
    </row>
    <row r="9435" spans="6:14">
      <c r="F9435" s="6">
        <f>IF($M9435="PADD I","PADD 1",IF($M9435="PADD II","PADD 2",IF($M9435="PADD III","PADD 3",IF($M9435="PADD IV","PADD 4",IF($M9435="PADD V","PADD 5","")))))</f>
        <v/>
      </c>
      <c r="G9435" s="6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  <c r="N9435" s="6">
        <f>IF(OR($G9435="FCC",$G9435="Hydrocracker",$G9435="Reformer"),IF(COUNTIFS($D:$D,$D9435,$A:$A,$A9435,$B:$B,$B9435,$G:$G,"CDU",$J:$J,"PLANNED")&gt;0,"tied","standalone"),"")</f>
        <v/>
      </c>
    </row>
    <row r="9436" spans="6:14">
      <c r="F9436" s="6">
        <f>IF($M9436="PADD I","PADD 1",IF($M9436="PADD II","PADD 2",IF($M9436="PADD III","PADD 3",IF($M9436="PADD IV","PADD 4",IF($M9436="PADD V","PADD 5","")))))</f>
        <v/>
      </c>
      <c r="G9436" s="6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  <c r="N9436" s="6">
        <f>IF(OR($G9436="FCC",$G9436="Hydrocracker",$G9436="Reformer"),IF(COUNTIFS($D:$D,$D9436,$A:$A,$A9436,$B:$B,$B9436,$G:$G,"CDU",$J:$J,"PLANNED")&gt;0,"tied","standalone"),"")</f>
        <v/>
      </c>
    </row>
    <row r="9437" spans="6:14">
      <c r="F9437" s="6">
        <f>IF($M9437="PADD I","PADD 1",IF($M9437="PADD II","PADD 2",IF($M9437="PADD III","PADD 3",IF($M9437="PADD IV","PADD 4",IF($M9437="PADD V","PADD 5","")))))</f>
        <v/>
      </c>
      <c r="G9437" s="6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  <c r="N9437" s="6">
        <f>IF(OR($G9437="FCC",$G9437="Hydrocracker",$G9437="Reformer"),IF(COUNTIFS($D:$D,$D9437,$A:$A,$A9437,$B:$B,$B9437,$G:$G,"CDU",$J:$J,"PLANNED")&gt;0,"tied","standalone"),"")</f>
        <v/>
      </c>
    </row>
    <row r="9438" spans="6:14">
      <c r="F9438" s="6">
        <f>IF($M9438="PADD I","PADD 1",IF($M9438="PADD II","PADD 2",IF($M9438="PADD III","PADD 3",IF($M9438="PADD IV","PADD 4",IF($M9438="PADD V","PADD 5","")))))</f>
        <v/>
      </c>
      <c r="G9438" s="6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  <c r="N9438" s="6">
        <f>IF(OR($G9438="FCC",$G9438="Hydrocracker",$G9438="Reformer"),IF(COUNTIFS($D:$D,$D9438,$A:$A,$A9438,$B:$B,$B9438,$G:$G,"CDU",$J:$J,"PLANNED")&gt;0,"tied","standalone"),"")</f>
        <v/>
      </c>
    </row>
    <row r="9439" spans="6:14">
      <c r="F9439" s="6">
        <f>IF($M9439="PADD I","PADD 1",IF($M9439="PADD II","PADD 2",IF($M9439="PADD III","PADD 3",IF($M9439="PADD IV","PADD 4",IF($M9439="PADD V","PADD 5","")))))</f>
        <v/>
      </c>
      <c r="G9439" s="6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  <c r="N9439" s="6">
        <f>IF(OR($G9439="FCC",$G9439="Hydrocracker",$G9439="Reformer"),IF(COUNTIFS($D:$D,$D9439,$A:$A,$A9439,$B:$B,$B9439,$G:$G,"CDU",$J:$J,"PLANNED")&gt;0,"tied","standalone"),"")</f>
        <v/>
      </c>
    </row>
    <row r="9440" spans="6:14">
      <c r="F9440" s="6">
        <f>IF($M9440="PADD I","PADD 1",IF($M9440="PADD II","PADD 2",IF($M9440="PADD III","PADD 3",IF($M9440="PADD IV","PADD 4",IF($M9440="PADD V","PADD 5","")))))</f>
        <v/>
      </c>
      <c r="G9440" s="6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  <c r="N9440" s="6">
        <f>IF(OR($G9440="FCC",$G9440="Hydrocracker",$G9440="Reformer"),IF(COUNTIFS($D:$D,$D9440,$A:$A,$A9440,$B:$B,$B9440,$G:$G,"CDU",$J:$J,"PLANNED")&gt;0,"tied","standalone"),"")</f>
        <v/>
      </c>
    </row>
    <row r="9441" spans="6:14">
      <c r="F9441" s="6">
        <f>IF($M9441="PADD I","PADD 1",IF($M9441="PADD II","PADD 2",IF($M9441="PADD III","PADD 3",IF($M9441="PADD IV","PADD 4",IF($M9441="PADD V","PADD 5","")))))</f>
        <v/>
      </c>
      <c r="G9441" s="6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  <c r="N9441" s="6">
        <f>IF(OR($G9441="FCC",$G9441="Hydrocracker",$G9441="Reformer"),IF(COUNTIFS($D:$D,$D9441,$A:$A,$A9441,$B:$B,$B9441,$G:$G,"CDU",$J:$J,"PLANNED")&gt;0,"tied","standalone"),"")</f>
        <v/>
      </c>
    </row>
    <row r="9442" spans="6:14">
      <c r="F9442" s="6">
        <f>IF($M9442="PADD I","PADD 1",IF($M9442="PADD II","PADD 2",IF($M9442="PADD III","PADD 3",IF($M9442="PADD IV","PADD 4",IF($M9442="PADD V","PADD 5","")))))</f>
        <v/>
      </c>
      <c r="G9442" s="6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  <c r="N9442" s="6">
        <f>IF(OR($G9442="FCC",$G9442="Hydrocracker",$G9442="Reformer"),IF(COUNTIFS($D:$D,$D9442,$A:$A,$A9442,$B:$B,$B9442,$G:$G,"CDU",$J:$J,"PLANNED")&gt;0,"tied","standalone"),"")</f>
        <v/>
      </c>
    </row>
    <row r="9443" spans="6:14">
      <c r="F9443" s="6">
        <f>IF($M9443="PADD I","PADD 1",IF($M9443="PADD II","PADD 2",IF($M9443="PADD III","PADD 3",IF($M9443="PADD IV","PADD 4",IF($M9443="PADD V","PADD 5","")))))</f>
        <v/>
      </c>
      <c r="G9443" s="6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  <c r="N9443" s="6">
        <f>IF(OR($G9443="FCC",$G9443="Hydrocracker",$G9443="Reformer"),IF(COUNTIFS($D:$D,$D9443,$A:$A,$A9443,$B:$B,$B9443,$G:$G,"CDU",$J:$J,"PLANNED")&gt;0,"tied","standalone"),"")</f>
        <v/>
      </c>
    </row>
    <row r="9444" spans="6:14">
      <c r="F9444" s="6">
        <f>IF($M9444="PADD I","PADD 1",IF($M9444="PADD II","PADD 2",IF($M9444="PADD III","PADD 3",IF($M9444="PADD IV","PADD 4",IF($M9444="PADD V","PADD 5","")))))</f>
        <v/>
      </c>
      <c r="G9444" s="6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  <c r="N9444" s="6">
        <f>IF(OR($G9444="FCC",$G9444="Hydrocracker",$G9444="Reformer"),IF(COUNTIFS($D:$D,$D9444,$A:$A,$A9444,$B:$B,$B9444,$G:$G,"CDU",$J:$J,"PLANNED")&gt;0,"tied","standalone"),"")</f>
        <v/>
      </c>
    </row>
    <row r="9445" spans="6:14">
      <c r="F9445" s="6">
        <f>IF($M9445="PADD I","PADD 1",IF($M9445="PADD II","PADD 2",IF($M9445="PADD III","PADD 3",IF($M9445="PADD IV","PADD 4",IF($M9445="PADD V","PADD 5","")))))</f>
        <v/>
      </c>
      <c r="G9445" s="6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  <c r="N9445" s="6">
        <f>IF(OR($G9445="FCC",$G9445="Hydrocracker",$G9445="Reformer"),IF(COUNTIFS($D:$D,$D9445,$A:$A,$A9445,$B:$B,$B9445,$G:$G,"CDU",$J:$J,"PLANNED")&gt;0,"tied","standalone"),"")</f>
        <v/>
      </c>
    </row>
    <row r="9446" spans="6:14">
      <c r="F9446" s="6">
        <f>IF($M9446="PADD I","PADD 1",IF($M9446="PADD II","PADD 2",IF($M9446="PADD III","PADD 3",IF($M9446="PADD IV","PADD 4",IF($M9446="PADD V","PADD 5","")))))</f>
        <v/>
      </c>
      <c r="G9446" s="6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  <c r="N9446" s="6">
        <f>IF(OR($G9446="FCC",$G9446="Hydrocracker",$G9446="Reformer"),IF(COUNTIFS($D:$D,$D9446,$A:$A,$A9446,$B:$B,$B9446,$G:$G,"CDU",$J:$J,"PLANNED")&gt;0,"tied","standalone"),"")</f>
        <v/>
      </c>
    </row>
    <row r="9447" spans="6:14">
      <c r="F9447" s="6">
        <f>IF($M9447="PADD I","PADD 1",IF($M9447="PADD II","PADD 2",IF($M9447="PADD III","PADD 3",IF($M9447="PADD IV","PADD 4",IF($M9447="PADD V","PADD 5","")))))</f>
        <v/>
      </c>
      <c r="G9447" s="6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  <c r="N9447" s="6">
        <f>IF(OR($G9447="FCC",$G9447="Hydrocracker",$G9447="Reformer"),IF(COUNTIFS($D:$D,$D9447,$A:$A,$A9447,$B:$B,$B9447,$G:$G,"CDU",$J:$J,"PLANNED")&gt;0,"tied","standalone"),"")</f>
        <v/>
      </c>
    </row>
    <row r="9448" spans="6:14">
      <c r="F9448" s="6">
        <f>IF($M9448="PADD I","PADD 1",IF($M9448="PADD II","PADD 2",IF($M9448="PADD III","PADD 3",IF($M9448="PADD IV","PADD 4",IF($M9448="PADD V","PADD 5","")))))</f>
        <v/>
      </c>
      <c r="G9448" s="6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  <c r="N9448" s="6">
        <f>IF(OR($G9448="FCC",$G9448="Hydrocracker",$G9448="Reformer"),IF(COUNTIFS($D:$D,$D9448,$A:$A,$A9448,$B:$B,$B9448,$G:$G,"CDU",$J:$J,"PLANNED")&gt;0,"tied","standalone"),"")</f>
        <v/>
      </c>
    </row>
    <row r="9449" spans="6:14">
      <c r="F9449" s="6">
        <f>IF($M9449="PADD I","PADD 1",IF($M9449="PADD II","PADD 2",IF($M9449="PADD III","PADD 3",IF($M9449="PADD IV","PADD 4",IF($M9449="PADD V","PADD 5","")))))</f>
        <v/>
      </c>
      <c r="G9449" s="6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  <c r="N9449" s="6">
        <f>IF(OR($G9449="FCC",$G9449="Hydrocracker",$G9449="Reformer"),IF(COUNTIFS($D:$D,$D9449,$A:$A,$A9449,$B:$B,$B9449,$G:$G,"CDU",$J:$J,"PLANNED")&gt;0,"tied","standalone"),"")</f>
        <v/>
      </c>
    </row>
    <row r="9450" spans="6:14">
      <c r="F9450" s="6">
        <f>IF($M9450="PADD I","PADD 1",IF($M9450="PADD II","PADD 2",IF($M9450="PADD III","PADD 3",IF($M9450="PADD IV","PADD 4",IF($M9450="PADD V","PADD 5","")))))</f>
        <v/>
      </c>
      <c r="G9450" s="6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  <c r="N9450" s="6">
        <f>IF(OR($G9450="FCC",$G9450="Hydrocracker",$G9450="Reformer"),IF(COUNTIFS($D:$D,$D9450,$A:$A,$A9450,$B:$B,$B9450,$G:$G,"CDU",$J:$J,"PLANNED")&gt;0,"tied","standalone"),"")</f>
        <v/>
      </c>
    </row>
    <row r="9451" spans="6:14">
      <c r="F9451" s="6">
        <f>IF($M9451="PADD I","PADD 1",IF($M9451="PADD II","PADD 2",IF($M9451="PADD III","PADD 3",IF($M9451="PADD IV","PADD 4",IF($M9451="PADD V","PADD 5","")))))</f>
        <v/>
      </c>
      <c r="G9451" s="6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  <c r="N9451" s="6">
        <f>IF(OR($G9451="FCC",$G9451="Hydrocracker",$G9451="Reformer"),IF(COUNTIFS($D:$D,$D9451,$A:$A,$A9451,$B:$B,$B9451,$G:$G,"CDU",$J:$J,"PLANNED")&gt;0,"tied","standalone"),"")</f>
        <v/>
      </c>
    </row>
    <row r="9452" spans="6:14">
      <c r="F9452" s="6">
        <f>IF($M9452="PADD I","PADD 1",IF($M9452="PADD II","PADD 2",IF($M9452="PADD III","PADD 3",IF($M9452="PADD IV","PADD 4",IF($M9452="PADD V","PADD 5","")))))</f>
        <v/>
      </c>
      <c r="G9452" s="6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  <c r="N9452" s="6">
        <f>IF(OR($G9452="FCC",$G9452="Hydrocracker",$G9452="Reformer"),IF(COUNTIFS($D:$D,$D9452,$A:$A,$A9452,$B:$B,$B9452,$G:$G,"CDU",$J:$J,"PLANNED")&gt;0,"tied","standalone"),"")</f>
        <v/>
      </c>
    </row>
    <row r="9453" spans="6:14">
      <c r="F9453" s="6">
        <f>IF($M9453="PADD I","PADD 1",IF($M9453="PADD II","PADD 2",IF($M9453="PADD III","PADD 3",IF($M9453="PADD IV","PADD 4",IF($M9453="PADD V","PADD 5","")))))</f>
        <v/>
      </c>
      <c r="G9453" s="6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  <c r="N9453" s="6">
        <f>IF(OR($G9453="FCC",$G9453="Hydrocracker",$G9453="Reformer"),IF(COUNTIFS($D:$D,$D9453,$A:$A,$A9453,$B:$B,$B9453,$G:$G,"CDU",$J:$J,"PLANNED")&gt;0,"tied","standalone"),"")</f>
        <v/>
      </c>
    </row>
    <row r="9454" spans="6:14">
      <c r="F9454" s="6">
        <f>IF($M9454="PADD I","PADD 1",IF($M9454="PADD II","PADD 2",IF($M9454="PADD III","PADD 3",IF($M9454="PADD IV","PADD 4",IF($M9454="PADD V","PADD 5","")))))</f>
        <v/>
      </c>
      <c r="G9454" s="6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  <c r="N9454" s="6">
        <f>IF(OR($G9454="FCC",$G9454="Hydrocracker",$G9454="Reformer"),IF(COUNTIFS($D:$D,$D9454,$A:$A,$A9454,$B:$B,$B9454,$G:$G,"CDU",$J:$J,"PLANNED")&gt;0,"tied","standalone"),"")</f>
        <v/>
      </c>
    </row>
    <row r="9455" spans="6:14">
      <c r="F9455" s="6">
        <f>IF($M9455="PADD I","PADD 1",IF($M9455="PADD II","PADD 2",IF($M9455="PADD III","PADD 3",IF($M9455="PADD IV","PADD 4",IF($M9455="PADD V","PADD 5","")))))</f>
        <v/>
      </c>
      <c r="G9455" s="6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  <c r="N9455" s="6">
        <f>IF(OR($G9455="FCC",$G9455="Hydrocracker",$G9455="Reformer"),IF(COUNTIFS($D:$D,$D9455,$A:$A,$A9455,$B:$B,$B9455,$G:$G,"CDU",$J:$J,"PLANNED")&gt;0,"tied","standalone"),"")</f>
        <v/>
      </c>
    </row>
    <row r="9456" spans="6:14">
      <c r="F9456" s="6">
        <f>IF($M9456="PADD I","PADD 1",IF($M9456="PADD II","PADD 2",IF($M9456="PADD III","PADD 3",IF($M9456="PADD IV","PADD 4",IF($M9456="PADD V","PADD 5","")))))</f>
        <v/>
      </c>
      <c r="G9456" s="6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  <c r="N9456" s="6">
        <f>IF(OR($G9456="FCC",$G9456="Hydrocracker",$G9456="Reformer"),IF(COUNTIFS($D:$D,$D9456,$A:$A,$A9456,$B:$B,$B9456,$G:$G,"CDU",$J:$J,"PLANNED")&gt;0,"tied","standalone"),"")</f>
        <v/>
      </c>
    </row>
    <row r="9457" spans="6:14">
      <c r="F9457" s="6">
        <f>IF($M9457="PADD I","PADD 1",IF($M9457="PADD II","PADD 2",IF($M9457="PADD III","PADD 3",IF($M9457="PADD IV","PADD 4",IF($M9457="PADD V","PADD 5","")))))</f>
        <v/>
      </c>
      <c r="G9457" s="6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  <c r="N9457" s="6">
        <f>IF(OR($G9457="FCC",$G9457="Hydrocracker",$G9457="Reformer"),IF(COUNTIFS($D:$D,$D9457,$A:$A,$A9457,$B:$B,$B9457,$G:$G,"CDU",$J:$J,"PLANNED")&gt;0,"tied","standalone"),"")</f>
        <v/>
      </c>
    </row>
    <row r="9458" spans="6:14">
      <c r="F9458" s="6">
        <f>IF($M9458="PADD I","PADD 1",IF($M9458="PADD II","PADD 2",IF($M9458="PADD III","PADD 3",IF($M9458="PADD IV","PADD 4",IF($M9458="PADD V","PADD 5","")))))</f>
        <v/>
      </c>
      <c r="G9458" s="6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  <c r="N9458" s="6">
        <f>IF(OR($G9458="FCC",$G9458="Hydrocracker",$G9458="Reformer"),IF(COUNTIFS($D:$D,$D9458,$A:$A,$A9458,$B:$B,$B9458,$G:$G,"CDU",$J:$J,"PLANNED")&gt;0,"tied","standalone"),"")</f>
        <v/>
      </c>
    </row>
    <row r="9459" spans="6:14">
      <c r="F9459" s="6">
        <f>IF($M9459="PADD I","PADD 1",IF($M9459="PADD II","PADD 2",IF($M9459="PADD III","PADD 3",IF($M9459="PADD IV","PADD 4",IF($M9459="PADD V","PADD 5","")))))</f>
        <v/>
      </c>
      <c r="G9459" s="6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  <c r="N9459" s="6">
        <f>IF(OR($G9459="FCC",$G9459="Hydrocracker",$G9459="Reformer"),IF(COUNTIFS($D:$D,$D9459,$A:$A,$A9459,$B:$B,$B9459,$G:$G,"CDU",$J:$J,"PLANNED")&gt;0,"tied","standalone"),"")</f>
        <v/>
      </c>
    </row>
    <row r="9460" spans="6:14">
      <c r="F9460" s="6">
        <f>IF($M9460="PADD I","PADD 1",IF($M9460="PADD II","PADD 2",IF($M9460="PADD III","PADD 3",IF($M9460="PADD IV","PADD 4",IF($M9460="PADD V","PADD 5","")))))</f>
        <v/>
      </c>
      <c r="G9460" s="6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  <c r="N9460" s="6">
        <f>IF(OR($G9460="FCC",$G9460="Hydrocracker",$G9460="Reformer"),IF(COUNTIFS($D:$D,$D9460,$A:$A,$A9460,$B:$B,$B9460,$G:$G,"CDU",$J:$J,"PLANNED")&gt;0,"tied","standalone"),"")</f>
        <v/>
      </c>
    </row>
    <row r="9461" spans="6:14">
      <c r="F9461" s="6">
        <f>IF($M9461="PADD I","PADD 1",IF($M9461="PADD II","PADD 2",IF($M9461="PADD III","PADD 3",IF($M9461="PADD IV","PADD 4",IF($M9461="PADD V","PADD 5","")))))</f>
        <v/>
      </c>
      <c r="G9461" s="6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  <c r="N9461" s="6">
        <f>IF(OR($G9461="FCC",$G9461="Hydrocracker",$G9461="Reformer"),IF(COUNTIFS($D:$D,$D9461,$A:$A,$A9461,$B:$B,$B9461,$G:$G,"CDU",$J:$J,"PLANNED")&gt;0,"tied","standalone"),"")</f>
        <v/>
      </c>
    </row>
    <row r="9462" spans="6:14">
      <c r="F9462" s="6">
        <f>IF($M9462="PADD I","PADD 1",IF($M9462="PADD II","PADD 2",IF($M9462="PADD III","PADD 3",IF($M9462="PADD IV","PADD 4",IF($M9462="PADD V","PADD 5","")))))</f>
        <v/>
      </c>
      <c r="G9462" s="6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  <c r="N9462" s="6">
        <f>IF(OR($G9462="FCC",$G9462="Hydrocracker",$G9462="Reformer"),IF(COUNTIFS($D:$D,$D9462,$A:$A,$A9462,$B:$B,$B9462,$G:$G,"CDU",$J:$J,"PLANNED")&gt;0,"tied","standalone"),"")</f>
        <v/>
      </c>
    </row>
    <row r="9463" spans="6:14">
      <c r="F9463" s="6">
        <f>IF($M9463="PADD I","PADD 1",IF($M9463="PADD II","PADD 2",IF($M9463="PADD III","PADD 3",IF($M9463="PADD IV","PADD 4",IF($M9463="PADD V","PADD 5","")))))</f>
        <v/>
      </c>
      <c r="G9463" s="6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  <c r="N9463" s="6">
        <f>IF(OR($G9463="FCC",$G9463="Hydrocracker",$G9463="Reformer"),IF(COUNTIFS($D:$D,$D9463,$A:$A,$A9463,$B:$B,$B9463,$G:$G,"CDU",$J:$J,"PLANNED")&gt;0,"tied","standalone"),"")</f>
        <v/>
      </c>
    </row>
    <row r="9464" spans="6:14">
      <c r="F9464" s="6">
        <f>IF($M9464="PADD I","PADD 1",IF($M9464="PADD II","PADD 2",IF($M9464="PADD III","PADD 3",IF($M9464="PADD IV","PADD 4",IF($M9464="PADD V","PADD 5","")))))</f>
        <v/>
      </c>
      <c r="G9464" s="6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  <c r="N9464" s="6">
        <f>IF(OR($G9464="FCC",$G9464="Hydrocracker",$G9464="Reformer"),IF(COUNTIFS($D:$D,$D9464,$A:$A,$A9464,$B:$B,$B9464,$G:$G,"CDU",$J:$J,"PLANNED")&gt;0,"tied","standalone"),"")</f>
        <v/>
      </c>
    </row>
    <row r="9465" spans="6:14">
      <c r="F9465" s="6">
        <f>IF($M9465="PADD I","PADD 1",IF($M9465="PADD II","PADD 2",IF($M9465="PADD III","PADD 3",IF($M9465="PADD IV","PADD 4",IF($M9465="PADD V","PADD 5","")))))</f>
        <v/>
      </c>
      <c r="G9465" s="6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  <c r="N9465" s="6">
        <f>IF(OR($G9465="FCC",$G9465="Hydrocracker",$G9465="Reformer"),IF(COUNTIFS($D:$D,$D9465,$A:$A,$A9465,$B:$B,$B9465,$G:$G,"CDU",$J:$J,"PLANNED")&gt;0,"tied","standalone"),"")</f>
        <v/>
      </c>
    </row>
    <row r="9466" spans="6:14">
      <c r="F9466" s="6">
        <f>IF($M9466="PADD I","PADD 1",IF($M9466="PADD II","PADD 2",IF($M9466="PADD III","PADD 3",IF($M9466="PADD IV","PADD 4",IF($M9466="PADD V","PADD 5","")))))</f>
        <v/>
      </c>
      <c r="G9466" s="6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  <c r="N9466" s="6">
        <f>IF(OR($G9466="FCC",$G9466="Hydrocracker",$G9466="Reformer"),IF(COUNTIFS($D:$D,$D9466,$A:$A,$A9466,$B:$B,$B9466,$G:$G,"CDU",$J:$J,"PLANNED")&gt;0,"tied","standalone"),"")</f>
        <v/>
      </c>
    </row>
    <row r="9467" spans="6:14">
      <c r="F9467" s="6">
        <f>IF($M9467="PADD I","PADD 1",IF($M9467="PADD II","PADD 2",IF($M9467="PADD III","PADD 3",IF($M9467="PADD IV","PADD 4",IF($M9467="PADD V","PADD 5","")))))</f>
        <v/>
      </c>
      <c r="G9467" s="6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  <c r="N9467" s="6">
        <f>IF(OR($G9467="FCC",$G9467="Hydrocracker",$G9467="Reformer"),IF(COUNTIFS($D:$D,$D9467,$A:$A,$A9467,$B:$B,$B9467,$G:$G,"CDU",$J:$J,"PLANNED")&gt;0,"tied","standalone"),"")</f>
        <v/>
      </c>
    </row>
    <row r="9468" spans="6:14">
      <c r="F9468" s="6">
        <f>IF($M9468="PADD I","PADD 1",IF($M9468="PADD II","PADD 2",IF($M9468="PADD III","PADD 3",IF($M9468="PADD IV","PADD 4",IF($M9468="PADD V","PADD 5","")))))</f>
        <v/>
      </c>
      <c r="G9468" s="6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  <c r="N9468" s="6">
        <f>IF(OR($G9468="FCC",$G9468="Hydrocracker",$G9468="Reformer"),IF(COUNTIFS($D:$D,$D9468,$A:$A,$A9468,$B:$B,$B9468,$G:$G,"CDU",$J:$J,"PLANNED")&gt;0,"tied","standalone"),"")</f>
        <v/>
      </c>
    </row>
    <row r="9469" spans="6:14">
      <c r="F9469" s="6">
        <f>IF($M9469="PADD I","PADD 1",IF($M9469="PADD II","PADD 2",IF($M9469="PADD III","PADD 3",IF($M9469="PADD IV","PADD 4",IF($M9469="PADD V","PADD 5","")))))</f>
        <v/>
      </c>
      <c r="G9469" s="6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  <c r="N9469" s="6">
        <f>IF(OR($G9469="FCC",$G9469="Hydrocracker",$G9469="Reformer"),IF(COUNTIFS($D:$D,$D9469,$A:$A,$A9469,$B:$B,$B9469,$G:$G,"CDU",$J:$J,"PLANNED")&gt;0,"tied","standalone"),"")</f>
        <v/>
      </c>
    </row>
    <row r="9470" spans="6:14">
      <c r="F9470" s="6">
        <f>IF($M9470="PADD I","PADD 1",IF($M9470="PADD II","PADD 2",IF($M9470="PADD III","PADD 3",IF($M9470="PADD IV","PADD 4",IF($M9470="PADD V","PADD 5","")))))</f>
        <v/>
      </c>
      <c r="G9470" s="6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  <c r="N9470" s="6">
        <f>IF(OR($G9470="FCC",$G9470="Hydrocracker",$G9470="Reformer"),IF(COUNTIFS($D:$D,$D9470,$A:$A,$A9470,$B:$B,$B9470,$G:$G,"CDU",$J:$J,"PLANNED")&gt;0,"tied","standalone"),"")</f>
        <v/>
      </c>
    </row>
    <row r="9471" spans="6:14">
      <c r="F9471" s="6">
        <f>IF($M9471="PADD I","PADD 1",IF($M9471="PADD II","PADD 2",IF($M9471="PADD III","PADD 3",IF($M9471="PADD IV","PADD 4",IF($M9471="PADD V","PADD 5","")))))</f>
        <v/>
      </c>
      <c r="G9471" s="6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  <c r="N9471" s="6">
        <f>IF(OR($G9471="FCC",$G9471="Hydrocracker",$G9471="Reformer"),IF(COUNTIFS($D:$D,$D9471,$A:$A,$A9471,$B:$B,$B9471,$G:$G,"CDU",$J:$J,"PLANNED")&gt;0,"tied","standalone"),"")</f>
        <v/>
      </c>
    </row>
    <row r="9472" spans="6:14">
      <c r="F9472" s="6">
        <f>IF($M9472="PADD I","PADD 1",IF($M9472="PADD II","PADD 2",IF($M9472="PADD III","PADD 3",IF($M9472="PADD IV","PADD 4",IF($M9472="PADD V","PADD 5","")))))</f>
        <v/>
      </c>
      <c r="G9472" s="6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  <c r="N9472" s="6">
        <f>IF(OR($G9472="FCC",$G9472="Hydrocracker",$G9472="Reformer"),IF(COUNTIFS($D:$D,$D9472,$A:$A,$A9472,$B:$B,$B9472,$G:$G,"CDU",$J:$J,"PLANNED")&gt;0,"tied","standalone"),"")</f>
        <v/>
      </c>
    </row>
    <row r="9473" spans="6:14">
      <c r="F9473" s="6">
        <f>IF($M9473="PADD I","PADD 1",IF($M9473="PADD II","PADD 2",IF($M9473="PADD III","PADD 3",IF($M9473="PADD IV","PADD 4",IF($M9473="PADD V","PADD 5","")))))</f>
        <v/>
      </c>
      <c r="G9473" s="6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  <c r="N9473" s="6">
        <f>IF(OR($G9473="FCC",$G9473="Hydrocracker",$G9473="Reformer"),IF(COUNTIFS($D:$D,$D9473,$A:$A,$A9473,$B:$B,$B9473,$G:$G,"CDU",$J:$J,"PLANNED")&gt;0,"tied","standalone"),"")</f>
        <v/>
      </c>
    </row>
    <row r="9474" spans="6:14">
      <c r="F9474" s="6">
        <f>IF($M9474="PADD I","PADD 1",IF($M9474="PADD II","PADD 2",IF($M9474="PADD III","PADD 3",IF($M9474="PADD IV","PADD 4",IF($M9474="PADD V","PADD 5","")))))</f>
        <v/>
      </c>
      <c r="G9474" s="6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  <c r="N9474" s="6">
        <f>IF(OR($G9474="FCC",$G9474="Hydrocracker",$G9474="Reformer"),IF(COUNTIFS($D:$D,$D9474,$A:$A,$A9474,$B:$B,$B9474,$G:$G,"CDU",$J:$J,"PLANNED")&gt;0,"tied","standalone"),"")</f>
        <v/>
      </c>
    </row>
    <row r="9475" spans="6:14">
      <c r="F9475" s="6">
        <f>IF($M9475="PADD I","PADD 1",IF($M9475="PADD II","PADD 2",IF($M9475="PADD III","PADD 3",IF($M9475="PADD IV","PADD 4",IF($M9475="PADD V","PADD 5","")))))</f>
        <v/>
      </c>
      <c r="G9475" s="6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  <c r="N9475" s="6">
        <f>IF(OR($G9475="FCC",$G9475="Hydrocracker",$G9475="Reformer"),IF(COUNTIFS($D:$D,$D9475,$A:$A,$A9475,$B:$B,$B9475,$G:$G,"CDU",$J:$J,"PLANNED")&gt;0,"tied","standalone"),"")</f>
        <v/>
      </c>
    </row>
    <row r="9476" spans="6:14">
      <c r="F9476" s="6">
        <f>IF($M9476="PADD I","PADD 1",IF($M9476="PADD II","PADD 2",IF($M9476="PADD III","PADD 3",IF($M9476="PADD IV","PADD 4",IF($M9476="PADD V","PADD 5","")))))</f>
        <v/>
      </c>
      <c r="G9476" s="6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  <c r="N9476" s="6">
        <f>IF(OR($G9476="FCC",$G9476="Hydrocracker",$G9476="Reformer"),IF(COUNTIFS($D:$D,$D9476,$A:$A,$A9476,$B:$B,$B9476,$G:$G,"CDU",$J:$J,"PLANNED")&gt;0,"tied","standalone"),"")</f>
        <v/>
      </c>
    </row>
    <row r="9477" spans="6:14">
      <c r="F9477" s="6">
        <f>IF($M9477="PADD I","PADD 1",IF($M9477="PADD II","PADD 2",IF($M9477="PADD III","PADD 3",IF($M9477="PADD IV","PADD 4",IF($M9477="PADD V","PADD 5","")))))</f>
        <v/>
      </c>
      <c r="G9477" s="6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  <c r="N9477" s="6">
        <f>IF(OR($G9477="FCC",$G9477="Hydrocracker",$G9477="Reformer"),IF(COUNTIFS($D:$D,$D9477,$A:$A,$A9477,$B:$B,$B9477,$G:$G,"CDU",$J:$J,"PLANNED")&gt;0,"tied","standalone"),"")</f>
        <v/>
      </c>
    </row>
    <row r="9478" spans="6:14">
      <c r="F9478" s="6">
        <f>IF($M9478="PADD I","PADD 1",IF($M9478="PADD II","PADD 2",IF($M9478="PADD III","PADD 3",IF($M9478="PADD IV","PADD 4",IF($M9478="PADD V","PADD 5","")))))</f>
        <v/>
      </c>
      <c r="G9478" s="6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  <c r="N9478" s="6">
        <f>IF(OR($G9478="FCC",$G9478="Hydrocracker",$G9478="Reformer"),IF(COUNTIFS($D:$D,$D9478,$A:$A,$A9478,$B:$B,$B9478,$G:$G,"CDU",$J:$J,"PLANNED")&gt;0,"tied","standalone"),"")</f>
        <v/>
      </c>
    </row>
    <row r="9479" spans="6:14">
      <c r="F9479" s="6">
        <f>IF($M9479="PADD I","PADD 1",IF($M9479="PADD II","PADD 2",IF($M9479="PADD III","PADD 3",IF($M9479="PADD IV","PADD 4",IF($M9479="PADD V","PADD 5","")))))</f>
        <v/>
      </c>
      <c r="G9479" s="6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  <c r="N9479" s="6">
        <f>IF(OR($G9479="FCC",$G9479="Hydrocracker",$G9479="Reformer"),IF(COUNTIFS($D:$D,$D9479,$A:$A,$A9479,$B:$B,$B9479,$G:$G,"CDU",$J:$J,"PLANNED")&gt;0,"tied","standalone"),"")</f>
        <v/>
      </c>
    </row>
    <row r="9480" spans="6:14">
      <c r="F9480" s="6">
        <f>IF($M9480="PADD I","PADD 1",IF($M9480="PADD II","PADD 2",IF($M9480="PADD III","PADD 3",IF($M9480="PADD IV","PADD 4",IF($M9480="PADD V","PADD 5","")))))</f>
        <v/>
      </c>
      <c r="G9480" s="6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  <c r="N9480" s="6">
        <f>IF(OR($G9480="FCC",$G9480="Hydrocracker",$G9480="Reformer"),IF(COUNTIFS($D:$D,$D9480,$A:$A,$A9480,$B:$B,$B9480,$G:$G,"CDU",$J:$J,"PLANNED")&gt;0,"tied","standalone"),"")</f>
        <v/>
      </c>
    </row>
    <row r="9481" spans="6:14">
      <c r="F9481" s="6">
        <f>IF($M9481="PADD I","PADD 1",IF($M9481="PADD II","PADD 2",IF($M9481="PADD III","PADD 3",IF($M9481="PADD IV","PADD 4",IF($M9481="PADD V","PADD 5","")))))</f>
        <v/>
      </c>
      <c r="G9481" s="6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  <c r="N9481" s="6">
        <f>IF(OR($G9481="FCC",$G9481="Hydrocracker",$G9481="Reformer"),IF(COUNTIFS($D:$D,$D9481,$A:$A,$A9481,$B:$B,$B9481,$G:$G,"CDU",$J:$J,"PLANNED")&gt;0,"tied","standalone"),"")</f>
        <v/>
      </c>
    </row>
    <row r="9482" spans="6:14">
      <c r="F9482" s="6">
        <f>IF($M9482="PADD I","PADD 1",IF($M9482="PADD II","PADD 2",IF($M9482="PADD III","PADD 3",IF($M9482="PADD IV","PADD 4",IF($M9482="PADD V","PADD 5","")))))</f>
        <v/>
      </c>
      <c r="G9482" s="6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  <c r="N9482" s="6">
        <f>IF(OR($G9482="FCC",$G9482="Hydrocracker",$G9482="Reformer"),IF(COUNTIFS($D:$D,$D9482,$A:$A,$A9482,$B:$B,$B9482,$G:$G,"CDU",$J:$J,"PLANNED")&gt;0,"tied","standalone"),"")</f>
        <v/>
      </c>
    </row>
    <row r="9483" spans="6:14">
      <c r="F9483" s="6">
        <f>IF($M9483="PADD I","PADD 1",IF($M9483="PADD II","PADD 2",IF($M9483="PADD III","PADD 3",IF($M9483="PADD IV","PADD 4",IF($M9483="PADD V","PADD 5","")))))</f>
        <v/>
      </c>
      <c r="G9483" s="6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  <c r="N9483" s="6">
        <f>IF(OR($G9483="FCC",$G9483="Hydrocracker",$G9483="Reformer"),IF(COUNTIFS($D:$D,$D9483,$A:$A,$A9483,$B:$B,$B9483,$G:$G,"CDU",$J:$J,"PLANNED")&gt;0,"tied","standalone"),"")</f>
        <v/>
      </c>
    </row>
    <row r="9484" spans="6:14">
      <c r="F9484" s="6">
        <f>IF($M9484="PADD I","PADD 1",IF($M9484="PADD II","PADD 2",IF($M9484="PADD III","PADD 3",IF($M9484="PADD IV","PADD 4",IF($M9484="PADD V","PADD 5","")))))</f>
        <v/>
      </c>
      <c r="G9484" s="6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  <c r="N9484" s="6">
        <f>IF(OR($G9484="FCC",$G9484="Hydrocracker",$G9484="Reformer"),IF(COUNTIFS($D:$D,$D9484,$A:$A,$A9484,$B:$B,$B9484,$G:$G,"CDU",$J:$J,"PLANNED")&gt;0,"tied","standalone"),"")</f>
        <v/>
      </c>
    </row>
    <row r="9485" spans="6:14">
      <c r="F9485" s="6">
        <f>IF($M9485="PADD I","PADD 1",IF($M9485="PADD II","PADD 2",IF($M9485="PADD III","PADD 3",IF($M9485="PADD IV","PADD 4",IF($M9485="PADD V","PADD 5","")))))</f>
        <v/>
      </c>
      <c r="G9485" s="6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  <c r="N9485" s="6">
        <f>IF(OR($G9485="FCC",$G9485="Hydrocracker",$G9485="Reformer"),IF(COUNTIFS($D:$D,$D9485,$A:$A,$A9485,$B:$B,$B9485,$G:$G,"CDU",$J:$J,"PLANNED")&gt;0,"tied","standalone"),"")</f>
        <v/>
      </c>
    </row>
    <row r="9486" spans="6:14">
      <c r="F9486" s="6">
        <f>IF($M9486="PADD I","PADD 1",IF($M9486="PADD II","PADD 2",IF($M9486="PADD III","PADD 3",IF($M9486="PADD IV","PADD 4",IF($M9486="PADD V","PADD 5","")))))</f>
        <v/>
      </c>
      <c r="G9486" s="6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  <c r="N9486" s="6">
        <f>IF(OR($G9486="FCC",$G9486="Hydrocracker",$G9486="Reformer"),IF(COUNTIFS($D:$D,$D9486,$A:$A,$A9486,$B:$B,$B9486,$G:$G,"CDU",$J:$J,"PLANNED")&gt;0,"tied","standalone"),"")</f>
        <v/>
      </c>
    </row>
    <row r="9487" spans="6:14">
      <c r="F9487" s="6">
        <f>IF($M9487="PADD I","PADD 1",IF($M9487="PADD II","PADD 2",IF($M9487="PADD III","PADD 3",IF($M9487="PADD IV","PADD 4",IF($M9487="PADD V","PADD 5","")))))</f>
        <v/>
      </c>
      <c r="G9487" s="6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  <c r="N9487" s="6">
        <f>IF(OR($G9487="FCC",$G9487="Hydrocracker",$G9487="Reformer"),IF(COUNTIFS($D:$D,$D9487,$A:$A,$A9487,$B:$B,$B9487,$G:$G,"CDU",$J:$J,"PLANNED")&gt;0,"tied","standalone"),"")</f>
        <v/>
      </c>
    </row>
    <row r="9488" spans="6:14">
      <c r="F9488" s="6">
        <f>IF($M9488="PADD I","PADD 1",IF($M9488="PADD II","PADD 2",IF($M9488="PADD III","PADD 3",IF($M9488="PADD IV","PADD 4",IF($M9488="PADD V","PADD 5","")))))</f>
        <v/>
      </c>
      <c r="G9488" s="6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  <c r="N9488" s="6">
        <f>IF(OR($G9488="FCC",$G9488="Hydrocracker",$G9488="Reformer"),IF(COUNTIFS($D:$D,$D9488,$A:$A,$A9488,$B:$B,$B9488,$G:$G,"CDU",$J:$J,"PLANNED")&gt;0,"tied","standalone"),"")</f>
        <v/>
      </c>
    </row>
    <row r="9489" spans="6:14">
      <c r="F9489" s="6">
        <f>IF($M9489="PADD I","PADD 1",IF($M9489="PADD II","PADD 2",IF($M9489="PADD III","PADD 3",IF($M9489="PADD IV","PADD 4",IF($M9489="PADD V","PADD 5","")))))</f>
        <v/>
      </c>
      <c r="G9489" s="6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  <c r="N9489" s="6">
        <f>IF(OR($G9489="FCC",$G9489="Hydrocracker",$G9489="Reformer"),IF(COUNTIFS($D:$D,$D9489,$A:$A,$A9489,$B:$B,$B9489,$G:$G,"CDU",$J:$J,"PLANNED")&gt;0,"tied","standalone"),"")</f>
        <v/>
      </c>
    </row>
    <row r="9490" spans="6:14">
      <c r="F9490" s="6">
        <f>IF($M9490="PADD I","PADD 1",IF($M9490="PADD II","PADD 2",IF($M9490="PADD III","PADD 3",IF($M9490="PADD IV","PADD 4",IF($M9490="PADD V","PADD 5","")))))</f>
        <v/>
      </c>
      <c r="G9490" s="6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  <c r="N9490" s="6">
        <f>IF(OR($G9490="FCC",$G9490="Hydrocracker",$G9490="Reformer"),IF(COUNTIFS($D:$D,$D9490,$A:$A,$A9490,$B:$B,$B9490,$G:$G,"CDU",$J:$J,"PLANNED")&gt;0,"tied","standalone"),"")</f>
        <v/>
      </c>
    </row>
    <row r="9491" spans="6:14">
      <c r="F9491" s="6">
        <f>IF($M9491="PADD I","PADD 1",IF($M9491="PADD II","PADD 2",IF($M9491="PADD III","PADD 3",IF($M9491="PADD IV","PADD 4",IF($M9491="PADD V","PADD 5","")))))</f>
        <v/>
      </c>
      <c r="G9491" s="6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  <c r="N9491" s="6">
        <f>IF(OR($G9491="FCC",$G9491="Hydrocracker",$G9491="Reformer"),IF(COUNTIFS($D:$D,$D9491,$A:$A,$A9491,$B:$B,$B9491,$G:$G,"CDU",$J:$J,"PLANNED")&gt;0,"tied","standalone"),"")</f>
        <v/>
      </c>
    </row>
    <row r="9492" spans="6:14">
      <c r="F9492" s="6">
        <f>IF($M9492="PADD I","PADD 1",IF($M9492="PADD II","PADD 2",IF($M9492="PADD III","PADD 3",IF($M9492="PADD IV","PADD 4",IF($M9492="PADD V","PADD 5","")))))</f>
        <v/>
      </c>
      <c r="G9492" s="6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  <c r="N9492" s="6">
        <f>IF(OR($G9492="FCC",$G9492="Hydrocracker",$G9492="Reformer"),IF(COUNTIFS($D:$D,$D9492,$A:$A,$A9492,$B:$B,$B9492,$G:$G,"CDU",$J:$J,"PLANNED")&gt;0,"tied","standalone"),"")</f>
        <v/>
      </c>
    </row>
    <row r="9493" spans="6:14">
      <c r="F9493" s="6">
        <f>IF($M9493="PADD I","PADD 1",IF($M9493="PADD II","PADD 2",IF($M9493="PADD III","PADD 3",IF($M9493="PADD IV","PADD 4",IF($M9493="PADD V","PADD 5","")))))</f>
        <v/>
      </c>
      <c r="G9493" s="6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  <c r="N9493" s="6">
        <f>IF(OR($G9493="FCC",$G9493="Hydrocracker",$G9493="Reformer"),IF(COUNTIFS($D:$D,$D9493,$A:$A,$A9493,$B:$B,$B9493,$G:$G,"CDU",$J:$J,"PLANNED")&gt;0,"tied","standalone"),"")</f>
        <v/>
      </c>
    </row>
    <row r="9494" spans="6:14">
      <c r="F9494" s="6">
        <f>IF($M9494="PADD I","PADD 1",IF($M9494="PADD II","PADD 2",IF($M9494="PADD III","PADD 3",IF($M9494="PADD IV","PADD 4",IF($M9494="PADD V","PADD 5","")))))</f>
        <v/>
      </c>
      <c r="G9494" s="6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  <c r="N9494" s="6">
        <f>IF(OR($G9494="FCC",$G9494="Hydrocracker",$G9494="Reformer"),IF(COUNTIFS($D:$D,$D9494,$A:$A,$A9494,$B:$B,$B9494,$G:$G,"CDU",$J:$J,"PLANNED")&gt;0,"tied","standalone"),"")</f>
        <v/>
      </c>
    </row>
    <row r="9495" spans="6:14">
      <c r="F9495" s="6">
        <f>IF($M9495="PADD I","PADD 1",IF($M9495="PADD II","PADD 2",IF($M9495="PADD III","PADD 3",IF($M9495="PADD IV","PADD 4",IF($M9495="PADD V","PADD 5","")))))</f>
        <v/>
      </c>
      <c r="G9495" s="6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  <c r="N9495" s="6">
        <f>IF(OR($G9495="FCC",$G9495="Hydrocracker",$G9495="Reformer"),IF(COUNTIFS($D:$D,$D9495,$A:$A,$A9495,$B:$B,$B9495,$G:$G,"CDU",$J:$J,"PLANNED")&gt;0,"tied","standalone"),"")</f>
        <v/>
      </c>
    </row>
    <row r="9496" spans="6:14">
      <c r="F9496" s="6">
        <f>IF($M9496="PADD I","PADD 1",IF($M9496="PADD II","PADD 2",IF($M9496="PADD III","PADD 3",IF($M9496="PADD IV","PADD 4",IF($M9496="PADD V","PADD 5","")))))</f>
        <v/>
      </c>
      <c r="G9496" s="6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  <c r="N9496" s="6">
        <f>IF(OR($G9496="FCC",$G9496="Hydrocracker",$G9496="Reformer"),IF(COUNTIFS($D:$D,$D9496,$A:$A,$A9496,$B:$B,$B9496,$G:$G,"CDU",$J:$J,"PLANNED")&gt;0,"tied","standalone"),"")</f>
        <v/>
      </c>
    </row>
    <row r="9497" spans="6:14">
      <c r="F9497" s="6">
        <f>IF($M9497="PADD I","PADD 1",IF($M9497="PADD II","PADD 2",IF($M9497="PADD III","PADD 3",IF($M9497="PADD IV","PADD 4",IF($M9497="PADD V","PADD 5","")))))</f>
        <v/>
      </c>
      <c r="G9497" s="6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  <c r="N9497" s="6">
        <f>IF(OR($G9497="FCC",$G9497="Hydrocracker",$G9497="Reformer"),IF(COUNTIFS($D:$D,$D9497,$A:$A,$A9497,$B:$B,$B9497,$G:$G,"CDU",$J:$J,"PLANNED")&gt;0,"tied","standalone"),"")</f>
        <v/>
      </c>
    </row>
    <row r="9498" spans="6:14">
      <c r="F9498" s="6">
        <f>IF($M9498="PADD I","PADD 1",IF($M9498="PADD II","PADD 2",IF($M9498="PADD III","PADD 3",IF($M9498="PADD IV","PADD 4",IF($M9498="PADD V","PADD 5","")))))</f>
        <v/>
      </c>
      <c r="G9498" s="6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  <c r="N9498" s="6">
        <f>IF(OR($G9498="FCC",$G9498="Hydrocracker",$G9498="Reformer"),IF(COUNTIFS($D:$D,$D9498,$A:$A,$A9498,$B:$B,$B9498,$G:$G,"CDU",$J:$J,"PLANNED")&gt;0,"tied","standalone"),"")</f>
        <v/>
      </c>
    </row>
    <row r="9499" spans="6:14">
      <c r="F9499" s="6">
        <f>IF($M9499="PADD I","PADD 1",IF($M9499="PADD II","PADD 2",IF($M9499="PADD III","PADD 3",IF($M9499="PADD IV","PADD 4",IF($M9499="PADD V","PADD 5","")))))</f>
        <v/>
      </c>
      <c r="G9499" s="6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  <c r="N9499" s="6">
        <f>IF(OR($G9499="FCC",$G9499="Hydrocracker",$G9499="Reformer"),IF(COUNTIFS($D:$D,$D9499,$A:$A,$A9499,$B:$B,$B9499,$G:$G,"CDU",$J:$J,"PLANNED")&gt;0,"tied","standalone"),"")</f>
        <v/>
      </c>
    </row>
    <row r="9500" spans="6:14">
      <c r="F9500" s="6">
        <f>IF($M9500="PADD I","PADD 1",IF($M9500="PADD II","PADD 2",IF($M9500="PADD III","PADD 3",IF($M9500="PADD IV","PADD 4",IF($M9500="PADD V","PADD 5","")))))</f>
        <v/>
      </c>
      <c r="G9500" s="6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  <c r="N9500" s="6">
        <f>IF(OR($G9500="FCC",$G9500="Hydrocracker",$G9500="Reformer"),IF(COUNTIFS($D:$D,$D9500,$A:$A,$A9500,$B:$B,$B9500,$G:$G,"CDU",$J:$J,"PLANNED")&gt;0,"tied","standalone"),"")</f>
        <v/>
      </c>
    </row>
    <row r="9501" spans="6:14">
      <c r="F9501" s="6">
        <f>IF($M9501="PADD I","PADD 1",IF($M9501="PADD II","PADD 2",IF($M9501="PADD III","PADD 3",IF($M9501="PADD IV","PADD 4",IF($M9501="PADD V","PADD 5","")))))</f>
        <v/>
      </c>
      <c r="G9501" s="6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  <c r="N9501" s="6">
        <f>IF(OR($G9501="FCC",$G9501="Hydrocracker",$G9501="Reformer"),IF(COUNTIFS($D:$D,$D9501,$A:$A,$A9501,$B:$B,$B9501,$G:$G,"CDU",$J:$J,"PLANNED")&gt;0,"tied","standalone"),"")</f>
        <v/>
      </c>
    </row>
    <row r="9502" spans="6:14">
      <c r="F9502" s="6">
        <f>IF($M9502="PADD I","PADD 1",IF($M9502="PADD II","PADD 2",IF($M9502="PADD III","PADD 3",IF($M9502="PADD IV","PADD 4",IF($M9502="PADD V","PADD 5","")))))</f>
        <v/>
      </c>
      <c r="G9502" s="6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  <c r="N9502" s="6">
        <f>IF(OR($G9502="FCC",$G9502="Hydrocracker",$G9502="Reformer"),IF(COUNTIFS($D:$D,$D9502,$A:$A,$A9502,$B:$B,$B9502,$G:$G,"CDU",$J:$J,"PLANNED")&gt;0,"tied","standalone"),"")</f>
        <v/>
      </c>
    </row>
    <row r="9503" spans="6:14">
      <c r="F9503" s="6">
        <f>IF($M9503="PADD I","PADD 1",IF($M9503="PADD II","PADD 2",IF($M9503="PADD III","PADD 3",IF($M9503="PADD IV","PADD 4",IF($M9503="PADD V","PADD 5","")))))</f>
        <v/>
      </c>
      <c r="G9503" s="6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  <c r="N9503" s="6">
        <f>IF(OR($G9503="FCC",$G9503="Hydrocracker",$G9503="Reformer"),IF(COUNTIFS($D:$D,$D9503,$A:$A,$A9503,$B:$B,$B9503,$G:$G,"CDU",$J:$J,"PLANNED")&gt;0,"tied","standalone"),"")</f>
        <v/>
      </c>
    </row>
    <row r="9504" spans="6:14">
      <c r="F9504" s="6">
        <f>IF($M9504="PADD I","PADD 1",IF($M9504="PADD II","PADD 2",IF($M9504="PADD III","PADD 3",IF($M9504="PADD IV","PADD 4",IF($M9504="PADD V","PADD 5","")))))</f>
        <v/>
      </c>
      <c r="G9504" s="6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  <c r="N9504" s="6">
        <f>IF(OR($G9504="FCC",$G9504="Hydrocracker",$G9504="Reformer"),IF(COUNTIFS($D:$D,$D9504,$A:$A,$A9504,$B:$B,$B9504,$G:$G,"CDU",$J:$J,"PLANNED")&gt;0,"tied","standalone"),"")</f>
        <v/>
      </c>
    </row>
    <row r="9505" spans="6:14">
      <c r="F9505" s="6">
        <f>IF($M9505="PADD I","PADD 1",IF($M9505="PADD II","PADD 2",IF($M9505="PADD III","PADD 3",IF($M9505="PADD IV","PADD 4",IF($M9505="PADD V","PADD 5","")))))</f>
        <v/>
      </c>
      <c r="G9505" s="6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  <c r="N9505" s="6">
        <f>IF(OR($G9505="FCC",$G9505="Hydrocracker",$G9505="Reformer"),IF(COUNTIFS($D:$D,$D9505,$A:$A,$A9505,$B:$B,$B9505,$G:$G,"CDU",$J:$J,"PLANNED")&gt;0,"tied","standalone"),"")</f>
        <v/>
      </c>
    </row>
    <row r="9506" spans="6:14">
      <c r="F9506" s="6">
        <f>IF($M9506="PADD I","PADD 1",IF($M9506="PADD II","PADD 2",IF($M9506="PADD III","PADD 3",IF($M9506="PADD IV","PADD 4",IF($M9506="PADD V","PADD 5","")))))</f>
        <v/>
      </c>
      <c r="G9506" s="6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  <c r="N9506" s="6">
        <f>IF(OR($G9506="FCC",$G9506="Hydrocracker",$G9506="Reformer"),IF(COUNTIFS($D:$D,$D9506,$A:$A,$A9506,$B:$B,$B9506,$G:$G,"CDU",$J:$J,"PLANNED")&gt;0,"tied","standalone"),"")</f>
        <v/>
      </c>
    </row>
    <row r="9507" spans="6:14">
      <c r="F9507" s="6">
        <f>IF($M9507="PADD I","PADD 1",IF($M9507="PADD II","PADD 2",IF($M9507="PADD III","PADD 3",IF($M9507="PADD IV","PADD 4",IF($M9507="PADD V","PADD 5","")))))</f>
        <v/>
      </c>
      <c r="G9507" s="6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  <c r="N9507" s="6">
        <f>IF(OR($G9507="FCC",$G9507="Hydrocracker",$G9507="Reformer"),IF(COUNTIFS($D:$D,$D9507,$A:$A,$A9507,$B:$B,$B9507,$G:$G,"CDU",$J:$J,"PLANNED")&gt;0,"tied","standalone"),"")</f>
        <v/>
      </c>
    </row>
    <row r="9508" spans="6:14">
      <c r="F9508" s="6">
        <f>IF($M9508="PADD I","PADD 1",IF($M9508="PADD II","PADD 2",IF($M9508="PADD III","PADD 3",IF($M9508="PADD IV","PADD 4",IF($M9508="PADD V","PADD 5","")))))</f>
        <v/>
      </c>
      <c r="G9508" s="6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  <c r="N9508" s="6">
        <f>IF(OR($G9508="FCC",$G9508="Hydrocracker",$G9508="Reformer"),IF(COUNTIFS($D:$D,$D9508,$A:$A,$A9508,$B:$B,$B9508,$G:$G,"CDU",$J:$J,"PLANNED")&gt;0,"tied","standalone"),"")</f>
        <v/>
      </c>
    </row>
    <row r="9509" spans="6:14">
      <c r="F9509" s="6">
        <f>IF($M9509="PADD I","PADD 1",IF($M9509="PADD II","PADD 2",IF($M9509="PADD III","PADD 3",IF($M9509="PADD IV","PADD 4",IF($M9509="PADD V","PADD 5","")))))</f>
        <v/>
      </c>
      <c r="G9509" s="6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  <c r="N9509" s="6">
        <f>IF(OR($G9509="FCC",$G9509="Hydrocracker",$G9509="Reformer"),IF(COUNTIFS($D:$D,$D9509,$A:$A,$A9509,$B:$B,$B9509,$G:$G,"CDU",$J:$J,"PLANNED")&gt;0,"tied","standalone"),"")</f>
        <v/>
      </c>
    </row>
    <row r="9510" spans="6:14">
      <c r="F9510" s="6">
        <f>IF($M9510="PADD I","PADD 1",IF($M9510="PADD II","PADD 2",IF($M9510="PADD III","PADD 3",IF($M9510="PADD IV","PADD 4",IF($M9510="PADD V","PADD 5","")))))</f>
        <v/>
      </c>
      <c r="G9510" s="6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  <c r="N9510" s="6">
        <f>IF(OR($G9510="FCC",$G9510="Hydrocracker",$G9510="Reformer"),IF(COUNTIFS($D:$D,$D9510,$A:$A,$A9510,$B:$B,$B9510,$G:$G,"CDU",$J:$J,"PLANNED")&gt;0,"tied","standalone"),"")</f>
        <v/>
      </c>
    </row>
    <row r="9511" spans="6:14">
      <c r="F9511" s="6">
        <f>IF($M9511="PADD I","PADD 1",IF($M9511="PADD II","PADD 2",IF($M9511="PADD III","PADD 3",IF($M9511="PADD IV","PADD 4",IF($M9511="PADD V","PADD 5","")))))</f>
        <v/>
      </c>
      <c r="G9511" s="6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  <c r="N9511" s="6">
        <f>IF(OR($G9511="FCC",$G9511="Hydrocracker",$G9511="Reformer"),IF(COUNTIFS($D:$D,$D9511,$A:$A,$A9511,$B:$B,$B9511,$G:$G,"CDU",$J:$J,"PLANNED")&gt;0,"tied","standalone"),"")</f>
        <v/>
      </c>
    </row>
    <row r="9512" spans="6:14">
      <c r="F9512" s="6">
        <f>IF($M9512="PADD I","PADD 1",IF($M9512="PADD II","PADD 2",IF($M9512="PADD III","PADD 3",IF($M9512="PADD IV","PADD 4",IF($M9512="PADD V","PADD 5","")))))</f>
        <v/>
      </c>
      <c r="G9512" s="6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  <c r="N9512" s="6">
        <f>IF(OR($G9512="FCC",$G9512="Hydrocracker",$G9512="Reformer"),IF(COUNTIFS($D:$D,$D9512,$A:$A,$A9512,$B:$B,$B9512,$G:$G,"CDU",$J:$J,"PLANNED")&gt;0,"tied","standalone"),"")</f>
        <v/>
      </c>
    </row>
    <row r="9513" spans="6:14">
      <c r="F9513" s="6">
        <f>IF($M9513="PADD I","PADD 1",IF($M9513="PADD II","PADD 2",IF($M9513="PADD III","PADD 3",IF($M9513="PADD IV","PADD 4",IF($M9513="PADD V","PADD 5","")))))</f>
        <v/>
      </c>
      <c r="G9513" s="6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  <c r="N9513" s="6">
        <f>IF(OR($G9513="FCC",$G9513="Hydrocracker",$G9513="Reformer"),IF(COUNTIFS($D:$D,$D9513,$A:$A,$A9513,$B:$B,$B9513,$G:$G,"CDU",$J:$J,"PLANNED")&gt;0,"tied","standalone"),"")</f>
        <v/>
      </c>
    </row>
    <row r="9514" spans="6:14">
      <c r="F9514" s="6">
        <f>IF($M9514="PADD I","PADD 1",IF($M9514="PADD II","PADD 2",IF($M9514="PADD III","PADD 3",IF($M9514="PADD IV","PADD 4",IF($M9514="PADD V","PADD 5","")))))</f>
        <v/>
      </c>
      <c r="G9514" s="6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  <c r="N9514" s="6">
        <f>IF(OR($G9514="FCC",$G9514="Hydrocracker",$G9514="Reformer"),IF(COUNTIFS($D:$D,$D9514,$A:$A,$A9514,$B:$B,$B9514,$G:$G,"CDU",$J:$J,"PLANNED")&gt;0,"tied","standalone"),"")</f>
        <v/>
      </c>
    </row>
    <row r="9515" spans="6:14">
      <c r="F9515" s="6">
        <f>IF($M9515="PADD I","PADD 1",IF($M9515="PADD II","PADD 2",IF($M9515="PADD III","PADD 3",IF($M9515="PADD IV","PADD 4",IF($M9515="PADD V","PADD 5","")))))</f>
        <v/>
      </c>
      <c r="G9515" s="6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  <c r="N9515" s="6">
        <f>IF(OR($G9515="FCC",$G9515="Hydrocracker",$G9515="Reformer"),IF(COUNTIFS($D:$D,$D9515,$A:$A,$A9515,$B:$B,$B9515,$G:$G,"CDU",$J:$J,"PLANNED")&gt;0,"tied","standalone"),"")</f>
        <v/>
      </c>
    </row>
    <row r="9516" spans="6:14">
      <c r="F9516" s="6">
        <f>IF($M9516="PADD I","PADD 1",IF($M9516="PADD II","PADD 2",IF($M9516="PADD III","PADD 3",IF($M9516="PADD IV","PADD 4",IF($M9516="PADD V","PADD 5","")))))</f>
        <v/>
      </c>
      <c r="G9516" s="6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  <c r="N9516" s="6">
        <f>IF(OR($G9516="FCC",$G9516="Hydrocracker",$G9516="Reformer"),IF(COUNTIFS($D:$D,$D9516,$A:$A,$A9516,$B:$B,$B9516,$G:$G,"CDU",$J:$J,"PLANNED")&gt;0,"tied","standalone"),"")</f>
        <v/>
      </c>
    </row>
    <row r="9517" spans="6:14">
      <c r="F9517" s="6">
        <f>IF($M9517="PADD I","PADD 1",IF($M9517="PADD II","PADD 2",IF($M9517="PADD III","PADD 3",IF($M9517="PADD IV","PADD 4",IF($M9517="PADD V","PADD 5","")))))</f>
        <v/>
      </c>
      <c r="G9517" s="6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  <c r="N9517" s="6">
        <f>IF(OR($G9517="FCC",$G9517="Hydrocracker",$G9517="Reformer"),IF(COUNTIFS($D:$D,$D9517,$A:$A,$A9517,$B:$B,$B9517,$G:$G,"CDU",$J:$J,"PLANNED")&gt;0,"tied","standalone"),"")</f>
        <v/>
      </c>
    </row>
    <row r="9518" spans="6:14">
      <c r="F9518" s="6">
        <f>IF($M9518="PADD I","PADD 1",IF($M9518="PADD II","PADD 2",IF($M9518="PADD III","PADD 3",IF($M9518="PADD IV","PADD 4",IF($M9518="PADD V","PADD 5","")))))</f>
        <v/>
      </c>
      <c r="G9518" s="6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  <c r="N9518" s="6">
        <f>IF(OR($G9518="FCC",$G9518="Hydrocracker",$G9518="Reformer"),IF(COUNTIFS($D:$D,$D9518,$A:$A,$A9518,$B:$B,$B9518,$G:$G,"CDU",$J:$J,"PLANNED")&gt;0,"tied","standalone"),"")</f>
        <v/>
      </c>
    </row>
    <row r="9519" spans="6:14">
      <c r="F9519" s="6">
        <f>IF($M9519="PADD I","PADD 1",IF($M9519="PADD II","PADD 2",IF($M9519="PADD III","PADD 3",IF($M9519="PADD IV","PADD 4",IF($M9519="PADD V","PADD 5","")))))</f>
        <v/>
      </c>
      <c r="G9519" s="6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  <c r="N9519" s="6">
        <f>IF(OR($G9519="FCC",$G9519="Hydrocracker",$G9519="Reformer"),IF(COUNTIFS($D:$D,$D9519,$A:$A,$A9519,$B:$B,$B9519,$G:$G,"CDU",$J:$J,"PLANNED")&gt;0,"tied","standalone"),"")</f>
        <v/>
      </c>
    </row>
    <row r="9520" spans="6:14">
      <c r="F9520" s="6">
        <f>IF($M9520="PADD I","PADD 1",IF($M9520="PADD II","PADD 2",IF($M9520="PADD III","PADD 3",IF($M9520="PADD IV","PADD 4",IF($M9520="PADD V","PADD 5","")))))</f>
        <v/>
      </c>
      <c r="G9520" s="6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  <c r="N9520" s="6">
        <f>IF(OR($G9520="FCC",$G9520="Hydrocracker",$G9520="Reformer"),IF(COUNTIFS($D:$D,$D9520,$A:$A,$A9520,$B:$B,$B9520,$G:$G,"CDU",$J:$J,"PLANNED")&gt;0,"tied","standalone"),"")</f>
        <v/>
      </c>
    </row>
    <row r="9521" spans="6:14">
      <c r="F9521" s="6">
        <f>IF($M9521="PADD I","PADD 1",IF($M9521="PADD II","PADD 2",IF($M9521="PADD III","PADD 3",IF($M9521="PADD IV","PADD 4",IF($M9521="PADD V","PADD 5","")))))</f>
        <v/>
      </c>
      <c r="G9521" s="6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  <c r="N9521" s="6">
        <f>IF(OR($G9521="FCC",$G9521="Hydrocracker",$G9521="Reformer"),IF(COUNTIFS($D:$D,$D9521,$A:$A,$A9521,$B:$B,$B9521,$G:$G,"CDU",$J:$J,"PLANNED")&gt;0,"tied","standalone"),"")</f>
        <v/>
      </c>
    </row>
    <row r="9522" spans="6:14">
      <c r="F9522" s="6">
        <f>IF($M9522="PADD I","PADD 1",IF($M9522="PADD II","PADD 2",IF($M9522="PADD III","PADD 3",IF($M9522="PADD IV","PADD 4",IF($M9522="PADD V","PADD 5","")))))</f>
        <v/>
      </c>
      <c r="G9522" s="6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  <c r="N9522" s="6">
        <f>IF(OR($G9522="FCC",$G9522="Hydrocracker",$G9522="Reformer"),IF(COUNTIFS($D:$D,$D9522,$A:$A,$A9522,$B:$B,$B9522,$G:$G,"CDU",$J:$J,"PLANNED")&gt;0,"tied","standalone"),"")</f>
        <v/>
      </c>
    </row>
    <row r="9523" spans="6:14">
      <c r="F9523" s="6">
        <f>IF($M9523="PADD I","PADD 1",IF($M9523="PADD II","PADD 2",IF($M9523="PADD III","PADD 3",IF($M9523="PADD IV","PADD 4",IF($M9523="PADD V","PADD 5","")))))</f>
        <v/>
      </c>
      <c r="G9523" s="6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  <c r="N9523" s="6">
        <f>IF(OR($G9523="FCC",$G9523="Hydrocracker",$G9523="Reformer"),IF(COUNTIFS($D:$D,$D9523,$A:$A,$A9523,$B:$B,$B9523,$G:$G,"CDU",$J:$J,"PLANNED")&gt;0,"tied","standalone"),"")</f>
        <v/>
      </c>
    </row>
    <row r="9524" spans="6:14">
      <c r="F9524" s="6">
        <f>IF($M9524="PADD I","PADD 1",IF($M9524="PADD II","PADD 2",IF($M9524="PADD III","PADD 3",IF($M9524="PADD IV","PADD 4",IF($M9524="PADD V","PADD 5","")))))</f>
        <v/>
      </c>
      <c r="G9524" s="6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  <c r="N9524" s="6">
        <f>IF(OR($G9524="FCC",$G9524="Hydrocracker",$G9524="Reformer"),IF(COUNTIFS($D:$D,$D9524,$A:$A,$A9524,$B:$B,$B9524,$G:$G,"CDU",$J:$J,"PLANNED")&gt;0,"tied","standalone"),"")</f>
        <v/>
      </c>
    </row>
    <row r="9525" spans="6:14">
      <c r="F9525" s="6">
        <f>IF($M9525="PADD I","PADD 1",IF($M9525="PADD II","PADD 2",IF($M9525="PADD III","PADD 3",IF($M9525="PADD IV","PADD 4",IF($M9525="PADD V","PADD 5","")))))</f>
        <v/>
      </c>
      <c r="G9525" s="6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  <c r="N9525" s="6">
        <f>IF(OR($G9525="FCC",$G9525="Hydrocracker",$G9525="Reformer"),IF(COUNTIFS($D:$D,$D9525,$A:$A,$A9525,$B:$B,$B9525,$G:$G,"CDU",$J:$J,"PLANNED")&gt;0,"tied","standalone"),"")</f>
        <v/>
      </c>
    </row>
    <row r="9526" spans="6:14">
      <c r="F9526" s="6">
        <f>IF($M9526="PADD I","PADD 1",IF($M9526="PADD II","PADD 2",IF($M9526="PADD III","PADD 3",IF($M9526="PADD IV","PADD 4",IF($M9526="PADD V","PADD 5","")))))</f>
        <v/>
      </c>
      <c r="G9526" s="6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  <c r="N9526" s="6">
        <f>IF(OR($G9526="FCC",$G9526="Hydrocracker",$G9526="Reformer"),IF(COUNTIFS($D:$D,$D9526,$A:$A,$A9526,$B:$B,$B9526,$G:$G,"CDU",$J:$J,"PLANNED")&gt;0,"tied","standalone"),"")</f>
        <v/>
      </c>
    </row>
    <row r="9527" spans="6:14">
      <c r="F9527" s="6">
        <f>IF($M9527="PADD I","PADD 1",IF($M9527="PADD II","PADD 2",IF($M9527="PADD III","PADD 3",IF($M9527="PADD IV","PADD 4",IF($M9527="PADD V","PADD 5","")))))</f>
        <v/>
      </c>
      <c r="G9527" s="6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  <c r="N9527" s="6">
        <f>IF(OR($G9527="FCC",$G9527="Hydrocracker",$G9527="Reformer"),IF(COUNTIFS($D:$D,$D9527,$A:$A,$A9527,$B:$B,$B9527,$G:$G,"CDU",$J:$J,"PLANNED")&gt;0,"tied","standalone"),"")</f>
        <v/>
      </c>
    </row>
    <row r="9528" spans="6:14">
      <c r="F9528" s="6">
        <f>IF($M9528="PADD I","PADD 1",IF($M9528="PADD II","PADD 2",IF($M9528="PADD III","PADD 3",IF($M9528="PADD IV","PADD 4",IF($M9528="PADD V","PADD 5","")))))</f>
        <v/>
      </c>
      <c r="G9528" s="6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  <c r="N9528" s="6">
        <f>IF(OR($G9528="FCC",$G9528="Hydrocracker",$G9528="Reformer"),IF(COUNTIFS($D:$D,$D9528,$A:$A,$A9528,$B:$B,$B9528,$G:$G,"CDU",$J:$J,"PLANNED")&gt;0,"tied","standalone"),"")</f>
        <v/>
      </c>
    </row>
    <row r="9529" spans="6:14">
      <c r="F9529" s="6">
        <f>IF($M9529="PADD I","PADD 1",IF($M9529="PADD II","PADD 2",IF($M9529="PADD III","PADD 3",IF($M9529="PADD IV","PADD 4",IF($M9529="PADD V","PADD 5","")))))</f>
        <v/>
      </c>
      <c r="G9529" s="6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  <c r="N9529" s="6">
        <f>IF(OR($G9529="FCC",$G9529="Hydrocracker",$G9529="Reformer"),IF(COUNTIFS($D:$D,$D9529,$A:$A,$A9529,$B:$B,$B9529,$G:$G,"CDU",$J:$J,"PLANNED")&gt;0,"tied","standalone"),"")</f>
        <v/>
      </c>
    </row>
    <row r="9530" spans="6:14">
      <c r="F9530" s="6">
        <f>IF($M9530="PADD I","PADD 1",IF($M9530="PADD II","PADD 2",IF($M9530="PADD III","PADD 3",IF($M9530="PADD IV","PADD 4",IF($M9530="PADD V","PADD 5","")))))</f>
        <v/>
      </c>
      <c r="G9530" s="6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  <c r="N9530" s="6">
        <f>IF(OR($G9530="FCC",$G9530="Hydrocracker",$G9530="Reformer"),IF(COUNTIFS($D:$D,$D9530,$A:$A,$A9530,$B:$B,$B9530,$G:$G,"CDU",$J:$J,"PLANNED")&gt;0,"tied","standalone"),"")</f>
        <v/>
      </c>
    </row>
    <row r="9531" spans="6:14">
      <c r="F9531" s="6">
        <f>IF($M9531="PADD I","PADD 1",IF($M9531="PADD II","PADD 2",IF($M9531="PADD III","PADD 3",IF($M9531="PADD IV","PADD 4",IF($M9531="PADD V","PADD 5","")))))</f>
        <v/>
      </c>
      <c r="G9531" s="6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  <c r="N9531" s="6">
        <f>IF(OR($G9531="FCC",$G9531="Hydrocracker",$G9531="Reformer"),IF(COUNTIFS($D:$D,$D9531,$A:$A,$A9531,$B:$B,$B9531,$G:$G,"CDU",$J:$J,"PLANNED")&gt;0,"tied","standalone"),"")</f>
        <v/>
      </c>
    </row>
    <row r="9532" spans="6:14">
      <c r="F9532" s="6">
        <f>IF($M9532="PADD I","PADD 1",IF($M9532="PADD II","PADD 2",IF($M9532="PADD III","PADD 3",IF($M9532="PADD IV","PADD 4",IF($M9532="PADD V","PADD 5","")))))</f>
        <v/>
      </c>
      <c r="G9532" s="6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  <c r="N9532" s="6">
        <f>IF(OR($G9532="FCC",$G9532="Hydrocracker",$G9532="Reformer"),IF(COUNTIFS($D:$D,$D9532,$A:$A,$A9532,$B:$B,$B9532,$G:$G,"CDU",$J:$J,"PLANNED")&gt;0,"tied","standalone"),"")</f>
        <v/>
      </c>
    </row>
    <row r="9533" spans="6:14">
      <c r="F9533" s="6">
        <f>IF($M9533="PADD I","PADD 1",IF($M9533="PADD II","PADD 2",IF($M9533="PADD III","PADD 3",IF($M9533="PADD IV","PADD 4",IF($M9533="PADD V","PADD 5","")))))</f>
        <v/>
      </c>
      <c r="G9533" s="6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  <c r="N9533" s="6">
        <f>IF(OR($G9533="FCC",$G9533="Hydrocracker",$G9533="Reformer"),IF(COUNTIFS($D:$D,$D9533,$A:$A,$A9533,$B:$B,$B9533,$G:$G,"CDU",$J:$J,"PLANNED")&gt;0,"tied","standalone"),"")</f>
        <v/>
      </c>
    </row>
    <row r="9534" spans="6:14">
      <c r="F9534" s="6">
        <f>IF($M9534="PADD I","PADD 1",IF($M9534="PADD II","PADD 2",IF($M9534="PADD III","PADD 3",IF($M9534="PADD IV","PADD 4",IF($M9534="PADD V","PADD 5","")))))</f>
        <v/>
      </c>
      <c r="G9534" s="6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  <c r="N9534" s="6">
        <f>IF(OR($G9534="FCC",$G9534="Hydrocracker",$G9534="Reformer"),IF(COUNTIFS($D:$D,$D9534,$A:$A,$A9534,$B:$B,$B9534,$G:$G,"CDU",$J:$J,"PLANNED")&gt;0,"tied","standalone"),"")</f>
        <v/>
      </c>
    </row>
    <row r="9535" spans="6:14">
      <c r="F9535" s="6">
        <f>IF($M9535="PADD I","PADD 1",IF($M9535="PADD II","PADD 2",IF($M9535="PADD III","PADD 3",IF($M9535="PADD IV","PADD 4",IF($M9535="PADD V","PADD 5","")))))</f>
        <v/>
      </c>
      <c r="G9535" s="6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  <c r="N9535" s="6">
        <f>IF(OR($G9535="FCC",$G9535="Hydrocracker",$G9535="Reformer"),IF(COUNTIFS($D:$D,$D9535,$A:$A,$A9535,$B:$B,$B9535,$G:$G,"CDU",$J:$J,"PLANNED")&gt;0,"tied","standalone"),"")</f>
        <v/>
      </c>
    </row>
    <row r="9536" spans="6:14">
      <c r="F9536" s="6">
        <f>IF($M9536="PADD I","PADD 1",IF($M9536="PADD II","PADD 2",IF($M9536="PADD III","PADD 3",IF($M9536="PADD IV","PADD 4",IF($M9536="PADD V","PADD 5","")))))</f>
        <v/>
      </c>
      <c r="G9536" s="6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  <c r="N9536" s="6">
        <f>IF(OR($G9536="FCC",$G9536="Hydrocracker",$G9536="Reformer"),IF(COUNTIFS($D:$D,$D9536,$A:$A,$A9536,$B:$B,$B9536,$G:$G,"CDU",$J:$J,"PLANNED")&gt;0,"tied","standalone"),"")</f>
        <v/>
      </c>
    </row>
    <row r="9537" spans="6:14">
      <c r="F9537" s="6">
        <f>IF($M9537="PADD I","PADD 1",IF($M9537="PADD II","PADD 2",IF($M9537="PADD III","PADD 3",IF($M9537="PADD IV","PADD 4",IF($M9537="PADD V","PADD 5","")))))</f>
        <v/>
      </c>
      <c r="G9537" s="6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  <c r="N9537" s="6">
        <f>IF(OR($G9537="FCC",$G9537="Hydrocracker",$G9537="Reformer"),IF(COUNTIFS($D:$D,$D9537,$A:$A,$A9537,$B:$B,$B9537,$G:$G,"CDU",$J:$J,"PLANNED")&gt;0,"tied","standalone"),"")</f>
        <v/>
      </c>
    </row>
    <row r="9538" spans="6:14">
      <c r="F9538" s="6">
        <f>IF($M9538="PADD I","PADD 1",IF($M9538="PADD II","PADD 2",IF($M9538="PADD III","PADD 3",IF($M9538="PADD IV","PADD 4",IF($M9538="PADD V","PADD 5","")))))</f>
        <v/>
      </c>
      <c r="G9538" s="6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  <c r="N9538" s="6">
        <f>IF(OR($G9538="FCC",$G9538="Hydrocracker",$G9538="Reformer"),IF(COUNTIFS($D:$D,$D9538,$A:$A,$A9538,$B:$B,$B9538,$G:$G,"CDU",$J:$J,"PLANNED")&gt;0,"tied","standalone"),"")</f>
        <v/>
      </c>
    </row>
    <row r="9539" spans="6:14">
      <c r="F9539" s="6">
        <f>IF($M9539="PADD I","PADD 1",IF($M9539="PADD II","PADD 2",IF($M9539="PADD III","PADD 3",IF($M9539="PADD IV","PADD 4",IF($M9539="PADD V","PADD 5","")))))</f>
        <v/>
      </c>
      <c r="G9539" s="6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  <c r="N9539" s="6">
        <f>IF(OR($G9539="FCC",$G9539="Hydrocracker",$G9539="Reformer"),IF(COUNTIFS($D:$D,$D9539,$A:$A,$A9539,$B:$B,$B9539,$G:$G,"CDU",$J:$J,"PLANNED")&gt;0,"tied","standalone"),"")</f>
        <v/>
      </c>
    </row>
    <row r="9540" spans="6:14">
      <c r="F9540" s="6">
        <f>IF($M9540="PADD I","PADD 1",IF($M9540="PADD II","PADD 2",IF($M9540="PADD III","PADD 3",IF($M9540="PADD IV","PADD 4",IF($M9540="PADD V","PADD 5","")))))</f>
        <v/>
      </c>
      <c r="G9540" s="6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  <c r="N9540" s="6">
        <f>IF(OR($G9540="FCC",$G9540="Hydrocracker",$G9540="Reformer"),IF(COUNTIFS($D:$D,$D9540,$A:$A,$A9540,$B:$B,$B9540,$G:$G,"CDU",$J:$J,"PLANNED")&gt;0,"tied","standalone"),"")</f>
        <v/>
      </c>
    </row>
    <row r="9541" spans="6:14">
      <c r="F9541" s="6">
        <f>IF($M9541="PADD I","PADD 1",IF($M9541="PADD II","PADD 2",IF($M9541="PADD III","PADD 3",IF($M9541="PADD IV","PADD 4",IF($M9541="PADD V","PADD 5","")))))</f>
        <v/>
      </c>
      <c r="G9541" s="6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  <c r="N9541" s="6">
        <f>IF(OR($G9541="FCC",$G9541="Hydrocracker",$G9541="Reformer"),IF(COUNTIFS($D:$D,$D9541,$A:$A,$A9541,$B:$B,$B9541,$G:$G,"CDU",$J:$J,"PLANNED")&gt;0,"tied","standalone"),"")</f>
        <v/>
      </c>
    </row>
    <row r="9542" spans="6:14">
      <c r="F9542" s="6">
        <f>IF($M9542="PADD I","PADD 1",IF($M9542="PADD II","PADD 2",IF($M9542="PADD III","PADD 3",IF($M9542="PADD IV","PADD 4",IF($M9542="PADD V","PADD 5","")))))</f>
        <v/>
      </c>
      <c r="G9542" s="6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  <c r="N9542" s="6">
        <f>IF(OR($G9542="FCC",$G9542="Hydrocracker",$G9542="Reformer"),IF(COUNTIFS($D:$D,$D9542,$A:$A,$A9542,$B:$B,$B9542,$G:$G,"CDU",$J:$J,"PLANNED")&gt;0,"tied","standalone"),"")</f>
        <v/>
      </c>
    </row>
    <row r="9543" spans="6:14">
      <c r="F9543" s="6">
        <f>IF($M9543="PADD I","PADD 1",IF($M9543="PADD II","PADD 2",IF($M9543="PADD III","PADD 3",IF($M9543="PADD IV","PADD 4",IF($M9543="PADD V","PADD 5","")))))</f>
        <v/>
      </c>
      <c r="G9543" s="6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  <c r="N9543" s="6">
        <f>IF(OR($G9543="FCC",$G9543="Hydrocracker",$G9543="Reformer"),IF(COUNTIFS($D:$D,$D9543,$A:$A,$A9543,$B:$B,$B9543,$G:$G,"CDU",$J:$J,"PLANNED")&gt;0,"tied","standalone"),"")</f>
        <v/>
      </c>
    </row>
    <row r="9544" spans="6:14">
      <c r="F9544" s="6">
        <f>IF($M9544="PADD I","PADD 1",IF($M9544="PADD II","PADD 2",IF($M9544="PADD III","PADD 3",IF($M9544="PADD IV","PADD 4",IF($M9544="PADD V","PADD 5","")))))</f>
        <v/>
      </c>
      <c r="G9544" s="6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  <c r="N9544" s="6">
        <f>IF(OR($G9544="FCC",$G9544="Hydrocracker",$G9544="Reformer"),IF(COUNTIFS($D:$D,$D9544,$A:$A,$A9544,$B:$B,$B9544,$G:$G,"CDU",$J:$J,"PLANNED")&gt;0,"tied","standalone"),"")</f>
        <v/>
      </c>
    </row>
    <row r="9545" spans="6:14">
      <c r="F9545" s="6">
        <f>IF($M9545="PADD I","PADD 1",IF($M9545="PADD II","PADD 2",IF($M9545="PADD III","PADD 3",IF($M9545="PADD IV","PADD 4",IF($M9545="PADD V","PADD 5","")))))</f>
        <v/>
      </c>
      <c r="G9545" s="6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  <c r="N9545" s="6">
        <f>IF(OR($G9545="FCC",$G9545="Hydrocracker",$G9545="Reformer"),IF(COUNTIFS($D:$D,$D9545,$A:$A,$A9545,$B:$B,$B9545,$G:$G,"CDU",$J:$J,"PLANNED")&gt;0,"tied","standalone"),"")</f>
        <v/>
      </c>
    </row>
    <row r="9546" spans="6:14">
      <c r="F9546" s="6">
        <f>IF($M9546="PADD I","PADD 1",IF($M9546="PADD II","PADD 2",IF($M9546="PADD III","PADD 3",IF($M9546="PADD IV","PADD 4",IF($M9546="PADD V","PADD 5","")))))</f>
        <v/>
      </c>
      <c r="G9546" s="6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  <c r="N9546" s="6">
        <f>IF(OR($G9546="FCC",$G9546="Hydrocracker",$G9546="Reformer"),IF(COUNTIFS($D:$D,$D9546,$A:$A,$A9546,$B:$B,$B9546,$G:$G,"CDU",$J:$J,"PLANNED")&gt;0,"tied","standalone"),"")</f>
        <v/>
      </c>
    </row>
    <row r="9547" spans="6:14">
      <c r="F9547" s="6">
        <f>IF($M9547="PADD I","PADD 1",IF($M9547="PADD II","PADD 2",IF($M9547="PADD III","PADD 3",IF($M9547="PADD IV","PADD 4",IF($M9547="PADD V","PADD 5","")))))</f>
        <v/>
      </c>
      <c r="G9547" s="6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  <c r="N9547" s="6">
        <f>IF(OR($G9547="FCC",$G9547="Hydrocracker",$G9547="Reformer"),IF(COUNTIFS($D:$D,$D9547,$A:$A,$A9547,$B:$B,$B9547,$G:$G,"CDU",$J:$J,"PLANNED")&gt;0,"tied","standalone"),"")</f>
        <v/>
      </c>
    </row>
    <row r="9548" spans="6:14">
      <c r="F9548" s="6">
        <f>IF($M9548="PADD I","PADD 1",IF($M9548="PADD II","PADD 2",IF($M9548="PADD III","PADD 3",IF($M9548="PADD IV","PADD 4",IF($M9548="PADD V","PADD 5","")))))</f>
        <v/>
      </c>
      <c r="G9548" s="6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  <c r="N9548" s="6">
        <f>IF(OR($G9548="FCC",$G9548="Hydrocracker",$G9548="Reformer"),IF(COUNTIFS($D:$D,$D9548,$A:$A,$A9548,$B:$B,$B9548,$G:$G,"CDU",$J:$J,"PLANNED")&gt;0,"tied","standalone"),"")</f>
        <v/>
      </c>
    </row>
    <row r="9549" spans="6:14">
      <c r="F9549" s="6">
        <f>IF($M9549="PADD I","PADD 1",IF($M9549="PADD II","PADD 2",IF($M9549="PADD III","PADD 3",IF($M9549="PADD IV","PADD 4",IF($M9549="PADD V","PADD 5","")))))</f>
        <v/>
      </c>
      <c r="G9549" s="6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  <c r="N9549" s="6">
        <f>IF(OR($G9549="FCC",$G9549="Hydrocracker",$G9549="Reformer"),IF(COUNTIFS($D:$D,$D9549,$A:$A,$A9549,$B:$B,$B9549,$G:$G,"CDU",$J:$J,"PLANNED")&gt;0,"tied","standalone"),"")</f>
        <v/>
      </c>
    </row>
    <row r="9550" spans="6:14">
      <c r="F9550" s="6">
        <f>IF($M9550="PADD I","PADD 1",IF($M9550="PADD II","PADD 2",IF($M9550="PADD III","PADD 3",IF($M9550="PADD IV","PADD 4",IF($M9550="PADD V","PADD 5","")))))</f>
        <v/>
      </c>
      <c r="G9550" s="6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  <c r="N9550" s="6">
        <f>IF(OR($G9550="FCC",$G9550="Hydrocracker",$G9550="Reformer"),IF(COUNTIFS($D:$D,$D9550,$A:$A,$A9550,$B:$B,$B9550,$G:$G,"CDU",$J:$J,"PLANNED")&gt;0,"tied","standalone"),"")</f>
        <v/>
      </c>
    </row>
    <row r="9551" spans="6:14">
      <c r="F9551" s="6">
        <f>IF($M9551="PADD I","PADD 1",IF($M9551="PADD II","PADD 2",IF($M9551="PADD III","PADD 3",IF($M9551="PADD IV","PADD 4",IF($M9551="PADD V","PADD 5","")))))</f>
        <v/>
      </c>
      <c r="G9551" s="6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  <c r="N9551" s="6">
        <f>IF(OR($G9551="FCC",$G9551="Hydrocracker",$G9551="Reformer"),IF(COUNTIFS($D:$D,$D9551,$A:$A,$A9551,$B:$B,$B9551,$G:$G,"CDU",$J:$J,"PLANNED")&gt;0,"tied","standalone"),"")</f>
        <v/>
      </c>
    </row>
    <row r="9552" spans="6:14">
      <c r="F9552" s="6">
        <f>IF($M9552="PADD I","PADD 1",IF($M9552="PADD II","PADD 2",IF($M9552="PADD III","PADD 3",IF($M9552="PADD IV","PADD 4",IF($M9552="PADD V","PADD 5","")))))</f>
        <v/>
      </c>
      <c r="G9552" s="6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  <c r="N9552" s="6">
        <f>IF(OR($G9552="FCC",$G9552="Hydrocracker",$G9552="Reformer"),IF(COUNTIFS($D:$D,$D9552,$A:$A,$A9552,$B:$B,$B9552,$G:$G,"CDU",$J:$J,"PLANNED")&gt;0,"tied","standalone"),"")</f>
        <v/>
      </c>
    </row>
    <row r="9553" spans="6:14">
      <c r="F9553" s="6">
        <f>IF($M9553="PADD I","PADD 1",IF($M9553="PADD II","PADD 2",IF($M9553="PADD III","PADD 3",IF($M9553="PADD IV","PADD 4",IF($M9553="PADD V","PADD 5","")))))</f>
        <v/>
      </c>
      <c r="G9553" s="6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  <c r="N9553" s="6">
        <f>IF(OR($G9553="FCC",$G9553="Hydrocracker",$G9553="Reformer"),IF(COUNTIFS($D:$D,$D9553,$A:$A,$A9553,$B:$B,$B9553,$G:$G,"CDU",$J:$J,"PLANNED")&gt;0,"tied","standalone"),"")</f>
        <v/>
      </c>
    </row>
    <row r="9554" spans="6:14">
      <c r="F9554" s="6">
        <f>IF($M9554="PADD I","PADD 1",IF($M9554="PADD II","PADD 2",IF($M9554="PADD III","PADD 3",IF($M9554="PADD IV","PADD 4",IF($M9554="PADD V","PADD 5","")))))</f>
        <v/>
      </c>
      <c r="G9554" s="6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  <c r="N9554" s="6">
        <f>IF(OR($G9554="FCC",$G9554="Hydrocracker",$G9554="Reformer"),IF(COUNTIFS($D:$D,$D9554,$A:$A,$A9554,$B:$B,$B9554,$G:$G,"CDU",$J:$J,"PLANNED")&gt;0,"tied","standalone"),"")</f>
        <v/>
      </c>
    </row>
    <row r="9555" spans="6:14">
      <c r="F9555" s="6">
        <f>IF($M9555="PADD I","PADD 1",IF($M9555="PADD II","PADD 2",IF($M9555="PADD III","PADD 3",IF($M9555="PADD IV","PADD 4",IF($M9555="PADD V","PADD 5","")))))</f>
        <v/>
      </c>
      <c r="G9555" s="6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  <c r="N9555" s="6">
        <f>IF(OR($G9555="FCC",$G9555="Hydrocracker",$G9555="Reformer"),IF(COUNTIFS($D:$D,$D9555,$A:$A,$A9555,$B:$B,$B9555,$G:$G,"CDU",$J:$J,"PLANNED")&gt;0,"tied","standalone"),"")</f>
        <v/>
      </c>
    </row>
    <row r="9556" spans="6:14">
      <c r="F9556" s="6">
        <f>IF($M9556="PADD I","PADD 1",IF($M9556="PADD II","PADD 2",IF($M9556="PADD III","PADD 3",IF($M9556="PADD IV","PADD 4",IF($M9556="PADD V","PADD 5","")))))</f>
        <v/>
      </c>
      <c r="G9556" s="6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  <c r="N9556" s="6">
        <f>IF(OR($G9556="FCC",$G9556="Hydrocracker",$G9556="Reformer"),IF(COUNTIFS($D:$D,$D9556,$A:$A,$A9556,$B:$B,$B9556,$G:$G,"CDU",$J:$J,"PLANNED")&gt;0,"tied","standalone"),"")</f>
        <v/>
      </c>
    </row>
    <row r="9557" spans="6:14">
      <c r="F9557" s="6">
        <f>IF($M9557="PADD I","PADD 1",IF($M9557="PADD II","PADD 2",IF($M9557="PADD III","PADD 3",IF($M9557="PADD IV","PADD 4",IF($M9557="PADD V","PADD 5","")))))</f>
        <v/>
      </c>
      <c r="G9557" s="6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  <c r="N9557" s="6">
        <f>IF(OR($G9557="FCC",$G9557="Hydrocracker",$G9557="Reformer"),IF(COUNTIFS($D:$D,$D9557,$A:$A,$A9557,$B:$B,$B9557,$G:$G,"CDU",$J:$J,"PLANNED")&gt;0,"tied","standalone"),"")</f>
        <v/>
      </c>
    </row>
    <row r="9558" spans="6:14">
      <c r="F9558" s="6">
        <f>IF($M9558="PADD I","PADD 1",IF($M9558="PADD II","PADD 2",IF($M9558="PADD III","PADD 3",IF($M9558="PADD IV","PADD 4",IF($M9558="PADD V","PADD 5","")))))</f>
        <v/>
      </c>
      <c r="G9558" s="6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  <c r="N9558" s="6">
        <f>IF(OR($G9558="FCC",$G9558="Hydrocracker",$G9558="Reformer"),IF(COUNTIFS($D:$D,$D9558,$A:$A,$A9558,$B:$B,$B9558,$G:$G,"CDU",$J:$J,"PLANNED")&gt;0,"tied","standalone"),"")</f>
        <v/>
      </c>
    </row>
    <row r="9559" spans="6:14">
      <c r="F9559" s="6">
        <f>IF($M9559="PADD I","PADD 1",IF($M9559="PADD II","PADD 2",IF($M9559="PADD III","PADD 3",IF($M9559="PADD IV","PADD 4",IF($M9559="PADD V","PADD 5","")))))</f>
        <v/>
      </c>
      <c r="G9559" s="6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  <c r="N9559" s="6">
        <f>IF(OR($G9559="FCC",$G9559="Hydrocracker",$G9559="Reformer"),IF(COUNTIFS($D:$D,$D9559,$A:$A,$A9559,$B:$B,$B9559,$G:$G,"CDU",$J:$J,"PLANNED")&gt;0,"tied","standalone"),"")</f>
        <v/>
      </c>
    </row>
    <row r="9560" spans="6:14">
      <c r="F9560" s="6">
        <f>IF($M9560="PADD I","PADD 1",IF($M9560="PADD II","PADD 2",IF($M9560="PADD III","PADD 3",IF($M9560="PADD IV","PADD 4",IF($M9560="PADD V","PADD 5","")))))</f>
        <v/>
      </c>
      <c r="G9560" s="6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  <c r="N9560" s="6">
        <f>IF(OR($G9560="FCC",$G9560="Hydrocracker",$G9560="Reformer"),IF(COUNTIFS($D:$D,$D9560,$A:$A,$A9560,$B:$B,$B9560,$G:$G,"CDU",$J:$J,"PLANNED")&gt;0,"tied","standalone"),"")</f>
        <v/>
      </c>
    </row>
    <row r="9561" spans="6:14">
      <c r="F9561" s="6">
        <f>IF($M9561="PADD I","PADD 1",IF($M9561="PADD II","PADD 2",IF($M9561="PADD III","PADD 3",IF($M9561="PADD IV","PADD 4",IF($M9561="PADD V","PADD 5","")))))</f>
        <v/>
      </c>
      <c r="G9561" s="6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  <c r="N9561" s="6">
        <f>IF(OR($G9561="FCC",$G9561="Hydrocracker",$G9561="Reformer"),IF(COUNTIFS($D:$D,$D9561,$A:$A,$A9561,$B:$B,$B9561,$G:$G,"CDU",$J:$J,"PLANNED")&gt;0,"tied","standalone"),"")</f>
        <v/>
      </c>
    </row>
    <row r="9562" spans="6:14">
      <c r="F9562" s="6">
        <f>IF($M9562="PADD I","PADD 1",IF($M9562="PADD II","PADD 2",IF($M9562="PADD III","PADD 3",IF($M9562="PADD IV","PADD 4",IF($M9562="PADD V","PADD 5","")))))</f>
        <v/>
      </c>
      <c r="G9562" s="6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  <c r="N9562" s="6">
        <f>IF(OR($G9562="FCC",$G9562="Hydrocracker",$G9562="Reformer"),IF(COUNTIFS($D:$D,$D9562,$A:$A,$A9562,$B:$B,$B9562,$G:$G,"CDU",$J:$J,"PLANNED")&gt;0,"tied","standalone"),"")</f>
        <v/>
      </c>
    </row>
    <row r="9563" spans="6:14">
      <c r="F9563" s="6">
        <f>IF($M9563="PADD I","PADD 1",IF($M9563="PADD II","PADD 2",IF($M9563="PADD III","PADD 3",IF($M9563="PADD IV","PADD 4",IF($M9563="PADD V","PADD 5","")))))</f>
        <v/>
      </c>
      <c r="G9563" s="6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  <c r="N9563" s="6">
        <f>IF(OR($G9563="FCC",$G9563="Hydrocracker",$G9563="Reformer"),IF(COUNTIFS($D:$D,$D9563,$A:$A,$A9563,$B:$B,$B9563,$G:$G,"CDU",$J:$J,"PLANNED")&gt;0,"tied","standalone"),"")</f>
        <v/>
      </c>
    </row>
    <row r="9564" spans="6:14">
      <c r="F9564" s="6">
        <f>IF($M9564="PADD I","PADD 1",IF($M9564="PADD II","PADD 2",IF($M9564="PADD III","PADD 3",IF($M9564="PADD IV","PADD 4",IF($M9564="PADD V","PADD 5","")))))</f>
        <v/>
      </c>
      <c r="G9564" s="6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  <c r="N9564" s="6">
        <f>IF(OR($G9564="FCC",$G9564="Hydrocracker",$G9564="Reformer"),IF(COUNTIFS($D:$D,$D9564,$A:$A,$A9564,$B:$B,$B9564,$G:$G,"CDU",$J:$J,"PLANNED")&gt;0,"tied","standalone"),"")</f>
        <v/>
      </c>
    </row>
    <row r="9565" spans="6:14">
      <c r="F9565" s="6">
        <f>IF($M9565="PADD I","PADD 1",IF($M9565="PADD II","PADD 2",IF($M9565="PADD III","PADD 3",IF($M9565="PADD IV","PADD 4",IF($M9565="PADD V","PADD 5","")))))</f>
        <v/>
      </c>
      <c r="G9565" s="6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  <c r="N9565" s="6">
        <f>IF(OR($G9565="FCC",$G9565="Hydrocracker",$G9565="Reformer"),IF(COUNTIFS($D:$D,$D9565,$A:$A,$A9565,$B:$B,$B9565,$G:$G,"CDU",$J:$J,"PLANNED")&gt;0,"tied","standalone"),"")</f>
        <v/>
      </c>
    </row>
    <row r="9566" spans="6:14">
      <c r="F9566" s="6">
        <f>IF($M9566="PADD I","PADD 1",IF($M9566="PADD II","PADD 2",IF($M9566="PADD III","PADD 3",IF($M9566="PADD IV","PADD 4",IF($M9566="PADD V","PADD 5","")))))</f>
        <v/>
      </c>
      <c r="G9566" s="6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  <c r="N9566" s="6">
        <f>IF(OR($G9566="FCC",$G9566="Hydrocracker",$G9566="Reformer"),IF(COUNTIFS($D:$D,$D9566,$A:$A,$A9566,$B:$B,$B9566,$G:$G,"CDU",$J:$J,"PLANNED")&gt;0,"tied","standalone"),"")</f>
        <v/>
      </c>
    </row>
    <row r="9567" spans="6:14">
      <c r="F9567" s="6">
        <f>IF($M9567="PADD I","PADD 1",IF($M9567="PADD II","PADD 2",IF($M9567="PADD III","PADD 3",IF($M9567="PADD IV","PADD 4",IF($M9567="PADD V","PADD 5","")))))</f>
        <v/>
      </c>
      <c r="G9567" s="6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  <c r="N9567" s="6">
        <f>IF(OR($G9567="FCC",$G9567="Hydrocracker",$G9567="Reformer"),IF(COUNTIFS($D:$D,$D9567,$A:$A,$A9567,$B:$B,$B9567,$G:$G,"CDU",$J:$J,"PLANNED")&gt;0,"tied","standalone"),"")</f>
        <v/>
      </c>
    </row>
    <row r="9568" spans="6:14">
      <c r="F9568" s="6">
        <f>IF($M9568="PADD I","PADD 1",IF($M9568="PADD II","PADD 2",IF($M9568="PADD III","PADD 3",IF($M9568="PADD IV","PADD 4",IF($M9568="PADD V","PADD 5","")))))</f>
        <v/>
      </c>
      <c r="G9568" s="6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  <c r="N9568" s="6">
        <f>IF(OR($G9568="FCC",$G9568="Hydrocracker",$G9568="Reformer"),IF(COUNTIFS($D:$D,$D9568,$A:$A,$A9568,$B:$B,$B9568,$G:$G,"CDU",$J:$J,"PLANNED")&gt;0,"tied","standalone"),"")</f>
        <v/>
      </c>
    </row>
    <row r="9569" spans="6:14">
      <c r="F9569" s="6">
        <f>IF($M9569="PADD I","PADD 1",IF($M9569="PADD II","PADD 2",IF($M9569="PADD III","PADD 3",IF($M9569="PADD IV","PADD 4",IF($M9569="PADD V","PADD 5","")))))</f>
        <v/>
      </c>
      <c r="G9569" s="6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  <c r="N9569" s="6">
        <f>IF(OR($G9569="FCC",$G9569="Hydrocracker",$G9569="Reformer"),IF(COUNTIFS($D:$D,$D9569,$A:$A,$A9569,$B:$B,$B9569,$G:$G,"CDU",$J:$J,"PLANNED")&gt;0,"tied","standalone"),"")</f>
        <v/>
      </c>
    </row>
    <row r="9570" spans="6:14">
      <c r="F9570" s="6">
        <f>IF($M9570="PADD I","PADD 1",IF($M9570="PADD II","PADD 2",IF($M9570="PADD III","PADD 3",IF($M9570="PADD IV","PADD 4",IF($M9570="PADD V","PADD 5","")))))</f>
        <v/>
      </c>
      <c r="G9570" s="6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  <c r="N9570" s="6">
        <f>IF(OR($G9570="FCC",$G9570="Hydrocracker",$G9570="Reformer"),IF(COUNTIFS($D:$D,$D9570,$A:$A,$A9570,$B:$B,$B9570,$G:$G,"CDU",$J:$J,"PLANNED")&gt;0,"tied","standalone"),"")</f>
        <v/>
      </c>
    </row>
    <row r="9571" spans="6:14">
      <c r="F9571" s="6">
        <f>IF($M9571="PADD I","PADD 1",IF($M9571="PADD II","PADD 2",IF($M9571="PADD III","PADD 3",IF($M9571="PADD IV","PADD 4",IF($M9571="PADD V","PADD 5","")))))</f>
        <v/>
      </c>
      <c r="G9571" s="6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  <c r="N9571" s="6">
        <f>IF(OR($G9571="FCC",$G9571="Hydrocracker",$G9571="Reformer"),IF(COUNTIFS($D:$D,$D9571,$A:$A,$A9571,$B:$B,$B9571,$G:$G,"CDU",$J:$J,"PLANNED")&gt;0,"tied","standalone"),"")</f>
        <v/>
      </c>
    </row>
    <row r="9572" spans="6:14">
      <c r="F9572" s="6">
        <f>IF($M9572="PADD I","PADD 1",IF($M9572="PADD II","PADD 2",IF($M9572="PADD III","PADD 3",IF($M9572="PADD IV","PADD 4",IF($M9572="PADD V","PADD 5","")))))</f>
        <v/>
      </c>
      <c r="G9572" s="6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  <c r="N9572" s="6">
        <f>IF(OR($G9572="FCC",$G9572="Hydrocracker",$G9572="Reformer"),IF(COUNTIFS($D:$D,$D9572,$A:$A,$A9572,$B:$B,$B9572,$G:$G,"CDU",$J:$J,"PLANNED")&gt;0,"tied","standalone"),"")</f>
        <v/>
      </c>
    </row>
    <row r="9573" spans="6:14">
      <c r="F9573" s="6">
        <f>IF($M9573="PADD I","PADD 1",IF($M9573="PADD II","PADD 2",IF($M9573="PADD III","PADD 3",IF($M9573="PADD IV","PADD 4",IF($M9573="PADD V","PADD 5","")))))</f>
        <v/>
      </c>
      <c r="G9573" s="6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  <c r="N9573" s="6">
        <f>IF(OR($G9573="FCC",$G9573="Hydrocracker",$G9573="Reformer"),IF(COUNTIFS($D:$D,$D9573,$A:$A,$A9573,$B:$B,$B9573,$G:$G,"CDU",$J:$J,"PLANNED")&gt;0,"tied","standalone"),"")</f>
        <v/>
      </c>
    </row>
    <row r="9574" spans="6:14">
      <c r="F9574" s="6">
        <f>IF($M9574="PADD I","PADD 1",IF($M9574="PADD II","PADD 2",IF($M9574="PADD III","PADD 3",IF($M9574="PADD IV","PADD 4",IF($M9574="PADD V","PADD 5","")))))</f>
        <v/>
      </c>
      <c r="G9574" s="6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  <c r="N9574" s="6">
        <f>IF(OR($G9574="FCC",$G9574="Hydrocracker",$G9574="Reformer"),IF(COUNTIFS($D:$D,$D9574,$A:$A,$A9574,$B:$B,$B9574,$G:$G,"CDU",$J:$J,"PLANNED")&gt;0,"tied","standalone"),"")</f>
        <v/>
      </c>
    </row>
    <row r="9575" spans="6:14">
      <c r="F9575" s="6">
        <f>IF($M9575="PADD I","PADD 1",IF($M9575="PADD II","PADD 2",IF($M9575="PADD III","PADD 3",IF($M9575="PADD IV","PADD 4",IF($M9575="PADD V","PADD 5","")))))</f>
        <v/>
      </c>
      <c r="G9575" s="6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  <c r="N9575" s="6">
        <f>IF(OR($G9575="FCC",$G9575="Hydrocracker",$G9575="Reformer"),IF(COUNTIFS($D:$D,$D9575,$A:$A,$A9575,$B:$B,$B9575,$G:$G,"CDU",$J:$J,"PLANNED")&gt;0,"tied","standalone"),"")</f>
        <v/>
      </c>
    </row>
    <row r="9576" spans="6:14">
      <c r="F9576" s="6">
        <f>IF($M9576="PADD I","PADD 1",IF($M9576="PADD II","PADD 2",IF($M9576="PADD III","PADD 3",IF($M9576="PADD IV","PADD 4",IF($M9576="PADD V","PADD 5","")))))</f>
        <v/>
      </c>
      <c r="G9576" s="6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  <c r="N9576" s="6">
        <f>IF(OR($G9576="FCC",$G9576="Hydrocracker",$G9576="Reformer"),IF(COUNTIFS($D:$D,$D9576,$A:$A,$A9576,$B:$B,$B9576,$G:$G,"CDU",$J:$J,"PLANNED")&gt;0,"tied","standalone"),"")</f>
        <v/>
      </c>
    </row>
    <row r="9577" spans="6:14">
      <c r="F9577" s="6">
        <f>IF($M9577="PADD I","PADD 1",IF($M9577="PADD II","PADD 2",IF($M9577="PADD III","PADD 3",IF($M9577="PADD IV","PADD 4",IF($M9577="PADD V","PADD 5","")))))</f>
        <v/>
      </c>
      <c r="G9577" s="6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  <c r="N9577" s="6">
        <f>IF(OR($G9577="FCC",$G9577="Hydrocracker",$G9577="Reformer"),IF(COUNTIFS($D:$D,$D9577,$A:$A,$A9577,$B:$B,$B9577,$G:$G,"CDU",$J:$J,"PLANNED")&gt;0,"tied","standalone"),"")</f>
        <v/>
      </c>
    </row>
    <row r="9578" spans="6:14">
      <c r="F9578" s="6">
        <f>IF($M9578="PADD I","PADD 1",IF($M9578="PADD II","PADD 2",IF($M9578="PADD III","PADD 3",IF($M9578="PADD IV","PADD 4",IF($M9578="PADD V","PADD 5","")))))</f>
        <v/>
      </c>
      <c r="G9578" s="6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  <c r="N9578" s="6">
        <f>IF(OR($G9578="FCC",$G9578="Hydrocracker",$G9578="Reformer"),IF(COUNTIFS($D:$D,$D9578,$A:$A,$A9578,$B:$B,$B9578,$G:$G,"CDU",$J:$J,"PLANNED")&gt;0,"tied","standalone"),"")</f>
        <v/>
      </c>
    </row>
    <row r="9579" spans="6:14">
      <c r="F9579" s="6">
        <f>IF($M9579="PADD I","PADD 1",IF($M9579="PADD II","PADD 2",IF($M9579="PADD III","PADD 3",IF($M9579="PADD IV","PADD 4",IF($M9579="PADD V","PADD 5","")))))</f>
        <v/>
      </c>
      <c r="G9579" s="6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  <c r="N9579" s="6">
        <f>IF(OR($G9579="FCC",$G9579="Hydrocracker",$G9579="Reformer"),IF(COUNTIFS($D:$D,$D9579,$A:$A,$A9579,$B:$B,$B9579,$G:$G,"CDU",$J:$J,"PLANNED")&gt;0,"tied","standalone"),"")</f>
        <v/>
      </c>
    </row>
    <row r="9580" spans="6:14">
      <c r="F9580" s="6">
        <f>IF($M9580="PADD I","PADD 1",IF($M9580="PADD II","PADD 2",IF($M9580="PADD III","PADD 3",IF($M9580="PADD IV","PADD 4",IF($M9580="PADD V","PADD 5","")))))</f>
        <v/>
      </c>
      <c r="G9580" s="6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  <c r="N9580" s="6">
        <f>IF(OR($G9580="FCC",$G9580="Hydrocracker",$G9580="Reformer"),IF(COUNTIFS($D:$D,$D9580,$A:$A,$A9580,$B:$B,$B9580,$G:$G,"CDU",$J:$J,"PLANNED")&gt;0,"tied","standalone"),"")</f>
        <v/>
      </c>
    </row>
    <row r="9581" spans="6:14">
      <c r="F9581" s="6">
        <f>IF($M9581="PADD I","PADD 1",IF($M9581="PADD II","PADD 2",IF($M9581="PADD III","PADD 3",IF($M9581="PADD IV","PADD 4",IF($M9581="PADD V","PADD 5","")))))</f>
        <v/>
      </c>
      <c r="G9581" s="6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  <c r="N9581" s="6">
        <f>IF(OR($G9581="FCC",$G9581="Hydrocracker",$G9581="Reformer"),IF(COUNTIFS($D:$D,$D9581,$A:$A,$A9581,$B:$B,$B9581,$G:$G,"CDU",$J:$J,"PLANNED")&gt;0,"tied","standalone"),"")</f>
        <v/>
      </c>
    </row>
    <row r="9582" spans="6:14">
      <c r="F9582" s="6">
        <f>IF($M9582="PADD I","PADD 1",IF($M9582="PADD II","PADD 2",IF($M9582="PADD III","PADD 3",IF($M9582="PADD IV","PADD 4",IF($M9582="PADD V","PADD 5","")))))</f>
        <v/>
      </c>
      <c r="G9582" s="6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  <c r="N9582" s="6">
        <f>IF(OR($G9582="FCC",$G9582="Hydrocracker",$G9582="Reformer"),IF(COUNTIFS($D:$D,$D9582,$A:$A,$A9582,$B:$B,$B9582,$G:$G,"CDU",$J:$J,"PLANNED")&gt;0,"tied","standalone"),"")</f>
        <v/>
      </c>
    </row>
    <row r="9583" spans="6:14">
      <c r="F9583" s="6">
        <f>IF($M9583="PADD I","PADD 1",IF($M9583="PADD II","PADD 2",IF($M9583="PADD III","PADD 3",IF($M9583="PADD IV","PADD 4",IF($M9583="PADD V","PADD 5","")))))</f>
        <v/>
      </c>
      <c r="G9583" s="6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  <c r="N9583" s="6">
        <f>IF(OR($G9583="FCC",$G9583="Hydrocracker",$G9583="Reformer"),IF(COUNTIFS($D:$D,$D9583,$A:$A,$A9583,$B:$B,$B9583,$G:$G,"CDU",$J:$J,"PLANNED")&gt;0,"tied","standalone"),"")</f>
        <v/>
      </c>
    </row>
    <row r="9584" spans="6:14">
      <c r="F9584" s="6">
        <f>IF($M9584="PADD I","PADD 1",IF($M9584="PADD II","PADD 2",IF($M9584="PADD III","PADD 3",IF($M9584="PADD IV","PADD 4",IF($M9584="PADD V","PADD 5","")))))</f>
        <v/>
      </c>
      <c r="G9584" s="6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  <c r="N9584" s="6">
        <f>IF(OR($G9584="FCC",$G9584="Hydrocracker",$G9584="Reformer"),IF(COUNTIFS($D:$D,$D9584,$A:$A,$A9584,$B:$B,$B9584,$G:$G,"CDU",$J:$J,"PLANNED")&gt;0,"tied","standalone"),"")</f>
        <v/>
      </c>
    </row>
    <row r="9585" spans="6:14">
      <c r="F9585" s="6">
        <f>IF($M9585="PADD I","PADD 1",IF($M9585="PADD II","PADD 2",IF($M9585="PADD III","PADD 3",IF($M9585="PADD IV","PADD 4",IF($M9585="PADD V","PADD 5","")))))</f>
        <v/>
      </c>
      <c r="G9585" s="6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  <c r="N9585" s="6">
        <f>IF(OR($G9585="FCC",$G9585="Hydrocracker",$G9585="Reformer"),IF(COUNTIFS($D:$D,$D9585,$A:$A,$A9585,$B:$B,$B9585,$G:$G,"CDU",$J:$J,"PLANNED")&gt;0,"tied","standalone"),"")</f>
        <v/>
      </c>
    </row>
    <row r="9586" spans="6:14">
      <c r="F9586" s="6">
        <f>IF($M9586="PADD I","PADD 1",IF($M9586="PADD II","PADD 2",IF($M9586="PADD III","PADD 3",IF($M9586="PADD IV","PADD 4",IF($M9586="PADD V","PADD 5","")))))</f>
        <v/>
      </c>
      <c r="G9586" s="6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  <c r="N9586" s="6">
        <f>IF(OR($G9586="FCC",$G9586="Hydrocracker",$G9586="Reformer"),IF(COUNTIFS($D:$D,$D9586,$A:$A,$A9586,$B:$B,$B9586,$G:$G,"CDU",$J:$J,"PLANNED")&gt;0,"tied","standalone"),"")</f>
        <v/>
      </c>
    </row>
    <row r="9587" spans="6:14">
      <c r="F9587" s="6">
        <f>IF($M9587="PADD I","PADD 1",IF($M9587="PADD II","PADD 2",IF($M9587="PADD III","PADD 3",IF($M9587="PADD IV","PADD 4",IF($M9587="PADD V","PADD 5","")))))</f>
        <v/>
      </c>
      <c r="G9587" s="6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  <c r="N9587" s="6">
        <f>IF(OR($G9587="FCC",$G9587="Hydrocracker",$G9587="Reformer"),IF(COUNTIFS($D:$D,$D9587,$A:$A,$A9587,$B:$B,$B9587,$G:$G,"CDU",$J:$J,"PLANNED")&gt;0,"tied","standalone"),"")</f>
        <v/>
      </c>
    </row>
    <row r="9588" spans="6:14">
      <c r="F9588" s="6">
        <f>IF($M9588="PADD I","PADD 1",IF($M9588="PADD II","PADD 2",IF($M9588="PADD III","PADD 3",IF($M9588="PADD IV","PADD 4",IF($M9588="PADD V","PADD 5","")))))</f>
        <v/>
      </c>
      <c r="G9588" s="6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  <c r="N9588" s="6">
        <f>IF(OR($G9588="FCC",$G9588="Hydrocracker",$G9588="Reformer"),IF(COUNTIFS($D:$D,$D9588,$A:$A,$A9588,$B:$B,$B9588,$G:$G,"CDU",$J:$J,"PLANNED")&gt;0,"tied","standalone"),"")</f>
        <v/>
      </c>
    </row>
    <row r="9589" spans="6:14">
      <c r="F9589" s="6">
        <f>IF($M9589="PADD I","PADD 1",IF($M9589="PADD II","PADD 2",IF($M9589="PADD III","PADD 3",IF($M9589="PADD IV","PADD 4",IF($M9589="PADD V","PADD 5","")))))</f>
        <v/>
      </c>
      <c r="G9589" s="6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  <c r="N9589" s="6">
        <f>IF(OR($G9589="FCC",$G9589="Hydrocracker",$G9589="Reformer"),IF(COUNTIFS($D:$D,$D9589,$A:$A,$A9589,$B:$B,$B9589,$G:$G,"CDU",$J:$J,"PLANNED")&gt;0,"tied","standalone"),"")</f>
        <v/>
      </c>
    </row>
    <row r="9590" spans="6:14">
      <c r="F9590" s="6">
        <f>IF($M9590="PADD I","PADD 1",IF($M9590="PADD II","PADD 2",IF($M9590="PADD III","PADD 3",IF($M9590="PADD IV","PADD 4",IF($M9590="PADD V","PADD 5","")))))</f>
        <v/>
      </c>
      <c r="G9590" s="6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  <c r="N9590" s="6">
        <f>IF(OR($G9590="FCC",$G9590="Hydrocracker",$G9590="Reformer"),IF(COUNTIFS($D:$D,$D9590,$A:$A,$A9590,$B:$B,$B9590,$G:$G,"CDU",$J:$J,"PLANNED")&gt;0,"tied","standalone"),"")</f>
        <v/>
      </c>
    </row>
    <row r="9591" spans="6:14">
      <c r="F9591" s="6">
        <f>IF($M9591="PADD I","PADD 1",IF($M9591="PADD II","PADD 2",IF($M9591="PADD III","PADD 3",IF($M9591="PADD IV","PADD 4",IF($M9591="PADD V","PADD 5","")))))</f>
        <v/>
      </c>
      <c r="G9591" s="6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  <c r="N9591" s="6">
        <f>IF(OR($G9591="FCC",$G9591="Hydrocracker",$G9591="Reformer"),IF(COUNTIFS($D:$D,$D9591,$A:$A,$A9591,$B:$B,$B9591,$G:$G,"CDU",$J:$J,"PLANNED")&gt;0,"tied","standalone"),"")</f>
        <v/>
      </c>
    </row>
    <row r="9592" spans="6:14">
      <c r="F9592" s="6">
        <f>IF($M9592="PADD I","PADD 1",IF($M9592="PADD II","PADD 2",IF($M9592="PADD III","PADD 3",IF($M9592="PADD IV","PADD 4",IF($M9592="PADD V","PADD 5","")))))</f>
        <v/>
      </c>
      <c r="G9592" s="6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  <c r="N9592" s="6">
        <f>IF(OR($G9592="FCC",$G9592="Hydrocracker",$G9592="Reformer"),IF(COUNTIFS($D:$D,$D9592,$A:$A,$A9592,$B:$B,$B9592,$G:$G,"CDU",$J:$J,"PLANNED")&gt;0,"tied","standalone"),"")</f>
        <v/>
      </c>
    </row>
    <row r="9593" spans="6:14">
      <c r="F9593" s="6">
        <f>IF($M9593="PADD I","PADD 1",IF($M9593="PADD II","PADD 2",IF($M9593="PADD III","PADD 3",IF($M9593="PADD IV","PADD 4",IF($M9593="PADD V","PADD 5","")))))</f>
        <v/>
      </c>
      <c r="G9593" s="6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  <c r="N9593" s="6">
        <f>IF(OR($G9593="FCC",$G9593="Hydrocracker",$G9593="Reformer"),IF(COUNTIFS($D:$D,$D9593,$A:$A,$A9593,$B:$B,$B9593,$G:$G,"CDU",$J:$J,"PLANNED")&gt;0,"tied","standalone"),"")</f>
        <v/>
      </c>
    </row>
    <row r="9594" spans="6:14">
      <c r="F9594" s="6">
        <f>IF($M9594="PADD I","PADD 1",IF($M9594="PADD II","PADD 2",IF($M9594="PADD III","PADD 3",IF($M9594="PADD IV","PADD 4",IF($M9594="PADD V","PADD 5","")))))</f>
        <v/>
      </c>
      <c r="G9594" s="6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  <c r="N9594" s="6">
        <f>IF(OR($G9594="FCC",$G9594="Hydrocracker",$G9594="Reformer"),IF(COUNTIFS($D:$D,$D9594,$A:$A,$A9594,$B:$B,$B9594,$G:$G,"CDU",$J:$J,"PLANNED")&gt;0,"tied","standalone"),"")</f>
        <v/>
      </c>
    </row>
    <row r="9595" spans="6:14">
      <c r="F9595" s="6">
        <f>IF($M9595="PADD I","PADD 1",IF($M9595="PADD II","PADD 2",IF($M9595="PADD III","PADD 3",IF($M9595="PADD IV","PADD 4",IF($M9595="PADD V","PADD 5","")))))</f>
        <v/>
      </c>
      <c r="G9595" s="6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  <c r="N9595" s="6">
        <f>IF(OR($G9595="FCC",$G9595="Hydrocracker",$G9595="Reformer"),IF(COUNTIFS($D:$D,$D9595,$A:$A,$A9595,$B:$B,$B9595,$G:$G,"CDU",$J:$J,"PLANNED")&gt;0,"tied","standalone"),"")</f>
        <v/>
      </c>
    </row>
    <row r="9596" spans="6:14">
      <c r="F9596" s="6">
        <f>IF($M9596="PADD I","PADD 1",IF($M9596="PADD II","PADD 2",IF($M9596="PADD III","PADD 3",IF($M9596="PADD IV","PADD 4",IF($M9596="PADD V","PADD 5","")))))</f>
        <v/>
      </c>
      <c r="G9596" s="6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  <c r="N9596" s="6">
        <f>IF(OR($G9596="FCC",$G9596="Hydrocracker",$G9596="Reformer"),IF(COUNTIFS($D:$D,$D9596,$A:$A,$A9596,$B:$B,$B9596,$G:$G,"CDU",$J:$J,"PLANNED")&gt;0,"tied","standalone"),"")</f>
        <v/>
      </c>
    </row>
    <row r="9597" spans="6:14">
      <c r="F9597" s="6">
        <f>IF($M9597="PADD I","PADD 1",IF($M9597="PADD II","PADD 2",IF($M9597="PADD III","PADD 3",IF($M9597="PADD IV","PADD 4",IF($M9597="PADD V","PADD 5","")))))</f>
        <v/>
      </c>
      <c r="G9597" s="6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  <c r="N9597" s="6">
        <f>IF(OR($G9597="FCC",$G9597="Hydrocracker",$G9597="Reformer"),IF(COUNTIFS($D:$D,$D9597,$A:$A,$A9597,$B:$B,$B9597,$G:$G,"CDU",$J:$J,"PLANNED")&gt;0,"tied","standalone"),"")</f>
        <v/>
      </c>
    </row>
    <row r="9598" spans="6:14">
      <c r="F9598" s="6">
        <f>IF($M9598="PADD I","PADD 1",IF($M9598="PADD II","PADD 2",IF($M9598="PADD III","PADD 3",IF($M9598="PADD IV","PADD 4",IF($M9598="PADD V","PADD 5","")))))</f>
        <v/>
      </c>
      <c r="G9598" s="6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  <c r="N9598" s="6">
        <f>IF(OR($G9598="FCC",$G9598="Hydrocracker",$G9598="Reformer"),IF(COUNTIFS($D:$D,$D9598,$A:$A,$A9598,$B:$B,$B9598,$G:$G,"CDU",$J:$J,"PLANNED")&gt;0,"tied","standalone"),"")</f>
        <v/>
      </c>
    </row>
    <row r="9599" spans="6:14">
      <c r="F9599" s="6">
        <f>IF($M9599="PADD I","PADD 1",IF($M9599="PADD II","PADD 2",IF($M9599="PADD III","PADD 3",IF($M9599="PADD IV","PADD 4",IF($M9599="PADD V","PADD 5","")))))</f>
        <v/>
      </c>
      <c r="G9599" s="6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  <c r="N9599" s="6">
        <f>IF(OR($G9599="FCC",$G9599="Hydrocracker",$G9599="Reformer"),IF(COUNTIFS($D:$D,$D9599,$A:$A,$A9599,$B:$B,$B9599,$G:$G,"CDU",$J:$J,"PLANNED")&gt;0,"tied","standalone"),"")</f>
        <v/>
      </c>
    </row>
    <row r="9600" spans="6:14">
      <c r="F9600" s="6">
        <f>IF($M9600="PADD I","PADD 1",IF($M9600="PADD II","PADD 2",IF($M9600="PADD III","PADD 3",IF($M9600="PADD IV","PADD 4",IF($M9600="PADD V","PADD 5","")))))</f>
        <v/>
      </c>
      <c r="G9600" s="6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  <c r="N9600" s="6">
        <f>IF(OR($G9600="FCC",$G9600="Hydrocracker",$G9600="Reformer"),IF(COUNTIFS($D:$D,$D9600,$A:$A,$A9600,$B:$B,$B9600,$G:$G,"CDU",$J:$J,"PLANNED")&gt;0,"tied","standalone"),"")</f>
        <v/>
      </c>
    </row>
    <row r="9601" spans="6:14">
      <c r="F9601" s="6">
        <f>IF($M9601="PADD I","PADD 1",IF($M9601="PADD II","PADD 2",IF($M9601="PADD III","PADD 3",IF($M9601="PADD IV","PADD 4",IF($M9601="PADD V","PADD 5","")))))</f>
        <v/>
      </c>
      <c r="G9601" s="6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  <c r="N9601" s="6">
        <f>IF(OR($G9601="FCC",$G9601="Hydrocracker",$G9601="Reformer"),IF(COUNTIFS($D:$D,$D9601,$A:$A,$A9601,$B:$B,$B9601,$G:$G,"CDU",$J:$J,"PLANNED")&gt;0,"tied","standalone"),"")</f>
        <v/>
      </c>
    </row>
    <row r="9602" spans="6:14">
      <c r="F9602" s="6">
        <f>IF($M9602="PADD I","PADD 1",IF($M9602="PADD II","PADD 2",IF($M9602="PADD III","PADD 3",IF($M9602="PADD IV","PADD 4",IF($M9602="PADD V","PADD 5","")))))</f>
        <v/>
      </c>
      <c r="G9602" s="6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  <c r="N9602" s="6">
        <f>IF(OR($G9602="FCC",$G9602="Hydrocracker",$G9602="Reformer"),IF(COUNTIFS($D:$D,$D9602,$A:$A,$A9602,$B:$B,$B9602,$G:$G,"CDU",$J:$J,"PLANNED")&gt;0,"tied","standalone"),"")</f>
        <v/>
      </c>
    </row>
    <row r="9603" spans="6:14">
      <c r="F9603" s="6">
        <f>IF($M9603="PADD I","PADD 1",IF($M9603="PADD II","PADD 2",IF($M9603="PADD III","PADD 3",IF($M9603="PADD IV","PADD 4",IF($M9603="PADD V","PADD 5","")))))</f>
        <v/>
      </c>
      <c r="G9603" s="6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  <c r="N9603" s="6">
        <f>IF(OR($G9603="FCC",$G9603="Hydrocracker",$G9603="Reformer"),IF(COUNTIFS($D:$D,$D9603,$A:$A,$A9603,$B:$B,$B9603,$G:$G,"CDU",$J:$J,"PLANNED")&gt;0,"tied","standalone"),"")</f>
        <v/>
      </c>
    </row>
    <row r="9604" spans="6:14">
      <c r="F9604" s="6">
        <f>IF($M9604="PADD I","PADD 1",IF($M9604="PADD II","PADD 2",IF($M9604="PADD III","PADD 3",IF($M9604="PADD IV","PADD 4",IF($M9604="PADD V","PADD 5","")))))</f>
        <v/>
      </c>
      <c r="G9604" s="6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  <c r="N9604" s="6">
        <f>IF(OR($G9604="FCC",$G9604="Hydrocracker",$G9604="Reformer"),IF(COUNTIFS($D:$D,$D9604,$A:$A,$A9604,$B:$B,$B9604,$G:$G,"CDU",$J:$J,"PLANNED")&gt;0,"tied","standalone"),"")</f>
        <v/>
      </c>
    </row>
    <row r="9605" spans="6:14">
      <c r="F9605" s="6">
        <f>IF($M9605="PADD I","PADD 1",IF($M9605="PADD II","PADD 2",IF($M9605="PADD III","PADD 3",IF($M9605="PADD IV","PADD 4",IF($M9605="PADD V","PADD 5","")))))</f>
        <v/>
      </c>
      <c r="G9605" s="6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  <c r="N9605" s="6">
        <f>IF(OR($G9605="FCC",$G9605="Hydrocracker",$G9605="Reformer"),IF(COUNTIFS($D:$D,$D9605,$A:$A,$A9605,$B:$B,$B9605,$G:$G,"CDU",$J:$J,"PLANNED")&gt;0,"tied","standalone"),"")</f>
        <v/>
      </c>
    </row>
    <row r="9606" spans="6:14">
      <c r="F9606" s="6">
        <f>IF($M9606="PADD I","PADD 1",IF($M9606="PADD II","PADD 2",IF($M9606="PADD III","PADD 3",IF($M9606="PADD IV","PADD 4",IF($M9606="PADD V","PADD 5","")))))</f>
        <v/>
      </c>
      <c r="G9606" s="6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  <c r="N9606" s="6">
        <f>IF(OR($G9606="FCC",$G9606="Hydrocracker",$G9606="Reformer"),IF(COUNTIFS($D:$D,$D9606,$A:$A,$A9606,$B:$B,$B9606,$G:$G,"CDU",$J:$J,"PLANNED")&gt;0,"tied","standalone"),"")</f>
        <v/>
      </c>
    </row>
    <row r="9607" spans="6:14">
      <c r="F9607" s="6">
        <f>IF($M9607="PADD I","PADD 1",IF($M9607="PADD II","PADD 2",IF($M9607="PADD III","PADD 3",IF($M9607="PADD IV","PADD 4",IF($M9607="PADD V","PADD 5","")))))</f>
        <v/>
      </c>
      <c r="G9607" s="6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  <c r="N9607" s="6">
        <f>IF(OR($G9607="FCC",$G9607="Hydrocracker",$G9607="Reformer"),IF(COUNTIFS($D:$D,$D9607,$A:$A,$A9607,$B:$B,$B9607,$G:$G,"CDU",$J:$J,"PLANNED")&gt;0,"tied","standalone"),"")</f>
        <v/>
      </c>
    </row>
    <row r="9608" spans="6:14">
      <c r="F9608" s="6">
        <f>IF($M9608="PADD I","PADD 1",IF($M9608="PADD II","PADD 2",IF($M9608="PADD III","PADD 3",IF($M9608="PADD IV","PADD 4",IF($M9608="PADD V","PADD 5","")))))</f>
        <v/>
      </c>
      <c r="G9608" s="6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  <c r="N9608" s="6">
        <f>IF(OR($G9608="FCC",$G9608="Hydrocracker",$G9608="Reformer"),IF(COUNTIFS($D:$D,$D9608,$A:$A,$A9608,$B:$B,$B9608,$G:$G,"CDU",$J:$J,"PLANNED")&gt;0,"tied","standalone"),"")</f>
        <v/>
      </c>
    </row>
    <row r="9609" spans="6:14">
      <c r="F9609" s="6">
        <f>IF($M9609="PADD I","PADD 1",IF($M9609="PADD II","PADD 2",IF($M9609="PADD III","PADD 3",IF($M9609="PADD IV","PADD 4",IF($M9609="PADD V","PADD 5","")))))</f>
        <v/>
      </c>
      <c r="G9609" s="6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  <c r="N9609" s="6">
        <f>IF(OR($G9609="FCC",$G9609="Hydrocracker",$G9609="Reformer"),IF(COUNTIFS($D:$D,$D9609,$A:$A,$A9609,$B:$B,$B9609,$G:$G,"CDU",$J:$J,"PLANNED")&gt;0,"tied","standalone"),"")</f>
        <v/>
      </c>
    </row>
    <row r="9610" spans="6:14">
      <c r="F9610" s="6">
        <f>IF($M9610="PADD I","PADD 1",IF($M9610="PADD II","PADD 2",IF($M9610="PADD III","PADD 3",IF($M9610="PADD IV","PADD 4",IF($M9610="PADD V","PADD 5","")))))</f>
        <v/>
      </c>
      <c r="G9610" s="6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  <c r="N9610" s="6">
        <f>IF(OR($G9610="FCC",$G9610="Hydrocracker",$G9610="Reformer"),IF(COUNTIFS($D:$D,$D9610,$A:$A,$A9610,$B:$B,$B9610,$G:$G,"CDU",$J:$J,"PLANNED")&gt;0,"tied","standalone"),"")</f>
        <v/>
      </c>
    </row>
    <row r="9611" spans="6:14">
      <c r="F9611" s="6">
        <f>IF($M9611="PADD I","PADD 1",IF($M9611="PADD II","PADD 2",IF($M9611="PADD III","PADD 3",IF($M9611="PADD IV","PADD 4",IF($M9611="PADD V","PADD 5","")))))</f>
        <v/>
      </c>
      <c r="G9611" s="6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  <c r="N9611" s="6">
        <f>IF(OR($G9611="FCC",$G9611="Hydrocracker",$G9611="Reformer"),IF(COUNTIFS($D:$D,$D9611,$A:$A,$A9611,$B:$B,$B9611,$G:$G,"CDU",$J:$J,"PLANNED")&gt;0,"tied","standalone"),"")</f>
        <v/>
      </c>
    </row>
    <row r="9612" spans="6:14">
      <c r="F9612" s="6">
        <f>IF($M9612="PADD I","PADD 1",IF($M9612="PADD II","PADD 2",IF($M9612="PADD III","PADD 3",IF($M9612="PADD IV","PADD 4",IF($M9612="PADD V","PADD 5","")))))</f>
        <v/>
      </c>
      <c r="G9612" s="6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  <c r="N9612" s="6">
        <f>IF(OR($G9612="FCC",$G9612="Hydrocracker",$G9612="Reformer"),IF(COUNTIFS($D:$D,$D9612,$A:$A,$A9612,$B:$B,$B9612,$G:$G,"CDU",$J:$J,"PLANNED")&gt;0,"tied","standalone"),"")</f>
        <v/>
      </c>
    </row>
    <row r="9613" spans="6:14">
      <c r="F9613" s="6">
        <f>IF($M9613="PADD I","PADD 1",IF($M9613="PADD II","PADD 2",IF($M9613="PADD III","PADD 3",IF($M9613="PADD IV","PADD 4",IF($M9613="PADD V","PADD 5","")))))</f>
        <v/>
      </c>
      <c r="G9613" s="6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  <c r="N9613" s="6">
        <f>IF(OR($G9613="FCC",$G9613="Hydrocracker",$G9613="Reformer"),IF(COUNTIFS($D:$D,$D9613,$A:$A,$A9613,$B:$B,$B9613,$G:$G,"CDU",$J:$J,"PLANNED")&gt;0,"tied","standalone"),"")</f>
        <v/>
      </c>
    </row>
    <row r="9614" spans="6:14">
      <c r="F9614" s="6">
        <f>IF($M9614="PADD I","PADD 1",IF($M9614="PADD II","PADD 2",IF($M9614="PADD III","PADD 3",IF($M9614="PADD IV","PADD 4",IF($M9614="PADD V","PADD 5","")))))</f>
        <v/>
      </c>
      <c r="G9614" s="6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  <c r="N9614" s="6">
        <f>IF(OR($G9614="FCC",$G9614="Hydrocracker",$G9614="Reformer"),IF(COUNTIFS($D:$D,$D9614,$A:$A,$A9614,$B:$B,$B9614,$G:$G,"CDU",$J:$J,"PLANNED")&gt;0,"tied","standalone"),"")</f>
        <v/>
      </c>
    </row>
    <row r="9615" spans="6:14">
      <c r="F9615" s="6">
        <f>IF($M9615="PADD I","PADD 1",IF($M9615="PADD II","PADD 2",IF($M9615="PADD III","PADD 3",IF($M9615="PADD IV","PADD 4",IF($M9615="PADD V","PADD 5","")))))</f>
        <v/>
      </c>
      <c r="G9615" s="6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  <c r="N9615" s="6">
        <f>IF(OR($G9615="FCC",$G9615="Hydrocracker",$G9615="Reformer"),IF(COUNTIFS($D:$D,$D9615,$A:$A,$A9615,$B:$B,$B9615,$G:$G,"CDU",$J:$J,"PLANNED")&gt;0,"tied","standalone"),"")</f>
        <v/>
      </c>
    </row>
    <row r="9616" spans="6:14">
      <c r="F9616" s="6">
        <f>IF($M9616="PADD I","PADD 1",IF($M9616="PADD II","PADD 2",IF($M9616="PADD III","PADD 3",IF($M9616="PADD IV","PADD 4",IF($M9616="PADD V","PADD 5","")))))</f>
        <v/>
      </c>
      <c r="G9616" s="6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  <c r="N9616" s="6">
        <f>IF(OR($G9616="FCC",$G9616="Hydrocracker",$G9616="Reformer"),IF(COUNTIFS($D:$D,$D9616,$A:$A,$A9616,$B:$B,$B9616,$G:$G,"CDU",$J:$J,"PLANNED")&gt;0,"tied","standalone"),"")</f>
        <v/>
      </c>
    </row>
    <row r="9617" spans="6:14">
      <c r="F9617" s="6">
        <f>IF($M9617="PADD I","PADD 1",IF($M9617="PADD II","PADD 2",IF($M9617="PADD III","PADD 3",IF($M9617="PADD IV","PADD 4",IF($M9617="PADD V","PADD 5","")))))</f>
        <v/>
      </c>
      <c r="G9617" s="6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  <c r="N9617" s="6">
        <f>IF(OR($G9617="FCC",$G9617="Hydrocracker",$G9617="Reformer"),IF(COUNTIFS($D:$D,$D9617,$A:$A,$A9617,$B:$B,$B9617,$G:$G,"CDU",$J:$J,"PLANNED")&gt;0,"tied","standalone"),"")</f>
        <v/>
      </c>
    </row>
    <row r="9618" spans="6:14">
      <c r="F9618" s="6">
        <f>IF($M9618="PADD I","PADD 1",IF($M9618="PADD II","PADD 2",IF($M9618="PADD III","PADD 3",IF($M9618="PADD IV","PADD 4",IF($M9618="PADD V","PADD 5","")))))</f>
        <v/>
      </c>
      <c r="G9618" s="6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  <c r="N9618" s="6">
        <f>IF(OR($G9618="FCC",$G9618="Hydrocracker",$G9618="Reformer"),IF(COUNTIFS($D:$D,$D9618,$A:$A,$A9618,$B:$B,$B9618,$G:$G,"CDU",$J:$J,"PLANNED")&gt;0,"tied","standalone"),"")</f>
        <v/>
      </c>
    </row>
    <row r="9619" spans="6:14">
      <c r="F9619" s="6">
        <f>IF($M9619="PADD I","PADD 1",IF($M9619="PADD II","PADD 2",IF($M9619="PADD III","PADD 3",IF($M9619="PADD IV","PADD 4",IF($M9619="PADD V","PADD 5","")))))</f>
        <v/>
      </c>
      <c r="G9619" s="6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  <c r="N9619" s="6">
        <f>IF(OR($G9619="FCC",$G9619="Hydrocracker",$G9619="Reformer"),IF(COUNTIFS($D:$D,$D9619,$A:$A,$A9619,$B:$B,$B9619,$G:$G,"CDU",$J:$J,"PLANNED")&gt;0,"tied","standalone"),"")</f>
        <v/>
      </c>
    </row>
    <row r="9620" spans="6:14">
      <c r="F9620" s="6">
        <f>IF($M9620="PADD I","PADD 1",IF($M9620="PADD II","PADD 2",IF($M9620="PADD III","PADD 3",IF($M9620="PADD IV","PADD 4",IF($M9620="PADD V","PADD 5","")))))</f>
        <v/>
      </c>
      <c r="G9620" s="6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  <c r="N9620" s="6">
        <f>IF(OR($G9620="FCC",$G9620="Hydrocracker",$G9620="Reformer"),IF(COUNTIFS($D:$D,$D9620,$A:$A,$A9620,$B:$B,$B9620,$G:$G,"CDU",$J:$J,"PLANNED")&gt;0,"tied","standalone"),"")</f>
        <v/>
      </c>
    </row>
    <row r="9621" spans="6:14">
      <c r="F9621" s="6">
        <f>IF($M9621="PADD I","PADD 1",IF($M9621="PADD II","PADD 2",IF($M9621="PADD III","PADD 3",IF($M9621="PADD IV","PADD 4",IF($M9621="PADD V","PADD 5","")))))</f>
        <v/>
      </c>
      <c r="G9621" s="6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  <c r="N9621" s="6">
        <f>IF(OR($G9621="FCC",$G9621="Hydrocracker",$G9621="Reformer"),IF(COUNTIFS($D:$D,$D9621,$A:$A,$A9621,$B:$B,$B9621,$G:$G,"CDU",$J:$J,"PLANNED")&gt;0,"tied","standalone"),"")</f>
        <v/>
      </c>
    </row>
    <row r="9622" spans="6:14">
      <c r="F9622" s="6">
        <f>IF($M9622="PADD I","PADD 1",IF($M9622="PADD II","PADD 2",IF($M9622="PADD III","PADD 3",IF($M9622="PADD IV","PADD 4",IF($M9622="PADD V","PADD 5","")))))</f>
        <v/>
      </c>
      <c r="G9622" s="6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  <c r="N9622" s="6">
        <f>IF(OR($G9622="FCC",$G9622="Hydrocracker",$G9622="Reformer"),IF(COUNTIFS($D:$D,$D9622,$A:$A,$A9622,$B:$B,$B9622,$G:$G,"CDU",$J:$J,"PLANNED")&gt;0,"tied","standalone"),"")</f>
        <v/>
      </c>
    </row>
    <row r="9623" spans="6:14">
      <c r="F9623" s="6">
        <f>IF($M9623="PADD I","PADD 1",IF($M9623="PADD II","PADD 2",IF($M9623="PADD III","PADD 3",IF($M9623="PADD IV","PADD 4",IF($M9623="PADD V","PADD 5","")))))</f>
        <v/>
      </c>
      <c r="G9623" s="6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  <c r="N9623" s="6">
        <f>IF(OR($G9623="FCC",$G9623="Hydrocracker",$G9623="Reformer"),IF(COUNTIFS($D:$D,$D9623,$A:$A,$A9623,$B:$B,$B9623,$G:$G,"CDU",$J:$J,"PLANNED")&gt;0,"tied","standalone"),"")</f>
        <v/>
      </c>
    </row>
    <row r="9624" spans="6:14">
      <c r="F9624" s="6">
        <f>IF($M9624="PADD I","PADD 1",IF($M9624="PADD II","PADD 2",IF($M9624="PADD III","PADD 3",IF($M9624="PADD IV","PADD 4",IF($M9624="PADD V","PADD 5","")))))</f>
        <v/>
      </c>
      <c r="G9624" s="6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  <c r="N9624" s="6">
        <f>IF(OR($G9624="FCC",$G9624="Hydrocracker",$G9624="Reformer"),IF(COUNTIFS($D:$D,$D9624,$A:$A,$A9624,$B:$B,$B9624,$G:$G,"CDU",$J:$J,"PLANNED")&gt;0,"tied","standalone"),"")</f>
        <v/>
      </c>
    </row>
    <row r="9625" spans="6:14">
      <c r="F9625" s="6">
        <f>IF($M9625="PADD I","PADD 1",IF($M9625="PADD II","PADD 2",IF($M9625="PADD III","PADD 3",IF($M9625="PADD IV","PADD 4",IF($M9625="PADD V","PADD 5","")))))</f>
        <v/>
      </c>
      <c r="G9625" s="6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  <c r="N9625" s="6">
        <f>IF(OR($G9625="FCC",$G9625="Hydrocracker",$G9625="Reformer"),IF(COUNTIFS($D:$D,$D9625,$A:$A,$A9625,$B:$B,$B9625,$G:$G,"CDU",$J:$J,"PLANNED")&gt;0,"tied","standalone"),"")</f>
        <v/>
      </c>
    </row>
    <row r="9626" spans="6:14">
      <c r="F9626" s="6">
        <f>IF($M9626="PADD I","PADD 1",IF($M9626="PADD II","PADD 2",IF($M9626="PADD III","PADD 3",IF($M9626="PADD IV","PADD 4",IF($M9626="PADD V","PADD 5","")))))</f>
        <v/>
      </c>
      <c r="G9626" s="6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  <c r="N9626" s="6">
        <f>IF(OR($G9626="FCC",$G9626="Hydrocracker",$G9626="Reformer"),IF(COUNTIFS($D:$D,$D9626,$A:$A,$A9626,$B:$B,$B9626,$G:$G,"CDU",$J:$J,"PLANNED")&gt;0,"tied","standalone"),"")</f>
        <v/>
      </c>
    </row>
    <row r="9627" spans="6:14">
      <c r="F9627" s="6">
        <f>IF($M9627="PADD I","PADD 1",IF($M9627="PADD II","PADD 2",IF($M9627="PADD III","PADD 3",IF($M9627="PADD IV","PADD 4",IF($M9627="PADD V","PADD 5","")))))</f>
        <v/>
      </c>
      <c r="G9627" s="6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  <c r="N9627" s="6">
        <f>IF(OR($G9627="FCC",$G9627="Hydrocracker",$G9627="Reformer"),IF(COUNTIFS($D:$D,$D9627,$A:$A,$A9627,$B:$B,$B9627,$G:$G,"CDU",$J:$J,"PLANNED")&gt;0,"tied","standalone"),"")</f>
        <v/>
      </c>
    </row>
    <row r="9628" spans="6:14">
      <c r="F9628" s="6">
        <f>IF($M9628="PADD I","PADD 1",IF($M9628="PADD II","PADD 2",IF($M9628="PADD III","PADD 3",IF($M9628="PADD IV","PADD 4",IF($M9628="PADD V","PADD 5","")))))</f>
        <v/>
      </c>
      <c r="G9628" s="6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  <c r="N9628" s="6">
        <f>IF(OR($G9628="FCC",$G9628="Hydrocracker",$G9628="Reformer"),IF(COUNTIFS($D:$D,$D9628,$A:$A,$A9628,$B:$B,$B9628,$G:$G,"CDU",$J:$J,"PLANNED")&gt;0,"tied","standalone"),"")</f>
        <v/>
      </c>
    </row>
    <row r="9629" spans="6:14">
      <c r="F9629" s="6">
        <f>IF($M9629="PADD I","PADD 1",IF($M9629="PADD II","PADD 2",IF($M9629="PADD III","PADD 3",IF($M9629="PADD IV","PADD 4",IF($M9629="PADD V","PADD 5","")))))</f>
        <v/>
      </c>
      <c r="G9629" s="6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  <c r="N9629" s="6">
        <f>IF(OR($G9629="FCC",$G9629="Hydrocracker",$G9629="Reformer"),IF(COUNTIFS($D:$D,$D9629,$A:$A,$A9629,$B:$B,$B9629,$G:$G,"CDU",$J:$J,"PLANNED")&gt;0,"tied","standalone"),"")</f>
        <v/>
      </c>
    </row>
    <row r="9630" spans="6:14">
      <c r="F9630" s="6">
        <f>IF($M9630="PADD I","PADD 1",IF($M9630="PADD II","PADD 2",IF($M9630="PADD III","PADD 3",IF($M9630="PADD IV","PADD 4",IF($M9630="PADD V","PADD 5","")))))</f>
        <v/>
      </c>
      <c r="G9630" s="6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  <c r="N9630" s="6">
        <f>IF(OR($G9630="FCC",$G9630="Hydrocracker",$G9630="Reformer"),IF(COUNTIFS($D:$D,$D9630,$A:$A,$A9630,$B:$B,$B9630,$G:$G,"CDU",$J:$J,"PLANNED")&gt;0,"tied","standalone"),"")</f>
        <v/>
      </c>
    </row>
    <row r="9631" spans="6:14">
      <c r="F9631" s="6">
        <f>IF($M9631="PADD I","PADD 1",IF($M9631="PADD II","PADD 2",IF($M9631="PADD III","PADD 3",IF($M9631="PADD IV","PADD 4",IF($M9631="PADD V","PADD 5","")))))</f>
        <v/>
      </c>
      <c r="G9631" s="6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  <c r="N9631" s="6">
        <f>IF(OR($G9631="FCC",$G9631="Hydrocracker",$G9631="Reformer"),IF(COUNTIFS($D:$D,$D9631,$A:$A,$A9631,$B:$B,$B9631,$G:$G,"CDU",$J:$J,"PLANNED")&gt;0,"tied","standalone"),"")</f>
        <v/>
      </c>
    </row>
    <row r="9632" spans="6:14">
      <c r="F9632" s="6">
        <f>IF($M9632="PADD I","PADD 1",IF($M9632="PADD II","PADD 2",IF($M9632="PADD III","PADD 3",IF($M9632="PADD IV","PADD 4",IF($M9632="PADD V","PADD 5","")))))</f>
        <v/>
      </c>
      <c r="G9632" s="6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  <c r="N9632" s="6">
        <f>IF(OR($G9632="FCC",$G9632="Hydrocracker",$G9632="Reformer"),IF(COUNTIFS($D:$D,$D9632,$A:$A,$A9632,$B:$B,$B9632,$G:$G,"CDU",$J:$J,"PLANNED")&gt;0,"tied","standalone"),"")</f>
        <v/>
      </c>
    </row>
    <row r="9633" spans="6:14">
      <c r="F9633" s="6">
        <f>IF($M9633="PADD I","PADD 1",IF($M9633="PADD II","PADD 2",IF($M9633="PADD III","PADD 3",IF($M9633="PADD IV","PADD 4",IF($M9633="PADD V","PADD 5","")))))</f>
        <v/>
      </c>
      <c r="G9633" s="6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  <c r="N9633" s="6">
        <f>IF(OR($G9633="FCC",$G9633="Hydrocracker",$G9633="Reformer"),IF(COUNTIFS($D:$D,$D9633,$A:$A,$A9633,$B:$B,$B9633,$G:$G,"CDU",$J:$J,"PLANNED")&gt;0,"tied","standalone"),"")</f>
        <v/>
      </c>
    </row>
    <row r="9634" spans="6:14">
      <c r="F9634" s="6">
        <f>IF($M9634="PADD I","PADD 1",IF($M9634="PADD II","PADD 2",IF($M9634="PADD III","PADD 3",IF($M9634="PADD IV","PADD 4",IF($M9634="PADD V","PADD 5","")))))</f>
        <v/>
      </c>
      <c r="G9634" s="6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  <c r="N9634" s="6">
        <f>IF(OR($G9634="FCC",$G9634="Hydrocracker",$G9634="Reformer"),IF(COUNTIFS($D:$D,$D9634,$A:$A,$A9634,$B:$B,$B9634,$G:$G,"CDU",$J:$J,"PLANNED")&gt;0,"tied","standalone"),"")</f>
        <v/>
      </c>
    </row>
    <row r="9635" spans="6:14">
      <c r="F9635" s="6">
        <f>IF($M9635="PADD I","PADD 1",IF($M9635="PADD II","PADD 2",IF($M9635="PADD III","PADD 3",IF($M9635="PADD IV","PADD 4",IF($M9635="PADD V","PADD 5","")))))</f>
        <v/>
      </c>
      <c r="G9635" s="6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  <c r="N9635" s="6">
        <f>IF(OR($G9635="FCC",$G9635="Hydrocracker",$G9635="Reformer"),IF(COUNTIFS($D:$D,$D9635,$A:$A,$A9635,$B:$B,$B9635,$G:$G,"CDU",$J:$J,"PLANNED")&gt;0,"tied","standalone"),"")</f>
        <v/>
      </c>
    </row>
    <row r="9636" spans="6:14">
      <c r="F9636" s="6">
        <f>IF($M9636="PADD I","PADD 1",IF($M9636="PADD II","PADD 2",IF($M9636="PADD III","PADD 3",IF($M9636="PADD IV","PADD 4",IF($M9636="PADD V","PADD 5","")))))</f>
        <v/>
      </c>
      <c r="G9636" s="6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  <c r="N9636" s="6">
        <f>IF(OR($G9636="FCC",$G9636="Hydrocracker",$G9636="Reformer"),IF(COUNTIFS($D:$D,$D9636,$A:$A,$A9636,$B:$B,$B9636,$G:$G,"CDU",$J:$J,"PLANNED")&gt;0,"tied","standalone"),"")</f>
        <v/>
      </c>
    </row>
    <row r="9637" spans="6:14">
      <c r="F9637" s="6">
        <f>IF($M9637="PADD I","PADD 1",IF($M9637="PADD II","PADD 2",IF($M9637="PADD III","PADD 3",IF($M9637="PADD IV","PADD 4",IF($M9637="PADD V","PADD 5","")))))</f>
        <v/>
      </c>
      <c r="G9637" s="6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  <c r="N9637" s="6">
        <f>IF(OR($G9637="FCC",$G9637="Hydrocracker",$G9637="Reformer"),IF(COUNTIFS($D:$D,$D9637,$A:$A,$A9637,$B:$B,$B9637,$G:$G,"CDU",$J:$J,"PLANNED")&gt;0,"tied","standalone"),"")</f>
        <v/>
      </c>
    </row>
    <row r="9638" spans="6:14">
      <c r="F9638" s="6">
        <f>IF($M9638="PADD I","PADD 1",IF($M9638="PADD II","PADD 2",IF($M9638="PADD III","PADD 3",IF($M9638="PADD IV","PADD 4",IF($M9638="PADD V","PADD 5","")))))</f>
        <v/>
      </c>
      <c r="G9638" s="6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  <c r="N9638" s="6">
        <f>IF(OR($G9638="FCC",$G9638="Hydrocracker",$G9638="Reformer"),IF(COUNTIFS($D:$D,$D9638,$A:$A,$A9638,$B:$B,$B9638,$G:$G,"CDU",$J:$J,"PLANNED")&gt;0,"tied","standalone"),"")</f>
        <v/>
      </c>
    </row>
    <row r="9639" spans="6:14">
      <c r="F9639" s="6">
        <f>IF($M9639="PADD I","PADD 1",IF($M9639="PADD II","PADD 2",IF($M9639="PADD III","PADD 3",IF($M9639="PADD IV","PADD 4",IF($M9639="PADD V","PADD 5","")))))</f>
        <v/>
      </c>
      <c r="G9639" s="6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  <c r="N9639" s="6">
        <f>IF(OR($G9639="FCC",$G9639="Hydrocracker",$G9639="Reformer"),IF(COUNTIFS($D:$D,$D9639,$A:$A,$A9639,$B:$B,$B9639,$G:$G,"CDU",$J:$J,"PLANNED")&gt;0,"tied","standalone"),"")</f>
        <v/>
      </c>
    </row>
    <row r="9640" spans="6:14">
      <c r="F9640" s="6">
        <f>IF($M9640="PADD I","PADD 1",IF($M9640="PADD II","PADD 2",IF($M9640="PADD III","PADD 3",IF($M9640="PADD IV","PADD 4",IF($M9640="PADD V","PADD 5","")))))</f>
        <v/>
      </c>
      <c r="G9640" s="6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  <c r="N9640" s="6">
        <f>IF(OR($G9640="FCC",$G9640="Hydrocracker",$G9640="Reformer"),IF(COUNTIFS($D:$D,$D9640,$A:$A,$A9640,$B:$B,$B9640,$G:$G,"CDU",$J:$J,"PLANNED")&gt;0,"tied","standalone"),"")</f>
        <v/>
      </c>
    </row>
    <row r="9641" spans="6:14">
      <c r="F9641" s="6">
        <f>IF($M9641="PADD I","PADD 1",IF($M9641="PADD II","PADD 2",IF($M9641="PADD III","PADD 3",IF($M9641="PADD IV","PADD 4",IF($M9641="PADD V","PADD 5","")))))</f>
        <v/>
      </c>
      <c r="G9641" s="6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  <c r="N9641" s="6">
        <f>IF(OR($G9641="FCC",$G9641="Hydrocracker",$G9641="Reformer"),IF(COUNTIFS($D:$D,$D9641,$A:$A,$A9641,$B:$B,$B9641,$G:$G,"CDU",$J:$J,"PLANNED")&gt;0,"tied","standalone"),"")</f>
        <v/>
      </c>
    </row>
    <row r="9642" spans="6:14">
      <c r="F9642" s="6">
        <f>IF($M9642="PADD I","PADD 1",IF($M9642="PADD II","PADD 2",IF($M9642="PADD III","PADD 3",IF($M9642="PADD IV","PADD 4",IF($M9642="PADD V","PADD 5","")))))</f>
        <v/>
      </c>
      <c r="G9642" s="6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  <c r="N9642" s="6">
        <f>IF(OR($G9642="FCC",$G9642="Hydrocracker",$G9642="Reformer"),IF(COUNTIFS($D:$D,$D9642,$A:$A,$A9642,$B:$B,$B9642,$G:$G,"CDU",$J:$J,"PLANNED")&gt;0,"tied","standalone"),"")</f>
        <v/>
      </c>
    </row>
    <row r="9643" spans="6:14">
      <c r="F9643" s="6">
        <f>IF($M9643="PADD I","PADD 1",IF($M9643="PADD II","PADD 2",IF($M9643="PADD III","PADD 3",IF($M9643="PADD IV","PADD 4",IF($M9643="PADD V","PADD 5","")))))</f>
        <v/>
      </c>
      <c r="G9643" s="6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  <c r="N9643" s="6">
        <f>IF(OR($G9643="FCC",$G9643="Hydrocracker",$G9643="Reformer"),IF(COUNTIFS($D:$D,$D9643,$A:$A,$A9643,$B:$B,$B9643,$G:$G,"CDU",$J:$J,"PLANNED")&gt;0,"tied","standalone"),"")</f>
        <v/>
      </c>
    </row>
    <row r="9644" spans="6:14">
      <c r="F9644" s="6">
        <f>IF($M9644="PADD I","PADD 1",IF($M9644="PADD II","PADD 2",IF($M9644="PADD III","PADD 3",IF($M9644="PADD IV","PADD 4",IF($M9644="PADD V","PADD 5","")))))</f>
        <v/>
      </c>
      <c r="G9644" s="6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  <c r="N9644" s="6">
        <f>IF(OR($G9644="FCC",$G9644="Hydrocracker",$G9644="Reformer"),IF(COUNTIFS($D:$D,$D9644,$A:$A,$A9644,$B:$B,$B9644,$G:$G,"CDU",$J:$J,"PLANNED")&gt;0,"tied","standalone"),"")</f>
        <v/>
      </c>
    </row>
    <row r="9645" spans="6:14">
      <c r="F9645" s="6">
        <f>IF($M9645="PADD I","PADD 1",IF($M9645="PADD II","PADD 2",IF($M9645="PADD III","PADD 3",IF($M9645="PADD IV","PADD 4",IF($M9645="PADD V","PADD 5","")))))</f>
        <v/>
      </c>
      <c r="G9645" s="6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  <c r="N9645" s="6">
        <f>IF(OR($G9645="FCC",$G9645="Hydrocracker",$G9645="Reformer"),IF(COUNTIFS($D:$D,$D9645,$A:$A,$A9645,$B:$B,$B9645,$G:$G,"CDU",$J:$J,"PLANNED")&gt;0,"tied","standalone"),"")</f>
        <v/>
      </c>
    </row>
    <row r="9646" spans="6:14">
      <c r="F9646" s="6">
        <f>IF($M9646="PADD I","PADD 1",IF($M9646="PADD II","PADD 2",IF($M9646="PADD III","PADD 3",IF($M9646="PADD IV","PADD 4",IF($M9646="PADD V","PADD 5","")))))</f>
        <v/>
      </c>
      <c r="G9646" s="6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  <c r="N9646" s="6">
        <f>IF(OR($G9646="FCC",$G9646="Hydrocracker",$G9646="Reformer"),IF(COUNTIFS($D:$D,$D9646,$A:$A,$A9646,$B:$B,$B9646,$G:$G,"CDU",$J:$J,"PLANNED")&gt;0,"tied","standalone"),"")</f>
        <v/>
      </c>
    </row>
    <row r="9647" spans="6:14">
      <c r="F9647" s="6">
        <f>IF($M9647="PADD I","PADD 1",IF($M9647="PADD II","PADD 2",IF($M9647="PADD III","PADD 3",IF($M9647="PADD IV","PADD 4",IF($M9647="PADD V","PADD 5","")))))</f>
        <v/>
      </c>
      <c r="G9647" s="6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  <c r="N9647" s="6">
        <f>IF(OR($G9647="FCC",$G9647="Hydrocracker",$G9647="Reformer"),IF(COUNTIFS($D:$D,$D9647,$A:$A,$A9647,$B:$B,$B9647,$G:$G,"CDU",$J:$J,"PLANNED")&gt;0,"tied","standalone"),"")</f>
        <v/>
      </c>
    </row>
    <row r="9648" spans="6:14">
      <c r="F9648" s="6">
        <f>IF($M9648="PADD I","PADD 1",IF($M9648="PADD II","PADD 2",IF($M9648="PADD III","PADD 3",IF($M9648="PADD IV","PADD 4",IF($M9648="PADD V","PADD 5","")))))</f>
        <v/>
      </c>
      <c r="G9648" s="6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  <c r="N9648" s="6">
        <f>IF(OR($G9648="FCC",$G9648="Hydrocracker",$G9648="Reformer"),IF(COUNTIFS($D:$D,$D9648,$A:$A,$A9648,$B:$B,$B9648,$G:$G,"CDU",$J:$J,"PLANNED")&gt;0,"tied","standalone"),"")</f>
        <v/>
      </c>
    </row>
    <row r="9649" spans="6:14">
      <c r="F9649" s="6">
        <f>IF($M9649="PADD I","PADD 1",IF($M9649="PADD II","PADD 2",IF($M9649="PADD III","PADD 3",IF($M9649="PADD IV","PADD 4",IF($M9649="PADD V","PADD 5","")))))</f>
        <v/>
      </c>
      <c r="G9649" s="6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  <c r="N9649" s="6">
        <f>IF(OR($G9649="FCC",$G9649="Hydrocracker",$G9649="Reformer"),IF(COUNTIFS($D:$D,$D9649,$A:$A,$A9649,$B:$B,$B9649,$G:$G,"CDU",$J:$J,"PLANNED")&gt;0,"tied","standalone"),"")</f>
        <v/>
      </c>
    </row>
    <row r="9650" spans="6:14">
      <c r="F9650" s="6">
        <f>IF($M9650="PADD I","PADD 1",IF($M9650="PADD II","PADD 2",IF($M9650="PADD III","PADD 3",IF($M9650="PADD IV","PADD 4",IF($M9650="PADD V","PADD 5","")))))</f>
        <v/>
      </c>
      <c r="G9650" s="6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  <c r="N9650" s="6">
        <f>IF(OR($G9650="FCC",$G9650="Hydrocracker",$G9650="Reformer"),IF(COUNTIFS($D:$D,$D9650,$A:$A,$A9650,$B:$B,$B9650,$G:$G,"CDU",$J:$J,"PLANNED")&gt;0,"tied","standalone"),"")</f>
        <v/>
      </c>
    </row>
    <row r="9651" spans="6:14">
      <c r="F9651" s="6">
        <f>IF($M9651="PADD I","PADD 1",IF($M9651="PADD II","PADD 2",IF($M9651="PADD III","PADD 3",IF($M9651="PADD IV","PADD 4",IF($M9651="PADD V","PADD 5","")))))</f>
        <v/>
      </c>
      <c r="G9651" s="6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  <c r="N9651" s="6">
        <f>IF(OR($G9651="FCC",$G9651="Hydrocracker",$G9651="Reformer"),IF(COUNTIFS($D:$D,$D9651,$A:$A,$A9651,$B:$B,$B9651,$G:$G,"CDU",$J:$J,"PLANNED")&gt;0,"tied","standalone"),"")</f>
        <v/>
      </c>
    </row>
    <row r="9652" spans="6:14">
      <c r="F9652" s="6">
        <f>IF($M9652="PADD I","PADD 1",IF($M9652="PADD II","PADD 2",IF($M9652="PADD III","PADD 3",IF($M9652="PADD IV","PADD 4",IF($M9652="PADD V","PADD 5","")))))</f>
        <v/>
      </c>
      <c r="G9652" s="6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  <c r="N9652" s="6">
        <f>IF(OR($G9652="FCC",$G9652="Hydrocracker",$G9652="Reformer"),IF(COUNTIFS($D:$D,$D9652,$A:$A,$A9652,$B:$B,$B9652,$G:$G,"CDU",$J:$J,"PLANNED")&gt;0,"tied","standalone"),"")</f>
        <v/>
      </c>
    </row>
    <row r="9653" spans="6:14">
      <c r="F9653" s="6">
        <f>IF($M9653="PADD I","PADD 1",IF($M9653="PADD II","PADD 2",IF($M9653="PADD III","PADD 3",IF($M9653="PADD IV","PADD 4",IF($M9653="PADD V","PADD 5","")))))</f>
        <v/>
      </c>
      <c r="G9653" s="6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  <c r="N9653" s="6">
        <f>IF(OR($G9653="FCC",$G9653="Hydrocracker",$G9653="Reformer"),IF(COUNTIFS($D:$D,$D9653,$A:$A,$A9653,$B:$B,$B9653,$G:$G,"CDU",$J:$J,"PLANNED")&gt;0,"tied","standalone"),"")</f>
        <v/>
      </c>
    </row>
    <row r="9654" spans="6:14">
      <c r="F9654" s="6">
        <f>IF($M9654="PADD I","PADD 1",IF($M9654="PADD II","PADD 2",IF($M9654="PADD III","PADD 3",IF($M9654="PADD IV","PADD 4",IF($M9654="PADD V","PADD 5","")))))</f>
        <v/>
      </c>
      <c r="G9654" s="6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  <c r="N9654" s="6">
        <f>IF(OR($G9654="FCC",$G9654="Hydrocracker",$G9654="Reformer"),IF(COUNTIFS($D:$D,$D9654,$A:$A,$A9654,$B:$B,$B9654,$G:$G,"CDU",$J:$J,"PLANNED")&gt;0,"tied","standalone"),"")</f>
        <v/>
      </c>
    </row>
    <row r="9655" spans="6:14">
      <c r="F9655" s="6">
        <f>IF($M9655="PADD I","PADD 1",IF($M9655="PADD II","PADD 2",IF($M9655="PADD III","PADD 3",IF($M9655="PADD IV","PADD 4",IF($M9655="PADD V","PADD 5","")))))</f>
        <v/>
      </c>
      <c r="G9655" s="6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  <c r="N9655" s="6">
        <f>IF(OR($G9655="FCC",$G9655="Hydrocracker",$G9655="Reformer"),IF(COUNTIFS($D:$D,$D9655,$A:$A,$A9655,$B:$B,$B9655,$G:$G,"CDU",$J:$J,"PLANNED")&gt;0,"tied","standalone"),"")</f>
        <v/>
      </c>
    </row>
    <row r="9656" spans="6:14">
      <c r="F9656" s="6">
        <f>IF($M9656="PADD I","PADD 1",IF($M9656="PADD II","PADD 2",IF($M9656="PADD III","PADD 3",IF($M9656="PADD IV","PADD 4",IF($M9656="PADD V","PADD 5","")))))</f>
        <v/>
      </c>
      <c r="G9656" s="6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  <c r="N9656" s="6">
        <f>IF(OR($G9656="FCC",$G9656="Hydrocracker",$G9656="Reformer"),IF(COUNTIFS($D:$D,$D9656,$A:$A,$A9656,$B:$B,$B9656,$G:$G,"CDU",$J:$J,"PLANNED")&gt;0,"tied","standalone"),"")</f>
        <v/>
      </c>
    </row>
    <row r="9657" spans="6:14">
      <c r="F9657" s="6">
        <f>IF($M9657="PADD I","PADD 1",IF($M9657="PADD II","PADD 2",IF($M9657="PADD III","PADD 3",IF($M9657="PADD IV","PADD 4",IF($M9657="PADD V","PADD 5","")))))</f>
        <v/>
      </c>
      <c r="G9657" s="6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  <c r="N9657" s="6">
        <f>IF(OR($G9657="FCC",$G9657="Hydrocracker",$G9657="Reformer"),IF(COUNTIFS($D:$D,$D9657,$A:$A,$A9657,$B:$B,$B9657,$G:$G,"CDU",$J:$J,"PLANNED")&gt;0,"tied","standalone"),"")</f>
        <v/>
      </c>
    </row>
    <row r="9658" spans="6:14">
      <c r="F9658" s="6">
        <f>IF($M9658="PADD I","PADD 1",IF($M9658="PADD II","PADD 2",IF($M9658="PADD III","PADD 3",IF($M9658="PADD IV","PADD 4",IF($M9658="PADD V","PADD 5","")))))</f>
        <v/>
      </c>
      <c r="G9658" s="6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  <c r="N9658" s="6">
        <f>IF(OR($G9658="FCC",$G9658="Hydrocracker",$G9658="Reformer"),IF(COUNTIFS($D:$D,$D9658,$A:$A,$A9658,$B:$B,$B9658,$G:$G,"CDU",$J:$J,"PLANNED")&gt;0,"tied","standalone"),"")</f>
        <v/>
      </c>
    </row>
    <row r="9659" spans="6:14">
      <c r="F9659" s="6">
        <f>IF($M9659="PADD I","PADD 1",IF($M9659="PADD II","PADD 2",IF($M9659="PADD III","PADD 3",IF($M9659="PADD IV","PADD 4",IF($M9659="PADD V","PADD 5","")))))</f>
        <v/>
      </c>
      <c r="G9659" s="6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  <c r="N9659" s="6">
        <f>IF(OR($G9659="FCC",$G9659="Hydrocracker",$G9659="Reformer"),IF(COUNTIFS($D:$D,$D9659,$A:$A,$A9659,$B:$B,$B9659,$G:$G,"CDU",$J:$J,"PLANNED")&gt;0,"tied","standalone"),"")</f>
        <v/>
      </c>
    </row>
    <row r="9660" spans="6:14">
      <c r="F9660" s="6">
        <f>IF($M9660="PADD I","PADD 1",IF($M9660="PADD II","PADD 2",IF($M9660="PADD III","PADD 3",IF($M9660="PADD IV","PADD 4",IF($M9660="PADD V","PADD 5","")))))</f>
        <v/>
      </c>
      <c r="G9660" s="6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  <c r="N9660" s="6">
        <f>IF(OR($G9660="FCC",$G9660="Hydrocracker",$G9660="Reformer"),IF(COUNTIFS($D:$D,$D9660,$A:$A,$A9660,$B:$B,$B9660,$G:$G,"CDU",$J:$J,"PLANNED")&gt;0,"tied","standalone"),"")</f>
        <v/>
      </c>
    </row>
    <row r="9661" spans="6:14">
      <c r="F9661" s="6">
        <f>IF($M9661="PADD I","PADD 1",IF($M9661="PADD II","PADD 2",IF($M9661="PADD III","PADD 3",IF($M9661="PADD IV","PADD 4",IF($M9661="PADD V","PADD 5","")))))</f>
        <v/>
      </c>
      <c r="G9661" s="6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  <c r="N9661" s="6">
        <f>IF(OR($G9661="FCC",$G9661="Hydrocracker",$G9661="Reformer"),IF(COUNTIFS($D:$D,$D9661,$A:$A,$A9661,$B:$B,$B9661,$G:$G,"CDU",$J:$J,"PLANNED")&gt;0,"tied","standalone"),"")</f>
        <v/>
      </c>
    </row>
    <row r="9662" spans="6:14">
      <c r="F9662" s="6">
        <f>IF($M9662="PADD I","PADD 1",IF($M9662="PADD II","PADD 2",IF($M9662="PADD III","PADD 3",IF($M9662="PADD IV","PADD 4",IF($M9662="PADD V","PADD 5","")))))</f>
        <v/>
      </c>
      <c r="G9662" s="6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  <c r="N9662" s="6">
        <f>IF(OR($G9662="FCC",$G9662="Hydrocracker",$G9662="Reformer"),IF(COUNTIFS($D:$D,$D9662,$A:$A,$A9662,$B:$B,$B9662,$G:$G,"CDU",$J:$J,"PLANNED")&gt;0,"tied","standalone"),"")</f>
        <v/>
      </c>
    </row>
    <row r="9663" spans="6:14">
      <c r="F9663" s="6">
        <f>IF($M9663="PADD I","PADD 1",IF($M9663="PADD II","PADD 2",IF($M9663="PADD III","PADD 3",IF($M9663="PADD IV","PADD 4",IF($M9663="PADD V","PADD 5","")))))</f>
        <v/>
      </c>
      <c r="G9663" s="6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  <c r="N9663" s="6">
        <f>IF(OR($G9663="FCC",$G9663="Hydrocracker",$G9663="Reformer"),IF(COUNTIFS($D:$D,$D9663,$A:$A,$A9663,$B:$B,$B9663,$G:$G,"CDU",$J:$J,"PLANNED")&gt;0,"tied","standalone"),"")</f>
        <v/>
      </c>
    </row>
    <row r="9664" spans="6:14">
      <c r="F9664" s="6">
        <f>IF($M9664="PADD I","PADD 1",IF($M9664="PADD II","PADD 2",IF($M9664="PADD III","PADD 3",IF($M9664="PADD IV","PADD 4",IF($M9664="PADD V","PADD 5","")))))</f>
        <v/>
      </c>
      <c r="G9664" s="6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  <c r="N9664" s="6">
        <f>IF(OR($G9664="FCC",$G9664="Hydrocracker",$G9664="Reformer"),IF(COUNTIFS($D:$D,$D9664,$A:$A,$A9664,$B:$B,$B9664,$G:$G,"CDU",$J:$J,"PLANNED")&gt;0,"tied","standalone"),"")</f>
        <v/>
      </c>
    </row>
    <row r="9665" spans="6:14">
      <c r="F9665" s="6">
        <f>IF($M9665="PADD I","PADD 1",IF($M9665="PADD II","PADD 2",IF($M9665="PADD III","PADD 3",IF($M9665="PADD IV","PADD 4",IF($M9665="PADD V","PADD 5","")))))</f>
        <v/>
      </c>
      <c r="G9665" s="6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  <c r="N9665" s="6">
        <f>IF(OR($G9665="FCC",$G9665="Hydrocracker",$G9665="Reformer"),IF(COUNTIFS($D:$D,$D9665,$A:$A,$A9665,$B:$B,$B9665,$G:$G,"CDU",$J:$J,"PLANNED")&gt;0,"tied","standalone"),"")</f>
        <v/>
      </c>
    </row>
    <row r="9666" spans="6:14">
      <c r="F9666" s="6">
        <f>IF($M9666="PADD I","PADD 1",IF($M9666="PADD II","PADD 2",IF($M9666="PADD III","PADD 3",IF($M9666="PADD IV","PADD 4",IF($M9666="PADD V","PADD 5","")))))</f>
        <v/>
      </c>
      <c r="G9666" s="6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  <c r="N9666" s="6">
        <f>IF(OR($G9666="FCC",$G9666="Hydrocracker",$G9666="Reformer"),IF(COUNTIFS($D:$D,$D9666,$A:$A,$A9666,$B:$B,$B9666,$G:$G,"CDU",$J:$J,"PLANNED")&gt;0,"tied","standalone"),"")</f>
        <v/>
      </c>
    </row>
    <row r="9667" spans="6:14">
      <c r="F9667" s="6">
        <f>IF($M9667="PADD I","PADD 1",IF($M9667="PADD II","PADD 2",IF($M9667="PADD III","PADD 3",IF($M9667="PADD IV","PADD 4",IF($M9667="PADD V","PADD 5","")))))</f>
        <v/>
      </c>
      <c r="G9667" s="6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  <c r="N9667" s="6">
        <f>IF(OR($G9667="FCC",$G9667="Hydrocracker",$G9667="Reformer"),IF(COUNTIFS($D:$D,$D9667,$A:$A,$A9667,$B:$B,$B9667,$G:$G,"CDU",$J:$J,"PLANNED")&gt;0,"tied","standalone"),"")</f>
        <v/>
      </c>
    </row>
    <row r="9668" spans="6:14">
      <c r="F9668" s="6">
        <f>IF($M9668="PADD I","PADD 1",IF($M9668="PADD II","PADD 2",IF($M9668="PADD III","PADD 3",IF($M9668="PADD IV","PADD 4",IF($M9668="PADD V","PADD 5","")))))</f>
        <v/>
      </c>
      <c r="G9668" s="6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  <c r="N9668" s="6">
        <f>IF(OR($G9668="FCC",$G9668="Hydrocracker",$G9668="Reformer"),IF(COUNTIFS($D:$D,$D9668,$A:$A,$A9668,$B:$B,$B9668,$G:$G,"CDU",$J:$J,"PLANNED")&gt;0,"tied","standalone"),"")</f>
        <v/>
      </c>
    </row>
    <row r="9669" spans="6:14">
      <c r="F9669" s="6">
        <f>IF($M9669="PADD I","PADD 1",IF($M9669="PADD II","PADD 2",IF($M9669="PADD III","PADD 3",IF($M9669="PADD IV","PADD 4",IF($M9669="PADD V","PADD 5","")))))</f>
        <v/>
      </c>
      <c r="G9669" s="6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  <c r="N9669" s="6">
        <f>IF(OR($G9669="FCC",$G9669="Hydrocracker",$G9669="Reformer"),IF(COUNTIFS($D:$D,$D9669,$A:$A,$A9669,$B:$B,$B9669,$G:$G,"CDU",$J:$J,"PLANNED")&gt;0,"tied","standalone"),"")</f>
        <v/>
      </c>
    </row>
    <row r="9670" spans="6:14">
      <c r="F9670" s="6">
        <f>IF($M9670="PADD I","PADD 1",IF($M9670="PADD II","PADD 2",IF($M9670="PADD III","PADD 3",IF($M9670="PADD IV","PADD 4",IF($M9670="PADD V","PADD 5","")))))</f>
        <v/>
      </c>
      <c r="G9670" s="6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  <c r="N9670" s="6">
        <f>IF(OR($G9670="FCC",$G9670="Hydrocracker",$G9670="Reformer"),IF(COUNTIFS($D:$D,$D9670,$A:$A,$A9670,$B:$B,$B9670,$G:$G,"CDU",$J:$J,"PLANNED")&gt;0,"tied","standalone"),"")</f>
        <v/>
      </c>
    </row>
    <row r="9671" spans="6:14">
      <c r="F9671" s="6">
        <f>IF($M9671="PADD I","PADD 1",IF($M9671="PADD II","PADD 2",IF($M9671="PADD III","PADD 3",IF($M9671="PADD IV","PADD 4",IF($M9671="PADD V","PADD 5","")))))</f>
        <v/>
      </c>
      <c r="G9671" s="6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  <c r="N9671" s="6">
        <f>IF(OR($G9671="FCC",$G9671="Hydrocracker",$G9671="Reformer"),IF(COUNTIFS($D:$D,$D9671,$A:$A,$A9671,$B:$B,$B9671,$G:$G,"CDU",$J:$J,"PLANNED")&gt;0,"tied","standalone"),"")</f>
        <v/>
      </c>
    </row>
    <row r="9672" spans="6:14">
      <c r="F9672" s="6">
        <f>IF($M9672="PADD I","PADD 1",IF($M9672="PADD II","PADD 2",IF($M9672="PADD III","PADD 3",IF($M9672="PADD IV","PADD 4",IF($M9672="PADD V","PADD 5","")))))</f>
        <v/>
      </c>
      <c r="G9672" s="6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  <c r="N9672" s="6">
        <f>IF(OR($G9672="FCC",$G9672="Hydrocracker",$G9672="Reformer"),IF(COUNTIFS($D:$D,$D9672,$A:$A,$A9672,$B:$B,$B9672,$G:$G,"CDU",$J:$J,"PLANNED")&gt;0,"tied","standalone"),"")</f>
        <v/>
      </c>
    </row>
    <row r="9673" spans="6:14">
      <c r="F9673" s="6">
        <f>IF($M9673="PADD I","PADD 1",IF($M9673="PADD II","PADD 2",IF($M9673="PADD III","PADD 3",IF($M9673="PADD IV","PADD 4",IF($M9673="PADD V","PADD 5","")))))</f>
        <v/>
      </c>
      <c r="G9673" s="6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  <c r="N9673" s="6">
        <f>IF(OR($G9673="FCC",$G9673="Hydrocracker",$G9673="Reformer"),IF(COUNTIFS($D:$D,$D9673,$A:$A,$A9673,$B:$B,$B9673,$G:$G,"CDU",$J:$J,"PLANNED")&gt;0,"tied","standalone"),"")</f>
        <v/>
      </c>
    </row>
    <row r="9674" spans="6:14">
      <c r="F9674" s="6">
        <f>IF($M9674="PADD I","PADD 1",IF($M9674="PADD II","PADD 2",IF($M9674="PADD III","PADD 3",IF($M9674="PADD IV","PADD 4",IF($M9674="PADD V","PADD 5","")))))</f>
        <v/>
      </c>
      <c r="G9674" s="6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  <c r="N9674" s="6">
        <f>IF(OR($G9674="FCC",$G9674="Hydrocracker",$G9674="Reformer"),IF(COUNTIFS($D:$D,$D9674,$A:$A,$A9674,$B:$B,$B9674,$G:$G,"CDU",$J:$J,"PLANNED")&gt;0,"tied","standalone"),"")</f>
        <v/>
      </c>
    </row>
    <row r="9675" spans="6:14">
      <c r="F9675" s="6">
        <f>IF($M9675="PADD I","PADD 1",IF($M9675="PADD II","PADD 2",IF($M9675="PADD III","PADD 3",IF($M9675="PADD IV","PADD 4",IF($M9675="PADD V","PADD 5","")))))</f>
        <v/>
      </c>
      <c r="G9675" s="6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  <c r="N9675" s="6">
        <f>IF(OR($G9675="FCC",$G9675="Hydrocracker",$G9675="Reformer"),IF(COUNTIFS($D:$D,$D9675,$A:$A,$A9675,$B:$B,$B9675,$G:$G,"CDU",$J:$J,"PLANNED")&gt;0,"tied","standalone"),"")</f>
        <v/>
      </c>
    </row>
    <row r="9676" spans="6:14">
      <c r="F9676" s="6">
        <f>IF($M9676="PADD I","PADD 1",IF($M9676="PADD II","PADD 2",IF($M9676="PADD III","PADD 3",IF($M9676="PADD IV","PADD 4",IF($M9676="PADD V","PADD 5","")))))</f>
        <v/>
      </c>
      <c r="G9676" s="6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  <c r="N9676" s="6">
        <f>IF(OR($G9676="FCC",$G9676="Hydrocracker",$G9676="Reformer"),IF(COUNTIFS($D:$D,$D9676,$A:$A,$A9676,$B:$B,$B9676,$G:$G,"CDU",$J:$J,"PLANNED")&gt;0,"tied","standalone"),"")</f>
        <v/>
      </c>
    </row>
    <row r="9677" spans="6:14">
      <c r="F9677" s="6">
        <f>IF($M9677="PADD I","PADD 1",IF($M9677="PADD II","PADD 2",IF($M9677="PADD III","PADD 3",IF($M9677="PADD IV","PADD 4",IF($M9677="PADD V","PADD 5","")))))</f>
        <v/>
      </c>
      <c r="G9677" s="6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  <c r="N9677" s="6">
        <f>IF(OR($G9677="FCC",$G9677="Hydrocracker",$G9677="Reformer"),IF(COUNTIFS($D:$D,$D9677,$A:$A,$A9677,$B:$B,$B9677,$G:$G,"CDU",$J:$J,"PLANNED")&gt;0,"tied","standalone"),"")</f>
        <v/>
      </c>
    </row>
    <row r="9678" spans="6:14">
      <c r="F9678" s="6">
        <f>IF($M9678="PADD I","PADD 1",IF($M9678="PADD II","PADD 2",IF($M9678="PADD III","PADD 3",IF($M9678="PADD IV","PADD 4",IF($M9678="PADD V","PADD 5","")))))</f>
        <v/>
      </c>
      <c r="G9678" s="6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  <c r="N9678" s="6">
        <f>IF(OR($G9678="FCC",$G9678="Hydrocracker",$G9678="Reformer"),IF(COUNTIFS($D:$D,$D9678,$A:$A,$A9678,$B:$B,$B9678,$G:$G,"CDU",$J:$J,"PLANNED")&gt;0,"tied","standalone"),"")</f>
        <v/>
      </c>
    </row>
    <row r="9679" spans="6:14">
      <c r="F9679" s="6">
        <f>IF($M9679="PADD I","PADD 1",IF($M9679="PADD II","PADD 2",IF($M9679="PADD III","PADD 3",IF($M9679="PADD IV","PADD 4",IF($M9679="PADD V","PADD 5","")))))</f>
        <v/>
      </c>
      <c r="G9679" s="6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  <c r="N9679" s="6">
        <f>IF(OR($G9679="FCC",$G9679="Hydrocracker",$G9679="Reformer"),IF(COUNTIFS($D:$D,$D9679,$A:$A,$A9679,$B:$B,$B9679,$G:$G,"CDU",$J:$J,"PLANNED")&gt;0,"tied","standalone"),"")</f>
        <v/>
      </c>
    </row>
    <row r="9680" spans="6:14">
      <c r="F9680" s="6">
        <f>IF($M9680="PADD I","PADD 1",IF($M9680="PADD II","PADD 2",IF($M9680="PADD III","PADD 3",IF($M9680="PADD IV","PADD 4",IF($M9680="PADD V","PADD 5","")))))</f>
        <v/>
      </c>
      <c r="G9680" s="6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  <c r="N9680" s="6">
        <f>IF(OR($G9680="FCC",$G9680="Hydrocracker",$G9680="Reformer"),IF(COUNTIFS($D:$D,$D9680,$A:$A,$A9680,$B:$B,$B9680,$G:$G,"CDU",$J:$J,"PLANNED")&gt;0,"tied","standalone"),"")</f>
        <v/>
      </c>
    </row>
    <row r="9681" spans="6:14">
      <c r="F9681" s="6">
        <f>IF($M9681="PADD I","PADD 1",IF($M9681="PADD II","PADD 2",IF($M9681="PADD III","PADD 3",IF($M9681="PADD IV","PADD 4",IF($M9681="PADD V","PADD 5","")))))</f>
        <v/>
      </c>
      <c r="G9681" s="6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  <c r="N9681" s="6">
        <f>IF(OR($G9681="FCC",$G9681="Hydrocracker",$G9681="Reformer"),IF(COUNTIFS($D:$D,$D9681,$A:$A,$A9681,$B:$B,$B9681,$G:$G,"CDU",$J:$J,"PLANNED")&gt;0,"tied","standalone"),"")</f>
        <v/>
      </c>
    </row>
    <row r="9682" spans="6:14">
      <c r="F9682" s="6">
        <f>IF($M9682="PADD I","PADD 1",IF($M9682="PADD II","PADD 2",IF($M9682="PADD III","PADD 3",IF($M9682="PADD IV","PADD 4",IF($M9682="PADD V","PADD 5","")))))</f>
        <v/>
      </c>
      <c r="G9682" s="6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  <c r="N9682" s="6">
        <f>IF(OR($G9682="FCC",$G9682="Hydrocracker",$G9682="Reformer"),IF(COUNTIFS($D:$D,$D9682,$A:$A,$A9682,$B:$B,$B9682,$G:$G,"CDU",$J:$J,"PLANNED")&gt;0,"tied","standalone"),"")</f>
        <v/>
      </c>
    </row>
    <row r="9683" spans="6:14">
      <c r="F9683" s="6">
        <f>IF($M9683="PADD I","PADD 1",IF($M9683="PADD II","PADD 2",IF($M9683="PADD III","PADD 3",IF($M9683="PADD IV","PADD 4",IF($M9683="PADD V","PADD 5","")))))</f>
        <v/>
      </c>
      <c r="G9683" s="6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  <c r="N9683" s="6">
        <f>IF(OR($G9683="FCC",$G9683="Hydrocracker",$G9683="Reformer"),IF(COUNTIFS($D:$D,$D9683,$A:$A,$A9683,$B:$B,$B9683,$G:$G,"CDU",$J:$J,"PLANNED")&gt;0,"tied","standalone"),"")</f>
        <v/>
      </c>
    </row>
    <row r="9684" spans="6:14">
      <c r="F9684" s="6">
        <f>IF($M9684="PADD I","PADD 1",IF($M9684="PADD II","PADD 2",IF($M9684="PADD III","PADD 3",IF($M9684="PADD IV","PADD 4",IF($M9684="PADD V","PADD 5","")))))</f>
        <v/>
      </c>
      <c r="G9684" s="6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  <c r="N9684" s="6">
        <f>IF(OR($G9684="FCC",$G9684="Hydrocracker",$G9684="Reformer"),IF(COUNTIFS($D:$D,$D9684,$A:$A,$A9684,$B:$B,$B9684,$G:$G,"CDU",$J:$J,"PLANNED")&gt;0,"tied","standalone"),"")</f>
        <v/>
      </c>
    </row>
    <row r="9685" spans="6:14">
      <c r="F9685" s="6">
        <f>IF($M9685="PADD I","PADD 1",IF($M9685="PADD II","PADD 2",IF($M9685="PADD III","PADD 3",IF($M9685="PADD IV","PADD 4",IF($M9685="PADD V","PADD 5","")))))</f>
        <v/>
      </c>
      <c r="G9685" s="6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  <c r="N9685" s="6">
        <f>IF(OR($G9685="FCC",$G9685="Hydrocracker",$G9685="Reformer"),IF(COUNTIFS($D:$D,$D9685,$A:$A,$A9685,$B:$B,$B9685,$G:$G,"CDU",$J:$J,"PLANNED")&gt;0,"tied","standalone"),"")</f>
        <v/>
      </c>
    </row>
    <row r="9686" spans="6:14">
      <c r="F9686" s="6">
        <f>IF($M9686="PADD I","PADD 1",IF($M9686="PADD II","PADD 2",IF($M9686="PADD III","PADD 3",IF($M9686="PADD IV","PADD 4",IF($M9686="PADD V","PADD 5","")))))</f>
        <v/>
      </c>
      <c r="G9686" s="6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  <c r="N9686" s="6">
        <f>IF(OR($G9686="FCC",$G9686="Hydrocracker",$G9686="Reformer"),IF(COUNTIFS($D:$D,$D9686,$A:$A,$A9686,$B:$B,$B9686,$G:$G,"CDU",$J:$J,"PLANNED")&gt;0,"tied","standalone"),"")</f>
        <v/>
      </c>
    </row>
    <row r="9687" spans="6:14">
      <c r="F9687" s="6">
        <f>IF($M9687="PADD I","PADD 1",IF($M9687="PADD II","PADD 2",IF($M9687="PADD III","PADD 3",IF($M9687="PADD IV","PADD 4",IF($M9687="PADD V","PADD 5","")))))</f>
        <v/>
      </c>
      <c r="G9687" s="6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  <c r="N9687" s="6">
        <f>IF(OR($G9687="FCC",$G9687="Hydrocracker",$G9687="Reformer"),IF(COUNTIFS($D:$D,$D9687,$A:$A,$A9687,$B:$B,$B9687,$G:$G,"CDU",$J:$J,"PLANNED")&gt;0,"tied","standalone"),"")</f>
        <v/>
      </c>
    </row>
    <row r="9688" spans="6:14">
      <c r="F9688" s="6">
        <f>IF($M9688="PADD I","PADD 1",IF($M9688="PADD II","PADD 2",IF($M9688="PADD III","PADD 3",IF($M9688="PADD IV","PADD 4",IF($M9688="PADD V","PADD 5","")))))</f>
        <v/>
      </c>
      <c r="G9688" s="6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  <c r="N9688" s="6">
        <f>IF(OR($G9688="FCC",$G9688="Hydrocracker",$G9688="Reformer"),IF(COUNTIFS($D:$D,$D9688,$A:$A,$A9688,$B:$B,$B9688,$G:$G,"CDU",$J:$J,"PLANNED")&gt;0,"tied","standalone"),"")</f>
        <v/>
      </c>
    </row>
    <row r="9689" spans="6:14">
      <c r="F9689" s="6">
        <f>IF($M9689="PADD I","PADD 1",IF($M9689="PADD II","PADD 2",IF($M9689="PADD III","PADD 3",IF($M9689="PADD IV","PADD 4",IF($M9689="PADD V","PADD 5","")))))</f>
        <v/>
      </c>
      <c r="G9689" s="6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  <c r="N9689" s="6">
        <f>IF(OR($G9689="FCC",$G9689="Hydrocracker",$G9689="Reformer"),IF(COUNTIFS($D:$D,$D9689,$A:$A,$A9689,$B:$B,$B9689,$G:$G,"CDU",$J:$J,"PLANNED")&gt;0,"tied","standalone"),"")</f>
        <v/>
      </c>
    </row>
    <row r="9690" spans="6:14">
      <c r="F9690" s="6">
        <f>IF($M9690="PADD I","PADD 1",IF($M9690="PADD II","PADD 2",IF($M9690="PADD III","PADD 3",IF($M9690="PADD IV","PADD 4",IF($M9690="PADD V","PADD 5","")))))</f>
        <v/>
      </c>
      <c r="G9690" s="6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  <c r="N9690" s="6">
        <f>IF(OR($G9690="FCC",$G9690="Hydrocracker",$G9690="Reformer"),IF(COUNTIFS($D:$D,$D9690,$A:$A,$A9690,$B:$B,$B9690,$G:$G,"CDU",$J:$J,"PLANNED")&gt;0,"tied","standalone"),"")</f>
        <v/>
      </c>
    </row>
    <row r="9691" spans="6:14">
      <c r="F9691" s="6">
        <f>IF($M9691="PADD I","PADD 1",IF($M9691="PADD II","PADD 2",IF($M9691="PADD III","PADD 3",IF($M9691="PADD IV","PADD 4",IF($M9691="PADD V","PADD 5","")))))</f>
        <v/>
      </c>
      <c r="G9691" s="6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  <c r="N9691" s="6">
        <f>IF(OR($G9691="FCC",$G9691="Hydrocracker",$G9691="Reformer"),IF(COUNTIFS($D:$D,$D9691,$A:$A,$A9691,$B:$B,$B9691,$G:$G,"CDU",$J:$J,"PLANNED")&gt;0,"tied","standalone"),"")</f>
        <v/>
      </c>
    </row>
    <row r="9692" spans="6:14">
      <c r="F9692" s="6">
        <f>IF($M9692="PADD I","PADD 1",IF($M9692="PADD II","PADD 2",IF($M9692="PADD III","PADD 3",IF($M9692="PADD IV","PADD 4",IF($M9692="PADD V","PADD 5","")))))</f>
        <v/>
      </c>
      <c r="G9692" s="6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  <c r="N9692" s="6">
        <f>IF(OR($G9692="FCC",$G9692="Hydrocracker",$G9692="Reformer"),IF(COUNTIFS($D:$D,$D9692,$A:$A,$A9692,$B:$B,$B9692,$G:$G,"CDU",$J:$J,"PLANNED")&gt;0,"tied","standalone"),"")</f>
        <v/>
      </c>
    </row>
    <row r="9693" spans="6:14">
      <c r="F9693" s="6">
        <f>IF($M9693="PADD I","PADD 1",IF($M9693="PADD II","PADD 2",IF($M9693="PADD III","PADD 3",IF($M9693="PADD IV","PADD 4",IF($M9693="PADD V","PADD 5","")))))</f>
        <v/>
      </c>
      <c r="G9693" s="6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  <c r="N9693" s="6">
        <f>IF(OR($G9693="FCC",$G9693="Hydrocracker",$G9693="Reformer"),IF(COUNTIFS($D:$D,$D9693,$A:$A,$A9693,$B:$B,$B9693,$G:$G,"CDU",$J:$J,"PLANNED")&gt;0,"tied","standalone"),"")</f>
        <v/>
      </c>
    </row>
    <row r="9694" spans="6:14">
      <c r="F9694" s="6">
        <f>IF($M9694="PADD I","PADD 1",IF($M9694="PADD II","PADD 2",IF($M9694="PADD III","PADD 3",IF($M9694="PADD IV","PADD 4",IF($M9694="PADD V","PADD 5","")))))</f>
        <v/>
      </c>
      <c r="G9694" s="6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  <c r="N9694" s="6">
        <f>IF(OR($G9694="FCC",$G9694="Hydrocracker",$G9694="Reformer"),IF(COUNTIFS($D:$D,$D9694,$A:$A,$A9694,$B:$B,$B9694,$G:$G,"CDU",$J:$J,"PLANNED")&gt;0,"tied","standalone"),"")</f>
        <v/>
      </c>
    </row>
    <row r="9695" spans="6:14">
      <c r="F9695" s="6">
        <f>IF($M9695="PADD I","PADD 1",IF($M9695="PADD II","PADD 2",IF($M9695="PADD III","PADD 3",IF($M9695="PADD IV","PADD 4",IF($M9695="PADD V","PADD 5","")))))</f>
        <v/>
      </c>
      <c r="G9695" s="6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  <c r="N9695" s="6">
        <f>IF(OR($G9695="FCC",$G9695="Hydrocracker",$G9695="Reformer"),IF(COUNTIFS($D:$D,$D9695,$A:$A,$A9695,$B:$B,$B9695,$G:$G,"CDU",$J:$J,"PLANNED")&gt;0,"tied","standalone"),"")</f>
        <v/>
      </c>
    </row>
    <row r="9696" spans="6:14">
      <c r="F9696" s="6">
        <f>IF($M9696="PADD I","PADD 1",IF($M9696="PADD II","PADD 2",IF($M9696="PADD III","PADD 3",IF($M9696="PADD IV","PADD 4",IF($M9696="PADD V","PADD 5","")))))</f>
        <v/>
      </c>
      <c r="G9696" s="6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  <c r="N9696" s="6">
        <f>IF(OR($G9696="FCC",$G9696="Hydrocracker",$G9696="Reformer"),IF(COUNTIFS($D:$D,$D9696,$A:$A,$A9696,$B:$B,$B9696,$G:$G,"CDU",$J:$J,"PLANNED")&gt;0,"tied","standalone"),"")</f>
        <v/>
      </c>
    </row>
    <row r="9697" spans="6:14">
      <c r="F9697" s="6">
        <f>IF($M9697="PADD I","PADD 1",IF($M9697="PADD II","PADD 2",IF($M9697="PADD III","PADD 3",IF($M9697="PADD IV","PADD 4",IF($M9697="PADD V","PADD 5","")))))</f>
        <v/>
      </c>
      <c r="G9697" s="6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  <c r="N9697" s="6">
        <f>IF(OR($G9697="FCC",$G9697="Hydrocracker",$G9697="Reformer"),IF(COUNTIFS($D:$D,$D9697,$A:$A,$A9697,$B:$B,$B9697,$G:$G,"CDU",$J:$J,"PLANNED")&gt;0,"tied","standalone"),"")</f>
        <v/>
      </c>
    </row>
    <row r="9698" spans="6:14">
      <c r="F9698" s="6">
        <f>IF($M9698="PADD I","PADD 1",IF($M9698="PADD II","PADD 2",IF($M9698="PADD III","PADD 3",IF($M9698="PADD IV","PADD 4",IF($M9698="PADD V","PADD 5","")))))</f>
        <v/>
      </c>
      <c r="G9698" s="6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  <c r="N9698" s="6">
        <f>IF(OR($G9698="FCC",$G9698="Hydrocracker",$G9698="Reformer"),IF(COUNTIFS($D:$D,$D9698,$A:$A,$A9698,$B:$B,$B9698,$G:$G,"CDU",$J:$J,"PLANNED")&gt;0,"tied","standalone"),"")</f>
        <v/>
      </c>
    </row>
    <row r="9699" spans="6:14">
      <c r="F9699" s="6">
        <f>IF($M9699="PADD I","PADD 1",IF($M9699="PADD II","PADD 2",IF($M9699="PADD III","PADD 3",IF($M9699="PADD IV","PADD 4",IF($M9699="PADD V","PADD 5","")))))</f>
        <v/>
      </c>
      <c r="G9699" s="6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  <c r="N9699" s="6">
        <f>IF(OR($G9699="FCC",$G9699="Hydrocracker",$G9699="Reformer"),IF(COUNTIFS($D:$D,$D9699,$A:$A,$A9699,$B:$B,$B9699,$G:$G,"CDU",$J:$J,"PLANNED")&gt;0,"tied","standalone"),"")</f>
        <v/>
      </c>
    </row>
    <row r="9700" spans="6:14">
      <c r="F9700" s="6">
        <f>IF($M9700="PADD I","PADD 1",IF($M9700="PADD II","PADD 2",IF($M9700="PADD III","PADD 3",IF($M9700="PADD IV","PADD 4",IF($M9700="PADD V","PADD 5","")))))</f>
        <v/>
      </c>
      <c r="G9700" s="6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  <c r="N9700" s="6">
        <f>IF(OR($G9700="FCC",$G9700="Hydrocracker",$G9700="Reformer"),IF(COUNTIFS($D:$D,$D9700,$A:$A,$A9700,$B:$B,$B9700,$G:$G,"CDU",$J:$J,"PLANNED")&gt;0,"tied","standalone"),"")</f>
        <v/>
      </c>
    </row>
    <row r="9701" spans="6:14">
      <c r="F9701" s="6">
        <f>IF($M9701="PADD I","PADD 1",IF($M9701="PADD II","PADD 2",IF($M9701="PADD III","PADD 3",IF($M9701="PADD IV","PADD 4",IF($M9701="PADD V","PADD 5","")))))</f>
        <v/>
      </c>
      <c r="G9701" s="6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  <c r="N9701" s="6">
        <f>IF(OR($G9701="FCC",$G9701="Hydrocracker",$G9701="Reformer"),IF(COUNTIFS($D:$D,$D9701,$A:$A,$A9701,$B:$B,$B9701,$G:$G,"CDU",$J:$J,"PLANNED")&gt;0,"tied","standalone"),"")</f>
        <v/>
      </c>
    </row>
    <row r="9702" spans="6:14">
      <c r="F9702" s="6">
        <f>IF($M9702="PADD I","PADD 1",IF($M9702="PADD II","PADD 2",IF($M9702="PADD III","PADD 3",IF($M9702="PADD IV","PADD 4",IF($M9702="PADD V","PADD 5","")))))</f>
        <v/>
      </c>
      <c r="G9702" s="6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  <c r="N9702" s="6">
        <f>IF(OR($G9702="FCC",$G9702="Hydrocracker",$G9702="Reformer"),IF(COUNTIFS($D:$D,$D9702,$A:$A,$A9702,$B:$B,$B9702,$G:$G,"CDU",$J:$J,"PLANNED")&gt;0,"tied","standalone"),"")</f>
        <v/>
      </c>
    </row>
    <row r="9703" spans="6:14">
      <c r="F9703" s="6">
        <f>IF($M9703="PADD I","PADD 1",IF($M9703="PADD II","PADD 2",IF($M9703="PADD III","PADD 3",IF($M9703="PADD IV","PADD 4",IF($M9703="PADD V","PADD 5","")))))</f>
        <v/>
      </c>
      <c r="G9703" s="6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  <c r="N9703" s="6">
        <f>IF(OR($G9703="FCC",$G9703="Hydrocracker",$G9703="Reformer"),IF(COUNTIFS($D:$D,$D9703,$A:$A,$A9703,$B:$B,$B9703,$G:$G,"CDU",$J:$J,"PLANNED")&gt;0,"tied","standalone"),"")</f>
        <v/>
      </c>
    </row>
    <row r="9704" spans="6:14">
      <c r="F9704" s="6">
        <f>IF($M9704="PADD I","PADD 1",IF($M9704="PADD II","PADD 2",IF($M9704="PADD III","PADD 3",IF($M9704="PADD IV","PADD 4",IF($M9704="PADD V","PADD 5","")))))</f>
        <v/>
      </c>
      <c r="G9704" s="6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  <c r="N9704" s="6">
        <f>IF(OR($G9704="FCC",$G9704="Hydrocracker",$G9704="Reformer"),IF(COUNTIFS($D:$D,$D9704,$A:$A,$A9704,$B:$B,$B9704,$G:$G,"CDU",$J:$J,"PLANNED")&gt;0,"tied","standalone"),"")</f>
        <v/>
      </c>
    </row>
    <row r="9705" spans="6:14">
      <c r="F9705" s="6">
        <f>IF($M9705="PADD I","PADD 1",IF($M9705="PADD II","PADD 2",IF($M9705="PADD III","PADD 3",IF($M9705="PADD IV","PADD 4",IF($M9705="PADD V","PADD 5","")))))</f>
        <v/>
      </c>
      <c r="G9705" s="6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  <c r="N9705" s="6">
        <f>IF(OR($G9705="FCC",$G9705="Hydrocracker",$G9705="Reformer"),IF(COUNTIFS($D:$D,$D9705,$A:$A,$A9705,$B:$B,$B9705,$G:$G,"CDU",$J:$J,"PLANNED")&gt;0,"tied","standalone"),"")</f>
        <v/>
      </c>
    </row>
    <row r="9706" spans="6:14">
      <c r="F9706" s="6">
        <f>IF($M9706="PADD I","PADD 1",IF($M9706="PADD II","PADD 2",IF($M9706="PADD III","PADD 3",IF($M9706="PADD IV","PADD 4",IF($M9706="PADD V","PADD 5","")))))</f>
        <v/>
      </c>
      <c r="G9706" s="6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  <c r="N9706" s="6">
        <f>IF(OR($G9706="FCC",$G9706="Hydrocracker",$G9706="Reformer"),IF(COUNTIFS($D:$D,$D9706,$A:$A,$A9706,$B:$B,$B9706,$G:$G,"CDU",$J:$J,"PLANNED")&gt;0,"tied","standalone"),"")</f>
        <v/>
      </c>
    </row>
    <row r="9707" spans="6:14">
      <c r="F9707" s="6">
        <f>IF($M9707="PADD I","PADD 1",IF($M9707="PADD II","PADD 2",IF($M9707="PADD III","PADD 3",IF($M9707="PADD IV","PADD 4",IF($M9707="PADD V","PADD 5","")))))</f>
        <v/>
      </c>
      <c r="G9707" s="6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  <c r="N9707" s="6">
        <f>IF(OR($G9707="FCC",$G9707="Hydrocracker",$G9707="Reformer"),IF(COUNTIFS($D:$D,$D9707,$A:$A,$A9707,$B:$B,$B9707,$G:$G,"CDU",$J:$J,"PLANNED")&gt;0,"tied","standalone"),"")</f>
        <v/>
      </c>
    </row>
    <row r="9708" spans="6:14">
      <c r="F9708" s="6">
        <f>IF($M9708="PADD I","PADD 1",IF($M9708="PADD II","PADD 2",IF($M9708="PADD III","PADD 3",IF($M9708="PADD IV","PADD 4",IF($M9708="PADD V","PADD 5","")))))</f>
        <v/>
      </c>
      <c r="G9708" s="6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  <c r="N9708" s="6">
        <f>IF(OR($G9708="FCC",$G9708="Hydrocracker",$G9708="Reformer"),IF(COUNTIFS($D:$D,$D9708,$A:$A,$A9708,$B:$B,$B9708,$G:$G,"CDU",$J:$J,"PLANNED")&gt;0,"tied","standalone"),"")</f>
        <v/>
      </c>
    </row>
    <row r="9709" spans="6:14">
      <c r="F9709" s="6">
        <f>IF($M9709="PADD I","PADD 1",IF($M9709="PADD II","PADD 2",IF($M9709="PADD III","PADD 3",IF($M9709="PADD IV","PADD 4",IF($M9709="PADD V","PADD 5","")))))</f>
        <v/>
      </c>
      <c r="G9709" s="6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  <c r="N9709" s="6">
        <f>IF(OR($G9709="FCC",$G9709="Hydrocracker",$G9709="Reformer"),IF(COUNTIFS($D:$D,$D9709,$A:$A,$A9709,$B:$B,$B9709,$G:$G,"CDU",$J:$J,"PLANNED")&gt;0,"tied","standalone"),"")</f>
        <v/>
      </c>
    </row>
    <row r="9710" spans="6:14">
      <c r="F9710" s="6">
        <f>IF($M9710="PADD I","PADD 1",IF($M9710="PADD II","PADD 2",IF($M9710="PADD III","PADD 3",IF($M9710="PADD IV","PADD 4",IF($M9710="PADD V","PADD 5","")))))</f>
        <v/>
      </c>
      <c r="G9710" s="6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  <c r="N9710" s="6">
        <f>IF(OR($G9710="FCC",$G9710="Hydrocracker",$G9710="Reformer"),IF(COUNTIFS($D:$D,$D9710,$A:$A,$A9710,$B:$B,$B9710,$G:$G,"CDU",$J:$J,"PLANNED")&gt;0,"tied","standalone"),"")</f>
        <v/>
      </c>
    </row>
    <row r="9711" spans="6:14">
      <c r="F9711" s="6">
        <f>IF($M9711="PADD I","PADD 1",IF($M9711="PADD II","PADD 2",IF($M9711="PADD III","PADD 3",IF($M9711="PADD IV","PADD 4",IF($M9711="PADD V","PADD 5","")))))</f>
        <v/>
      </c>
      <c r="G9711" s="6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  <c r="N9711" s="6">
        <f>IF(OR($G9711="FCC",$G9711="Hydrocracker",$G9711="Reformer"),IF(COUNTIFS($D:$D,$D9711,$A:$A,$A9711,$B:$B,$B9711,$G:$G,"CDU",$J:$J,"PLANNED")&gt;0,"tied","standalone"),"")</f>
        <v/>
      </c>
    </row>
    <row r="9712" spans="6:14">
      <c r="F9712" s="6">
        <f>IF($M9712="PADD I","PADD 1",IF($M9712="PADD II","PADD 2",IF($M9712="PADD III","PADD 3",IF($M9712="PADD IV","PADD 4",IF($M9712="PADD V","PADD 5","")))))</f>
        <v/>
      </c>
      <c r="G9712" s="6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  <c r="N9712" s="6">
        <f>IF(OR($G9712="FCC",$G9712="Hydrocracker",$G9712="Reformer"),IF(COUNTIFS($D:$D,$D9712,$A:$A,$A9712,$B:$B,$B9712,$G:$G,"CDU",$J:$J,"PLANNED")&gt;0,"tied","standalone"),"")</f>
        <v/>
      </c>
    </row>
    <row r="9713" spans="6:14">
      <c r="F9713" s="6">
        <f>IF($M9713="PADD I","PADD 1",IF($M9713="PADD II","PADD 2",IF($M9713="PADD III","PADD 3",IF($M9713="PADD IV","PADD 4",IF($M9713="PADD V","PADD 5","")))))</f>
        <v/>
      </c>
      <c r="G9713" s="6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  <c r="N9713" s="6">
        <f>IF(OR($G9713="FCC",$G9713="Hydrocracker",$G9713="Reformer"),IF(COUNTIFS($D:$D,$D9713,$A:$A,$A9713,$B:$B,$B9713,$G:$G,"CDU",$J:$J,"PLANNED")&gt;0,"tied","standalone"),"")</f>
        <v/>
      </c>
    </row>
    <row r="9714" spans="6:14">
      <c r="F9714" s="6">
        <f>IF($M9714="PADD I","PADD 1",IF($M9714="PADD II","PADD 2",IF($M9714="PADD III","PADD 3",IF($M9714="PADD IV","PADD 4",IF($M9714="PADD V","PADD 5","")))))</f>
        <v/>
      </c>
      <c r="G9714" s="6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  <c r="N9714" s="6">
        <f>IF(OR($G9714="FCC",$G9714="Hydrocracker",$G9714="Reformer"),IF(COUNTIFS($D:$D,$D9714,$A:$A,$A9714,$B:$B,$B9714,$G:$G,"CDU",$J:$J,"PLANNED")&gt;0,"tied","standalone"),"")</f>
        <v/>
      </c>
    </row>
    <row r="9715" spans="6:14">
      <c r="F9715" s="6">
        <f>IF($M9715="PADD I","PADD 1",IF($M9715="PADD II","PADD 2",IF($M9715="PADD III","PADD 3",IF($M9715="PADD IV","PADD 4",IF($M9715="PADD V","PADD 5","")))))</f>
        <v/>
      </c>
      <c r="G9715" s="6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  <c r="N9715" s="6">
        <f>IF(OR($G9715="FCC",$G9715="Hydrocracker",$G9715="Reformer"),IF(COUNTIFS($D:$D,$D9715,$A:$A,$A9715,$B:$B,$B9715,$G:$G,"CDU",$J:$J,"PLANNED")&gt;0,"tied","standalone"),"")</f>
        <v/>
      </c>
    </row>
    <row r="9716" spans="6:14">
      <c r="F9716" s="6">
        <f>IF($M9716="PADD I","PADD 1",IF($M9716="PADD II","PADD 2",IF($M9716="PADD III","PADD 3",IF($M9716="PADD IV","PADD 4",IF($M9716="PADD V","PADD 5","")))))</f>
        <v/>
      </c>
      <c r="G9716" s="6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  <c r="N9716" s="6">
        <f>IF(OR($G9716="FCC",$G9716="Hydrocracker",$G9716="Reformer"),IF(COUNTIFS($D:$D,$D9716,$A:$A,$A9716,$B:$B,$B9716,$G:$G,"CDU",$J:$J,"PLANNED")&gt;0,"tied","standalone"),"")</f>
        <v/>
      </c>
    </row>
    <row r="9717" spans="6:14">
      <c r="F9717" s="6">
        <f>IF($M9717="PADD I","PADD 1",IF($M9717="PADD II","PADD 2",IF($M9717="PADD III","PADD 3",IF($M9717="PADD IV","PADD 4",IF($M9717="PADD V","PADD 5","")))))</f>
        <v/>
      </c>
      <c r="G9717" s="6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  <c r="N9717" s="6">
        <f>IF(OR($G9717="FCC",$G9717="Hydrocracker",$G9717="Reformer"),IF(COUNTIFS($D:$D,$D9717,$A:$A,$A9717,$B:$B,$B9717,$G:$G,"CDU",$J:$J,"PLANNED")&gt;0,"tied","standalone"),"")</f>
        <v/>
      </c>
    </row>
    <row r="9718" spans="6:14">
      <c r="F9718" s="6">
        <f>IF($M9718="PADD I","PADD 1",IF($M9718="PADD II","PADD 2",IF($M9718="PADD III","PADD 3",IF($M9718="PADD IV","PADD 4",IF($M9718="PADD V","PADD 5","")))))</f>
        <v/>
      </c>
      <c r="G9718" s="6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  <c r="N9718" s="6">
        <f>IF(OR($G9718="FCC",$G9718="Hydrocracker",$G9718="Reformer"),IF(COUNTIFS($D:$D,$D9718,$A:$A,$A9718,$B:$B,$B9718,$G:$G,"CDU",$J:$J,"PLANNED")&gt;0,"tied","standalone"),"")</f>
        <v/>
      </c>
    </row>
    <row r="9719" spans="6:14">
      <c r="F9719" s="6">
        <f>IF($M9719="PADD I","PADD 1",IF($M9719="PADD II","PADD 2",IF($M9719="PADD III","PADD 3",IF($M9719="PADD IV","PADD 4",IF($M9719="PADD V","PADD 5","")))))</f>
        <v/>
      </c>
      <c r="G9719" s="6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  <c r="N9719" s="6">
        <f>IF(OR($G9719="FCC",$G9719="Hydrocracker",$G9719="Reformer"),IF(COUNTIFS($D:$D,$D9719,$A:$A,$A9719,$B:$B,$B9719,$G:$G,"CDU",$J:$J,"PLANNED")&gt;0,"tied","standalone"),"")</f>
        <v/>
      </c>
    </row>
    <row r="9720" spans="6:14">
      <c r="F9720" s="6">
        <f>IF($M9720="PADD I","PADD 1",IF($M9720="PADD II","PADD 2",IF($M9720="PADD III","PADD 3",IF($M9720="PADD IV","PADD 4",IF($M9720="PADD V","PADD 5","")))))</f>
        <v/>
      </c>
      <c r="G9720" s="6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  <c r="N9720" s="6">
        <f>IF(OR($G9720="FCC",$G9720="Hydrocracker",$G9720="Reformer"),IF(COUNTIFS($D:$D,$D9720,$A:$A,$A9720,$B:$B,$B9720,$G:$G,"CDU",$J:$J,"PLANNED")&gt;0,"tied","standalone"),"")</f>
        <v/>
      </c>
    </row>
    <row r="9721" spans="6:14">
      <c r="F9721" s="6">
        <f>IF($M9721="PADD I","PADD 1",IF($M9721="PADD II","PADD 2",IF($M9721="PADD III","PADD 3",IF($M9721="PADD IV","PADD 4",IF($M9721="PADD V","PADD 5","")))))</f>
        <v/>
      </c>
      <c r="G9721" s="6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  <c r="N9721" s="6">
        <f>IF(OR($G9721="FCC",$G9721="Hydrocracker",$G9721="Reformer"),IF(COUNTIFS($D:$D,$D9721,$A:$A,$A9721,$B:$B,$B9721,$G:$G,"CDU",$J:$J,"PLANNED")&gt;0,"tied","standalone"),"")</f>
        <v/>
      </c>
    </row>
    <row r="9722" spans="6:14">
      <c r="F9722" s="6">
        <f>IF($M9722="PADD I","PADD 1",IF($M9722="PADD II","PADD 2",IF($M9722="PADD III","PADD 3",IF($M9722="PADD IV","PADD 4",IF($M9722="PADD V","PADD 5","")))))</f>
        <v/>
      </c>
      <c r="G9722" s="6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  <c r="N9722" s="6">
        <f>IF(OR($G9722="FCC",$G9722="Hydrocracker",$G9722="Reformer"),IF(COUNTIFS($D:$D,$D9722,$A:$A,$A9722,$B:$B,$B9722,$G:$G,"CDU",$J:$J,"PLANNED")&gt;0,"tied","standalone"),"")</f>
        <v/>
      </c>
    </row>
    <row r="9723" spans="6:14">
      <c r="F9723" s="6">
        <f>IF($M9723="PADD I","PADD 1",IF($M9723="PADD II","PADD 2",IF($M9723="PADD III","PADD 3",IF($M9723="PADD IV","PADD 4",IF($M9723="PADD V","PADD 5","")))))</f>
        <v/>
      </c>
      <c r="G9723" s="6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  <c r="N9723" s="6">
        <f>IF(OR($G9723="FCC",$G9723="Hydrocracker",$G9723="Reformer"),IF(COUNTIFS($D:$D,$D9723,$A:$A,$A9723,$B:$B,$B9723,$G:$G,"CDU",$J:$J,"PLANNED")&gt;0,"tied","standalone"),"")</f>
        <v/>
      </c>
    </row>
    <row r="9724" spans="6:14">
      <c r="F9724" s="6">
        <f>IF($M9724="PADD I","PADD 1",IF($M9724="PADD II","PADD 2",IF($M9724="PADD III","PADD 3",IF($M9724="PADD IV","PADD 4",IF($M9724="PADD V","PADD 5","")))))</f>
        <v/>
      </c>
      <c r="G9724" s="6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  <c r="N9724" s="6">
        <f>IF(OR($G9724="FCC",$G9724="Hydrocracker",$G9724="Reformer"),IF(COUNTIFS($D:$D,$D9724,$A:$A,$A9724,$B:$B,$B9724,$G:$G,"CDU",$J:$J,"PLANNED")&gt;0,"tied","standalone"),"")</f>
        <v/>
      </c>
    </row>
    <row r="9725" spans="6:14">
      <c r="F9725" s="6">
        <f>IF($M9725="PADD I","PADD 1",IF($M9725="PADD II","PADD 2",IF($M9725="PADD III","PADD 3",IF($M9725="PADD IV","PADD 4",IF($M9725="PADD V","PADD 5","")))))</f>
        <v/>
      </c>
      <c r="G9725" s="6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  <c r="N9725" s="6">
        <f>IF(OR($G9725="FCC",$G9725="Hydrocracker",$G9725="Reformer"),IF(COUNTIFS($D:$D,$D9725,$A:$A,$A9725,$B:$B,$B9725,$G:$G,"CDU",$J:$J,"PLANNED")&gt;0,"tied","standalone"),"")</f>
        <v/>
      </c>
    </row>
    <row r="9726" spans="6:14">
      <c r="F9726" s="6">
        <f>IF($M9726="PADD I","PADD 1",IF($M9726="PADD II","PADD 2",IF($M9726="PADD III","PADD 3",IF($M9726="PADD IV","PADD 4",IF($M9726="PADD V","PADD 5","")))))</f>
        <v/>
      </c>
      <c r="G9726" s="6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  <c r="N9726" s="6">
        <f>IF(OR($G9726="FCC",$G9726="Hydrocracker",$G9726="Reformer"),IF(COUNTIFS($D:$D,$D9726,$A:$A,$A9726,$B:$B,$B9726,$G:$G,"CDU",$J:$J,"PLANNED")&gt;0,"tied","standalone"),"")</f>
        <v/>
      </c>
    </row>
    <row r="9727" spans="6:14">
      <c r="F9727" s="6">
        <f>IF($M9727="PADD I","PADD 1",IF($M9727="PADD II","PADD 2",IF($M9727="PADD III","PADD 3",IF($M9727="PADD IV","PADD 4",IF($M9727="PADD V","PADD 5","")))))</f>
        <v/>
      </c>
      <c r="G9727" s="6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  <c r="N9727" s="6">
        <f>IF(OR($G9727="FCC",$G9727="Hydrocracker",$G9727="Reformer"),IF(COUNTIFS($D:$D,$D9727,$A:$A,$A9727,$B:$B,$B9727,$G:$G,"CDU",$J:$J,"PLANNED")&gt;0,"tied","standalone"),"")</f>
        <v/>
      </c>
    </row>
    <row r="9728" spans="6:14">
      <c r="F9728" s="6">
        <f>IF($M9728="PADD I","PADD 1",IF($M9728="PADD II","PADD 2",IF($M9728="PADD III","PADD 3",IF($M9728="PADD IV","PADD 4",IF($M9728="PADD V","PADD 5","")))))</f>
        <v/>
      </c>
      <c r="G9728" s="6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  <c r="N9728" s="6">
        <f>IF(OR($G9728="FCC",$G9728="Hydrocracker",$G9728="Reformer"),IF(COUNTIFS($D:$D,$D9728,$A:$A,$A9728,$B:$B,$B9728,$G:$G,"CDU",$J:$J,"PLANNED")&gt;0,"tied","standalone"),"")</f>
        <v/>
      </c>
    </row>
    <row r="9729" spans="6:14">
      <c r="F9729" s="6">
        <f>IF($M9729="PADD I","PADD 1",IF($M9729="PADD II","PADD 2",IF($M9729="PADD III","PADD 3",IF($M9729="PADD IV","PADD 4",IF($M9729="PADD V","PADD 5","")))))</f>
        <v/>
      </c>
      <c r="G9729" s="6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  <c r="N9729" s="6">
        <f>IF(OR($G9729="FCC",$G9729="Hydrocracker",$G9729="Reformer"),IF(COUNTIFS($D:$D,$D9729,$A:$A,$A9729,$B:$B,$B9729,$G:$G,"CDU",$J:$J,"PLANNED")&gt;0,"tied","standalone"),"")</f>
        <v/>
      </c>
    </row>
    <row r="9730" spans="6:14">
      <c r="F9730" s="6">
        <f>IF($M9730="PADD I","PADD 1",IF($M9730="PADD II","PADD 2",IF($M9730="PADD III","PADD 3",IF($M9730="PADD IV","PADD 4",IF($M9730="PADD V","PADD 5","")))))</f>
        <v/>
      </c>
      <c r="G9730" s="6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  <c r="N9730" s="6">
        <f>IF(OR($G9730="FCC",$G9730="Hydrocracker",$G9730="Reformer"),IF(COUNTIFS($D:$D,$D9730,$A:$A,$A9730,$B:$B,$B9730,$G:$G,"CDU",$J:$J,"PLANNED")&gt;0,"tied","standalone"),"")</f>
        <v/>
      </c>
    </row>
    <row r="9731" spans="6:14">
      <c r="F9731" s="6">
        <f>IF($M9731="PADD I","PADD 1",IF($M9731="PADD II","PADD 2",IF($M9731="PADD III","PADD 3",IF($M9731="PADD IV","PADD 4",IF($M9731="PADD V","PADD 5","")))))</f>
        <v/>
      </c>
      <c r="G9731" s="6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  <c r="N9731" s="6">
        <f>IF(OR($G9731="FCC",$G9731="Hydrocracker",$G9731="Reformer"),IF(COUNTIFS($D:$D,$D9731,$A:$A,$A9731,$B:$B,$B9731,$G:$G,"CDU",$J:$J,"PLANNED")&gt;0,"tied","standalone"),"")</f>
        <v/>
      </c>
    </row>
    <row r="9732" spans="6:14">
      <c r="F9732" s="6">
        <f>IF($M9732="PADD I","PADD 1",IF($M9732="PADD II","PADD 2",IF($M9732="PADD III","PADD 3",IF($M9732="PADD IV","PADD 4",IF($M9732="PADD V","PADD 5","")))))</f>
        <v/>
      </c>
      <c r="G9732" s="6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  <c r="N9732" s="6">
        <f>IF(OR($G9732="FCC",$G9732="Hydrocracker",$G9732="Reformer"),IF(COUNTIFS($D:$D,$D9732,$A:$A,$A9732,$B:$B,$B9732,$G:$G,"CDU",$J:$J,"PLANNED")&gt;0,"tied","standalone"),"")</f>
        <v/>
      </c>
    </row>
    <row r="9733" spans="6:14">
      <c r="F9733" s="6">
        <f>IF($M9733="PADD I","PADD 1",IF($M9733="PADD II","PADD 2",IF($M9733="PADD III","PADD 3",IF($M9733="PADD IV","PADD 4",IF($M9733="PADD V","PADD 5","")))))</f>
        <v/>
      </c>
      <c r="G9733" s="6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  <c r="N9733" s="6">
        <f>IF(OR($G9733="FCC",$G9733="Hydrocracker",$G9733="Reformer"),IF(COUNTIFS($D:$D,$D9733,$A:$A,$A9733,$B:$B,$B9733,$G:$G,"CDU",$J:$J,"PLANNED")&gt;0,"tied","standalone"),"")</f>
        <v/>
      </c>
    </row>
    <row r="9734" spans="6:14">
      <c r="F9734" s="6">
        <f>IF($M9734="PADD I","PADD 1",IF($M9734="PADD II","PADD 2",IF($M9734="PADD III","PADD 3",IF($M9734="PADD IV","PADD 4",IF($M9734="PADD V","PADD 5","")))))</f>
        <v/>
      </c>
      <c r="G9734" s="6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  <c r="N9734" s="6">
        <f>IF(OR($G9734="FCC",$G9734="Hydrocracker",$G9734="Reformer"),IF(COUNTIFS($D:$D,$D9734,$A:$A,$A9734,$B:$B,$B9734,$G:$G,"CDU",$J:$J,"PLANNED")&gt;0,"tied","standalone"),"")</f>
        <v/>
      </c>
    </row>
    <row r="9735" spans="6:14">
      <c r="F9735" s="6">
        <f>IF($M9735="PADD I","PADD 1",IF($M9735="PADD II","PADD 2",IF($M9735="PADD III","PADD 3",IF($M9735="PADD IV","PADD 4",IF($M9735="PADD V","PADD 5","")))))</f>
        <v/>
      </c>
      <c r="G9735" s="6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  <c r="N9735" s="6">
        <f>IF(OR($G9735="FCC",$G9735="Hydrocracker",$G9735="Reformer"),IF(COUNTIFS($D:$D,$D9735,$A:$A,$A9735,$B:$B,$B9735,$G:$G,"CDU",$J:$J,"PLANNED")&gt;0,"tied","standalone"),"")</f>
        <v/>
      </c>
    </row>
    <row r="9736" spans="6:14">
      <c r="F9736" s="6">
        <f>IF($M9736="PADD I","PADD 1",IF($M9736="PADD II","PADD 2",IF($M9736="PADD III","PADD 3",IF($M9736="PADD IV","PADD 4",IF($M9736="PADD V","PADD 5","")))))</f>
        <v/>
      </c>
      <c r="G9736" s="6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  <c r="N9736" s="6">
        <f>IF(OR($G9736="FCC",$G9736="Hydrocracker",$G9736="Reformer"),IF(COUNTIFS($D:$D,$D9736,$A:$A,$A9736,$B:$B,$B9736,$G:$G,"CDU",$J:$J,"PLANNED")&gt;0,"tied","standalone"),"")</f>
        <v/>
      </c>
    </row>
    <row r="9737" spans="6:14">
      <c r="F9737" s="6">
        <f>IF($M9737="PADD I","PADD 1",IF($M9737="PADD II","PADD 2",IF($M9737="PADD III","PADD 3",IF($M9737="PADD IV","PADD 4",IF($M9737="PADD V","PADD 5","")))))</f>
        <v/>
      </c>
      <c r="G9737" s="6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  <c r="N9737" s="6">
        <f>IF(OR($G9737="FCC",$G9737="Hydrocracker",$G9737="Reformer"),IF(COUNTIFS($D:$D,$D9737,$A:$A,$A9737,$B:$B,$B9737,$G:$G,"CDU",$J:$J,"PLANNED")&gt;0,"tied","standalone"),"")</f>
        <v/>
      </c>
    </row>
    <row r="9738" spans="6:14">
      <c r="F9738" s="6">
        <f>IF($M9738="PADD I","PADD 1",IF($M9738="PADD II","PADD 2",IF($M9738="PADD III","PADD 3",IF($M9738="PADD IV","PADD 4",IF($M9738="PADD V","PADD 5","")))))</f>
        <v/>
      </c>
      <c r="G9738" s="6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  <c r="N9738" s="6">
        <f>IF(OR($G9738="FCC",$G9738="Hydrocracker",$G9738="Reformer"),IF(COUNTIFS($D:$D,$D9738,$A:$A,$A9738,$B:$B,$B9738,$G:$G,"CDU",$J:$J,"PLANNED")&gt;0,"tied","standalone"),"")</f>
        <v/>
      </c>
    </row>
    <row r="9739" spans="6:14">
      <c r="F9739" s="6">
        <f>IF($M9739="PADD I","PADD 1",IF($M9739="PADD II","PADD 2",IF($M9739="PADD III","PADD 3",IF($M9739="PADD IV","PADD 4",IF($M9739="PADD V","PADD 5","")))))</f>
        <v/>
      </c>
      <c r="G9739" s="6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  <c r="N9739" s="6">
        <f>IF(OR($G9739="FCC",$G9739="Hydrocracker",$G9739="Reformer"),IF(COUNTIFS($D:$D,$D9739,$A:$A,$A9739,$B:$B,$B9739,$G:$G,"CDU",$J:$J,"PLANNED")&gt;0,"tied","standalone"),"")</f>
        <v/>
      </c>
    </row>
    <row r="9740" spans="6:14">
      <c r="F9740" s="6">
        <f>IF($M9740="PADD I","PADD 1",IF($M9740="PADD II","PADD 2",IF($M9740="PADD III","PADD 3",IF($M9740="PADD IV","PADD 4",IF($M9740="PADD V","PADD 5","")))))</f>
        <v/>
      </c>
      <c r="G9740" s="6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  <c r="N9740" s="6">
        <f>IF(OR($G9740="FCC",$G9740="Hydrocracker",$G9740="Reformer"),IF(COUNTIFS($D:$D,$D9740,$A:$A,$A9740,$B:$B,$B9740,$G:$G,"CDU",$J:$J,"PLANNED")&gt;0,"tied","standalone"),"")</f>
        <v/>
      </c>
    </row>
    <row r="9741" spans="6:14">
      <c r="F9741" s="6">
        <f>IF($M9741="PADD I","PADD 1",IF($M9741="PADD II","PADD 2",IF($M9741="PADD III","PADD 3",IF($M9741="PADD IV","PADD 4",IF($M9741="PADD V","PADD 5","")))))</f>
        <v/>
      </c>
      <c r="G9741" s="6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  <c r="N9741" s="6">
        <f>IF(OR($G9741="FCC",$G9741="Hydrocracker",$G9741="Reformer"),IF(COUNTIFS($D:$D,$D9741,$A:$A,$A9741,$B:$B,$B9741,$G:$G,"CDU",$J:$J,"PLANNED")&gt;0,"tied","standalone"),"")</f>
        <v/>
      </c>
    </row>
    <row r="9742" spans="6:14">
      <c r="F9742" s="6">
        <f>IF($M9742="PADD I","PADD 1",IF($M9742="PADD II","PADD 2",IF($M9742="PADD III","PADD 3",IF($M9742="PADD IV","PADD 4",IF($M9742="PADD V","PADD 5","")))))</f>
        <v/>
      </c>
      <c r="G9742" s="6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  <c r="N9742" s="6">
        <f>IF(OR($G9742="FCC",$G9742="Hydrocracker",$G9742="Reformer"),IF(COUNTIFS($D:$D,$D9742,$A:$A,$A9742,$B:$B,$B9742,$G:$G,"CDU",$J:$J,"PLANNED")&gt;0,"tied","standalone"),"")</f>
        <v/>
      </c>
    </row>
    <row r="9743" spans="6:14">
      <c r="F9743" s="6">
        <f>IF($M9743="PADD I","PADD 1",IF($M9743="PADD II","PADD 2",IF($M9743="PADD III","PADD 3",IF($M9743="PADD IV","PADD 4",IF($M9743="PADD V","PADD 5","")))))</f>
        <v/>
      </c>
      <c r="G9743" s="6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  <c r="N9743" s="6">
        <f>IF(OR($G9743="FCC",$G9743="Hydrocracker",$G9743="Reformer"),IF(COUNTIFS($D:$D,$D9743,$A:$A,$A9743,$B:$B,$B9743,$G:$G,"CDU",$J:$J,"PLANNED")&gt;0,"tied","standalone"),"")</f>
        <v/>
      </c>
    </row>
    <row r="9744" spans="6:14">
      <c r="F9744" s="6">
        <f>IF($M9744="PADD I","PADD 1",IF($M9744="PADD II","PADD 2",IF($M9744="PADD III","PADD 3",IF($M9744="PADD IV","PADD 4",IF($M9744="PADD V","PADD 5","")))))</f>
        <v/>
      </c>
      <c r="G9744" s="6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  <c r="N9744" s="6">
        <f>IF(OR($G9744="FCC",$G9744="Hydrocracker",$G9744="Reformer"),IF(COUNTIFS($D:$D,$D9744,$A:$A,$A9744,$B:$B,$B9744,$G:$G,"CDU",$J:$J,"PLANNED")&gt;0,"tied","standalone"),"")</f>
        <v/>
      </c>
    </row>
    <row r="9745" spans="6:14">
      <c r="F9745" s="6">
        <f>IF($M9745="PADD I","PADD 1",IF($M9745="PADD II","PADD 2",IF($M9745="PADD III","PADD 3",IF($M9745="PADD IV","PADD 4",IF($M9745="PADD V","PADD 5","")))))</f>
        <v/>
      </c>
      <c r="G9745" s="6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  <c r="N9745" s="6">
        <f>IF(OR($G9745="FCC",$G9745="Hydrocracker",$G9745="Reformer"),IF(COUNTIFS($D:$D,$D9745,$A:$A,$A9745,$B:$B,$B9745,$G:$G,"CDU",$J:$J,"PLANNED")&gt;0,"tied","standalone"),"")</f>
        <v/>
      </c>
    </row>
    <row r="9746" spans="6:14">
      <c r="F9746" s="6">
        <f>IF($M9746="PADD I","PADD 1",IF($M9746="PADD II","PADD 2",IF($M9746="PADD III","PADD 3",IF($M9746="PADD IV","PADD 4",IF($M9746="PADD V","PADD 5","")))))</f>
        <v/>
      </c>
      <c r="G9746" s="6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  <c r="N9746" s="6">
        <f>IF(OR($G9746="FCC",$G9746="Hydrocracker",$G9746="Reformer"),IF(COUNTIFS($D:$D,$D9746,$A:$A,$A9746,$B:$B,$B9746,$G:$G,"CDU",$J:$J,"PLANNED")&gt;0,"tied","standalone"),"")</f>
        <v/>
      </c>
    </row>
    <row r="9747" spans="6:14">
      <c r="F9747" s="6">
        <f>IF($M9747="PADD I","PADD 1",IF($M9747="PADD II","PADD 2",IF($M9747="PADD III","PADD 3",IF($M9747="PADD IV","PADD 4",IF($M9747="PADD V","PADD 5","")))))</f>
        <v/>
      </c>
      <c r="G9747" s="6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  <c r="N9747" s="6">
        <f>IF(OR($G9747="FCC",$G9747="Hydrocracker",$G9747="Reformer"),IF(COUNTIFS($D:$D,$D9747,$A:$A,$A9747,$B:$B,$B9747,$G:$G,"CDU",$J:$J,"PLANNED")&gt;0,"tied","standalone"),"")</f>
        <v/>
      </c>
    </row>
    <row r="9748" spans="6:14">
      <c r="F9748" s="6">
        <f>IF($M9748="PADD I","PADD 1",IF($M9748="PADD II","PADD 2",IF($M9748="PADD III","PADD 3",IF($M9748="PADD IV","PADD 4",IF($M9748="PADD V","PADD 5","")))))</f>
        <v/>
      </c>
      <c r="G9748" s="6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  <c r="N9748" s="6">
        <f>IF(OR($G9748="FCC",$G9748="Hydrocracker",$G9748="Reformer"),IF(COUNTIFS($D:$D,$D9748,$A:$A,$A9748,$B:$B,$B9748,$G:$G,"CDU",$J:$J,"PLANNED")&gt;0,"tied","standalone"),"")</f>
        <v/>
      </c>
    </row>
    <row r="9749" spans="6:14">
      <c r="F9749" s="6">
        <f>IF($M9749="PADD I","PADD 1",IF($M9749="PADD II","PADD 2",IF($M9749="PADD III","PADD 3",IF($M9749="PADD IV","PADD 4",IF($M9749="PADD V","PADD 5","")))))</f>
        <v/>
      </c>
      <c r="G9749" s="6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  <c r="N9749" s="6">
        <f>IF(OR($G9749="FCC",$G9749="Hydrocracker",$G9749="Reformer"),IF(COUNTIFS($D:$D,$D9749,$A:$A,$A9749,$B:$B,$B9749,$G:$G,"CDU",$J:$J,"PLANNED")&gt;0,"tied","standalone"),"")</f>
        <v/>
      </c>
    </row>
    <row r="9750" spans="6:14">
      <c r="F9750" s="6">
        <f>IF($M9750="PADD I","PADD 1",IF($M9750="PADD II","PADD 2",IF($M9750="PADD III","PADD 3",IF($M9750="PADD IV","PADD 4",IF($M9750="PADD V","PADD 5","")))))</f>
        <v/>
      </c>
      <c r="G9750" s="6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  <c r="N9750" s="6">
        <f>IF(OR($G9750="FCC",$G9750="Hydrocracker",$G9750="Reformer"),IF(COUNTIFS($D:$D,$D9750,$A:$A,$A9750,$B:$B,$B9750,$G:$G,"CDU",$J:$J,"PLANNED")&gt;0,"tied","standalone"),"")</f>
        <v/>
      </c>
    </row>
    <row r="9751" spans="6:14">
      <c r="F9751" s="6">
        <f>IF($M9751="PADD I","PADD 1",IF($M9751="PADD II","PADD 2",IF($M9751="PADD III","PADD 3",IF($M9751="PADD IV","PADD 4",IF($M9751="PADD V","PADD 5","")))))</f>
        <v/>
      </c>
      <c r="G9751" s="6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  <c r="N9751" s="6">
        <f>IF(OR($G9751="FCC",$G9751="Hydrocracker",$G9751="Reformer"),IF(COUNTIFS($D:$D,$D9751,$A:$A,$A9751,$B:$B,$B9751,$G:$G,"CDU",$J:$J,"PLANNED")&gt;0,"tied","standalone"),"")</f>
        <v/>
      </c>
    </row>
    <row r="9752" spans="6:14">
      <c r="F9752" s="6">
        <f>IF($M9752="PADD I","PADD 1",IF($M9752="PADD II","PADD 2",IF($M9752="PADD III","PADD 3",IF($M9752="PADD IV","PADD 4",IF($M9752="PADD V","PADD 5","")))))</f>
        <v/>
      </c>
      <c r="G9752" s="6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  <c r="N9752" s="6">
        <f>IF(OR($G9752="FCC",$G9752="Hydrocracker",$G9752="Reformer"),IF(COUNTIFS($D:$D,$D9752,$A:$A,$A9752,$B:$B,$B9752,$G:$G,"CDU",$J:$J,"PLANNED")&gt;0,"tied","standalone"),"")</f>
        <v/>
      </c>
    </row>
    <row r="9753" spans="6:14">
      <c r="F9753" s="6">
        <f>IF($M9753="PADD I","PADD 1",IF($M9753="PADD II","PADD 2",IF($M9753="PADD III","PADD 3",IF($M9753="PADD IV","PADD 4",IF($M9753="PADD V","PADD 5","")))))</f>
        <v/>
      </c>
      <c r="G9753" s="6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  <c r="N9753" s="6">
        <f>IF(OR($G9753="FCC",$G9753="Hydrocracker",$G9753="Reformer"),IF(COUNTIFS($D:$D,$D9753,$A:$A,$A9753,$B:$B,$B9753,$G:$G,"CDU",$J:$J,"PLANNED")&gt;0,"tied","standalone"),"")</f>
        <v/>
      </c>
    </row>
    <row r="9754" spans="6:14">
      <c r="F9754" s="6">
        <f>IF($M9754="PADD I","PADD 1",IF($M9754="PADD II","PADD 2",IF($M9754="PADD III","PADD 3",IF($M9754="PADD IV","PADD 4",IF($M9754="PADD V","PADD 5","")))))</f>
        <v/>
      </c>
      <c r="G9754" s="6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  <c r="N9754" s="6">
        <f>IF(OR($G9754="FCC",$G9754="Hydrocracker",$G9754="Reformer"),IF(COUNTIFS($D:$D,$D9754,$A:$A,$A9754,$B:$B,$B9754,$G:$G,"CDU",$J:$J,"PLANNED")&gt;0,"tied","standalone"),"")</f>
        <v/>
      </c>
    </row>
    <row r="9755" spans="6:14">
      <c r="F9755" s="6">
        <f>IF($M9755="PADD I","PADD 1",IF($M9755="PADD II","PADD 2",IF($M9755="PADD III","PADD 3",IF($M9755="PADD IV","PADD 4",IF($M9755="PADD V","PADD 5","")))))</f>
        <v/>
      </c>
      <c r="G9755" s="6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  <c r="N9755" s="6">
        <f>IF(OR($G9755="FCC",$G9755="Hydrocracker",$G9755="Reformer"),IF(COUNTIFS($D:$D,$D9755,$A:$A,$A9755,$B:$B,$B9755,$G:$G,"CDU",$J:$J,"PLANNED")&gt;0,"tied","standalone"),"")</f>
        <v/>
      </c>
    </row>
    <row r="9756" spans="6:14">
      <c r="F9756" s="6">
        <f>IF($M9756="PADD I","PADD 1",IF($M9756="PADD II","PADD 2",IF($M9756="PADD III","PADD 3",IF($M9756="PADD IV","PADD 4",IF($M9756="PADD V","PADD 5","")))))</f>
        <v/>
      </c>
      <c r="G9756" s="6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  <c r="N9756" s="6">
        <f>IF(OR($G9756="FCC",$G9756="Hydrocracker",$G9756="Reformer"),IF(COUNTIFS($D:$D,$D9756,$A:$A,$A9756,$B:$B,$B9756,$G:$G,"CDU",$J:$J,"PLANNED")&gt;0,"tied","standalone"),"")</f>
        <v/>
      </c>
    </row>
    <row r="9757" spans="6:14">
      <c r="F9757" s="6">
        <f>IF($M9757="PADD I","PADD 1",IF($M9757="PADD II","PADD 2",IF($M9757="PADD III","PADD 3",IF($M9757="PADD IV","PADD 4",IF($M9757="PADD V","PADD 5","")))))</f>
        <v/>
      </c>
      <c r="G9757" s="6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  <c r="N9757" s="6">
        <f>IF(OR($G9757="FCC",$G9757="Hydrocracker",$G9757="Reformer"),IF(COUNTIFS($D:$D,$D9757,$A:$A,$A9757,$B:$B,$B9757,$G:$G,"CDU",$J:$J,"PLANNED")&gt;0,"tied","standalone"),"")</f>
        <v/>
      </c>
    </row>
    <row r="9758" spans="6:14">
      <c r="F9758" s="6">
        <f>IF($M9758="PADD I","PADD 1",IF($M9758="PADD II","PADD 2",IF($M9758="PADD III","PADD 3",IF($M9758="PADD IV","PADD 4",IF($M9758="PADD V","PADD 5","")))))</f>
        <v/>
      </c>
      <c r="G9758" s="6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  <c r="N9758" s="6">
        <f>IF(OR($G9758="FCC",$G9758="Hydrocracker",$G9758="Reformer"),IF(COUNTIFS($D:$D,$D9758,$A:$A,$A9758,$B:$B,$B9758,$G:$G,"CDU",$J:$J,"PLANNED")&gt;0,"tied","standalone"),"")</f>
        <v/>
      </c>
    </row>
    <row r="9759" spans="6:14">
      <c r="F9759" s="6">
        <f>IF($M9759="PADD I","PADD 1",IF($M9759="PADD II","PADD 2",IF($M9759="PADD III","PADD 3",IF($M9759="PADD IV","PADD 4",IF($M9759="PADD V","PADD 5","")))))</f>
        <v/>
      </c>
      <c r="G9759" s="6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  <c r="N9759" s="6">
        <f>IF(OR($G9759="FCC",$G9759="Hydrocracker",$G9759="Reformer"),IF(COUNTIFS($D:$D,$D9759,$A:$A,$A9759,$B:$B,$B9759,$G:$G,"CDU",$J:$J,"PLANNED")&gt;0,"tied","standalone"),"")</f>
        <v/>
      </c>
    </row>
    <row r="9760" spans="6:14">
      <c r="F9760" s="6">
        <f>IF($M9760="PADD I","PADD 1",IF($M9760="PADD II","PADD 2",IF($M9760="PADD III","PADD 3",IF($M9760="PADD IV","PADD 4",IF($M9760="PADD V","PADD 5","")))))</f>
        <v/>
      </c>
      <c r="G9760" s="6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  <c r="N9760" s="6">
        <f>IF(OR($G9760="FCC",$G9760="Hydrocracker",$G9760="Reformer"),IF(COUNTIFS($D:$D,$D9760,$A:$A,$A9760,$B:$B,$B9760,$G:$G,"CDU",$J:$J,"PLANNED")&gt;0,"tied","standalone"),"")</f>
        <v/>
      </c>
    </row>
    <row r="9761" spans="6:14">
      <c r="F9761" s="6">
        <f>IF($M9761="PADD I","PADD 1",IF($M9761="PADD II","PADD 2",IF($M9761="PADD III","PADD 3",IF($M9761="PADD IV","PADD 4",IF($M9761="PADD V","PADD 5","")))))</f>
        <v/>
      </c>
      <c r="G9761" s="6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  <c r="N9761" s="6">
        <f>IF(OR($G9761="FCC",$G9761="Hydrocracker",$G9761="Reformer"),IF(COUNTIFS($D:$D,$D9761,$A:$A,$A9761,$B:$B,$B9761,$G:$G,"CDU",$J:$J,"PLANNED")&gt;0,"tied","standalone"),"")</f>
        <v/>
      </c>
    </row>
    <row r="9762" spans="6:14">
      <c r="F9762" s="6">
        <f>IF($M9762="PADD I","PADD 1",IF($M9762="PADD II","PADD 2",IF($M9762="PADD III","PADD 3",IF($M9762="PADD IV","PADD 4",IF($M9762="PADD V","PADD 5","")))))</f>
        <v/>
      </c>
      <c r="G9762" s="6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  <c r="N9762" s="6">
        <f>IF(OR($G9762="FCC",$G9762="Hydrocracker",$G9762="Reformer"),IF(COUNTIFS($D:$D,$D9762,$A:$A,$A9762,$B:$B,$B9762,$G:$G,"CDU",$J:$J,"PLANNED")&gt;0,"tied","standalone"),"")</f>
        <v/>
      </c>
    </row>
    <row r="9763" spans="6:14">
      <c r="F9763" s="6">
        <f>IF($M9763="PADD I","PADD 1",IF($M9763="PADD II","PADD 2",IF($M9763="PADD III","PADD 3",IF($M9763="PADD IV","PADD 4",IF($M9763="PADD V","PADD 5","")))))</f>
        <v/>
      </c>
      <c r="G9763" s="6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  <c r="N9763" s="6">
        <f>IF(OR($G9763="FCC",$G9763="Hydrocracker",$G9763="Reformer"),IF(COUNTIFS($D:$D,$D9763,$A:$A,$A9763,$B:$B,$B9763,$G:$G,"CDU",$J:$J,"PLANNED")&gt;0,"tied","standalone"),"")</f>
        <v/>
      </c>
    </row>
    <row r="9764" spans="6:14">
      <c r="F9764" s="6">
        <f>IF($M9764="PADD I","PADD 1",IF($M9764="PADD II","PADD 2",IF($M9764="PADD III","PADD 3",IF($M9764="PADD IV","PADD 4",IF($M9764="PADD V","PADD 5","")))))</f>
        <v/>
      </c>
      <c r="G9764" s="6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  <c r="N9764" s="6">
        <f>IF(OR($G9764="FCC",$G9764="Hydrocracker",$G9764="Reformer"),IF(COUNTIFS($D:$D,$D9764,$A:$A,$A9764,$B:$B,$B9764,$G:$G,"CDU",$J:$J,"PLANNED")&gt;0,"tied","standalone"),"")</f>
        <v/>
      </c>
    </row>
    <row r="9765" spans="6:14">
      <c r="F9765" s="6">
        <f>IF($M9765="PADD I","PADD 1",IF($M9765="PADD II","PADD 2",IF($M9765="PADD III","PADD 3",IF($M9765="PADD IV","PADD 4",IF($M9765="PADD V","PADD 5","")))))</f>
        <v/>
      </c>
      <c r="G9765" s="6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  <c r="N9765" s="6">
        <f>IF(OR($G9765="FCC",$G9765="Hydrocracker",$G9765="Reformer"),IF(COUNTIFS($D:$D,$D9765,$A:$A,$A9765,$B:$B,$B9765,$G:$G,"CDU",$J:$J,"PLANNED")&gt;0,"tied","standalone"),"")</f>
        <v/>
      </c>
    </row>
    <row r="9766" spans="6:14">
      <c r="F9766" s="6">
        <f>IF($M9766="PADD I","PADD 1",IF($M9766="PADD II","PADD 2",IF($M9766="PADD III","PADD 3",IF($M9766="PADD IV","PADD 4",IF($M9766="PADD V","PADD 5","")))))</f>
        <v/>
      </c>
      <c r="G9766" s="6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  <c r="N9766" s="6">
        <f>IF(OR($G9766="FCC",$G9766="Hydrocracker",$G9766="Reformer"),IF(COUNTIFS($D:$D,$D9766,$A:$A,$A9766,$B:$B,$B9766,$G:$G,"CDU",$J:$J,"PLANNED")&gt;0,"tied","standalone"),"")</f>
        <v/>
      </c>
    </row>
    <row r="9767" spans="6:14">
      <c r="F9767" s="6">
        <f>IF($M9767="PADD I","PADD 1",IF($M9767="PADD II","PADD 2",IF($M9767="PADD III","PADD 3",IF($M9767="PADD IV","PADD 4",IF($M9767="PADD V","PADD 5","")))))</f>
        <v/>
      </c>
      <c r="G9767" s="6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  <c r="N9767" s="6">
        <f>IF(OR($G9767="FCC",$G9767="Hydrocracker",$G9767="Reformer"),IF(COUNTIFS($D:$D,$D9767,$A:$A,$A9767,$B:$B,$B9767,$G:$G,"CDU",$J:$J,"PLANNED")&gt;0,"tied","standalone"),"")</f>
        <v/>
      </c>
    </row>
    <row r="9768" spans="6:14">
      <c r="F9768" s="6">
        <f>IF($M9768="PADD I","PADD 1",IF($M9768="PADD II","PADD 2",IF($M9768="PADD III","PADD 3",IF($M9768="PADD IV","PADD 4",IF($M9768="PADD V","PADD 5","")))))</f>
        <v/>
      </c>
      <c r="G9768" s="6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  <c r="N9768" s="6">
        <f>IF(OR($G9768="FCC",$G9768="Hydrocracker",$G9768="Reformer"),IF(COUNTIFS($D:$D,$D9768,$A:$A,$A9768,$B:$B,$B9768,$G:$G,"CDU",$J:$J,"PLANNED")&gt;0,"tied","standalone"),"")</f>
        <v/>
      </c>
    </row>
    <row r="9769" spans="6:14">
      <c r="F9769" s="6">
        <f>IF($M9769="PADD I","PADD 1",IF($M9769="PADD II","PADD 2",IF($M9769="PADD III","PADD 3",IF($M9769="PADD IV","PADD 4",IF($M9769="PADD V","PADD 5","")))))</f>
        <v/>
      </c>
      <c r="G9769" s="6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  <c r="N9769" s="6">
        <f>IF(OR($G9769="FCC",$G9769="Hydrocracker",$G9769="Reformer"),IF(COUNTIFS($D:$D,$D9769,$A:$A,$A9769,$B:$B,$B9769,$G:$G,"CDU",$J:$J,"PLANNED")&gt;0,"tied","standalone"),"")</f>
        <v/>
      </c>
    </row>
    <row r="9770" spans="6:14">
      <c r="F9770" s="6">
        <f>IF($M9770="PADD I","PADD 1",IF($M9770="PADD II","PADD 2",IF($M9770="PADD III","PADD 3",IF($M9770="PADD IV","PADD 4",IF($M9770="PADD V","PADD 5","")))))</f>
        <v/>
      </c>
      <c r="G9770" s="6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  <c r="N9770" s="6">
        <f>IF(OR($G9770="FCC",$G9770="Hydrocracker",$G9770="Reformer"),IF(COUNTIFS($D:$D,$D9770,$A:$A,$A9770,$B:$B,$B9770,$G:$G,"CDU",$J:$J,"PLANNED")&gt;0,"tied","standalone"),"")</f>
        <v/>
      </c>
    </row>
    <row r="9771" spans="6:14">
      <c r="F9771" s="6">
        <f>IF($M9771="PADD I","PADD 1",IF($M9771="PADD II","PADD 2",IF($M9771="PADD III","PADD 3",IF($M9771="PADD IV","PADD 4",IF($M9771="PADD V","PADD 5","")))))</f>
        <v/>
      </c>
      <c r="G9771" s="6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  <c r="N9771" s="6">
        <f>IF(OR($G9771="FCC",$G9771="Hydrocracker",$G9771="Reformer"),IF(COUNTIFS($D:$D,$D9771,$A:$A,$A9771,$B:$B,$B9771,$G:$G,"CDU",$J:$J,"PLANNED")&gt;0,"tied","standalone"),"")</f>
        <v/>
      </c>
    </row>
    <row r="9772" spans="6:14">
      <c r="F9772" s="6">
        <f>IF($M9772="PADD I","PADD 1",IF($M9772="PADD II","PADD 2",IF($M9772="PADD III","PADD 3",IF($M9772="PADD IV","PADD 4",IF($M9772="PADD V","PADD 5","")))))</f>
        <v/>
      </c>
      <c r="G9772" s="6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  <c r="N9772" s="6">
        <f>IF(OR($G9772="FCC",$G9772="Hydrocracker",$G9772="Reformer"),IF(COUNTIFS($D:$D,$D9772,$A:$A,$A9772,$B:$B,$B9772,$G:$G,"CDU",$J:$J,"PLANNED")&gt;0,"tied","standalone"),"")</f>
        <v/>
      </c>
    </row>
    <row r="9773" spans="6:14">
      <c r="F9773" s="6">
        <f>IF($M9773="PADD I","PADD 1",IF($M9773="PADD II","PADD 2",IF($M9773="PADD III","PADD 3",IF($M9773="PADD IV","PADD 4",IF($M9773="PADD V","PADD 5","")))))</f>
        <v/>
      </c>
      <c r="G9773" s="6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  <c r="N9773" s="6">
        <f>IF(OR($G9773="FCC",$G9773="Hydrocracker",$G9773="Reformer"),IF(COUNTIFS($D:$D,$D9773,$A:$A,$A9773,$B:$B,$B9773,$G:$G,"CDU",$J:$J,"PLANNED")&gt;0,"tied","standalone"),"")</f>
        <v/>
      </c>
    </row>
    <row r="9774" spans="6:14">
      <c r="F9774" s="6">
        <f>IF($M9774="PADD I","PADD 1",IF($M9774="PADD II","PADD 2",IF($M9774="PADD III","PADD 3",IF($M9774="PADD IV","PADD 4",IF($M9774="PADD V","PADD 5","")))))</f>
        <v/>
      </c>
      <c r="G9774" s="6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  <c r="N9774" s="6">
        <f>IF(OR($G9774="FCC",$G9774="Hydrocracker",$G9774="Reformer"),IF(COUNTIFS($D:$D,$D9774,$A:$A,$A9774,$B:$B,$B9774,$G:$G,"CDU",$J:$J,"PLANNED")&gt;0,"tied","standalone"),"")</f>
        <v/>
      </c>
    </row>
    <row r="9775" spans="6:14">
      <c r="F9775" s="6">
        <f>IF($M9775="PADD I","PADD 1",IF($M9775="PADD II","PADD 2",IF($M9775="PADD III","PADD 3",IF($M9775="PADD IV","PADD 4",IF($M9775="PADD V","PADD 5","")))))</f>
        <v/>
      </c>
      <c r="G9775" s="6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  <c r="N9775" s="6">
        <f>IF(OR($G9775="FCC",$G9775="Hydrocracker",$G9775="Reformer"),IF(COUNTIFS($D:$D,$D9775,$A:$A,$A9775,$B:$B,$B9775,$G:$G,"CDU",$J:$J,"PLANNED")&gt;0,"tied","standalone"),"")</f>
        <v/>
      </c>
    </row>
    <row r="9776" spans="6:14">
      <c r="F9776" s="6">
        <f>IF($M9776="PADD I","PADD 1",IF($M9776="PADD II","PADD 2",IF($M9776="PADD III","PADD 3",IF($M9776="PADD IV","PADD 4",IF($M9776="PADD V","PADD 5","")))))</f>
        <v/>
      </c>
      <c r="G9776" s="6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  <c r="N9776" s="6">
        <f>IF(OR($G9776="FCC",$G9776="Hydrocracker",$G9776="Reformer"),IF(COUNTIFS($D:$D,$D9776,$A:$A,$A9776,$B:$B,$B9776,$G:$G,"CDU",$J:$J,"PLANNED")&gt;0,"tied","standalone"),"")</f>
        <v/>
      </c>
    </row>
    <row r="9777" spans="6:14">
      <c r="F9777" s="6">
        <f>IF($M9777="PADD I","PADD 1",IF($M9777="PADD II","PADD 2",IF($M9777="PADD III","PADD 3",IF($M9777="PADD IV","PADD 4",IF($M9777="PADD V","PADD 5","")))))</f>
        <v/>
      </c>
      <c r="G9777" s="6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  <c r="N9777" s="6">
        <f>IF(OR($G9777="FCC",$G9777="Hydrocracker",$G9777="Reformer"),IF(COUNTIFS($D:$D,$D9777,$A:$A,$A9777,$B:$B,$B9777,$G:$G,"CDU",$J:$J,"PLANNED")&gt;0,"tied","standalone"),"")</f>
        <v/>
      </c>
    </row>
    <row r="9778" spans="6:14">
      <c r="F9778" s="6">
        <f>IF($M9778="PADD I","PADD 1",IF($M9778="PADD II","PADD 2",IF($M9778="PADD III","PADD 3",IF($M9778="PADD IV","PADD 4",IF($M9778="PADD V","PADD 5","")))))</f>
        <v/>
      </c>
      <c r="G9778" s="6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  <c r="N9778" s="6">
        <f>IF(OR($G9778="FCC",$G9778="Hydrocracker",$G9778="Reformer"),IF(COUNTIFS($D:$D,$D9778,$A:$A,$A9778,$B:$B,$B9778,$G:$G,"CDU",$J:$J,"PLANNED")&gt;0,"tied","standalone"),"")</f>
        <v/>
      </c>
    </row>
    <row r="9779" spans="6:14">
      <c r="F9779" s="6">
        <f>IF($M9779="PADD I","PADD 1",IF($M9779="PADD II","PADD 2",IF($M9779="PADD III","PADD 3",IF($M9779="PADD IV","PADD 4",IF($M9779="PADD V","PADD 5","")))))</f>
        <v/>
      </c>
      <c r="G9779" s="6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  <c r="N9779" s="6">
        <f>IF(OR($G9779="FCC",$G9779="Hydrocracker",$G9779="Reformer"),IF(COUNTIFS($D:$D,$D9779,$A:$A,$A9779,$B:$B,$B9779,$G:$G,"CDU",$J:$J,"PLANNED")&gt;0,"tied","standalone"),"")</f>
        <v/>
      </c>
    </row>
    <row r="9780" spans="6:14">
      <c r="F9780" s="6">
        <f>IF($M9780="PADD I","PADD 1",IF($M9780="PADD II","PADD 2",IF($M9780="PADD III","PADD 3",IF($M9780="PADD IV","PADD 4",IF($M9780="PADD V","PADD 5","")))))</f>
        <v/>
      </c>
      <c r="G9780" s="6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  <c r="N9780" s="6">
        <f>IF(OR($G9780="FCC",$G9780="Hydrocracker",$G9780="Reformer"),IF(COUNTIFS($D:$D,$D9780,$A:$A,$A9780,$B:$B,$B9780,$G:$G,"CDU",$J:$J,"PLANNED")&gt;0,"tied","standalone"),"")</f>
        <v/>
      </c>
    </row>
    <row r="9781" spans="6:14">
      <c r="F9781" s="6">
        <f>IF($M9781="PADD I","PADD 1",IF($M9781="PADD II","PADD 2",IF($M9781="PADD III","PADD 3",IF($M9781="PADD IV","PADD 4",IF($M9781="PADD V","PADD 5","")))))</f>
        <v/>
      </c>
      <c r="G9781" s="6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  <c r="N9781" s="6">
        <f>IF(OR($G9781="FCC",$G9781="Hydrocracker",$G9781="Reformer"),IF(COUNTIFS($D:$D,$D9781,$A:$A,$A9781,$B:$B,$B9781,$G:$G,"CDU",$J:$J,"PLANNED")&gt;0,"tied","standalone"),"")</f>
        <v/>
      </c>
    </row>
    <row r="9782" spans="6:14">
      <c r="F9782" s="6">
        <f>IF($M9782="PADD I","PADD 1",IF($M9782="PADD II","PADD 2",IF($M9782="PADD III","PADD 3",IF($M9782="PADD IV","PADD 4",IF($M9782="PADD V","PADD 5","")))))</f>
        <v/>
      </c>
      <c r="G9782" s="6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  <c r="N9782" s="6">
        <f>IF(OR($G9782="FCC",$G9782="Hydrocracker",$G9782="Reformer"),IF(COUNTIFS($D:$D,$D9782,$A:$A,$A9782,$B:$B,$B9782,$G:$G,"CDU",$J:$J,"PLANNED")&gt;0,"tied","standalone"),"")</f>
        <v/>
      </c>
    </row>
    <row r="9783" spans="6:14">
      <c r="F9783" s="6">
        <f>IF($M9783="PADD I","PADD 1",IF($M9783="PADD II","PADD 2",IF($M9783="PADD III","PADD 3",IF($M9783="PADD IV","PADD 4",IF($M9783="PADD V","PADD 5","")))))</f>
        <v/>
      </c>
      <c r="G9783" s="6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  <c r="N9783" s="6">
        <f>IF(OR($G9783="FCC",$G9783="Hydrocracker",$G9783="Reformer"),IF(COUNTIFS($D:$D,$D9783,$A:$A,$A9783,$B:$B,$B9783,$G:$G,"CDU",$J:$J,"PLANNED")&gt;0,"tied","standalone"),"")</f>
        <v/>
      </c>
    </row>
    <row r="9784" spans="6:14">
      <c r="F9784" s="6">
        <f>IF($M9784="PADD I","PADD 1",IF($M9784="PADD II","PADD 2",IF($M9784="PADD III","PADD 3",IF($M9784="PADD IV","PADD 4",IF($M9784="PADD V","PADD 5","")))))</f>
        <v/>
      </c>
      <c r="G9784" s="6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  <c r="N9784" s="6">
        <f>IF(OR($G9784="FCC",$G9784="Hydrocracker",$G9784="Reformer"),IF(COUNTIFS($D:$D,$D9784,$A:$A,$A9784,$B:$B,$B9784,$G:$G,"CDU",$J:$J,"PLANNED")&gt;0,"tied","standalone"),"")</f>
        <v/>
      </c>
    </row>
    <row r="9785" spans="6:14">
      <c r="F9785" s="6">
        <f>IF($M9785="PADD I","PADD 1",IF($M9785="PADD II","PADD 2",IF($M9785="PADD III","PADD 3",IF($M9785="PADD IV","PADD 4",IF($M9785="PADD V","PADD 5","")))))</f>
        <v/>
      </c>
      <c r="G9785" s="6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  <c r="N9785" s="6">
        <f>IF(OR($G9785="FCC",$G9785="Hydrocracker",$G9785="Reformer"),IF(COUNTIFS($D:$D,$D9785,$A:$A,$A9785,$B:$B,$B9785,$G:$G,"CDU",$J:$J,"PLANNED")&gt;0,"tied","standalone"),"")</f>
        <v/>
      </c>
    </row>
    <row r="9786" spans="6:14">
      <c r="F9786" s="6">
        <f>IF($M9786="PADD I","PADD 1",IF($M9786="PADD II","PADD 2",IF($M9786="PADD III","PADD 3",IF($M9786="PADD IV","PADD 4",IF($M9786="PADD V","PADD 5","")))))</f>
        <v/>
      </c>
      <c r="G9786" s="6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  <c r="N9786" s="6">
        <f>IF(OR($G9786="FCC",$G9786="Hydrocracker",$G9786="Reformer"),IF(COUNTIFS($D:$D,$D9786,$A:$A,$A9786,$B:$B,$B9786,$G:$G,"CDU",$J:$J,"PLANNED")&gt;0,"tied","standalone"),"")</f>
        <v/>
      </c>
    </row>
    <row r="9787" spans="6:14">
      <c r="F9787" s="6">
        <f>IF($M9787="PADD I","PADD 1",IF($M9787="PADD II","PADD 2",IF($M9787="PADD III","PADD 3",IF($M9787="PADD IV","PADD 4",IF($M9787="PADD V","PADD 5","")))))</f>
        <v/>
      </c>
      <c r="G9787" s="6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  <c r="N9787" s="6">
        <f>IF(OR($G9787="FCC",$G9787="Hydrocracker",$G9787="Reformer"),IF(COUNTIFS($D:$D,$D9787,$A:$A,$A9787,$B:$B,$B9787,$G:$G,"CDU",$J:$J,"PLANNED")&gt;0,"tied","standalone"),"")</f>
        <v/>
      </c>
    </row>
    <row r="9788" spans="6:14">
      <c r="F9788" s="6">
        <f>IF($M9788="PADD I","PADD 1",IF($M9788="PADD II","PADD 2",IF($M9788="PADD III","PADD 3",IF($M9788="PADD IV","PADD 4",IF($M9788="PADD V","PADD 5","")))))</f>
        <v/>
      </c>
      <c r="G9788" s="6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  <c r="N9788" s="6">
        <f>IF(OR($G9788="FCC",$G9788="Hydrocracker",$G9788="Reformer"),IF(COUNTIFS($D:$D,$D9788,$A:$A,$A9788,$B:$B,$B9788,$G:$G,"CDU",$J:$J,"PLANNED")&gt;0,"tied","standalone"),"")</f>
        <v/>
      </c>
    </row>
    <row r="9789" spans="6:14">
      <c r="F9789" s="6">
        <f>IF($M9789="PADD I","PADD 1",IF($M9789="PADD II","PADD 2",IF($M9789="PADD III","PADD 3",IF($M9789="PADD IV","PADD 4",IF($M9789="PADD V","PADD 5","")))))</f>
        <v/>
      </c>
      <c r="G9789" s="6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  <c r="N9789" s="6">
        <f>IF(OR($G9789="FCC",$G9789="Hydrocracker",$G9789="Reformer"),IF(COUNTIFS($D:$D,$D9789,$A:$A,$A9789,$B:$B,$B9789,$G:$G,"CDU",$J:$J,"PLANNED")&gt;0,"tied","standalone"),"")</f>
        <v/>
      </c>
    </row>
    <row r="9790" spans="6:14">
      <c r="F9790" s="6">
        <f>IF($M9790="PADD I","PADD 1",IF($M9790="PADD II","PADD 2",IF($M9790="PADD III","PADD 3",IF($M9790="PADD IV","PADD 4",IF($M9790="PADD V","PADD 5","")))))</f>
        <v/>
      </c>
      <c r="G9790" s="6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  <c r="N9790" s="6">
        <f>IF(OR($G9790="FCC",$G9790="Hydrocracker",$G9790="Reformer"),IF(COUNTIFS($D:$D,$D9790,$A:$A,$A9790,$B:$B,$B9790,$G:$G,"CDU",$J:$J,"PLANNED")&gt;0,"tied","standalone"),"")</f>
        <v/>
      </c>
    </row>
    <row r="9791" spans="6:14">
      <c r="F9791" s="6">
        <f>IF($M9791="PADD I","PADD 1",IF($M9791="PADD II","PADD 2",IF($M9791="PADD III","PADD 3",IF($M9791="PADD IV","PADD 4",IF($M9791="PADD V","PADD 5","")))))</f>
        <v/>
      </c>
      <c r="G9791" s="6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  <c r="N9791" s="6">
        <f>IF(OR($G9791="FCC",$G9791="Hydrocracker",$G9791="Reformer"),IF(COUNTIFS($D:$D,$D9791,$A:$A,$A9791,$B:$B,$B9791,$G:$G,"CDU",$J:$J,"PLANNED")&gt;0,"tied","standalone"),"")</f>
        <v/>
      </c>
    </row>
    <row r="9792" spans="6:14">
      <c r="F9792" s="6">
        <f>IF($M9792="PADD I","PADD 1",IF($M9792="PADD II","PADD 2",IF($M9792="PADD III","PADD 3",IF($M9792="PADD IV","PADD 4",IF($M9792="PADD V","PADD 5","")))))</f>
        <v/>
      </c>
      <c r="G9792" s="6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  <c r="N9792" s="6">
        <f>IF(OR($G9792="FCC",$G9792="Hydrocracker",$G9792="Reformer"),IF(COUNTIFS($D:$D,$D9792,$A:$A,$A9792,$B:$B,$B9792,$G:$G,"CDU",$J:$J,"PLANNED")&gt;0,"tied","standalone"),"")</f>
        <v/>
      </c>
    </row>
    <row r="9793" spans="6:14">
      <c r="F9793" s="6">
        <f>IF($M9793="PADD I","PADD 1",IF($M9793="PADD II","PADD 2",IF($M9793="PADD III","PADD 3",IF($M9793="PADD IV","PADD 4",IF($M9793="PADD V","PADD 5","")))))</f>
        <v/>
      </c>
      <c r="G9793" s="6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  <c r="N9793" s="6">
        <f>IF(OR($G9793="FCC",$G9793="Hydrocracker",$G9793="Reformer"),IF(COUNTIFS($D:$D,$D9793,$A:$A,$A9793,$B:$B,$B9793,$G:$G,"CDU",$J:$J,"PLANNED")&gt;0,"tied","standalone"),"")</f>
        <v/>
      </c>
    </row>
    <row r="9794" spans="6:14">
      <c r="F9794" s="6">
        <f>IF($M9794="PADD I","PADD 1",IF($M9794="PADD II","PADD 2",IF($M9794="PADD III","PADD 3",IF($M9794="PADD IV","PADD 4",IF($M9794="PADD V","PADD 5","")))))</f>
        <v/>
      </c>
      <c r="G9794" s="6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  <c r="N9794" s="6">
        <f>IF(OR($G9794="FCC",$G9794="Hydrocracker",$G9794="Reformer"),IF(COUNTIFS($D:$D,$D9794,$A:$A,$A9794,$B:$B,$B9794,$G:$G,"CDU",$J:$J,"PLANNED")&gt;0,"tied","standalone"),"")</f>
        <v/>
      </c>
    </row>
    <row r="9795" spans="6:14">
      <c r="F9795" s="6">
        <f>IF($M9795="PADD I","PADD 1",IF($M9795="PADD II","PADD 2",IF($M9795="PADD III","PADD 3",IF($M9795="PADD IV","PADD 4",IF($M9795="PADD V","PADD 5","")))))</f>
        <v/>
      </c>
      <c r="G9795" s="6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  <c r="N9795" s="6">
        <f>IF(OR($G9795="FCC",$G9795="Hydrocracker",$G9795="Reformer"),IF(COUNTIFS($D:$D,$D9795,$A:$A,$A9795,$B:$B,$B9795,$G:$G,"CDU",$J:$J,"PLANNED")&gt;0,"tied","standalone"),"")</f>
        <v/>
      </c>
    </row>
    <row r="9796" spans="6:14">
      <c r="F9796" s="6">
        <f>IF($M9796="PADD I","PADD 1",IF($M9796="PADD II","PADD 2",IF($M9796="PADD III","PADD 3",IF($M9796="PADD IV","PADD 4",IF($M9796="PADD V","PADD 5","")))))</f>
        <v/>
      </c>
      <c r="G9796" s="6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  <c r="N9796" s="6">
        <f>IF(OR($G9796="FCC",$G9796="Hydrocracker",$G9796="Reformer"),IF(COUNTIFS($D:$D,$D9796,$A:$A,$A9796,$B:$B,$B9796,$G:$G,"CDU",$J:$J,"PLANNED")&gt;0,"tied","standalone"),"")</f>
        <v/>
      </c>
    </row>
    <row r="9797" spans="6:14">
      <c r="F9797" s="6">
        <f>IF($M9797="PADD I","PADD 1",IF($M9797="PADD II","PADD 2",IF($M9797="PADD III","PADD 3",IF($M9797="PADD IV","PADD 4",IF($M9797="PADD V","PADD 5","")))))</f>
        <v/>
      </c>
      <c r="G9797" s="6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  <c r="N9797" s="6">
        <f>IF(OR($G9797="FCC",$G9797="Hydrocracker",$G9797="Reformer"),IF(COUNTIFS($D:$D,$D9797,$A:$A,$A9797,$B:$B,$B9797,$G:$G,"CDU",$J:$J,"PLANNED")&gt;0,"tied","standalone"),"")</f>
        <v/>
      </c>
    </row>
    <row r="9798" spans="6:14">
      <c r="F9798" s="6">
        <f>IF($M9798="PADD I","PADD 1",IF($M9798="PADD II","PADD 2",IF($M9798="PADD III","PADD 3",IF($M9798="PADD IV","PADD 4",IF($M9798="PADD V","PADD 5","")))))</f>
        <v/>
      </c>
      <c r="G9798" s="6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  <c r="N9798" s="6">
        <f>IF(OR($G9798="FCC",$G9798="Hydrocracker",$G9798="Reformer"),IF(COUNTIFS($D:$D,$D9798,$A:$A,$A9798,$B:$B,$B9798,$G:$G,"CDU",$J:$J,"PLANNED")&gt;0,"tied","standalone"),"")</f>
        <v/>
      </c>
    </row>
    <row r="9799" spans="6:14">
      <c r="F9799" s="6">
        <f>IF($M9799="PADD I","PADD 1",IF($M9799="PADD II","PADD 2",IF($M9799="PADD III","PADD 3",IF($M9799="PADD IV","PADD 4",IF($M9799="PADD V","PADD 5","")))))</f>
        <v/>
      </c>
      <c r="G9799" s="6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  <c r="N9799" s="6">
        <f>IF(OR($G9799="FCC",$G9799="Hydrocracker",$G9799="Reformer"),IF(COUNTIFS($D:$D,$D9799,$A:$A,$A9799,$B:$B,$B9799,$G:$G,"CDU",$J:$J,"PLANNED")&gt;0,"tied","standalone"),"")</f>
        <v/>
      </c>
    </row>
    <row r="9800" spans="6:14">
      <c r="F9800" s="6">
        <f>IF($M9800="PADD I","PADD 1",IF($M9800="PADD II","PADD 2",IF($M9800="PADD III","PADD 3",IF($M9800="PADD IV","PADD 4",IF($M9800="PADD V","PADD 5","")))))</f>
        <v/>
      </c>
      <c r="G9800" s="6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  <c r="N9800" s="6">
        <f>IF(OR($G9800="FCC",$G9800="Hydrocracker",$G9800="Reformer"),IF(COUNTIFS($D:$D,$D9800,$A:$A,$A9800,$B:$B,$B9800,$G:$G,"CDU",$J:$J,"PLANNED")&gt;0,"tied","standalone"),"")</f>
        <v/>
      </c>
    </row>
    <row r="9801" spans="6:14">
      <c r="F9801" s="6">
        <f>IF($M9801="PADD I","PADD 1",IF($M9801="PADD II","PADD 2",IF($M9801="PADD III","PADD 3",IF($M9801="PADD IV","PADD 4",IF($M9801="PADD V","PADD 5","")))))</f>
        <v/>
      </c>
      <c r="G9801" s="6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  <c r="N9801" s="6">
        <f>IF(OR($G9801="FCC",$G9801="Hydrocracker",$G9801="Reformer"),IF(COUNTIFS($D:$D,$D9801,$A:$A,$A9801,$B:$B,$B9801,$G:$G,"CDU",$J:$J,"PLANNED")&gt;0,"tied","standalone"),"")</f>
        <v/>
      </c>
    </row>
    <row r="9802" spans="6:14">
      <c r="F9802" s="6">
        <f>IF($M9802="PADD I","PADD 1",IF($M9802="PADD II","PADD 2",IF($M9802="PADD III","PADD 3",IF($M9802="PADD IV","PADD 4",IF($M9802="PADD V","PADD 5","")))))</f>
        <v/>
      </c>
      <c r="G9802" s="6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  <c r="N9802" s="6">
        <f>IF(OR($G9802="FCC",$G9802="Hydrocracker",$G9802="Reformer"),IF(COUNTIFS($D:$D,$D9802,$A:$A,$A9802,$B:$B,$B9802,$G:$G,"CDU",$J:$J,"PLANNED")&gt;0,"tied","standalone"),"")</f>
        <v/>
      </c>
    </row>
    <row r="9803" spans="6:14">
      <c r="F9803" s="6">
        <f>IF($M9803="PADD I","PADD 1",IF($M9803="PADD II","PADD 2",IF($M9803="PADD III","PADD 3",IF($M9803="PADD IV","PADD 4",IF($M9803="PADD V","PADD 5","")))))</f>
        <v/>
      </c>
      <c r="G9803" s="6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  <c r="N9803" s="6">
        <f>IF(OR($G9803="FCC",$G9803="Hydrocracker",$G9803="Reformer"),IF(COUNTIFS($D:$D,$D9803,$A:$A,$A9803,$B:$B,$B9803,$G:$G,"CDU",$J:$J,"PLANNED")&gt;0,"tied","standalone"),"")</f>
        <v/>
      </c>
    </row>
    <row r="9804" spans="6:14">
      <c r="F9804" s="6">
        <f>IF($M9804="PADD I","PADD 1",IF($M9804="PADD II","PADD 2",IF($M9804="PADD III","PADD 3",IF($M9804="PADD IV","PADD 4",IF($M9804="PADD V","PADD 5","")))))</f>
        <v/>
      </c>
      <c r="G9804" s="6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  <c r="N9804" s="6">
        <f>IF(OR($G9804="FCC",$G9804="Hydrocracker",$G9804="Reformer"),IF(COUNTIFS($D:$D,$D9804,$A:$A,$A9804,$B:$B,$B9804,$G:$G,"CDU",$J:$J,"PLANNED")&gt;0,"tied","standalone"),"")</f>
        <v/>
      </c>
    </row>
    <row r="9805" spans="6:14">
      <c r="F9805" s="6">
        <f>IF($M9805="PADD I","PADD 1",IF($M9805="PADD II","PADD 2",IF($M9805="PADD III","PADD 3",IF($M9805="PADD IV","PADD 4",IF($M9805="PADD V","PADD 5","")))))</f>
        <v/>
      </c>
      <c r="G9805" s="6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  <c r="N9805" s="6">
        <f>IF(OR($G9805="FCC",$G9805="Hydrocracker",$G9805="Reformer"),IF(COUNTIFS($D:$D,$D9805,$A:$A,$A9805,$B:$B,$B9805,$G:$G,"CDU",$J:$J,"PLANNED")&gt;0,"tied","standalone"),"")</f>
        <v/>
      </c>
    </row>
    <row r="9806" spans="6:14">
      <c r="F9806" s="6">
        <f>IF($M9806="PADD I","PADD 1",IF($M9806="PADD II","PADD 2",IF($M9806="PADD III","PADD 3",IF($M9806="PADD IV","PADD 4",IF($M9806="PADD V","PADD 5","")))))</f>
        <v/>
      </c>
      <c r="G9806" s="6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  <c r="N9806" s="6">
        <f>IF(OR($G9806="FCC",$G9806="Hydrocracker",$G9806="Reformer"),IF(COUNTIFS($D:$D,$D9806,$A:$A,$A9806,$B:$B,$B9806,$G:$G,"CDU",$J:$J,"PLANNED")&gt;0,"tied","standalone"),"")</f>
        <v/>
      </c>
    </row>
    <row r="9807" spans="6:14">
      <c r="F9807" s="6">
        <f>IF($M9807="PADD I","PADD 1",IF($M9807="PADD II","PADD 2",IF($M9807="PADD III","PADD 3",IF($M9807="PADD IV","PADD 4",IF($M9807="PADD V","PADD 5","")))))</f>
        <v/>
      </c>
      <c r="G9807" s="6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  <c r="N9807" s="6">
        <f>IF(OR($G9807="FCC",$G9807="Hydrocracker",$G9807="Reformer"),IF(COUNTIFS($D:$D,$D9807,$A:$A,$A9807,$B:$B,$B9807,$G:$G,"CDU",$J:$J,"PLANNED")&gt;0,"tied","standalone"),"")</f>
        <v/>
      </c>
    </row>
    <row r="9808" spans="6:14">
      <c r="F9808" s="6">
        <f>IF($M9808="PADD I","PADD 1",IF($M9808="PADD II","PADD 2",IF($M9808="PADD III","PADD 3",IF($M9808="PADD IV","PADD 4",IF($M9808="PADD V","PADD 5","")))))</f>
        <v/>
      </c>
      <c r="G9808" s="6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  <c r="N9808" s="6">
        <f>IF(OR($G9808="FCC",$G9808="Hydrocracker",$G9808="Reformer"),IF(COUNTIFS($D:$D,$D9808,$A:$A,$A9808,$B:$B,$B9808,$G:$G,"CDU",$J:$J,"PLANNED")&gt;0,"tied","standalone"),"")</f>
        <v/>
      </c>
    </row>
    <row r="9809" spans="6:14">
      <c r="F9809" s="6">
        <f>IF($M9809="PADD I","PADD 1",IF($M9809="PADD II","PADD 2",IF($M9809="PADD III","PADD 3",IF($M9809="PADD IV","PADD 4",IF($M9809="PADD V","PADD 5","")))))</f>
        <v/>
      </c>
      <c r="G9809" s="6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  <c r="N9809" s="6">
        <f>IF(OR($G9809="FCC",$G9809="Hydrocracker",$G9809="Reformer"),IF(COUNTIFS($D:$D,$D9809,$A:$A,$A9809,$B:$B,$B9809,$G:$G,"CDU",$J:$J,"PLANNED")&gt;0,"tied","standalone"),"")</f>
        <v/>
      </c>
    </row>
    <row r="9810" spans="6:14">
      <c r="F9810" s="6">
        <f>IF($M9810="PADD I","PADD 1",IF($M9810="PADD II","PADD 2",IF($M9810="PADD III","PADD 3",IF($M9810="PADD IV","PADD 4",IF($M9810="PADD V","PADD 5","")))))</f>
        <v/>
      </c>
      <c r="G9810" s="6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  <c r="N9810" s="6">
        <f>IF(OR($G9810="FCC",$G9810="Hydrocracker",$G9810="Reformer"),IF(COUNTIFS($D:$D,$D9810,$A:$A,$A9810,$B:$B,$B9810,$G:$G,"CDU",$J:$J,"PLANNED")&gt;0,"tied","standalone"),"")</f>
        <v/>
      </c>
    </row>
    <row r="9811" spans="6:14">
      <c r="F9811" s="6">
        <f>IF($M9811="PADD I","PADD 1",IF($M9811="PADD II","PADD 2",IF($M9811="PADD III","PADD 3",IF($M9811="PADD IV","PADD 4",IF($M9811="PADD V","PADD 5","")))))</f>
        <v/>
      </c>
      <c r="G9811" s="6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  <c r="N9811" s="6">
        <f>IF(OR($G9811="FCC",$G9811="Hydrocracker",$G9811="Reformer"),IF(COUNTIFS($D:$D,$D9811,$A:$A,$A9811,$B:$B,$B9811,$G:$G,"CDU",$J:$J,"PLANNED")&gt;0,"tied","standalone"),"")</f>
        <v/>
      </c>
    </row>
    <row r="9812" spans="6:14">
      <c r="F9812" s="6">
        <f>IF($M9812="PADD I","PADD 1",IF($M9812="PADD II","PADD 2",IF($M9812="PADD III","PADD 3",IF($M9812="PADD IV","PADD 4",IF($M9812="PADD V","PADD 5","")))))</f>
        <v/>
      </c>
      <c r="G9812" s="6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  <c r="N9812" s="6">
        <f>IF(OR($G9812="FCC",$G9812="Hydrocracker",$G9812="Reformer"),IF(COUNTIFS($D:$D,$D9812,$A:$A,$A9812,$B:$B,$B9812,$G:$G,"CDU",$J:$J,"PLANNED")&gt;0,"tied","standalone"),"")</f>
        <v/>
      </c>
    </row>
    <row r="9813" spans="6:14">
      <c r="F9813" s="6">
        <f>IF($M9813="PADD I","PADD 1",IF($M9813="PADD II","PADD 2",IF($M9813="PADD III","PADD 3",IF($M9813="PADD IV","PADD 4",IF($M9813="PADD V","PADD 5","")))))</f>
        <v/>
      </c>
      <c r="G9813" s="6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  <c r="N9813" s="6">
        <f>IF(OR($G9813="FCC",$G9813="Hydrocracker",$G9813="Reformer"),IF(COUNTIFS($D:$D,$D9813,$A:$A,$A9813,$B:$B,$B9813,$G:$G,"CDU",$J:$J,"PLANNED")&gt;0,"tied","standalone"),"")</f>
        <v/>
      </c>
    </row>
    <row r="9814" spans="6:14">
      <c r="F9814" s="6">
        <f>IF($M9814="PADD I","PADD 1",IF($M9814="PADD II","PADD 2",IF($M9814="PADD III","PADD 3",IF($M9814="PADD IV","PADD 4",IF($M9814="PADD V","PADD 5","")))))</f>
        <v/>
      </c>
      <c r="G9814" s="6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  <c r="N9814" s="6">
        <f>IF(OR($G9814="FCC",$G9814="Hydrocracker",$G9814="Reformer"),IF(COUNTIFS($D:$D,$D9814,$A:$A,$A9814,$B:$B,$B9814,$G:$G,"CDU",$J:$J,"PLANNED")&gt;0,"tied","standalone"),"")</f>
        <v/>
      </c>
    </row>
    <row r="9815" spans="6:14">
      <c r="F9815" s="6">
        <f>IF($M9815="PADD I","PADD 1",IF($M9815="PADD II","PADD 2",IF($M9815="PADD III","PADD 3",IF($M9815="PADD IV","PADD 4",IF($M9815="PADD V","PADD 5","")))))</f>
        <v/>
      </c>
      <c r="G9815" s="6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  <c r="N9815" s="6">
        <f>IF(OR($G9815="FCC",$G9815="Hydrocracker",$G9815="Reformer"),IF(COUNTIFS($D:$D,$D9815,$A:$A,$A9815,$B:$B,$B9815,$G:$G,"CDU",$J:$J,"PLANNED")&gt;0,"tied","standalone"),"")</f>
        <v/>
      </c>
    </row>
    <row r="9816" spans="6:14">
      <c r="F9816" s="6">
        <f>IF($M9816="PADD I","PADD 1",IF($M9816="PADD II","PADD 2",IF($M9816="PADD III","PADD 3",IF($M9816="PADD IV","PADD 4",IF($M9816="PADD V","PADD 5","")))))</f>
        <v/>
      </c>
      <c r="G9816" s="6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  <c r="N9816" s="6">
        <f>IF(OR($G9816="FCC",$G9816="Hydrocracker",$G9816="Reformer"),IF(COUNTIFS($D:$D,$D9816,$A:$A,$A9816,$B:$B,$B9816,$G:$G,"CDU",$J:$J,"PLANNED")&gt;0,"tied","standalone"),"")</f>
        <v/>
      </c>
    </row>
    <row r="9817" spans="6:14">
      <c r="F9817" s="6">
        <f>IF($M9817="PADD I","PADD 1",IF($M9817="PADD II","PADD 2",IF($M9817="PADD III","PADD 3",IF($M9817="PADD IV","PADD 4",IF($M9817="PADD V","PADD 5","")))))</f>
        <v/>
      </c>
      <c r="G9817" s="6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  <c r="N9817" s="6">
        <f>IF(OR($G9817="FCC",$G9817="Hydrocracker",$G9817="Reformer"),IF(COUNTIFS($D:$D,$D9817,$A:$A,$A9817,$B:$B,$B9817,$G:$G,"CDU",$J:$J,"PLANNED")&gt;0,"tied","standalone"),"")</f>
        <v/>
      </c>
    </row>
    <row r="9818" spans="6:14">
      <c r="F9818" s="6">
        <f>IF($M9818="PADD I","PADD 1",IF($M9818="PADD II","PADD 2",IF($M9818="PADD III","PADD 3",IF($M9818="PADD IV","PADD 4",IF($M9818="PADD V","PADD 5","")))))</f>
        <v/>
      </c>
      <c r="G9818" s="6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  <c r="N9818" s="6">
        <f>IF(OR($G9818="FCC",$G9818="Hydrocracker",$G9818="Reformer"),IF(COUNTIFS($D:$D,$D9818,$A:$A,$A9818,$B:$B,$B9818,$G:$G,"CDU",$J:$J,"PLANNED")&gt;0,"tied","standalone"),"")</f>
        <v/>
      </c>
    </row>
    <row r="9819" spans="6:14">
      <c r="F9819" s="6">
        <f>IF($M9819="PADD I","PADD 1",IF($M9819="PADD II","PADD 2",IF($M9819="PADD III","PADD 3",IF($M9819="PADD IV","PADD 4",IF($M9819="PADD V","PADD 5","")))))</f>
        <v/>
      </c>
      <c r="G9819" s="6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  <c r="N9819" s="6">
        <f>IF(OR($G9819="FCC",$G9819="Hydrocracker",$G9819="Reformer"),IF(COUNTIFS($D:$D,$D9819,$A:$A,$A9819,$B:$B,$B9819,$G:$G,"CDU",$J:$J,"PLANNED")&gt;0,"tied","standalone"),"")</f>
        <v/>
      </c>
    </row>
    <row r="9820" spans="6:14">
      <c r="F9820" s="6">
        <f>IF($M9820="PADD I","PADD 1",IF($M9820="PADD II","PADD 2",IF($M9820="PADD III","PADD 3",IF($M9820="PADD IV","PADD 4",IF($M9820="PADD V","PADD 5","")))))</f>
        <v/>
      </c>
      <c r="G9820" s="6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  <c r="N9820" s="6">
        <f>IF(OR($G9820="FCC",$G9820="Hydrocracker",$G9820="Reformer"),IF(COUNTIFS($D:$D,$D9820,$A:$A,$A9820,$B:$B,$B9820,$G:$G,"CDU",$J:$J,"PLANNED")&gt;0,"tied","standalone"),"")</f>
        <v/>
      </c>
    </row>
    <row r="9821" spans="6:14">
      <c r="F9821" s="6">
        <f>IF($M9821="PADD I","PADD 1",IF($M9821="PADD II","PADD 2",IF($M9821="PADD III","PADD 3",IF($M9821="PADD IV","PADD 4",IF($M9821="PADD V","PADD 5","")))))</f>
        <v/>
      </c>
      <c r="G9821" s="6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  <c r="N9821" s="6">
        <f>IF(OR($G9821="FCC",$G9821="Hydrocracker",$G9821="Reformer"),IF(COUNTIFS($D:$D,$D9821,$A:$A,$A9821,$B:$B,$B9821,$G:$G,"CDU",$J:$J,"PLANNED")&gt;0,"tied","standalone"),"")</f>
        <v/>
      </c>
    </row>
    <row r="9822" spans="6:14">
      <c r="F9822" s="6">
        <f>IF($M9822="PADD I","PADD 1",IF($M9822="PADD II","PADD 2",IF($M9822="PADD III","PADD 3",IF($M9822="PADD IV","PADD 4",IF($M9822="PADD V","PADD 5","")))))</f>
        <v/>
      </c>
      <c r="G9822" s="6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  <c r="N9822" s="6">
        <f>IF(OR($G9822="FCC",$G9822="Hydrocracker",$G9822="Reformer"),IF(COUNTIFS($D:$D,$D9822,$A:$A,$A9822,$B:$B,$B9822,$G:$G,"CDU",$J:$J,"PLANNED")&gt;0,"tied","standalone"),"")</f>
        <v/>
      </c>
    </row>
    <row r="9823" spans="6:14">
      <c r="F9823" s="6">
        <f>IF($M9823="PADD I","PADD 1",IF($M9823="PADD II","PADD 2",IF($M9823="PADD III","PADD 3",IF($M9823="PADD IV","PADD 4",IF($M9823="PADD V","PADD 5","")))))</f>
        <v/>
      </c>
      <c r="G9823" s="6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  <c r="N9823" s="6">
        <f>IF(OR($G9823="FCC",$G9823="Hydrocracker",$G9823="Reformer"),IF(COUNTIFS($D:$D,$D9823,$A:$A,$A9823,$B:$B,$B9823,$G:$G,"CDU",$J:$J,"PLANNED")&gt;0,"tied","standalone"),"")</f>
        <v/>
      </c>
    </row>
    <row r="9824" spans="6:14">
      <c r="F9824" s="6">
        <f>IF($M9824="PADD I","PADD 1",IF($M9824="PADD II","PADD 2",IF($M9824="PADD III","PADD 3",IF($M9824="PADD IV","PADD 4",IF($M9824="PADD V","PADD 5","")))))</f>
        <v/>
      </c>
      <c r="G9824" s="6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  <c r="N9824" s="6">
        <f>IF(OR($G9824="FCC",$G9824="Hydrocracker",$G9824="Reformer"),IF(COUNTIFS($D:$D,$D9824,$A:$A,$A9824,$B:$B,$B9824,$G:$G,"CDU",$J:$J,"PLANNED")&gt;0,"tied","standalone"),"")</f>
        <v/>
      </c>
    </row>
    <row r="9825" spans="6:14">
      <c r="F9825" s="6">
        <f>IF($M9825="PADD I","PADD 1",IF($M9825="PADD II","PADD 2",IF($M9825="PADD III","PADD 3",IF($M9825="PADD IV","PADD 4",IF($M9825="PADD V","PADD 5","")))))</f>
        <v/>
      </c>
      <c r="G9825" s="6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  <c r="N9825" s="6">
        <f>IF(OR($G9825="FCC",$G9825="Hydrocracker",$G9825="Reformer"),IF(COUNTIFS($D:$D,$D9825,$A:$A,$A9825,$B:$B,$B9825,$G:$G,"CDU",$J:$J,"PLANNED")&gt;0,"tied","standalone"),"")</f>
        <v/>
      </c>
    </row>
    <row r="9826" spans="6:14">
      <c r="F9826" s="6">
        <f>IF($M9826="PADD I","PADD 1",IF($M9826="PADD II","PADD 2",IF($M9826="PADD III","PADD 3",IF($M9826="PADD IV","PADD 4",IF($M9826="PADD V","PADD 5","")))))</f>
        <v/>
      </c>
      <c r="G9826" s="6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  <c r="N9826" s="6">
        <f>IF(OR($G9826="FCC",$G9826="Hydrocracker",$G9826="Reformer"),IF(COUNTIFS($D:$D,$D9826,$A:$A,$A9826,$B:$B,$B9826,$G:$G,"CDU",$J:$J,"PLANNED")&gt;0,"tied","standalone"),"")</f>
        <v/>
      </c>
    </row>
    <row r="9827" spans="6:14">
      <c r="F9827" s="6">
        <f>IF($M9827="PADD I","PADD 1",IF($M9827="PADD II","PADD 2",IF($M9827="PADD III","PADD 3",IF($M9827="PADD IV","PADD 4",IF($M9827="PADD V","PADD 5","")))))</f>
        <v/>
      </c>
      <c r="G9827" s="6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  <c r="N9827" s="6">
        <f>IF(OR($G9827="FCC",$G9827="Hydrocracker",$G9827="Reformer"),IF(COUNTIFS($D:$D,$D9827,$A:$A,$A9827,$B:$B,$B9827,$G:$G,"CDU",$J:$J,"PLANNED")&gt;0,"tied","standalone"),"")</f>
        <v/>
      </c>
    </row>
    <row r="9828" spans="6:14">
      <c r="F9828" s="6">
        <f>IF($M9828="PADD I","PADD 1",IF($M9828="PADD II","PADD 2",IF($M9828="PADD III","PADD 3",IF($M9828="PADD IV","PADD 4",IF($M9828="PADD V","PADD 5","")))))</f>
        <v/>
      </c>
      <c r="G9828" s="6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  <c r="N9828" s="6">
        <f>IF(OR($G9828="FCC",$G9828="Hydrocracker",$G9828="Reformer"),IF(COUNTIFS($D:$D,$D9828,$A:$A,$A9828,$B:$B,$B9828,$G:$G,"CDU",$J:$J,"PLANNED")&gt;0,"tied","standalone"),"")</f>
        <v/>
      </c>
    </row>
    <row r="9829" spans="6:14">
      <c r="F9829" s="6">
        <f>IF($M9829="PADD I","PADD 1",IF($M9829="PADD II","PADD 2",IF($M9829="PADD III","PADD 3",IF($M9829="PADD IV","PADD 4",IF($M9829="PADD V","PADD 5","")))))</f>
        <v/>
      </c>
      <c r="G9829" s="6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  <c r="N9829" s="6">
        <f>IF(OR($G9829="FCC",$G9829="Hydrocracker",$G9829="Reformer"),IF(COUNTIFS($D:$D,$D9829,$A:$A,$A9829,$B:$B,$B9829,$G:$G,"CDU",$J:$J,"PLANNED")&gt;0,"tied","standalone"),"")</f>
        <v/>
      </c>
    </row>
    <row r="9830" spans="6:14">
      <c r="F9830" s="6">
        <f>IF($M9830="PADD I","PADD 1",IF($M9830="PADD II","PADD 2",IF($M9830="PADD III","PADD 3",IF($M9830="PADD IV","PADD 4",IF($M9830="PADD V","PADD 5","")))))</f>
        <v/>
      </c>
      <c r="G9830" s="6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  <c r="N9830" s="6">
        <f>IF(OR($G9830="FCC",$G9830="Hydrocracker",$G9830="Reformer"),IF(COUNTIFS($D:$D,$D9830,$A:$A,$A9830,$B:$B,$B9830,$G:$G,"CDU",$J:$J,"PLANNED")&gt;0,"tied","standalone"),"")</f>
        <v/>
      </c>
    </row>
    <row r="9831" spans="6:14">
      <c r="F9831" s="6">
        <f>IF($M9831="PADD I","PADD 1",IF($M9831="PADD II","PADD 2",IF($M9831="PADD III","PADD 3",IF($M9831="PADD IV","PADD 4",IF($M9831="PADD V","PADD 5","")))))</f>
        <v/>
      </c>
      <c r="G9831" s="6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  <c r="N9831" s="6">
        <f>IF(OR($G9831="FCC",$G9831="Hydrocracker",$G9831="Reformer"),IF(COUNTIFS($D:$D,$D9831,$A:$A,$A9831,$B:$B,$B9831,$G:$G,"CDU",$J:$J,"PLANNED")&gt;0,"tied","standalone"),"")</f>
        <v/>
      </c>
    </row>
    <row r="9832" spans="6:14">
      <c r="F9832" s="6">
        <f>IF($M9832="PADD I","PADD 1",IF($M9832="PADD II","PADD 2",IF($M9832="PADD III","PADD 3",IF($M9832="PADD IV","PADD 4",IF($M9832="PADD V","PADD 5","")))))</f>
        <v/>
      </c>
      <c r="G9832" s="6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  <c r="N9832" s="6">
        <f>IF(OR($G9832="FCC",$G9832="Hydrocracker",$G9832="Reformer"),IF(COUNTIFS($D:$D,$D9832,$A:$A,$A9832,$B:$B,$B9832,$G:$G,"CDU",$J:$J,"PLANNED")&gt;0,"tied","standalone"),"")</f>
        <v/>
      </c>
    </row>
    <row r="9833" spans="6:14">
      <c r="F9833" s="6">
        <f>IF($M9833="PADD I","PADD 1",IF($M9833="PADD II","PADD 2",IF($M9833="PADD III","PADD 3",IF($M9833="PADD IV","PADD 4",IF($M9833="PADD V","PADD 5","")))))</f>
        <v/>
      </c>
      <c r="G9833" s="6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  <c r="N9833" s="6">
        <f>IF(OR($G9833="FCC",$G9833="Hydrocracker",$G9833="Reformer"),IF(COUNTIFS($D:$D,$D9833,$A:$A,$A9833,$B:$B,$B9833,$G:$G,"CDU",$J:$J,"PLANNED")&gt;0,"tied","standalone"),"")</f>
        <v/>
      </c>
    </row>
    <row r="9834" spans="6:14">
      <c r="F9834" s="6">
        <f>IF($M9834="PADD I","PADD 1",IF($M9834="PADD II","PADD 2",IF($M9834="PADD III","PADD 3",IF($M9834="PADD IV","PADD 4",IF($M9834="PADD V","PADD 5","")))))</f>
        <v/>
      </c>
      <c r="G9834" s="6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  <c r="N9834" s="6">
        <f>IF(OR($G9834="FCC",$G9834="Hydrocracker",$G9834="Reformer"),IF(COUNTIFS($D:$D,$D9834,$A:$A,$A9834,$B:$B,$B9834,$G:$G,"CDU",$J:$J,"PLANNED")&gt;0,"tied","standalone"),"")</f>
        <v/>
      </c>
    </row>
    <row r="9835" spans="6:14">
      <c r="F9835" s="6">
        <f>IF($M9835="PADD I","PADD 1",IF($M9835="PADD II","PADD 2",IF($M9835="PADD III","PADD 3",IF($M9835="PADD IV","PADD 4",IF($M9835="PADD V","PADD 5","")))))</f>
        <v/>
      </c>
      <c r="G9835" s="6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  <c r="N9835" s="6">
        <f>IF(OR($G9835="FCC",$G9835="Hydrocracker",$G9835="Reformer"),IF(COUNTIFS($D:$D,$D9835,$A:$A,$A9835,$B:$B,$B9835,$G:$G,"CDU",$J:$J,"PLANNED")&gt;0,"tied","standalone"),"")</f>
        <v/>
      </c>
    </row>
    <row r="9836" spans="6:14">
      <c r="F9836" s="6">
        <f>IF($M9836="PADD I","PADD 1",IF($M9836="PADD II","PADD 2",IF($M9836="PADD III","PADD 3",IF($M9836="PADD IV","PADD 4",IF($M9836="PADD V","PADD 5","")))))</f>
        <v/>
      </c>
      <c r="G9836" s="6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  <c r="N9836" s="6">
        <f>IF(OR($G9836="FCC",$G9836="Hydrocracker",$G9836="Reformer"),IF(COUNTIFS($D:$D,$D9836,$A:$A,$A9836,$B:$B,$B9836,$G:$G,"CDU",$J:$J,"PLANNED")&gt;0,"tied","standalone"),"")</f>
        <v/>
      </c>
    </row>
    <row r="9837" spans="6:14">
      <c r="F9837" s="6">
        <f>IF($M9837="PADD I","PADD 1",IF($M9837="PADD II","PADD 2",IF($M9837="PADD III","PADD 3",IF($M9837="PADD IV","PADD 4",IF($M9837="PADD V","PADD 5","")))))</f>
        <v/>
      </c>
      <c r="G9837" s="6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  <c r="N9837" s="6">
        <f>IF(OR($G9837="FCC",$G9837="Hydrocracker",$G9837="Reformer"),IF(COUNTIFS($D:$D,$D9837,$A:$A,$A9837,$B:$B,$B9837,$G:$G,"CDU",$J:$J,"PLANNED")&gt;0,"tied","standalone"),"")</f>
        <v/>
      </c>
    </row>
    <row r="9838" spans="6:14">
      <c r="F9838" s="6">
        <f>IF($M9838="PADD I","PADD 1",IF($M9838="PADD II","PADD 2",IF($M9838="PADD III","PADD 3",IF($M9838="PADD IV","PADD 4",IF($M9838="PADD V","PADD 5","")))))</f>
        <v/>
      </c>
      <c r="G9838" s="6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  <c r="N9838" s="6">
        <f>IF(OR($G9838="FCC",$G9838="Hydrocracker",$G9838="Reformer"),IF(COUNTIFS($D:$D,$D9838,$A:$A,$A9838,$B:$B,$B9838,$G:$G,"CDU",$J:$J,"PLANNED")&gt;0,"tied","standalone"),"")</f>
        <v/>
      </c>
    </row>
    <row r="9839" spans="6:14">
      <c r="F9839" s="6">
        <f>IF($M9839="PADD I","PADD 1",IF($M9839="PADD II","PADD 2",IF($M9839="PADD III","PADD 3",IF($M9839="PADD IV","PADD 4",IF($M9839="PADD V","PADD 5","")))))</f>
        <v/>
      </c>
      <c r="G9839" s="6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  <c r="N9839" s="6">
        <f>IF(OR($G9839="FCC",$G9839="Hydrocracker",$G9839="Reformer"),IF(COUNTIFS($D:$D,$D9839,$A:$A,$A9839,$B:$B,$B9839,$G:$G,"CDU",$J:$J,"PLANNED")&gt;0,"tied","standalone"),"")</f>
        <v/>
      </c>
    </row>
    <row r="9840" spans="6:14">
      <c r="F9840" s="6">
        <f>IF($M9840="PADD I","PADD 1",IF($M9840="PADD II","PADD 2",IF($M9840="PADD III","PADD 3",IF($M9840="PADD IV","PADD 4",IF($M9840="PADD V","PADD 5","")))))</f>
        <v/>
      </c>
      <c r="G9840" s="6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  <c r="N9840" s="6">
        <f>IF(OR($G9840="FCC",$G9840="Hydrocracker",$G9840="Reformer"),IF(COUNTIFS($D:$D,$D9840,$A:$A,$A9840,$B:$B,$B9840,$G:$G,"CDU",$J:$J,"PLANNED")&gt;0,"tied","standalone"),"")</f>
        <v/>
      </c>
    </row>
    <row r="9841" spans="6:14">
      <c r="F9841" s="6">
        <f>IF($M9841="PADD I","PADD 1",IF($M9841="PADD II","PADD 2",IF($M9841="PADD III","PADD 3",IF($M9841="PADD IV","PADD 4",IF($M9841="PADD V","PADD 5","")))))</f>
        <v/>
      </c>
      <c r="G9841" s="6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  <c r="N9841" s="6">
        <f>IF(OR($G9841="FCC",$G9841="Hydrocracker",$G9841="Reformer"),IF(COUNTIFS($D:$D,$D9841,$A:$A,$A9841,$B:$B,$B9841,$G:$G,"CDU",$J:$J,"PLANNED")&gt;0,"tied","standalone"),"")</f>
        <v/>
      </c>
    </row>
    <row r="9842" spans="6:14">
      <c r="F9842" s="6">
        <f>IF($M9842="PADD I","PADD 1",IF($M9842="PADD II","PADD 2",IF($M9842="PADD III","PADD 3",IF($M9842="PADD IV","PADD 4",IF($M9842="PADD V","PADD 5","")))))</f>
        <v/>
      </c>
      <c r="G9842" s="6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  <c r="N9842" s="6">
        <f>IF(OR($G9842="FCC",$G9842="Hydrocracker",$G9842="Reformer"),IF(COUNTIFS($D:$D,$D9842,$A:$A,$A9842,$B:$B,$B9842,$G:$G,"CDU",$J:$J,"PLANNED")&gt;0,"tied","standalone"),"")</f>
        <v/>
      </c>
    </row>
    <row r="9843" spans="6:14">
      <c r="F9843" s="6">
        <f>IF($M9843="PADD I","PADD 1",IF($M9843="PADD II","PADD 2",IF($M9843="PADD III","PADD 3",IF($M9843="PADD IV","PADD 4",IF($M9843="PADD V","PADD 5","")))))</f>
        <v/>
      </c>
      <c r="G9843" s="6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  <c r="N9843" s="6">
        <f>IF(OR($G9843="FCC",$G9843="Hydrocracker",$G9843="Reformer"),IF(COUNTIFS($D:$D,$D9843,$A:$A,$A9843,$B:$B,$B9843,$G:$G,"CDU",$J:$J,"PLANNED")&gt;0,"tied","standalone"),"")</f>
        <v/>
      </c>
    </row>
    <row r="9844" spans="6:14">
      <c r="F9844" s="6">
        <f>IF($M9844="PADD I","PADD 1",IF($M9844="PADD II","PADD 2",IF($M9844="PADD III","PADD 3",IF($M9844="PADD IV","PADD 4",IF($M9844="PADD V","PADD 5","")))))</f>
        <v/>
      </c>
      <c r="G9844" s="6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  <c r="N9844" s="6">
        <f>IF(OR($G9844="FCC",$G9844="Hydrocracker",$G9844="Reformer"),IF(COUNTIFS($D:$D,$D9844,$A:$A,$A9844,$B:$B,$B9844,$G:$G,"CDU",$J:$J,"PLANNED")&gt;0,"tied","standalone"),"")</f>
        <v/>
      </c>
    </row>
    <row r="9845" spans="6:14">
      <c r="F9845" s="6">
        <f>IF($M9845="PADD I","PADD 1",IF($M9845="PADD II","PADD 2",IF($M9845="PADD III","PADD 3",IF($M9845="PADD IV","PADD 4",IF($M9845="PADD V","PADD 5","")))))</f>
        <v/>
      </c>
      <c r="G9845" s="6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  <c r="N9845" s="6">
        <f>IF(OR($G9845="FCC",$G9845="Hydrocracker",$G9845="Reformer"),IF(COUNTIFS($D:$D,$D9845,$A:$A,$A9845,$B:$B,$B9845,$G:$G,"CDU",$J:$J,"PLANNED")&gt;0,"tied","standalone"),"")</f>
        <v/>
      </c>
    </row>
    <row r="9846" spans="6:14">
      <c r="F9846" s="6">
        <f>IF($M9846="PADD I","PADD 1",IF($M9846="PADD II","PADD 2",IF($M9846="PADD III","PADD 3",IF($M9846="PADD IV","PADD 4",IF($M9846="PADD V","PADD 5","")))))</f>
        <v/>
      </c>
      <c r="G9846" s="6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  <c r="N9846" s="6">
        <f>IF(OR($G9846="FCC",$G9846="Hydrocracker",$G9846="Reformer"),IF(COUNTIFS($D:$D,$D9846,$A:$A,$A9846,$B:$B,$B9846,$G:$G,"CDU",$J:$J,"PLANNED")&gt;0,"tied","standalone"),"")</f>
        <v/>
      </c>
    </row>
    <row r="9847" spans="6:14">
      <c r="F9847" s="6">
        <f>IF($M9847="PADD I","PADD 1",IF($M9847="PADD II","PADD 2",IF($M9847="PADD III","PADD 3",IF($M9847="PADD IV","PADD 4",IF($M9847="PADD V","PADD 5","")))))</f>
        <v/>
      </c>
      <c r="G9847" s="6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  <c r="N9847" s="6">
        <f>IF(OR($G9847="FCC",$G9847="Hydrocracker",$G9847="Reformer"),IF(COUNTIFS($D:$D,$D9847,$A:$A,$A9847,$B:$B,$B9847,$G:$G,"CDU",$J:$J,"PLANNED")&gt;0,"tied","standalone"),"")</f>
        <v/>
      </c>
    </row>
    <row r="9848" spans="6:14">
      <c r="F9848" s="6">
        <f>IF($M9848="PADD I","PADD 1",IF($M9848="PADD II","PADD 2",IF($M9848="PADD III","PADD 3",IF($M9848="PADD IV","PADD 4",IF($M9848="PADD V","PADD 5","")))))</f>
        <v/>
      </c>
      <c r="G9848" s="6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  <c r="N9848" s="6">
        <f>IF(OR($G9848="FCC",$G9848="Hydrocracker",$G9848="Reformer"),IF(COUNTIFS($D:$D,$D9848,$A:$A,$A9848,$B:$B,$B9848,$G:$G,"CDU",$J:$J,"PLANNED")&gt;0,"tied","standalone"),"")</f>
        <v/>
      </c>
    </row>
    <row r="9849" spans="6:14">
      <c r="F9849" s="6">
        <f>IF($M9849="PADD I","PADD 1",IF($M9849="PADD II","PADD 2",IF($M9849="PADD III","PADD 3",IF($M9849="PADD IV","PADD 4",IF($M9849="PADD V","PADD 5","")))))</f>
        <v/>
      </c>
      <c r="G9849" s="6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  <c r="N9849" s="6">
        <f>IF(OR($G9849="FCC",$G9849="Hydrocracker",$G9849="Reformer"),IF(COUNTIFS($D:$D,$D9849,$A:$A,$A9849,$B:$B,$B9849,$G:$G,"CDU",$J:$J,"PLANNED")&gt;0,"tied","standalone"),"")</f>
        <v/>
      </c>
    </row>
    <row r="9850" spans="6:14">
      <c r="F9850" s="6">
        <f>IF($M9850="PADD I","PADD 1",IF($M9850="PADD II","PADD 2",IF($M9850="PADD III","PADD 3",IF($M9850="PADD IV","PADD 4",IF($M9850="PADD V","PADD 5","")))))</f>
        <v/>
      </c>
      <c r="G9850" s="6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  <c r="N9850" s="6">
        <f>IF(OR($G9850="FCC",$G9850="Hydrocracker",$G9850="Reformer"),IF(COUNTIFS($D:$D,$D9850,$A:$A,$A9850,$B:$B,$B9850,$G:$G,"CDU",$J:$J,"PLANNED")&gt;0,"tied","standalone"),"")</f>
        <v/>
      </c>
    </row>
    <row r="9851" spans="6:14">
      <c r="F9851" s="6">
        <f>IF($M9851="PADD I","PADD 1",IF($M9851="PADD II","PADD 2",IF($M9851="PADD III","PADD 3",IF($M9851="PADD IV","PADD 4",IF($M9851="PADD V","PADD 5","")))))</f>
        <v/>
      </c>
      <c r="G9851" s="6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  <c r="N9851" s="6">
        <f>IF(OR($G9851="FCC",$G9851="Hydrocracker",$G9851="Reformer"),IF(COUNTIFS($D:$D,$D9851,$A:$A,$A9851,$B:$B,$B9851,$G:$G,"CDU",$J:$J,"PLANNED")&gt;0,"tied","standalone"),"")</f>
        <v/>
      </c>
    </row>
    <row r="9852" spans="6:14">
      <c r="F9852" s="6">
        <f>IF($M9852="PADD I","PADD 1",IF($M9852="PADD II","PADD 2",IF($M9852="PADD III","PADD 3",IF($M9852="PADD IV","PADD 4",IF($M9852="PADD V","PADD 5","")))))</f>
        <v/>
      </c>
      <c r="G9852" s="6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  <c r="N9852" s="6">
        <f>IF(OR($G9852="FCC",$G9852="Hydrocracker",$G9852="Reformer"),IF(COUNTIFS($D:$D,$D9852,$A:$A,$A9852,$B:$B,$B9852,$G:$G,"CDU",$J:$J,"PLANNED")&gt;0,"tied","standalone"),"")</f>
        <v/>
      </c>
    </row>
    <row r="9853" spans="6:14">
      <c r="F9853" s="6">
        <f>IF($M9853="PADD I","PADD 1",IF($M9853="PADD II","PADD 2",IF($M9853="PADD III","PADD 3",IF($M9853="PADD IV","PADD 4",IF($M9853="PADD V","PADD 5","")))))</f>
        <v/>
      </c>
      <c r="G9853" s="6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  <c r="N9853" s="6">
        <f>IF(OR($G9853="FCC",$G9853="Hydrocracker",$G9853="Reformer"),IF(COUNTIFS($D:$D,$D9853,$A:$A,$A9853,$B:$B,$B9853,$G:$G,"CDU",$J:$J,"PLANNED")&gt;0,"tied","standalone"),"")</f>
        <v/>
      </c>
    </row>
    <row r="9854" spans="6:14">
      <c r="F9854" s="6">
        <f>IF($M9854="PADD I","PADD 1",IF($M9854="PADD II","PADD 2",IF($M9854="PADD III","PADD 3",IF($M9854="PADD IV","PADD 4",IF($M9854="PADD V","PADD 5","")))))</f>
        <v/>
      </c>
      <c r="G9854" s="6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  <c r="N9854" s="6">
        <f>IF(OR($G9854="FCC",$G9854="Hydrocracker",$G9854="Reformer"),IF(COUNTIFS($D:$D,$D9854,$A:$A,$A9854,$B:$B,$B9854,$G:$G,"CDU",$J:$J,"PLANNED")&gt;0,"tied","standalone"),"")</f>
        <v/>
      </c>
    </row>
    <row r="9855" spans="6:14">
      <c r="F9855" s="6">
        <f>IF($M9855="PADD I","PADD 1",IF($M9855="PADD II","PADD 2",IF($M9855="PADD III","PADD 3",IF($M9855="PADD IV","PADD 4",IF($M9855="PADD V","PADD 5","")))))</f>
        <v/>
      </c>
      <c r="G9855" s="6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  <c r="N9855" s="6">
        <f>IF(OR($G9855="FCC",$G9855="Hydrocracker",$G9855="Reformer"),IF(COUNTIFS($D:$D,$D9855,$A:$A,$A9855,$B:$B,$B9855,$G:$G,"CDU",$J:$J,"PLANNED")&gt;0,"tied","standalone"),"")</f>
        <v/>
      </c>
    </row>
    <row r="9856" spans="6:14">
      <c r="F9856" s="6">
        <f>IF($M9856="PADD I","PADD 1",IF($M9856="PADD II","PADD 2",IF($M9856="PADD III","PADD 3",IF($M9856="PADD IV","PADD 4",IF($M9856="PADD V","PADD 5","")))))</f>
        <v/>
      </c>
      <c r="G9856" s="6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  <c r="N9856" s="6">
        <f>IF(OR($G9856="FCC",$G9856="Hydrocracker",$G9856="Reformer"),IF(COUNTIFS($D:$D,$D9856,$A:$A,$A9856,$B:$B,$B9856,$G:$G,"CDU",$J:$J,"PLANNED")&gt;0,"tied","standalone"),"")</f>
        <v/>
      </c>
    </row>
    <row r="9857" spans="6:14">
      <c r="F9857" s="6">
        <f>IF($M9857="PADD I","PADD 1",IF($M9857="PADD II","PADD 2",IF($M9857="PADD III","PADD 3",IF($M9857="PADD IV","PADD 4",IF($M9857="PADD V","PADD 5","")))))</f>
        <v/>
      </c>
      <c r="G9857" s="6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  <c r="N9857" s="6">
        <f>IF(OR($G9857="FCC",$G9857="Hydrocracker",$G9857="Reformer"),IF(COUNTIFS($D:$D,$D9857,$A:$A,$A9857,$B:$B,$B9857,$G:$G,"CDU",$J:$J,"PLANNED")&gt;0,"tied","standalone"),"")</f>
        <v/>
      </c>
    </row>
    <row r="9858" spans="6:14">
      <c r="F9858" s="6">
        <f>IF($M9858="PADD I","PADD 1",IF($M9858="PADD II","PADD 2",IF($M9858="PADD III","PADD 3",IF($M9858="PADD IV","PADD 4",IF($M9858="PADD V","PADD 5","")))))</f>
        <v/>
      </c>
      <c r="G9858" s="6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  <c r="N9858" s="6">
        <f>IF(OR($G9858="FCC",$G9858="Hydrocracker",$G9858="Reformer"),IF(COUNTIFS($D:$D,$D9858,$A:$A,$A9858,$B:$B,$B9858,$G:$G,"CDU",$J:$J,"PLANNED")&gt;0,"tied","standalone"),"")</f>
        <v/>
      </c>
    </row>
    <row r="9859" spans="6:14">
      <c r="F9859" s="6">
        <f>IF($M9859="PADD I","PADD 1",IF($M9859="PADD II","PADD 2",IF($M9859="PADD III","PADD 3",IF($M9859="PADD IV","PADD 4",IF($M9859="PADD V","PADD 5","")))))</f>
        <v/>
      </c>
      <c r="G9859" s="6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  <c r="N9859" s="6">
        <f>IF(OR($G9859="FCC",$G9859="Hydrocracker",$G9859="Reformer"),IF(COUNTIFS($D:$D,$D9859,$A:$A,$A9859,$B:$B,$B9859,$G:$G,"CDU",$J:$J,"PLANNED")&gt;0,"tied","standalone"),"")</f>
        <v/>
      </c>
    </row>
    <row r="9860" spans="6:14">
      <c r="F9860" s="6">
        <f>IF($M9860="PADD I","PADD 1",IF($M9860="PADD II","PADD 2",IF($M9860="PADD III","PADD 3",IF($M9860="PADD IV","PADD 4",IF($M9860="PADD V","PADD 5","")))))</f>
        <v/>
      </c>
      <c r="G9860" s="6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  <c r="N9860" s="6">
        <f>IF(OR($G9860="FCC",$G9860="Hydrocracker",$G9860="Reformer"),IF(COUNTIFS($D:$D,$D9860,$A:$A,$A9860,$B:$B,$B9860,$G:$G,"CDU",$J:$J,"PLANNED")&gt;0,"tied","standalone"),"")</f>
        <v/>
      </c>
    </row>
    <row r="9861" spans="6:14">
      <c r="F9861" s="6">
        <f>IF($M9861="PADD I","PADD 1",IF($M9861="PADD II","PADD 2",IF($M9861="PADD III","PADD 3",IF($M9861="PADD IV","PADD 4",IF($M9861="PADD V","PADD 5","")))))</f>
        <v/>
      </c>
      <c r="G9861" s="6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  <c r="N9861" s="6">
        <f>IF(OR($G9861="FCC",$G9861="Hydrocracker",$G9861="Reformer"),IF(COUNTIFS($D:$D,$D9861,$A:$A,$A9861,$B:$B,$B9861,$G:$G,"CDU",$J:$J,"PLANNED")&gt;0,"tied","standalone"),"")</f>
        <v/>
      </c>
    </row>
    <row r="9862" spans="6:14">
      <c r="F9862" s="6">
        <f>IF($M9862="PADD I","PADD 1",IF($M9862="PADD II","PADD 2",IF($M9862="PADD III","PADD 3",IF($M9862="PADD IV","PADD 4",IF($M9862="PADD V","PADD 5","")))))</f>
        <v/>
      </c>
      <c r="G9862" s="6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  <c r="N9862" s="6">
        <f>IF(OR($G9862="FCC",$G9862="Hydrocracker",$G9862="Reformer"),IF(COUNTIFS($D:$D,$D9862,$A:$A,$A9862,$B:$B,$B9862,$G:$G,"CDU",$J:$J,"PLANNED")&gt;0,"tied","standalone"),"")</f>
        <v/>
      </c>
    </row>
    <row r="9863" spans="6:14">
      <c r="F9863" s="6">
        <f>IF($M9863="PADD I","PADD 1",IF($M9863="PADD II","PADD 2",IF($M9863="PADD III","PADD 3",IF($M9863="PADD IV","PADD 4",IF($M9863="PADD V","PADD 5","")))))</f>
        <v/>
      </c>
      <c r="G9863" s="6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  <c r="N9863" s="6">
        <f>IF(OR($G9863="FCC",$G9863="Hydrocracker",$G9863="Reformer"),IF(COUNTIFS($D:$D,$D9863,$A:$A,$A9863,$B:$B,$B9863,$G:$G,"CDU",$J:$J,"PLANNED")&gt;0,"tied","standalone"),"")</f>
        <v/>
      </c>
    </row>
    <row r="9864" spans="6:14">
      <c r="F9864" s="6">
        <f>IF($M9864="PADD I","PADD 1",IF($M9864="PADD II","PADD 2",IF($M9864="PADD III","PADD 3",IF($M9864="PADD IV","PADD 4",IF($M9864="PADD V","PADD 5","")))))</f>
        <v/>
      </c>
      <c r="G9864" s="6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  <c r="N9864" s="6">
        <f>IF(OR($G9864="FCC",$G9864="Hydrocracker",$G9864="Reformer"),IF(COUNTIFS($D:$D,$D9864,$A:$A,$A9864,$B:$B,$B9864,$G:$G,"CDU",$J:$J,"PLANNED")&gt;0,"tied","standalone"),"")</f>
        <v/>
      </c>
    </row>
    <row r="9865" spans="6:14">
      <c r="F9865" s="6">
        <f>IF($M9865="PADD I","PADD 1",IF($M9865="PADD II","PADD 2",IF($M9865="PADD III","PADD 3",IF($M9865="PADD IV","PADD 4",IF($M9865="PADD V","PADD 5","")))))</f>
        <v/>
      </c>
      <c r="G9865" s="6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  <c r="N9865" s="6">
        <f>IF(OR($G9865="FCC",$G9865="Hydrocracker",$G9865="Reformer"),IF(COUNTIFS($D:$D,$D9865,$A:$A,$A9865,$B:$B,$B9865,$G:$G,"CDU",$J:$J,"PLANNED")&gt;0,"tied","standalone"),"")</f>
        <v/>
      </c>
    </row>
    <row r="9866" spans="6:14">
      <c r="F9866" s="6">
        <f>IF($M9866="PADD I","PADD 1",IF($M9866="PADD II","PADD 2",IF($M9866="PADD III","PADD 3",IF($M9866="PADD IV","PADD 4",IF($M9866="PADD V","PADD 5","")))))</f>
        <v/>
      </c>
      <c r="G9866" s="6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  <c r="N9866" s="6">
        <f>IF(OR($G9866="FCC",$G9866="Hydrocracker",$G9866="Reformer"),IF(COUNTIFS($D:$D,$D9866,$A:$A,$A9866,$B:$B,$B9866,$G:$G,"CDU",$J:$J,"PLANNED")&gt;0,"tied","standalone"),"")</f>
        <v/>
      </c>
    </row>
    <row r="9867" spans="6:14">
      <c r="F9867" s="6">
        <f>IF($M9867="PADD I","PADD 1",IF($M9867="PADD II","PADD 2",IF($M9867="PADD III","PADD 3",IF($M9867="PADD IV","PADD 4",IF($M9867="PADD V","PADD 5","")))))</f>
        <v/>
      </c>
      <c r="G9867" s="6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  <c r="N9867" s="6">
        <f>IF(OR($G9867="FCC",$G9867="Hydrocracker",$G9867="Reformer"),IF(COUNTIFS($D:$D,$D9867,$A:$A,$A9867,$B:$B,$B9867,$G:$G,"CDU",$J:$J,"PLANNED")&gt;0,"tied","standalone"),"")</f>
        <v/>
      </c>
    </row>
    <row r="9868" spans="6:14">
      <c r="F9868" s="6">
        <f>IF($M9868="PADD I","PADD 1",IF($M9868="PADD II","PADD 2",IF($M9868="PADD III","PADD 3",IF($M9868="PADD IV","PADD 4",IF($M9868="PADD V","PADD 5","")))))</f>
        <v/>
      </c>
      <c r="G9868" s="6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  <c r="N9868" s="6">
        <f>IF(OR($G9868="FCC",$G9868="Hydrocracker",$G9868="Reformer"),IF(COUNTIFS($D:$D,$D9868,$A:$A,$A9868,$B:$B,$B9868,$G:$G,"CDU",$J:$J,"PLANNED")&gt;0,"tied","standalone"),"")</f>
        <v/>
      </c>
    </row>
    <row r="9869" spans="6:14">
      <c r="F9869" s="6">
        <f>IF($M9869="PADD I","PADD 1",IF($M9869="PADD II","PADD 2",IF($M9869="PADD III","PADD 3",IF($M9869="PADD IV","PADD 4",IF($M9869="PADD V","PADD 5","")))))</f>
        <v/>
      </c>
      <c r="G9869" s="6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  <c r="N9869" s="6">
        <f>IF(OR($G9869="FCC",$G9869="Hydrocracker",$G9869="Reformer"),IF(COUNTIFS($D:$D,$D9869,$A:$A,$A9869,$B:$B,$B9869,$G:$G,"CDU",$J:$J,"PLANNED")&gt;0,"tied","standalone"),"")</f>
        <v/>
      </c>
    </row>
    <row r="9870" spans="6:14">
      <c r="F9870" s="6">
        <f>IF($M9870="PADD I","PADD 1",IF($M9870="PADD II","PADD 2",IF($M9870="PADD III","PADD 3",IF($M9870="PADD IV","PADD 4",IF($M9870="PADD V","PADD 5","")))))</f>
        <v/>
      </c>
      <c r="G9870" s="6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  <c r="N9870" s="6">
        <f>IF(OR($G9870="FCC",$G9870="Hydrocracker",$G9870="Reformer"),IF(COUNTIFS($D:$D,$D9870,$A:$A,$A9870,$B:$B,$B9870,$G:$G,"CDU",$J:$J,"PLANNED")&gt;0,"tied","standalone"),"")</f>
        <v/>
      </c>
    </row>
    <row r="9871" spans="6:14">
      <c r="F9871" s="6">
        <f>IF($M9871="PADD I","PADD 1",IF($M9871="PADD II","PADD 2",IF($M9871="PADD III","PADD 3",IF($M9871="PADD IV","PADD 4",IF($M9871="PADD V","PADD 5","")))))</f>
        <v/>
      </c>
      <c r="G9871" s="6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  <c r="N9871" s="6">
        <f>IF(OR($G9871="FCC",$G9871="Hydrocracker",$G9871="Reformer"),IF(COUNTIFS($D:$D,$D9871,$A:$A,$A9871,$B:$B,$B9871,$G:$G,"CDU",$J:$J,"PLANNED")&gt;0,"tied","standalone"),"")</f>
        <v/>
      </c>
    </row>
    <row r="9872" spans="6:14">
      <c r="F9872" s="6">
        <f>IF($M9872="PADD I","PADD 1",IF($M9872="PADD II","PADD 2",IF($M9872="PADD III","PADD 3",IF($M9872="PADD IV","PADD 4",IF($M9872="PADD V","PADD 5","")))))</f>
        <v/>
      </c>
      <c r="G9872" s="6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  <c r="N9872" s="6">
        <f>IF(OR($G9872="FCC",$G9872="Hydrocracker",$G9872="Reformer"),IF(COUNTIFS($D:$D,$D9872,$A:$A,$A9872,$B:$B,$B9872,$G:$G,"CDU",$J:$J,"PLANNED")&gt;0,"tied","standalone"),"")</f>
        <v/>
      </c>
    </row>
    <row r="9873" spans="6:14">
      <c r="F9873" s="6">
        <f>IF($M9873="PADD I","PADD 1",IF($M9873="PADD II","PADD 2",IF($M9873="PADD III","PADD 3",IF($M9873="PADD IV","PADD 4",IF($M9873="PADD V","PADD 5","")))))</f>
        <v/>
      </c>
      <c r="G9873" s="6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  <c r="N9873" s="6">
        <f>IF(OR($G9873="FCC",$G9873="Hydrocracker",$G9873="Reformer"),IF(COUNTIFS($D:$D,$D9873,$A:$A,$A9873,$B:$B,$B9873,$G:$G,"CDU",$J:$J,"PLANNED")&gt;0,"tied","standalone"),"")</f>
        <v/>
      </c>
    </row>
    <row r="9874" spans="6:14">
      <c r="F9874" s="6">
        <f>IF($M9874="PADD I","PADD 1",IF($M9874="PADD II","PADD 2",IF($M9874="PADD III","PADD 3",IF($M9874="PADD IV","PADD 4",IF($M9874="PADD V","PADD 5","")))))</f>
        <v/>
      </c>
      <c r="G9874" s="6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  <c r="N9874" s="6">
        <f>IF(OR($G9874="FCC",$G9874="Hydrocracker",$G9874="Reformer"),IF(COUNTIFS($D:$D,$D9874,$A:$A,$A9874,$B:$B,$B9874,$G:$G,"CDU",$J:$J,"PLANNED")&gt;0,"tied","standalone"),"")</f>
        <v/>
      </c>
    </row>
    <row r="9875" spans="6:14">
      <c r="F9875" s="6">
        <f>IF($M9875="PADD I","PADD 1",IF($M9875="PADD II","PADD 2",IF($M9875="PADD III","PADD 3",IF($M9875="PADD IV","PADD 4",IF($M9875="PADD V","PADD 5","")))))</f>
        <v/>
      </c>
      <c r="G9875" s="6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  <c r="N9875" s="6">
        <f>IF(OR($G9875="FCC",$G9875="Hydrocracker",$G9875="Reformer"),IF(COUNTIFS($D:$D,$D9875,$A:$A,$A9875,$B:$B,$B9875,$G:$G,"CDU",$J:$J,"PLANNED")&gt;0,"tied","standalone"),"")</f>
        <v/>
      </c>
    </row>
    <row r="9876" spans="6:14">
      <c r="F9876" s="6">
        <f>IF($M9876="PADD I","PADD 1",IF($M9876="PADD II","PADD 2",IF($M9876="PADD III","PADD 3",IF($M9876="PADD IV","PADD 4",IF($M9876="PADD V","PADD 5","")))))</f>
        <v/>
      </c>
      <c r="G9876" s="6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  <c r="N9876" s="6">
        <f>IF(OR($G9876="FCC",$G9876="Hydrocracker",$G9876="Reformer"),IF(COUNTIFS($D:$D,$D9876,$A:$A,$A9876,$B:$B,$B9876,$G:$G,"CDU",$J:$J,"PLANNED")&gt;0,"tied","standalone"),"")</f>
        <v/>
      </c>
    </row>
    <row r="9877" spans="6:14">
      <c r="F9877" s="6">
        <f>IF($M9877="PADD I","PADD 1",IF($M9877="PADD II","PADD 2",IF($M9877="PADD III","PADD 3",IF($M9877="PADD IV","PADD 4",IF($M9877="PADD V","PADD 5","")))))</f>
        <v/>
      </c>
      <c r="G9877" s="6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  <c r="N9877" s="6">
        <f>IF(OR($G9877="FCC",$G9877="Hydrocracker",$G9877="Reformer"),IF(COUNTIFS($D:$D,$D9877,$A:$A,$A9877,$B:$B,$B9877,$G:$G,"CDU",$J:$J,"PLANNED")&gt;0,"tied","standalone"),"")</f>
        <v/>
      </c>
    </row>
    <row r="9878" spans="6:14">
      <c r="F9878" s="6">
        <f>IF($M9878="PADD I","PADD 1",IF($M9878="PADD II","PADD 2",IF($M9878="PADD III","PADD 3",IF($M9878="PADD IV","PADD 4",IF($M9878="PADD V","PADD 5","")))))</f>
        <v/>
      </c>
      <c r="G9878" s="6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  <c r="N9878" s="6">
        <f>IF(OR($G9878="FCC",$G9878="Hydrocracker",$G9878="Reformer"),IF(COUNTIFS($D:$D,$D9878,$A:$A,$A9878,$B:$B,$B9878,$G:$G,"CDU",$J:$J,"PLANNED")&gt;0,"tied","standalone"),"")</f>
        <v/>
      </c>
    </row>
    <row r="9879" spans="6:14">
      <c r="F9879" s="6">
        <f>IF($M9879="PADD I","PADD 1",IF($M9879="PADD II","PADD 2",IF($M9879="PADD III","PADD 3",IF($M9879="PADD IV","PADD 4",IF($M9879="PADD V","PADD 5","")))))</f>
        <v/>
      </c>
      <c r="G9879" s="6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  <c r="N9879" s="6">
        <f>IF(OR($G9879="FCC",$G9879="Hydrocracker",$G9879="Reformer"),IF(COUNTIFS($D:$D,$D9879,$A:$A,$A9879,$B:$B,$B9879,$G:$G,"CDU",$J:$J,"PLANNED")&gt;0,"tied","standalone"),"")</f>
        <v/>
      </c>
    </row>
    <row r="9880" spans="6:14">
      <c r="F9880" s="6">
        <f>IF($M9880="PADD I","PADD 1",IF($M9880="PADD II","PADD 2",IF($M9880="PADD III","PADD 3",IF($M9880="PADD IV","PADD 4",IF($M9880="PADD V","PADD 5","")))))</f>
        <v/>
      </c>
      <c r="G9880" s="6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  <c r="N9880" s="6">
        <f>IF(OR($G9880="FCC",$G9880="Hydrocracker",$G9880="Reformer"),IF(COUNTIFS($D:$D,$D9880,$A:$A,$A9880,$B:$B,$B9880,$G:$G,"CDU",$J:$J,"PLANNED")&gt;0,"tied","standalone"),"")</f>
        <v/>
      </c>
    </row>
    <row r="9881" spans="6:14">
      <c r="F9881" s="6">
        <f>IF($M9881="PADD I","PADD 1",IF($M9881="PADD II","PADD 2",IF($M9881="PADD III","PADD 3",IF($M9881="PADD IV","PADD 4",IF($M9881="PADD V","PADD 5","")))))</f>
        <v/>
      </c>
      <c r="G9881" s="6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  <c r="N9881" s="6">
        <f>IF(OR($G9881="FCC",$G9881="Hydrocracker",$G9881="Reformer"),IF(COUNTIFS($D:$D,$D9881,$A:$A,$A9881,$B:$B,$B9881,$G:$G,"CDU",$J:$J,"PLANNED")&gt;0,"tied","standalone"),"")</f>
        <v/>
      </c>
    </row>
    <row r="9882" spans="6:14">
      <c r="F9882" s="6">
        <f>IF($M9882="PADD I","PADD 1",IF($M9882="PADD II","PADD 2",IF($M9882="PADD III","PADD 3",IF($M9882="PADD IV","PADD 4",IF($M9882="PADD V","PADD 5","")))))</f>
        <v/>
      </c>
      <c r="G9882" s="6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  <c r="N9882" s="6">
        <f>IF(OR($G9882="FCC",$G9882="Hydrocracker",$G9882="Reformer"),IF(COUNTIFS($D:$D,$D9882,$A:$A,$A9882,$B:$B,$B9882,$G:$G,"CDU",$J:$J,"PLANNED")&gt;0,"tied","standalone"),"")</f>
        <v/>
      </c>
    </row>
    <row r="9883" spans="6:14">
      <c r="F9883" s="6">
        <f>IF($M9883="PADD I","PADD 1",IF($M9883="PADD II","PADD 2",IF($M9883="PADD III","PADD 3",IF($M9883="PADD IV","PADD 4",IF($M9883="PADD V","PADD 5","")))))</f>
        <v/>
      </c>
      <c r="G9883" s="6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  <c r="N9883" s="6">
        <f>IF(OR($G9883="FCC",$G9883="Hydrocracker",$G9883="Reformer"),IF(COUNTIFS($D:$D,$D9883,$A:$A,$A9883,$B:$B,$B9883,$G:$G,"CDU",$J:$J,"PLANNED")&gt;0,"tied","standalone"),"")</f>
        <v/>
      </c>
    </row>
    <row r="9884" spans="6:14">
      <c r="F9884" s="6">
        <f>IF($M9884="PADD I","PADD 1",IF($M9884="PADD II","PADD 2",IF($M9884="PADD III","PADD 3",IF($M9884="PADD IV","PADD 4",IF($M9884="PADD V","PADD 5","")))))</f>
        <v/>
      </c>
      <c r="G9884" s="6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  <c r="N9884" s="6">
        <f>IF(OR($G9884="FCC",$G9884="Hydrocracker",$G9884="Reformer"),IF(COUNTIFS($D:$D,$D9884,$A:$A,$A9884,$B:$B,$B9884,$G:$G,"CDU",$J:$J,"PLANNED")&gt;0,"tied","standalone"),"")</f>
        <v/>
      </c>
    </row>
    <row r="9885" spans="6:14">
      <c r="F9885" s="6">
        <f>IF($M9885="PADD I","PADD 1",IF($M9885="PADD II","PADD 2",IF($M9885="PADD III","PADD 3",IF($M9885="PADD IV","PADD 4",IF($M9885="PADD V","PADD 5","")))))</f>
        <v/>
      </c>
      <c r="G9885" s="6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  <c r="N9885" s="6">
        <f>IF(OR($G9885="FCC",$G9885="Hydrocracker",$G9885="Reformer"),IF(COUNTIFS($D:$D,$D9885,$A:$A,$A9885,$B:$B,$B9885,$G:$G,"CDU",$J:$J,"PLANNED")&gt;0,"tied","standalone"),"")</f>
        <v/>
      </c>
    </row>
    <row r="9886" spans="6:14">
      <c r="F9886" s="6">
        <f>IF($M9886="PADD I","PADD 1",IF($M9886="PADD II","PADD 2",IF($M9886="PADD III","PADD 3",IF($M9886="PADD IV","PADD 4",IF($M9886="PADD V","PADD 5","")))))</f>
        <v/>
      </c>
      <c r="G9886" s="6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  <c r="N9886" s="6">
        <f>IF(OR($G9886="FCC",$G9886="Hydrocracker",$G9886="Reformer"),IF(COUNTIFS($D:$D,$D9886,$A:$A,$A9886,$B:$B,$B9886,$G:$G,"CDU",$J:$J,"PLANNED")&gt;0,"tied","standalone"),"")</f>
        <v/>
      </c>
    </row>
    <row r="9887" spans="6:14">
      <c r="F9887" s="6">
        <f>IF($M9887="PADD I","PADD 1",IF($M9887="PADD II","PADD 2",IF($M9887="PADD III","PADD 3",IF($M9887="PADD IV","PADD 4",IF($M9887="PADD V","PADD 5","")))))</f>
        <v/>
      </c>
      <c r="G9887" s="6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  <c r="N9887" s="6">
        <f>IF(OR($G9887="FCC",$G9887="Hydrocracker",$G9887="Reformer"),IF(COUNTIFS($D:$D,$D9887,$A:$A,$A9887,$B:$B,$B9887,$G:$G,"CDU",$J:$J,"PLANNED")&gt;0,"tied","standalone"),"")</f>
        <v/>
      </c>
    </row>
    <row r="9888" spans="6:14">
      <c r="F9888" s="6">
        <f>IF($M9888="PADD I","PADD 1",IF($M9888="PADD II","PADD 2",IF($M9888="PADD III","PADD 3",IF($M9888="PADD IV","PADD 4",IF($M9888="PADD V","PADD 5","")))))</f>
        <v/>
      </c>
      <c r="G9888" s="6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  <c r="N9888" s="6">
        <f>IF(OR($G9888="FCC",$G9888="Hydrocracker",$G9888="Reformer"),IF(COUNTIFS($D:$D,$D9888,$A:$A,$A9888,$B:$B,$B9888,$G:$G,"CDU",$J:$J,"PLANNED")&gt;0,"tied","standalone"),"")</f>
        <v/>
      </c>
    </row>
    <row r="9889" spans="6:14">
      <c r="F9889" s="6">
        <f>IF($M9889="PADD I","PADD 1",IF($M9889="PADD II","PADD 2",IF($M9889="PADD III","PADD 3",IF($M9889="PADD IV","PADD 4",IF($M9889="PADD V","PADD 5","")))))</f>
        <v/>
      </c>
      <c r="G9889" s="6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  <c r="N9889" s="6">
        <f>IF(OR($G9889="FCC",$G9889="Hydrocracker",$G9889="Reformer"),IF(COUNTIFS($D:$D,$D9889,$A:$A,$A9889,$B:$B,$B9889,$G:$G,"CDU",$J:$J,"PLANNED")&gt;0,"tied","standalone"),"")</f>
        <v/>
      </c>
    </row>
    <row r="9890" spans="6:14">
      <c r="F9890" s="6">
        <f>IF($M9890="PADD I","PADD 1",IF($M9890="PADD II","PADD 2",IF($M9890="PADD III","PADD 3",IF($M9890="PADD IV","PADD 4",IF($M9890="PADD V","PADD 5","")))))</f>
        <v/>
      </c>
      <c r="G9890" s="6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  <c r="N9890" s="6">
        <f>IF(OR($G9890="FCC",$G9890="Hydrocracker",$G9890="Reformer"),IF(COUNTIFS($D:$D,$D9890,$A:$A,$A9890,$B:$B,$B9890,$G:$G,"CDU",$J:$J,"PLANNED")&gt;0,"tied","standalone"),"")</f>
        <v/>
      </c>
    </row>
    <row r="9891" spans="6:14">
      <c r="F9891" s="6">
        <f>IF($M9891="PADD I","PADD 1",IF($M9891="PADD II","PADD 2",IF($M9891="PADD III","PADD 3",IF($M9891="PADD IV","PADD 4",IF($M9891="PADD V","PADD 5","")))))</f>
        <v/>
      </c>
      <c r="G9891" s="6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  <c r="N9891" s="6">
        <f>IF(OR($G9891="FCC",$G9891="Hydrocracker",$G9891="Reformer"),IF(COUNTIFS($D:$D,$D9891,$A:$A,$A9891,$B:$B,$B9891,$G:$G,"CDU",$J:$J,"PLANNED")&gt;0,"tied","standalone"),"")</f>
        <v/>
      </c>
    </row>
    <row r="9892" spans="6:14">
      <c r="F9892" s="6">
        <f>IF($M9892="PADD I","PADD 1",IF($M9892="PADD II","PADD 2",IF($M9892="PADD III","PADD 3",IF($M9892="PADD IV","PADD 4",IF($M9892="PADD V","PADD 5","")))))</f>
        <v/>
      </c>
      <c r="G9892" s="6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  <c r="N9892" s="6">
        <f>IF(OR($G9892="FCC",$G9892="Hydrocracker",$G9892="Reformer"),IF(COUNTIFS($D:$D,$D9892,$A:$A,$A9892,$B:$B,$B9892,$G:$G,"CDU",$J:$J,"PLANNED")&gt;0,"tied","standalone"),"")</f>
        <v/>
      </c>
    </row>
    <row r="9893" spans="6:14">
      <c r="F9893" s="6">
        <f>IF($M9893="PADD I","PADD 1",IF($M9893="PADD II","PADD 2",IF($M9893="PADD III","PADD 3",IF($M9893="PADD IV","PADD 4",IF($M9893="PADD V","PADD 5","")))))</f>
        <v/>
      </c>
      <c r="G9893" s="6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  <c r="N9893" s="6">
        <f>IF(OR($G9893="FCC",$G9893="Hydrocracker",$G9893="Reformer"),IF(COUNTIFS($D:$D,$D9893,$A:$A,$A9893,$B:$B,$B9893,$G:$G,"CDU",$J:$J,"PLANNED")&gt;0,"tied","standalone"),"")</f>
        <v/>
      </c>
    </row>
    <row r="9894" spans="6:14">
      <c r="F9894" s="6">
        <f>IF($M9894="PADD I","PADD 1",IF($M9894="PADD II","PADD 2",IF($M9894="PADD III","PADD 3",IF($M9894="PADD IV","PADD 4",IF($M9894="PADD V","PADD 5","")))))</f>
        <v/>
      </c>
      <c r="G9894" s="6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  <c r="N9894" s="6">
        <f>IF(OR($G9894="FCC",$G9894="Hydrocracker",$G9894="Reformer"),IF(COUNTIFS($D:$D,$D9894,$A:$A,$A9894,$B:$B,$B9894,$G:$G,"CDU",$J:$J,"PLANNED")&gt;0,"tied","standalone"),"")</f>
        <v/>
      </c>
    </row>
    <row r="9895" spans="6:14">
      <c r="F9895" s="6">
        <f>IF($M9895="PADD I","PADD 1",IF($M9895="PADD II","PADD 2",IF($M9895="PADD III","PADD 3",IF($M9895="PADD IV","PADD 4",IF($M9895="PADD V","PADD 5","")))))</f>
        <v/>
      </c>
      <c r="G9895" s="6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  <c r="N9895" s="6">
        <f>IF(OR($G9895="FCC",$G9895="Hydrocracker",$G9895="Reformer"),IF(COUNTIFS($D:$D,$D9895,$A:$A,$A9895,$B:$B,$B9895,$G:$G,"CDU",$J:$J,"PLANNED")&gt;0,"tied","standalone"),"")</f>
        <v/>
      </c>
    </row>
    <row r="9896" spans="6:14">
      <c r="F9896" s="6">
        <f>IF($M9896="PADD I","PADD 1",IF($M9896="PADD II","PADD 2",IF($M9896="PADD III","PADD 3",IF($M9896="PADD IV","PADD 4",IF($M9896="PADD V","PADD 5","")))))</f>
        <v/>
      </c>
      <c r="G9896" s="6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  <c r="N9896" s="6">
        <f>IF(OR($G9896="FCC",$G9896="Hydrocracker",$G9896="Reformer"),IF(COUNTIFS($D:$D,$D9896,$A:$A,$A9896,$B:$B,$B9896,$G:$G,"CDU",$J:$J,"PLANNED")&gt;0,"tied","standalone"),"")</f>
        <v/>
      </c>
    </row>
    <row r="9897" spans="6:14">
      <c r="F9897" s="6">
        <f>IF($M9897="PADD I","PADD 1",IF($M9897="PADD II","PADD 2",IF($M9897="PADD III","PADD 3",IF($M9897="PADD IV","PADD 4",IF($M9897="PADD V","PADD 5","")))))</f>
        <v/>
      </c>
      <c r="G9897" s="6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  <c r="N9897" s="6">
        <f>IF(OR($G9897="FCC",$G9897="Hydrocracker",$G9897="Reformer"),IF(COUNTIFS($D:$D,$D9897,$A:$A,$A9897,$B:$B,$B9897,$G:$G,"CDU",$J:$J,"PLANNED")&gt;0,"tied","standalone"),"")</f>
        <v/>
      </c>
    </row>
    <row r="9898" spans="6:14">
      <c r="F9898" s="6">
        <f>IF($M9898="PADD I","PADD 1",IF($M9898="PADD II","PADD 2",IF($M9898="PADD III","PADD 3",IF($M9898="PADD IV","PADD 4",IF($M9898="PADD V","PADD 5","")))))</f>
        <v/>
      </c>
      <c r="G9898" s="6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  <c r="N9898" s="6">
        <f>IF(OR($G9898="FCC",$G9898="Hydrocracker",$G9898="Reformer"),IF(COUNTIFS($D:$D,$D9898,$A:$A,$A9898,$B:$B,$B9898,$G:$G,"CDU",$J:$J,"PLANNED")&gt;0,"tied","standalone"),"")</f>
        <v/>
      </c>
    </row>
    <row r="9899" spans="6:14">
      <c r="F9899" s="6">
        <f>IF($M9899="PADD I","PADD 1",IF($M9899="PADD II","PADD 2",IF($M9899="PADD III","PADD 3",IF($M9899="PADD IV","PADD 4",IF($M9899="PADD V","PADD 5","")))))</f>
        <v/>
      </c>
      <c r="G9899" s="6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  <c r="N9899" s="6">
        <f>IF(OR($G9899="FCC",$G9899="Hydrocracker",$G9899="Reformer"),IF(COUNTIFS($D:$D,$D9899,$A:$A,$A9899,$B:$B,$B9899,$G:$G,"CDU",$J:$J,"PLANNED")&gt;0,"tied","standalone"),"")</f>
        <v/>
      </c>
    </row>
    <row r="9900" spans="6:14">
      <c r="F9900" s="6">
        <f>IF($M9900="PADD I","PADD 1",IF($M9900="PADD II","PADD 2",IF($M9900="PADD III","PADD 3",IF($M9900="PADD IV","PADD 4",IF($M9900="PADD V","PADD 5","")))))</f>
        <v/>
      </c>
      <c r="G9900" s="6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  <c r="N9900" s="6">
        <f>IF(OR($G9900="FCC",$G9900="Hydrocracker",$G9900="Reformer"),IF(COUNTIFS($D:$D,$D9900,$A:$A,$A9900,$B:$B,$B9900,$G:$G,"CDU",$J:$J,"PLANNED")&gt;0,"tied","standalone"),"")</f>
        <v/>
      </c>
    </row>
    <row r="9901" spans="6:14">
      <c r="F9901" s="6">
        <f>IF($M9901="PADD I","PADD 1",IF($M9901="PADD II","PADD 2",IF($M9901="PADD III","PADD 3",IF($M9901="PADD IV","PADD 4",IF($M9901="PADD V","PADD 5","")))))</f>
        <v/>
      </c>
      <c r="G9901" s="6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  <c r="N9901" s="6">
        <f>IF(OR($G9901="FCC",$G9901="Hydrocracker",$G9901="Reformer"),IF(COUNTIFS($D:$D,$D9901,$A:$A,$A9901,$B:$B,$B9901,$G:$G,"CDU",$J:$J,"PLANNED")&gt;0,"tied","standalone"),"")</f>
        <v/>
      </c>
    </row>
    <row r="9902" spans="6:14">
      <c r="F9902" s="6">
        <f>IF($M9902="PADD I","PADD 1",IF($M9902="PADD II","PADD 2",IF($M9902="PADD III","PADD 3",IF($M9902="PADD IV","PADD 4",IF($M9902="PADD V","PADD 5","")))))</f>
        <v/>
      </c>
      <c r="G9902" s="6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  <c r="N9902" s="6">
        <f>IF(OR($G9902="FCC",$G9902="Hydrocracker",$G9902="Reformer"),IF(COUNTIFS($D:$D,$D9902,$A:$A,$A9902,$B:$B,$B9902,$G:$G,"CDU",$J:$J,"PLANNED")&gt;0,"tied","standalone"),"")</f>
        <v/>
      </c>
    </row>
    <row r="9903" spans="6:14">
      <c r="F9903" s="6">
        <f>IF($M9903="PADD I","PADD 1",IF($M9903="PADD II","PADD 2",IF($M9903="PADD III","PADD 3",IF($M9903="PADD IV","PADD 4",IF($M9903="PADD V","PADD 5","")))))</f>
        <v/>
      </c>
      <c r="G9903" s="6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  <c r="N9903" s="6">
        <f>IF(OR($G9903="FCC",$G9903="Hydrocracker",$G9903="Reformer"),IF(COUNTIFS($D:$D,$D9903,$A:$A,$A9903,$B:$B,$B9903,$G:$G,"CDU",$J:$J,"PLANNED")&gt;0,"tied","standalone"),"")</f>
        <v/>
      </c>
    </row>
    <row r="9904" spans="6:14">
      <c r="F9904" s="6">
        <f>IF($M9904="PADD I","PADD 1",IF($M9904="PADD II","PADD 2",IF($M9904="PADD III","PADD 3",IF($M9904="PADD IV","PADD 4",IF($M9904="PADD V","PADD 5","")))))</f>
        <v/>
      </c>
      <c r="G9904" s="6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  <c r="N9904" s="6">
        <f>IF(OR($G9904="FCC",$G9904="Hydrocracker",$G9904="Reformer"),IF(COUNTIFS($D:$D,$D9904,$A:$A,$A9904,$B:$B,$B9904,$G:$G,"CDU",$J:$J,"PLANNED")&gt;0,"tied","standalone"),"")</f>
        <v/>
      </c>
    </row>
    <row r="9905" spans="6:14">
      <c r="F9905" s="6">
        <f>IF($M9905="PADD I","PADD 1",IF($M9905="PADD II","PADD 2",IF($M9905="PADD III","PADD 3",IF($M9905="PADD IV","PADD 4",IF($M9905="PADD V","PADD 5","")))))</f>
        <v/>
      </c>
      <c r="G9905" s="6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  <c r="N9905" s="6">
        <f>IF(OR($G9905="FCC",$G9905="Hydrocracker",$G9905="Reformer"),IF(COUNTIFS($D:$D,$D9905,$A:$A,$A9905,$B:$B,$B9905,$G:$G,"CDU",$J:$J,"PLANNED")&gt;0,"tied","standalone"),"")</f>
        <v/>
      </c>
    </row>
    <row r="9906" spans="6:14">
      <c r="F9906" s="6">
        <f>IF($M9906="PADD I","PADD 1",IF($M9906="PADD II","PADD 2",IF($M9906="PADD III","PADD 3",IF($M9906="PADD IV","PADD 4",IF($M9906="PADD V","PADD 5","")))))</f>
        <v/>
      </c>
      <c r="G9906" s="6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  <c r="N9906" s="6">
        <f>IF(OR($G9906="FCC",$G9906="Hydrocracker",$G9906="Reformer"),IF(COUNTIFS($D:$D,$D9906,$A:$A,$A9906,$B:$B,$B9906,$G:$G,"CDU",$J:$J,"PLANNED")&gt;0,"tied","standalone"),"")</f>
        <v/>
      </c>
    </row>
    <row r="9907" spans="6:14">
      <c r="F9907" s="6">
        <f>IF($M9907="PADD I","PADD 1",IF($M9907="PADD II","PADD 2",IF($M9907="PADD III","PADD 3",IF($M9907="PADD IV","PADD 4",IF($M9907="PADD V","PADD 5","")))))</f>
        <v/>
      </c>
      <c r="G9907" s="6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  <c r="N9907" s="6">
        <f>IF(OR($G9907="FCC",$G9907="Hydrocracker",$G9907="Reformer"),IF(COUNTIFS($D:$D,$D9907,$A:$A,$A9907,$B:$B,$B9907,$G:$G,"CDU",$J:$J,"PLANNED")&gt;0,"tied","standalone"),"")</f>
        <v/>
      </c>
    </row>
    <row r="9908" spans="6:14">
      <c r="F9908" s="6">
        <f>IF($M9908="PADD I","PADD 1",IF($M9908="PADD II","PADD 2",IF($M9908="PADD III","PADD 3",IF($M9908="PADD IV","PADD 4",IF($M9908="PADD V","PADD 5","")))))</f>
        <v/>
      </c>
      <c r="G9908" s="6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  <c r="N9908" s="6">
        <f>IF(OR($G9908="FCC",$G9908="Hydrocracker",$G9908="Reformer"),IF(COUNTIFS($D:$D,$D9908,$A:$A,$A9908,$B:$B,$B9908,$G:$G,"CDU",$J:$J,"PLANNED")&gt;0,"tied","standalone"),"")</f>
        <v/>
      </c>
    </row>
    <row r="9909" spans="6:14">
      <c r="F9909" s="6">
        <f>IF($M9909="PADD I","PADD 1",IF($M9909="PADD II","PADD 2",IF($M9909="PADD III","PADD 3",IF($M9909="PADD IV","PADD 4",IF($M9909="PADD V","PADD 5","")))))</f>
        <v/>
      </c>
      <c r="G9909" s="6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  <c r="N9909" s="6">
        <f>IF(OR($G9909="FCC",$G9909="Hydrocracker",$G9909="Reformer"),IF(COUNTIFS($D:$D,$D9909,$A:$A,$A9909,$B:$B,$B9909,$G:$G,"CDU",$J:$J,"PLANNED")&gt;0,"tied","standalone"),"")</f>
        <v/>
      </c>
    </row>
    <row r="9910" spans="6:14">
      <c r="F9910" s="6">
        <f>IF($M9910="PADD I","PADD 1",IF($M9910="PADD II","PADD 2",IF($M9910="PADD III","PADD 3",IF($M9910="PADD IV","PADD 4",IF($M9910="PADD V","PADD 5","")))))</f>
        <v/>
      </c>
      <c r="G9910" s="6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  <c r="N9910" s="6">
        <f>IF(OR($G9910="FCC",$G9910="Hydrocracker",$G9910="Reformer"),IF(COUNTIFS($D:$D,$D9910,$A:$A,$A9910,$B:$B,$B9910,$G:$G,"CDU",$J:$J,"PLANNED")&gt;0,"tied","standalone"),"")</f>
        <v/>
      </c>
    </row>
    <row r="9911" spans="6:14">
      <c r="F9911" s="6">
        <f>IF($M9911="PADD I","PADD 1",IF($M9911="PADD II","PADD 2",IF($M9911="PADD III","PADD 3",IF($M9911="PADD IV","PADD 4",IF($M9911="PADD V","PADD 5","")))))</f>
        <v/>
      </c>
      <c r="G9911" s="6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  <c r="N9911" s="6">
        <f>IF(OR($G9911="FCC",$G9911="Hydrocracker",$G9911="Reformer"),IF(COUNTIFS($D:$D,$D9911,$A:$A,$A9911,$B:$B,$B9911,$G:$G,"CDU",$J:$J,"PLANNED")&gt;0,"tied","standalone"),"")</f>
        <v/>
      </c>
    </row>
    <row r="9912" spans="6:14">
      <c r="F9912" s="6">
        <f>IF($M9912="PADD I","PADD 1",IF($M9912="PADD II","PADD 2",IF($M9912="PADD III","PADD 3",IF($M9912="PADD IV","PADD 4",IF($M9912="PADD V","PADD 5","")))))</f>
        <v/>
      </c>
      <c r="G9912" s="6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  <c r="N9912" s="6">
        <f>IF(OR($G9912="FCC",$G9912="Hydrocracker",$G9912="Reformer"),IF(COUNTIFS($D:$D,$D9912,$A:$A,$A9912,$B:$B,$B9912,$G:$G,"CDU",$J:$J,"PLANNED")&gt;0,"tied","standalone"),"")</f>
        <v/>
      </c>
    </row>
    <row r="9913" spans="6:14">
      <c r="F9913" s="6">
        <f>IF($M9913="PADD I","PADD 1",IF($M9913="PADD II","PADD 2",IF($M9913="PADD III","PADD 3",IF($M9913="PADD IV","PADD 4",IF($M9913="PADD V","PADD 5","")))))</f>
        <v/>
      </c>
      <c r="G9913" s="6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  <c r="N9913" s="6">
        <f>IF(OR($G9913="FCC",$G9913="Hydrocracker",$G9913="Reformer"),IF(COUNTIFS($D:$D,$D9913,$A:$A,$A9913,$B:$B,$B9913,$G:$G,"CDU",$J:$J,"PLANNED")&gt;0,"tied","standalone"),"")</f>
        <v/>
      </c>
    </row>
    <row r="9914" spans="6:14">
      <c r="F9914" s="6">
        <f>IF($M9914="PADD I","PADD 1",IF($M9914="PADD II","PADD 2",IF($M9914="PADD III","PADD 3",IF($M9914="PADD IV","PADD 4",IF($M9914="PADD V","PADD 5","")))))</f>
        <v/>
      </c>
      <c r="G9914" s="6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  <c r="N9914" s="6">
        <f>IF(OR($G9914="FCC",$G9914="Hydrocracker",$G9914="Reformer"),IF(COUNTIFS($D:$D,$D9914,$A:$A,$A9914,$B:$B,$B9914,$G:$G,"CDU",$J:$J,"PLANNED")&gt;0,"tied","standalone"),"")</f>
        <v/>
      </c>
    </row>
    <row r="9915" spans="6:14">
      <c r="F9915" s="6">
        <f>IF($M9915="PADD I","PADD 1",IF($M9915="PADD II","PADD 2",IF($M9915="PADD III","PADD 3",IF($M9915="PADD IV","PADD 4",IF($M9915="PADD V","PADD 5","")))))</f>
        <v/>
      </c>
      <c r="G9915" s="6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  <c r="N9915" s="6">
        <f>IF(OR($G9915="FCC",$G9915="Hydrocracker",$G9915="Reformer"),IF(COUNTIFS($D:$D,$D9915,$A:$A,$A9915,$B:$B,$B9915,$G:$G,"CDU",$J:$J,"PLANNED")&gt;0,"tied","standalone"),"")</f>
        <v/>
      </c>
    </row>
    <row r="9916" spans="6:14">
      <c r="F9916" s="6">
        <f>IF($M9916="PADD I","PADD 1",IF($M9916="PADD II","PADD 2",IF($M9916="PADD III","PADD 3",IF($M9916="PADD IV","PADD 4",IF($M9916="PADD V","PADD 5","")))))</f>
        <v/>
      </c>
      <c r="G9916" s="6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  <c r="N9916" s="6">
        <f>IF(OR($G9916="FCC",$G9916="Hydrocracker",$G9916="Reformer"),IF(COUNTIFS($D:$D,$D9916,$A:$A,$A9916,$B:$B,$B9916,$G:$G,"CDU",$J:$J,"PLANNED")&gt;0,"tied","standalone"),"")</f>
        <v/>
      </c>
    </row>
    <row r="9917" spans="6:14">
      <c r="F9917" s="6">
        <f>IF($M9917="PADD I","PADD 1",IF($M9917="PADD II","PADD 2",IF($M9917="PADD III","PADD 3",IF($M9917="PADD IV","PADD 4",IF($M9917="PADD V","PADD 5","")))))</f>
        <v/>
      </c>
      <c r="G9917" s="6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  <c r="N9917" s="6">
        <f>IF(OR($G9917="FCC",$G9917="Hydrocracker",$G9917="Reformer"),IF(COUNTIFS($D:$D,$D9917,$A:$A,$A9917,$B:$B,$B9917,$G:$G,"CDU",$J:$J,"PLANNED")&gt;0,"tied","standalone"),"")</f>
        <v/>
      </c>
    </row>
    <row r="9918" spans="6:14">
      <c r="F9918" s="6">
        <f>IF($M9918="PADD I","PADD 1",IF($M9918="PADD II","PADD 2",IF($M9918="PADD III","PADD 3",IF($M9918="PADD IV","PADD 4",IF($M9918="PADD V","PADD 5","")))))</f>
        <v/>
      </c>
      <c r="G9918" s="6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  <c r="N9918" s="6">
        <f>IF(OR($G9918="FCC",$G9918="Hydrocracker",$G9918="Reformer"),IF(COUNTIFS($D:$D,$D9918,$A:$A,$A9918,$B:$B,$B9918,$G:$G,"CDU",$J:$J,"PLANNED")&gt;0,"tied","standalone"),"")</f>
        <v/>
      </c>
    </row>
    <row r="9919" spans="6:14">
      <c r="F9919" s="6">
        <f>IF($M9919="PADD I","PADD 1",IF($M9919="PADD II","PADD 2",IF($M9919="PADD III","PADD 3",IF($M9919="PADD IV","PADD 4",IF($M9919="PADD V","PADD 5","")))))</f>
        <v/>
      </c>
      <c r="G9919" s="6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  <c r="N9919" s="6">
        <f>IF(OR($G9919="FCC",$G9919="Hydrocracker",$G9919="Reformer"),IF(COUNTIFS($D:$D,$D9919,$A:$A,$A9919,$B:$B,$B9919,$G:$G,"CDU",$J:$J,"PLANNED")&gt;0,"tied","standalone"),"")</f>
        <v/>
      </c>
    </row>
    <row r="9920" spans="6:14">
      <c r="F9920" s="6">
        <f>IF($M9920="PADD I","PADD 1",IF($M9920="PADD II","PADD 2",IF($M9920="PADD III","PADD 3",IF($M9920="PADD IV","PADD 4",IF($M9920="PADD V","PADD 5","")))))</f>
        <v/>
      </c>
      <c r="G9920" s="6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  <c r="N9920" s="6">
        <f>IF(OR($G9920="FCC",$G9920="Hydrocracker",$G9920="Reformer"),IF(COUNTIFS($D:$D,$D9920,$A:$A,$A9920,$B:$B,$B9920,$G:$G,"CDU",$J:$J,"PLANNED")&gt;0,"tied","standalone"),"")</f>
        <v/>
      </c>
    </row>
    <row r="9921" spans="6:14">
      <c r="F9921" s="6">
        <f>IF($M9921="PADD I","PADD 1",IF($M9921="PADD II","PADD 2",IF($M9921="PADD III","PADD 3",IF($M9921="PADD IV","PADD 4",IF($M9921="PADD V","PADD 5","")))))</f>
        <v/>
      </c>
      <c r="G9921" s="6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  <c r="N9921" s="6">
        <f>IF(OR($G9921="FCC",$G9921="Hydrocracker",$G9921="Reformer"),IF(COUNTIFS($D:$D,$D9921,$A:$A,$A9921,$B:$B,$B9921,$G:$G,"CDU",$J:$J,"PLANNED")&gt;0,"tied","standalone"),"")</f>
        <v/>
      </c>
    </row>
    <row r="9922" spans="6:14">
      <c r="F9922" s="6">
        <f>IF($M9922="PADD I","PADD 1",IF($M9922="PADD II","PADD 2",IF($M9922="PADD III","PADD 3",IF($M9922="PADD IV","PADD 4",IF($M9922="PADD V","PADD 5","")))))</f>
        <v/>
      </c>
      <c r="G9922" s="6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  <c r="N9922" s="6">
        <f>IF(OR($G9922="FCC",$G9922="Hydrocracker",$G9922="Reformer"),IF(COUNTIFS($D:$D,$D9922,$A:$A,$A9922,$B:$B,$B9922,$G:$G,"CDU",$J:$J,"PLANNED")&gt;0,"tied","standalone"),"")</f>
        <v/>
      </c>
    </row>
    <row r="9923" spans="6:14">
      <c r="F9923" s="6">
        <f>IF($M9923="PADD I","PADD 1",IF($M9923="PADD II","PADD 2",IF($M9923="PADD III","PADD 3",IF($M9923="PADD IV","PADD 4",IF($M9923="PADD V","PADD 5","")))))</f>
        <v/>
      </c>
      <c r="G9923" s="6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  <c r="N9923" s="6">
        <f>IF(OR($G9923="FCC",$G9923="Hydrocracker",$G9923="Reformer"),IF(COUNTIFS($D:$D,$D9923,$A:$A,$A9923,$B:$B,$B9923,$G:$G,"CDU",$J:$J,"PLANNED")&gt;0,"tied","standalone"),"")</f>
        <v/>
      </c>
    </row>
    <row r="9924" spans="6:14">
      <c r="F9924" s="6">
        <f>IF($M9924="PADD I","PADD 1",IF($M9924="PADD II","PADD 2",IF($M9924="PADD III","PADD 3",IF($M9924="PADD IV","PADD 4",IF($M9924="PADD V","PADD 5","")))))</f>
        <v/>
      </c>
      <c r="G9924" s="6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  <c r="N9924" s="6">
        <f>IF(OR($G9924="FCC",$G9924="Hydrocracker",$G9924="Reformer"),IF(COUNTIFS($D:$D,$D9924,$A:$A,$A9924,$B:$B,$B9924,$G:$G,"CDU",$J:$J,"PLANNED")&gt;0,"tied","standalone"),"")</f>
        <v/>
      </c>
    </row>
    <row r="9925" spans="6:14">
      <c r="F9925" s="6">
        <f>IF($M9925="PADD I","PADD 1",IF($M9925="PADD II","PADD 2",IF($M9925="PADD III","PADD 3",IF($M9925="PADD IV","PADD 4",IF($M9925="PADD V","PADD 5","")))))</f>
        <v/>
      </c>
      <c r="G9925" s="6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  <c r="N9925" s="6">
        <f>IF(OR($G9925="FCC",$G9925="Hydrocracker",$G9925="Reformer"),IF(COUNTIFS($D:$D,$D9925,$A:$A,$A9925,$B:$B,$B9925,$G:$G,"CDU",$J:$J,"PLANNED")&gt;0,"tied","standalone"),"")</f>
        <v/>
      </c>
    </row>
    <row r="9926" spans="6:14">
      <c r="F9926" s="6">
        <f>IF($M9926="PADD I","PADD 1",IF($M9926="PADD II","PADD 2",IF($M9926="PADD III","PADD 3",IF($M9926="PADD IV","PADD 4",IF($M9926="PADD V","PADD 5","")))))</f>
        <v/>
      </c>
      <c r="G9926" s="6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  <c r="N9926" s="6">
        <f>IF(OR($G9926="FCC",$G9926="Hydrocracker",$G9926="Reformer"),IF(COUNTIFS($D:$D,$D9926,$A:$A,$A9926,$B:$B,$B9926,$G:$G,"CDU",$J:$J,"PLANNED")&gt;0,"tied","standalone"),"")</f>
        <v/>
      </c>
    </row>
    <row r="9927" spans="6:14">
      <c r="F9927" s="6">
        <f>IF($M9927="PADD I","PADD 1",IF($M9927="PADD II","PADD 2",IF($M9927="PADD III","PADD 3",IF($M9927="PADD IV","PADD 4",IF($M9927="PADD V","PADD 5","")))))</f>
        <v/>
      </c>
      <c r="G9927" s="6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  <c r="N9927" s="6">
        <f>IF(OR($G9927="FCC",$G9927="Hydrocracker",$G9927="Reformer"),IF(COUNTIFS($D:$D,$D9927,$A:$A,$A9927,$B:$B,$B9927,$G:$G,"CDU",$J:$J,"PLANNED")&gt;0,"tied","standalone"),"")</f>
        <v/>
      </c>
    </row>
    <row r="9928" spans="6:14">
      <c r="F9928" s="6">
        <f>IF($M9928="PADD I","PADD 1",IF($M9928="PADD II","PADD 2",IF($M9928="PADD III","PADD 3",IF($M9928="PADD IV","PADD 4",IF($M9928="PADD V","PADD 5","")))))</f>
        <v/>
      </c>
      <c r="G9928" s="6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  <c r="N9928" s="6">
        <f>IF(OR($G9928="FCC",$G9928="Hydrocracker",$G9928="Reformer"),IF(COUNTIFS($D:$D,$D9928,$A:$A,$A9928,$B:$B,$B9928,$G:$G,"CDU",$J:$J,"PLANNED")&gt;0,"tied","standalone"),"")</f>
        <v/>
      </c>
    </row>
    <row r="9929" spans="6:14">
      <c r="F9929" s="6">
        <f>IF($M9929="PADD I","PADD 1",IF($M9929="PADD II","PADD 2",IF($M9929="PADD III","PADD 3",IF($M9929="PADD IV","PADD 4",IF($M9929="PADD V","PADD 5","")))))</f>
        <v/>
      </c>
      <c r="G9929" s="6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  <c r="N9929" s="6">
        <f>IF(OR($G9929="FCC",$G9929="Hydrocracker",$G9929="Reformer"),IF(COUNTIFS($D:$D,$D9929,$A:$A,$A9929,$B:$B,$B9929,$G:$G,"CDU",$J:$J,"PLANNED")&gt;0,"tied","standalone"),"")</f>
        <v/>
      </c>
    </row>
    <row r="9930" spans="6:14">
      <c r="F9930" s="6">
        <f>IF($M9930="PADD I","PADD 1",IF($M9930="PADD II","PADD 2",IF($M9930="PADD III","PADD 3",IF($M9930="PADD IV","PADD 4",IF($M9930="PADD V","PADD 5","")))))</f>
        <v/>
      </c>
      <c r="G9930" s="6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  <c r="N9930" s="6">
        <f>IF(OR($G9930="FCC",$G9930="Hydrocracker",$G9930="Reformer"),IF(COUNTIFS($D:$D,$D9930,$A:$A,$A9930,$B:$B,$B9930,$G:$G,"CDU",$J:$J,"PLANNED")&gt;0,"tied","standalone"),"")</f>
        <v/>
      </c>
    </row>
    <row r="9931" spans="6:14">
      <c r="F9931" s="6">
        <f>IF($M9931="PADD I","PADD 1",IF($M9931="PADD II","PADD 2",IF($M9931="PADD III","PADD 3",IF($M9931="PADD IV","PADD 4",IF($M9931="PADD V","PADD 5","")))))</f>
        <v/>
      </c>
      <c r="G9931" s="6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  <c r="N9931" s="6">
        <f>IF(OR($G9931="FCC",$G9931="Hydrocracker",$G9931="Reformer"),IF(COUNTIFS($D:$D,$D9931,$A:$A,$A9931,$B:$B,$B9931,$G:$G,"CDU",$J:$J,"PLANNED")&gt;0,"tied","standalone"),"")</f>
        <v/>
      </c>
    </row>
    <row r="9932" spans="6:14">
      <c r="F9932" s="6">
        <f>IF($M9932="PADD I","PADD 1",IF($M9932="PADD II","PADD 2",IF($M9932="PADD III","PADD 3",IF($M9932="PADD IV","PADD 4",IF($M9932="PADD V","PADD 5","")))))</f>
        <v/>
      </c>
      <c r="G9932" s="6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  <c r="N9932" s="6">
        <f>IF(OR($G9932="FCC",$G9932="Hydrocracker",$G9932="Reformer"),IF(COUNTIFS($D:$D,$D9932,$A:$A,$A9932,$B:$B,$B9932,$G:$G,"CDU",$J:$J,"PLANNED")&gt;0,"tied","standalone"),"")</f>
        <v/>
      </c>
    </row>
    <row r="9933" spans="6:14">
      <c r="F9933" s="6">
        <f>IF($M9933="PADD I","PADD 1",IF($M9933="PADD II","PADD 2",IF($M9933="PADD III","PADD 3",IF($M9933="PADD IV","PADD 4",IF($M9933="PADD V","PADD 5","")))))</f>
        <v/>
      </c>
      <c r="G9933" s="6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  <c r="N9933" s="6">
        <f>IF(OR($G9933="FCC",$G9933="Hydrocracker",$G9933="Reformer"),IF(COUNTIFS($D:$D,$D9933,$A:$A,$A9933,$B:$B,$B9933,$G:$G,"CDU",$J:$J,"PLANNED")&gt;0,"tied","standalone"),"")</f>
        <v/>
      </c>
    </row>
    <row r="9934" spans="6:14">
      <c r="F9934" s="6">
        <f>IF($M9934="PADD I","PADD 1",IF($M9934="PADD II","PADD 2",IF($M9934="PADD III","PADD 3",IF($M9934="PADD IV","PADD 4",IF($M9934="PADD V","PADD 5","")))))</f>
        <v/>
      </c>
      <c r="G9934" s="6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  <c r="N9934" s="6">
        <f>IF(OR($G9934="FCC",$G9934="Hydrocracker",$G9934="Reformer"),IF(COUNTIFS($D:$D,$D9934,$A:$A,$A9934,$B:$B,$B9934,$G:$G,"CDU",$J:$J,"PLANNED")&gt;0,"tied","standalone"),"")</f>
        <v/>
      </c>
    </row>
    <row r="9935" spans="6:14">
      <c r="F9935" s="6">
        <f>IF($M9935="PADD I","PADD 1",IF($M9935="PADD II","PADD 2",IF($M9935="PADD III","PADD 3",IF($M9935="PADD IV","PADD 4",IF($M9935="PADD V","PADD 5","")))))</f>
        <v/>
      </c>
      <c r="G9935" s="6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  <c r="N9935" s="6">
        <f>IF(OR($G9935="FCC",$G9935="Hydrocracker",$G9935="Reformer"),IF(COUNTIFS($D:$D,$D9935,$A:$A,$A9935,$B:$B,$B9935,$G:$G,"CDU",$J:$J,"PLANNED")&gt;0,"tied","standalone"),"")</f>
        <v/>
      </c>
    </row>
    <row r="9936" spans="6:14">
      <c r="F9936" s="6">
        <f>IF($M9936="PADD I","PADD 1",IF($M9936="PADD II","PADD 2",IF($M9936="PADD III","PADD 3",IF($M9936="PADD IV","PADD 4",IF($M9936="PADD V","PADD 5","")))))</f>
        <v/>
      </c>
      <c r="G9936" s="6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  <c r="N9936" s="6">
        <f>IF(OR($G9936="FCC",$G9936="Hydrocracker",$G9936="Reformer"),IF(COUNTIFS($D:$D,$D9936,$A:$A,$A9936,$B:$B,$B9936,$G:$G,"CDU",$J:$J,"PLANNED")&gt;0,"tied","standalone"),"")</f>
        <v/>
      </c>
    </row>
    <row r="9937" spans="6:14">
      <c r="F9937" s="6">
        <f>IF($M9937="PADD I","PADD 1",IF($M9937="PADD II","PADD 2",IF($M9937="PADD III","PADD 3",IF($M9937="PADD IV","PADD 4",IF($M9937="PADD V","PADD 5","")))))</f>
        <v/>
      </c>
      <c r="G9937" s="6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  <c r="N9937" s="6">
        <f>IF(OR($G9937="FCC",$G9937="Hydrocracker",$G9937="Reformer"),IF(COUNTIFS($D:$D,$D9937,$A:$A,$A9937,$B:$B,$B9937,$G:$G,"CDU",$J:$J,"PLANNED")&gt;0,"tied","standalone"),"")</f>
        <v/>
      </c>
    </row>
    <row r="9938" spans="6:14">
      <c r="F9938" s="6">
        <f>IF($M9938="PADD I","PADD 1",IF($M9938="PADD II","PADD 2",IF($M9938="PADD III","PADD 3",IF($M9938="PADD IV","PADD 4",IF($M9938="PADD V","PADD 5","")))))</f>
        <v/>
      </c>
      <c r="G9938" s="6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  <c r="N9938" s="6">
        <f>IF(OR($G9938="FCC",$G9938="Hydrocracker",$G9938="Reformer"),IF(COUNTIFS($D:$D,$D9938,$A:$A,$A9938,$B:$B,$B9938,$G:$G,"CDU",$J:$J,"PLANNED")&gt;0,"tied","standalone"),"")</f>
        <v/>
      </c>
    </row>
    <row r="9939" spans="6:14">
      <c r="F9939" s="6">
        <f>IF($M9939="PADD I","PADD 1",IF($M9939="PADD II","PADD 2",IF($M9939="PADD III","PADD 3",IF($M9939="PADD IV","PADD 4",IF($M9939="PADD V","PADD 5","")))))</f>
        <v/>
      </c>
      <c r="G9939" s="6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  <c r="N9939" s="6">
        <f>IF(OR($G9939="FCC",$G9939="Hydrocracker",$G9939="Reformer"),IF(COUNTIFS($D:$D,$D9939,$A:$A,$A9939,$B:$B,$B9939,$G:$G,"CDU",$J:$J,"PLANNED")&gt;0,"tied","standalone"),"")</f>
        <v/>
      </c>
    </row>
    <row r="9940" spans="6:14">
      <c r="F9940" s="6">
        <f>IF($M9940="PADD I","PADD 1",IF($M9940="PADD II","PADD 2",IF($M9940="PADD III","PADD 3",IF($M9940="PADD IV","PADD 4",IF($M9940="PADD V","PADD 5","")))))</f>
        <v/>
      </c>
      <c r="G9940" s="6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  <c r="N9940" s="6">
        <f>IF(OR($G9940="FCC",$G9940="Hydrocracker",$G9940="Reformer"),IF(COUNTIFS($D:$D,$D9940,$A:$A,$A9940,$B:$B,$B9940,$G:$G,"CDU",$J:$J,"PLANNED")&gt;0,"tied","standalone"),"")</f>
        <v/>
      </c>
    </row>
    <row r="9941" spans="6:14">
      <c r="F9941" s="6">
        <f>IF($M9941="PADD I","PADD 1",IF($M9941="PADD II","PADD 2",IF($M9941="PADD III","PADD 3",IF($M9941="PADD IV","PADD 4",IF($M9941="PADD V","PADD 5","")))))</f>
        <v/>
      </c>
      <c r="G9941" s="6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  <c r="N9941" s="6">
        <f>IF(OR($G9941="FCC",$G9941="Hydrocracker",$G9941="Reformer"),IF(COUNTIFS($D:$D,$D9941,$A:$A,$A9941,$B:$B,$B9941,$G:$G,"CDU",$J:$J,"PLANNED")&gt;0,"tied","standalone"),"")</f>
        <v/>
      </c>
    </row>
    <row r="9942" spans="6:14">
      <c r="F9942" s="6">
        <f>IF($M9942="PADD I","PADD 1",IF($M9942="PADD II","PADD 2",IF($M9942="PADD III","PADD 3",IF($M9942="PADD IV","PADD 4",IF($M9942="PADD V","PADD 5","")))))</f>
        <v/>
      </c>
      <c r="G9942" s="6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  <c r="N9942" s="6">
        <f>IF(OR($G9942="FCC",$G9942="Hydrocracker",$G9942="Reformer"),IF(COUNTIFS($D:$D,$D9942,$A:$A,$A9942,$B:$B,$B9942,$G:$G,"CDU",$J:$J,"PLANNED")&gt;0,"tied","standalone"),"")</f>
        <v/>
      </c>
    </row>
    <row r="9943" spans="6:14">
      <c r="F9943" s="6">
        <f>IF($M9943="PADD I","PADD 1",IF($M9943="PADD II","PADD 2",IF($M9943="PADD III","PADD 3",IF($M9943="PADD IV","PADD 4",IF($M9943="PADD V","PADD 5","")))))</f>
        <v/>
      </c>
      <c r="G9943" s="6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  <c r="N9943" s="6">
        <f>IF(OR($G9943="FCC",$G9943="Hydrocracker",$G9943="Reformer"),IF(COUNTIFS($D:$D,$D9943,$A:$A,$A9943,$B:$B,$B9943,$G:$G,"CDU",$J:$J,"PLANNED")&gt;0,"tied","standalone"),"")</f>
        <v/>
      </c>
    </row>
    <row r="9944" spans="6:14">
      <c r="F9944" s="6">
        <f>IF($M9944="PADD I","PADD 1",IF($M9944="PADD II","PADD 2",IF($M9944="PADD III","PADD 3",IF($M9944="PADD IV","PADD 4",IF($M9944="PADD V","PADD 5","")))))</f>
        <v/>
      </c>
      <c r="G9944" s="6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  <c r="N9944" s="6">
        <f>IF(OR($G9944="FCC",$G9944="Hydrocracker",$G9944="Reformer"),IF(COUNTIFS($D:$D,$D9944,$A:$A,$A9944,$B:$B,$B9944,$G:$G,"CDU",$J:$J,"PLANNED")&gt;0,"tied","standalone"),"")</f>
        <v/>
      </c>
    </row>
    <row r="9945" spans="6:14">
      <c r="F9945" s="6">
        <f>IF($M9945="PADD I","PADD 1",IF($M9945="PADD II","PADD 2",IF($M9945="PADD III","PADD 3",IF($M9945="PADD IV","PADD 4",IF($M9945="PADD V","PADD 5","")))))</f>
        <v/>
      </c>
      <c r="G9945" s="6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  <c r="N9945" s="6">
        <f>IF(OR($G9945="FCC",$G9945="Hydrocracker",$G9945="Reformer"),IF(COUNTIFS($D:$D,$D9945,$A:$A,$A9945,$B:$B,$B9945,$G:$G,"CDU",$J:$J,"PLANNED")&gt;0,"tied","standalone"),"")</f>
        <v/>
      </c>
    </row>
    <row r="9946" spans="6:14">
      <c r="F9946" s="6">
        <f>IF($M9946="PADD I","PADD 1",IF($M9946="PADD II","PADD 2",IF($M9946="PADD III","PADD 3",IF($M9946="PADD IV","PADD 4",IF($M9946="PADD V","PADD 5","")))))</f>
        <v/>
      </c>
      <c r="G9946" s="6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  <c r="N9946" s="6">
        <f>IF(OR($G9946="FCC",$G9946="Hydrocracker",$G9946="Reformer"),IF(COUNTIFS($D:$D,$D9946,$A:$A,$A9946,$B:$B,$B9946,$G:$G,"CDU",$J:$J,"PLANNED")&gt;0,"tied","standalone"),"")</f>
        <v/>
      </c>
    </row>
    <row r="9947" spans="6:14">
      <c r="F9947" s="6">
        <f>IF($M9947="PADD I","PADD 1",IF($M9947="PADD II","PADD 2",IF($M9947="PADD III","PADD 3",IF($M9947="PADD IV","PADD 4",IF($M9947="PADD V","PADD 5","")))))</f>
        <v/>
      </c>
      <c r="G9947" s="6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  <c r="N9947" s="6">
        <f>IF(OR($G9947="FCC",$G9947="Hydrocracker",$G9947="Reformer"),IF(COUNTIFS($D:$D,$D9947,$A:$A,$A9947,$B:$B,$B9947,$G:$G,"CDU",$J:$J,"PLANNED")&gt;0,"tied","standalone"),"")</f>
        <v/>
      </c>
    </row>
    <row r="9948" spans="6:14">
      <c r="F9948" s="6">
        <f>IF($M9948="PADD I","PADD 1",IF($M9948="PADD II","PADD 2",IF($M9948="PADD III","PADD 3",IF($M9948="PADD IV","PADD 4",IF($M9948="PADD V","PADD 5","")))))</f>
        <v/>
      </c>
      <c r="G9948" s="6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  <c r="N9948" s="6">
        <f>IF(OR($G9948="FCC",$G9948="Hydrocracker",$G9948="Reformer"),IF(COUNTIFS($D:$D,$D9948,$A:$A,$A9948,$B:$B,$B9948,$G:$G,"CDU",$J:$J,"PLANNED")&gt;0,"tied","standalone"),"")</f>
        <v/>
      </c>
    </row>
    <row r="9949" spans="6:14">
      <c r="F9949" s="6">
        <f>IF($M9949="PADD I","PADD 1",IF($M9949="PADD II","PADD 2",IF($M9949="PADD III","PADD 3",IF($M9949="PADD IV","PADD 4",IF($M9949="PADD V","PADD 5","")))))</f>
        <v/>
      </c>
      <c r="G9949" s="6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  <c r="N9949" s="6">
        <f>IF(OR($G9949="FCC",$G9949="Hydrocracker",$G9949="Reformer"),IF(COUNTIFS($D:$D,$D9949,$A:$A,$A9949,$B:$B,$B9949,$G:$G,"CDU",$J:$J,"PLANNED")&gt;0,"tied","standalone"),"")</f>
        <v/>
      </c>
    </row>
    <row r="9950" spans="6:14">
      <c r="F9950" s="6">
        <f>IF($M9950="PADD I","PADD 1",IF($M9950="PADD II","PADD 2",IF($M9950="PADD III","PADD 3",IF($M9950="PADD IV","PADD 4",IF($M9950="PADD V","PADD 5","")))))</f>
        <v/>
      </c>
      <c r="G9950" s="6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  <c r="N9950" s="6">
        <f>IF(OR($G9950="FCC",$G9950="Hydrocracker",$G9950="Reformer"),IF(COUNTIFS($D:$D,$D9950,$A:$A,$A9950,$B:$B,$B9950,$G:$G,"CDU",$J:$J,"PLANNED")&gt;0,"tied","standalone"),"")</f>
        <v/>
      </c>
    </row>
    <row r="9951" spans="6:14">
      <c r="F9951" s="6">
        <f>IF($M9951="PADD I","PADD 1",IF($M9951="PADD II","PADD 2",IF($M9951="PADD III","PADD 3",IF($M9951="PADD IV","PADD 4",IF($M9951="PADD V","PADD 5","")))))</f>
        <v/>
      </c>
      <c r="G9951" s="6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  <c r="N9951" s="6">
        <f>IF(OR($G9951="FCC",$G9951="Hydrocracker",$G9951="Reformer"),IF(COUNTIFS($D:$D,$D9951,$A:$A,$A9951,$B:$B,$B9951,$G:$G,"CDU",$J:$J,"PLANNED")&gt;0,"tied","standalone"),"")</f>
        <v/>
      </c>
    </row>
    <row r="9952" spans="6:14">
      <c r="F9952" s="6">
        <f>IF($M9952="PADD I","PADD 1",IF($M9952="PADD II","PADD 2",IF($M9952="PADD III","PADD 3",IF($M9952="PADD IV","PADD 4",IF($M9952="PADD V","PADD 5","")))))</f>
        <v/>
      </c>
      <c r="G9952" s="6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  <c r="N9952" s="6">
        <f>IF(OR($G9952="FCC",$G9952="Hydrocracker",$G9952="Reformer"),IF(COUNTIFS($D:$D,$D9952,$A:$A,$A9952,$B:$B,$B9952,$G:$G,"CDU",$J:$J,"PLANNED")&gt;0,"tied","standalone"),"")</f>
        <v/>
      </c>
    </row>
    <row r="9953" spans="6:14">
      <c r="F9953" s="6">
        <f>IF($M9953="PADD I","PADD 1",IF($M9953="PADD II","PADD 2",IF($M9953="PADD III","PADD 3",IF($M9953="PADD IV","PADD 4",IF($M9953="PADD V","PADD 5","")))))</f>
        <v/>
      </c>
      <c r="G9953" s="6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  <c r="N9953" s="6">
        <f>IF(OR($G9953="FCC",$G9953="Hydrocracker",$G9953="Reformer"),IF(COUNTIFS($D:$D,$D9953,$A:$A,$A9953,$B:$B,$B9953,$G:$G,"CDU",$J:$J,"PLANNED")&gt;0,"tied","standalone"),"")</f>
        <v/>
      </c>
    </row>
    <row r="9954" spans="6:14">
      <c r="F9954" s="6">
        <f>IF($M9954="PADD I","PADD 1",IF($M9954="PADD II","PADD 2",IF($M9954="PADD III","PADD 3",IF($M9954="PADD IV","PADD 4",IF($M9954="PADD V","PADD 5","")))))</f>
        <v/>
      </c>
      <c r="G9954" s="6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  <c r="N9954" s="6">
        <f>IF(OR($G9954="FCC",$G9954="Hydrocracker",$G9954="Reformer"),IF(COUNTIFS($D:$D,$D9954,$A:$A,$A9954,$B:$B,$B9954,$G:$G,"CDU",$J:$J,"PLANNED")&gt;0,"tied","standalone"),"")</f>
        <v/>
      </c>
    </row>
    <row r="9955" spans="6:14">
      <c r="F9955" s="6">
        <f>IF($M9955="PADD I","PADD 1",IF($M9955="PADD II","PADD 2",IF($M9955="PADD III","PADD 3",IF($M9955="PADD IV","PADD 4",IF($M9955="PADD V","PADD 5","")))))</f>
        <v/>
      </c>
      <c r="G9955" s="6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  <c r="N9955" s="6">
        <f>IF(OR($G9955="FCC",$G9955="Hydrocracker",$G9955="Reformer"),IF(COUNTIFS($D:$D,$D9955,$A:$A,$A9955,$B:$B,$B9955,$G:$G,"CDU",$J:$J,"PLANNED")&gt;0,"tied","standalone"),"")</f>
        <v/>
      </c>
    </row>
    <row r="9956" spans="6:14">
      <c r="F9956" s="6">
        <f>IF($M9956="PADD I","PADD 1",IF($M9956="PADD II","PADD 2",IF($M9956="PADD III","PADD 3",IF($M9956="PADD IV","PADD 4",IF($M9956="PADD V","PADD 5","")))))</f>
        <v/>
      </c>
      <c r="G9956" s="6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  <c r="N9956" s="6">
        <f>IF(OR($G9956="FCC",$G9956="Hydrocracker",$G9956="Reformer"),IF(COUNTIFS($D:$D,$D9956,$A:$A,$A9956,$B:$B,$B9956,$G:$G,"CDU",$J:$J,"PLANNED")&gt;0,"tied","standalone"),"")</f>
        <v/>
      </c>
    </row>
    <row r="9957" spans="6:14">
      <c r="F9957" s="6">
        <f>IF($M9957="PADD I","PADD 1",IF($M9957="PADD II","PADD 2",IF($M9957="PADD III","PADD 3",IF($M9957="PADD IV","PADD 4",IF($M9957="PADD V","PADD 5","")))))</f>
        <v/>
      </c>
      <c r="G9957" s="6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  <c r="N9957" s="6">
        <f>IF(OR($G9957="FCC",$G9957="Hydrocracker",$G9957="Reformer"),IF(COUNTIFS($D:$D,$D9957,$A:$A,$A9957,$B:$B,$B9957,$G:$G,"CDU",$J:$J,"PLANNED")&gt;0,"tied","standalone"),"")</f>
        <v/>
      </c>
    </row>
    <row r="9958" spans="6:14">
      <c r="F9958" s="6">
        <f>IF($M9958="PADD I","PADD 1",IF($M9958="PADD II","PADD 2",IF($M9958="PADD III","PADD 3",IF($M9958="PADD IV","PADD 4",IF($M9958="PADD V","PADD 5","")))))</f>
        <v/>
      </c>
      <c r="G9958" s="6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  <c r="N9958" s="6">
        <f>IF(OR($G9958="FCC",$G9958="Hydrocracker",$G9958="Reformer"),IF(COUNTIFS($D:$D,$D9958,$A:$A,$A9958,$B:$B,$B9958,$G:$G,"CDU",$J:$J,"PLANNED")&gt;0,"tied","standalone"),"")</f>
        <v/>
      </c>
    </row>
    <row r="9959" spans="6:14">
      <c r="F9959" s="6">
        <f>IF($M9959="PADD I","PADD 1",IF($M9959="PADD II","PADD 2",IF($M9959="PADD III","PADD 3",IF($M9959="PADD IV","PADD 4",IF($M9959="PADD V","PADD 5","")))))</f>
        <v/>
      </c>
      <c r="G9959" s="6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  <c r="N9959" s="6">
        <f>IF(OR($G9959="FCC",$G9959="Hydrocracker",$G9959="Reformer"),IF(COUNTIFS($D:$D,$D9959,$A:$A,$A9959,$B:$B,$B9959,$G:$G,"CDU",$J:$J,"PLANNED")&gt;0,"tied","standalone"),"")</f>
        <v/>
      </c>
    </row>
    <row r="9960" spans="6:14">
      <c r="F9960" s="6">
        <f>IF($M9960="PADD I","PADD 1",IF($M9960="PADD II","PADD 2",IF($M9960="PADD III","PADD 3",IF($M9960="PADD IV","PADD 4",IF($M9960="PADD V","PADD 5","")))))</f>
        <v/>
      </c>
      <c r="G9960" s="6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  <c r="N9960" s="6">
        <f>IF(OR($G9960="FCC",$G9960="Hydrocracker",$G9960="Reformer"),IF(COUNTIFS($D:$D,$D9960,$A:$A,$A9960,$B:$B,$B9960,$G:$G,"CDU",$J:$J,"PLANNED")&gt;0,"tied","standalone"),"")</f>
        <v/>
      </c>
    </row>
    <row r="9961" spans="6:14">
      <c r="F9961" s="6">
        <f>IF($M9961="PADD I","PADD 1",IF($M9961="PADD II","PADD 2",IF($M9961="PADD III","PADD 3",IF($M9961="PADD IV","PADD 4",IF($M9961="PADD V","PADD 5","")))))</f>
        <v/>
      </c>
      <c r="G9961" s="6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  <c r="N9961" s="6">
        <f>IF(OR($G9961="FCC",$G9961="Hydrocracker",$G9961="Reformer"),IF(COUNTIFS($D:$D,$D9961,$A:$A,$A9961,$B:$B,$B9961,$G:$G,"CDU",$J:$J,"PLANNED")&gt;0,"tied","standalone"),"")</f>
        <v/>
      </c>
    </row>
    <row r="9962" spans="6:14">
      <c r="F9962" s="6">
        <f>IF($M9962="PADD I","PADD 1",IF($M9962="PADD II","PADD 2",IF($M9962="PADD III","PADD 3",IF($M9962="PADD IV","PADD 4",IF($M9962="PADD V","PADD 5","")))))</f>
        <v/>
      </c>
      <c r="G9962" s="6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  <c r="N9962" s="6">
        <f>IF(OR($G9962="FCC",$G9962="Hydrocracker",$G9962="Reformer"),IF(COUNTIFS($D:$D,$D9962,$A:$A,$A9962,$B:$B,$B9962,$G:$G,"CDU",$J:$J,"PLANNED")&gt;0,"tied","standalone"),"")</f>
        <v/>
      </c>
    </row>
    <row r="9963" spans="6:14">
      <c r="F9963" s="6">
        <f>IF($M9963="PADD I","PADD 1",IF($M9963="PADD II","PADD 2",IF($M9963="PADD III","PADD 3",IF($M9963="PADD IV","PADD 4",IF($M9963="PADD V","PADD 5","")))))</f>
        <v/>
      </c>
      <c r="G9963" s="6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  <c r="N9963" s="6">
        <f>IF(OR($G9963="FCC",$G9963="Hydrocracker",$G9963="Reformer"),IF(COUNTIFS($D:$D,$D9963,$A:$A,$A9963,$B:$B,$B9963,$G:$G,"CDU",$J:$J,"PLANNED")&gt;0,"tied","standalone"),"")</f>
        <v/>
      </c>
    </row>
    <row r="9964" spans="6:14">
      <c r="F9964" s="6">
        <f>IF($M9964="PADD I","PADD 1",IF($M9964="PADD II","PADD 2",IF($M9964="PADD III","PADD 3",IF($M9964="PADD IV","PADD 4",IF($M9964="PADD V","PADD 5","")))))</f>
        <v/>
      </c>
      <c r="G9964" s="6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  <c r="N9964" s="6">
        <f>IF(OR($G9964="FCC",$G9964="Hydrocracker",$G9964="Reformer"),IF(COUNTIFS($D:$D,$D9964,$A:$A,$A9964,$B:$B,$B9964,$G:$G,"CDU",$J:$J,"PLANNED")&gt;0,"tied","standalone"),"")</f>
        <v/>
      </c>
    </row>
    <row r="9965" spans="6:14">
      <c r="F9965" s="6">
        <f>IF($M9965="PADD I","PADD 1",IF($M9965="PADD II","PADD 2",IF($M9965="PADD III","PADD 3",IF($M9965="PADD IV","PADD 4",IF($M9965="PADD V","PADD 5","")))))</f>
        <v/>
      </c>
      <c r="G9965" s="6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  <c r="N9965" s="6">
        <f>IF(OR($G9965="FCC",$G9965="Hydrocracker",$G9965="Reformer"),IF(COUNTIFS($D:$D,$D9965,$A:$A,$A9965,$B:$B,$B9965,$G:$G,"CDU",$J:$J,"PLANNED")&gt;0,"tied","standalone"),"")</f>
        <v/>
      </c>
    </row>
    <row r="9966" spans="6:14">
      <c r="F9966" s="6">
        <f>IF($M9966="PADD I","PADD 1",IF($M9966="PADD II","PADD 2",IF($M9966="PADD III","PADD 3",IF($M9966="PADD IV","PADD 4",IF($M9966="PADD V","PADD 5","")))))</f>
        <v/>
      </c>
      <c r="G9966" s="6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  <c r="N9966" s="6">
        <f>IF(OR($G9966="FCC",$G9966="Hydrocracker",$G9966="Reformer"),IF(COUNTIFS($D:$D,$D9966,$A:$A,$A9966,$B:$B,$B9966,$G:$G,"CDU",$J:$J,"PLANNED")&gt;0,"tied","standalone"),"")</f>
        <v/>
      </c>
    </row>
    <row r="9967" spans="6:14">
      <c r="F9967" s="6">
        <f>IF($M9967="PADD I","PADD 1",IF($M9967="PADD II","PADD 2",IF($M9967="PADD III","PADD 3",IF($M9967="PADD IV","PADD 4",IF($M9967="PADD V","PADD 5","")))))</f>
        <v/>
      </c>
      <c r="G9967" s="6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  <c r="N9967" s="6">
        <f>IF(OR($G9967="FCC",$G9967="Hydrocracker",$G9967="Reformer"),IF(COUNTIFS($D:$D,$D9967,$A:$A,$A9967,$B:$B,$B9967,$G:$G,"CDU",$J:$J,"PLANNED")&gt;0,"tied","standalone"),"")</f>
        <v/>
      </c>
    </row>
    <row r="9968" spans="6:14">
      <c r="F9968" s="6">
        <f>IF($M9968="PADD I","PADD 1",IF($M9968="PADD II","PADD 2",IF($M9968="PADD III","PADD 3",IF($M9968="PADD IV","PADD 4",IF($M9968="PADD V","PADD 5","")))))</f>
        <v/>
      </c>
      <c r="G9968" s="6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  <c r="N9968" s="6">
        <f>IF(OR($G9968="FCC",$G9968="Hydrocracker",$G9968="Reformer"),IF(COUNTIFS($D:$D,$D9968,$A:$A,$A9968,$B:$B,$B9968,$G:$G,"CDU",$J:$J,"PLANNED")&gt;0,"tied","standalone"),"")</f>
        <v/>
      </c>
    </row>
    <row r="9969" spans="6:14">
      <c r="F9969" s="6">
        <f>IF($M9969="PADD I","PADD 1",IF($M9969="PADD II","PADD 2",IF($M9969="PADD III","PADD 3",IF($M9969="PADD IV","PADD 4",IF($M9969="PADD V","PADD 5","")))))</f>
        <v/>
      </c>
      <c r="G9969" s="6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  <c r="N9969" s="6">
        <f>IF(OR($G9969="FCC",$G9969="Hydrocracker",$G9969="Reformer"),IF(COUNTIFS($D:$D,$D9969,$A:$A,$A9969,$B:$B,$B9969,$G:$G,"CDU",$J:$J,"PLANNED")&gt;0,"tied","standalone"),"")</f>
        <v/>
      </c>
    </row>
    <row r="9970" spans="6:14">
      <c r="F9970" s="6">
        <f>IF($M9970="PADD I","PADD 1",IF($M9970="PADD II","PADD 2",IF($M9970="PADD III","PADD 3",IF($M9970="PADD IV","PADD 4",IF($M9970="PADD V","PADD 5","")))))</f>
        <v/>
      </c>
      <c r="G9970" s="6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  <c r="N9970" s="6">
        <f>IF(OR($G9970="FCC",$G9970="Hydrocracker",$G9970="Reformer"),IF(COUNTIFS($D:$D,$D9970,$A:$A,$A9970,$B:$B,$B9970,$G:$G,"CDU",$J:$J,"PLANNED")&gt;0,"tied","standalone"),"")</f>
        <v/>
      </c>
    </row>
    <row r="9971" spans="6:14">
      <c r="F9971" s="6">
        <f>IF($M9971="PADD I","PADD 1",IF($M9971="PADD II","PADD 2",IF($M9971="PADD III","PADD 3",IF($M9971="PADD IV","PADD 4",IF($M9971="PADD V","PADD 5","")))))</f>
        <v/>
      </c>
      <c r="G9971" s="6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  <c r="N9971" s="6">
        <f>IF(OR($G9971="FCC",$G9971="Hydrocracker",$G9971="Reformer"),IF(COUNTIFS($D:$D,$D9971,$A:$A,$A9971,$B:$B,$B9971,$G:$G,"CDU",$J:$J,"PLANNED")&gt;0,"tied","standalone"),"")</f>
        <v/>
      </c>
    </row>
    <row r="9972" spans="6:14">
      <c r="F9972" s="6">
        <f>IF($M9972="PADD I","PADD 1",IF($M9972="PADD II","PADD 2",IF($M9972="PADD III","PADD 3",IF($M9972="PADD IV","PADD 4",IF($M9972="PADD V","PADD 5","")))))</f>
        <v/>
      </c>
      <c r="G9972" s="6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  <c r="N9972" s="6">
        <f>IF(OR($G9972="FCC",$G9972="Hydrocracker",$G9972="Reformer"),IF(COUNTIFS($D:$D,$D9972,$A:$A,$A9972,$B:$B,$B9972,$G:$G,"CDU",$J:$J,"PLANNED")&gt;0,"tied","standalone"),"")</f>
        <v/>
      </c>
    </row>
    <row r="9973" spans="6:14">
      <c r="F9973" s="6">
        <f>IF($M9973="PADD I","PADD 1",IF($M9973="PADD II","PADD 2",IF($M9973="PADD III","PADD 3",IF($M9973="PADD IV","PADD 4",IF($M9973="PADD V","PADD 5","")))))</f>
        <v/>
      </c>
      <c r="G9973" s="6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  <c r="N9973" s="6">
        <f>IF(OR($G9973="FCC",$G9973="Hydrocracker",$G9973="Reformer"),IF(COUNTIFS($D:$D,$D9973,$A:$A,$A9973,$B:$B,$B9973,$G:$G,"CDU",$J:$J,"PLANNED")&gt;0,"tied","standalone"),"")</f>
        <v/>
      </c>
    </row>
    <row r="9974" spans="6:14">
      <c r="F9974" s="6">
        <f>IF($M9974="PADD I","PADD 1",IF($M9974="PADD II","PADD 2",IF($M9974="PADD III","PADD 3",IF($M9974="PADD IV","PADD 4",IF($M9974="PADD V","PADD 5","")))))</f>
        <v/>
      </c>
      <c r="G9974" s="6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  <c r="N9974" s="6">
        <f>IF(OR($G9974="FCC",$G9974="Hydrocracker",$G9974="Reformer"),IF(COUNTIFS($D:$D,$D9974,$A:$A,$A9974,$B:$B,$B9974,$G:$G,"CDU",$J:$J,"PLANNED")&gt;0,"tied","standalone"),"")</f>
        <v/>
      </c>
    </row>
    <row r="9975" spans="6:14">
      <c r="F9975" s="6">
        <f>IF($M9975="PADD I","PADD 1",IF($M9975="PADD II","PADD 2",IF($M9975="PADD III","PADD 3",IF($M9975="PADD IV","PADD 4",IF($M9975="PADD V","PADD 5","")))))</f>
        <v/>
      </c>
      <c r="G9975" s="6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  <c r="N9975" s="6">
        <f>IF(OR($G9975="FCC",$G9975="Hydrocracker",$G9975="Reformer"),IF(COUNTIFS($D:$D,$D9975,$A:$A,$A9975,$B:$B,$B9975,$G:$G,"CDU",$J:$J,"PLANNED")&gt;0,"tied","standalone"),"")</f>
        <v/>
      </c>
    </row>
    <row r="9976" spans="6:14">
      <c r="F9976" s="6">
        <f>IF($M9976="PADD I","PADD 1",IF($M9976="PADD II","PADD 2",IF($M9976="PADD III","PADD 3",IF($M9976="PADD IV","PADD 4",IF($M9976="PADD V","PADD 5","")))))</f>
        <v/>
      </c>
      <c r="G9976" s="6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  <c r="N9976" s="6">
        <f>IF(OR($G9976="FCC",$G9976="Hydrocracker",$G9976="Reformer"),IF(COUNTIFS($D:$D,$D9976,$A:$A,$A9976,$B:$B,$B9976,$G:$G,"CDU",$J:$J,"PLANNED")&gt;0,"tied","standalone"),"")</f>
        <v/>
      </c>
    </row>
    <row r="9977" spans="6:14">
      <c r="F9977" s="6">
        <f>IF($M9977="PADD I","PADD 1",IF($M9977="PADD II","PADD 2",IF($M9977="PADD III","PADD 3",IF($M9977="PADD IV","PADD 4",IF($M9977="PADD V","PADD 5","")))))</f>
        <v/>
      </c>
      <c r="G9977" s="6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  <c r="N9977" s="6">
        <f>IF(OR($G9977="FCC",$G9977="Hydrocracker",$G9977="Reformer"),IF(COUNTIFS($D:$D,$D9977,$A:$A,$A9977,$B:$B,$B9977,$G:$G,"CDU",$J:$J,"PLANNED")&gt;0,"tied","standalone"),"")</f>
        <v/>
      </c>
    </row>
    <row r="9978" spans="6:14">
      <c r="F9978" s="6">
        <f>IF($M9978="PADD I","PADD 1",IF($M9978="PADD II","PADD 2",IF($M9978="PADD III","PADD 3",IF($M9978="PADD IV","PADD 4",IF($M9978="PADD V","PADD 5","")))))</f>
        <v/>
      </c>
      <c r="G9978" s="6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  <c r="N9978" s="6">
        <f>IF(OR($G9978="FCC",$G9978="Hydrocracker",$G9978="Reformer"),IF(COUNTIFS($D:$D,$D9978,$A:$A,$A9978,$B:$B,$B9978,$G:$G,"CDU",$J:$J,"PLANNED")&gt;0,"tied","standalone"),"")</f>
        <v/>
      </c>
    </row>
    <row r="9979" spans="6:14">
      <c r="F9979" s="6">
        <f>IF($M9979="PADD I","PADD 1",IF($M9979="PADD II","PADD 2",IF($M9979="PADD III","PADD 3",IF($M9979="PADD IV","PADD 4",IF($M9979="PADD V","PADD 5","")))))</f>
        <v/>
      </c>
      <c r="G9979" s="6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  <c r="N9979" s="6">
        <f>IF(OR($G9979="FCC",$G9979="Hydrocracker",$G9979="Reformer"),IF(COUNTIFS($D:$D,$D9979,$A:$A,$A9979,$B:$B,$B9979,$G:$G,"CDU",$J:$J,"PLANNED")&gt;0,"tied","standalone"),"")</f>
        <v/>
      </c>
    </row>
    <row r="9980" spans="6:14">
      <c r="F9980" s="6">
        <f>IF($M9980="PADD I","PADD 1",IF($M9980="PADD II","PADD 2",IF($M9980="PADD III","PADD 3",IF($M9980="PADD IV","PADD 4",IF($M9980="PADD V","PADD 5","")))))</f>
        <v/>
      </c>
      <c r="G9980" s="6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  <c r="N9980" s="6">
        <f>IF(OR($G9980="FCC",$G9980="Hydrocracker",$G9980="Reformer"),IF(COUNTIFS($D:$D,$D9980,$A:$A,$A9980,$B:$B,$B9980,$G:$G,"CDU",$J:$J,"PLANNED")&gt;0,"tied","standalone"),"")</f>
        <v/>
      </c>
    </row>
    <row r="9981" spans="6:14">
      <c r="F9981" s="6">
        <f>IF($M9981="PADD I","PADD 1",IF($M9981="PADD II","PADD 2",IF($M9981="PADD III","PADD 3",IF($M9981="PADD IV","PADD 4",IF($M9981="PADD V","PADD 5","")))))</f>
        <v/>
      </c>
      <c r="G9981" s="6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  <c r="N9981" s="6">
        <f>IF(OR($G9981="FCC",$G9981="Hydrocracker",$G9981="Reformer"),IF(COUNTIFS($D:$D,$D9981,$A:$A,$A9981,$B:$B,$B9981,$G:$G,"CDU",$J:$J,"PLANNED")&gt;0,"tied","standalone"),"")</f>
        <v/>
      </c>
    </row>
    <row r="9982" spans="6:14">
      <c r="F9982" s="6">
        <f>IF($M9982="PADD I","PADD 1",IF($M9982="PADD II","PADD 2",IF($M9982="PADD III","PADD 3",IF($M9982="PADD IV","PADD 4",IF($M9982="PADD V","PADD 5","")))))</f>
        <v/>
      </c>
      <c r="G9982" s="6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  <c r="N9982" s="6">
        <f>IF(OR($G9982="FCC",$G9982="Hydrocracker",$G9982="Reformer"),IF(COUNTIFS($D:$D,$D9982,$A:$A,$A9982,$B:$B,$B9982,$G:$G,"CDU",$J:$J,"PLANNED")&gt;0,"tied","standalone"),"")</f>
        <v/>
      </c>
    </row>
    <row r="9983" spans="6:14">
      <c r="F9983" s="6">
        <f>IF($M9983="PADD I","PADD 1",IF($M9983="PADD II","PADD 2",IF($M9983="PADD III","PADD 3",IF($M9983="PADD IV","PADD 4",IF($M9983="PADD V","PADD 5","")))))</f>
        <v/>
      </c>
      <c r="G9983" s="6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  <c r="N9983" s="6">
        <f>IF(OR($G9983="FCC",$G9983="Hydrocracker",$G9983="Reformer"),IF(COUNTIFS($D:$D,$D9983,$A:$A,$A9983,$B:$B,$B9983,$G:$G,"CDU",$J:$J,"PLANNED")&gt;0,"tied","standalone"),"")</f>
        <v/>
      </c>
    </row>
    <row r="9984" spans="6:14">
      <c r="F9984" s="6">
        <f>IF($M9984="PADD I","PADD 1",IF($M9984="PADD II","PADD 2",IF($M9984="PADD III","PADD 3",IF($M9984="PADD IV","PADD 4",IF($M9984="PADD V","PADD 5","")))))</f>
        <v/>
      </c>
      <c r="G9984" s="6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  <c r="N9984" s="6">
        <f>IF(OR($G9984="FCC",$G9984="Hydrocracker",$G9984="Reformer"),IF(COUNTIFS($D:$D,$D9984,$A:$A,$A9984,$B:$B,$B9984,$G:$G,"CDU",$J:$J,"PLANNED")&gt;0,"tied","standalone"),"")</f>
        <v/>
      </c>
    </row>
    <row r="9985" spans="6:14">
      <c r="F9985" s="6">
        <f>IF($M9985="PADD I","PADD 1",IF($M9985="PADD II","PADD 2",IF($M9985="PADD III","PADD 3",IF($M9985="PADD IV","PADD 4",IF($M9985="PADD V","PADD 5","")))))</f>
        <v/>
      </c>
      <c r="G9985" s="6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  <c r="N9985" s="6">
        <f>IF(OR($G9985="FCC",$G9985="Hydrocracker",$G9985="Reformer"),IF(COUNTIFS($D:$D,$D9985,$A:$A,$A9985,$B:$B,$B9985,$G:$G,"CDU",$J:$J,"PLANNED")&gt;0,"tied","standalone"),"")</f>
        <v/>
      </c>
    </row>
    <row r="9986" spans="6:14">
      <c r="F9986" s="6">
        <f>IF($M9986="PADD I","PADD 1",IF($M9986="PADD II","PADD 2",IF($M9986="PADD III","PADD 3",IF($M9986="PADD IV","PADD 4",IF($M9986="PADD V","PADD 5","")))))</f>
        <v/>
      </c>
      <c r="G9986" s="6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  <c r="N9986" s="6">
        <f>IF(OR($G9986="FCC",$G9986="Hydrocracker",$G9986="Reformer"),IF(COUNTIFS($D:$D,$D9986,$A:$A,$A9986,$B:$B,$B9986,$G:$G,"CDU",$J:$J,"PLANNED")&gt;0,"tied","standalone"),"")</f>
        <v/>
      </c>
    </row>
    <row r="9987" spans="6:14">
      <c r="F9987" s="6">
        <f>IF($M9987="PADD I","PADD 1",IF($M9987="PADD II","PADD 2",IF($M9987="PADD III","PADD 3",IF($M9987="PADD IV","PADD 4",IF($M9987="PADD V","PADD 5","")))))</f>
        <v/>
      </c>
      <c r="G9987" s="6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  <c r="N9987" s="6">
        <f>IF(OR($G9987="FCC",$G9987="Hydrocracker",$G9987="Reformer"),IF(COUNTIFS($D:$D,$D9987,$A:$A,$A9987,$B:$B,$B9987,$G:$G,"CDU",$J:$J,"PLANNED")&gt;0,"tied","standalone"),"")</f>
        <v/>
      </c>
    </row>
    <row r="9988" spans="6:14">
      <c r="F9988" s="6">
        <f>IF($M9988="PADD I","PADD 1",IF($M9988="PADD II","PADD 2",IF($M9988="PADD III","PADD 3",IF($M9988="PADD IV","PADD 4",IF($M9988="PADD V","PADD 5","")))))</f>
        <v/>
      </c>
      <c r="G9988" s="6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  <c r="N9988" s="6">
        <f>IF(OR($G9988="FCC",$G9988="Hydrocracker",$G9988="Reformer"),IF(COUNTIFS($D:$D,$D9988,$A:$A,$A9988,$B:$B,$B9988,$G:$G,"CDU",$J:$J,"PLANNED")&gt;0,"tied","standalone"),"")</f>
        <v/>
      </c>
    </row>
    <row r="9989" spans="6:14">
      <c r="F9989" s="6">
        <f>IF($M9989="PADD I","PADD 1",IF($M9989="PADD II","PADD 2",IF($M9989="PADD III","PADD 3",IF($M9989="PADD IV","PADD 4",IF($M9989="PADD V","PADD 5","")))))</f>
        <v/>
      </c>
      <c r="G9989" s="6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  <c r="N9989" s="6">
        <f>IF(OR($G9989="FCC",$G9989="Hydrocracker",$G9989="Reformer"),IF(COUNTIFS($D:$D,$D9989,$A:$A,$A9989,$B:$B,$B9989,$G:$G,"CDU",$J:$J,"PLANNED")&gt;0,"tied","standalone"),"")</f>
        <v/>
      </c>
    </row>
    <row r="9990" spans="6:14">
      <c r="F9990" s="6">
        <f>IF($M9990="PADD I","PADD 1",IF($M9990="PADD II","PADD 2",IF($M9990="PADD III","PADD 3",IF($M9990="PADD IV","PADD 4",IF($M9990="PADD V","PADD 5","")))))</f>
        <v/>
      </c>
      <c r="G9990" s="6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  <c r="N9990" s="6">
        <f>IF(OR($G9990="FCC",$G9990="Hydrocracker",$G9990="Reformer"),IF(COUNTIFS($D:$D,$D9990,$A:$A,$A9990,$B:$B,$B9990,$G:$G,"CDU",$J:$J,"PLANNED")&gt;0,"tied","standalone"),"")</f>
        <v/>
      </c>
    </row>
    <row r="9991" spans="6:14">
      <c r="F9991" s="6">
        <f>IF($M9991="PADD I","PADD 1",IF($M9991="PADD II","PADD 2",IF($M9991="PADD III","PADD 3",IF($M9991="PADD IV","PADD 4",IF($M9991="PADD V","PADD 5","")))))</f>
        <v/>
      </c>
      <c r="G9991" s="6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  <c r="N9991" s="6">
        <f>IF(OR($G9991="FCC",$G9991="Hydrocracker",$G9991="Reformer"),IF(COUNTIFS($D:$D,$D9991,$A:$A,$A9991,$B:$B,$B9991,$G:$G,"CDU",$J:$J,"PLANNED")&gt;0,"tied","standalone"),"")</f>
        <v/>
      </c>
    </row>
    <row r="9992" spans="6:14">
      <c r="F9992" s="6">
        <f>IF($M9992="PADD I","PADD 1",IF($M9992="PADD II","PADD 2",IF($M9992="PADD III","PADD 3",IF($M9992="PADD IV","PADD 4",IF($M9992="PADD V","PADD 5","")))))</f>
        <v/>
      </c>
      <c r="G9992" s="6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  <c r="N9992" s="6">
        <f>IF(OR($G9992="FCC",$G9992="Hydrocracker",$G9992="Reformer"),IF(COUNTIFS($D:$D,$D9992,$A:$A,$A9992,$B:$B,$B9992,$G:$G,"CDU",$J:$J,"PLANNED")&gt;0,"tied","standalone"),"")</f>
        <v/>
      </c>
    </row>
    <row r="9993" spans="6:14">
      <c r="F9993" s="6">
        <f>IF($M9993="PADD I","PADD 1",IF($M9993="PADD II","PADD 2",IF($M9993="PADD III","PADD 3",IF($M9993="PADD IV","PADD 4",IF($M9993="PADD V","PADD 5","")))))</f>
        <v/>
      </c>
      <c r="G9993" s="6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  <c r="N9993" s="6">
        <f>IF(OR($G9993="FCC",$G9993="Hydrocracker",$G9993="Reformer"),IF(COUNTIFS($D:$D,$D9993,$A:$A,$A9993,$B:$B,$B9993,$G:$G,"CDU",$J:$J,"PLANNED")&gt;0,"tied","standalone"),"")</f>
        <v/>
      </c>
    </row>
    <row r="9994" spans="6:14">
      <c r="F9994" s="6">
        <f>IF($M9994="PADD I","PADD 1",IF($M9994="PADD II","PADD 2",IF($M9994="PADD III","PADD 3",IF($M9994="PADD IV","PADD 4",IF($M9994="PADD V","PADD 5","")))))</f>
        <v/>
      </c>
      <c r="G9994" s="6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  <c r="N9994" s="6">
        <f>IF(OR($G9994="FCC",$G9994="Hydrocracker",$G9994="Reformer"),IF(COUNTIFS($D:$D,$D9994,$A:$A,$A9994,$B:$B,$B9994,$G:$G,"CDU",$J:$J,"PLANNED")&gt;0,"tied","standalone"),"")</f>
        <v/>
      </c>
    </row>
    <row r="9995" spans="6:14">
      <c r="F9995" s="6">
        <f>IF($M9995="PADD I","PADD 1",IF($M9995="PADD II","PADD 2",IF($M9995="PADD III","PADD 3",IF($M9995="PADD IV","PADD 4",IF($M9995="PADD V","PADD 5","")))))</f>
        <v/>
      </c>
      <c r="G9995" s="6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  <c r="N9995" s="6">
        <f>IF(OR($G9995="FCC",$G9995="Hydrocracker",$G9995="Reformer"),IF(COUNTIFS($D:$D,$D9995,$A:$A,$A9995,$B:$B,$B9995,$G:$G,"CDU",$J:$J,"PLANNED")&gt;0,"tied","standalone"),"")</f>
        <v/>
      </c>
    </row>
    <row r="9996" spans="6:14">
      <c r="F9996" s="6">
        <f>IF($M9996="PADD I","PADD 1",IF($M9996="PADD II","PADD 2",IF($M9996="PADD III","PADD 3",IF($M9996="PADD IV","PADD 4",IF($M9996="PADD V","PADD 5","")))))</f>
        <v/>
      </c>
      <c r="G9996" s="6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  <c r="N9996" s="6">
        <f>IF(OR($G9996="FCC",$G9996="Hydrocracker",$G9996="Reformer"),IF(COUNTIFS($D:$D,$D9996,$A:$A,$A9996,$B:$B,$B9996,$G:$G,"CDU",$J:$J,"PLANNED")&gt;0,"tied","standalone"),"")</f>
        <v/>
      </c>
    </row>
    <row r="9997" spans="6:14">
      <c r="F9997" s="6">
        <f>IF($M9997="PADD I","PADD 1",IF($M9997="PADD II","PADD 2",IF($M9997="PADD III","PADD 3",IF($M9997="PADD IV","PADD 4",IF($M9997="PADD V","PADD 5","")))))</f>
        <v/>
      </c>
      <c r="G9997" s="6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  <c r="N9997" s="6">
        <f>IF(OR($G9997="FCC",$G9997="Hydrocracker",$G9997="Reformer"),IF(COUNTIFS($D:$D,$D9997,$A:$A,$A9997,$B:$B,$B9997,$G:$G,"CDU",$J:$J,"PLANNED")&gt;0,"tied","standalone"),"")</f>
        <v/>
      </c>
    </row>
    <row r="9998" spans="6:14">
      <c r="F9998" s="6">
        <f>IF($M9998="PADD I","PADD 1",IF($M9998="PADD II","PADD 2",IF($M9998="PADD III","PADD 3",IF($M9998="PADD IV","PADD 4",IF($M9998="PADD V","PADD 5","")))))</f>
        <v/>
      </c>
      <c r="G9998" s="6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  <c r="N9998" s="6">
        <f>IF(OR($G9998="FCC",$G9998="Hydrocracker",$G9998="Reformer"),IF(COUNTIFS($D:$D,$D9998,$A:$A,$A9998,$B:$B,$B9998,$G:$G,"CDU",$J:$J,"PLANNED")&gt;0,"tied","standalone"),"")</f>
        <v/>
      </c>
    </row>
    <row r="9999" spans="6:14">
      <c r="F9999" s="6">
        <f>IF($M9999="PADD I","PADD 1",IF($M9999="PADD II","PADD 2",IF($M9999="PADD III","PADD 3",IF($M9999="PADD IV","PADD 4",IF($M9999="PADD V","PADD 5","")))))</f>
        <v/>
      </c>
      <c r="G9999" s="6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  <c r="N9999" s="6">
        <f>IF(OR($G9999="FCC",$G9999="Hydrocracker",$G9999="Reformer"),IF(COUNTIFS($D:$D,$D9999,$A:$A,$A9999,$B:$B,$B9999,$G:$G,"CDU",$J:$J,"PLANNED")&gt;0,"tied","standalone"),"")</f>
        <v/>
      </c>
    </row>
    <row r="10000" spans="6:14">
      <c r="F10000" s="6">
        <f>IF($M10000="PADD I","PADD 1",IF($M10000="PADD II","PADD 2",IF($M10000="PADD III","PADD 3",IF($M10000="PADD IV","PADD 4",IF($M10000="PADD V","PADD 5","")))))</f>
        <v/>
      </c>
      <c r="G10000" s="6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  <c r="N10000" s="6">
        <f>IF(OR($G10000="FCC",$G10000="Hydrocracker",$G10000="Reformer"),IF(COUNTIFS($D:$D,$D10000,$A:$A,$A10000,$B:$B,$B10000,$G:$G,"CDU",$J:$J,"PLANNED")&gt;0,"tied","standalone"),"")</f>
        <v/>
      </c>
    </row>
    <row r="10001" spans="6:14">
      <c r="F10001" s="6">
        <f>IF($M10001="PADD I","PADD 1",IF($M10001="PADD II","PADD 2",IF($M10001="PADD III","PADD 3",IF($M10001="PADD IV","PADD 4",IF($M10001="PADD V","PADD 5","")))))</f>
        <v/>
      </c>
      <c r="G10001" s="6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  <c r="N10001" s="6">
        <f>IF(OR($G10001="FCC",$G10001="Hydrocracker",$G10001="Reformer"),IF(COUNTIFS($D:$D,$D10001,$A:$A,$A10001,$B:$B,$B10001,$G:$G,"CDU",$J:$J,"PLANNED")&gt;0,"tied","standalone"),"")</f>
        <v/>
      </c>
    </row>
    <row r="10002" spans="6:14">
      <c r="F10002" s="6">
        <f>IF($M10002="PADD I","PADD 1",IF($M10002="PADD II","PADD 2",IF($M10002="PADD III","PADD 3",IF($M10002="PADD IV","PADD 4",IF($M10002="PADD V","PADD 5","")))))</f>
        <v/>
      </c>
      <c r="G10002" s="6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  <c r="N10002" s="6">
        <f>IF(OR($G10002="FCC",$G10002="Hydrocracker",$G10002="Reformer"),IF(COUNTIFS($D:$D,$D10002,$A:$A,$A10002,$B:$B,$B10002,$G:$G,"CDU",$J:$J,"PLANNED")&gt;0,"tied","standalone"),"")</f>
        <v/>
      </c>
    </row>
    <row r="10003" spans="6:14">
      <c r="F10003" s="6">
        <f>IF($M10003="PADD I","PADD 1",IF($M10003="PADD II","PADD 2",IF($M10003="PADD III","PADD 3",IF($M10003="PADD IV","PADD 4",IF($M10003="PADD V","PADD 5","")))))</f>
        <v/>
      </c>
      <c r="G10003" s="6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  <c r="N10003" s="6">
        <f>IF(OR($G10003="FCC",$G10003="Hydrocracker",$G10003="Reformer"),IF(COUNTIFS($D:$D,$D10003,$A:$A,$A10003,$B:$B,$B10003,$G:$G,"CDU",$J:$J,"PLANNED")&gt;0,"tied","standalone"),"")</f>
        <v/>
      </c>
    </row>
    <row r="10004" spans="6:14">
      <c r="F10004" s="6">
        <f>IF($M10004="PADD I","PADD 1",IF($M10004="PADD II","PADD 2",IF($M10004="PADD III","PADD 3",IF($M10004="PADD IV","PADD 4",IF($M10004="PADD V","PADD 5","")))))</f>
        <v/>
      </c>
      <c r="G10004" s="6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  <c r="N10004" s="6">
        <f>IF(OR($G10004="FCC",$G10004="Hydrocracker",$G10004="Reformer"),IF(COUNTIFS($D:$D,$D10004,$A:$A,$A10004,$B:$B,$B10004,$G:$G,"CDU",$J:$J,"PLANNED")&gt;0,"tied","standalone"),"")</f>
        <v/>
      </c>
    </row>
    <row r="10005" spans="6:14">
      <c r="F10005" s="6">
        <f>IF($M10005="PADD I","PADD 1",IF($M10005="PADD II","PADD 2",IF($M10005="PADD III","PADD 3",IF($M10005="PADD IV","PADD 4",IF($M10005="PADD V","PADD 5","")))))</f>
        <v/>
      </c>
      <c r="G10005" s="6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  <c r="N10005" s="6">
        <f>IF(OR($G10005="FCC",$G10005="Hydrocracker",$G10005="Reformer"),IF(COUNTIFS($D:$D,$D10005,$A:$A,$A10005,$B:$B,$B10005,$G:$G,"CDU",$J:$J,"PLANNED")&gt;0,"tied","standalone"),"")</f>
        <v/>
      </c>
    </row>
    <row r="10006" spans="6:14">
      <c r="F10006" s="6">
        <f>IF($M10006="PADD I","PADD 1",IF($M10006="PADD II","PADD 2",IF($M10006="PADD III","PADD 3",IF($M10006="PADD IV","PADD 4",IF($M10006="PADD V","PADD 5","")))))</f>
        <v/>
      </c>
      <c r="G10006" s="6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  <c r="N10006" s="6">
        <f>IF(OR($G10006="FCC",$G10006="Hydrocracker",$G10006="Reformer"),IF(COUNTIFS($D:$D,$D10006,$A:$A,$A10006,$B:$B,$B10006,$G:$G,"CDU",$J:$J,"PLANNED")&gt;0,"tied","standalone"),"")</f>
        <v/>
      </c>
    </row>
    <row r="10007" spans="6:14">
      <c r="F10007" s="6">
        <f>IF($M10007="PADD I","PADD 1",IF($M10007="PADD II","PADD 2",IF($M10007="PADD III","PADD 3",IF($M10007="PADD IV","PADD 4",IF($M10007="PADD V","PADD 5","")))))</f>
        <v/>
      </c>
      <c r="G10007" s="6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  <c r="N10007" s="6">
        <f>IF(OR($G10007="FCC",$G10007="Hydrocracker",$G10007="Reformer"),IF(COUNTIFS($D:$D,$D10007,$A:$A,$A10007,$B:$B,$B10007,$G:$G,"CDU",$J:$J,"PLANNED")&gt;0,"tied","standalone"),"")</f>
        <v/>
      </c>
    </row>
    <row r="10008" spans="6:14">
      <c r="F10008" s="6">
        <f>IF($M10008="PADD I","PADD 1",IF($M10008="PADD II","PADD 2",IF($M10008="PADD III","PADD 3",IF($M10008="PADD IV","PADD 4",IF($M10008="PADD V","PADD 5","")))))</f>
        <v/>
      </c>
      <c r="G10008" s="6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  <c r="N10008" s="6">
        <f>IF(OR($G10008="FCC",$G10008="Hydrocracker",$G10008="Reformer"),IF(COUNTIFS($D:$D,$D10008,$A:$A,$A10008,$B:$B,$B10008,$G:$G,"CDU",$J:$J,"PLANNED")&gt;0,"tied","standalone"),"")</f>
        <v/>
      </c>
    </row>
    <row r="10009" spans="6:14">
      <c r="F10009" s="6">
        <f>IF($M10009="PADD I","PADD 1",IF($M10009="PADD II","PADD 2",IF($M10009="PADD III","PADD 3",IF($M10009="PADD IV","PADD 4",IF($M10009="PADD V","PADD 5","")))))</f>
        <v/>
      </c>
      <c r="G10009" s="6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  <c r="N10009" s="6">
        <f>IF(OR($G10009="FCC",$G10009="Hydrocracker",$G10009="Reformer"),IF(COUNTIFS($D:$D,$D10009,$A:$A,$A10009,$B:$B,$B10009,$G:$G,"CDU",$J:$J,"PLANNED")&gt;0,"tied","standalone"),"")</f>
        <v/>
      </c>
    </row>
    <row r="10010" spans="6:14">
      <c r="F10010" s="6">
        <f>IF($M10010="PADD I","PADD 1",IF($M10010="PADD II","PADD 2",IF($M10010="PADD III","PADD 3",IF($M10010="PADD IV","PADD 4",IF($M10010="PADD V","PADD 5","")))))</f>
        <v/>
      </c>
      <c r="G10010" s="6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  <c r="N10010" s="6">
        <f>IF(OR($G10010="FCC",$G10010="Hydrocracker",$G10010="Reformer"),IF(COUNTIFS($D:$D,$D10010,$A:$A,$A10010,$B:$B,$B10010,$G:$G,"CDU",$J:$J,"PLANNED")&gt;0,"tied","standalone"),"")</f>
        <v/>
      </c>
    </row>
    <row r="10011" spans="6:14">
      <c r="F10011" s="6">
        <f>IF($M10011="PADD I","PADD 1",IF($M10011="PADD II","PADD 2",IF($M10011="PADD III","PADD 3",IF($M10011="PADD IV","PADD 4",IF($M10011="PADD V","PADD 5","")))))</f>
        <v/>
      </c>
      <c r="G10011" s="6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  <c r="N10011" s="6">
        <f>IF(OR($G10011="FCC",$G10011="Hydrocracker",$G10011="Reformer"),IF(COUNTIFS($D:$D,$D10011,$A:$A,$A10011,$B:$B,$B10011,$G:$G,"CDU",$J:$J,"PLANNED")&gt;0,"tied","standalone"),"")</f>
        <v/>
      </c>
    </row>
    <row r="10012" spans="6:14">
      <c r="F10012" s="6">
        <f>IF($M10012="PADD I","PADD 1",IF($M10012="PADD II","PADD 2",IF($M10012="PADD III","PADD 3",IF($M10012="PADD IV","PADD 4",IF($M10012="PADD V","PADD 5","")))))</f>
        <v/>
      </c>
      <c r="G10012" s="6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  <c r="N10012" s="6">
        <f>IF(OR($G10012="FCC",$G10012="Hydrocracker",$G10012="Reformer"),IF(COUNTIFS($D:$D,$D10012,$A:$A,$A10012,$B:$B,$B10012,$G:$G,"CDU",$J:$J,"PLANNED")&gt;0,"tied","standalone"),"")</f>
        <v/>
      </c>
    </row>
    <row r="10013" spans="6:14">
      <c r="F10013" s="6">
        <f>IF($M10013="PADD I","PADD 1",IF($M10013="PADD II","PADD 2",IF($M10013="PADD III","PADD 3",IF($M10013="PADD IV","PADD 4",IF($M10013="PADD V","PADD 5","")))))</f>
        <v/>
      </c>
      <c r="G10013" s="6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  <c r="N10013" s="6">
        <f>IF(OR($G10013="FCC",$G10013="Hydrocracker",$G10013="Reformer"),IF(COUNTIFS($D:$D,$D10013,$A:$A,$A10013,$B:$B,$B10013,$G:$G,"CDU",$J:$J,"PLANNED")&gt;0,"tied","standalone"),"")</f>
        <v/>
      </c>
    </row>
    <row r="10014" spans="6:14">
      <c r="F10014" s="6">
        <f>IF($M10014="PADD I","PADD 1",IF($M10014="PADD II","PADD 2",IF($M10014="PADD III","PADD 3",IF($M10014="PADD IV","PADD 4",IF($M10014="PADD V","PADD 5","")))))</f>
        <v/>
      </c>
      <c r="G10014" s="6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  <c r="N10014" s="6">
        <f>IF(OR($G10014="FCC",$G10014="Hydrocracker",$G10014="Reformer"),IF(COUNTIFS($D:$D,$D10014,$A:$A,$A10014,$B:$B,$B10014,$G:$G,"CDU",$J:$J,"PLANNED")&gt;0,"tied","standalone"),"")</f>
        <v/>
      </c>
    </row>
    <row r="10015" spans="6:14">
      <c r="F10015" s="6">
        <f>IF($M10015="PADD I","PADD 1",IF($M10015="PADD II","PADD 2",IF($M10015="PADD III","PADD 3",IF($M10015="PADD IV","PADD 4",IF($M10015="PADD V","PADD 5","")))))</f>
        <v/>
      </c>
      <c r="G10015" s="6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  <c r="N10015" s="6">
        <f>IF(OR($G10015="FCC",$G10015="Hydrocracker",$G10015="Reformer"),IF(COUNTIFS($D:$D,$D10015,$A:$A,$A10015,$B:$B,$B10015,$G:$G,"CDU",$J:$J,"PLANNED")&gt;0,"tied","standalone"),"")</f>
        <v/>
      </c>
    </row>
    <row r="10016" spans="6:14">
      <c r="F10016" s="6">
        <f>IF($M10016="PADD I","PADD 1",IF($M10016="PADD II","PADD 2",IF($M10016="PADD III","PADD 3",IF($M10016="PADD IV","PADD 4",IF($M10016="PADD V","PADD 5","")))))</f>
        <v/>
      </c>
      <c r="G10016" s="6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  <c r="N10016" s="6">
        <f>IF(OR($G10016="FCC",$G10016="Hydrocracker",$G10016="Reformer"),IF(COUNTIFS($D:$D,$D10016,$A:$A,$A10016,$B:$B,$B10016,$G:$G,"CDU",$J:$J,"PLANNED")&gt;0,"tied","standalone"),"")</f>
        <v/>
      </c>
    </row>
    <row r="10017" spans="6:14">
      <c r="F10017" s="6">
        <f>IF($M10017="PADD I","PADD 1",IF($M10017="PADD II","PADD 2",IF($M10017="PADD III","PADD 3",IF($M10017="PADD IV","PADD 4",IF($M10017="PADD V","PADD 5","")))))</f>
        <v/>
      </c>
      <c r="G10017" s="6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  <c r="N10017" s="6">
        <f>IF(OR($G10017="FCC",$G10017="Hydrocracker",$G10017="Reformer"),IF(COUNTIFS($D:$D,$D10017,$A:$A,$A10017,$B:$B,$B10017,$G:$G,"CDU",$J:$J,"PLANNED")&gt;0,"tied","standalone"),"")</f>
        <v/>
      </c>
    </row>
    <row r="10018" spans="6:14">
      <c r="F10018" s="6">
        <f>IF($M10018="PADD I","PADD 1",IF($M10018="PADD II","PADD 2",IF($M10018="PADD III","PADD 3",IF($M10018="PADD IV","PADD 4",IF($M10018="PADD V","PADD 5","")))))</f>
        <v/>
      </c>
      <c r="G10018" s="6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  <c r="N10018" s="6">
        <f>IF(OR($G10018="FCC",$G10018="Hydrocracker",$G10018="Reformer"),IF(COUNTIFS($D:$D,$D10018,$A:$A,$A10018,$B:$B,$B10018,$G:$G,"CDU",$J:$J,"PLANNED")&gt;0,"tied","standalone"),"")</f>
        <v/>
      </c>
    </row>
    <row r="10019" spans="6:14">
      <c r="F10019" s="6">
        <f>IF($M10019="PADD I","PADD 1",IF($M10019="PADD II","PADD 2",IF($M10019="PADD III","PADD 3",IF($M10019="PADD IV","PADD 4",IF($M10019="PADD V","PADD 5","")))))</f>
        <v/>
      </c>
      <c r="G10019" s="6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  <c r="N10019" s="6">
        <f>IF(OR($G10019="FCC",$G10019="Hydrocracker",$G10019="Reformer"),IF(COUNTIFS($D:$D,$D10019,$A:$A,$A10019,$B:$B,$B10019,$G:$G,"CDU",$J:$J,"PLANNED")&gt;0,"tied","standalone"),"")</f>
        <v/>
      </c>
    </row>
    <row r="10020" spans="6:14">
      <c r="F10020" s="6">
        <f>IF($M10020="PADD I","PADD 1",IF($M10020="PADD II","PADD 2",IF($M10020="PADD III","PADD 3",IF($M10020="PADD IV","PADD 4",IF($M10020="PADD V","PADD 5","")))))</f>
        <v/>
      </c>
      <c r="G10020" s="6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  <c r="N10020" s="6">
        <f>IF(OR($G10020="FCC",$G10020="Hydrocracker",$G10020="Reformer"),IF(COUNTIFS($D:$D,$D10020,$A:$A,$A10020,$B:$B,$B10020,$G:$G,"CDU",$J:$J,"PLANNED")&gt;0,"tied","standalone"),"")</f>
        <v/>
      </c>
    </row>
    <row r="10021" spans="6:14">
      <c r="F10021" s="6">
        <f>IF($M10021="PADD I","PADD 1",IF($M10021="PADD II","PADD 2",IF($M10021="PADD III","PADD 3",IF($M10021="PADD IV","PADD 4",IF($M10021="PADD V","PADD 5","")))))</f>
        <v/>
      </c>
      <c r="G10021" s="6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  <c r="N10021" s="6">
        <f>IF(OR($G10021="FCC",$G10021="Hydrocracker",$G10021="Reformer"),IF(COUNTIFS($D:$D,$D10021,$A:$A,$A10021,$B:$B,$B10021,$G:$G,"CDU",$J:$J,"PLANNED")&gt;0,"tied","standalone"),"")</f>
        <v/>
      </c>
    </row>
    <row r="10022" spans="6:14">
      <c r="F10022" s="6">
        <f>IF($M10022="PADD I","PADD 1",IF($M10022="PADD II","PADD 2",IF($M10022="PADD III","PADD 3",IF($M10022="PADD IV","PADD 4",IF($M10022="PADD V","PADD 5","")))))</f>
        <v/>
      </c>
      <c r="G10022" s="6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  <c r="N10022" s="6">
        <f>IF(OR($G10022="FCC",$G10022="Hydrocracker",$G10022="Reformer"),IF(COUNTIFS($D:$D,$D10022,$A:$A,$A10022,$B:$B,$B10022,$G:$G,"CDU",$J:$J,"PLANNED")&gt;0,"tied","standalone"),"")</f>
        <v/>
      </c>
    </row>
    <row r="10023" spans="6:14">
      <c r="F10023" s="6">
        <f>IF($M10023="PADD I","PADD 1",IF($M10023="PADD II","PADD 2",IF($M10023="PADD III","PADD 3",IF($M10023="PADD IV","PADD 4",IF($M10023="PADD V","PADD 5","")))))</f>
        <v/>
      </c>
      <c r="G10023" s="6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  <c r="N10023" s="6">
        <f>IF(OR($G10023="FCC",$G10023="Hydrocracker",$G10023="Reformer"),IF(COUNTIFS($D:$D,$D10023,$A:$A,$A10023,$B:$B,$B10023,$G:$G,"CDU",$J:$J,"PLANNED")&gt;0,"tied","standalone"),"")</f>
        <v/>
      </c>
    </row>
    <row r="10024" spans="6:14">
      <c r="F10024" s="6">
        <f>IF($M10024="PADD I","PADD 1",IF($M10024="PADD II","PADD 2",IF($M10024="PADD III","PADD 3",IF($M10024="PADD IV","PADD 4",IF($M10024="PADD V","PADD 5","")))))</f>
        <v/>
      </c>
      <c r="G10024" s="6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  <c r="N10024" s="6">
        <f>IF(OR($G10024="FCC",$G10024="Hydrocracker",$G10024="Reformer"),IF(COUNTIFS($D:$D,$D10024,$A:$A,$A10024,$B:$B,$B10024,$G:$G,"CDU",$J:$J,"PLANNED")&gt;0,"tied","standalone"),"")</f>
        <v/>
      </c>
    </row>
    <row r="10025" spans="6:14">
      <c r="F10025" s="6">
        <f>IF($M10025="PADD I","PADD 1",IF($M10025="PADD II","PADD 2",IF($M10025="PADD III","PADD 3",IF($M10025="PADD IV","PADD 4",IF($M10025="PADD V","PADD 5","")))))</f>
        <v/>
      </c>
      <c r="G10025" s="6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  <c r="N10025" s="6">
        <f>IF(OR($G10025="FCC",$G10025="Hydrocracker",$G10025="Reformer"),IF(COUNTIFS($D:$D,$D10025,$A:$A,$A10025,$B:$B,$B10025,$G:$G,"CDU",$J:$J,"PLANNED")&gt;0,"tied","standalone"),"")</f>
        <v/>
      </c>
    </row>
    <row r="10026" spans="6:14">
      <c r="F10026" s="6">
        <f>IF($M10026="PADD I","PADD 1",IF($M10026="PADD II","PADD 2",IF($M10026="PADD III","PADD 3",IF($M10026="PADD IV","PADD 4",IF($M10026="PADD V","PADD 5","")))))</f>
        <v/>
      </c>
      <c r="G10026" s="6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  <c r="N10026" s="6">
        <f>IF(OR($G10026="FCC",$G10026="Hydrocracker",$G10026="Reformer"),IF(COUNTIFS($D:$D,$D10026,$A:$A,$A10026,$B:$B,$B10026,$G:$G,"CDU",$J:$J,"PLANNED")&gt;0,"tied","standalone"),"")</f>
        <v/>
      </c>
    </row>
    <row r="10027" spans="6:14">
      <c r="F10027" s="6">
        <f>IF($M10027="PADD I","PADD 1",IF($M10027="PADD II","PADD 2",IF($M10027="PADD III","PADD 3",IF($M10027="PADD IV","PADD 4",IF($M10027="PADD V","PADD 5","")))))</f>
        <v/>
      </c>
      <c r="G10027" s="6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  <c r="N10027" s="6">
        <f>IF(OR($G10027="FCC",$G10027="Hydrocracker",$G10027="Reformer"),IF(COUNTIFS($D:$D,$D10027,$A:$A,$A10027,$B:$B,$B10027,$G:$G,"CDU",$J:$J,"PLANNED")&gt;0,"tied","standalone"),"")</f>
        <v/>
      </c>
    </row>
    <row r="10028" spans="6:14">
      <c r="F10028" s="6">
        <f>IF($M10028="PADD I","PADD 1",IF($M10028="PADD II","PADD 2",IF($M10028="PADD III","PADD 3",IF($M10028="PADD IV","PADD 4",IF($M10028="PADD V","PADD 5","")))))</f>
        <v/>
      </c>
      <c r="G10028" s="6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  <c r="N10028" s="6">
        <f>IF(OR($G10028="FCC",$G10028="Hydrocracker",$G10028="Reformer"),IF(COUNTIFS($D:$D,$D10028,$A:$A,$A10028,$B:$B,$B10028,$G:$G,"CDU",$J:$J,"PLANNED")&gt;0,"tied","standalone"),"")</f>
        <v/>
      </c>
    </row>
    <row r="10029" spans="6:14">
      <c r="F10029" s="6">
        <f>IF($M10029="PADD I","PADD 1",IF($M10029="PADD II","PADD 2",IF($M10029="PADD III","PADD 3",IF($M10029="PADD IV","PADD 4",IF($M10029="PADD V","PADD 5","")))))</f>
        <v/>
      </c>
      <c r="G10029" s="6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  <c r="N10029" s="6">
        <f>IF(OR($G10029="FCC",$G10029="Hydrocracker",$G10029="Reformer"),IF(COUNTIFS($D:$D,$D10029,$A:$A,$A10029,$B:$B,$B10029,$G:$G,"CDU",$J:$J,"PLANNED")&gt;0,"tied","standalone"),"")</f>
        <v/>
      </c>
    </row>
    <row r="10030" spans="6:14">
      <c r="F10030" s="6">
        <f>IF($M10030="PADD I","PADD 1",IF($M10030="PADD II","PADD 2",IF($M10030="PADD III","PADD 3",IF($M10030="PADD IV","PADD 4",IF($M10030="PADD V","PADD 5","")))))</f>
        <v/>
      </c>
      <c r="G10030" s="6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  <c r="N10030" s="6">
        <f>IF(OR($G10030="FCC",$G10030="Hydrocracker",$G10030="Reformer"),IF(COUNTIFS($D:$D,$D10030,$A:$A,$A10030,$B:$B,$B10030,$G:$G,"CDU",$J:$J,"PLANNED")&gt;0,"tied","standalone"),"")</f>
        <v/>
      </c>
    </row>
    <row r="10031" spans="6:14">
      <c r="F10031" s="6">
        <f>IF($M10031="PADD I","PADD 1",IF($M10031="PADD II","PADD 2",IF($M10031="PADD III","PADD 3",IF($M10031="PADD IV","PADD 4",IF($M10031="PADD V","PADD 5","")))))</f>
        <v/>
      </c>
      <c r="G10031" s="6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  <c r="N10031" s="6">
        <f>IF(OR($G10031="FCC",$G10031="Hydrocracker",$G10031="Reformer"),IF(COUNTIFS($D:$D,$D10031,$A:$A,$A10031,$B:$B,$B10031,$G:$G,"CDU",$J:$J,"PLANNED")&gt;0,"tied","standalone"),"")</f>
        <v/>
      </c>
    </row>
    <row r="10032" spans="6:14">
      <c r="F10032" s="6">
        <f>IF($M10032="PADD I","PADD 1",IF($M10032="PADD II","PADD 2",IF($M10032="PADD III","PADD 3",IF($M10032="PADD IV","PADD 4",IF($M10032="PADD V","PADD 5","")))))</f>
        <v/>
      </c>
      <c r="G10032" s="6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  <c r="N10032" s="6">
        <f>IF(OR($G10032="FCC",$G10032="Hydrocracker",$G10032="Reformer"),IF(COUNTIFS($D:$D,$D10032,$A:$A,$A10032,$B:$B,$B10032,$G:$G,"CDU",$J:$J,"PLANNED")&gt;0,"tied","standalone"),"")</f>
        <v/>
      </c>
    </row>
    <row r="10033" spans="6:14">
      <c r="F10033" s="6">
        <f>IF($M10033="PADD I","PADD 1",IF($M10033="PADD II","PADD 2",IF($M10033="PADD III","PADD 3",IF($M10033="PADD IV","PADD 4",IF($M10033="PADD V","PADD 5","")))))</f>
        <v/>
      </c>
      <c r="G10033" s="6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  <c r="N10033" s="6">
        <f>IF(OR($G10033="FCC",$G10033="Hydrocracker",$G10033="Reformer"),IF(COUNTIFS($D:$D,$D10033,$A:$A,$A10033,$B:$B,$B10033,$G:$G,"CDU",$J:$J,"PLANNED")&gt;0,"tied","standalone"),"")</f>
        <v/>
      </c>
    </row>
    <row r="10034" spans="6:14">
      <c r="F10034" s="6">
        <f>IF($M10034="PADD I","PADD 1",IF($M10034="PADD II","PADD 2",IF($M10034="PADD III","PADD 3",IF($M10034="PADD IV","PADD 4",IF($M10034="PADD V","PADD 5","")))))</f>
        <v/>
      </c>
      <c r="G10034" s="6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  <c r="N10034" s="6">
        <f>IF(OR($G10034="FCC",$G10034="Hydrocracker",$G10034="Reformer"),IF(COUNTIFS($D:$D,$D10034,$A:$A,$A10034,$B:$B,$B10034,$G:$G,"CDU",$J:$J,"PLANNED")&gt;0,"tied","standalone"),"")</f>
        <v/>
      </c>
    </row>
    <row r="10035" spans="6:14">
      <c r="F10035" s="6">
        <f>IF($M10035="PADD I","PADD 1",IF($M10035="PADD II","PADD 2",IF($M10035="PADD III","PADD 3",IF($M10035="PADD IV","PADD 4",IF($M10035="PADD V","PADD 5","")))))</f>
        <v/>
      </c>
      <c r="G10035" s="6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  <c r="N10035" s="6">
        <f>IF(OR($G10035="FCC",$G10035="Hydrocracker",$G10035="Reformer"),IF(COUNTIFS($D:$D,$D10035,$A:$A,$A10035,$B:$B,$B10035,$G:$G,"CDU",$J:$J,"PLANNED")&gt;0,"tied","standalone"),"")</f>
        <v/>
      </c>
    </row>
    <row r="10036" spans="6:14">
      <c r="F10036" s="6">
        <f>IF($M10036="PADD I","PADD 1",IF($M10036="PADD II","PADD 2",IF($M10036="PADD III","PADD 3",IF($M10036="PADD IV","PADD 4",IF($M10036="PADD V","PADD 5","")))))</f>
        <v/>
      </c>
      <c r="G10036" s="6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  <c r="N10036" s="6">
        <f>IF(OR($G10036="FCC",$G10036="Hydrocracker",$G10036="Reformer"),IF(COUNTIFS($D:$D,$D10036,$A:$A,$A10036,$B:$B,$B10036,$G:$G,"CDU",$J:$J,"PLANNED")&gt;0,"tied","standalone"),"")</f>
        <v/>
      </c>
    </row>
    <row r="10037" spans="6:14">
      <c r="F10037" s="6">
        <f>IF($M10037="PADD I","PADD 1",IF($M10037="PADD II","PADD 2",IF($M10037="PADD III","PADD 3",IF($M10037="PADD IV","PADD 4",IF($M10037="PADD V","PADD 5","")))))</f>
        <v/>
      </c>
      <c r="G10037" s="6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  <c r="N10037" s="6">
        <f>IF(OR($G10037="FCC",$G10037="Hydrocracker",$G10037="Reformer"),IF(COUNTIFS($D:$D,$D10037,$A:$A,$A10037,$B:$B,$B10037,$G:$G,"CDU",$J:$J,"PLANNED")&gt;0,"tied","standalone"),"")</f>
        <v/>
      </c>
    </row>
    <row r="10038" spans="6:14">
      <c r="F10038" s="6">
        <f>IF($M10038="PADD I","PADD 1",IF($M10038="PADD II","PADD 2",IF($M10038="PADD III","PADD 3",IF($M10038="PADD IV","PADD 4",IF($M10038="PADD V","PADD 5","")))))</f>
        <v/>
      </c>
      <c r="G10038" s="6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  <c r="N10038" s="6">
        <f>IF(OR($G10038="FCC",$G10038="Hydrocracker",$G10038="Reformer"),IF(COUNTIFS($D:$D,$D10038,$A:$A,$A10038,$B:$B,$B10038,$G:$G,"CDU",$J:$J,"PLANNED")&gt;0,"tied","standalone"),"")</f>
        <v/>
      </c>
    </row>
    <row r="10039" spans="6:14">
      <c r="F10039" s="6">
        <f>IF($M10039="PADD I","PADD 1",IF($M10039="PADD II","PADD 2",IF($M10039="PADD III","PADD 3",IF($M10039="PADD IV","PADD 4",IF($M10039="PADD V","PADD 5","")))))</f>
        <v/>
      </c>
      <c r="G10039" s="6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  <c r="N10039" s="6">
        <f>IF(OR($G10039="FCC",$G10039="Hydrocracker",$G10039="Reformer"),IF(COUNTIFS($D:$D,$D10039,$A:$A,$A10039,$B:$B,$B10039,$G:$G,"CDU",$J:$J,"PLANNED")&gt;0,"tied","standalone"),"")</f>
        <v/>
      </c>
    </row>
    <row r="10040" spans="6:14">
      <c r="F10040" s="6">
        <f>IF($M10040="PADD I","PADD 1",IF($M10040="PADD II","PADD 2",IF($M10040="PADD III","PADD 3",IF($M10040="PADD IV","PADD 4",IF($M10040="PADD V","PADD 5","")))))</f>
        <v/>
      </c>
      <c r="G10040" s="6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  <c r="N10040" s="6">
        <f>IF(OR($G10040="FCC",$G10040="Hydrocracker",$G10040="Reformer"),IF(COUNTIFS($D:$D,$D10040,$A:$A,$A10040,$B:$B,$B10040,$G:$G,"CDU",$J:$J,"PLANNED")&gt;0,"tied","standalone"),"")</f>
        <v/>
      </c>
    </row>
    <row r="10041" spans="6:14">
      <c r="F10041" s="6">
        <f>IF($M10041="PADD I","PADD 1",IF($M10041="PADD II","PADD 2",IF($M10041="PADD III","PADD 3",IF($M10041="PADD IV","PADD 4",IF($M10041="PADD V","PADD 5","")))))</f>
        <v/>
      </c>
      <c r="G10041" s="6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  <c r="N10041" s="6">
        <f>IF(OR($G10041="FCC",$G10041="Hydrocracker",$G10041="Reformer"),IF(COUNTIFS($D:$D,$D10041,$A:$A,$A10041,$B:$B,$B10041,$G:$G,"CDU",$J:$J,"PLANNED")&gt;0,"tied","standalone"),"")</f>
        <v/>
      </c>
    </row>
    <row r="10042" spans="6:14">
      <c r="F10042" s="6">
        <f>IF($M10042="PADD I","PADD 1",IF($M10042="PADD II","PADD 2",IF($M10042="PADD III","PADD 3",IF($M10042="PADD IV","PADD 4",IF($M10042="PADD V","PADD 5","")))))</f>
        <v/>
      </c>
      <c r="G10042" s="6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  <c r="N10042" s="6">
        <f>IF(OR($G10042="FCC",$G10042="Hydrocracker",$G10042="Reformer"),IF(COUNTIFS($D:$D,$D10042,$A:$A,$A10042,$B:$B,$B10042,$G:$G,"CDU",$J:$J,"PLANNED")&gt;0,"tied","standalone"),"")</f>
        <v/>
      </c>
    </row>
    <row r="10043" spans="6:14">
      <c r="F10043" s="6">
        <f>IF($M10043="PADD I","PADD 1",IF($M10043="PADD II","PADD 2",IF($M10043="PADD III","PADD 3",IF($M10043="PADD IV","PADD 4",IF($M10043="PADD V","PADD 5","")))))</f>
        <v/>
      </c>
      <c r="G10043" s="6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  <c r="N10043" s="6">
        <f>IF(OR($G10043="FCC",$G10043="Hydrocracker",$G10043="Reformer"),IF(COUNTIFS($D:$D,$D10043,$A:$A,$A10043,$B:$B,$B10043,$G:$G,"CDU",$J:$J,"PLANNED")&gt;0,"tied","standalone"),"")</f>
        <v/>
      </c>
    </row>
    <row r="10044" spans="6:14">
      <c r="F10044" s="6">
        <f>IF($M10044="PADD I","PADD 1",IF($M10044="PADD II","PADD 2",IF($M10044="PADD III","PADD 3",IF($M10044="PADD IV","PADD 4",IF($M10044="PADD V","PADD 5","")))))</f>
        <v/>
      </c>
      <c r="G10044" s="6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  <c r="N10044" s="6">
        <f>IF(OR($G10044="FCC",$G10044="Hydrocracker",$G10044="Reformer"),IF(COUNTIFS($D:$D,$D10044,$A:$A,$A10044,$B:$B,$B10044,$G:$G,"CDU",$J:$J,"PLANNED")&gt;0,"tied","standalone"),"")</f>
        <v/>
      </c>
    </row>
    <row r="10045" spans="6:14">
      <c r="F10045" s="6">
        <f>IF($M10045="PADD I","PADD 1",IF($M10045="PADD II","PADD 2",IF($M10045="PADD III","PADD 3",IF($M10045="PADD IV","PADD 4",IF($M10045="PADD V","PADD 5","")))))</f>
        <v/>
      </c>
      <c r="G10045" s="6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  <c r="N10045" s="6">
        <f>IF(OR($G10045="FCC",$G10045="Hydrocracker",$G10045="Reformer"),IF(COUNTIFS($D:$D,$D10045,$A:$A,$A10045,$B:$B,$B10045,$G:$G,"CDU",$J:$J,"PLANNED")&gt;0,"tied","standalone"),"")</f>
        <v/>
      </c>
    </row>
    <row r="10046" spans="6:14">
      <c r="F10046" s="6">
        <f>IF($M10046="PADD I","PADD 1",IF($M10046="PADD II","PADD 2",IF($M10046="PADD III","PADD 3",IF($M10046="PADD IV","PADD 4",IF($M10046="PADD V","PADD 5","")))))</f>
        <v/>
      </c>
      <c r="G10046" s="6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  <c r="N10046" s="6">
        <f>IF(OR($G10046="FCC",$G10046="Hydrocracker",$G10046="Reformer"),IF(COUNTIFS($D:$D,$D10046,$A:$A,$A10046,$B:$B,$B10046,$G:$G,"CDU",$J:$J,"PLANNED")&gt;0,"tied","standalone"),"")</f>
        <v/>
      </c>
    </row>
    <row r="10047" spans="6:14">
      <c r="F10047" s="6">
        <f>IF($M10047="PADD I","PADD 1",IF($M10047="PADD II","PADD 2",IF($M10047="PADD III","PADD 3",IF($M10047="PADD IV","PADD 4",IF($M10047="PADD V","PADD 5","")))))</f>
        <v/>
      </c>
      <c r="G10047" s="6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  <c r="N10047" s="6">
        <f>IF(OR($G10047="FCC",$G10047="Hydrocracker",$G10047="Reformer"),IF(COUNTIFS($D:$D,$D10047,$A:$A,$A10047,$B:$B,$B10047,$G:$G,"CDU",$J:$J,"PLANNED")&gt;0,"tied","standalone"),"")</f>
        <v/>
      </c>
    </row>
    <row r="10048" spans="6:14">
      <c r="F10048" s="6">
        <f>IF($M10048="PADD I","PADD 1",IF($M10048="PADD II","PADD 2",IF($M10048="PADD III","PADD 3",IF($M10048="PADD IV","PADD 4",IF($M10048="PADD V","PADD 5","")))))</f>
        <v/>
      </c>
      <c r="G10048" s="6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  <c r="N10048" s="6">
        <f>IF(OR($G10048="FCC",$G10048="Hydrocracker",$G10048="Reformer"),IF(COUNTIFS($D:$D,$D10048,$A:$A,$A10048,$B:$B,$B10048,$G:$G,"CDU",$J:$J,"PLANNED")&gt;0,"tied","standalone"),"")</f>
        <v/>
      </c>
    </row>
    <row r="10049" spans="6:14">
      <c r="F10049" s="6">
        <f>IF($M10049="PADD I","PADD 1",IF($M10049="PADD II","PADD 2",IF($M10049="PADD III","PADD 3",IF($M10049="PADD IV","PADD 4",IF($M10049="PADD V","PADD 5","")))))</f>
        <v/>
      </c>
      <c r="G10049" s="6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  <c r="N10049" s="6">
        <f>IF(OR($G10049="FCC",$G10049="Hydrocracker",$G10049="Reformer"),IF(COUNTIFS($D:$D,$D10049,$A:$A,$A10049,$B:$B,$B10049,$G:$G,"CDU",$J:$J,"PLANNED")&gt;0,"tied","standalone"),"")</f>
        <v/>
      </c>
    </row>
    <row r="10050" spans="6:14">
      <c r="F10050" s="6">
        <f>IF($M10050="PADD I","PADD 1",IF($M10050="PADD II","PADD 2",IF($M10050="PADD III","PADD 3",IF($M10050="PADD IV","PADD 4",IF($M10050="PADD V","PADD 5","")))))</f>
        <v/>
      </c>
      <c r="G10050" s="6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  <c r="N10050" s="6">
        <f>IF(OR($G10050="FCC",$G10050="Hydrocracker",$G10050="Reformer"),IF(COUNTIFS($D:$D,$D10050,$A:$A,$A10050,$B:$B,$B10050,$G:$G,"CDU",$J:$J,"PLANNED")&gt;0,"tied","standalone"),"")</f>
        <v/>
      </c>
    </row>
    <row r="10051" spans="6:14">
      <c r="F10051" s="6">
        <f>IF($M10051="PADD I","PADD 1",IF($M10051="PADD II","PADD 2",IF($M10051="PADD III","PADD 3",IF($M10051="PADD IV","PADD 4",IF($M10051="PADD V","PADD 5","")))))</f>
        <v/>
      </c>
      <c r="G10051" s="6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  <c r="N10051" s="6">
        <f>IF(OR($G10051="FCC",$G10051="Hydrocracker",$G10051="Reformer"),IF(COUNTIFS($D:$D,$D10051,$A:$A,$A10051,$B:$B,$B10051,$G:$G,"CDU",$J:$J,"PLANNED")&gt;0,"tied","standalone"),"")</f>
        <v/>
      </c>
    </row>
    <row r="10052" spans="6:14">
      <c r="F10052" s="6">
        <f>IF($M10052="PADD I","PADD 1",IF($M10052="PADD II","PADD 2",IF($M10052="PADD III","PADD 3",IF($M10052="PADD IV","PADD 4",IF($M10052="PADD V","PADD 5","")))))</f>
        <v/>
      </c>
      <c r="G10052" s="6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  <c r="N10052" s="6">
        <f>IF(OR($G10052="FCC",$G10052="Hydrocracker",$G10052="Reformer"),IF(COUNTIFS($D:$D,$D10052,$A:$A,$A10052,$B:$B,$B10052,$G:$G,"CDU",$J:$J,"PLANNED")&gt;0,"tied","standalone"),"")</f>
        <v/>
      </c>
    </row>
    <row r="10053" spans="6:14">
      <c r="F10053" s="6">
        <f>IF($M10053="PADD I","PADD 1",IF($M10053="PADD II","PADD 2",IF($M10053="PADD III","PADD 3",IF($M10053="PADD IV","PADD 4",IF($M10053="PADD V","PADD 5","")))))</f>
        <v/>
      </c>
      <c r="G10053" s="6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  <c r="N10053" s="6">
        <f>IF(OR($G10053="FCC",$G10053="Hydrocracker",$G10053="Reformer"),IF(COUNTIFS($D:$D,$D10053,$A:$A,$A10053,$B:$B,$B10053,$G:$G,"CDU",$J:$J,"PLANNED")&gt;0,"tied","standalone"),"")</f>
        <v/>
      </c>
    </row>
    <row r="10054" spans="6:14">
      <c r="F10054" s="6">
        <f>IF($M10054="PADD I","PADD 1",IF($M10054="PADD II","PADD 2",IF($M10054="PADD III","PADD 3",IF($M10054="PADD IV","PADD 4",IF($M10054="PADD V","PADD 5","")))))</f>
        <v/>
      </c>
      <c r="G10054" s="6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  <c r="N10054" s="6">
        <f>IF(OR($G10054="FCC",$G10054="Hydrocracker",$G10054="Reformer"),IF(COUNTIFS($D:$D,$D10054,$A:$A,$A10054,$B:$B,$B10054,$G:$G,"CDU",$J:$J,"PLANNED")&gt;0,"tied","standalone"),"")</f>
        <v/>
      </c>
    </row>
    <row r="10055" spans="6:14">
      <c r="F10055" s="6">
        <f>IF($M10055="PADD I","PADD 1",IF($M10055="PADD II","PADD 2",IF($M10055="PADD III","PADD 3",IF($M10055="PADD IV","PADD 4",IF($M10055="PADD V","PADD 5","")))))</f>
        <v/>
      </c>
      <c r="G10055" s="6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  <c r="N10055" s="6">
        <f>IF(OR($G10055="FCC",$G10055="Hydrocracker",$G10055="Reformer"),IF(COUNTIFS($D:$D,$D10055,$A:$A,$A10055,$B:$B,$B10055,$G:$G,"CDU",$J:$J,"PLANNED")&gt;0,"tied","standalone"),"")</f>
        <v/>
      </c>
    </row>
    <row r="10056" spans="6:14">
      <c r="F10056" s="6">
        <f>IF($M10056="PADD I","PADD 1",IF($M10056="PADD II","PADD 2",IF($M10056="PADD III","PADD 3",IF($M10056="PADD IV","PADD 4",IF($M10056="PADD V","PADD 5","")))))</f>
        <v/>
      </c>
      <c r="G10056" s="6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  <c r="N10056" s="6">
        <f>IF(OR($G10056="FCC",$G10056="Hydrocracker",$G10056="Reformer"),IF(COUNTIFS($D:$D,$D10056,$A:$A,$A10056,$B:$B,$B10056,$G:$G,"CDU",$J:$J,"PLANNED")&gt;0,"tied","standalone"),"")</f>
        <v/>
      </c>
    </row>
    <row r="10057" spans="6:14">
      <c r="F10057" s="6">
        <f>IF($M10057="PADD I","PADD 1",IF($M10057="PADD II","PADD 2",IF($M10057="PADD III","PADD 3",IF($M10057="PADD IV","PADD 4",IF($M10057="PADD V","PADD 5","")))))</f>
        <v/>
      </c>
      <c r="G10057" s="6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  <c r="N10057" s="6">
        <f>IF(OR($G10057="FCC",$G10057="Hydrocracker",$G10057="Reformer"),IF(COUNTIFS($D:$D,$D10057,$A:$A,$A10057,$B:$B,$B10057,$G:$G,"CDU",$J:$J,"PLANNED")&gt;0,"tied","standalone"),"")</f>
        <v/>
      </c>
    </row>
    <row r="10058" spans="6:14">
      <c r="F10058" s="6">
        <f>IF($M10058="PADD I","PADD 1",IF($M10058="PADD II","PADD 2",IF($M10058="PADD III","PADD 3",IF($M10058="PADD IV","PADD 4",IF($M10058="PADD V","PADD 5","")))))</f>
        <v/>
      </c>
      <c r="G10058" s="6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  <c r="N10058" s="6">
        <f>IF(OR($G10058="FCC",$G10058="Hydrocracker",$G10058="Reformer"),IF(COUNTIFS($D:$D,$D10058,$A:$A,$A10058,$B:$B,$B10058,$G:$G,"CDU",$J:$J,"PLANNED")&gt;0,"tied","standalone"),"")</f>
        <v/>
      </c>
    </row>
    <row r="10059" spans="6:14">
      <c r="F10059" s="6">
        <f>IF($M10059="PADD I","PADD 1",IF($M10059="PADD II","PADD 2",IF($M10059="PADD III","PADD 3",IF($M10059="PADD IV","PADD 4",IF($M10059="PADD V","PADD 5","")))))</f>
        <v/>
      </c>
      <c r="G10059" s="6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  <c r="N10059" s="6">
        <f>IF(OR($G10059="FCC",$G10059="Hydrocracker",$G10059="Reformer"),IF(COUNTIFS($D:$D,$D10059,$A:$A,$A10059,$B:$B,$B10059,$G:$G,"CDU",$J:$J,"PLANNED")&gt;0,"tied","standalone"),"")</f>
        <v/>
      </c>
    </row>
    <row r="10060" spans="6:14">
      <c r="F10060" s="6">
        <f>IF($M10060="PADD I","PADD 1",IF($M10060="PADD II","PADD 2",IF($M10060="PADD III","PADD 3",IF($M10060="PADD IV","PADD 4",IF($M10060="PADD V","PADD 5","")))))</f>
        <v/>
      </c>
      <c r="G10060" s="6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  <c r="N10060" s="6">
        <f>IF(OR($G10060="FCC",$G10060="Hydrocracker",$G10060="Reformer"),IF(COUNTIFS($D:$D,$D10060,$A:$A,$A10060,$B:$B,$B10060,$G:$G,"CDU",$J:$J,"PLANNED")&gt;0,"tied","standalone"),"")</f>
        <v/>
      </c>
    </row>
    <row r="10061" spans="6:14">
      <c r="F10061" s="6">
        <f>IF($M10061="PADD I","PADD 1",IF($M10061="PADD II","PADD 2",IF($M10061="PADD III","PADD 3",IF($M10061="PADD IV","PADD 4",IF($M10061="PADD V","PADD 5","")))))</f>
        <v/>
      </c>
      <c r="G10061" s="6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  <c r="N10061" s="6">
        <f>IF(OR($G10061="FCC",$G10061="Hydrocracker",$G10061="Reformer"),IF(COUNTIFS($D:$D,$D10061,$A:$A,$A10061,$B:$B,$B10061,$G:$G,"CDU",$J:$J,"PLANNED")&gt;0,"tied","standalone"),"")</f>
        <v/>
      </c>
    </row>
    <row r="10062" spans="6:14">
      <c r="F10062" s="6">
        <f>IF($M10062="PADD I","PADD 1",IF($M10062="PADD II","PADD 2",IF($M10062="PADD III","PADD 3",IF($M10062="PADD IV","PADD 4",IF($M10062="PADD V","PADD 5","")))))</f>
        <v/>
      </c>
      <c r="G10062" s="6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  <c r="N10062" s="6">
        <f>IF(OR($G10062="FCC",$G10062="Hydrocracker",$G10062="Reformer"),IF(COUNTIFS($D:$D,$D10062,$A:$A,$A10062,$B:$B,$B10062,$G:$G,"CDU",$J:$J,"PLANNED")&gt;0,"tied","standalone"),"")</f>
        <v/>
      </c>
    </row>
    <row r="10063" spans="6:14">
      <c r="F10063" s="6">
        <f>IF($M10063="PADD I","PADD 1",IF($M10063="PADD II","PADD 2",IF($M10063="PADD III","PADD 3",IF($M10063="PADD IV","PADD 4",IF($M10063="PADD V","PADD 5","")))))</f>
        <v/>
      </c>
      <c r="G10063" s="6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  <c r="N10063" s="6">
        <f>IF(OR($G10063="FCC",$G10063="Hydrocracker",$G10063="Reformer"),IF(COUNTIFS($D:$D,$D10063,$A:$A,$A10063,$B:$B,$B10063,$G:$G,"CDU",$J:$J,"PLANNED")&gt;0,"tied","standalone"),"")</f>
        <v/>
      </c>
    </row>
    <row r="10064" spans="6:14">
      <c r="F10064" s="6">
        <f>IF($M10064="PADD I","PADD 1",IF($M10064="PADD II","PADD 2",IF($M10064="PADD III","PADD 3",IF($M10064="PADD IV","PADD 4",IF($M10064="PADD V","PADD 5","")))))</f>
        <v/>
      </c>
      <c r="G10064" s="6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  <c r="N10064" s="6">
        <f>IF(OR($G10064="FCC",$G10064="Hydrocracker",$G10064="Reformer"),IF(COUNTIFS($D:$D,$D10064,$A:$A,$A10064,$B:$B,$B10064,$G:$G,"CDU",$J:$J,"PLANNED")&gt;0,"tied","standalone"),"")</f>
        <v/>
      </c>
    </row>
    <row r="10065" spans="6:14">
      <c r="F10065" s="6">
        <f>IF($M10065="PADD I","PADD 1",IF($M10065="PADD II","PADD 2",IF($M10065="PADD III","PADD 3",IF($M10065="PADD IV","PADD 4",IF($M10065="PADD V","PADD 5","")))))</f>
        <v/>
      </c>
      <c r="G10065" s="6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  <c r="N10065" s="6">
        <f>IF(OR($G10065="FCC",$G10065="Hydrocracker",$G10065="Reformer"),IF(COUNTIFS($D:$D,$D10065,$A:$A,$A10065,$B:$B,$B10065,$G:$G,"CDU",$J:$J,"PLANNED")&gt;0,"tied","standalone"),"")</f>
        <v/>
      </c>
    </row>
    <row r="10066" spans="6:14">
      <c r="F10066" s="6">
        <f>IF($M10066="PADD I","PADD 1",IF($M10066="PADD II","PADD 2",IF($M10066="PADD III","PADD 3",IF($M10066="PADD IV","PADD 4",IF($M10066="PADD V","PADD 5","")))))</f>
        <v/>
      </c>
      <c r="G10066" s="6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  <c r="N10066" s="6">
        <f>IF(OR($G10066="FCC",$G10066="Hydrocracker",$G10066="Reformer"),IF(COUNTIFS($D:$D,$D10066,$A:$A,$A10066,$B:$B,$B10066,$G:$G,"CDU",$J:$J,"PLANNED")&gt;0,"tied","standalone"),"")</f>
        <v/>
      </c>
    </row>
    <row r="10067" spans="6:14">
      <c r="F10067" s="6">
        <f>IF($M10067="PADD I","PADD 1",IF($M10067="PADD II","PADD 2",IF($M10067="PADD III","PADD 3",IF($M10067="PADD IV","PADD 4",IF($M10067="PADD V","PADD 5","")))))</f>
        <v/>
      </c>
      <c r="G10067" s="6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  <c r="N10067" s="6">
        <f>IF(OR($G10067="FCC",$G10067="Hydrocracker",$G10067="Reformer"),IF(COUNTIFS($D:$D,$D10067,$A:$A,$A10067,$B:$B,$B10067,$G:$G,"CDU",$J:$J,"PLANNED")&gt;0,"tied","standalone"),"")</f>
        <v/>
      </c>
    </row>
    <row r="10068" spans="6:14">
      <c r="F10068" s="6">
        <f>IF($M10068="PADD I","PADD 1",IF($M10068="PADD II","PADD 2",IF($M10068="PADD III","PADD 3",IF($M10068="PADD IV","PADD 4",IF($M10068="PADD V","PADD 5","")))))</f>
        <v/>
      </c>
      <c r="G10068" s="6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  <c r="N10068" s="6">
        <f>IF(OR($G10068="FCC",$G10068="Hydrocracker",$G10068="Reformer"),IF(COUNTIFS($D:$D,$D10068,$A:$A,$A10068,$B:$B,$B10068,$G:$G,"CDU",$J:$J,"PLANNED")&gt;0,"tied","standalone"),"")</f>
        <v/>
      </c>
    </row>
    <row r="10069" spans="6:14">
      <c r="F10069" s="6">
        <f>IF($M10069="PADD I","PADD 1",IF($M10069="PADD II","PADD 2",IF($M10069="PADD III","PADD 3",IF($M10069="PADD IV","PADD 4",IF($M10069="PADD V","PADD 5","")))))</f>
        <v/>
      </c>
      <c r="G10069" s="6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  <c r="N10069" s="6">
        <f>IF(OR($G10069="FCC",$G10069="Hydrocracker",$G10069="Reformer"),IF(COUNTIFS($D:$D,$D10069,$A:$A,$A10069,$B:$B,$B10069,$G:$G,"CDU",$J:$J,"PLANNED")&gt;0,"tied","standalone"),"")</f>
        <v/>
      </c>
    </row>
    <row r="10070" spans="6:14">
      <c r="F10070" s="6">
        <f>IF($M10070="PADD I","PADD 1",IF($M10070="PADD II","PADD 2",IF($M10070="PADD III","PADD 3",IF($M10070="PADD IV","PADD 4",IF($M10070="PADD V","PADD 5","")))))</f>
        <v/>
      </c>
      <c r="G10070" s="6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  <c r="N10070" s="6">
        <f>IF(OR($G10070="FCC",$G10070="Hydrocracker",$G10070="Reformer"),IF(COUNTIFS($D:$D,$D10070,$A:$A,$A10070,$B:$B,$B10070,$G:$G,"CDU",$J:$J,"PLANNED")&gt;0,"tied","standalone"),"")</f>
        <v/>
      </c>
    </row>
    <row r="10071" spans="6:14">
      <c r="F10071" s="6">
        <f>IF($M10071="PADD I","PADD 1",IF($M10071="PADD II","PADD 2",IF($M10071="PADD III","PADD 3",IF($M10071="PADD IV","PADD 4",IF($M10071="PADD V","PADD 5","")))))</f>
        <v/>
      </c>
      <c r="G10071" s="6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  <c r="N10071" s="6">
        <f>IF(OR($G10071="FCC",$G10071="Hydrocracker",$G10071="Reformer"),IF(COUNTIFS($D:$D,$D10071,$A:$A,$A10071,$B:$B,$B10071,$G:$G,"CDU",$J:$J,"PLANNED")&gt;0,"tied","standalone"),"")</f>
        <v/>
      </c>
    </row>
    <row r="10072" spans="6:14">
      <c r="F10072" s="6">
        <f>IF($M10072="PADD I","PADD 1",IF($M10072="PADD II","PADD 2",IF($M10072="PADD III","PADD 3",IF($M10072="PADD IV","PADD 4",IF($M10072="PADD V","PADD 5","")))))</f>
        <v/>
      </c>
      <c r="G10072" s="6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  <c r="N10072" s="6">
        <f>IF(OR($G10072="FCC",$G10072="Hydrocracker",$G10072="Reformer"),IF(COUNTIFS($D:$D,$D10072,$A:$A,$A10072,$B:$B,$B10072,$G:$G,"CDU",$J:$J,"PLANNED")&gt;0,"tied","standalone"),"")</f>
        <v/>
      </c>
    </row>
    <row r="10073" spans="6:14">
      <c r="F10073" s="6">
        <f>IF($M10073="PADD I","PADD 1",IF($M10073="PADD II","PADD 2",IF($M10073="PADD III","PADD 3",IF($M10073="PADD IV","PADD 4",IF($M10073="PADD V","PADD 5","")))))</f>
        <v/>
      </c>
      <c r="G10073" s="6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  <c r="N10073" s="6">
        <f>IF(OR($G10073="FCC",$G10073="Hydrocracker",$G10073="Reformer"),IF(COUNTIFS($D:$D,$D10073,$A:$A,$A10073,$B:$B,$B10073,$G:$G,"CDU",$J:$J,"PLANNED")&gt;0,"tied","standalone"),"")</f>
        <v/>
      </c>
    </row>
    <row r="10074" spans="6:14">
      <c r="F10074" s="6">
        <f>IF($M10074="PADD I","PADD 1",IF($M10074="PADD II","PADD 2",IF($M10074="PADD III","PADD 3",IF($M10074="PADD IV","PADD 4",IF($M10074="PADD V","PADD 5","")))))</f>
        <v/>
      </c>
      <c r="G10074" s="6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  <c r="N10074" s="6">
        <f>IF(OR($G10074="FCC",$G10074="Hydrocracker",$G10074="Reformer"),IF(COUNTIFS($D:$D,$D10074,$A:$A,$A10074,$B:$B,$B10074,$G:$G,"CDU",$J:$J,"PLANNED")&gt;0,"tied","standalone"),"")</f>
        <v/>
      </c>
    </row>
    <row r="10075" spans="6:14">
      <c r="F10075" s="6">
        <f>IF($M10075="PADD I","PADD 1",IF($M10075="PADD II","PADD 2",IF($M10075="PADD III","PADD 3",IF($M10075="PADD IV","PADD 4",IF($M10075="PADD V","PADD 5","")))))</f>
        <v/>
      </c>
      <c r="G10075" s="6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  <c r="N10075" s="6">
        <f>IF(OR($G10075="FCC",$G10075="Hydrocracker",$G10075="Reformer"),IF(COUNTIFS($D:$D,$D10075,$A:$A,$A10075,$B:$B,$B10075,$G:$G,"CDU",$J:$J,"PLANNED")&gt;0,"tied","standalone"),"")</f>
        <v/>
      </c>
    </row>
    <row r="10076" spans="6:14">
      <c r="F10076" s="6">
        <f>IF($M10076="PADD I","PADD 1",IF($M10076="PADD II","PADD 2",IF($M10076="PADD III","PADD 3",IF($M10076="PADD IV","PADD 4",IF($M10076="PADD V","PADD 5","")))))</f>
        <v/>
      </c>
      <c r="G10076" s="6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  <c r="N10076" s="6">
        <f>IF(OR($G10076="FCC",$G10076="Hydrocracker",$G10076="Reformer"),IF(COUNTIFS($D:$D,$D10076,$A:$A,$A10076,$B:$B,$B10076,$G:$G,"CDU",$J:$J,"PLANNED")&gt;0,"tied","standalone"),"")</f>
        <v/>
      </c>
    </row>
    <row r="10077" spans="6:14">
      <c r="F10077" s="6">
        <f>IF($M10077="PADD I","PADD 1",IF($M10077="PADD II","PADD 2",IF($M10077="PADD III","PADD 3",IF($M10077="PADD IV","PADD 4",IF($M10077="PADD V","PADD 5","")))))</f>
        <v/>
      </c>
      <c r="G10077" s="6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  <c r="N10077" s="6">
        <f>IF(OR($G10077="FCC",$G10077="Hydrocracker",$G10077="Reformer"),IF(COUNTIFS($D:$D,$D10077,$A:$A,$A10077,$B:$B,$B10077,$G:$G,"CDU",$J:$J,"PLANNED")&gt;0,"tied","standalone"),"")</f>
        <v/>
      </c>
    </row>
    <row r="10078" spans="6:14">
      <c r="F10078" s="6">
        <f>IF($M10078="PADD I","PADD 1",IF($M10078="PADD II","PADD 2",IF($M10078="PADD III","PADD 3",IF($M10078="PADD IV","PADD 4",IF($M10078="PADD V","PADD 5","")))))</f>
        <v/>
      </c>
      <c r="G10078" s="6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  <c r="N10078" s="6">
        <f>IF(OR($G10078="FCC",$G10078="Hydrocracker",$G10078="Reformer"),IF(COUNTIFS($D:$D,$D10078,$A:$A,$A10078,$B:$B,$B10078,$G:$G,"CDU",$J:$J,"PLANNED")&gt;0,"tied","standalone"),"")</f>
        <v/>
      </c>
    </row>
    <row r="10079" spans="6:14">
      <c r="F10079" s="6">
        <f>IF($M10079="PADD I","PADD 1",IF($M10079="PADD II","PADD 2",IF($M10079="PADD III","PADD 3",IF($M10079="PADD IV","PADD 4",IF($M10079="PADD V","PADD 5","")))))</f>
        <v/>
      </c>
      <c r="G10079" s="6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  <c r="N10079" s="6">
        <f>IF(OR($G10079="FCC",$G10079="Hydrocracker",$G10079="Reformer"),IF(COUNTIFS($D:$D,$D10079,$A:$A,$A10079,$B:$B,$B10079,$G:$G,"CDU",$J:$J,"PLANNED")&gt;0,"tied","standalone"),"")</f>
        <v/>
      </c>
    </row>
    <row r="10080" spans="6:14">
      <c r="F10080" s="6">
        <f>IF($M10080="PADD I","PADD 1",IF($M10080="PADD II","PADD 2",IF($M10080="PADD III","PADD 3",IF($M10080="PADD IV","PADD 4",IF($M10080="PADD V","PADD 5","")))))</f>
        <v/>
      </c>
      <c r="G10080" s="6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  <c r="N10080" s="6">
        <f>IF(OR($G10080="FCC",$G10080="Hydrocracker",$G10080="Reformer"),IF(COUNTIFS($D:$D,$D10080,$A:$A,$A10080,$B:$B,$B10080,$G:$G,"CDU",$J:$J,"PLANNED")&gt;0,"tied","standalone"),"")</f>
        <v/>
      </c>
    </row>
    <row r="10081" spans="6:14">
      <c r="F10081" s="6">
        <f>IF($M10081="PADD I","PADD 1",IF($M10081="PADD II","PADD 2",IF($M10081="PADD III","PADD 3",IF($M10081="PADD IV","PADD 4",IF($M10081="PADD V","PADD 5","")))))</f>
        <v/>
      </c>
      <c r="G10081" s="6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  <c r="N10081" s="6">
        <f>IF(OR($G10081="FCC",$G10081="Hydrocracker",$G10081="Reformer"),IF(COUNTIFS($D:$D,$D10081,$A:$A,$A10081,$B:$B,$B10081,$G:$G,"CDU",$J:$J,"PLANNED")&gt;0,"tied","standalone"),"")</f>
        <v/>
      </c>
    </row>
    <row r="10082" spans="6:14">
      <c r="F10082" s="6">
        <f>IF($M10082="PADD I","PADD 1",IF($M10082="PADD II","PADD 2",IF($M10082="PADD III","PADD 3",IF($M10082="PADD IV","PADD 4",IF($M10082="PADD V","PADD 5","")))))</f>
        <v/>
      </c>
      <c r="G10082" s="6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  <c r="N10082" s="6">
        <f>IF(OR($G10082="FCC",$G10082="Hydrocracker",$G10082="Reformer"),IF(COUNTIFS($D:$D,$D10082,$A:$A,$A10082,$B:$B,$B10082,$G:$G,"CDU",$J:$J,"PLANNED")&gt;0,"tied","standalone"),"")</f>
        <v/>
      </c>
    </row>
    <row r="10083" spans="6:14">
      <c r="F10083" s="6">
        <f>IF($M10083="PADD I","PADD 1",IF($M10083="PADD II","PADD 2",IF($M10083="PADD III","PADD 3",IF($M10083="PADD IV","PADD 4",IF($M10083="PADD V","PADD 5","")))))</f>
        <v/>
      </c>
      <c r="G10083" s="6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  <c r="N10083" s="6">
        <f>IF(OR($G10083="FCC",$G10083="Hydrocracker",$G10083="Reformer"),IF(COUNTIFS($D:$D,$D10083,$A:$A,$A10083,$B:$B,$B10083,$G:$G,"CDU",$J:$J,"PLANNED")&gt;0,"tied","standalone"),"")</f>
        <v/>
      </c>
    </row>
    <row r="10084" spans="6:14">
      <c r="F10084" s="6">
        <f>IF($M10084="PADD I","PADD 1",IF($M10084="PADD II","PADD 2",IF($M10084="PADD III","PADD 3",IF($M10084="PADD IV","PADD 4",IF($M10084="PADD V","PADD 5","")))))</f>
        <v/>
      </c>
      <c r="G10084" s="6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  <c r="N10084" s="6">
        <f>IF(OR($G10084="FCC",$G10084="Hydrocracker",$G10084="Reformer"),IF(COUNTIFS($D:$D,$D10084,$A:$A,$A10084,$B:$B,$B10084,$G:$G,"CDU",$J:$J,"PLANNED")&gt;0,"tied","standalone"),"")</f>
        <v/>
      </c>
    </row>
    <row r="10085" spans="6:14">
      <c r="F10085" s="6">
        <f>IF($M10085="PADD I","PADD 1",IF($M10085="PADD II","PADD 2",IF($M10085="PADD III","PADD 3",IF($M10085="PADD IV","PADD 4",IF($M10085="PADD V","PADD 5","")))))</f>
        <v/>
      </c>
      <c r="G10085" s="6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  <c r="N10085" s="6">
        <f>IF(OR($G10085="FCC",$G10085="Hydrocracker",$G10085="Reformer"),IF(COUNTIFS($D:$D,$D10085,$A:$A,$A10085,$B:$B,$B10085,$G:$G,"CDU",$J:$J,"PLANNED")&gt;0,"tied","standalone"),"")</f>
        <v/>
      </c>
    </row>
    <row r="10086" spans="6:14">
      <c r="F10086" s="6">
        <f>IF($M10086="PADD I","PADD 1",IF($M10086="PADD II","PADD 2",IF($M10086="PADD III","PADD 3",IF($M10086="PADD IV","PADD 4",IF($M10086="PADD V","PADD 5","")))))</f>
        <v/>
      </c>
      <c r="G10086" s="6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  <c r="N10086" s="6">
        <f>IF(OR($G10086="FCC",$G10086="Hydrocracker",$G10086="Reformer"),IF(COUNTIFS($D:$D,$D10086,$A:$A,$A10086,$B:$B,$B10086,$G:$G,"CDU",$J:$J,"PLANNED")&gt;0,"tied","standalone"),"")</f>
        <v/>
      </c>
    </row>
    <row r="10087" spans="6:14">
      <c r="F10087" s="6">
        <f>IF($M10087="PADD I","PADD 1",IF($M10087="PADD II","PADD 2",IF($M10087="PADD III","PADD 3",IF($M10087="PADD IV","PADD 4",IF($M10087="PADD V","PADD 5","")))))</f>
        <v/>
      </c>
      <c r="G10087" s="6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  <c r="N10087" s="6">
        <f>IF(OR($G10087="FCC",$G10087="Hydrocracker",$G10087="Reformer"),IF(COUNTIFS($D:$D,$D10087,$A:$A,$A10087,$B:$B,$B10087,$G:$G,"CDU",$J:$J,"PLANNED")&gt;0,"tied","standalone"),"")</f>
        <v/>
      </c>
    </row>
    <row r="10088" spans="6:14">
      <c r="F10088" s="6">
        <f>IF($M10088="PADD I","PADD 1",IF($M10088="PADD II","PADD 2",IF($M10088="PADD III","PADD 3",IF($M10088="PADD IV","PADD 4",IF($M10088="PADD V","PADD 5","")))))</f>
        <v/>
      </c>
      <c r="G10088" s="6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  <c r="N10088" s="6">
        <f>IF(OR($G10088="FCC",$G10088="Hydrocracker",$G10088="Reformer"),IF(COUNTIFS($D:$D,$D10088,$A:$A,$A10088,$B:$B,$B10088,$G:$G,"CDU",$J:$J,"PLANNED")&gt;0,"tied","standalone"),"")</f>
        <v/>
      </c>
    </row>
    <row r="10089" spans="6:14">
      <c r="F10089" s="6">
        <f>IF($M10089="PADD I","PADD 1",IF($M10089="PADD II","PADD 2",IF($M10089="PADD III","PADD 3",IF($M10089="PADD IV","PADD 4",IF($M10089="PADD V","PADD 5","")))))</f>
        <v/>
      </c>
      <c r="G10089" s="6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  <c r="N10089" s="6">
        <f>IF(OR($G10089="FCC",$G10089="Hydrocracker",$G10089="Reformer"),IF(COUNTIFS($D:$D,$D10089,$A:$A,$A10089,$B:$B,$B10089,$G:$G,"CDU",$J:$J,"PLANNED")&gt;0,"tied","standalone"),"")</f>
        <v/>
      </c>
    </row>
    <row r="10090" spans="6:14">
      <c r="F10090" s="6">
        <f>IF($M10090="PADD I","PADD 1",IF($M10090="PADD II","PADD 2",IF($M10090="PADD III","PADD 3",IF($M10090="PADD IV","PADD 4",IF($M10090="PADD V","PADD 5","")))))</f>
        <v/>
      </c>
      <c r="G10090" s="6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  <c r="N10090" s="6">
        <f>IF(OR($G10090="FCC",$G10090="Hydrocracker",$G10090="Reformer"),IF(COUNTIFS($D:$D,$D10090,$A:$A,$A10090,$B:$B,$B10090,$G:$G,"CDU",$J:$J,"PLANNED")&gt;0,"tied","standalone"),"")</f>
        <v/>
      </c>
    </row>
    <row r="10091" spans="6:14">
      <c r="F10091" s="6">
        <f>IF($M10091="PADD I","PADD 1",IF($M10091="PADD II","PADD 2",IF($M10091="PADD III","PADD 3",IF($M10091="PADD IV","PADD 4",IF($M10091="PADD V","PADD 5","")))))</f>
        <v/>
      </c>
      <c r="G10091" s="6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  <c r="N10091" s="6">
        <f>IF(OR($G10091="FCC",$G10091="Hydrocracker",$G10091="Reformer"),IF(COUNTIFS($D:$D,$D10091,$A:$A,$A10091,$B:$B,$B10091,$G:$G,"CDU",$J:$J,"PLANNED")&gt;0,"tied","standalone"),"")</f>
        <v/>
      </c>
    </row>
    <row r="10092" spans="6:14">
      <c r="F10092" s="6">
        <f>IF($M10092="PADD I","PADD 1",IF($M10092="PADD II","PADD 2",IF($M10092="PADD III","PADD 3",IF($M10092="PADD IV","PADD 4",IF($M10092="PADD V","PADD 5","")))))</f>
        <v/>
      </c>
      <c r="G10092" s="6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  <c r="N10092" s="6">
        <f>IF(OR($G10092="FCC",$G10092="Hydrocracker",$G10092="Reformer"),IF(COUNTIFS($D:$D,$D10092,$A:$A,$A10092,$B:$B,$B10092,$G:$G,"CDU",$J:$J,"PLANNED")&gt;0,"tied","standalone"),"")</f>
        <v/>
      </c>
    </row>
    <row r="10093" spans="6:14">
      <c r="F10093" s="6">
        <f>IF($M10093="PADD I","PADD 1",IF($M10093="PADD II","PADD 2",IF($M10093="PADD III","PADD 3",IF($M10093="PADD IV","PADD 4",IF($M10093="PADD V","PADD 5","")))))</f>
        <v/>
      </c>
      <c r="G10093" s="6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  <c r="N10093" s="6">
        <f>IF(OR($G10093="FCC",$G10093="Hydrocracker",$G10093="Reformer"),IF(COUNTIFS($D:$D,$D10093,$A:$A,$A10093,$B:$B,$B10093,$G:$G,"CDU",$J:$J,"PLANNED")&gt;0,"tied","standalone"),"")</f>
        <v/>
      </c>
    </row>
    <row r="10094" spans="6:14">
      <c r="F10094" s="6">
        <f>IF($M10094="PADD I","PADD 1",IF($M10094="PADD II","PADD 2",IF($M10094="PADD III","PADD 3",IF($M10094="PADD IV","PADD 4",IF($M10094="PADD V","PADD 5","")))))</f>
        <v/>
      </c>
      <c r="G10094" s="6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  <c r="N10094" s="6">
        <f>IF(OR($G10094="FCC",$G10094="Hydrocracker",$G10094="Reformer"),IF(COUNTIFS($D:$D,$D10094,$A:$A,$A10094,$B:$B,$B10094,$G:$G,"CDU",$J:$J,"PLANNED")&gt;0,"tied","standalone"),"")</f>
        <v/>
      </c>
    </row>
    <row r="10095" spans="6:14">
      <c r="F10095" s="6">
        <f>IF($M10095="PADD I","PADD 1",IF($M10095="PADD II","PADD 2",IF($M10095="PADD III","PADD 3",IF($M10095="PADD IV","PADD 4",IF($M10095="PADD V","PADD 5","")))))</f>
        <v/>
      </c>
      <c r="G10095" s="6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  <c r="N10095" s="6">
        <f>IF(OR($G10095="FCC",$G10095="Hydrocracker",$G10095="Reformer"),IF(COUNTIFS($D:$D,$D10095,$A:$A,$A10095,$B:$B,$B10095,$G:$G,"CDU",$J:$J,"PLANNED")&gt;0,"tied","standalone"),"")</f>
        <v/>
      </c>
    </row>
    <row r="10096" spans="6:14">
      <c r="F10096" s="6">
        <f>IF($M10096="PADD I","PADD 1",IF($M10096="PADD II","PADD 2",IF($M10096="PADD III","PADD 3",IF($M10096="PADD IV","PADD 4",IF($M10096="PADD V","PADD 5","")))))</f>
        <v/>
      </c>
      <c r="G10096" s="6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  <c r="N10096" s="6">
        <f>IF(OR($G10096="FCC",$G10096="Hydrocracker",$G10096="Reformer"),IF(COUNTIFS($D:$D,$D10096,$A:$A,$A10096,$B:$B,$B10096,$G:$G,"CDU",$J:$J,"PLANNED")&gt;0,"tied","standalone"),"")</f>
        <v/>
      </c>
    </row>
    <row r="10097" spans="6:14">
      <c r="F10097" s="6">
        <f>IF($M10097="PADD I","PADD 1",IF($M10097="PADD II","PADD 2",IF($M10097="PADD III","PADD 3",IF($M10097="PADD IV","PADD 4",IF($M10097="PADD V","PADD 5","")))))</f>
        <v/>
      </c>
      <c r="G10097" s="6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  <c r="N10097" s="6">
        <f>IF(OR($G10097="FCC",$G10097="Hydrocracker",$G10097="Reformer"),IF(COUNTIFS($D:$D,$D10097,$A:$A,$A10097,$B:$B,$B10097,$G:$G,"CDU",$J:$J,"PLANNED")&gt;0,"tied","standalone"),"")</f>
        <v/>
      </c>
    </row>
    <row r="10098" spans="6:14">
      <c r="F10098" s="6">
        <f>IF($M10098="PADD I","PADD 1",IF($M10098="PADD II","PADD 2",IF($M10098="PADD III","PADD 3",IF($M10098="PADD IV","PADD 4",IF($M10098="PADD V","PADD 5","")))))</f>
        <v/>
      </c>
      <c r="G10098" s="6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  <c r="N10098" s="6">
        <f>IF(OR($G10098="FCC",$G10098="Hydrocracker",$G10098="Reformer"),IF(COUNTIFS($D:$D,$D10098,$A:$A,$A10098,$B:$B,$B10098,$G:$G,"CDU",$J:$J,"PLANNED")&gt;0,"tied","standalone"),"")</f>
        <v/>
      </c>
    </row>
    <row r="10099" spans="6:14">
      <c r="F10099" s="6">
        <f>IF($M10099="PADD I","PADD 1",IF($M10099="PADD II","PADD 2",IF($M10099="PADD III","PADD 3",IF($M10099="PADD IV","PADD 4",IF($M10099="PADD V","PADD 5","")))))</f>
        <v/>
      </c>
      <c r="G10099" s="6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  <c r="N10099" s="6">
        <f>IF(OR($G10099="FCC",$G10099="Hydrocracker",$G10099="Reformer"),IF(COUNTIFS($D:$D,$D10099,$A:$A,$A10099,$B:$B,$B10099,$G:$G,"CDU",$J:$J,"PLANNED")&gt;0,"tied","standalone"),"")</f>
        <v/>
      </c>
    </row>
    <row r="10100" spans="6:14">
      <c r="F10100" s="6">
        <f>IF($M10100="PADD I","PADD 1",IF($M10100="PADD II","PADD 2",IF($M10100="PADD III","PADD 3",IF($M10100="PADD IV","PADD 4",IF($M10100="PADD V","PADD 5","")))))</f>
        <v/>
      </c>
      <c r="G10100" s="6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  <c r="N10100" s="6">
        <f>IF(OR($G10100="FCC",$G10100="Hydrocracker",$G10100="Reformer"),IF(COUNTIFS($D:$D,$D10100,$A:$A,$A10100,$B:$B,$B10100,$G:$G,"CDU",$J:$J,"PLANNED")&gt;0,"tied","standalone"),"")</f>
        <v/>
      </c>
    </row>
    <row r="10101" spans="6:14">
      <c r="F10101" s="6">
        <f>IF($M10101="PADD I","PADD 1",IF($M10101="PADD II","PADD 2",IF($M10101="PADD III","PADD 3",IF($M10101="PADD IV","PADD 4",IF($M10101="PADD V","PADD 5","")))))</f>
        <v/>
      </c>
      <c r="G10101" s="6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  <c r="N10101" s="6">
        <f>IF(OR($G10101="FCC",$G10101="Hydrocracker",$G10101="Reformer"),IF(COUNTIFS($D:$D,$D10101,$A:$A,$A10101,$B:$B,$B10101,$G:$G,"CDU",$J:$J,"PLANNED")&gt;0,"tied","standalone"),"")</f>
        <v/>
      </c>
    </row>
    <row r="10102" spans="6:14">
      <c r="F10102" s="6">
        <f>IF($M10102="PADD I","PADD 1",IF($M10102="PADD II","PADD 2",IF($M10102="PADD III","PADD 3",IF($M10102="PADD IV","PADD 4",IF($M10102="PADD V","PADD 5","")))))</f>
        <v/>
      </c>
      <c r="G10102" s="6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  <c r="N10102" s="6">
        <f>IF(OR($G10102="FCC",$G10102="Hydrocracker",$G10102="Reformer"),IF(COUNTIFS($D:$D,$D10102,$A:$A,$A10102,$B:$B,$B10102,$G:$G,"CDU",$J:$J,"PLANNED")&gt;0,"tied","standalone"),"")</f>
        <v/>
      </c>
    </row>
    <row r="10103" spans="6:14">
      <c r="F10103" s="6">
        <f>IF($M10103="PADD I","PADD 1",IF($M10103="PADD II","PADD 2",IF($M10103="PADD III","PADD 3",IF($M10103="PADD IV","PADD 4",IF($M10103="PADD V","PADD 5","")))))</f>
        <v/>
      </c>
      <c r="G10103" s="6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  <c r="N10103" s="6">
        <f>IF(OR($G10103="FCC",$G10103="Hydrocracker",$G10103="Reformer"),IF(COUNTIFS($D:$D,$D10103,$A:$A,$A10103,$B:$B,$B10103,$G:$G,"CDU",$J:$J,"PLANNED")&gt;0,"tied","standalone"),"")</f>
        <v/>
      </c>
    </row>
    <row r="10104" spans="6:14">
      <c r="F10104" s="6">
        <f>IF($M10104="PADD I","PADD 1",IF($M10104="PADD II","PADD 2",IF($M10104="PADD III","PADD 3",IF($M10104="PADD IV","PADD 4",IF($M10104="PADD V","PADD 5","")))))</f>
        <v/>
      </c>
      <c r="G10104" s="6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  <c r="N10104" s="6">
        <f>IF(OR($G10104="FCC",$G10104="Hydrocracker",$G10104="Reformer"),IF(COUNTIFS($D:$D,$D10104,$A:$A,$A10104,$B:$B,$B10104,$G:$G,"CDU",$J:$J,"PLANNED")&gt;0,"tied","standalone"),"")</f>
        <v/>
      </c>
    </row>
    <row r="10105" spans="6:14">
      <c r="F10105" s="6">
        <f>IF($M10105="PADD I","PADD 1",IF($M10105="PADD II","PADD 2",IF($M10105="PADD III","PADD 3",IF($M10105="PADD IV","PADD 4",IF($M10105="PADD V","PADD 5","")))))</f>
        <v/>
      </c>
      <c r="G10105" s="6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  <c r="N10105" s="6">
        <f>IF(OR($G10105="FCC",$G10105="Hydrocracker",$G10105="Reformer"),IF(COUNTIFS($D:$D,$D10105,$A:$A,$A10105,$B:$B,$B10105,$G:$G,"CDU",$J:$J,"PLANNED")&gt;0,"tied","standalone"),"")</f>
        <v/>
      </c>
    </row>
    <row r="10106" spans="6:14">
      <c r="F10106" s="6">
        <f>IF($M10106="PADD I","PADD 1",IF($M10106="PADD II","PADD 2",IF($M10106="PADD III","PADD 3",IF($M10106="PADD IV","PADD 4",IF($M10106="PADD V","PADD 5","")))))</f>
        <v/>
      </c>
      <c r="G10106" s="6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  <c r="N10106" s="6">
        <f>IF(OR($G10106="FCC",$G10106="Hydrocracker",$G10106="Reformer"),IF(COUNTIFS($D:$D,$D10106,$A:$A,$A10106,$B:$B,$B10106,$G:$G,"CDU",$J:$J,"PLANNED")&gt;0,"tied","standalone"),"")</f>
        <v/>
      </c>
    </row>
    <row r="10107" spans="6:14">
      <c r="F10107" s="6">
        <f>IF($M10107="PADD I","PADD 1",IF($M10107="PADD II","PADD 2",IF($M10107="PADD III","PADD 3",IF($M10107="PADD IV","PADD 4",IF($M10107="PADD V","PADD 5","")))))</f>
        <v/>
      </c>
      <c r="G10107" s="6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  <c r="N10107" s="6">
        <f>IF(OR($G10107="FCC",$G10107="Hydrocracker",$G10107="Reformer"),IF(COUNTIFS($D:$D,$D10107,$A:$A,$A10107,$B:$B,$B10107,$G:$G,"CDU",$J:$J,"PLANNED")&gt;0,"tied","standalone"),"")</f>
        <v/>
      </c>
    </row>
    <row r="10108" spans="6:14">
      <c r="F10108" s="6">
        <f>IF($M10108="PADD I","PADD 1",IF($M10108="PADD II","PADD 2",IF($M10108="PADD III","PADD 3",IF($M10108="PADD IV","PADD 4",IF($M10108="PADD V","PADD 5","")))))</f>
        <v/>
      </c>
      <c r="G10108" s="6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  <c r="N10108" s="6">
        <f>IF(OR($G10108="FCC",$G10108="Hydrocracker",$G10108="Reformer"),IF(COUNTIFS($D:$D,$D10108,$A:$A,$A10108,$B:$B,$B10108,$G:$G,"CDU",$J:$J,"PLANNED")&gt;0,"tied","standalone"),"")</f>
        <v/>
      </c>
    </row>
    <row r="10109" spans="6:14">
      <c r="F10109" s="6">
        <f>IF($M10109="PADD I","PADD 1",IF($M10109="PADD II","PADD 2",IF($M10109="PADD III","PADD 3",IF($M10109="PADD IV","PADD 4",IF($M10109="PADD V","PADD 5","")))))</f>
        <v/>
      </c>
      <c r="G10109" s="6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  <c r="N10109" s="6">
        <f>IF(OR($G10109="FCC",$G10109="Hydrocracker",$G10109="Reformer"),IF(COUNTIFS($D:$D,$D10109,$A:$A,$A10109,$B:$B,$B10109,$G:$G,"CDU",$J:$J,"PLANNED")&gt;0,"tied","standalone"),"")</f>
        <v/>
      </c>
    </row>
    <row r="10110" spans="6:14">
      <c r="F10110" s="6">
        <f>IF($M10110="PADD I","PADD 1",IF($M10110="PADD II","PADD 2",IF($M10110="PADD III","PADD 3",IF($M10110="PADD IV","PADD 4",IF($M10110="PADD V","PADD 5","")))))</f>
        <v/>
      </c>
      <c r="G10110" s="6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  <c r="N10110" s="6">
        <f>IF(OR($G10110="FCC",$G10110="Hydrocracker",$G10110="Reformer"),IF(COUNTIFS($D:$D,$D10110,$A:$A,$A10110,$B:$B,$B10110,$G:$G,"CDU",$J:$J,"PLANNED")&gt;0,"tied","standalone"),"")</f>
        <v/>
      </c>
    </row>
    <row r="10111" spans="6:14">
      <c r="F10111" s="6">
        <f>IF($M10111="PADD I","PADD 1",IF($M10111="PADD II","PADD 2",IF($M10111="PADD III","PADD 3",IF($M10111="PADD IV","PADD 4",IF($M10111="PADD V","PADD 5","")))))</f>
        <v/>
      </c>
      <c r="G10111" s="6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  <c r="N10111" s="6">
        <f>IF(OR($G10111="FCC",$G10111="Hydrocracker",$G10111="Reformer"),IF(COUNTIFS($D:$D,$D10111,$A:$A,$A10111,$B:$B,$B10111,$G:$G,"CDU",$J:$J,"PLANNED")&gt;0,"tied","standalone"),"")</f>
        <v/>
      </c>
    </row>
    <row r="10112" spans="6:14">
      <c r="F10112" s="6">
        <f>IF($M10112="PADD I","PADD 1",IF($M10112="PADD II","PADD 2",IF($M10112="PADD III","PADD 3",IF($M10112="PADD IV","PADD 4",IF($M10112="PADD V","PADD 5","")))))</f>
        <v/>
      </c>
      <c r="G10112" s="6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  <c r="N10112" s="6">
        <f>IF(OR($G10112="FCC",$G10112="Hydrocracker",$G10112="Reformer"),IF(COUNTIFS($D:$D,$D10112,$A:$A,$A10112,$B:$B,$B10112,$G:$G,"CDU",$J:$J,"PLANNED")&gt;0,"tied","standalone"),"")</f>
        <v/>
      </c>
    </row>
    <row r="10113" spans="6:14">
      <c r="F10113" s="6">
        <f>IF($M10113="PADD I","PADD 1",IF($M10113="PADD II","PADD 2",IF($M10113="PADD III","PADD 3",IF($M10113="PADD IV","PADD 4",IF($M10113="PADD V","PADD 5","")))))</f>
        <v/>
      </c>
      <c r="G10113" s="6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  <c r="N10113" s="6">
        <f>IF(OR($G10113="FCC",$G10113="Hydrocracker",$G10113="Reformer"),IF(COUNTIFS($D:$D,$D10113,$A:$A,$A10113,$B:$B,$B10113,$G:$G,"CDU",$J:$J,"PLANNED")&gt;0,"tied","standalone"),"")</f>
        <v/>
      </c>
    </row>
    <row r="10114" spans="6:14">
      <c r="F10114" s="6">
        <f>IF($M10114="PADD I","PADD 1",IF($M10114="PADD II","PADD 2",IF($M10114="PADD III","PADD 3",IF($M10114="PADD IV","PADD 4",IF($M10114="PADD V","PADD 5","")))))</f>
        <v/>
      </c>
      <c r="G10114" s="6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  <c r="N10114" s="6">
        <f>IF(OR($G10114="FCC",$G10114="Hydrocracker",$G10114="Reformer"),IF(COUNTIFS($D:$D,$D10114,$A:$A,$A10114,$B:$B,$B10114,$G:$G,"CDU",$J:$J,"PLANNED")&gt;0,"tied","standalone"),"")</f>
        <v/>
      </c>
    </row>
    <row r="10115" spans="6:14">
      <c r="F10115" s="6">
        <f>IF($M10115="PADD I","PADD 1",IF($M10115="PADD II","PADD 2",IF($M10115="PADD III","PADD 3",IF($M10115="PADD IV","PADD 4",IF($M10115="PADD V","PADD 5","")))))</f>
        <v/>
      </c>
      <c r="G10115" s="6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  <c r="N10115" s="6">
        <f>IF(OR($G10115="FCC",$G10115="Hydrocracker",$G10115="Reformer"),IF(COUNTIFS($D:$D,$D10115,$A:$A,$A10115,$B:$B,$B10115,$G:$G,"CDU",$J:$J,"PLANNED")&gt;0,"tied","standalone"),"")</f>
        <v/>
      </c>
    </row>
    <row r="10116" spans="6:14">
      <c r="F10116" s="6">
        <f>IF($M10116="PADD I","PADD 1",IF($M10116="PADD II","PADD 2",IF($M10116="PADD III","PADD 3",IF($M10116="PADD IV","PADD 4",IF($M10116="PADD V","PADD 5","")))))</f>
        <v/>
      </c>
      <c r="G10116" s="6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  <c r="N10116" s="6">
        <f>IF(OR($G10116="FCC",$G10116="Hydrocracker",$G10116="Reformer"),IF(COUNTIFS($D:$D,$D10116,$A:$A,$A10116,$B:$B,$B10116,$G:$G,"CDU",$J:$J,"PLANNED")&gt;0,"tied","standalone"),"")</f>
        <v/>
      </c>
    </row>
    <row r="10117" spans="6:14">
      <c r="F10117" s="6">
        <f>IF($M10117="PADD I","PADD 1",IF($M10117="PADD II","PADD 2",IF($M10117="PADD III","PADD 3",IF($M10117="PADD IV","PADD 4",IF($M10117="PADD V","PADD 5","")))))</f>
        <v/>
      </c>
      <c r="G10117" s="6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  <c r="N10117" s="6">
        <f>IF(OR($G10117="FCC",$G10117="Hydrocracker",$G10117="Reformer"),IF(COUNTIFS($D:$D,$D10117,$A:$A,$A10117,$B:$B,$B10117,$G:$G,"CDU",$J:$J,"PLANNED")&gt;0,"tied","standalone"),"")</f>
        <v/>
      </c>
    </row>
    <row r="10118" spans="6:14">
      <c r="F10118" s="6">
        <f>IF($M10118="PADD I","PADD 1",IF($M10118="PADD II","PADD 2",IF($M10118="PADD III","PADD 3",IF($M10118="PADD IV","PADD 4",IF($M10118="PADD V","PADD 5","")))))</f>
        <v/>
      </c>
      <c r="G10118" s="6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  <c r="N10118" s="6">
        <f>IF(OR($G10118="FCC",$G10118="Hydrocracker",$G10118="Reformer"),IF(COUNTIFS($D:$D,$D10118,$A:$A,$A10118,$B:$B,$B10118,$G:$G,"CDU",$J:$J,"PLANNED")&gt;0,"tied","standalone"),"")</f>
        <v/>
      </c>
    </row>
    <row r="10119" spans="6:14">
      <c r="F10119" s="6">
        <f>IF($M10119="PADD I","PADD 1",IF($M10119="PADD II","PADD 2",IF($M10119="PADD III","PADD 3",IF($M10119="PADD IV","PADD 4",IF($M10119="PADD V","PADD 5","")))))</f>
        <v/>
      </c>
      <c r="G10119" s="6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  <c r="N10119" s="6">
        <f>IF(OR($G10119="FCC",$G10119="Hydrocracker",$G10119="Reformer"),IF(COUNTIFS($D:$D,$D10119,$A:$A,$A10119,$B:$B,$B10119,$G:$G,"CDU",$J:$J,"PLANNED")&gt;0,"tied","standalone"),"")</f>
        <v/>
      </c>
    </row>
    <row r="10120" spans="6:14">
      <c r="F10120" s="6">
        <f>IF($M10120="PADD I","PADD 1",IF($M10120="PADD II","PADD 2",IF($M10120="PADD III","PADD 3",IF($M10120="PADD IV","PADD 4",IF($M10120="PADD V","PADD 5","")))))</f>
        <v/>
      </c>
      <c r="G10120" s="6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  <c r="N10120" s="6">
        <f>IF(OR($G10120="FCC",$G10120="Hydrocracker",$G10120="Reformer"),IF(COUNTIFS($D:$D,$D10120,$A:$A,$A10120,$B:$B,$B10120,$G:$G,"CDU",$J:$J,"PLANNED")&gt;0,"tied","standalone"),"")</f>
        <v/>
      </c>
    </row>
    <row r="10121" spans="6:14">
      <c r="F10121" s="6">
        <f>IF($M10121="PADD I","PADD 1",IF($M10121="PADD II","PADD 2",IF($M10121="PADD III","PADD 3",IF($M10121="PADD IV","PADD 4",IF($M10121="PADD V","PADD 5","")))))</f>
        <v/>
      </c>
      <c r="G10121" s="6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  <c r="N10121" s="6">
        <f>IF(OR($G10121="FCC",$G10121="Hydrocracker",$G10121="Reformer"),IF(COUNTIFS($D:$D,$D10121,$A:$A,$A10121,$B:$B,$B10121,$G:$G,"CDU",$J:$J,"PLANNED")&gt;0,"tied","standalone"),"")</f>
        <v/>
      </c>
    </row>
    <row r="10122" spans="6:14">
      <c r="F10122" s="6">
        <f>IF($M10122="PADD I","PADD 1",IF($M10122="PADD II","PADD 2",IF($M10122="PADD III","PADD 3",IF($M10122="PADD IV","PADD 4",IF($M10122="PADD V","PADD 5","")))))</f>
        <v/>
      </c>
      <c r="G10122" s="6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  <c r="N10122" s="6">
        <f>IF(OR($G10122="FCC",$G10122="Hydrocracker",$G10122="Reformer"),IF(COUNTIFS($D:$D,$D10122,$A:$A,$A10122,$B:$B,$B10122,$G:$G,"CDU",$J:$J,"PLANNED")&gt;0,"tied","standalone"),"")</f>
        <v/>
      </c>
    </row>
    <row r="10123" spans="6:14">
      <c r="F10123" s="6">
        <f>IF($M10123="PADD I","PADD 1",IF($M10123="PADD II","PADD 2",IF($M10123="PADD III","PADD 3",IF($M10123="PADD IV","PADD 4",IF($M10123="PADD V","PADD 5","")))))</f>
        <v/>
      </c>
      <c r="G10123" s="6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  <c r="N10123" s="6">
        <f>IF(OR($G10123="FCC",$G10123="Hydrocracker",$G10123="Reformer"),IF(COUNTIFS($D:$D,$D10123,$A:$A,$A10123,$B:$B,$B10123,$G:$G,"CDU",$J:$J,"PLANNED")&gt;0,"tied","standalone"),"")</f>
        <v/>
      </c>
    </row>
    <row r="10124" spans="6:14">
      <c r="F10124" s="6">
        <f>IF($M10124="PADD I","PADD 1",IF($M10124="PADD II","PADD 2",IF($M10124="PADD III","PADD 3",IF($M10124="PADD IV","PADD 4",IF($M10124="PADD V","PADD 5","")))))</f>
        <v/>
      </c>
      <c r="G10124" s="6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  <c r="N10124" s="6">
        <f>IF(OR($G10124="FCC",$G10124="Hydrocracker",$G10124="Reformer"),IF(COUNTIFS($D:$D,$D10124,$A:$A,$A10124,$B:$B,$B10124,$G:$G,"CDU",$J:$J,"PLANNED")&gt;0,"tied","standalone"),"")</f>
        <v/>
      </c>
    </row>
    <row r="10125" spans="6:14">
      <c r="F10125" s="6">
        <f>IF($M10125="PADD I","PADD 1",IF($M10125="PADD II","PADD 2",IF($M10125="PADD III","PADD 3",IF($M10125="PADD IV","PADD 4",IF($M10125="PADD V","PADD 5","")))))</f>
        <v/>
      </c>
      <c r="G10125" s="6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  <c r="N10125" s="6">
        <f>IF(OR($G10125="FCC",$G10125="Hydrocracker",$G10125="Reformer"),IF(COUNTIFS($D:$D,$D10125,$A:$A,$A10125,$B:$B,$B10125,$G:$G,"CDU",$J:$J,"PLANNED")&gt;0,"tied","standalone"),"")</f>
        <v/>
      </c>
    </row>
    <row r="10126" spans="6:14">
      <c r="F10126" s="6">
        <f>IF($M10126="PADD I","PADD 1",IF($M10126="PADD II","PADD 2",IF($M10126="PADD III","PADD 3",IF($M10126="PADD IV","PADD 4",IF($M10126="PADD V","PADD 5","")))))</f>
        <v/>
      </c>
      <c r="G10126" s="6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  <c r="N10126" s="6">
        <f>IF(OR($G10126="FCC",$G10126="Hydrocracker",$G10126="Reformer"),IF(COUNTIFS($D:$D,$D10126,$A:$A,$A10126,$B:$B,$B10126,$G:$G,"CDU",$J:$J,"PLANNED")&gt;0,"tied","standalone"),"")</f>
        <v/>
      </c>
    </row>
    <row r="10127" spans="6:14">
      <c r="F10127" s="6">
        <f>IF($M10127="PADD I","PADD 1",IF($M10127="PADD II","PADD 2",IF($M10127="PADD III","PADD 3",IF($M10127="PADD IV","PADD 4",IF($M10127="PADD V","PADD 5","")))))</f>
        <v/>
      </c>
      <c r="G10127" s="6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  <c r="N10127" s="6">
        <f>IF(OR($G10127="FCC",$G10127="Hydrocracker",$G10127="Reformer"),IF(COUNTIFS($D:$D,$D10127,$A:$A,$A10127,$B:$B,$B10127,$G:$G,"CDU",$J:$J,"PLANNED")&gt;0,"tied","standalone"),"")</f>
        <v/>
      </c>
    </row>
    <row r="10128" spans="6:14">
      <c r="F10128" s="6">
        <f>IF($M10128="PADD I","PADD 1",IF($M10128="PADD II","PADD 2",IF($M10128="PADD III","PADD 3",IF($M10128="PADD IV","PADD 4",IF($M10128="PADD V","PADD 5","")))))</f>
        <v/>
      </c>
      <c r="G10128" s="6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  <c r="N10128" s="6">
        <f>IF(OR($G10128="FCC",$G10128="Hydrocracker",$G10128="Reformer"),IF(COUNTIFS($D:$D,$D10128,$A:$A,$A10128,$B:$B,$B10128,$G:$G,"CDU",$J:$J,"PLANNED")&gt;0,"tied","standalone"),"")</f>
        <v/>
      </c>
    </row>
    <row r="10129" spans="6:14">
      <c r="F10129" s="6">
        <f>IF($M10129="PADD I","PADD 1",IF($M10129="PADD II","PADD 2",IF($M10129="PADD III","PADD 3",IF($M10129="PADD IV","PADD 4",IF($M10129="PADD V","PADD 5","")))))</f>
        <v/>
      </c>
      <c r="G10129" s="6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  <c r="N10129" s="6">
        <f>IF(OR($G10129="FCC",$G10129="Hydrocracker",$G10129="Reformer"),IF(COUNTIFS($D:$D,$D10129,$A:$A,$A10129,$B:$B,$B10129,$G:$G,"CDU",$J:$J,"PLANNED")&gt;0,"tied","standalone"),"")</f>
        <v/>
      </c>
    </row>
    <row r="10130" spans="6:14">
      <c r="F10130" s="6">
        <f>IF($M10130="PADD I","PADD 1",IF($M10130="PADD II","PADD 2",IF($M10130="PADD III","PADD 3",IF($M10130="PADD IV","PADD 4",IF($M10130="PADD V","PADD 5","")))))</f>
        <v/>
      </c>
      <c r="G10130" s="6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  <c r="N10130" s="6">
        <f>IF(OR($G10130="FCC",$G10130="Hydrocracker",$G10130="Reformer"),IF(COUNTIFS($D:$D,$D10130,$A:$A,$A10130,$B:$B,$B10130,$G:$G,"CDU",$J:$J,"PLANNED")&gt;0,"tied","standalone"),"")</f>
        <v/>
      </c>
    </row>
    <row r="10131" spans="6:14">
      <c r="F10131" s="6">
        <f>IF($M10131="PADD I","PADD 1",IF($M10131="PADD II","PADD 2",IF($M10131="PADD III","PADD 3",IF($M10131="PADD IV","PADD 4",IF($M10131="PADD V","PADD 5","")))))</f>
        <v/>
      </c>
      <c r="G10131" s="6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  <c r="N10131" s="6">
        <f>IF(OR($G10131="FCC",$G10131="Hydrocracker",$G10131="Reformer"),IF(COUNTIFS($D:$D,$D10131,$A:$A,$A10131,$B:$B,$B10131,$G:$G,"CDU",$J:$J,"PLANNED")&gt;0,"tied","standalone"),"")</f>
        <v/>
      </c>
    </row>
    <row r="10132" spans="6:14">
      <c r="F10132" s="6">
        <f>IF($M10132="PADD I","PADD 1",IF($M10132="PADD II","PADD 2",IF($M10132="PADD III","PADD 3",IF($M10132="PADD IV","PADD 4",IF($M10132="PADD V","PADD 5","")))))</f>
        <v/>
      </c>
      <c r="G10132" s="6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  <c r="N10132" s="6">
        <f>IF(OR($G10132="FCC",$G10132="Hydrocracker",$G10132="Reformer"),IF(COUNTIFS($D:$D,$D10132,$A:$A,$A10132,$B:$B,$B10132,$G:$G,"CDU",$J:$J,"PLANNED")&gt;0,"tied","standalone"),"")</f>
        <v/>
      </c>
    </row>
    <row r="10133" spans="6:14">
      <c r="F10133" s="6">
        <f>IF($M10133="PADD I","PADD 1",IF($M10133="PADD II","PADD 2",IF($M10133="PADD III","PADD 3",IF($M10133="PADD IV","PADD 4",IF($M10133="PADD V","PADD 5","")))))</f>
        <v/>
      </c>
      <c r="G10133" s="6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  <c r="N10133" s="6">
        <f>IF(OR($G10133="FCC",$G10133="Hydrocracker",$G10133="Reformer"),IF(COUNTIFS($D:$D,$D10133,$A:$A,$A10133,$B:$B,$B10133,$G:$G,"CDU",$J:$J,"PLANNED")&gt;0,"tied","standalone"),"")</f>
        <v/>
      </c>
    </row>
    <row r="10134" spans="6:14">
      <c r="F10134" s="6">
        <f>IF($M10134="PADD I","PADD 1",IF($M10134="PADD II","PADD 2",IF($M10134="PADD III","PADD 3",IF($M10134="PADD IV","PADD 4",IF($M10134="PADD V","PADD 5","")))))</f>
        <v/>
      </c>
      <c r="G10134" s="6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  <c r="N10134" s="6">
        <f>IF(OR($G10134="FCC",$G10134="Hydrocracker",$G10134="Reformer"),IF(COUNTIFS($D:$D,$D10134,$A:$A,$A10134,$B:$B,$B10134,$G:$G,"CDU",$J:$J,"PLANNED")&gt;0,"tied","standalone"),"")</f>
        <v/>
      </c>
    </row>
    <row r="10135" spans="6:14">
      <c r="F10135" s="6">
        <f>IF($M10135="PADD I","PADD 1",IF($M10135="PADD II","PADD 2",IF($M10135="PADD III","PADD 3",IF($M10135="PADD IV","PADD 4",IF($M10135="PADD V","PADD 5","")))))</f>
        <v/>
      </c>
      <c r="G10135" s="6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  <c r="N10135" s="6">
        <f>IF(OR($G10135="FCC",$G10135="Hydrocracker",$G10135="Reformer"),IF(COUNTIFS($D:$D,$D10135,$A:$A,$A10135,$B:$B,$B10135,$G:$G,"CDU",$J:$J,"PLANNED")&gt;0,"tied","standalone"),"")</f>
        <v/>
      </c>
    </row>
    <row r="10136" spans="6:14">
      <c r="F10136" s="6">
        <f>IF($M10136="PADD I","PADD 1",IF($M10136="PADD II","PADD 2",IF($M10136="PADD III","PADD 3",IF($M10136="PADD IV","PADD 4",IF($M10136="PADD V","PADD 5","")))))</f>
        <v/>
      </c>
      <c r="G10136" s="6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  <c r="N10136" s="6">
        <f>IF(OR($G10136="FCC",$G10136="Hydrocracker",$G10136="Reformer"),IF(COUNTIFS($D:$D,$D10136,$A:$A,$A10136,$B:$B,$B10136,$G:$G,"CDU",$J:$J,"PLANNED")&gt;0,"tied","standalone"),"")</f>
        <v/>
      </c>
    </row>
    <row r="10137" spans="6:14">
      <c r="F10137" s="6">
        <f>IF($M10137="PADD I","PADD 1",IF($M10137="PADD II","PADD 2",IF($M10137="PADD III","PADD 3",IF($M10137="PADD IV","PADD 4",IF($M10137="PADD V","PADD 5","")))))</f>
        <v/>
      </c>
      <c r="G10137" s="6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  <c r="N10137" s="6">
        <f>IF(OR($G10137="FCC",$G10137="Hydrocracker",$G10137="Reformer"),IF(COUNTIFS($D:$D,$D10137,$A:$A,$A10137,$B:$B,$B10137,$G:$G,"CDU",$J:$J,"PLANNED")&gt;0,"tied","standalone"),"")</f>
        <v/>
      </c>
    </row>
    <row r="10138" spans="6:14">
      <c r="F10138" s="6">
        <f>IF($M10138="PADD I","PADD 1",IF($M10138="PADD II","PADD 2",IF($M10138="PADD III","PADD 3",IF($M10138="PADD IV","PADD 4",IF($M10138="PADD V","PADD 5","")))))</f>
        <v/>
      </c>
      <c r="G10138" s="6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  <c r="N10138" s="6">
        <f>IF(OR($G10138="FCC",$G10138="Hydrocracker",$G10138="Reformer"),IF(COUNTIFS($D:$D,$D10138,$A:$A,$A10138,$B:$B,$B10138,$G:$G,"CDU",$J:$J,"PLANNED")&gt;0,"tied","standalone"),"")</f>
        <v/>
      </c>
    </row>
    <row r="10139" spans="6:14">
      <c r="F10139" s="6">
        <f>IF($M10139="PADD I","PADD 1",IF($M10139="PADD II","PADD 2",IF($M10139="PADD III","PADD 3",IF($M10139="PADD IV","PADD 4",IF($M10139="PADD V","PADD 5","")))))</f>
        <v/>
      </c>
      <c r="G10139" s="6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  <c r="N10139" s="6">
        <f>IF(OR($G10139="FCC",$G10139="Hydrocracker",$G10139="Reformer"),IF(COUNTIFS($D:$D,$D10139,$A:$A,$A10139,$B:$B,$B10139,$G:$G,"CDU",$J:$J,"PLANNED")&gt;0,"tied","standalone"),"")</f>
        <v/>
      </c>
    </row>
    <row r="10140" spans="6:14">
      <c r="F10140" s="6">
        <f>IF($M10140="PADD I","PADD 1",IF($M10140="PADD II","PADD 2",IF($M10140="PADD III","PADD 3",IF($M10140="PADD IV","PADD 4",IF($M10140="PADD V","PADD 5","")))))</f>
        <v/>
      </c>
      <c r="G10140" s="6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  <c r="N10140" s="6">
        <f>IF(OR($G10140="FCC",$G10140="Hydrocracker",$G10140="Reformer"),IF(COUNTIFS($D:$D,$D10140,$A:$A,$A10140,$B:$B,$B10140,$G:$G,"CDU",$J:$J,"PLANNED")&gt;0,"tied","standalone"),"")</f>
        <v/>
      </c>
    </row>
    <row r="10141" spans="6:14">
      <c r="F10141" s="6">
        <f>IF($M10141="PADD I","PADD 1",IF($M10141="PADD II","PADD 2",IF($M10141="PADD III","PADD 3",IF($M10141="PADD IV","PADD 4",IF($M10141="PADD V","PADD 5","")))))</f>
        <v/>
      </c>
      <c r="G10141" s="6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  <c r="N10141" s="6">
        <f>IF(OR($G10141="FCC",$G10141="Hydrocracker",$G10141="Reformer"),IF(COUNTIFS($D:$D,$D10141,$A:$A,$A10141,$B:$B,$B10141,$G:$G,"CDU",$J:$J,"PLANNED")&gt;0,"tied","standalone"),"")</f>
        <v/>
      </c>
    </row>
    <row r="10142" spans="6:14">
      <c r="F10142" s="6">
        <f>IF($M10142="PADD I","PADD 1",IF($M10142="PADD II","PADD 2",IF($M10142="PADD III","PADD 3",IF($M10142="PADD IV","PADD 4",IF($M10142="PADD V","PADD 5","")))))</f>
        <v/>
      </c>
      <c r="G10142" s="6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  <c r="N10142" s="6">
        <f>IF(OR($G10142="FCC",$G10142="Hydrocracker",$G10142="Reformer"),IF(COUNTIFS($D:$D,$D10142,$A:$A,$A10142,$B:$B,$B10142,$G:$G,"CDU",$J:$J,"PLANNED")&gt;0,"tied","standalone"),"")</f>
        <v/>
      </c>
    </row>
    <row r="10143" spans="6:14">
      <c r="F10143" s="6">
        <f>IF($M10143="PADD I","PADD 1",IF($M10143="PADD II","PADD 2",IF($M10143="PADD III","PADD 3",IF($M10143="PADD IV","PADD 4",IF($M10143="PADD V","PADD 5","")))))</f>
        <v/>
      </c>
      <c r="G10143" s="6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  <c r="N10143" s="6">
        <f>IF(OR($G10143="FCC",$G10143="Hydrocracker",$G10143="Reformer"),IF(COUNTIFS($D:$D,$D10143,$A:$A,$A10143,$B:$B,$B10143,$G:$G,"CDU",$J:$J,"PLANNED")&gt;0,"tied","standalone"),"")</f>
        <v/>
      </c>
    </row>
    <row r="10144" spans="6:14">
      <c r="F10144" s="6">
        <f>IF($M10144="PADD I","PADD 1",IF($M10144="PADD II","PADD 2",IF($M10144="PADD III","PADD 3",IF($M10144="PADD IV","PADD 4",IF($M10144="PADD V","PADD 5","")))))</f>
        <v/>
      </c>
      <c r="G10144" s="6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  <c r="N10144" s="6">
        <f>IF(OR($G10144="FCC",$G10144="Hydrocracker",$G10144="Reformer"),IF(COUNTIFS($D:$D,$D10144,$A:$A,$A10144,$B:$B,$B10144,$G:$G,"CDU",$J:$J,"PLANNED")&gt;0,"tied","standalone"),"")</f>
        <v/>
      </c>
    </row>
    <row r="10145" spans="6:14">
      <c r="F10145" s="6">
        <f>IF($M10145="PADD I","PADD 1",IF($M10145="PADD II","PADD 2",IF($M10145="PADD III","PADD 3",IF($M10145="PADD IV","PADD 4",IF($M10145="PADD V","PADD 5","")))))</f>
        <v/>
      </c>
      <c r="G10145" s="6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  <c r="N10145" s="6">
        <f>IF(OR($G10145="FCC",$G10145="Hydrocracker",$G10145="Reformer"),IF(COUNTIFS($D:$D,$D10145,$A:$A,$A10145,$B:$B,$B10145,$G:$G,"CDU",$J:$J,"PLANNED")&gt;0,"tied","standalone"),"")</f>
        <v/>
      </c>
    </row>
    <row r="10146" spans="6:14">
      <c r="F10146" s="6">
        <f>IF($M10146="PADD I","PADD 1",IF($M10146="PADD II","PADD 2",IF($M10146="PADD III","PADD 3",IF($M10146="PADD IV","PADD 4",IF($M10146="PADD V","PADD 5","")))))</f>
        <v/>
      </c>
      <c r="G10146" s="6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  <c r="N10146" s="6">
        <f>IF(OR($G10146="FCC",$G10146="Hydrocracker",$G10146="Reformer"),IF(COUNTIFS($D:$D,$D10146,$A:$A,$A10146,$B:$B,$B10146,$G:$G,"CDU",$J:$J,"PLANNED")&gt;0,"tied","standalone"),"")</f>
        <v/>
      </c>
    </row>
    <row r="10147" spans="6:14">
      <c r="F10147" s="6">
        <f>IF($M10147="PADD I","PADD 1",IF($M10147="PADD II","PADD 2",IF($M10147="PADD III","PADD 3",IF($M10147="PADD IV","PADD 4",IF($M10147="PADD V","PADD 5","")))))</f>
        <v/>
      </c>
      <c r="G10147" s="6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  <c r="N10147" s="6">
        <f>IF(OR($G10147="FCC",$G10147="Hydrocracker",$G10147="Reformer"),IF(COUNTIFS($D:$D,$D10147,$A:$A,$A10147,$B:$B,$B10147,$G:$G,"CDU",$J:$J,"PLANNED")&gt;0,"tied","standalone"),"")</f>
        <v/>
      </c>
    </row>
    <row r="10148" spans="6:14">
      <c r="F10148" s="6">
        <f>IF($M10148="PADD I","PADD 1",IF($M10148="PADD II","PADD 2",IF($M10148="PADD III","PADD 3",IF($M10148="PADD IV","PADD 4",IF($M10148="PADD V","PADD 5","")))))</f>
        <v/>
      </c>
      <c r="G10148" s="6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  <c r="N10148" s="6">
        <f>IF(OR($G10148="FCC",$G10148="Hydrocracker",$G10148="Reformer"),IF(COUNTIFS($D:$D,$D10148,$A:$A,$A10148,$B:$B,$B10148,$G:$G,"CDU",$J:$J,"PLANNED")&gt;0,"tied","standalone"),"")</f>
        <v/>
      </c>
    </row>
    <row r="10149" spans="6:14">
      <c r="F10149" s="6">
        <f>IF($M10149="PADD I","PADD 1",IF($M10149="PADD II","PADD 2",IF($M10149="PADD III","PADD 3",IF($M10149="PADD IV","PADD 4",IF($M10149="PADD V","PADD 5","")))))</f>
        <v/>
      </c>
      <c r="G10149" s="6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  <c r="N10149" s="6">
        <f>IF(OR($G10149="FCC",$G10149="Hydrocracker",$G10149="Reformer"),IF(COUNTIFS($D:$D,$D10149,$A:$A,$A10149,$B:$B,$B10149,$G:$G,"CDU",$J:$J,"PLANNED")&gt;0,"tied","standalone"),"")</f>
        <v/>
      </c>
    </row>
    <row r="10150" spans="6:14">
      <c r="F10150" s="6">
        <f>IF($M10150="PADD I","PADD 1",IF($M10150="PADD II","PADD 2",IF($M10150="PADD III","PADD 3",IF($M10150="PADD IV","PADD 4",IF($M10150="PADD V","PADD 5","")))))</f>
        <v/>
      </c>
      <c r="G10150" s="6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  <c r="N10150" s="6">
        <f>IF(OR($G10150="FCC",$G10150="Hydrocracker",$G10150="Reformer"),IF(COUNTIFS($D:$D,$D10150,$A:$A,$A10150,$B:$B,$B10150,$G:$G,"CDU",$J:$J,"PLANNED")&gt;0,"tied","standalone"),"")</f>
        <v/>
      </c>
    </row>
    <row r="10151" spans="6:14">
      <c r="F10151" s="6">
        <f>IF($M10151="PADD I","PADD 1",IF($M10151="PADD II","PADD 2",IF($M10151="PADD III","PADD 3",IF($M10151="PADD IV","PADD 4",IF($M10151="PADD V","PADD 5","")))))</f>
        <v/>
      </c>
      <c r="G10151" s="6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  <c r="N10151" s="6">
        <f>IF(OR($G10151="FCC",$G10151="Hydrocracker",$G10151="Reformer"),IF(COUNTIFS($D:$D,$D10151,$A:$A,$A10151,$B:$B,$B10151,$G:$G,"CDU",$J:$J,"PLANNED")&gt;0,"tied","standalone"),"")</f>
        <v/>
      </c>
    </row>
    <row r="10152" spans="6:14">
      <c r="F10152" s="6">
        <f>IF($M10152="PADD I","PADD 1",IF($M10152="PADD II","PADD 2",IF($M10152="PADD III","PADD 3",IF($M10152="PADD IV","PADD 4",IF($M10152="PADD V","PADD 5","")))))</f>
        <v/>
      </c>
      <c r="G10152" s="6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  <c r="N10152" s="6">
        <f>IF(OR($G10152="FCC",$G10152="Hydrocracker",$G10152="Reformer"),IF(COUNTIFS($D:$D,$D10152,$A:$A,$A10152,$B:$B,$B10152,$G:$G,"CDU",$J:$J,"PLANNED")&gt;0,"tied","standalone"),"")</f>
        <v/>
      </c>
    </row>
    <row r="10153" spans="6:14">
      <c r="F10153" s="6">
        <f>IF($M10153="PADD I","PADD 1",IF($M10153="PADD II","PADD 2",IF($M10153="PADD III","PADD 3",IF($M10153="PADD IV","PADD 4",IF($M10153="PADD V","PADD 5","")))))</f>
        <v/>
      </c>
      <c r="G10153" s="6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  <c r="N10153" s="6">
        <f>IF(OR($G10153="FCC",$G10153="Hydrocracker",$G10153="Reformer"),IF(COUNTIFS($D:$D,$D10153,$A:$A,$A10153,$B:$B,$B10153,$G:$G,"CDU",$J:$J,"PLANNED")&gt;0,"tied","standalone"),"")</f>
        <v/>
      </c>
    </row>
    <row r="10154" spans="6:14">
      <c r="F10154" s="6">
        <f>IF($M10154="PADD I","PADD 1",IF($M10154="PADD II","PADD 2",IF($M10154="PADD III","PADD 3",IF($M10154="PADD IV","PADD 4",IF($M10154="PADD V","PADD 5","")))))</f>
        <v/>
      </c>
      <c r="G10154" s="6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  <c r="N10154" s="6">
        <f>IF(OR($G10154="FCC",$G10154="Hydrocracker",$G10154="Reformer"),IF(COUNTIFS($D:$D,$D10154,$A:$A,$A10154,$B:$B,$B10154,$G:$G,"CDU",$J:$J,"PLANNED")&gt;0,"tied","standalone"),"")</f>
        <v/>
      </c>
    </row>
    <row r="10155" spans="6:14">
      <c r="F10155" s="6">
        <f>IF($M10155="PADD I","PADD 1",IF($M10155="PADD II","PADD 2",IF($M10155="PADD III","PADD 3",IF($M10155="PADD IV","PADD 4",IF($M10155="PADD V","PADD 5","")))))</f>
        <v/>
      </c>
      <c r="G10155" s="6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  <c r="N10155" s="6">
        <f>IF(OR($G10155="FCC",$G10155="Hydrocracker",$G10155="Reformer"),IF(COUNTIFS($D:$D,$D10155,$A:$A,$A10155,$B:$B,$B10155,$G:$G,"CDU",$J:$J,"PLANNED")&gt;0,"tied","standalone"),"")</f>
        <v/>
      </c>
    </row>
    <row r="10156" spans="6:14">
      <c r="F10156" s="6">
        <f>IF($M10156="PADD I","PADD 1",IF($M10156="PADD II","PADD 2",IF($M10156="PADD III","PADD 3",IF($M10156="PADD IV","PADD 4",IF($M10156="PADD V","PADD 5","")))))</f>
        <v/>
      </c>
      <c r="G10156" s="6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  <c r="N10156" s="6">
        <f>IF(OR($G10156="FCC",$G10156="Hydrocracker",$G10156="Reformer"),IF(COUNTIFS($D:$D,$D10156,$A:$A,$A10156,$B:$B,$B10156,$G:$G,"CDU",$J:$J,"PLANNED")&gt;0,"tied","standalone"),"")</f>
        <v/>
      </c>
    </row>
    <row r="10157" spans="6:14">
      <c r="F10157" s="6">
        <f>IF($M10157="PADD I","PADD 1",IF($M10157="PADD II","PADD 2",IF($M10157="PADD III","PADD 3",IF($M10157="PADD IV","PADD 4",IF($M10157="PADD V","PADD 5","")))))</f>
        <v/>
      </c>
      <c r="G10157" s="6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  <c r="N10157" s="6">
        <f>IF(OR($G10157="FCC",$G10157="Hydrocracker",$G10157="Reformer"),IF(COUNTIFS($D:$D,$D10157,$A:$A,$A10157,$B:$B,$B10157,$G:$G,"CDU",$J:$J,"PLANNED")&gt;0,"tied","standalone"),"")</f>
        <v/>
      </c>
    </row>
    <row r="10158" spans="6:14">
      <c r="F10158" s="6">
        <f>IF($M10158="PADD I","PADD 1",IF($M10158="PADD II","PADD 2",IF($M10158="PADD III","PADD 3",IF($M10158="PADD IV","PADD 4",IF($M10158="PADD V","PADD 5","")))))</f>
        <v/>
      </c>
      <c r="G10158" s="6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  <c r="N10158" s="6">
        <f>IF(OR($G10158="FCC",$G10158="Hydrocracker",$G10158="Reformer"),IF(COUNTIFS($D:$D,$D10158,$A:$A,$A10158,$B:$B,$B10158,$G:$G,"CDU",$J:$J,"PLANNED")&gt;0,"tied","standalone"),"")</f>
        <v/>
      </c>
    </row>
    <row r="10159" spans="6:14">
      <c r="F10159" s="6">
        <f>IF($M10159="PADD I","PADD 1",IF($M10159="PADD II","PADD 2",IF($M10159="PADD III","PADD 3",IF($M10159="PADD IV","PADD 4",IF($M10159="PADD V","PADD 5","")))))</f>
        <v/>
      </c>
      <c r="G10159" s="6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  <c r="N10159" s="6">
        <f>IF(OR($G10159="FCC",$G10159="Hydrocracker",$G10159="Reformer"),IF(COUNTIFS($D:$D,$D10159,$A:$A,$A10159,$B:$B,$B10159,$G:$G,"CDU",$J:$J,"PLANNED")&gt;0,"tied","standalone"),"")</f>
        <v/>
      </c>
    </row>
    <row r="10160" spans="6:14">
      <c r="F10160" s="6">
        <f>IF($M10160="PADD I","PADD 1",IF($M10160="PADD II","PADD 2",IF($M10160="PADD III","PADD 3",IF($M10160="PADD IV","PADD 4",IF($M10160="PADD V","PADD 5","")))))</f>
        <v/>
      </c>
      <c r="G10160" s="6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  <c r="N10160" s="6">
        <f>IF(OR($G10160="FCC",$G10160="Hydrocracker",$G10160="Reformer"),IF(COUNTIFS($D:$D,$D10160,$A:$A,$A10160,$B:$B,$B10160,$G:$G,"CDU",$J:$J,"PLANNED")&gt;0,"tied","standalone"),"")</f>
        <v/>
      </c>
    </row>
    <row r="10161" spans="6:14">
      <c r="F10161" s="6">
        <f>IF($M10161="PADD I","PADD 1",IF($M10161="PADD II","PADD 2",IF($M10161="PADD III","PADD 3",IF($M10161="PADD IV","PADD 4",IF($M10161="PADD V","PADD 5","")))))</f>
        <v/>
      </c>
      <c r="G10161" s="6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  <c r="N10161" s="6">
        <f>IF(OR($G10161="FCC",$G10161="Hydrocracker",$G10161="Reformer"),IF(COUNTIFS($D:$D,$D10161,$A:$A,$A10161,$B:$B,$B10161,$G:$G,"CDU",$J:$J,"PLANNED")&gt;0,"tied","standalone"),"")</f>
        <v/>
      </c>
    </row>
    <row r="10162" spans="6:14">
      <c r="F10162" s="6">
        <f>IF($M10162="PADD I","PADD 1",IF($M10162="PADD II","PADD 2",IF($M10162="PADD III","PADD 3",IF($M10162="PADD IV","PADD 4",IF($M10162="PADD V","PADD 5","")))))</f>
        <v/>
      </c>
      <c r="G10162" s="6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  <c r="N10162" s="6">
        <f>IF(OR($G10162="FCC",$G10162="Hydrocracker",$G10162="Reformer"),IF(COUNTIFS($D:$D,$D10162,$A:$A,$A10162,$B:$B,$B10162,$G:$G,"CDU",$J:$J,"PLANNED")&gt;0,"tied","standalone"),"")</f>
        <v/>
      </c>
    </row>
    <row r="10163" spans="6:14">
      <c r="F10163" s="6">
        <f>IF($M10163="PADD I","PADD 1",IF($M10163="PADD II","PADD 2",IF($M10163="PADD III","PADD 3",IF($M10163="PADD IV","PADD 4",IF($M10163="PADD V","PADD 5","")))))</f>
        <v/>
      </c>
      <c r="G10163" s="6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  <c r="N10163" s="6">
        <f>IF(OR($G10163="FCC",$G10163="Hydrocracker",$G10163="Reformer"),IF(COUNTIFS($D:$D,$D10163,$A:$A,$A10163,$B:$B,$B10163,$G:$G,"CDU",$J:$J,"PLANNED")&gt;0,"tied","standalone"),"")</f>
        <v/>
      </c>
    </row>
    <row r="10164" spans="6:14">
      <c r="F10164" s="6">
        <f>IF($M10164="PADD I","PADD 1",IF($M10164="PADD II","PADD 2",IF($M10164="PADD III","PADD 3",IF($M10164="PADD IV","PADD 4",IF($M10164="PADD V","PADD 5","")))))</f>
        <v/>
      </c>
      <c r="G10164" s="6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  <c r="N10164" s="6">
        <f>IF(OR($G10164="FCC",$G10164="Hydrocracker",$G10164="Reformer"),IF(COUNTIFS($D:$D,$D10164,$A:$A,$A10164,$B:$B,$B10164,$G:$G,"CDU",$J:$J,"PLANNED")&gt;0,"tied","standalone"),"")</f>
        <v/>
      </c>
    </row>
    <row r="10165" spans="6:14">
      <c r="F10165" s="6">
        <f>IF($M10165="PADD I","PADD 1",IF($M10165="PADD II","PADD 2",IF($M10165="PADD III","PADD 3",IF($M10165="PADD IV","PADD 4",IF($M10165="PADD V","PADD 5","")))))</f>
        <v/>
      </c>
      <c r="G10165" s="6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  <c r="N10165" s="6">
        <f>IF(OR($G10165="FCC",$G10165="Hydrocracker",$G10165="Reformer"),IF(COUNTIFS($D:$D,$D10165,$A:$A,$A10165,$B:$B,$B10165,$G:$G,"CDU",$J:$J,"PLANNED")&gt;0,"tied","standalone"),"")</f>
        <v/>
      </c>
    </row>
    <row r="10166" spans="6:14">
      <c r="F10166" s="6">
        <f>IF($M10166="PADD I","PADD 1",IF($M10166="PADD II","PADD 2",IF($M10166="PADD III","PADD 3",IF($M10166="PADD IV","PADD 4",IF($M10166="PADD V","PADD 5","")))))</f>
        <v/>
      </c>
      <c r="G10166" s="6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  <c r="N10166" s="6">
        <f>IF(OR($G10166="FCC",$G10166="Hydrocracker",$G10166="Reformer"),IF(COUNTIFS($D:$D,$D10166,$A:$A,$A10166,$B:$B,$B10166,$G:$G,"CDU",$J:$J,"PLANNED")&gt;0,"tied","standalone"),"")</f>
        <v/>
      </c>
    </row>
    <row r="10167" spans="6:14">
      <c r="F10167" s="6">
        <f>IF($M10167="PADD I","PADD 1",IF($M10167="PADD II","PADD 2",IF($M10167="PADD III","PADD 3",IF($M10167="PADD IV","PADD 4",IF($M10167="PADD V","PADD 5","")))))</f>
        <v/>
      </c>
      <c r="G10167" s="6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  <c r="N10167" s="6">
        <f>IF(OR($G10167="FCC",$G10167="Hydrocracker",$G10167="Reformer"),IF(COUNTIFS($D:$D,$D10167,$A:$A,$A10167,$B:$B,$B10167,$G:$G,"CDU",$J:$J,"PLANNED")&gt;0,"tied","standalone"),"")</f>
        <v/>
      </c>
    </row>
    <row r="10168" spans="6:14">
      <c r="F10168" s="6">
        <f>IF($M10168="PADD I","PADD 1",IF($M10168="PADD II","PADD 2",IF($M10168="PADD III","PADD 3",IF($M10168="PADD IV","PADD 4",IF($M10168="PADD V","PADD 5","")))))</f>
        <v/>
      </c>
      <c r="G10168" s="6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  <c r="N10168" s="6">
        <f>IF(OR($G10168="FCC",$G10168="Hydrocracker",$G10168="Reformer"),IF(COUNTIFS($D:$D,$D10168,$A:$A,$A10168,$B:$B,$B10168,$G:$G,"CDU",$J:$J,"PLANNED")&gt;0,"tied","standalone"),"")</f>
        <v/>
      </c>
    </row>
    <row r="10169" spans="6:14">
      <c r="F10169" s="6">
        <f>IF($M10169="PADD I","PADD 1",IF($M10169="PADD II","PADD 2",IF($M10169="PADD III","PADD 3",IF($M10169="PADD IV","PADD 4",IF($M10169="PADD V","PADD 5","")))))</f>
        <v/>
      </c>
      <c r="G10169" s="6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  <c r="N10169" s="6">
        <f>IF(OR($G10169="FCC",$G10169="Hydrocracker",$G10169="Reformer"),IF(COUNTIFS($D:$D,$D10169,$A:$A,$A10169,$B:$B,$B10169,$G:$G,"CDU",$J:$J,"PLANNED")&gt;0,"tied","standalone"),"")</f>
        <v/>
      </c>
    </row>
    <row r="10170" spans="6:14">
      <c r="F10170" s="6">
        <f>IF($M10170="PADD I","PADD 1",IF($M10170="PADD II","PADD 2",IF($M10170="PADD III","PADD 3",IF($M10170="PADD IV","PADD 4",IF($M10170="PADD V","PADD 5","")))))</f>
        <v/>
      </c>
      <c r="G10170" s="6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  <c r="N10170" s="6">
        <f>IF(OR($G10170="FCC",$G10170="Hydrocracker",$G10170="Reformer"),IF(COUNTIFS($D:$D,$D10170,$A:$A,$A10170,$B:$B,$B10170,$G:$G,"CDU",$J:$J,"PLANNED")&gt;0,"tied","standalone"),"")</f>
        <v/>
      </c>
    </row>
    <row r="10171" spans="6:14">
      <c r="F10171" s="6">
        <f>IF($M10171="PADD I","PADD 1",IF($M10171="PADD II","PADD 2",IF($M10171="PADD III","PADD 3",IF($M10171="PADD IV","PADD 4",IF($M10171="PADD V","PADD 5","")))))</f>
        <v/>
      </c>
      <c r="G10171" s="6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  <c r="N10171" s="6">
        <f>IF(OR($G10171="FCC",$G10171="Hydrocracker",$G10171="Reformer"),IF(COUNTIFS($D:$D,$D10171,$A:$A,$A10171,$B:$B,$B10171,$G:$G,"CDU",$J:$J,"PLANNED")&gt;0,"tied","standalone"),"")</f>
        <v/>
      </c>
    </row>
    <row r="10172" spans="6:14">
      <c r="F10172" s="6">
        <f>IF($M10172="PADD I","PADD 1",IF($M10172="PADD II","PADD 2",IF($M10172="PADD III","PADD 3",IF($M10172="PADD IV","PADD 4",IF($M10172="PADD V","PADD 5","")))))</f>
        <v/>
      </c>
      <c r="G10172" s="6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  <c r="N10172" s="6">
        <f>IF(OR($G10172="FCC",$G10172="Hydrocracker",$G10172="Reformer"),IF(COUNTIFS($D:$D,$D10172,$A:$A,$A10172,$B:$B,$B10172,$G:$G,"CDU",$J:$J,"PLANNED")&gt;0,"tied","standalone"),"")</f>
        <v/>
      </c>
    </row>
    <row r="10173" spans="6:14">
      <c r="F10173" s="6">
        <f>IF($M10173="PADD I","PADD 1",IF($M10173="PADD II","PADD 2",IF($M10173="PADD III","PADD 3",IF($M10173="PADD IV","PADD 4",IF($M10173="PADD V","PADD 5","")))))</f>
        <v/>
      </c>
      <c r="G10173" s="6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  <c r="N10173" s="6">
        <f>IF(OR($G10173="FCC",$G10173="Hydrocracker",$G10173="Reformer"),IF(COUNTIFS($D:$D,$D10173,$A:$A,$A10173,$B:$B,$B10173,$G:$G,"CDU",$J:$J,"PLANNED")&gt;0,"tied","standalone"),"")</f>
        <v/>
      </c>
    </row>
    <row r="10174" spans="6:14">
      <c r="F10174" s="6">
        <f>IF($M10174="PADD I","PADD 1",IF($M10174="PADD II","PADD 2",IF($M10174="PADD III","PADD 3",IF($M10174="PADD IV","PADD 4",IF($M10174="PADD V","PADD 5","")))))</f>
        <v/>
      </c>
      <c r="G10174" s="6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  <c r="N10174" s="6">
        <f>IF(OR($G10174="FCC",$G10174="Hydrocracker",$G10174="Reformer"),IF(COUNTIFS($D:$D,$D10174,$A:$A,$A10174,$B:$B,$B10174,$G:$G,"CDU",$J:$J,"PLANNED")&gt;0,"tied","standalone"),"")</f>
        <v/>
      </c>
    </row>
    <row r="10175" spans="6:14">
      <c r="F10175" s="6">
        <f>IF($M10175="PADD I","PADD 1",IF($M10175="PADD II","PADD 2",IF($M10175="PADD III","PADD 3",IF($M10175="PADD IV","PADD 4",IF($M10175="PADD V","PADD 5","")))))</f>
        <v/>
      </c>
      <c r="G10175" s="6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  <c r="N10175" s="6">
        <f>IF(OR($G10175="FCC",$G10175="Hydrocracker",$G10175="Reformer"),IF(COUNTIFS($D:$D,$D10175,$A:$A,$A10175,$B:$B,$B10175,$G:$G,"CDU",$J:$J,"PLANNED")&gt;0,"tied","standalone"),"")</f>
        <v/>
      </c>
    </row>
    <row r="10176" spans="6:14">
      <c r="F10176" s="6">
        <f>IF($M10176="PADD I","PADD 1",IF($M10176="PADD II","PADD 2",IF($M10176="PADD III","PADD 3",IF($M10176="PADD IV","PADD 4",IF($M10176="PADD V","PADD 5","")))))</f>
        <v/>
      </c>
      <c r="G10176" s="6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  <c r="N10176" s="6">
        <f>IF(OR($G10176="FCC",$G10176="Hydrocracker",$G10176="Reformer"),IF(COUNTIFS($D:$D,$D10176,$A:$A,$A10176,$B:$B,$B10176,$G:$G,"CDU",$J:$J,"PLANNED")&gt;0,"tied","standalone"),"")</f>
        <v/>
      </c>
    </row>
    <row r="10177" spans="6:14">
      <c r="F10177" s="6">
        <f>IF($M10177="PADD I","PADD 1",IF($M10177="PADD II","PADD 2",IF($M10177="PADD III","PADD 3",IF($M10177="PADD IV","PADD 4",IF($M10177="PADD V","PADD 5","")))))</f>
        <v/>
      </c>
      <c r="G10177" s="6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  <c r="N10177" s="6">
        <f>IF(OR($G10177="FCC",$G10177="Hydrocracker",$G10177="Reformer"),IF(COUNTIFS($D:$D,$D10177,$A:$A,$A10177,$B:$B,$B10177,$G:$G,"CDU",$J:$J,"PLANNED")&gt;0,"tied","standalone"),"")</f>
        <v/>
      </c>
    </row>
    <row r="10178" spans="6:14">
      <c r="F10178" s="6">
        <f>IF($M10178="PADD I","PADD 1",IF($M10178="PADD II","PADD 2",IF($M10178="PADD III","PADD 3",IF($M10178="PADD IV","PADD 4",IF($M10178="PADD V","PADD 5","")))))</f>
        <v/>
      </c>
      <c r="G10178" s="6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  <c r="N10178" s="6">
        <f>IF(OR($G10178="FCC",$G10178="Hydrocracker",$G10178="Reformer"),IF(COUNTIFS($D:$D,$D10178,$A:$A,$A10178,$B:$B,$B10178,$G:$G,"CDU",$J:$J,"PLANNED")&gt;0,"tied","standalone"),"")</f>
        <v/>
      </c>
    </row>
    <row r="10179" spans="6:14">
      <c r="F10179" s="6">
        <f>IF($M10179="PADD I","PADD 1",IF($M10179="PADD II","PADD 2",IF($M10179="PADD III","PADD 3",IF($M10179="PADD IV","PADD 4",IF($M10179="PADD V","PADD 5","")))))</f>
        <v/>
      </c>
      <c r="G10179" s="6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  <c r="N10179" s="6">
        <f>IF(OR($G10179="FCC",$G10179="Hydrocracker",$G10179="Reformer"),IF(COUNTIFS($D:$D,$D10179,$A:$A,$A10179,$B:$B,$B10179,$G:$G,"CDU",$J:$J,"PLANNED")&gt;0,"tied","standalone"),"")</f>
        <v/>
      </c>
    </row>
    <row r="10180" spans="6:14">
      <c r="F10180" s="6">
        <f>IF($M10180="PADD I","PADD 1",IF($M10180="PADD II","PADD 2",IF($M10180="PADD III","PADD 3",IF($M10180="PADD IV","PADD 4",IF($M10180="PADD V","PADD 5","")))))</f>
        <v/>
      </c>
      <c r="G10180" s="6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  <c r="N10180" s="6">
        <f>IF(OR($G10180="FCC",$G10180="Hydrocracker",$G10180="Reformer"),IF(COUNTIFS($D:$D,$D10180,$A:$A,$A10180,$B:$B,$B10180,$G:$G,"CDU",$J:$J,"PLANNED")&gt;0,"tied","standalone"),"")</f>
        <v/>
      </c>
    </row>
    <row r="10181" spans="6:14">
      <c r="F10181" s="6">
        <f>IF($M10181="PADD I","PADD 1",IF($M10181="PADD II","PADD 2",IF($M10181="PADD III","PADD 3",IF($M10181="PADD IV","PADD 4",IF($M10181="PADD V","PADD 5","")))))</f>
        <v/>
      </c>
      <c r="G10181" s="6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  <c r="N10181" s="6">
        <f>IF(OR($G10181="FCC",$G10181="Hydrocracker",$G10181="Reformer"),IF(COUNTIFS($D:$D,$D10181,$A:$A,$A10181,$B:$B,$B10181,$G:$G,"CDU",$J:$J,"PLANNED")&gt;0,"tied","standalone"),"")</f>
        <v/>
      </c>
    </row>
    <row r="10182" spans="6:14">
      <c r="F10182" s="6">
        <f>IF($M10182="PADD I","PADD 1",IF($M10182="PADD II","PADD 2",IF($M10182="PADD III","PADD 3",IF($M10182="PADD IV","PADD 4",IF($M10182="PADD V","PADD 5","")))))</f>
        <v/>
      </c>
      <c r="G10182" s="6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  <c r="N10182" s="6">
        <f>IF(OR($G10182="FCC",$G10182="Hydrocracker",$G10182="Reformer"),IF(COUNTIFS($D:$D,$D10182,$A:$A,$A10182,$B:$B,$B10182,$G:$G,"CDU",$J:$J,"PLANNED")&gt;0,"tied","standalone"),"")</f>
        <v/>
      </c>
    </row>
    <row r="10183" spans="6:14">
      <c r="F10183" s="6">
        <f>IF($M10183="PADD I","PADD 1",IF($M10183="PADD II","PADD 2",IF($M10183="PADD III","PADD 3",IF($M10183="PADD IV","PADD 4",IF($M10183="PADD V","PADD 5","")))))</f>
        <v/>
      </c>
      <c r="G10183" s="6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  <c r="N10183" s="6">
        <f>IF(OR($G10183="FCC",$G10183="Hydrocracker",$G10183="Reformer"),IF(COUNTIFS($D:$D,$D10183,$A:$A,$A10183,$B:$B,$B10183,$G:$G,"CDU",$J:$J,"PLANNED")&gt;0,"tied","standalone"),"")</f>
        <v/>
      </c>
    </row>
    <row r="10184" spans="6:14">
      <c r="F10184" s="6">
        <f>IF($M10184="PADD I","PADD 1",IF($M10184="PADD II","PADD 2",IF($M10184="PADD III","PADD 3",IF($M10184="PADD IV","PADD 4",IF($M10184="PADD V","PADD 5","")))))</f>
        <v/>
      </c>
      <c r="G10184" s="6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  <c r="N10184" s="6">
        <f>IF(OR($G10184="FCC",$G10184="Hydrocracker",$G10184="Reformer"),IF(COUNTIFS($D:$D,$D10184,$A:$A,$A10184,$B:$B,$B10184,$G:$G,"CDU",$J:$J,"PLANNED")&gt;0,"tied","standalone"),"")</f>
        <v/>
      </c>
    </row>
    <row r="10185" spans="6:14">
      <c r="F10185" s="6">
        <f>IF($M10185="PADD I","PADD 1",IF($M10185="PADD II","PADD 2",IF($M10185="PADD III","PADD 3",IF($M10185="PADD IV","PADD 4",IF($M10185="PADD V","PADD 5","")))))</f>
        <v/>
      </c>
      <c r="G10185" s="6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  <c r="N10185" s="6">
        <f>IF(OR($G10185="FCC",$G10185="Hydrocracker",$G10185="Reformer"),IF(COUNTIFS($D:$D,$D10185,$A:$A,$A10185,$B:$B,$B10185,$G:$G,"CDU",$J:$J,"PLANNED")&gt;0,"tied","standalone"),"")</f>
        <v/>
      </c>
    </row>
    <row r="10186" spans="6:14">
      <c r="F10186" s="6">
        <f>IF($M10186="PADD I","PADD 1",IF($M10186="PADD II","PADD 2",IF($M10186="PADD III","PADD 3",IF($M10186="PADD IV","PADD 4",IF($M10186="PADD V","PADD 5","")))))</f>
        <v/>
      </c>
      <c r="G10186" s="6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  <c r="N10186" s="6">
        <f>IF(OR($G10186="FCC",$G10186="Hydrocracker",$G10186="Reformer"),IF(COUNTIFS($D:$D,$D10186,$A:$A,$A10186,$B:$B,$B10186,$G:$G,"CDU",$J:$J,"PLANNED")&gt;0,"tied","standalone"),"")</f>
        <v/>
      </c>
    </row>
    <row r="10187" spans="6:14">
      <c r="F10187" s="6">
        <f>IF($M10187="PADD I","PADD 1",IF($M10187="PADD II","PADD 2",IF($M10187="PADD III","PADD 3",IF($M10187="PADD IV","PADD 4",IF($M10187="PADD V","PADD 5","")))))</f>
        <v/>
      </c>
      <c r="G10187" s="6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  <c r="N10187" s="6">
        <f>IF(OR($G10187="FCC",$G10187="Hydrocracker",$G10187="Reformer"),IF(COUNTIFS($D:$D,$D10187,$A:$A,$A10187,$B:$B,$B10187,$G:$G,"CDU",$J:$J,"PLANNED")&gt;0,"tied","standalone"),"")</f>
        <v/>
      </c>
    </row>
    <row r="10188" spans="6:14">
      <c r="F10188" s="6">
        <f>IF($M10188="PADD I","PADD 1",IF($M10188="PADD II","PADD 2",IF($M10188="PADD III","PADD 3",IF($M10188="PADD IV","PADD 4",IF($M10188="PADD V","PADD 5","")))))</f>
        <v/>
      </c>
      <c r="G10188" s="6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  <c r="N10188" s="6">
        <f>IF(OR($G10188="FCC",$G10188="Hydrocracker",$G10188="Reformer"),IF(COUNTIFS($D:$D,$D10188,$A:$A,$A10188,$B:$B,$B10188,$G:$G,"CDU",$J:$J,"PLANNED")&gt;0,"tied","standalone"),"")</f>
        <v/>
      </c>
    </row>
    <row r="10189" spans="6:14">
      <c r="F10189" s="6">
        <f>IF($M10189="PADD I","PADD 1",IF($M10189="PADD II","PADD 2",IF($M10189="PADD III","PADD 3",IF($M10189="PADD IV","PADD 4",IF($M10189="PADD V","PADD 5","")))))</f>
        <v/>
      </c>
      <c r="G10189" s="6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  <c r="N10189" s="6">
        <f>IF(OR($G10189="FCC",$G10189="Hydrocracker",$G10189="Reformer"),IF(COUNTIFS($D:$D,$D10189,$A:$A,$A10189,$B:$B,$B10189,$G:$G,"CDU",$J:$J,"PLANNED")&gt;0,"tied","standalone"),"")</f>
        <v/>
      </c>
    </row>
    <row r="10190" spans="6:14">
      <c r="F10190" s="6">
        <f>IF($M10190="PADD I","PADD 1",IF($M10190="PADD II","PADD 2",IF($M10190="PADD III","PADD 3",IF($M10190="PADD IV","PADD 4",IF($M10190="PADD V","PADD 5","")))))</f>
        <v/>
      </c>
      <c r="G10190" s="6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  <c r="N10190" s="6">
        <f>IF(OR($G10190="FCC",$G10190="Hydrocracker",$G10190="Reformer"),IF(COUNTIFS($D:$D,$D10190,$A:$A,$A10190,$B:$B,$B10190,$G:$G,"CDU",$J:$J,"PLANNED")&gt;0,"tied","standalone"),"")</f>
        <v/>
      </c>
    </row>
    <row r="10191" spans="6:14">
      <c r="F10191" s="6">
        <f>IF($M10191="PADD I","PADD 1",IF($M10191="PADD II","PADD 2",IF($M10191="PADD III","PADD 3",IF($M10191="PADD IV","PADD 4",IF($M10191="PADD V","PADD 5","")))))</f>
        <v/>
      </c>
      <c r="G10191" s="6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  <c r="N10191" s="6">
        <f>IF(OR($G10191="FCC",$G10191="Hydrocracker",$G10191="Reformer"),IF(COUNTIFS($D:$D,$D10191,$A:$A,$A10191,$B:$B,$B10191,$G:$G,"CDU",$J:$J,"PLANNED")&gt;0,"tied","standalone"),"")</f>
        <v/>
      </c>
    </row>
    <row r="10192" spans="6:14">
      <c r="F10192" s="6">
        <f>IF($M10192="PADD I","PADD 1",IF($M10192="PADD II","PADD 2",IF($M10192="PADD III","PADD 3",IF($M10192="PADD IV","PADD 4",IF($M10192="PADD V","PADD 5","")))))</f>
        <v/>
      </c>
      <c r="G10192" s="6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  <c r="N10192" s="6">
        <f>IF(OR($G10192="FCC",$G10192="Hydrocracker",$G10192="Reformer"),IF(COUNTIFS($D:$D,$D10192,$A:$A,$A10192,$B:$B,$B10192,$G:$G,"CDU",$J:$J,"PLANNED")&gt;0,"tied","standalone"),"")</f>
        <v/>
      </c>
    </row>
    <row r="10193" spans="6:14">
      <c r="F10193" s="6">
        <f>IF($M10193="PADD I","PADD 1",IF($M10193="PADD II","PADD 2",IF($M10193="PADD III","PADD 3",IF($M10193="PADD IV","PADD 4",IF($M10193="PADD V","PADD 5","")))))</f>
        <v/>
      </c>
      <c r="G10193" s="6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  <c r="N10193" s="6">
        <f>IF(OR($G10193="FCC",$G10193="Hydrocracker",$G10193="Reformer"),IF(COUNTIFS($D:$D,$D10193,$A:$A,$A10193,$B:$B,$B10193,$G:$G,"CDU",$J:$J,"PLANNED")&gt;0,"tied","standalone"),"")</f>
        <v/>
      </c>
    </row>
    <row r="10194" spans="6:14">
      <c r="F10194" s="6">
        <f>IF($M10194="PADD I","PADD 1",IF($M10194="PADD II","PADD 2",IF($M10194="PADD III","PADD 3",IF($M10194="PADD IV","PADD 4",IF($M10194="PADD V","PADD 5","")))))</f>
        <v/>
      </c>
      <c r="G10194" s="6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  <c r="N10194" s="6">
        <f>IF(OR($G10194="FCC",$G10194="Hydrocracker",$G10194="Reformer"),IF(COUNTIFS($D:$D,$D10194,$A:$A,$A10194,$B:$B,$B10194,$G:$G,"CDU",$J:$J,"PLANNED")&gt;0,"tied","standalone"),"")</f>
        <v/>
      </c>
    </row>
    <row r="10195" spans="6:14">
      <c r="F10195" s="6">
        <f>IF($M10195="PADD I","PADD 1",IF($M10195="PADD II","PADD 2",IF($M10195="PADD III","PADD 3",IF($M10195="PADD IV","PADD 4",IF($M10195="PADD V","PADD 5","")))))</f>
        <v/>
      </c>
      <c r="G10195" s="6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  <c r="N10195" s="6">
        <f>IF(OR($G10195="FCC",$G10195="Hydrocracker",$G10195="Reformer"),IF(COUNTIFS($D:$D,$D10195,$A:$A,$A10195,$B:$B,$B10195,$G:$G,"CDU",$J:$J,"PLANNED")&gt;0,"tied","standalone"),"")</f>
        <v/>
      </c>
    </row>
    <row r="10196" spans="6:14">
      <c r="F10196" s="6">
        <f>IF($M10196="PADD I","PADD 1",IF($M10196="PADD II","PADD 2",IF($M10196="PADD III","PADD 3",IF($M10196="PADD IV","PADD 4",IF($M10196="PADD V","PADD 5","")))))</f>
        <v/>
      </c>
      <c r="G10196" s="6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  <c r="N10196" s="6">
        <f>IF(OR($G10196="FCC",$G10196="Hydrocracker",$G10196="Reformer"),IF(COUNTIFS($D:$D,$D10196,$A:$A,$A10196,$B:$B,$B10196,$G:$G,"CDU",$J:$J,"PLANNED")&gt;0,"tied","standalone"),"")</f>
        <v/>
      </c>
    </row>
    <row r="10197" spans="6:14">
      <c r="F10197" s="6">
        <f>IF($M10197="PADD I","PADD 1",IF($M10197="PADD II","PADD 2",IF($M10197="PADD III","PADD 3",IF($M10197="PADD IV","PADD 4",IF($M10197="PADD V","PADD 5","")))))</f>
        <v/>
      </c>
      <c r="G10197" s="6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  <c r="N10197" s="6">
        <f>IF(OR($G10197="FCC",$G10197="Hydrocracker",$G10197="Reformer"),IF(COUNTIFS($D:$D,$D10197,$A:$A,$A10197,$B:$B,$B10197,$G:$G,"CDU",$J:$J,"PLANNED")&gt;0,"tied","standalone"),"")</f>
        <v/>
      </c>
    </row>
    <row r="10198" spans="6:14">
      <c r="F10198" s="6">
        <f>IF($M10198="PADD I","PADD 1",IF($M10198="PADD II","PADD 2",IF($M10198="PADD III","PADD 3",IF($M10198="PADD IV","PADD 4",IF($M10198="PADD V","PADD 5","")))))</f>
        <v/>
      </c>
      <c r="G10198" s="6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  <c r="N10198" s="6">
        <f>IF(OR($G10198="FCC",$G10198="Hydrocracker",$G10198="Reformer"),IF(COUNTIFS($D:$D,$D10198,$A:$A,$A10198,$B:$B,$B10198,$G:$G,"CDU",$J:$J,"PLANNED")&gt;0,"tied","standalone"),"")</f>
        <v/>
      </c>
    </row>
    <row r="10199" spans="6:14">
      <c r="F10199" s="6">
        <f>IF($M10199="PADD I","PADD 1",IF($M10199="PADD II","PADD 2",IF($M10199="PADD III","PADD 3",IF($M10199="PADD IV","PADD 4",IF($M10199="PADD V","PADD 5","")))))</f>
        <v/>
      </c>
      <c r="G10199" s="6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  <c r="N10199" s="6">
        <f>IF(OR($G10199="FCC",$G10199="Hydrocracker",$G10199="Reformer"),IF(COUNTIFS($D:$D,$D10199,$A:$A,$A10199,$B:$B,$B10199,$G:$G,"CDU",$J:$J,"PLANNED")&gt;0,"tied","standalone"),"")</f>
        <v/>
      </c>
    </row>
    <row r="10200" spans="6:14">
      <c r="F10200" s="6">
        <f>IF($M10200="PADD I","PADD 1",IF($M10200="PADD II","PADD 2",IF($M10200="PADD III","PADD 3",IF($M10200="PADD IV","PADD 4",IF($M10200="PADD V","PADD 5","")))))</f>
        <v/>
      </c>
      <c r="G10200" s="6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  <c r="N10200" s="6">
        <f>IF(OR($G10200="FCC",$G10200="Hydrocracker",$G10200="Reformer"),IF(COUNTIFS($D:$D,$D10200,$A:$A,$A10200,$B:$B,$B10200,$G:$G,"CDU",$J:$J,"PLANNED")&gt;0,"tied","standalone"),"")</f>
        <v/>
      </c>
    </row>
    <row r="10201" spans="6:14">
      <c r="F10201" s="6">
        <f>IF($M10201="PADD I","PADD 1",IF($M10201="PADD II","PADD 2",IF($M10201="PADD III","PADD 3",IF($M10201="PADD IV","PADD 4",IF($M10201="PADD V","PADD 5","")))))</f>
        <v/>
      </c>
      <c r="G10201" s="6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  <c r="N10201" s="6">
        <f>IF(OR($G10201="FCC",$G10201="Hydrocracker",$G10201="Reformer"),IF(COUNTIFS($D:$D,$D10201,$A:$A,$A10201,$B:$B,$B10201,$G:$G,"CDU",$J:$J,"PLANNED")&gt;0,"tied","standalone"),"")</f>
        <v/>
      </c>
    </row>
    <row r="10202" spans="6:14">
      <c r="F10202" s="6">
        <f>IF($M10202="PADD I","PADD 1",IF($M10202="PADD II","PADD 2",IF($M10202="PADD III","PADD 3",IF($M10202="PADD IV","PADD 4",IF($M10202="PADD V","PADD 5","")))))</f>
        <v/>
      </c>
      <c r="G10202" s="6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  <c r="N10202" s="6">
        <f>IF(OR($G10202="FCC",$G10202="Hydrocracker",$G10202="Reformer"),IF(COUNTIFS($D:$D,$D10202,$A:$A,$A10202,$B:$B,$B10202,$G:$G,"CDU",$J:$J,"PLANNED")&gt;0,"tied","standalone"),"")</f>
        <v/>
      </c>
    </row>
    <row r="10203" spans="6:14">
      <c r="F10203" s="6">
        <f>IF($M10203="PADD I","PADD 1",IF($M10203="PADD II","PADD 2",IF($M10203="PADD III","PADD 3",IF($M10203="PADD IV","PADD 4",IF($M10203="PADD V","PADD 5","")))))</f>
        <v/>
      </c>
      <c r="G10203" s="6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  <c r="N10203" s="6">
        <f>IF(OR($G10203="FCC",$G10203="Hydrocracker",$G10203="Reformer"),IF(COUNTIFS($D:$D,$D10203,$A:$A,$A10203,$B:$B,$B10203,$G:$G,"CDU",$J:$J,"PLANNED")&gt;0,"tied","standalone"),"")</f>
        <v/>
      </c>
    </row>
    <row r="10204" spans="6:14">
      <c r="F10204" s="6">
        <f>IF($M10204="PADD I","PADD 1",IF($M10204="PADD II","PADD 2",IF($M10204="PADD III","PADD 3",IF($M10204="PADD IV","PADD 4",IF($M10204="PADD V","PADD 5","")))))</f>
        <v/>
      </c>
      <c r="G10204" s="6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  <c r="N10204" s="6">
        <f>IF(OR($G10204="FCC",$G10204="Hydrocracker",$G10204="Reformer"),IF(COUNTIFS($D:$D,$D10204,$A:$A,$A10204,$B:$B,$B10204,$G:$G,"CDU",$J:$J,"PLANNED")&gt;0,"tied","standalone"),"")</f>
        <v/>
      </c>
    </row>
    <row r="10205" spans="6:14">
      <c r="F10205" s="6">
        <f>IF($M10205="PADD I","PADD 1",IF($M10205="PADD II","PADD 2",IF($M10205="PADD III","PADD 3",IF($M10205="PADD IV","PADD 4",IF($M10205="PADD V","PADD 5","")))))</f>
        <v/>
      </c>
      <c r="G10205" s="6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  <c r="N10205" s="6">
        <f>IF(OR($G10205="FCC",$G10205="Hydrocracker",$G10205="Reformer"),IF(COUNTIFS($D:$D,$D10205,$A:$A,$A10205,$B:$B,$B10205,$G:$G,"CDU",$J:$J,"PLANNED")&gt;0,"tied","standalone"),"")</f>
        <v/>
      </c>
    </row>
    <row r="10206" spans="6:14">
      <c r="F10206" s="6">
        <f>IF($M10206="PADD I","PADD 1",IF($M10206="PADD II","PADD 2",IF($M10206="PADD III","PADD 3",IF($M10206="PADD IV","PADD 4",IF($M10206="PADD V","PADD 5","")))))</f>
        <v/>
      </c>
      <c r="G10206" s="6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  <c r="N10206" s="6">
        <f>IF(OR($G10206="FCC",$G10206="Hydrocracker",$G10206="Reformer"),IF(COUNTIFS($D:$D,$D10206,$A:$A,$A10206,$B:$B,$B10206,$G:$G,"CDU",$J:$J,"PLANNED")&gt;0,"tied","standalone"),"")</f>
        <v/>
      </c>
    </row>
    <row r="10207" spans="6:14">
      <c r="F10207" s="6">
        <f>IF($M10207="PADD I","PADD 1",IF($M10207="PADD II","PADD 2",IF($M10207="PADD III","PADD 3",IF($M10207="PADD IV","PADD 4",IF($M10207="PADD V","PADD 5","")))))</f>
        <v/>
      </c>
      <c r="G10207" s="6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  <c r="N10207" s="6">
        <f>IF(OR($G10207="FCC",$G10207="Hydrocracker",$G10207="Reformer"),IF(COUNTIFS($D:$D,$D10207,$A:$A,$A10207,$B:$B,$B10207,$G:$G,"CDU",$J:$J,"PLANNED")&gt;0,"tied","standalone"),"")</f>
        <v/>
      </c>
    </row>
    <row r="10208" spans="6:14">
      <c r="F10208" s="6">
        <f>IF($M10208="PADD I","PADD 1",IF($M10208="PADD II","PADD 2",IF($M10208="PADD III","PADD 3",IF($M10208="PADD IV","PADD 4",IF($M10208="PADD V","PADD 5","")))))</f>
        <v/>
      </c>
      <c r="G10208" s="6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  <c r="N10208" s="6">
        <f>IF(OR($G10208="FCC",$G10208="Hydrocracker",$G10208="Reformer"),IF(COUNTIFS($D:$D,$D10208,$A:$A,$A10208,$B:$B,$B10208,$G:$G,"CDU",$J:$J,"PLANNED")&gt;0,"tied","standalone"),"")</f>
        <v/>
      </c>
    </row>
    <row r="10209" spans="6:14">
      <c r="F10209" s="6">
        <f>IF($M10209="PADD I","PADD 1",IF($M10209="PADD II","PADD 2",IF($M10209="PADD III","PADD 3",IF($M10209="PADD IV","PADD 4",IF($M10209="PADD V","PADD 5","")))))</f>
        <v/>
      </c>
      <c r="G10209" s="6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  <c r="N10209" s="6">
        <f>IF(OR($G10209="FCC",$G10209="Hydrocracker",$G10209="Reformer"),IF(COUNTIFS($D:$D,$D10209,$A:$A,$A10209,$B:$B,$B10209,$G:$G,"CDU",$J:$J,"PLANNED")&gt;0,"tied","standalone"),"")</f>
        <v/>
      </c>
    </row>
    <row r="10210" spans="6:14">
      <c r="F10210" s="6">
        <f>IF($M10210="PADD I","PADD 1",IF($M10210="PADD II","PADD 2",IF($M10210="PADD III","PADD 3",IF($M10210="PADD IV","PADD 4",IF($M10210="PADD V","PADD 5","")))))</f>
        <v/>
      </c>
      <c r="G10210" s="6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  <c r="N10210" s="6">
        <f>IF(OR($G10210="FCC",$G10210="Hydrocracker",$G10210="Reformer"),IF(COUNTIFS($D:$D,$D10210,$A:$A,$A10210,$B:$B,$B10210,$G:$G,"CDU",$J:$J,"PLANNED")&gt;0,"tied","standalone"),"")</f>
        <v/>
      </c>
    </row>
    <row r="10211" spans="6:14">
      <c r="F10211" s="6">
        <f>IF($M10211="PADD I","PADD 1",IF($M10211="PADD II","PADD 2",IF($M10211="PADD III","PADD 3",IF($M10211="PADD IV","PADD 4",IF($M10211="PADD V","PADD 5","")))))</f>
        <v/>
      </c>
      <c r="G10211" s="6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  <c r="N10211" s="6">
        <f>IF(OR($G10211="FCC",$G10211="Hydrocracker",$G10211="Reformer"),IF(COUNTIFS($D:$D,$D10211,$A:$A,$A10211,$B:$B,$B10211,$G:$G,"CDU",$J:$J,"PLANNED")&gt;0,"tied","standalone"),"")</f>
        <v/>
      </c>
    </row>
    <row r="10212" spans="6:14">
      <c r="F10212" s="6">
        <f>IF($M10212="PADD I","PADD 1",IF($M10212="PADD II","PADD 2",IF($M10212="PADD III","PADD 3",IF($M10212="PADD IV","PADD 4",IF($M10212="PADD V","PADD 5","")))))</f>
        <v/>
      </c>
      <c r="G10212" s="6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  <c r="N10212" s="6">
        <f>IF(OR($G10212="FCC",$G10212="Hydrocracker",$G10212="Reformer"),IF(COUNTIFS($D:$D,$D10212,$A:$A,$A10212,$B:$B,$B10212,$G:$G,"CDU",$J:$J,"PLANNED")&gt;0,"tied","standalone"),"")</f>
        <v/>
      </c>
    </row>
    <row r="10213" spans="6:14">
      <c r="F10213" s="6">
        <f>IF($M10213="PADD I","PADD 1",IF($M10213="PADD II","PADD 2",IF($M10213="PADD III","PADD 3",IF($M10213="PADD IV","PADD 4",IF($M10213="PADD V","PADD 5","")))))</f>
        <v/>
      </c>
      <c r="G10213" s="6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  <c r="N10213" s="6">
        <f>IF(OR($G10213="FCC",$G10213="Hydrocracker",$G10213="Reformer"),IF(COUNTIFS($D:$D,$D10213,$A:$A,$A10213,$B:$B,$B10213,$G:$G,"CDU",$J:$J,"PLANNED")&gt;0,"tied","standalone"),"")</f>
        <v/>
      </c>
    </row>
    <row r="10214" spans="6:14">
      <c r="F10214" s="6">
        <f>IF($M10214="PADD I","PADD 1",IF($M10214="PADD II","PADD 2",IF($M10214="PADD III","PADD 3",IF($M10214="PADD IV","PADD 4",IF($M10214="PADD V","PADD 5","")))))</f>
        <v/>
      </c>
      <c r="G10214" s="6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  <c r="N10214" s="6">
        <f>IF(OR($G10214="FCC",$G10214="Hydrocracker",$G10214="Reformer"),IF(COUNTIFS($D:$D,$D10214,$A:$A,$A10214,$B:$B,$B10214,$G:$G,"CDU",$J:$J,"PLANNED")&gt;0,"tied","standalone"),"")</f>
        <v/>
      </c>
    </row>
    <row r="10215" spans="6:14">
      <c r="F10215" s="6">
        <f>IF($M10215="PADD I","PADD 1",IF($M10215="PADD II","PADD 2",IF($M10215="PADD III","PADD 3",IF($M10215="PADD IV","PADD 4",IF($M10215="PADD V","PADD 5","")))))</f>
        <v/>
      </c>
      <c r="G10215" s="6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  <c r="N10215" s="6">
        <f>IF(OR($G10215="FCC",$G10215="Hydrocracker",$G10215="Reformer"),IF(COUNTIFS($D:$D,$D10215,$A:$A,$A10215,$B:$B,$B10215,$G:$G,"CDU",$J:$J,"PLANNED")&gt;0,"tied","standalone"),"")</f>
        <v/>
      </c>
    </row>
    <row r="10216" spans="6:14">
      <c r="F10216" s="6">
        <f>IF($M10216="PADD I","PADD 1",IF($M10216="PADD II","PADD 2",IF($M10216="PADD III","PADD 3",IF($M10216="PADD IV","PADD 4",IF($M10216="PADD V","PADD 5","")))))</f>
        <v/>
      </c>
      <c r="G10216" s="6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  <c r="N10216" s="6">
        <f>IF(OR($G10216="FCC",$G10216="Hydrocracker",$G10216="Reformer"),IF(COUNTIFS($D:$D,$D10216,$A:$A,$A10216,$B:$B,$B10216,$G:$G,"CDU",$J:$J,"PLANNED")&gt;0,"tied","standalone"),"")</f>
        <v/>
      </c>
    </row>
    <row r="10217" spans="6:14">
      <c r="F10217" s="6">
        <f>IF($M10217="PADD I","PADD 1",IF($M10217="PADD II","PADD 2",IF($M10217="PADD III","PADD 3",IF($M10217="PADD IV","PADD 4",IF($M10217="PADD V","PADD 5","")))))</f>
        <v/>
      </c>
      <c r="G10217" s="6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  <c r="N10217" s="6">
        <f>IF(OR($G10217="FCC",$G10217="Hydrocracker",$G10217="Reformer"),IF(COUNTIFS($D:$D,$D10217,$A:$A,$A10217,$B:$B,$B10217,$G:$G,"CDU",$J:$J,"PLANNED")&gt;0,"tied","standalone"),"")</f>
        <v/>
      </c>
    </row>
    <row r="10218" spans="6:14">
      <c r="F10218" s="6">
        <f>IF($M10218="PADD I","PADD 1",IF($M10218="PADD II","PADD 2",IF($M10218="PADD III","PADD 3",IF($M10218="PADD IV","PADD 4",IF($M10218="PADD V","PADD 5","")))))</f>
        <v/>
      </c>
      <c r="G10218" s="6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  <c r="N10218" s="6">
        <f>IF(OR($G10218="FCC",$G10218="Hydrocracker",$G10218="Reformer"),IF(COUNTIFS($D:$D,$D10218,$A:$A,$A10218,$B:$B,$B10218,$G:$G,"CDU",$J:$J,"PLANNED")&gt;0,"tied","standalone"),"")</f>
        <v/>
      </c>
    </row>
    <row r="10219" spans="6:14">
      <c r="F10219" s="6">
        <f>IF($M10219="PADD I","PADD 1",IF($M10219="PADD II","PADD 2",IF($M10219="PADD III","PADD 3",IF($M10219="PADD IV","PADD 4",IF($M10219="PADD V","PADD 5","")))))</f>
        <v/>
      </c>
      <c r="G10219" s="6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  <c r="N10219" s="6">
        <f>IF(OR($G10219="FCC",$G10219="Hydrocracker",$G10219="Reformer"),IF(COUNTIFS($D:$D,$D10219,$A:$A,$A10219,$B:$B,$B10219,$G:$G,"CDU",$J:$J,"PLANNED")&gt;0,"tied","standalone"),"")</f>
        <v/>
      </c>
    </row>
    <row r="10220" spans="6:14">
      <c r="F10220" s="6">
        <f>IF($M10220="PADD I","PADD 1",IF($M10220="PADD II","PADD 2",IF($M10220="PADD III","PADD 3",IF($M10220="PADD IV","PADD 4",IF($M10220="PADD V","PADD 5","")))))</f>
        <v/>
      </c>
      <c r="G10220" s="6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  <c r="N10220" s="6">
        <f>IF(OR($G10220="FCC",$G10220="Hydrocracker",$G10220="Reformer"),IF(COUNTIFS($D:$D,$D10220,$A:$A,$A10220,$B:$B,$B10220,$G:$G,"CDU",$J:$J,"PLANNED")&gt;0,"tied","standalone"),"")</f>
        <v/>
      </c>
    </row>
    <row r="10221" spans="6:14">
      <c r="F10221" s="6">
        <f>IF($M10221="PADD I","PADD 1",IF($M10221="PADD II","PADD 2",IF($M10221="PADD III","PADD 3",IF($M10221="PADD IV","PADD 4",IF($M10221="PADD V","PADD 5","")))))</f>
        <v/>
      </c>
      <c r="G10221" s="6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  <c r="N10221" s="6">
        <f>IF(OR($G10221="FCC",$G10221="Hydrocracker",$G10221="Reformer"),IF(COUNTIFS($D:$D,$D10221,$A:$A,$A10221,$B:$B,$B10221,$G:$G,"CDU",$J:$J,"PLANNED")&gt;0,"tied","standalone"),"")</f>
        <v/>
      </c>
    </row>
    <row r="10222" spans="6:14">
      <c r="F10222" s="6">
        <f>IF($M10222="PADD I","PADD 1",IF($M10222="PADD II","PADD 2",IF($M10222="PADD III","PADD 3",IF($M10222="PADD IV","PADD 4",IF($M10222="PADD V","PADD 5","")))))</f>
        <v/>
      </c>
      <c r="G10222" s="6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  <c r="N10222" s="6">
        <f>IF(OR($G10222="FCC",$G10222="Hydrocracker",$G10222="Reformer"),IF(COUNTIFS($D:$D,$D10222,$A:$A,$A10222,$B:$B,$B10222,$G:$G,"CDU",$J:$J,"PLANNED")&gt;0,"tied","standalone"),"")</f>
        <v/>
      </c>
    </row>
    <row r="10223" spans="6:14">
      <c r="F10223" s="6">
        <f>IF($M10223="PADD I","PADD 1",IF($M10223="PADD II","PADD 2",IF($M10223="PADD III","PADD 3",IF($M10223="PADD IV","PADD 4",IF($M10223="PADD V","PADD 5","")))))</f>
        <v/>
      </c>
      <c r="G10223" s="6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  <c r="N10223" s="6">
        <f>IF(OR($G10223="FCC",$G10223="Hydrocracker",$G10223="Reformer"),IF(COUNTIFS($D:$D,$D10223,$A:$A,$A10223,$B:$B,$B10223,$G:$G,"CDU",$J:$J,"PLANNED")&gt;0,"tied","standalone"),"")</f>
        <v/>
      </c>
    </row>
    <row r="10224" spans="6:14">
      <c r="F10224" s="6">
        <f>IF($M10224="PADD I","PADD 1",IF($M10224="PADD II","PADD 2",IF($M10224="PADD III","PADD 3",IF($M10224="PADD IV","PADD 4",IF($M10224="PADD V","PADD 5","")))))</f>
        <v/>
      </c>
      <c r="G10224" s="6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  <c r="N10224" s="6">
        <f>IF(OR($G10224="FCC",$G10224="Hydrocracker",$G10224="Reformer"),IF(COUNTIFS($D:$D,$D10224,$A:$A,$A10224,$B:$B,$B10224,$G:$G,"CDU",$J:$J,"PLANNED")&gt;0,"tied","standalone"),"")</f>
        <v/>
      </c>
    </row>
    <row r="10225" spans="6:14">
      <c r="F10225" s="6">
        <f>IF($M10225="PADD I","PADD 1",IF($M10225="PADD II","PADD 2",IF($M10225="PADD III","PADD 3",IF($M10225="PADD IV","PADD 4",IF($M10225="PADD V","PADD 5","")))))</f>
        <v/>
      </c>
      <c r="G10225" s="6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  <c r="N10225" s="6">
        <f>IF(OR($G10225="FCC",$G10225="Hydrocracker",$G10225="Reformer"),IF(COUNTIFS($D:$D,$D10225,$A:$A,$A10225,$B:$B,$B10225,$G:$G,"CDU",$J:$J,"PLANNED")&gt;0,"tied","standalone"),"")</f>
        <v/>
      </c>
    </row>
    <row r="10226" spans="6:14">
      <c r="F10226" s="6">
        <f>IF($M10226="PADD I","PADD 1",IF($M10226="PADD II","PADD 2",IF($M10226="PADD III","PADD 3",IF($M10226="PADD IV","PADD 4",IF($M10226="PADD V","PADD 5","")))))</f>
        <v/>
      </c>
      <c r="G10226" s="6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  <c r="N10226" s="6">
        <f>IF(OR($G10226="FCC",$G10226="Hydrocracker",$G10226="Reformer"),IF(COUNTIFS($D:$D,$D10226,$A:$A,$A10226,$B:$B,$B10226,$G:$G,"CDU",$J:$J,"PLANNED")&gt;0,"tied","standalone"),"")</f>
        <v/>
      </c>
    </row>
    <row r="10227" spans="6:14">
      <c r="F10227" s="6">
        <f>IF($M10227="PADD I","PADD 1",IF($M10227="PADD II","PADD 2",IF($M10227="PADD III","PADD 3",IF($M10227="PADD IV","PADD 4",IF($M10227="PADD V","PADD 5","")))))</f>
        <v/>
      </c>
      <c r="G10227" s="6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  <c r="N10227" s="6">
        <f>IF(OR($G10227="FCC",$G10227="Hydrocracker",$G10227="Reformer"),IF(COUNTIFS($D:$D,$D10227,$A:$A,$A10227,$B:$B,$B10227,$G:$G,"CDU",$J:$J,"PLANNED")&gt;0,"tied","standalone"),"")</f>
        <v/>
      </c>
    </row>
    <row r="10228" spans="6:14">
      <c r="F10228" s="6">
        <f>IF($M10228="PADD I","PADD 1",IF($M10228="PADD II","PADD 2",IF($M10228="PADD III","PADD 3",IF($M10228="PADD IV","PADD 4",IF($M10228="PADD V","PADD 5","")))))</f>
        <v/>
      </c>
      <c r="G10228" s="6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  <c r="N10228" s="6">
        <f>IF(OR($G10228="FCC",$G10228="Hydrocracker",$G10228="Reformer"),IF(COUNTIFS($D:$D,$D10228,$A:$A,$A10228,$B:$B,$B10228,$G:$G,"CDU",$J:$J,"PLANNED")&gt;0,"tied","standalone"),"")</f>
        <v/>
      </c>
    </row>
    <row r="10229" spans="6:14">
      <c r="F10229" s="6">
        <f>IF($M10229="PADD I","PADD 1",IF($M10229="PADD II","PADD 2",IF($M10229="PADD III","PADD 3",IF($M10229="PADD IV","PADD 4",IF($M10229="PADD V","PADD 5","")))))</f>
        <v/>
      </c>
      <c r="G10229" s="6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  <c r="N10229" s="6">
        <f>IF(OR($G10229="FCC",$G10229="Hydrocracker",$G10229="Reformer"),IF(COUNTIFS($D:$D,$D10229,$A:$A,$A10229,$B:$B,$B10229,$G:$G,"CDU",$J:$J,"PLANNED")&gt;0,"tied","standalone"),"")</f>
        <v/>
      </c>
    </row>
    <row r="10230" spans="6:14">
      <c r="F10230" s="6">
        <f>IF($M10230="PADD I","PADD 1",IF($M10230="PADD II","PADD 2",IF($M10230="PADD III","PADD 3",IF($M10230="PADD IV","PADD 4",IF($M10230="PADD V","PADD 5","")))))</f>
        <v/>
      </c>
      <c r="G10230" s="6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  <c r="N10230" s="6">
        <f>IF(OR($G10230="FCC",$G10230="Hydrocracker",$G10230="Reformer"),IF(COUNTIFS($D:$D,$D10230,$A:$A,$A10230,$B:$B,$B10230,$G:$G,"CDU",$J:$J,"PLANNED")&gt;0,"tied","standalone"),"")</f>
        <v/>
      </c>
    </row>
    <row r="10231" spans="6:14">
      <c r="F10231" s="6">
        <f>IF($M10231="PADD I","PADD 1",IF($M10231="PADD II","PADD 2",IF($M10231="PADD III","PADD 3",IF($M10231="PADD IV","PADD 4",IF($M10231="PADD V","PADD 5","")))))</f>
        <v/>
      </c>
      <c r="G10231" s="6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  <c r="N10231" s="6">
        <f>IF(OR($G10231="FCC",$G10231="Hydrocracker",$G10231="Reformer"),IF(COUNTIFS($D:$D,$D10231,$A:$A,$A10231,$B:$B,$B10231,$G:$G,"CDU",$J:$J,"PLANNED")&gt;0,"tied","standalone"),"")</f>
        <v/>
      </c>
    </row>
    <row r="10232" spans="6:14">
      <c r="F10232" s="6">
        <f>IF($M10232="PADD I","PADD 1",IF($M10232="PADD II","PADD 2",IF($M10232="PADD III","PADD 3",IF($M10232="PADD IV","PADD 4",IF($M10232="PADD V","PADD 5","")))))</f>
        <v/>
      </c>
      <c r="G10232" s="6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  <c r="N10232" s="6">
        <f>IF(OR($G10232="FCC",$G10232="Hydrocracker",$G10232="Reformer"),IF(COUNTIFS($D:$D,$D10232,$A:$A,$A10232,$B:$B,$B10232,$G:$G,"CDU",$J:$J,"PLANNED")&gt;0,"tied","standalone"),"")</f>
        <v/>
      </c>
    </row>
    <row r="10233" spans="6:14">
      <c r="F10233" s="6">
        <f>IF($M10233="PADD I","PADD 1",IF($M10233="PADD II","PADD 2",IF($M10233="PADD III","PADD 3",IF($M10233="PADD IV","PADD 4",IF($M10233="PADD V","PADD 5","")))))</f>
        <v/>
      </c>
      <c r="G10233" s="6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  <c r="N10233" s="6">
        <f>IF(OR($G10233="FCC",$G10233="Hydrocracker",$G10233="Reformer"),IF(COUNTIFS($D:$D,$D10233,$A:$A,$A10233,$B:$B,$B10233,$G:$G,"CDU",$J:$J,"PLANNED")&gt;0,"tied","standalone"),"")</f>
        <v/>
      </c>
    </row>
    <row r="10234" spans="6:14">
      <c r="F10234" s="6">
        <f>IF($M10234="PADD I","PADD 1",IF($M10234="PADD II","PADD 2",IF($M10234="PADD III","PADD 3",IF($M10234="PADD IV","PADD 4",IF($M10234="PADD V","PADD 5","")))))</f>
        <v/>
      </c>
      <c r="G10234" s="6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  <c r="N10234" s="6">
        <f>IF(OR($G10234="FCC",$G10234="Hydrocracker",$G10234="Reformer"),IF(COUNTIFS($D:$D,$D10234,$A:$A,$A10234,$B:$B,$B10234,$G:$G,"CDU",$J:$J,"PLANNED")&gt;0,"tied","standalone"),"")</f>
        <v/>
      </c>
    </row>
    <row r="10235" spans="6:14">
      <c r="F10235" s="6">
        <f>IF($M10235="PADD I","PADD 1",IF($M10235="PADD II","PADD 2",IF($M10235="PADD III","PADD 3",IF($M10235="PADD IV","PADD 4",IF($M10235="PADD V","PADD 5","")))))</f>
        <v/>
      </c>
      <c r="G10235" s="6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  <c r="N10235" s="6">
        <f>IF(OR($G10235="FCC",$G10235="Hydrocracker",$G10235="Reformer"),IF(COUNTIFS($D:$D,$D10235,$A:$A,$A10235,$B:$B,$B10235,$G:$G,"CDU",$J:$J,"PLANNED")&gt;0,"tied","standalone"),"")</f>
        <v/>
      </c>
    </row>
    <row r="10236" spans="6:14">
      <c r="F10236" s="6">
        <f>IF($M10236="PADD I","PADD 1",IF($M10236="PADD II","PADD 2",IF($M10236="PADD III","PADD 3",IF($M10236="PADD IV","PADD 4",IF($M10236="PADD V","PADD 5","")))))</f>
        <v/>
      </c>
      <c r="G10236" s="6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  <c r="N10236" s="6">
        <f>IF(OR($G10236="FCC",$G10236="Hydrocracker",$G10236="Reformer"),IF(COUNTIFS($D:$D,$D10236,$A:$A,$A10236,$B:$B,$B10236,$G:$G,"CDU",$J:$J,"PLANNED")&gt;0,"tied","standalone"),"")</f>
        <v/>
      </c>
    </row>
    <row r="10237" spans="6:14">
      <c r="F10237" s="6">
        <f>IF($M10237="PADD I","PADD 1",IF($M10237="PADD II","PADD 2",IF($M10237="PADD III","PADD 3",IF($M10237="PADD IV","PADD 4",IF($M10237="PADD V","PADD 5","")))))</f>
        <v/>
      </c>
      <c r="G10237" s="6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  <c r="N10237" s="6">
        <f>IF(OR($G10237="FCC",$G10237="Hydrocracker",$G10237="Reformer"),IF(COUNTIFS($D:$D,$D10237,$A:$A,$A10237,$B:$B,$B10237,$G:$G,"CDU",$J:$J,"PLANNED")&gt;0,"tied","standalone"),"")</f>
        <v/>
      </c>
    </row>
    <row r="10238" spans="6:14">
      <c r="F10238" s="6">
        <f>IF($M10238="PADD I","PADD 1",IF($M10238="PADD II","PADD 2",IF($M10238="PADD III","PADD 3",IF($M10238="PADD IV","PADD 4",IF($M10238="PADD V","PADD 5","")))))</f>
        <v/>
      </c>
      <c r="G10238" s="6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  <c r="N10238" s="6">
        <f>IF(OR($G10238="FCC",$G10238="Hydrocracker",$G10238="Reformer"),IF(COUNTIFS($D:$D,$D10238,$A:$A,$A10238,$B:$B,$B10238,$G:$G,"CDU",$J:$J,"PLANNED")&gt;0,"tied","standalone"),"")</f>
        <v/>
      </c>
    </row>
    <row r="10239" spans="6:14">
      <c r="F10239" s="6">
        <f>IF($M10239="PADD I","PADD 1",IF($M10239="PADD II","PADD 2",IF($M10239="PADD III","PADD 3",IF($M10239="PADD IV","PADD 4",IF($M10239="PADD V","PADD 5","")))))</f>
        <v/>
      </c>
      <c r="G10239" s="6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  <c r="N10239" s="6">
        <f>IF(OR($G10239="FCC",$G10239="Hydrocracker",$G10239="Reformer"),IF(COUNTIFS($D:$D,$D10239,$A:$A,$A10239,$B:$B,$B10239,$G:$G,"CDU",$J:$J,"PLANNED")&gt;0,"tied","standalone"),"")</f>
        <v/>
      </c>
    </row>
    <row r="10240" spans="6:14">
      <c r="F10240" s="6">
        <f>IF($M10240="PADD I","PADD 1",IF($M10240="PADD II","PADD 2",IF($M10240="PADD III","PADD 3",IF($M10240="PADD IV","PADD 4",IF($M10240="PADD V","PADD 5","")))))</f>
        <v/>
      </c>
      <c r="G10240" s="6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  <c r="N10240" s="6">
        <f>IF(OR($G10240="FCC",$G10240="Hydrocracker",$G10240="Reformer"),IF(COUNTIFS($D:$D,$D10240,$A:$A,$A10240,$B:$B,$B10240,$G:$G,"CDU",$J:$J,"PLANNED")&gt;0,"tied","standalone"),"")</f>
        <v/>
      </c>
    </row>
    <row r="10241" spans="6:14">
      <c r="F10241" s="6">
        <f>IF($M10241="PADD I","PADD 1",IF($M10241="PADD II","PADD 2",IF($M10241="PADD III","PADD 3",IF($M10241="PADD IV","PADD 4",IF($M10241="PADD V","PADD 5","")))))</f>
        <v/>
      </c>
      <c r="G10241" s="6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  <c r="N10241" s="6">
        <f>IF(OR($G10241="FCC",$G10241="Hydrocracker",$G10241="Reformer"),IF(COUNTIFS($D:$D,$D10241,$A:$A,$A10241,$B:$B,$B10241,$G:$G,"CDU",$J:$J,"PLANNED")&gt;0,"tied","standalone"),"")</f>
        <v/>
      </c>
    </row>
    <row r="10242" spans="6:14">
      <c r="F10242" s="6">
        <f>IF($M10242="PADD I","PADD 1",IF($M10242="PADD II","PADD 2",IF($M10242="PADD III","PADD 3",IF($M10242="PADD IV","PADD 4",IF($M10242="PADD V","PADD 5","")))))</f>
        <v/>
      </c>
      <c r="G10242" s="6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  <c r="N10242" s="6">
        <f>IF(OR($G10242="FCC",$G10242="Hydrocracker",$G10242="Reformer"),IF(COUNTIFS($D:$D,$D10242,$A:$A,$A10242,$B:$B,$B10242,$G:$G,"CDU",$J:$J,"PLANNED")&gt;0,"tied","standalone"),"")</f>
        <v/>
      </c>
    </row>
    <row r="10243" spans="6:14">
      <c r="F10243" s="6">
        <f>IF($M10243="PADD I","PADD 1",IF($M10243="PADD II","PADD 2",IF($M10243="PADD III","PADD 3",IF($M10243="PADD IV","PADD 4",IF($M10243="PADD V","PADD 5","")))))</f>
        <v/>
      </c>
      <c r="G10243" s="6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  <c r="N10243" s="6">
        <f>IF(OR($G10243="FCC",$G10243="Hydrocracker",$G10243="Reformer"),IF(COUNTIFS($D:$D,$D10243,$A:$A,$A10243,$B:$B,$B10243,$G:$G,"CDU",$J:$J,"PLANNED")&gt;0,"tied","standalone"),"")</f>
        <v/>
      </c>
    </row>
    <row r="10244" spans="6:14">
      <c r="F10244" s="6">
        <f>IF($M10244="PADD I","PADD 1",IF($M10244="PADD II","PADD 2",IF($M10244="PADD III","PADD 3",IF($M10244="PADD IV","PADD 4",IF($M10244="PADD V","PADD 5","")))))</f>
        <v/>
      </c>
      <c r="G10244" s="6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  <c r="N10244" s="6">
        <f>IF(OR($G10244="FCC",$G10244="Hydrocracker",$G10244="Reformer"),IF(COUNTIFS($D:$D,$D10244,$A:$A,$A10244,$B:$B,$B10244,$G:$G,"CDU",$J:$J,"PLANNED")&gt;0,"tied","standalone"),"")</f>
        <v/>
      </c>
    </row>
    <row r="10245" spans="6:14">
      <c r="F10245" s="6">
        <f>IF($M10245="PADD I","PADD 1",IF($M10245="PADD II","PADD 2",IF($M10245="PADD III","PADD 3",IF($M10245="PADD IV","PADD 4",IF($M10245="PADD V","PADD 5","")))))</f>
        <v/>
      </c>
      <c r="G10245" s="6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  <c r="N10245" s="6">
        <f>IF(OR($G10245="FCC",$G10245="Hydrocracker",$G10245="Reformer"),IF(COUNTIFS($D:$D,$D10245,$A:$A,$A10245,$B:$B,$B10245,$G:$G,"CDU",$J:$J,"PLANNED")&gt;0,"tied","standalone"),"")</f>
        <v/>
      </c>
    </row>
    <row r="10246" spans="6:14">
      <c r="F10246" s="6">
        <f>IF($M10246="PADD I","PADD 1",IF($M10246="PADD II","PADD 2",IF($M10246="PADD III","PADD 3",IF($M10246="PADD IV","PADD 4",IF($M10246="PADD V","PADD 5","")))))</f>
        <v/>
      </c>
      <c r="G10246" s="6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  <c r="N10246" s="6">
        <f>IF(OR($G10246="FCC",$G10246="Hydrocracker",$G10246="Reformer"),IF(COUNTIFS($D:$D,$D10246,$A:$A,$A10246,$B:$B,$B10246,$G:$G,"CDU",$J:$J,"PLANNED")&gt;0,"tied","standalone"),"")</f>
        <v/>
      </c>
    </row>
    <row r="10247" spans="6:14">
      <c r="F10247" s="6">
        <f>IF($M10247="PADD I","PADD 1",IF($M10247="PADD II","PADD 2",IF($M10247="PADD III","PADD 3",IF($M10247="PADD IV","PADD 4",IF($M10247="PADD V","PADD 5","")))))</f>
        <v/>
      </c>
      <c r="G10247" s="6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  <c r="N10247" s="6">
        <f>IF(OR($G10247="FCC",$G10247="Hydrocracker",$G10247="Reformer"),IF(COUNTIFS($D:$D,$D10247,$A:$A,$A10247,$B:$B,$B10247,$G:$G,"CDU",$J:$J,"PLANNED")&gt;0,"tied","standalone"),"")</f>
        <v/>
      </c>
    </row>
    <row r="10248" spans="6:14">
      <c r="F10248" s="6">
        <f>IF($M10248="PADD I","PADD 1",IF($M10248="PADD II","PADD 2",IF($M10248="PADD III","PADD 3",IF($M10248="PADD IV","PADD 4",IF($M10248="PADD V","PADD 5","")))))</f>
        <v/>
      </c>
      <c r="G10248" s="6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  <c r="N10248" s="6">
        <f>IF(OR($G10248="FCC",$G10248="Hydrocracker",$G10248="Reformer"),IF(COUNTIFS($D:$D,$D10248,$A:$A,$A10248,$B:$B,$B10248,$G:$G,"CDU",$J:$J,"PLANNED")&gt;0,"tied","standalone"),"")</f>
        <v/>
      </c>
    </row>
    <row r="10249" spans="6:14">
      <c r="F10249" s="6">
        <f>IF($M10249="PADD I","PADD 1",IF($M10249="PADD II","PADD 2",IF($M10249="PADD III","PADD 3",IF($M10249="PADD IV","PADD 4",IF($M10249="PADD V","PADD 5","")))))</f>
        <v/>
      </c>
      <c r="G10249" s="6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  <c r="N10249" s="6">
        <f>IF(OR($G10249="FCC",$G10249="Hydrocracker",$G10249="Reformer"),IF(COUNTIFS($D:$D,$D10249,$A:$A,$A10249,$B:$B,$B10249,$G:$G,"CDU",$J:$J,"PLANNED")&gt;0,"tied","standalone"),"")</f>
        <v/>
      </c>
    </row>
    <row r="10250" spans="6:14">
      <c r="F10250" s="6">
        <f>IF($M10250="PADD I","PADD 1",IF($M10250="PADD II","PADD 2",IF($M10250="PADD III","PADD 3",IF($M10250="PADD IV","PADD 4",IF($M10250="PADD V","PADD 5","")))))</f>
        <v/>
      </c>
      <c r="G10250" s="6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  <c r="N10250" s="6">
        <f>IF(OR($G10250="FCC",$G10250="Hydrocracker",$G10250="Reformer"),IF(COUNTIFS($D:$D,$D10250,$A:$A,$A10250,$B:$B,$B10250,$G:$G,"CDU",$J:$J,"PLANNED")&gt;0,"tied","standalone"),"")</f>
        <v/>
      </c>
    </row>
    <row r="10251" spans="6:14">
      <c r="F10251" s="6">
        <f>IF($M10251="PADD I","PADD 1",IF($M10251="PADD II","PADD 2",IF($M10251="PADD III","PADD 3",IF($M10251="PADD IV","PADD 4",IF($M10251="PADD V","PADD 5","")))))</f>
        <v/>
      </c>
      <c r="G10251" s="6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  <c r="N10251" s="6">
        <f>IF(OR($G10251="FCC",$G10251="Hydrocracker",$G10251="Reformer"),IF(COUNTIFS($D:$D,$D10251,$A:$A,$A10251,$B:$B,$B10251,$G:$G,"CDU",$J:$J,"PLANNED")&gt;0,"tied","standalone"),"")</f>
        <v/>
      </c>
    </row>
    <row r="10252" spans="6:14">
      <c r="F10252" s="6">
        <f>IF($M10252="PADD I","PADD 1",IF($M10252="PADD II","PADD 2",IF($M10252="PADD III","PADD 3",IF($M10252="PADD IV","PADD 4",IF($M10252="PADD V","PADD 5","")))))</f>
        <v/>
      </c>
      <c r="G10252" s="6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  <c r="N10252" s="6">
        <f>IF(OR($G10252="FCC",$G10252="Hydrocracker",$G10252="Reformer"),IF(COUNTIFS($D:$D,$D10252,$A:$A,$A10252,$B:$B,$B10252,$G:$G,"CDU",$J:$J,"PLANNED")&gt;0,"tied","standalone"),"")</f>
        <v/>
      </c>
    </row>
    <row r="10253" spans="6:14">
      <c r="F10253" s="6">
        <f>IF($M10253="PADD I","PADD 1",IF($M10253="PADD II","PADD 2",IF($M10253="PADD III","PADD 3",IF($M10253="PADD IV","PADD 4",IF($M10253="PADD V","PADD 5","")))))</f>
        <v/>
      </c>
      <c r="G10253" s="6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  <c r="N10253" s="6">
        <f>IF(OR($G10253="FCC",$G10253="Hydrocracker",$G10253="Reformer"),IF(COUNTIFS($D:$D,$D10253,$A:$A,$A10253,$B:$B,$B10253,$G:$G,"CDU",$J:$J,"PLANNED")&gt;0,"tied","standalone"),"")</f>
        <v/>
      </c>
    </row>
    <row r="10254" spans="6:14">
      <c r="F10254" s="6">
        <f>IF($M10254="PADD I","PADD 1",IF($M10254="PADD II","PADD 2",IF($M10254="PADD III","PADD 3",IF($M10254="PADD IV","PADD 4",IF($M10254="PADD V","PADD 5","")))))</f>
        <v/>
      </c>
      <c r="G10254" s="6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  <c r="N10254" s="6">
        <f>IF(OR($G10254="FCC",$G10254="Hydrocracker",$G10254="Reformer"),IF(COUNTIFS($D:$D,$D10254,$A:$A,$A10254,$B:$B,$B10254,$G:$G,"CDU",$J:$J,"PLANNED")&gt;0,"tied","standalone"),"")</f>
        <v/>
      </c>
    </row>
    <row r="10255" spans="6:14">
      <c r="F10255" s="6">
        <f>IF($M10255="PADD I","PADD 1",IF($M10255="PADD II","PADD 2",IF($M10255="PADD III","PADD 3",IF($M10255="PADD IV","PADD 4",IF($M10255="PADD V","PADD 5","")))))</f>
        <v/>
      </c>
      <c r="G10255" s="6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  <c r="N10255" s="6">
        <f>IF(OR($G10255="FCC",$G10255="Hydrocracker",$G10255="Reformer"),IF(COUNTIFS($D:$D,$D10255,$A:$A,$A10255,$B:$B,$B10255,$G:$G,"CDU",$J:$J,"PLANNED")&gt;0,"tied","standalone"),"")</f>
        <v/>
      </c>
    </row>
    <row r="10256" spans="6:14">
      <c r="F10256" s="6">
        <f>IF($M10256="PADD I","PADD 1",IF($M10256="PADD II","PADD 2",IF($M10256="PADD III","PADD 3",IF($M10256="PADD IV","PADD 4",IF($M10256="PADD V","PADD 5","")))))</f>
        <v/>
      </c>
      <c r="G10256" s="6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  <c r="N10256" s="6">
        <f>IF(OR($G10256="FCC",$G10256="Hydrocracker",$G10256="Reformer"),IF(COUNTIFS($D:$D,$D10256,$A:$A,$A10256,$B:$B,$B10256,$G:$G,"CDU",$J:$J,"PLANNED")&gt;0,"tied","standalone"),"")</f>
        <v/>
      </c>
    </row>
    <row r="10257" spans="6:14">
      <c r="F10257" s="6">
        <f>IF($M10257="PADD I","PADD 1",IF($M10257="PADD II","PADD 2",IF($M10257="PADD III","PADD 3",IF($M10257="PADD IV","PADD 4",IF($M10257="PADD V","PADD 5","")))))</f>
        <v/>
      </c>
      <c r="G10257" s="6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  <c r="N10257" s="6">
        <f>IF(OR($G10257="FCC",$G10257="Hydrocracker",$G10257="Reformer"),IF(COUNTIFS($D:$D,$D10257,$A:$A,$A10257,$B:$B,$B10257,$G:$G,"CDU",$J:$J,"PLANNED")&gt;0,"tied","standalone"),"")</f>
        <v/>
      </c>
    </row>
    <row r="10258" spans="6:14">
      <c r="F10258" s="6">
        <f>IF($M10258="PADD I","PADD 1",IF($M10258="PADD II","PADD 2",IF($M10258="PADD III","PADD 3",IF($M10258="PADD IV","PADD 4",IF($M10258="PADD V","PADD 5","")))))</f>
        <v/>
      </c>
      <c r="G10258" s="6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  <c r="N10258" s="6">
        <f>IF(OR($G10258="FCC",$G10258="Hydrocracker",$G10258="Reformer"),IF(COUNTIFS($D:$D,$D10258,$A:$A,$A10258,$B:$B,$B10258,$G:$G,"CDU",$J:$J,"PLANNED")&gt;0,"tied","standalone"),"")</f>
        <v/>
      </c>
    </row>
    <row r="10259" spans="6:14">
      <c r="F10259" s="6">
        <f>IF($M10259="PADD I","PADD 1",IF($M10259="PADD II","PADD 2",IF($M10259="PADD III","PADD 3",IF($M10259="PADD IV","PADD 4",IF($M10259="PADD V","PADD 5","")))))</f>
        <v/>
      </c>
      <c r="G10259" s="6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  <c r="N10259" s="6">
        <f>IF(OR($G10259="FCC",$G10259="Hydrocracker",$G10259="Reformer"),IF(COUNTIFS($D:$D,$D10259,$A:$A,$A10259,$B:$B,$B10259,$G:$G,"CDU",$J:$J,"PLANNED")&gt;0,"tied","standalone"),"")</f>
        <v/>
      </c>
    </row>
    <row r="10260" spans="6:14">
      <c r="F10260" s="6">
        <f>IF($M10260="PADD I","PADD 1",IF($M10260="PADD II","PADD 2",IF($M10260="PADD III","PADD 3",IF($M10260="PADD IV","PADD 4",IF($M10260="PADD V","PADD 5","")))))</f>
        <v/>
      </c>
      <c r="G10260" s="6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  <c r="N10260" s="6">
        <f>IF(OR($G10260="FCC",$G10260="Hydrocracker",$G10260="Reformer"),IF(COUNTIFS($D:$D,$D10260,$A:$A,$A10260,$B:$B,$B10260,$G:$G,"CDU",$J:$J,"PLANNED")&gt;0,"tied","standalone"),"")</f>
        <v/>
      </c>
    </row>
    <row r="10261" spans="6:14">
      <c r="F10261" s="6">
        <f>IF($M10261="PADD I","PADD 1",IF($M10261="PADD II","PADD 2",IF($M10261="PADD III","PADD 3",IF($M10261="PADD IV","PADD 4",IF($M10261="PADD V","PADD 5","")))))</f>
        <v/>
      </c>
      <c r="G10261" s="6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  <c r="N10261" s="6">
        <f>IF(OR($G10261="FCC",$G10261="Hydrocracker",$G10261="Reformer"),IF(COUNTIFS($D:$D,$D10261,$A:$A,$A10261,$B:$B,$B10261,$G:$G,"CDU",$J:$J,"PLANNED")&gt;0,"tied","standalone"),"")</f>
        <v/>
      </c>
    </row>
    <row r="10262" spans="6:14">
      <c r="F10262" s="6">
        <f>IF($M10262="PADD I","PADD 1",IF($M10262="PADD II","PADD 2",IF($M10262="PADD III","PADD 3",IF($M10262="PADD IV","PADD 4",IF($M10262="PADD V","PADD 5","")))))</f>
        <v/>
      </c>
      <c r="G10262" s="6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  <c r="N10262" s="6">
        <f>IF(OR($G10262="FCC",$G10262="Hydrocracker",$G10262="Reformer"),IF(COUNTIFS($D:$D,$D10262,$A:$A,$A10262,$B:$B,$B10262,$G:$G,"CDU",$J:$J,"PLANNED")&gt;0,"tied","standalone"),"")</f>
        <v/>
      </c>
    </row>
    <row r="10263" spans="6:14">
      <c r="F10263" s="6">
        <f>IF($M10263="PADD I","PADD 1",IF($M10263="PADD II","PADD 2",IF($M10263="PADD III","PADD 3",IF($M10263="PADD IV","PADD 4",IF($M10263="PADD V","PADD 5","")))))</f>
        <v/>
      </c>
      <c r="G10263" s="6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  <c r="N10263" s="6">
        <f>IF(OR($G10263="FCC",$G10263="Hydrocracker",$G10263="Reformer"),IF(COUNTIFS($D:$D,$D10263,$A:$A,$A10263,$B:$B,$B10263,$G:$G,"CDU",$J:$J,"PLANNED")&gt;0,"tied","standalone"),"")</f>
        <v/>
      </c>
    </row>
    <row r="10264" spans="6:14">
      <c r="F10264" s="6">
        <f>IF($M10264="PADD I","PADD 1",IF($M10264="PADD II","PADD 2",IF($M10264="PADD III","PADD 3",IF($M10264="PADD IV","PADD 4",IF($M10264="PADD V","PADD 5","")))))</f>
        <v/>
      </c>
      <c r="G10264" s="6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  <c r="N10264" s="6">
        <f>IF(OR($G10264="FCC",$G10264="Hydrocracker",$G10264="Reformer"),IF(COUNTIFS($D:$D,$D10264,$A:$A,$A10264,$B:$B,$B10264,$G:$G,"CDU",$J:$J,"PLANNED")&gt;0,"tied","standalone"),"")</f>
        <v/>
      </c>
    </row>
    <row r="10265" spans="6:14">
      <c r="F10265" s="6">
        <f>IF($M10265="PADD I","PADD 1",IF($M10265="PADD II","PADD 2",IF($M10265="PADD III","PADD 3",IF($M10265="PADD IV","PADD 4",IF($M10265="PADD V","PADD 5","")))))</f>
        <v/>
      </c>
      <c r="G10265" s="6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  <c r="N10265" s="6">
        <f>IF(OR($G10265="FCC",$G10265="Hydrocracker",$G10265="Reformer"),IF(COUNTIFS($D:$D,$D10265,$A:$A,$A10265,$B:$B,$B10265,$G:$G,"CDU",$J:$J,"PLANNED")&gt;0,"tied","standalone"),"")</f>
        <v/>
      </c>
    </row>
    <row r="10266" spans="6:14">
      <c r="F10266" s="6">
        <f>IF($M10266="PADD I","PADD 1",IF($M10266="PADD II","PADD 2",IF($M10266="PADD III","PADD 3",IF($M10266="PADD IV","PADD 4",IF($M10266="PADD V","PADD 5","")))))</f>
        <v/>
      </c>
      <c r="G10266" s="6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  <c r="N10266" s="6">
        <f>IF(OR($G10266="FCC",$G10266="Hydrocracker",$G10266="Reformer"),IF(COUNTIFS($D:$D,$D10266,$A:$A,$A10266,$B:$B,$B10266,$G:$G,"CDU",$J:$J,"PLANNED")&gt;0,"tied","standalone"),"")</f>
        <v/>
      </c>
    </row>
    <row r="10267" spans="6:14">
      <c r="F10267" s="6">
        <f>IF($M10267="PADD I","PADD 1",IF($M10267="PADD II","PADD 2",IF($M10267="PADD III","PADD 3",IF($M10267="PADD IV","PADD 4",IF($M10267="PADD V","PADD 5","")))))</f>
        <v/>
      </c>
      <c r="G10267" s="6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  <c r="N10267" s="6">
        <f>IF(OR($G10267="FCC",$G10267="Hydrocracker",$G10267="Reformer"),IF(COUNTIFS($D:$D,$D10267,$A:$A,$A10267,$B:$B,$B10267,$G:$G,"CDU",$J:$J,"PLANNED")&gt;0,"tied","standalone"),"")</f>
        <v/>
      </c>
    </row>
    <row r="10268" spans="6:14">
      <c r="F10268" s="6">
        <f>IF($M10268="PADD I","PADD 1",IF($M10268="PADD II","PADD 2",IF($M10268="PADD III","PADD 3",IF($M10268="PADD IV","PADD 4",IF($M10268="PADD V","PADD 5","")))))</f>
        <v/>
      </c>
      <c r="G10268" s="6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  <c r="N10268" s="6">
        <f>IF(OR($G10268="FCC",$G10268="Hydrocracker",$G10268="Reformer"),IF(COUNTIFS($D:$D,$D10268,$A:$A,$A10268,$B:$B,$B10268,$G:$G,"CDU",$J:$J,"PLANNED")&gt;0,"tied","standalone"),"")</f>
        <v/>
      </c>
    </row>
    <row r="10269" spans="6:14">
      <c r="F10269" s="6">
        <f>IF($M10269="PADD I","PADD 1",IF($M10269="PADD II","PADD 2",IF($M10269="PADD III","PADD 3",IF($M10269="PADD IV","PADD 4",IF($M10269="PADD V","PADD 5","")))))</f>
        <v/>
      </c>
      <c r="G10269" s="6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  <c r="N10269" s="6">
        <f>IF(OR($G10269="FCC",$G10269="Hydrocracker",$G10269="Reformer"),IF(COUNTIFS($D:$D,$D10269,$A:$A,$A10269,$B:$B,$B10269,$G:$G,"CDU",$J:$J,"PLANNED")&gt;0,"tied","standalone"),"")</f>
        <v/>
      </c>
    </row>
    <row r="10270" spans="6:14">
      <c r="F10270" s="6">
        <f>IF($M10270="PADD I","PADD 1",IF($M10270="PADD II","PADD 2",IF($M10270="PADD III","PADD 3",IF($M10270="PADD IV","PADD 4",IF($M10270="PADD V","PADD 5","")))))</f>
        <v/>
      </c>
      <c r="G10270" s="6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  <c r="N10270" s="6">
        <f>IF(OR($G10270="FCC",$G10270="Hydrocracker",$G10270="Reformer"),IF(COUNTIFS($D:$D,$D10270,$A:$A,$A10270,$B:$B,$B10270,$G:$G,"CDU",$J:$J,"PLANNED")&gt;0,"tied","standalone"),"")</f>
        <v/>
      </c>
    </row>
    <row r="10271" spans="6:14">
      <c r="F10271" s="6">
        <f>IF($M10271="PADD I","PADD 1",IF($M10271="PADD II","PADD 2",IF($M10271="PADD III","PADD 3",IF($M10271="PADD IV","PADD 4",IF($M10271="PADD V","PADD 5","")))))</f>
        <v/>
      </c>
      <c r="G10271" s="6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  <c r="N10271" s="6">
        <f>IF(OR($G10271="FCC",$G10271="Hydrocracker",$G10271="Reformer"),IF(COUNTIFS($D:$D,$D10271,$A:$A,$A10271,$B:$B,$B10271,$G:$G,"CDU",$J:$J,"PLANNED")&gt;0,"tied","standalone"),"")</f>
        <v/>
      </c>
    </row>
    <row r="10272" spans="6:14">
      <c r="F10272" s="6">
        <f>IF($M10272="PADD I","PADD 1",IF($M10272="PADD II","PADD 2",IF($M10272="PADD III","PADD 3",IF($M10272="PADD IV","PADD 4",IF($M10272="PADD V","PADD 5","")))))</f>
        <v/>
      </c>
      <c r="G10272" s="6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  <c r="N10272" s="6">
        <f>IF(OR($G10272="FCC",$G10272="Hydrocracker",$G10272="Reformer"),IF(COUNTIFS($D:$D,$D10272,$A:$A,$A10272,$B:$B,$B10272,$G:$G,"CDU",$J:$J,"PLANNED")&gt;0,"tied","standalone"),"")</f>
        <v/>
      </c>
    </row>
    <row r="10273" spans="6:14">
      <c r="F10273" s="6">
        <f>IF($M10273="PADD I","PADD 1",IF($M10273="PADD II","PADD 2",IF($M10273="PADD III","PADD 3",IF($M10273="PADD IV","PADD 4",IF($M10273="PADD V","PADD 5","")))))</f>
        <v/>
      </c>
      <c r="G10273" s="6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  <c r="N10273" s="6">
        <f>IF(OR($G10273="FCC",$G10273="Hydrocracker",$G10273="Reformer"),IF(COUNTIFS($D:$D,$D10273,$A:$A,$A10273,$B:$B,$B10273,$G:$G,"CDU",$J:$J,"PLANNED")&gt;0,"tied","standalone"),"")</f>
        <v/>
      </c>
    </row>
    <row r="10274" spans="6:14">
      <c r="F10274" s="6">
        <f>IF($M10274="PADD I","PADD 1",IF($M10274="PADD II","PADD 2",IF($M10274="PADD III","PADD 3",IF($M10274="PADD IV","PADD 4",IF($M10274="PADD V","PADD 5","")))))</f>
        <v/>
      </c>
      <c r="G10274" s="6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  <c r="N10274" s="6">
        <f>IF(OR($G10274="FCC",$G10274="Hydrocracker",$G10274="Reformer"),IF(COUNTIFS($D:$D,$D10274,$A:$A,$A10274,$B:$B,$B10274,$G:$G,"CDU",$J:$J,"PLANNED")&gt;0,"tied","standalone"),"")</f>
        <v/>
      </c>
    </row>
    <row r="10275" spans="6:14">
      <c r="F10275" s="6">
        <f>IF($M10275="PADD I","PADD 1",IF($M10275="PADD II","PADD 2",IF($M10275="PADD III","PADD 3",IF($M10275="PADD IV","PADD 4",IF($M10275="PADD V","PADD 5","")))))</f>
        <v/>
      </c>
      <c r="G10275" s="6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  <c r="N10275" s="6">
        <f>IF(OR($G10275="FCC",$G10275="Hydrocracker",$G10275="Reformer"),IF(COUNTIFS($D:$D,$D10275,$A:$A,$A10275,$B:$B,$B10275,$G:$G,"CDU",$J:$J,"PLANNED")&gt;0,"tied","standalone"),"")</f>
        <v/>
      </c>
    </row>
    <row r="10276" spans="6:14">
      <c r="F10276" s="6">
        <f>IF($M10276="PADD I","PADD 1",IF($M10276="PADD II","PADD 2",IF($M10276="PADD III","PADD 3",IF($M10276="PADD IV","PADD 4",IF($M10276="PADD V","PADD 5","")))))</f>
        <v/>
      </c>
      <c r="G10276" s="6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  <c r="N10276" s="6">
        <f>IF(OR($G10276="FCC",$G10276="Hydrocracker",$G10276="Reformer"),IF(COUNTIFS($D:$D,$D10276,$A:$A,$A10276,$B:$B,$B10276,$G:$G,"CDU",$J:$J,"PLANNED")&gt;0,"tied","standalone"),"")</f>
        <v/>
      </c>
    </row>
    <row r="10277" spans="6:14">
      <c r="F10277" s="6">
        <f>IF($M10277="PADD I","PADD 1",IF($M10277="PADD II","PADD 2",IF($M10277="PADD III","PADD 3",IF($M10277="PADD IV","PADD 4",IF($M10277="PADD V","PADD 5","")))))</f>
        <v/>
      </c>
      <c r="G10277" s="6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  <c r="N10277" s="6">
        <f>IF(OR($G10277="FCC",$G10277="Hydrocracker",$G10277="Reformer"),IF(COUNTIFS($D:$D,$D10277,$A:$A,$A10277,$B:$B,$B10277,$G:$G,"CDU",$J:$J,"PLANNED")&gt;0,"tied","standalone"),"")</f>
        <v/>
      </c>
    </row>
    <row r="10278" spans="6:14">
      <c r="F10278" s="6">
        <f>IF($M10278="PADD I","PADD 1",IF($M10278="PADD II","PADD 2",IF($M10278="PADD III","PADD 3",IF($M10278="PADD IV","PADD 4",IF($M10278="PADD V","PADD 5","")))))</f>
        <v/>
      </c>
      <c r="G10278" s="6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  <c r="N10278" s="6">
        <f>IF(OR($G10278="FCC",$G10278="Hydrocracker",$G10278="Reformer"),IF(COUNTIFS($D:$D,$D10278,$A:$A,$A10278,$B:$B,$B10278,$G:$G,"CDU",$J:$J,"PLANNED")&gt;0,"tied","standalone"),"")</f>
        <v/>
      </c>
    </row>
    <row r="10279" spans="6:14">
      <c r="F10279" s="6">
        <f>IF($M10279="PADD I","PADD 1",IF($M10279="PADD II","PADD 2",IF($M10279="PADD III","PADD 3",IF($M10279="PADD IV","PADD 4",IF($M10279="PADD V","PADD 5","")))))</f>
        <v/>
      </c>
      <c r="G10279" s="6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  <c r="N10279" s="6">
        <f>IF(OR($G10279="FCC",$G10279="Hydrocracker",$G10279="Reformer"),IF(COUNTIFS($D:$D,$D10279,$A:$A,$A10279,$B:$B,$B10279,$G:$G,"CDU",$J:$J,"PLANNED")&gt;0,"tied","standalone"),"")</f>
        <v/>
      </c>
    </row>
    <row r="10280" spans="6:14">
      <c r="F10280" s="6">
        <f>IF($M10280="PADD I","PADD 1",IF($M10280="PADD II","PADD 2",IF($M10280="PADD III","PADD 3",IF($M10280="PADD IV","PADD 4",IF($M10280="PADD V","PADD 5","")))))</f>
        <v/>
      </c>
      <c r="G10280" s="6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  <c r="N10280" s="6">
        <f>IF(OR($G10280="FCC",$G10280="Hydrocracker",$G10280="Reformer"),IF(COUNTIFS($D:$D,$D10280,$A:$A,$A10280,$B:$B,$B10280,$G:$G,"CDU",$J:$J,"PLANNED")&gt;0,"tied","standalone"),"")</f>
        <v/>
      </c>
    </row>
    <row r="10281" spans="6:14">
      <c r="F10281" s="6">
        <f>IF($M10281="PADD I","PADD 1",IF($M10281="PADD II","PADD 2",IF($M10281="PADD III","PADD 3",IF($M10281="PADD IV","PADD 4",IF($M10281="PADD V","PADD 5","")))))</f>
        <v/>
      </c>
      <c r="G10281" s="6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  <c r="N10281" s="6">
        <f>IF(OR($G10281="FCC",$G10281="Hydrocracker",$G10281="Reformer"),IF(COUNTIFS($D:$D,$D10281,$A:$A,$A10281,$B:$B,$B10281,$G:$G,"CDU",$J:$J,"PLANNED")&gt;0,"tied","standalone"),"")</f>
        <v/>
      </c>
    </row>
    <row r="10282" spans="6:14">
      <c r="F10282" s="6">
        <f>IF($M10282="PADD I","PADD 1",IF($M10282="PADD II","PADD 2",IF($M10282="PADD III","PADD 3",IF($M10282="PADD IV","PADD 4",IF($M10282="PADD V","PADD 5","")))))</f>
        <v/>
      </c>
      <c r="G10282" s="6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  <c r="N10282" s="6">
        <f>IF(OR($G10282="FCC",$G10282="Hydrocracker",$G10282="Reformer"),IF(COUNTIFS($D:$D,$D10282,$A:$A,$A10282,$B:$B,$B10282,$G:$G,"CDU",$J:$J,"PLANNED")&gt;0,"tied","standalone"),"")</f>
        <v/>
      </c>
    </row>
    <row r="10283" spans="6:14">
      <c r="F10283" s="6">
        <f>IF($M10283="PADD I","PADD 1",IF($M10283="PADD II","PADD 2",IF($M10283="PADD III","PADD 3",IF($M10283="PADD IV","PADD 4",IF($M10283="PADD V","PADD 5","")))))</f>
        <v/>
      </c>
      <c r="G10283" s="6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  <c r="N10283" s="6">
        <f>IF(OR($G10283="FCC",$G10283="Hydrocracker",$G10283="Reformer"),IF(COUNTIFS($D:$D,$D10283,$A:$A,$A10283,$B:$B,$B10283,$G:$G,"CDU",$J:$J,"PLANNED")&gt;0,"tied","standalone"),"")</f>
        <v/>
      </c>
    </row>
    <row r="10284" spans="6:14">
      <c r="F10284" s="6">
        <f>IF($M10284="PADD I","PADD 1",IF($M10284="PADD II","PADD 2",IF($M10284="PADD III","PADD 3",IF($M10284="PADD IV","PADD 4",IF($M10284="PADD V","PADD 5","")))))</f>
        <v/>
      </c>
      <c r="G10284" s="6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  <c r="N10284" s="6">
        <f>IF(OR($G10284="FCC",$G10284="Hydrocracker",$G10284="Reformer"),IF(COUNTIFS($D:$D,$D10284,$A:$A,$A10284,$B:$B,$B10284,$G:$G,"CDU",$J:$J,"PLANNED")&gt;0,"tied","standalone"),"")</f>
        <v/>
      </c>
    </row>
    <row r="10285" spans="6:14">
      <c r="F10285" s="6">
        <f>IF($M10285="PADD I","PADD 1",IF($M10285="PADD II","PADD 2",IF($M10285="PADD III","PADD 3",IF($M10285="PADD IV","PADD 4",IF($M10285="PADD V","PADD 5","")))))</f>
        <v/>
      </c>
      <c r="G10285" s="6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  <c r="N10285" s="6">
        <f>IF(OR($G10285="FCC",$G10285="Hydrocracker",$G10285="Reformer"),IF(COUNTIFS($D:$D,$D10285,$A:$A,$A10285,$B:$B,$B10285,$G:$G,"CDU",$J:$J,"PLANNED")&gt;0,"tied","standalone"),"")</f>
        <v/>
      </c>
    </row>
    <row r="10286" spans="6:14">
      <c r="F10286" s="6">
        <f>IF($M10286="PADD I","PADD 1",IF($M10286="PADD II","PADD 2",IF($M10286="PADD III","PADD 3",IF($M10286="PADD IV","PADD 4",IF($M10286="PADD V","PADD 5","")))))</f>
        <v/>
      </c>
      <c r="G10286" s="6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  <c r="N10286" s="6">
        <f>IF(OR($G10286="FCC",$G10286="Hydrocracker",$G10286="Reformer"),IF(COUNTIFS($D:$D,$D10286,$A:$A,$A10286,$B:$B,$B10286,$G:$G,"CDU",$J:$J,"PLANNED")&gt;0,"tied","standalone"),"")</f>
        <v/>
      </c>
    </row>
    <row r="10287" spans="6:14">
      <c r="F10287" s="6">
        <f>IF($M10287="PADD I","PADD 1",IF($M10287="PADD II","PADD 2",IF($M10287="PADD III","PADD 3",IF($M10287="PADD IV","PADD 4",IF($M10287="PADD V","PADD 5","")))))</f>
        <v/>
      </c>
      <c r="G10287" s="6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  <c r="N10287" s="6">
        <f>IF(OR($G10287="FCC",$G10287="Hydrocracker",$G10287="Reformer"),IF(COUNTIFS($D:$D,$D10287,$A:$A,$A10287,$B:$B,$B10287,$G:$G,"CDU",$J:$J,"PLANNED")&gt;0,"tied","standalone"),"")</f>
        <v/>
      </c>
    </row>
    <row r="10288" spans="6:14">
      <c r="F10288" s="6">
        <f>IF($M10288="PADD I","PADD 1",IF($M10288="PADD II","PADD 2",IF($M10288="PADD III","PADD 3",IF($M10288="PADD IV","PADD 4",IF($M10288="PADD V","PADD 5","")))))</f>
        <v/>
      </c>
      <c r="G10288" s="6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  <c r="N10288" s="6">
        <f>IF(OR($G10288="FCC",$G10288="Hydrocracker",$G10288="Reformer"),IF(COUNTIFS($D:$D,$D10288,$A:$A,$A10288,$B:$B,$B10288,$G:$G,"CDU",$J:$J,"PLANNED")&gt;0,"tied","standalone"),"")</f>
        <v/>
      </c>
    </row>
    <row r="10289" spans="6:14">
      <c r="F10289" s="6">
        <f>IF($M10289="PADD I","PADD 1",IF($M10289="PADD II","PADD 2",IF($M10289="PADD III","PADD 3",IF($M10289="PADD IV","PADD 4",IF($M10289="PADD V","PADD 5","")))))</f>
        <v/>
      </c>
      <c r="G10289" s="6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  <c r="N10289" s="6">
        <f>IF(OR($G10289="FCC",$G10289="Hydrocracker",$G10289="Reformer"),IF(COUNTIFS($D:$D,$D10289,$A:$A,$A10289,$B:$B,$B10289,$G:$G,"CDU",$J:$J,"PLANNED")&gt;0,"tied","standalone"),"")</f>
        <v/>
      </c>
    </row>
    <row r="10290" spans="6:14">
      <c r="F10290" s="6">
        <f>IF($M10290="PADD I","PADD 1",IF($M10290="PADD II","PADD 2",IF($M10290="PADD III","PADD 3",IF($M10290="PADD IV","PADD 4",IF($M10290="PADD V","PADD 5","")))))</f>
        <v/>
      </c>
      <c r="G10290" s="6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  <c r="N10290" s="6">
        <f>IF(OR($G10290="FCC",$G10290="Hydrocracker",$G10290="Reformer"),IF(COUNTIFS($D:$D,$D10290,$A:$A,$A10290,$B:$B,$B10290,$G:$G,"CDU",$J:$J,"PLANNED")&gt;0,"tied","standalone"),"")</f>
        <v/>
      </c>
    </row>
    <row r="10291" spans="6:14">
      <c r="F10291" s="6">
        <f>IF($M10291="PADD I","PADD 1",IF($M10291="PADD II","PADD 2",IF($M10291="PADD III","PADD 3",IF($M10291="PADD IV","PADD 4",IF($M10291="PADD V","PADD 5","")))))</f>
        <v/>
      </c>
      <c r="G10291" s="6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  <c r="N10291" s="6">
        <f>IF(OR($G10291="FCC",$G10291="Hydrocracker",$G10291="Reformer"),IF(COUNTIFS($D:$D,$D10291,$A:$A,$A10291,$B:$B,$B10291,$G:$G,"CDU",$J:$J,"PLANNED")&gt;0,"tied","standalone"),"")</f>
        <v/>
      </c>
    </row>
    <row r="10292" spans="6:14">
      <c r="F10292" s="6">
        <f>IF($M10292="PADD I","PADD 1",IF($M10292="PADD II","PADD 2",IF($M10292="PADD III","PADD 3",IF($M10292="PADD IV","PADD 4",IF($M10292="PADD V","PADD 5","")))))</f>
        <v/>
      </c>
      <c r="G10292" s="6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  <c r="N10292" s="6">
        <f>IF(OR($G10292="FCC",$G10292="Hydrocracker",$G10292="Reformer"),IF(COUNTIFS($D:$D,$D10292,$A:$A,$A10292,$B:$B,$B10292,$G:$G,"CDU",$J:$J,"PLANNED")&gt;0,"tied","standalone"),"")</f>
        <v/>
      </c>
    </row>
    <row r="10293" spans="6:14">
      <c r="F10293" s="6">
        <f>IF($M10293="PADD I","PADD 1",IF($M10293="PADD II","PADD 2",IF($M10293="PADD III","PADD 3",IF($M10293="PADD IV","PADD 4",IF($M10293="PADD V","PADD 5","")))))</f>
        <v/>
      </c>
      <c r="G10293" s="6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  <c r="N10293" s="6">
        <f>IF(OR($G10293="FCC",$G10293="Hydrocracker",$G10293="Reformer"),IF(COUNTIFS($D:$D,$D10293,$A:$A,$A10293,$B:$B,$B10293,$G:$G,"CDU",$J:$J,"PLANNED")&gt;0,"tied","standalone"),"")</f>
        <v/>
      </c>
    </row>
    <row r="10294" spans="6:14">
      <c r="F10294" s="6">
        <f>IF($M10294="PADD I","PADD 1",IF($M10294="PADD II","PADD 2",IF($M10294="PADD III","PADD 3",IF($M10294="PADD IV","PADD 4",IF($M10294="PADD V","PADD 5","")))))</f>
        <v/>
      </c>
      <c r="G10294" s="6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  <c r="N10294" s="6">
        <f>IF(OR($G10294="FCC",$G10294="Hydrocracker",$G10294="Reformer"),IF(COUNTIFS($D:$D,$D10294,$A:$A,$A10294,$B:$B,$B10294,$G:$G,"CDU",$J:$J,"PLANNED")&gt;0,"tied","standalone"),"")</f>
        <v/>
      </c>
    </row>
    <row r="10295" spans="6:14">
      <c r="F10295" s="6">
        <f>IF($M10295="PADD I","PADD 1",IF($M10295="PADD II","PADD 2",IF($M10295="PADD III","PADD 3",IF($M10295="PADD IV","PADD 4",IF($M10295="PADD V","PADD 5","")))))</f>
        <v/>
      </c>
      <c r="G10295" s="6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  <c r="N10295" s="6">
        <f>IF(OR($G10295="FCC",$G10295="Hydrocracker",$G10295="Reformer"),IF(COUNTIFS($D:$D,$D10295,$A:$A,$A10295,$B:$B,$B10295,$G:$G,"CDU",$J:$J,"PLANNED")&gt;0,"tied","standalone"),"")</f>
        <v/>
      </c>
    </row>
    <row r="10296" spans="6:14">
      <c r="F10296" s="6">
        <f>IF($M10296="PADD I","PADD 1",IF($M10296="PADD II","PADD 2",IF($M10296="PADD III","PADD 3",IF($M10296="PADD IV","PADD 4",IF($M10296="PADD V","PADD 5","")))))</f>
        <v/>
      </c>
      <c r="G10296" s="6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  <c r="N10296" s="6">
        <f>IF(OR($G10296="FCC",$G10296="Hydrocracker",$G10296="Reformer"),IF(COUNTIFS($D:$D,$D10296,$A:$A,$A10296,$B:$B,$B10296,$G:$G,"CDU",$J:$J,"PLANNED")&gt;0,"tied","standalone"),"")</f>
        <v/>
      </c>
    </row>
    <row r="10297" spans="6:14">
      <c r="F10297" s="6">
        <f>IF($M10297="PADD I","PADD 1",IF($M10297="PADD II","PADD 2",IF($M10297="PADD III","PADD 3",IF($M10297="PADD IV","PADD 4",IF($M10297="PADD V","PADD 5","")))))</f>
        <v/>
      </c>
      <c r="G10297" s="6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  <c r="N10297" s="6">
        <f>IF(OR($G10297="FCC",$G10297="Hydrocracker",$G10297="Reformer"),IF(COUNTIFS($D:$D,$D10297,$A:$A,$A10297,$B:$B,$B10297,$G:$G,"CDU",$J:$J,"PLANNED")&gt;0,"tied","standalone"),"")</f>
        <v/>
      </c>
    </row>
    <row r="10298" spans="6:14">
      <c r="F10298" s="6">
        <f>IF($M10298="PADD I","PADD 1",IF($M10298="PADD II","PADD 2",IF($M10298="PADD III","PADD 3",IF($M10298="PADD IV","PADD 4",IF($M10298="PADD V","PADD 5","")))))</f>
        <v/>
      </c>
      <c r="G10298" s="6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  <c r="N10298" s="6">
        <f>IF(OR($G10298="FCC",$G10298="Hydrocracker",$G10298="Reformer"),IF(COUNTIFS($D:$D,$D10298,$A:$A,$A10298,$B:$B,$B10298,$G:$G,"CDU",$J:$J,"PLANNED")&gt;0,"tied","standalone"),"")</f>
        <v/>
      </c>
    </row>
    <row r="10299" spans="6:14">
      <c r="F10299" s="6">
        <f>IF($M10299="PADD I","PADD 1",IF($M10299="PADD II","PADD 2",IF($M10299="PADD III","PADD 3",IF($M10299="PADD IV","PADD 4",IF($M10299="PADD V","PADD 5","")))))</f>
        <v/>
      </c>
      <c r="G10299" s="6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  <c r="N10299" s="6">
        <f>IF(OR($G10299="FCC",$G10299="Hydrocracker",$G10299="Reformer"),IF(COUNTIFS($D:$D,$D10299,$A:$A,$A10299,$B:$B,$B10299,$G:$G,"CDU",$J:$J,"PLANNED")&gt;0,"tied","standalone"),"")</f>
        <v/>
      </c>
    </row>
    <row r="10300" spans="6:14">
      <c r="F10300" s="6">
        <f>IF($M10300="PADD I","PADD 1",IF($M10300="PADD II","PADD 2",IF($M10300="PADD III","PADD 3",IF($M10300="PADD IV","PADD 4",IF($M10300="PADD V","PADD 5","")))))</f>
        <v/>
      </c>
      <c r="G10300" s="6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  <c r="N10300" s="6">
        <f>IF(OR($G10300="FCC",$G10300="Hydrocracker",$G10300="Reformer"),IF(COUNTIFS($D:$D,$D10300,$A:$A,$A10300,$B:$B,$B10300,$G:$G,"CDU",$J:$J,"PLANNED")&gt;0,"tied","standalone"),"")</f>
        <v/>
      </c>
    </row>
    <row r="10301" spans="6:14">
      <c r="F10301" s="6">
        <f>IF($M10301="PADD I","PADD 1",IF($M10301="PADD II","PADD 2",IF($M10301="PADD III","PADD 3",IF($M10301="PADD IV","PADD 4",IF($M10301="PADD V","PADD 5","")))))</f>
        <v/>
      </c>
      <c r="G10301" s="6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  <c r="N10301" s="6">
        <f>IF(OR($G10301="FCC",$G10301="Hydrocracker",$G10301="Reformer"),IF(COUNTIFS($D:$D,$D10301,$A:$A,$A10301,$B:$B,$B10301,$G:$G,"CDU",$J:$J,"PLANNED")&gt;0,"tied","standalone"),"")</f>
        <v/>
      </c>
    </row>
    <row r="10302" spans="6:14">
      <c r="F10302" s="6">
        <f>IF($M10302="PADD I","PADD 1",IF($M10302="PADD II","PADD 2",IF($M10302="PADD III","PADD 3",IF($M10302="PADD IV","PADD 4",IF($M10302="PADD V","PADD 5","")))))</f>
        <v/>
      </c>
      <c r="G10302" s="6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  <c r="N10302" s="6">
        <f>IF(OR($G10302="FCC",$G10302="Hydrocracker",$G10302="Reformer"),IF(COUNTIFS($D:$D,$D10302,$A:$A,$A10302,$B:$B,$B10302,$G:$G,"CDU",$J:$J,"PLANNED")&gt;0,"tied","standalone"),"")</f>
        <v/>
      </c>
    </row>
    <row r="10303" spans="6:14">
      <c r="F10303" s="6">
        <f>IF($M10303="PADD I","PADD 1",IF($M10303="PADD II","PADD 2",IF($M10303="PADD III","PADD 3",IF($M10303="PADD IV","PADD 4",IF($M10303="PADD V","PADD 5","")))))</f>
        <v/>
      </c>
      <c r="G10303" s="6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  <c r="N10303" s="6">
        <f>IF(OR($G10303="FCC",$G10303="Hydrocracker",$G10303="Reformer"),IF(COUNTIFS($D:$D,$D10303,$A:$A,$A10303,$B:$B,$B10303,$G:$G,"CDU",$J:$J,"PLANNED")&gt;0,"tied","standalone"),"")</f>
        <v/>
      </c>
    </row>
    <row r="10304" spans="6:14">
      <c r="F10304" s="6">
        <f>IF($M10304="PADD I","PADD 1",IF($M10304="PADD II","PADD 2",IF($M10304="PADD III","PADD 3",IF($M10304="PADD IV","PADD 4",IF($M10304="PADD V","PADD 5","")))))</f>
        <v/>
      </c>
      <c r="G10304" s="6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  <c r="N10304" s="6">
        <f>IF(OR($G10304="FCC",$G10304="Hydrocracker",$G10304="Reformer"),IF(COUNTIFS($D:$D,$D10304,$A:$A,$A10304,$B:$B,$B10304,$G:$G,"CDU",$J:$J,"PLANNED")&gt;0,"tied","standalone"),"")</f>
        <v/>
      </c>
    </row>
    <row r="10305" spans="6:14">
      <c r="F10305" s="6">
        <f>IF($M10305="PADD I","PADD 1",IF($M10305="PADD II","PADD 2",IF($M10305="PADD III","PADD 3",IF($M10305="PADD IV","PADD 4",IF($M10305="PADD V","PADD 5","")))))</f>
        <v/>
      </c>
      <c r="G10305" s="6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  <c r="N10305" s="6">
        <f>IF(OR($G10305="FCC",$G10305="Hydrocracker",$G10305="Reformer"),IF(COUNTIFS($D:$D,$D10305,$A:$A,$A10305,$B:$B,$B10305,$G:$G,"CDU",$J:$J,"PLANNED")&gt;0,"tied","standalone"),"")</f>
        <v/>
      </c>
    </row>
    <row r="10306" spans="6:14">
      <c r="F10306" s="6">
        <f>IF($M10306="PADD I","PADD 1",IF($M10306="PADD II","PADD 2",IF($M10306="PADD III","PADD 3",IF($M10306="PADD IV","PADD 4",IF($M10306="PADD V","PADD 5","")))))</f>
        <v/>
      </c>
      <c r="G10306" s="6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  <c r="N10306" s="6">
        <f>IF(OR($G10306="FCC",$G10306="Hydrocracker",$G10306="Reformer"),IF(COUNTIFS($D:$D,$D10306,$A:$A,$A10306,$B:$B,$B10306,$G:$G,"CDU",$J:$J,"PLANNED")&gt;0,"tied","standalone"),"")</f>
        <v/>
      </c>
    </row>
    <row r="10307" spans="6:14">
      <c r="F10307" s="6">
        <f>IF($M10307="PADD I","PADD 1",IF($M10307="PADD II","PADD 2",IF($M10307="PADD III","PADD 3",IF($M10307="PADD IV","PADD 4",IF($M10307="PADD V","PADD 5","")))))</f>
        <v/>
      </c>
      <c r="G10307" s="6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  <c r="N10307" s="6">
        <f>IF(OR($G10307="FCC",$G10307="Hydrocracker",$G10307="Reformer"),IF(COUNTIFS($D:$D,$D10307,$A:$A,$A10307,$B:$B,$B10307,$G:$G,"CDU",$J:$J,"PLANNED")&gt;0,"tied","standalone"),"")</f>
        <v/>
      </c>
    </row>
    <row r="10308" spans="6:14">
      <c r="F10308" s="6">
        <f>IF($M10308="PADD I","PADD 1",IF($M10308="PADD II","PADD 2",IF($M10308="PADD III","PADD 3",IF($M10308="PADD IV","PADD 4",IF($M10308="PADD V","PADD 5","")))))</f>
        <v/>
      </c>
      <c r="G10308" s="6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  <c r="N10308" s="6">
        <f>IF(OR($G10308="FCC",$G10308="Hydrocracker",$G10308="Reformer"),IF(COUNTIFS($D:$D,$D10308,$A:$A,$A10308,$B:$B,$B10308,$G:$G,"CDU",$J:$J,"PLANNED")&gt;0,"tied","standalone"),"")</f>
        <v/>
      </c>
    </row>
    <row r="10309" spans="6:14">
      <c r="F10309" s="6">
        <f>IF($M10309="PADD I","PADD 1",IF($M10309="PADD II","PADD 2",IF($M10309="PADD III","PADD 3",IF($M10309="PADD IV","PADD 4",IF($M10309="PADD V","PADD 5","")))))</f>
        <v/>
      </c>
      <c r="G10309" s="6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  <c r="N10309" s="6">
        <f>IF(OR($G10309="FCC",$G10309="Hydrocracker",$G10309="Reformer"),IF(COUNTIFS($D:$D,$D10309,$A:$A,$A10309,$B:$B,$B10309,$G:$G,"CDU",$J:$J,"PLANNED")&gt;0,"tied","standalone"),"")</f>
        <v/>
      </c>
    </row>
    <row r="10310" spans="6:14">
      <c r="F10310" s="6">
        <f>IF($M10310="PADD I","PADD 1",IF($M10310="PADD II","PADD 2",IF($M10310="PADD III","PADD 3",IF($M10310="PADD IV","PADD 4",IF($M10310="PADD V","PADD 5","")))))</f>
        <v/>
      </c>
      <c r="G10310" s="6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  <c r="N10310" s="6">
        <f>IF(OR($G10310="FCC",$G10310="Hydrocracker",$G10310="Reformer"),IF(COUNTIFS($D:$D,$D10310,$A:$A,$A10310,$B:$B,$B10310,$G:$G,"CDU",$J:$J,"PLANNED")&gt;0,"tied","standalone"),"")</f>
        <v/>
      </c>
    </row>
    <row r="10311" spans="6:14">
      <c r="F10311" s="6">
        <f>IF($M10311="PADD I","PADD 1",IF($M10311="PADD II","PADD 2",IF($M10311="PADD III","PADD 3",IF($M10311="PADD IV","PADD 4",IF($M10311="PADD V","PADD 5","")))))</f>
        <v/>
      </c>
      <c r="G10311" s="6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  <c r="N10311" s="6">
        <f>IF(OR($G10311="FCC",$G10311="Hydrocracker",$G10311="Reformer"),IF(COUNTIFS($D:$D,$D10311,$A:$A,$A10311,$B:$B,$B10311,$G:$G,"CDU",$J:$J,"PLANNED")&gt;0,"tied","standalone"),"")</f>
        <v/>
      </c>
    </row>
    <row r="10312" spans="6:14">
      <c r="F10312" s="6">
        <f>IF($M10312="PADD I","PADD 1",IF($M10312="PADD II","PADD 2",IF($M10312="PADD III","PADD 3",IF($M10312="PADD IV","PADD 4",IF($M10312="PADD V","PADD 5","")))))</f>
        <v/>
      </c>
      <c r="G10312" s="6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  <c r="N10312" s="6">
        <f>IF(OR($G10312="FCC",$G10312="Hydrocracker",$G10312="Reformer"),IF(COUNTIFS($D:$D,$D10312,$A:$A,$A10312,$B:$B,$B10312,$G:$G,"CDU",$J:$J,"PLANNED")&gt;0,"tied","standalone"),"")</f>
        <v/>
      </c>
    </row>
    <row r="10313" spans="6:14">
      <c r="F10313" s="6">
        <f>IF($M10313="PADD I","PADD 1",IF($M10313="PADD II","PADD 2",IF($M10313="PADD III","PADD 3",IF($M10313="PADD IV","PADD 4",IF($M10313="PADD V","PADD 5","")))))</f>
        <v/>
      </c>
      <c r="G10313" s="6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  <c r="N10313" s="6">
        <f>IF(OR($G10313="FCC",$G10313="Hydrocracker",$G10313="Reformer"),IF(COUNTIFS($D:$D,$D10313,$A:$A,$A10313,$B:$B,$B10313,$G:$G,"CDU",$J:$J,"PLANNED")&gt;0,"tied","standalone"),"")</f>
        <v/>
      </c>
    </row>
    <row r="10314" spans="6:14">
      <c r="F10314" s="6">
        <f>IF($M10314="PADD I","PADD 1",IF($M10314="PADD II","PADD 2",IF($M10314="PADD III","PADD 3",IF($M10314="PADD IV","PADD 4",IF($M10314="PADD V","PADD 5","")))))</f>
        <v/>
      </c>
      <c r="G10314" s="6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  <c r="N10314" s="6">
        <f>IF(OR($G10314="FCC",$G10314="Hydrocracker",$G10314="Reformer"),IF(COUNTIFS($D:$D,$D10314,$A:$A,$A10314,$B:$B,$B10314,$G:$G,"CDU",$J:$J,"PLANNED")&gt;0,"tied","standalone"),"")</f>
        <v/>
      </c>
    </row>
    <row r="10315" spans="6:14">
      <c r="F10315" s="6">
        <f>IF($M10315="PADD I","PADD 1",IF($M10315="PADD II","PADD 2",IF($M10315="PADD III","PADD 3",IF($M10315="PADD IV","PADD 4",IF($M10315="PADD V","PADD 5","")))))</f>
        <v/>
      </c>
      <c r="G10315" s="6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  <c r="N10315" s="6">
        <f>IF(OR($G10315="FCC",$G10315="Hydrocracker",$G10315="Reformer"),IF(COUNTIFS($D:$D,$D10315,$A:$A,$A10315,$B:$B,$B10315,$G:$G,"CDU",$J:$J,"PLANNED")&gt;0,"tied","standalone"),"")</f>
        <v/>
      </c>
    </row>
    <row r="10316" spans="6:14">
      <c r="F10316" s="6">
        <f>IF($M10316="PADD I","PADD 1",IF($M10316="PADD II","PADD 2",IF($M10316="PADD III","PADD 3",IF($M10316="PADD IV","PADD 4",IF($M10316="PADD V","PADD 5","")))))</f>
        <v/>
      </c>
      <c r="G10316" s="6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  <c r="N10316" s="6">
        <f>IF(OR($G10316="FCC",$G10316="Hydrocracker",$G10316="Reformer"),IF(COUNTIFS($D:$D,$D10316,$A:$A,$A10316,$B:$B,$B10316,$G:$G,"CDU",$J:$J,"PLANNED")&gt;0,"tied","standalone"),"")</f>
        <v/>
      </c>
    </row>
    <row r="10317" spans="6:14">
      <c r="F10317" s="6">
        <f>IF($M10317="PADD I","PADD 1",IF($M10317="PADD II","PADD 2",IF($M10317="PADD III","PADD 3",IF($M10317="PADD IV","PADD 4",IF($M10317="PADD V","PADD 5","")))))</f>
        <v/>
      </c>
      <c r="G10317" s="6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  <c r="N10317" s="6">
        <f>IF(OR($G10317="FCC",$G10317="Hydrocracker",$G10317="Reformer"),IF(COUNTIFS($D:$D,$D10317,$A:$A,$A10317,$B:$B,$B10317,$G:$G,"CDU",$J:$J,"PLANNED")&gt;0,"tied","standalone"),"")</f>
        <v/>
      </c>
    </row>
    <row r="10318" spans="6:14">
      <c r="F10318" s="6">
        <f>IF($M10318="PADD I","PADD 1",IF($M10318="PADD II","PADD 2",IF($M10318="PADD III","PADD 3",IF($M10318="PADD IV","PADD 4",IF($M10318="PADD V","PADD 5","")))))</f>
        <v/>
      </c>
      <c r="G10318" s="6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  <c r="N10318" s="6">
        <f>IF(OR($G10318="FCC",$G10318="Hydrocracker",$G10318="Reformer"),IF(COUNTIFS($D:$D,$D10318,$A:$A,$A10318,$B:$B,$B10318,$G:$G,"CDU",$J:$J,"PLANNED")&gt;0,"tied","standalone"),"")</f>
        <v/>
      </c>
    </row>
    <row r="10319" spans="6:14">
      <c r="F10319" s="6">
        <f>IF($M10319="PADD I","PADD 1",IF($M10319="PADD II","PADD 2",IF($M10319="PADD III","PADD 3",IF($M10319="PADD IV","PADD 4",IF($M10319="PADD V","PADD 5","")))))</f>
        <v/>
      </c>
      <c r="G10319" s="6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  <c r="N10319" s="6">
        <f>IF(OR($G10319="FCC",$G10319="Hydrocracker",$G10319="Reformer"),IF(COUNTIFS($D:$D,$D10319,$A:$A,$A10319,$B:$B,$B10319,$G:$G,"CDU",$J:$J,"PLANNED")&gt;0,"tied","standalone"),"")</f>
        <v/>
      </c>
    </row>
    <row r="10320" spans="6:14">
      <c r="F10320" s="6">
        <f>IF($M10320="PADD I","PADD 1",IF($M10320="PADD II","PADD 2",IF($M10320="PADD III","PADD 3",IF($M10320="PADD IV","PADD 4",IF($M10320="PADD V","PADD 5","")))))</f>
        <v/>
      </c>
      <c r="G10320" s="6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  <c r="N10320" s="6">
        <f>IF(OR($G10320="FCC",$G10320="Hydrocracker",$G10320="Reformer"),IF(COUNTIFS($D:$D,$D10320,$A:$A,$A10320,$B:$B,$B10320,$G:$G,"CDU",$J:$J,"PLANNED")&gt;0,"tied","standalone"),"")</f>
        <v/>
      </c>
    </row>
    <row r="10321" spans="6:14">
      <c r="F10321" s="6">
        <f>IF($M10321="PADD I","PADD 1",IF($M10321="PADD II","PADD 2",IF($M10321="PADD III","PADD 3",IF($M10321="PADD IV","PADD 4",IF($M10321="PADD V","PADD 5","")))))</f>
        <v/>
      </c>
      <c r="G10321" s="6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  <c r="N10321" s="6">
        <f>IF(OR($G10321="FCC",$G10321="Hydrocracker",$G10321="Reformer"),IF(COUNTIFS($D:$D,$D10321,$A:$A,$A10321,$B:$B,$B10321,$G:$G,"CDU",$J:$J,"PLANNED")&gt;0,"tied","standalone"),"")</f>
        <v/>
      </c>
    </row>
    <row r="10322" spans="6:14">
      <c r="F10322" s="6">
        <f>IF($M10322="PADD I","PADD 1",IF($M10322="PADD II","PADD 2",IF($M10322="PADD III","PADD 3",IF($M10322="PADD IV","PADD 4",IF($M10322="PADD V","PADD 5","")))))</f>
        <v/>
      </c>
      <c r="G10322" s="6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  <c r="N10322" s="6">
        <f>IF(OR($G10322="FCC",$G10322="Hydrocracker",$G10322="Reformer"),IF(COUNTIFS($D:$D,$D10322,$A:$A,$A10322,$B:$B,$B10322,$G:$G,"CDU",$J:$J,"PLANNED")&gt;0,"tied","standalone"),"")</f>
        <v/>
      </c>
    </row>
    <row r="10323" spans="6:14">
      <c r="F10323" s="6">
        <f>IF($M10323="PADD I","PADD 1",IF($M10323="PADD II","PADD 2",IF($M10323="PADD III","PADD 3",IF($M10323="PADD IV","PADD 4",IF($M10323="PADD V","PADD 5","")))))</f>
        <v/>
      </c>
      <c r="G10323" s="6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  <c r="N10323" s="6">
        <f>IF(OR($G10323="FCC",$G10323="Hydrocracker",$G10323="Reformer"),IF(COUNTIFS($D:$D,$D10323,$A:$A,$A10323,$B:$B,$B10323,$G:$G,"CDU",$J:$J,"PLANNED")&gt;0,"tied","standalone"),"")</f>
        <v/>
      </c>
    </row>
    <row r="10324" spans="6:14">
      <c r="F10324" s="6">
        <f>IF($M10324="PADD I","PADD 1",IF($M10324="PADD II","PADD 2",IF($M10324="PADD III","PADD 3",IF($M10324="PADD IV","PADD 4",IF($M10324="PADD V","PADD 5","")))))</f>
        <v/>
      </c>
      <c r="G10324" s="6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  <c r="N10324" s="6">
        <f>IF(OR($G10324="FCC",$G10324="Hydrocracker",$G10324="Reformer"),IF(COUNTIFS($D:$D,$D10324,$A:$A,$A10324,$B:$B,$B10324,$G:$G,"CDU",$J:$J,"PLANNED")&gt;0,"tied","standalone"),"")</f>
        <v/>
      </c>
    </row>
    <row r="10325" spans="6:14">
      <c r="F10325" s="6">
        <f>IF($M10325="PADD I","PADD 1",IF($M10325="PADD II","PADD 2",IF($M10325="PADD III","PADD 3",IF($M10325="PADD IV","PADD 4",IF($M10325="PADD V","PADD 5","")))))</f>
        <v/>
      </c>
      <c r="G10325" s="6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  <c r="N10325" s="6">
        <f>IF(OR($G10325="FCC",$G10325="Hydrocracker",$G10325="Reformer"),IF(COUNTIFS($D:$D,$D10325,$A:$A,$A10325,$B:$B,$B10325,$G:$G,"CDU",$J:$J,"PLANNED")&gt;0,"tied","standalone"),"")</f>
        <v/>
      </c>
    </row>
    <row r="10326" spans="6:14">
      <c r="F10326" s="6">
        <f>IF($M10326="PADD I","PADD 1",IF($M10326="PADD II","PADD 2",IF($M10326="PADD III","PADD 3",IF($M10326="PADD IV","PADD 4",IF($M10326="PADD V","PADD 5","")))))</f>
        <v/>
      </c>
      <c r="G10326" s="6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  <c r="N10326" s="6">
        <f>IF(OR($G10326="FCC",$G10326="Hydrocracker",$G10326="Reformer"),IF(COUNTIFS($D:$D,$D10326,$A:$A,$A10326,$B:$B,$B10326,$G:$G,"CDU",$J:$J,"PLANNED")&gt;0,"tied","standalone"),"")</f>
        <v/>
      </c>
    </row>
    <row r="10327" spans="6:14">
      <c r="F10327" s="6">
        <f>IF($M10327="PADD I","PADD 1",IF($M10327="PADD II","PADD 2",IF($M10327="PADD III","PADD 3",IF($M10327="PADD IV","PADD 4",IF($M10327="PADD V","PADD 5","")))))</f>
        <v/>
      </c>
      <c r="G10327" s="6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  <c r="N10327" s="6">
        <f>IF(OR($G10327="FCC",$G10327="Hydrocracker",$G10327="Reformer"),IF(COUNTIFS($D:$D,$D10327,$A:$A,$A10327,$B:$B,$B10327,$G:$G,"CDU",$J:$J,"PLANNED")&gt;0,"tied","standalone"),"")</f>
        <v/>
      </c>
    </row>
    <row r="10328" spans="6:14">
      <c r="F10328" s="6">
        <f>IF($M10328="PADD I","PADD 1",IF($M10328="PADD II","PADD 2",IF($M10328="PADD III","PADD 3",IF($M10328="PADD IV","PADD 4",IF($M10328="PADD V","PADD 5","")))))</f>
        <v/>
      </c>
      <c r="G10328" s="6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  <c r="N10328" s="6">
        <f>IF(OR($G10328="FCC",$G10328="Hydrocracker",$G10328="Reformer"),IF(COUNTIFS($D:$D,$D10328,$A:$A,$A10328,$B:$B,$B10328,$G:$G,"CDU",$J:$J,"PLANNED")&gt;0,"tied","standalone"),"")</f>
        <v/>
      </c>
    </row>
    <row r="10329" spans="6:14">
      <c r="F10329" s="6">
        <f>IF($M10329="PADD I","PADD 1",IF($M10329="PADD II","PADD 2",IF($M10329="PADD III","PADD 3",IF($M10329="PADD IV","PADD 4",IF($M10329="PADD V","PADD 5","")))))</f>
        <v/>
      </c>
      <c r="G10329" s="6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  <c r="N10329" s="6">
        <f>IF(OR($G10329="FCC",$G10329="Hydrocracker",$G10329="Reformer"),IF(COUNTIFS($D:$D,$D10329,$A:$A,$A10329,$B:$B,$B10329,$G:$G,"CDU",$J:$J,"PLANNED")&gt;0,"tied","standalone"),"")</f>
        <v/>
      </c>
    </row>
    <row r="10330" spans="6:14">
      <c r="F10330" s="6">
        <f>IF($M10330="PADD I","PADD 1",IF($M10330="PADD II","PADD 2",IF($M10330="PADD III","PADD 3",IF($M10330="PADD IV","PADD 4",IF($M10330="PADD V","PADD 5","")))))</f>
        <v/>
      </c>
      <c r="G10330" s="6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  <c r="N10330" s="6">
        <f>IF(OR($G10330="FCC",$G10330="Hydrocracker",$G10330="Reformer"),IF(COUNTIFS($D:$D,$D10330,$A:$A,$A10330,$B:$B,$B10330,$G:$G,"CDU",$J:$J,"PLANNED")&gt;0,"tied","standalone"),"")</f>
        <v/>
      </c>
    </row>
    <row r="10331" spans="6:14">
      <c r="F10331" s="6">
        <f>IF($M10331="PADD I","PADD 1",IF($M10331="PADD II","PADD 2",IF($M10331="PADD III","PADD 3",IF($M10331="PADD IV","PADD 4",IF($M10331="PADD V","PADD 5","")))))</f>
        <v/>
      </c>
      <c r="G10331" s="6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  <c r="N10331" s="6">
        <f>IF(OR($G10331="FCC",$G10331="Hydrocracker",$G10331="Reformer"),IF(COUNTIFS($D:$D,$D10331,$A:$A,$A10331,$B:$B,$B10331,$G:$G,"CDU",$J:$J,"PLANNED")&gt;0,"tied","standalone"),"")</f>
        <v/>
      </c>
    </row>
    <row r="10332" spans="6:14">
      <c r="F10332" s="6">
        <f>IF($M10332="PADD I","PADD 1",IF($M10332="PADD II","PADD 2",IF($M10332="PADD III","PADD 3",IF($M10332="PADD IV","PADD 4",IF($M10332="PADD V","PADD 5","")))))</f>
        <v/>
      </c>
      <c r="G10332" s="6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  <c r="N10332" s="6">
        <f>IF(OR($G10332="FCC",$G10332="Hydrocracker",$G10332="Reformer"),IF(COUNTIFS($D:$D,$D10332,$A:$A,$A10332,$B:$B,$B10332,$G:$G,"CDU",$J:$J,"PLANNED")&gt;0,"tied","standalone"),"")</f>
        <v/>
      </c>
    </row>
    <row r="10333" spans="6:14">
      <c r="F10333" s="6">
        <f>IF($M10333="PADD I","PADD 1",IF($M10333="PADD II","PADD 2",IF($M10333="PADD III","PADD 3",IF($M10333="PADD IV","PADD 4",IF($M10333="PADD V","PADD 5","")))))</f>
        <v/>
      </c>
      <c r="G10333" s="6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  <c r="N10333" s="6">
        <f>IF(OR($G10333="FCC",$G10333="Hydrocracker",$G10333="Reformer"),IF(COUNTIFS($D:$D,$D10333,$A:$A,$A10333,$B:$B,$B10333,$G:$G,"CDU",$J:$J,"PLANNED")&gt;0,"tied","standalone"),"")</f>
        <v/>
      </c>
    </row>
    <row r="10334" spans="6:14">
      <c r="F10334" s="6">
        <f>IF($M10334="PADD I","PADD 1",IF($M10334="PADD II","PADD 2",IF($M10334="PADD III","PADD 3",IF($M10334="PADD IV","PADD 4",IF($M10334="PADD V","PADD 5","")))))</f>
        <v/>
      </c>
      <c r="G10334" s="6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  <c r="N10334" s="6">
        <f>IF(OR($G10334="FCC",$G10334="Hydrocracker",$G10334="Reformer"),IF(COUNTIFS($D:$D,$D10334,$A:$A,$A10334,$B:$B,$B10334,$G:$G,"CDU",$J:$J,"PLANNED")&gt;0,"tied","standalone"),"")</f>
        <v/>
      </c>
    </row>
    <row r="10335" spans="6:14">
      <c r="F10335" s="6">
        <f>IF($M10335="PADD I","PADD 1",IF($M10335="PADD II","PADD 2",IF($M10335="PADD III","PADD 3",IF($M10335="PADD IV","PADD 4",IF($M10335="PADD V","PADD 5","")))))</f>
        <v/>
      </c>
      <c r="G10335" s="6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  <c r="N10335" s="6">
        <f>IF(OR($G10335="FCC",$G10335="Hydrocracker",$G10335="Reformer"),IF(COUNTIFS($D:$D,$D10335,$A:$A,$A10335,$B:$B,$B10335,$G:$G,"CDU",$J:$J,"PLANNED")&gt;0,"tied","standalone"),"")</f>
        <v/>
      </c>
    </row>
    <row r="10336" spans="6:14">
      <c r="F10336" s="6">
        <f>IF($M10336="PADD I","PADD 1",IF($M10336="PADD II","PADD 2",IF($M10336="PADD III","PADD 3",IF($M10336="PADD IV","PADD 4",IF($M10336="PADD V","PADD 5","")))))</f>
        <v/>
      </c>
      <c r="G10336" s="6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  <c r="N10336" s="6">
        <f>IF(OR($G10336="FCC",$G10336="Hydrocracker",$G10336="Reformer"),IF(COUNTIFS($D:$D,$D10336,$A:$A,$A10336,$B:$B,$B10336,$G:$G,"CDU",$J:$J,"PLANNED")&gt;0,"tied","standalone"),"")</f>
        <v/>
      </c>
    </row>
    <row r="10337" spans="6:14">
      <c r="F10337" s="6">
        <f>IF($M10337="PADD I","PADD 1",IF($M10337="PADD II","PADD 2",IF($M10337="PADD III","PADD 3",IF($M10337="PADD IV","PADD 4",IF($M10337="PADD V","PADD 5","")))))</f>
        <v/>
      </c>
      <c r="G10337" s="6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  <c r="N10337" s="6">
        <f>IF(OR($G10337="FCC",$G10337="Hydrocracker",$G10337="Reformer"),IF(COUNTIFS($D:$D,$D10337,$A:$A,$A10337,$B:$B,$B10337,$G:$G,"CDU",$J:$J,"PLANNED")&gt;0,"tied","standalone"),"")</f>
        <v/>
      </c>
    </row>
    <row r="10338" spans="6:14">
      <c r="F10338" s="6">
        <f>IF($M10338="PADD I","PADD 1",IF($M10338="PADD II","PADD 2",IF($M10338="PADD III","PADD 3",IF($M10338="PADD IV","PADD 4",IF($M10338="PADD V","PADD 5","")))))</f>
        <v/>
      </c>
      <c r="G10338" s="6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  <c r="N10338" s="6">
        <f>IF(OR($G10338="FCC",$G10338="Hydrocracker",$G10338="Reformer"),IF(COUNTIFS($D:$D,$D10338,$A:$A,$A10338,$B:$B,$B10338,$G:$G,"CDU",$J:$J,"PLANNED")&gt;0,"tied","standalone"),"")</f>
        <v/>
      </c>
    </row>
    <row r="10339" spans="6:14">
      <c r="F10339" s="6">
        <f>IF($M10339="PADD I","PADD 1",IF($M10339="PADD II","PADD 2",IF($M10339="PADD III","PADD 3",IF($M10339="PADD IV","PADD 4",IF($M10339="PADD V","PADD 5","")))))</f>
        <v/>
      </c>
      <c r="G10339" s="6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  <c r="N10339" s="6">
        <f>IF(OR($G10339="FCC",$G10339="Hydrocracker",$G10339="Reformer"),IF(COUNTIFS($D:$D,$D10339,$A:$A,$A10339,$B:$B,$B10339,$G:$G,"CDU",$J:$J,"PLANNED")&gt;0,"tied","standalone"),"")</f>
        <v/>
      </c>
    </row>
    <row r="10340" spans="6:14">
      <c r="F10340" s="6">
        <f>IF($M10340="PADD I","PADD 1",IF($M10340="PADD II","PADD 2",IF($M10340="PADD III","PADD 3",IF($M10340="PADD IV","PADD 4",IF($M10340="PADD V","PADD 5","")))))</f>
        <v/>
      </c>
      <c r="G10340" s="6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  <c r="N10340" s="6">
        <f>IF(OR($G10340="FCC",$G10340="Hydrocracker",$G10340="Reformer"),IF(COUNTIFS($D:$D,$D10340,$A:$A,$A10340,$B:$B,$B10340,$G:$G,"CDU",$J:$J,"PLANNED")&gt;0,"tied","standalone"),"")</f>
        <v/>
      </c>
    </row>
    <row r="10341" spans="6:14">
      <c r="F10341" s="6">
        <f>IF($M10341="PADD I","PADD 1",IF($M10341="PADD II","PADD 2",IF($M10341="PADD III","PADD 3",IF($M10341="PADD IV","PADD 4",IF($M10341="PADD V","PADD 5","")))))</f>
        <v/>
      </c>
      <c r="G10341" s="6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  <c r="N10341" s="6">
        <f>IF(OR($G10341="FCC",$G10341="Hydrocracker",$G10341="Reformer"),IF(COUNTIFS($D:$D,$D10341,$A:$A,$A10341,$B:$B,$B10341,$G:$G,"CDU",$J:$J,"PLANNED")&gt;0,"tied","standalone"),"")</f>
        <v/>
      </c>
    </row>
    <row r="10342" spans="6:14">
      <c r="F10342" s="6">
        <f>IF($M10342="PADD I","PADD 1",IF($M10342="PADD II","PADD 2",IF($M10342="PADD III","PADD 3",IF($M10342="PADD IV","PADD 4",IF($M10342="PADD V","PADD 5","")))))</f>
        <v/>
      </c>
      <c r="G10342" s="6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  <c r="N10342" s="6">
        <f>IF(OR($G10342="FCC",$G10342="Hydrocracker",$G10342="Reformer"),IF(COUNTIFS($D:$D,$D10342,$A:$A,$A10342,$B:$B,$B10342,$G:$G,"CDU",$J:$J,"PLANNED")&gt;0,"tied","standalone"),"")</f>
        <v/>
      </c>
    </row>
    <row r="10343" spans="6:14">
      <c r="F10343" s="6">
        <f>IF($M10343="PADD I","PADD 1",IF($M10343="PADD II","PADD 2",IF($M10343="PADD III","PADD 3",IF($M10343="PADD IV","PADD 4",IF($M10343="PADD V","PADD 5","")))))</f>
        <v/>
      </c>
      <c r="G10343" s="6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  <c r="N10343" s="6">
        <f>IF(OR($G10343="FCC",$G10343="Hydrocracker",$G10343="Reformer"),IF(COUNTIFS($D:$D,$D10343,$A:$A,$A10343,$B:$B,$B10343,$G:$G,"CDU",$J:$J,"PLANNED")&gt;0,"tied","standalone"),"")</f>
        <v/>
      </c>
    </row>
    <row r="10344" spans="6:14">
      <c r="F10344" s="6">
        <f>IF($M10344="PADD I","PADD 1",IF($M10344="PADD II","PADD 2",IF($M10344="PADD III","PADD 3",IF($M10344="PADD IV","PADD 4",IF($M10344="PADD V","PADD 5","")))))</f>
        <v/>
      </c>
      <c r="G10344" s="6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  <c r="N10344" s="6">
        <f>IF(OR($G10344="FCC",$G10344="Hydrocracker",$G10344="Reformer"),IF(COUNTIFS($D:$D,$D10344,$A:$A,$A10344,$B:$B,$B10344,$G:$G,"CDU",$J:$J,"PLANNED")&gt;0,"tied","standalone"),"")</f>
        <v/>
      </c>
    </row>
    <row r="10345" spans="6:14">
      <c r="F10345" s="6">
        <f>IF($M10345="PADD I","PADD 1",IF($M10345="PADD II","PADD 2",IF($M10345="PADD III","PADD 3",IF($M10345="PADD IV","PADD 4",IF($M10345="PADD V","PADD 5","")))))</f>
        <v/>
      </c>
      <c r="G10345" s="6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  <c r="N10345" s="6">
        <f>IF(OR($G10345="FCC",$G10345="Hydrocracker",$G10345="Reformer"),IF(COUNTIFS($D:$D,$D10345,$A:$A,$A10345,$B:$B,$B10345,$G:$G,"CDU",$J:$J,"PLANNED")&gt;0,"tied","standalone"),"")</f>
        <v/>
      </c>
    </row>
    <row r="10346" spans="6:14">
      <c r="F10346" s="6">
        <f>IF($M10346="PADD I","PADD 1",IF($M10346="PADD II","PADD 2",IF($M10346="PADD III","PADD 3",IF($M10346="PADD IV","PADD 4",IF($M10346="PADD V","PADD 5","")))))</f>
        <v/>
      </c>
      <c r="G10346" s="6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  <c r="N10346" s="6">
        <f>IF(OR($G10346="FCC",$G10346="Hydrocracker",$G10346="Reformer"),IF(COUNTIFS($D:$D,$D10346,$A:$A,$A10346,$B:$B,$B10346,$G:$G,"CDU",$J:$J,"PLANNED")&gt;0,"tied","standalone"),"")</f>
        <v/>
      </c>
    </row>
    <row r="10347" spans="6:14">
      <c r="F10347" s="6">
        <f>IF($M10347="PADD I","PADD 1",IF($M10347="PADD II","PADD 2",IF($M10347="PADD III","PADD 3",IF($M10347="PADD IV","PADD 4",IF($M10347="PADD V","PADD 5","")))))</f>
        <v/>
      </c>
      <c r="G10347" s="6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  <c r="N10347" s="6">
        <f>IF(OR($G10347="FCC",$G10347="Hydrocracker",$G10347="Reformer"),IF(COUNTIFS($D:$D,$D10347,$A:$A,$A10347,$B:$B,$B10347,$G:$G,"CDU",$J:$J,"PLANNED")&gt;0,"tied","standalone"),"")</f>
        <v/>
      </c>
    </row>
    <row r="10348" spans="6:14">
      <c r="F10348" s="6">
        <f>IF($M10348="PADD I","PADD 1",IF($M10348="PADD II","PADD 2",IF($M10348="PADD III","PADD 3",IF($M10348="PADD IV","PADD 4",IF($M10348="PADD V","PADD 5","")))))</f>
        <v/>
      </c>
      <c r="G10348" s="6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  <c r="N10348" s="6">
        <f>IF(OR($G10348="FCC",$G10348="Hydrocracker",$G10348="Reformer"),IF(COUNTIFS($D:$D,$D10348,$A:$A,$A10348,$B:$B,$B10348,$G:$G,"CDU",$J:$J,"PLANNED")&gt;0,"tied","standalone"),"")</f>
        <v/>
      </c>
    </row>
    <row r="10349" spans="6:14">
      <c r="F10349" s="6">
        <f>IF($M10349="PADD I","PADD 1",IF($M10349="PADD II","PADD 2",IF($M10349="PADD III","PADD 3",IF($M10349="PADD IV","PADD 4",IF($M10349="PADD V","PADD 5","")))))</f>
        <v/>
      </c>
      <c r="G10349" s="6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  <c r="N10349" s="6">
        <f>IF(OR($G10349="FCC",$G10349="Hydrocracker",$G10349="Reformer"),IF(COUNTIFS($D:$D,$D10349,$A:$A,$A10349,$B:$B,$B10349,$G:$G,"CDU",$J:$J,"PLANNED")&gt;0,"tied","standalone"),"")</f>
        <v/>
      </c>
    </row>
    <row r="10350" spans="6:14">
      <c r="F10350" s="6">
        <f>IF($M10350="PADD I","PADD 1",IF($M10350="PADD II","PADD 2",IF($M10350="PADD III","PADD 3",IF($M10350="PADD IV","PADD 4",IF($M10350="PADD V","PADD 5","")))))</f>
        <v/>
      </c>
      <c r="G10350" s="6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  <c r="N10350" s="6">
        <f>IF(OR($G10350="FCC",$G10350="Hydrocracker",$G10350="Reformer"),IF(COUNTIFS($D:$D,$D10350,$A:$A,$A10350,$B:$B,$B10350,$G:$G,"CDU",$J:$J,"PLANNED")&gt;0,"tied","standalone"),"")</f>
        <v/>
      </c>
    </row>
    <row r="10351" spans="6:14">
      <c r="F10351" s="6">
        <f>IF($M10351="PADD I","PADD 1",IF($M10351="PADD II","PADD 2",IF($M10351="PADD III","PADD 3",IF($M10351="PADD IV","PADD 4",IF($M10351="PADD V","PADD 5","")))))</f>
        <v/>
      </c>
      <c r="G10351" s="6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  <c r="N10351" s="6">
        <f>IF(OR($G10351="FCC",$G10351="Hydrocracker",$G10351="Reformer"),IF(COUNTIFS($D:$D,$D10351,$A:$A,$A10351,$B:$B,$B10351,$G:$G,"CDU",$J:$J,"PLANNED")&gt;0,"tied","standalone"),"")</f>
        <v/>
      </c>
    </row>
    <row r="10352" spans="6:14">
      <c r="F10352" s="6">
        <f>IF($M10352="PADD I","PADD 1",IF($M10352="PADD II","PADD 2",IF($M10352="PADD III","PADD 3",IF($M10352="PADD IV","PADD 4",IF($M10352="PADD V","PADD 5","")))))</f>
        <v/>
      </c>
      <c r="G10352" s="6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  <c r="N10352" s="6">
        <f>IF(OR($G10352="FCC",$G10352="Hydrocracker",$G10352="Reformer"),IF(COUNTIFS($D:$D,$D10352,$A:$A,$A10352,$B:$B,$B10352,$G:$G,"CDU",$J:$J,"PLANNED")&gt;0,"tied","standalone"),"")</f>
        <v/>
      </c>
    </row>
    <row r="10353" spans="6:14">
      <c r="F10353" s="6">
        <f>IF($M10353="PADD I","PADD 1",IF($M10353="PADD II","PADD 2",IF($M10353="PADD III","PADD 3",IF($M10353="PADD IV","PADD 4",IF($M10353="PADD V","PADD 5","")))))</f>
        <v/>
      </c>
      <c r="G10353" s="6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  <c r="N10353" s="6">
        <f>IF(OR($G10353="FCC",$G10353="Hydrocracker",$G10353="Reformer"),IF(COUNTIFS($D:$D,$D10353,$A:$A,$A10353,$B:$B,$B10353,$G:$G,"CDU",$J:$J,"PLANNED")&gt;0,"tied","standalone"),"")</f>
        <v/>
      </c>
    </row>
    <row r="10354" spans="6:14">
      <c r="F10354" s="6">
        <f>IF($M10354="PADD I","PADD 1",IF($M10354="PADD II","PADD 2",IF($M10354="PADD III","PADD 3",IF($M10354="PADD IV","PADD 4",IF($M10354="PADD V","PADD 5","")))))</f>
        <v/>
      </c>
      <c r="G10354" s="6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  <c r="N10354" s="6">
        <f>IF(OR($G10354="FCC",$G10354="Hydrocracker",$G10354="Reformer"),IF(COUNTIFS($D:$D,$D10354,$A:$A,$A10354,$B:$B,$B10354,$G:$G,"CDU",$J:$J,"PLANNED")&gt;0,"tied","standalone"),"")</f>
        <v/>
      </c>
    </row>
    <row r="10355" spans="6:14">
      <c r="F10355" s="6">
        <f>IF($M10355="PADD I","PADD 1",IF($M10355="PADD II","PADD 2",IF($M10355="PADD III","PADD 3",IF($M10355="PADD IV","PADD 4",IF($M10355="PADD V","PADD 5","")))))</f>
        <v/>
      </c>
      <c r="G10355" s="6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  <c r="N10355" s="6">
        <f>IF(OR($G10355="FCC",$G10355="Hydrocracker",$G10355="Reformer"),IF(COUNTIFS($D:$D,$D10355,$A:$A,$A10355,$B:$B,$B10355,$G:$G,"CDU",$J:$J,"PLANNED")&gt;0,"tied","standalone"),"")</f>
        <v/>
      </c>
    </row>
    <row r="10356" spans="6:14">
      <c r="F10356" s="6">
        <f>IF($M10356="PADD I","PADD 1",IF($M10356="PADD II","PADD 2",IF($M10356="PADD III","PADD 3",IF($M10356="PADD IV","PADD 4",IF($M10356="PADD V","PADD 5","")))))</f>
        <v/>
      </c>
      <c r="G10356" s="6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  <c r="N10356" s="6">
        <f>IF(OR($G10356="FCC",$G10356="Hydrocracker",$G10356="Reformer"),IF(COUNTIFS($D:$D,$D10356,$A:$A,$A10356,$B:$B,$B10356,$G:$G,"CDU",$J:$J,"PLANNED")&gt;0,"tied","standalone"),"")</f>
        <v/>
      </c>
    </row>
    <row r="10357" spans="6:14">
      <c r="F10357" s="6">
        <f>IF($M10357="PADD I","PADD 1",IF($M10357="PADD II","PADD 2",IF($M10357="PADD III","PADD 3",IF($M10357="PADD IV","PADD 4",IF($M10357="PADD V","PADD 5","")))))</f>
        <v/>
      </c>
      <c r="G10357" s="6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  <c r="N10357" s="6">
        <f>IF(OR($G10357="FCC",$G10357="Hydrocracker",$G10357="Reformer"),IF(COUNTIFS($D:$D,$D10357,$A:$A,$A10357,$B:$B,$B10357,$G:$G,"CDU",$J:$J,"PLANNED")&gt;0,"tied","standalone"),"")</f>
        <v/>
      </c>
    </row>
    <row r="10358" spans="6:14">
      <c r="F10358" s="6">
        <f>IF($M10358="PADD I","PADD 1",IF($M10358="PADD II","PADD 2",IF($M10358="PADD III","PADD 3",IF($M10358="PADD IV","PADD 4",IF($M10358="PADD V","PADD 5","")))))</f>
        <v/>
      </c>
      <c r="G10358" s="6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  <c r="N10358" s="6">
        <f>IF(OR($G10358="FCC",$G10358="Hydrocracker",$G10358="Reformer"),IF(COUNTIFS($D:$D,$D10358,$A:$A,$A10358,$B:$B,$B10358,$G:$G,"CDU",$J:$J,"PLANNED")&gt;0,"tied","standalone"),"")</f>
        <v/>
      </c>
    </row>
    <row r="10359" spans="6:14">
      <c r="F10359" s="6">
        <f>IF($M10359="PADD I","PADD 1",IF($M10359="PADD II","PADD 2",IF($M10359="PADD III","PADD 3",IF($M10359="PADD IV","PADD 4",IF($M10359="PADD V","PADD 5","")))))</f>
        <v/>
      </c>
      <c r="G10359" s="6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  <c r="N10359" s="6">
        <f>IF(OR($G10359="FCC",$G10359="Hydrocracker",$G10359="Reformer"),IF(COUNTIFS($D:$D,$D10359,$A:$A,$A10359,$B:$B,$B10359,$G:$G,"CDU",$J:$J,"PLANNED")&gt;0,"tied","standalone"),"")</f>
        <v/>
      </c>
    </row>
    <row r="10360" spans="6:14">
      <c r="F10360" s="6">
        <f>IF($M10360="PADD I","PADD 1",IF($M10360="PADD II","PADD 2",IF($M10360="PADD III","PADD 3",IF($M10360="PADD IV","PADD 4",IF($M10360="PADD V","PADD 5","")))))</f>
        <v/>
      </c>
      <c r="G10360" s="6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  <c r="N10360" s="6">
        <f>IF(OR($G10360="FCC",$G10360="Hydrocracker",$G10360="Reformer"),IF(COUNTIFS($D:$D,$D10360,$A:$A,$A10360,$B:$B,$B10360,$G:$G,"CDU",$J:$J,"PLANNED")&gt;0,"tied","standalone"),"")</f>
        <v/>
      </c>
    </row>
    <row r="10361" spans="6:14">
      <c r="F10361" s="6">
        <f>IF($M10361="PADD I","PADD 1",IF($M10361="PADD II","PADD 2",IF($M10361="PADD III","PADD 3",IF($M10361="PADD IV","PADD 4",IF($M10361="PADD V","PADD 5","")))))</f>
        <v/>
      </c>
      <c r="G10361" s="6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  <c r="N10361" s="6">
        <f>IF(OR($G10361="FCC",$G10361="Hydrocracker",$G10361="Reformer"),IF(COUNTIFS($D:$D,$D10361,$A:$A,$A10361,$B:$B,$B10361,$G:$G,"CDU",$J:$J,"PLANNED")&gt;0,"tied","standalone"),"")</f>
        <v/>
      </c>
    </row>
    <row r="10362" spans="6:14">
      <c r="F10362" s="6">
        <f>IF($M10362="PADD I","PADD 1",IF($M10362="PADD II","PADD 2",IF($M10362="PADD III","PADD 3",IF($M10362="PADD IV","PADD 4",IF($M10362="PADD V","PADD 5","")))))</f>
        <v/>
      </c>
      <c r="G10362" s="6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  <c r="N10362" s="6">
        <f>IF(OR($G10362="FCC",$G10362="Hydrocracker",$G10362="Reformer"),IF(COUNTIFS($D:$D,$D10362,$A:$A,$A10362,$B:$B,$B10362,$G:$G,"CDU",$J:$J,"PLANNED")&gt;0,"tied","standalone"),"")</f>
        <v/>
      </c>
    </row>
    <row r="10363" spans="6:14">
      <c r="F10363" s="6">
        <f>IF($M10363="PADD I","PADD 1",IF($M10363="PADD II","PADD 2",IF($M10363="PADD III","PADD 3",IF($M10363="PADD IV","PADD 4",IF($M10363="PADD V","PADD 5","")))))</f>
        <v/>
      </c>
      <c r="G10363" s="6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  <c r="N10363" s="6">
        <f>IF(OR($G10363="FCC",$G10363="Hydrocracker",$G10363="Reformer"),IF(COUNTIFS($D:$D,$D10363,$A:$A,$A10363,$B:$B,$B10363,$G:$G,"CDU",$J:$J,"PLANNED")&gt;0,"tied","standalone"),"")</f>
        <v/>
      </c>
    </row>
    <row r="10364" spans="6:14">
      <c r="F10364" s="6">
        <f>IF($M10364="PADD I","PADD 1",IF($M10364="PADD II","PADD 2",IF($M10364="PADD III","PADD 3",IF($M10364="PADD IV","PADD 4",IF($M10364="PADD V","PADD 5","")))))</f>
        <v/>
      </c>
      <c r="G10364" s="6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  <c r="N10364" s="6">
        <f>IF(OR($G10364="FCC",$G10364="Hydrocracker",$G10364="Reformer"),IF(COUNTIFS($D:$D,$D10364,$A:$A,$A10364,$B:$B,$B10364,$G:$G,"CDU",$J:$J,"PLANNED")&gt;0,"tied","standalone"),"")</f>
        <v/>
      </c>
    </row>
    <row r="10365" spans="6:14">
      <c r="F10365" s="6">
        <f>IF($M10365="PADD I","PADD 1",IF($M10365="PADD II","PADD 2",IF($M10365="PADD III","PADD 3",IF($M10365="PADD IV","PADD 4",IF($M10365="PADD V","PADD 5","")))))</f>
        <v/>
      </c>
      <c r="G10365" s="6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  <c r="N10365" s="6">
        <f>IF(OR($G10365="FCC",$G10365="Hydrocracker",$G10365="Reformer"),IF(COUNTIFS($D:$D,$D10365,$A:$A,$A10365,$B:$B,$B10365,$G:$G,"CDU",$J:$J,"PLANNED")&gt;0,"tied","standalone"),"")</f>
        <v/>
      </c>
    </row>
    <row r="10366" spans="6:14">
      <c r="F10366" s="6">
        <f>IF($M10366="PADD I","PADD 1",IF($M10366="PADD II","PADD 2",IF($M10366="PADD III","PADD 3",IF($M10366="PADD IV","PADD 4",IF($M10366="PADD V","PADD 5","")))))</f>
        <v/>
      </c>
      <c r="G10366" s="6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  <c r="N10366" s="6">
        <f>IF(OR($G10366="FCC",$G10366="Hydrocracker",$G10366="Reformer"),IF(COUNTIFS($D:$D,$D10366,$A:$A,$A10366,$B:$B,$B10366,$G:$G,"CDU",$J:$J,"PLANNED")&gt;0,"tied","standalone"),"")</f>
        <v/>
      </c>
    </row>
    <row r="10367" spans="6:14">
      <c r="F10367" s="6">
        <f>IF($M10367="PADD I","PADD 1",IF($M10367="PADD II","PADD 2",IF($M10367="PADD III","PADD 3",IF($M10367="PADD IV","PADD 4",IF($M10367="PADD V","PADD 5","")))))</f>
        <v/>
      </c>
      <c r="G10367" s="6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  <c r="N10367" s="6">
        <f>IF(OR($G10367="FCC",$G10367="Hydrocracker",$G10367="Reformer"),IF(COUNTIFS($D:$D,$D10367,$A:$A,$A10367,$B:$B,$B10367,$G:$G,"CDU",$J:$J,"PLANNED")&gt;0,"tied","standalone"),"")</f>
        <v/>
      </c>
    </row>
    <row r="10368" spans="6:14">
      <c r="F10368" s="6">
        <f>IF($M10368="PADD I","PADD 1",IF($M10368="PADD II","PADD 2",IF($M10368="PADD III","PADD 3",IF($M10368="PADD IV","PADD 4",IF($M10368="PADD V","PADD 5","")))))</f>
        <v/>
      </c>
      <c r="G10368" s="6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  <c r="N10368" s="6">
        <f>IF(OR($G10368="FCC",$G10368="Hydrocracker",$G10368="Reformer"),IF(COUNTIFS($D:$D,$D10368,$A:$A,$A10368,$B:$B,$B10368,$G:$G,"CDU",$J:$J,"PLANNED")&gt;0,"tied","standalone"),"")</f>
        <v/>
      </c>
    </row>
    <row r="10369" spans="6:14">
      <c r="F10369" s="6">
        <f>IF($M10369="PADD I","PADD 1",IF($M10369="PADD II","PADD 2",IF($M10369="PADD III","PADD 3",IF($M10369="PADD IV","PADD 4",IF($M10369="PADD V","PADD 5","")))))</f>
        <v/>
      </c>
      <c r="G10369" s="6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  <c r="N10369" s="6">
        <f>IF(OR($G10369="FCC",$G10369="Hydrocracker",$G10369="Reformer"),IF(COUNTIFS($D:$D,$D10369,$A:$A,$A10369,$B:$B,$B10369,$G:$G,"CDU",$J:$J,"PLANNED")&gt;0,"tied","standalone"),"")</f>
        <v/>
      </c>
    </row>
    <row r="10370" spans="6:14">
      <c r="F10370" s="6">
        <f>IF($M10370="PADD I","PADD 1",IF($M10370="PADD II","PADD 2",IF($M10370="PADD III","PADD 3",IF($M10370="PADD IV","PADD 4",IF($M10370="PADD V","PADD 5","")))))</f>
        <v/>
      </c>
      <c r="G10370" s="6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  <c r="N10370" s="6">
        <f>IF(OR($G10370="FCC",$G10370="Hydrocracker",$G10370="Reformer"),IF(COUNTIFS($D:$D,$D10370,$A:$A,$A10370,$B:$B,$B10370,$G:$G,"CDU",$J:$J,"PLANNED")&gt;0,"tied","standalone"),"")</f>
        <v/>
      </c>
    </row>
    <row r="10371" spans="6:14">
      <c r="F10371" s="6">
        <f>IF($M10371="PADD I","PADD 1",IF($M10371="PADD II","PADD 2",IF($M10371="PADD III","PADD 3",IF($M10371="PADD IV","PADD 4",IF($M10371="PADD V","PADD 5","")))))</f>
        <v/>
      </c>
      <c r="G10371" s="6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  <c r="N10371" s="6">
        <f>IF(OR($G10371="FCC",$G10371="Hydrocracker",$G10371="Reformer"),IF(COUNTIFS($D:$D,$D10371,$A:$A,$A10371,$B:$B,$B10371,$G:$G,"CDU",$J:$J,"PLANNED")&gt;0,"tied","standalone"),"")</f>
        <v/>
      </c>
    </row>
    <row r="10372" spans="6:14">
      <c r="F10372" s="6">
        <f>IF($M10372="PADD I","PADD 1",IF($M10372="PADD II","PADD 2",IF($M10372="PADD III","PADD 3",IF($M10372="PADD IV","PADD 4",IF($M10372="PADD V","PADD 5","")))))</f>
        <v/>
      </c>
      <c r="G10372" s="6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  <c r="N10372" s="6">
        <f>IF(OR($G10372="FCC",$G10372="Hydrocracker",$G10372="Reformer"),IF(COUNTIFS($D:$D,$D10372,$A:$A,$A10372,$B:$B,$B10372,$G:$G,"CDU",$J:$J,"PLANNED")&gt;0,"tied","standalone"),"")</f>
        <v/>
      </c>
    </row>
    <row r="10373" spans="6:14">
      <c r="F10373" s="6">
        <f>IF($M10373="PADD I","PADD 1",IF($M10373="PADD II","PADD 2",IF($M10373="PADD III","PADD 3",IF($M10373="PADD IV","PADD 4",IF($M10373="PADD V","PADD 5","")))))</f>
        <v/>
      </c>
      <c r="G10373" s="6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  <c r="N10373" s="6">
        <f>IF(OR($G10373="FCC",$G10373="Hydrocracker",$G10373="Reformer"),IF(COUNTIFS($D:$D,$D10373,$A:$A,$A10373,$B:$B,$B10373,$G:$G,"CDU",$J:$J,"PLANNED")&gt;0,"tied","standalone"),"")</f>
        <v/>
      </c>
    </row>
    <row r="10374" spans="6:14">
      <c r="F10374" s="6">
        <f>IF($M10374="PADD I","PADD 1",IF($M10374="PADD II","PADD 2",IF($M10374="PADD III","PADD 3",IF($M10374="PADD IV","PADD 4",IF($M10374="PADD V","PADD 5","")))))</f>
        <v/>
      </c>
      <c r="G10374" s="6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  <c r="N10374" s="6">
        <f>IF(OR($G10374="FCC",$G10374="Hydrocracker",$G10374="Reformer"),IF(COUNTIFS($D:$D,$D10374,$A:$A,$A10374,$B:$B,$B10374,$G:$G,"CDU",$J:$J,"PLANNED")&gt;0,"tied","standalone"),"")</f>
        <v/>
      </c>
    </row>
    <row r="10375" spans="6:14">
      <c r="F10375" s="6">
        <f>IF($M10375="PADD I","PADD 1",IF($M10375="PADD II","PADD 2",IF($M10375="PADD III","PADD 3",IF($M10375="PADD IV","PADD 4",IF($M10375="PADD V","PADD 5","")))))</f>
        <v/>
      </c>
      <c r="G10375" s="6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  <c r="N10375" s="6">
        <f>IF(OR($G10375="FCC",$G10375="Hydrocracker",$G10375="Reformer"),IF(COUNTIFS($D:$D,$D10375,$A:$A,$A10375,$B:$B,$B10375,$G:$G,"CDU",$J:$J,"PLANNED")&gt;0,"tied","standalone"),"")</f>
        <v/>
      </c>
    </row>
    <row r="10376" spans="6:14">
      <c r="F10376" s="6">
        <f>IF($M10376="PADD I","PADD 1",IF($M10376="PADD II","PADD 2",IF($M10376="PADD III","PADD 3",IF($M10376="PADD IV","PADD 4",IF($M10376="PADD V","PADD 5","")))))</f>
        <v/>
      </c>
      <c r="G10376" s="6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  <c r="N10376" s="6">
        <f>IF(OR($G10376="FCC",$G10376="Hydrocracker",$G10376="Reformer"),IF(COUNTIFS($D:$D,$D10376,$A:$A,$A10376,$B:$B,$B10376,$G:$G,"CDU",$J:$J,"PLANNED")&gt;0,"tied","standalone"),"")</f>
        <v/>
      </c>
    </row>
    <row r="10377" spans="6:14">
      <c r="F10377" s="6">
        <f>IF($M10377="PADD I","PADD 1",IF($M10377="PADD II","PADD 2",IF($M10377="PADD III","PADD 3",IF($M10377="PADD IV","PADD 4",IF($M10377="PADD V","PADD 5","")))))</f>
        <v/>
      </c>
      <c r="G10377" s="6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  <c r="N10377" s="6">
        <f>IF(OR($G10377="FCC",$G10377="Hydrocracker",$G10377="Reformer"),IF(COUNTIFS($D:$D,$D10377,$A:$A,$A10377,$B:$B,$B10377,$G:$G,"CDU",$J:$J,"PLANNED")&gt;0,"tied","standalone"),"")</f>
        <v/>
      </c>
    </row>
    <row r="10378" spans="6:14">
      <c r="F10378" s="6">
        <f>IF($M10378="PADD I","PADD 1",IF($M10378="PADD II","PADD 2",IF($M10378="PADD III","PADD 3",IF($M10378="PADD IV","PADD 4",IF($M10378="PADD V","PADD 5","")))))</f>
        <v/>
      </c>
      <c r="G10378" s="6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  <c r="N10378" s="6">
        <f>IF(OR($G10378="FCC",$G10378="Hydrocracker",$G10378="Reformer"),IF(COUNTIFS($D:$D,$D10378,$A:$A,$A10378,$B:$B,$B10378,$G:$G,"CDU",$J:$J,"PLANNED")&gt;0,"tied","standalone"),"")</f>
        <v/>
      </c>
    </row>
    <row r="10379" spans="6:14">
      <c r="F10379" s="6">
        <f>IF($M10379="PADD I","PADD 1",IF($M10379="PADD II","PADD 2",IF($M10379="PADD III","PADD 3",IF($M10379="PADD IV","PADD 4",IF($M10379="PADD V","PADD 5","")))))</f>
        <v/>
      </c>
      <c r="G10379" s="6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  <c r="N10379" s="6">
        <f>IF(OR($G10379="FCC",$G10379="Hydrocracker",$G10379="Reformer"),IF(COUNTIFS($D:$D,$D10379,$A:$A,$A10379,$B:$B,$B10379,$G:$G,"CDU",$J:$J,"PLANNED")&gt;0,"tied","standalone"),"")</f>
        <v/>
      </c>
    </row>
    <row r="10380" spans="6:14">
      <c r="F10380" s="6">
        <f>IF($M10380="PADD I","PADD 1",IF($M10380="PADD II","PADD 2",IF($M10380="PADD III","PADD 3",IF($M10380="PADD IV","PADD 4",IF($M10380="PADD V","PADD 5","")))))</f>
        <v/>
      </c>
      <c r="G10380" s="6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  <c r="N10380" s="6">
        <f>IF(OR($G10380="FCC",$G10380="Hydrocracker",$G10380="Reformer"),IF(COUNTIFS($D:$D,$D10380,$A:$A,$A10380,$B:$B,$B10380,$G:$G,"CDU",$J:$J,"PLANNED")&gt;0,"tied","standalone"),"")</f>
        <v/>
      </c>
    </row>
    <row r="10381" spans="6:14">
      <c r="F10381" s="6">
        <f>IF($M10381="PADD I","PADD 1",IF($M10381="PADD II","PADD 2",IF($M10381="PADD III","PADD 3",IF($M10381="PADD IV","PADD 4",IF($M10381="PADD V","PADD 5","")))))</f>
        <v/>
      </c>
      <c r="G10381" s="6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  <c r="N10381" s="6">
        <f>IF(OR($G10381="FCC",$G10381="Hydrocracker",$G10381="Reformer"),IF(COUNTIFS($D:$D,$D10381,$A:$A,$A10381,$B:$B,$B10381,$G:$G,"CDU",$J:$J,"PLANNED")&gt;0,"tied","standalone"),"")</f>
        <v/>
      </c>
    </row>
    <row r="10382" spans="6:14">
      <c r="F10382" s="6">
        <f>IF($M10382="PADD I","PADD 1",IF($M10382="PADD II","PADD 2",IF($M10382="PADD III","PADD 3",IF($M10382="PADD IV","PADD 4",IF($M10382="PADD V","PADD 5","")))))</f>
        <v/>
      </c>
      <c r="G10382" s="6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  <c r="N10382" s="6">
        <f>IF(OR($G10382="FCC",$G10382="Hydrocracker",$G10382="Reformer"),IF(COUNTIFS($D:$D,$D10382,$A:$A,$A10382,$B:$B,$B10382,$G:$G,"CDU",$J:$J,"PLANNED")&gt;0,"tied","standalone"),"")</f>
        <v/>
      </c>
    </row>
    <row r="10383" spans="6:14">
      <c r="F10383" s="6">
        <f>IF($M10383="PADD I","PADD 1",IF($M10383="PADD II","PADD 2",IF($M10383="PADD III","PADD 3",IF($M10383="PADD IV","PADD 4",IF($M10383="PADD V","PADD 5","")))))</f>
        <v/>
      </c>
      <c r="G10383" s="6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  <c r="N10383" s="6">
        <f>IF(OR($G10383="FCC",$G10383="Hydrocracker",$G10383="Reformer"),IF(COUNTIFS($D:$D,$D10383,$A:$A,$A10383,$B:$B,$B10383,$G:$G,"CDU",$J:$J,"PLANNED")&gt;0,"tied","standalone"),"")</f>
        <v/>
      </c>
    </row>
    <row r="10384" spans="6:14">
      <c r="F10384" s="6">
        <f>IF($M10384="PADD I","PADD 1",IF($M10384="PADD II","PADD 2",IF($M10384="PADD III","PADD 3",IF($M10384="PADD IV","PADD 4",IF($M10384="PADD V","PADD 5","")))))</f>
        <v/>
      </c>
      <c r="G10384" s="6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  <c r="N10384" s="6">
        <f>IF(OR($G10384="FCC",$G10384="Hydrocracker",$G10384="Reformer"),IF(COUNTIFS($D:$D,$D10384,$A:$A,$A10384,$B:$B,$B10384,$G:$G,"CDU",$J:$J,"PLANNED")&gt;0,"tied","standalone"),"")</f>
        <v/>
      </c>
    </row>
    <row r="10385" spans="6:14">
      <c r="F10385" s="6">
        <f>IF($M10385="PADD I","PADD 1",IF($M10385="PADD II","PADD 2",IF($M10385="PADD III","PADD 3",IF($M10385="PADD IV","PADD 4",IF($M10385="PADD V","PADD 5","")))))</f>
        <v/>
      </c>
      <c r="G10385" s="6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  <c r="N10385" s="6">
        <f>IF(OR($G10385="FCC",$G10385="Hydrocracker",$G10385="Reformer"),IF(COUNTIFS($D:$D,$D10385,$A:$A,$A10385,$B:$B,$B10385,$G:$G,"CDU",$J:$J,"PLANNED")&gt;0,"tied","standalone"),"")</f>
        <v/>
      </c>
    </row>
    <row r="10386" spans="6:14">
      <c r="F10386" s="6">
        <f>IF($M10386="PADD I","PADD 1",IF($M10386="PADD II","PADD 2",IF($M10386="PADD III","PADD 3",IF($M10386="PADD IV","PADD 4",IF($M10386="PADD V","PADD 5","")))))</f>
        <v/>
      </c>
      <c r="G10386" s="6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  <c r="N10386" s="6">
        <f>IF(OR($G10386="FCC",$G10386="Hydrocracker",$G10386="Reformer"),IF(COUNTIFS($D:$D,$D10386,$A:$A,$A10386,$B:$B,$B10386,$G:$G,"CDU",$J:$J,"PLANNED")&gt;0,"tied","standalone"),"")</f>
        <v/>
      </c>
    </row>
    <row r="10387" spans="6:14">
      <c r="F10387" s="6">
        <f>IF($M10387="PADD I","PADD 1",IF($M10387="PADD II","PADD 2",IF($M10387="PADD III","PADD 3",IF($M10387="PADD IV","PADD 4",IF($M10387="PADD V","PADD 5","")))))</f>
        <v/>
      </c>
      <c r="G10387" s="6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  <c r="N10387" s="6">
        <f>IF(OR($G10387="FCC",$G10387="Hydrocracker",$G10387="Reformer"),IF(COUNTIFS($D:$D,$D10387,$A:$A,$A10387,$B:$B,$B10387,$G:$G,"CDU",$J:$J,"PLANNED")&gt;0,"tied","standalone"),"")</f>
        <v/>
      </c>
    </row>
    <row r="10388" spans="6:14">
      <c r="F10388" s="6">
        <f>IF($M10388="PADD I","PADD 1",IF($M10388="PADD II","PADD 2",IF($M10388="PADD III","PADD 3",IF($M10388="PADD IV","PADD 4",IF($M10388="PADD V","PADD 5","")))))</f>
        <v/>
      </c>
      <c r="G10388" s="6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  <c r="N10388" s="6">
        <f>IF(OR($G10388="FCC",$G10388="Hydrocracker",$G10388="Reformer"),IF(COUNTIFS($D:$D,$D10388,$A:$A,$A10388,$B:$B,$B10388,$G:$G,"CDU",$J:$J,"PLANNED")&gt;0,"tied","standalone"),"")</f>
        <v/>
      </c>
    </row>
    <row r="10389" spans="6:14">
      <c r="F10389" s="6">
        <f>IF($M10389="PADD I","PADD 1",IF($M10389="PADD II","PADD 2",IF($M10389="PADD III","PADD 3",IF($M10389="PADD IV","PADD 4",IF($M10389="PADD V","PADD 5","")))))</f>
        <v/>
      </c>
      <c r="G10389" s="6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  <c r="N10389" s="6">
        <f>IF(OR($G10389="FCC",$G10389="Hydrocracker",$G10389="Reformer"),IF(COUNTIFS($D:$D,$D10389,$A:$A,$A10389,$B:$B,$B10389,$G:$G,"CDU",$J:$J,"PLANNED")&gt;0,"tied","standalone"),"")</f>
        <v/>
      </c>
    </row>
    <row r="10390" spans="6:14">
      <c r="F10390" s="6">
        <f>IF($M10390="PADD I","PADD 1",IF($M10390="PADD II","PADD 2",IF($M10390="PADD III","PADD 3",IF($M10390="PADD IV","PADD 4",IF($M10390="PADD V","PADD 5","")))))</f>
        <v/>
      </c>
      <c r="G10390" s="6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  <c r="N10390" s="6">
        <f>IF(OR($G10390="FCC",$G10390="Hydrocracker",$G10390="Reformer"),IF(COUNTIFS($D:$D,$D10390,$A:$A,$A10390,$B:$B,$B10390,$G:$G,"CDU",$J:$J,"PLANNED")&gt;0,"tied","standalone"),"")</f>
        <v/>
      </c>
    </row>
    <row r="10391" spans="6:14">
      <c r="F10391" s="6">
        <f>IF($M10391="PADD I","PADD 1",IF($M10391="PADD II","PADD 2",IF($M10391="PADD III","PADD 3",IF($M10391="PADD IV","PADD 4",IF($M10391="PADD V","PADD 5","")))))</f>
        <v/>
      </c>
      <c r="G10391" s="6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  <c r="N10391" s="6">
        <f>IF(OR($G10391="FCC",$G10391="Hydrocracker",$G10391="Reformer"),IF(COUNTIFS($D:$D,$D10391,$A:$A,$A10391,$B:$B,$B10391,$G:$G,"CDU",$J:$J,"PLANNED")&gt;0,"tied","standalone"),"")</f>
        <v/>
      </c>
    </row>
    <row r="10392" spans="6:14">
      <c r="F10392" s="6">
        <f>IF($M10392="PADD I","PADD 1",IF($M10392="PADD II","PADD 2",IF($M10392="PADD III","PADD 3",IF($M10392="PADD IV","PADD 4",IF($M10392="PADD V","PADD 5","")))))</f>
        <v/>
      </c>
      <c r="G10392" s="6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  <c r="N10392" s="6">
        <f>IF(OR($G10392="FCC",$G10392="Hydrocracker",$G10392="Reformer"),IF(COUNTIFS($D:$D,$D10392,$A:$A,$A10392,$B:$B,$B10392,$G:$G,"CDU",$J:$J,"PLANNED")&gt;0,"tied","standalone"),"")</f>
        <v/>
      </c>
    </row>
    <row r="10393" spans="6:14">
      <c r="F10393" s="6">
        <f>IF($M10393="PADD I","PADD 1",IF($M10393="PADD II","PADD 2",IF($M10393="PADD III","PADD 3",IF($M10393="PADD IV","PADD 4",IF($M10393="PADD V","PADD 5","")))))</f>
        <v/>
      </c>
      <c r="G10393" s="6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  <c r="N10393" s="6">
        <f>IF(OR($G10393="FCC",$G10393="Hydrocracker",$G10393="Reformer"),IF(COUNTIFS($D:$D,$D10393,$A:$A,$A10393,$B:$B,$B10393,$G:$G,"CDU",$J:$J,"PLANNED")&gt;0,"tied","standalone"),"")</f>
        <v/>
      </c>
    </row>
    <row r="10394" spans="6:14">
      <c r="F10394" s="6">
        <f>IF($M10394="PADD I","PADD 1",IF($M10394="PADD II","PADD 2",IF($M10394="PADD III","PADD 3",IF($M10394="PADD IV","PADD 4",IF($M10394="PADD V","PADD 5","")))))</f>
        <v/>
      </c>
      <c r="G10394" s="6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  <c r="N10394" s="6">
        <f>IF(OR($G10394="FCC",$G10394="Hydrocracker",$G10394="Reformer"),IF(COUNTIFS($D:$D,$D10394,$A:$A,$A10394,$B:$B,$B10394,$G:$G,"CDU",$J:$J,"PLANNED")&gt;0,"tied","standalone"),"")</f>
        <v/>
      </c>
    </row>
    <row r="10395" spans="6:14">
      <c r="F10395" s="6">
        <f>IF($M10395="PADD I","PADD 1",IF($M10395="PADD II","PADD 2",IF($M10395="PADD III","PADD 3",IF($M10395="PADD IV","PADD 4",IF($M10395="PADD V","PADD 5","")))))</f>
        <v/>
      </c>
      <c r="G10395" s="6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  <c r="N10395" s="6">
        <f>IF(OR($G10395="FCC",$G10395="Hydrocracker",$G10395="Reformer"),IF(COUNTIFS($D:$D,$D10395,$A:$A,$A10395,$B:$B,$B10395,$G:$G,"CDU",$J:$J,"PLANNED")&gt;0,"tied","standalone"),"")</f>
        <v/>
      </c>
    </row>
    <row r="10396" spans="6:14">
      <c r="F10396" s="6">
        <f>IF($M10396="PADD I","PADD 1",IF($M10396="PADD II","PADD 2",IF($M10396="PADD III","PADD 3",IF($M10396="PADD IV","PADD 4",IF($M10396="PADD V","PADD 5","")))))</f>
        <v/>
      </c>
      <c r="G10396" s="6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  <c r="N10396" s="6">
        <f>IF(OR($G10396="FCC",$G10396="Hydrocracker",$G10396="Reformer"),IF(COUNTIFS($D:$D,$D10396,$A:$A,$A10396,$B:$B,$B10396,$G:$G,"CDU",$J:$J,"PLANNED")&gt;0,"tied","standalone"),"")</f>
        <v/>
      </c>
    </row>
    <row r="10397" spans="6:14">
      <c r="F10397" s="6">
        <f>IF($M10397="PADD I","PADD 1",IF($M10397="PADD II","PADD 2",IF($M10397="PADD III","PADD 3",IF($M10397="PADD IV","PADD 4",IF($M10397="PADD V","PADD 5","")))))</f>
        <v/>
      </c>
      <c r="G10397" s="6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  <c r="N10397" s="6">
        <f>IF(OR($G10397="FCC",$G10397="Hydrocracker",$G10397="Reformer"),IF(COUNTIFS($D:$D,$D10397,$A:$A,$A10397,$B:$B,$B10397,$G:$G,"CDU",$J:$J,"PLANNED")&gt;0,"tied","standalone"),"")</f>
        <v/>
      </c>
    </row>
    <row r="10398" spans="6:14">
      <c r="F10398" s="6">
        <f>IF($M10398="PADD I","PADD 1",IF($M10398="PADD II","PADD 2",IF($M10398="PADD III","PADD 3",IF($M10398="PADD IV","PADD 4",IF($M10398="PADD V","PADD 5","")))))</f>
        <v/>
      </c>
      <c r="G10398" s="6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  <c r="N10398" s="6">
        <f>IF(OR($G10398="FCC",$G10398="Hydrocracker",$G10398="Reformer"),IF(COUNTIFS($D:$D,$D10398,$A:$A,$A10398,$B:$B,$B10398,$G:$G,"CDU",$J:$J,"PLANNED")&gt;0,"tied","standalone"),"")</f>
        <v/>
      </c>
    </row>
    <row r="10399" spans="6:14">
      <c r="F10399" s="6">
        <f>IF($M10399="PADD I","PADD 1",IF($M10399="PADD II","PADD 2",IF($M10399="PADD III","PADD 3",IF($M10399="PADD IV","PADD 4",IF($M10399="PADD V","PADD 5","")))))</f>
        <v/>
      </c>
      <c r="G10399" s="6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  <c r="N10399" s="6">
        <f>IF(OR($G10399="FCC",$G10399="Hydrocracker",$G10399="Reformer"),IF(COUNTIFS($D:$D,$D10399,$A:$A,$A10399,$B:$B,$B10399,$G:$G,"CDU",$J:$J,"PLANNED")&gt;0,"tied","standalone"),"")</f>
        <v/>
      </c>
    </row>
    <row r="10400" spans="6:14">
      <c r="F10400" s="6">
        <f>IF($M10400="PADD I","PADD 1",IF($M10400="PADD II","PADD 2",IF($M10400="PADD III","PADD 3",IF($M10400="PADD IV","PADD 4",IF($M10400="PADD V","PADD 5","")))))</f>
        <v/>
      </c>
      <c r="G10400" s="6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  <c r="N10400" s="6">
        <f>IF(OR($G10400="FCC",$G10400="Hydrocracker",$G10400="Reformer"),IF(COUNTIFS($D:$D,$D10400,$A:$A,$A10400,$B:$B,$B10400,$G:$G,"CDU",$J:$J,"PLANNED")&gt;0,"tied","standalone"),"")</f>
        <v/>
      </c>
    </row>
    <row r="10401" spans="6:14">
      <c r="F10401" s="6">
        <f>IF($M10401="PADD I","PADD 1",IF($M10401="PADD II","PADD 2",IF($M10401="PADD III","PADD 3",IF($M10401="PADD IV","PADD 4",IF($M10401="PADD V","PADD 5","")))))</f>
        <v/>
      </c>
      <c r="G10401" s="6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  <c r="N10401" s="6">
        <f>IF(OR($G10401="FCC",$G10401="Hydrocracker",$G10401="Reformer"),IF(COUNTIFS($D:$D,$D10401,$A:$A,$A10401,$B:$B,$B10401,$G:$G,"CDU",$J:$J,"PLANNED")&gt;0,"tied","standalone"),"")</f>
        <v/>
      </c>
    </row>
    <row r="10402" spans="6:14">
      <c r="F10402" s="6">
        <f>IF($M10402="PADD I","PADD 1",IF($M10402="PADD II","PADD 2",IF($M10402="PADD III","PADD 3",IF($M10402="PADD IV","PADD 4",IF($M10402="PADD V","PADD 5","")))))</f>
        <v/>
      </c>
      <c r="G10402" s="6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  <c r="N10402" s="6">
        <f>IF(OR($G10402="FCC",$G10402="Hydrocracker",$G10402="Reformer"),IF(COUNTIFS($D:$D,$D10402,$A:$A,$A10402,$B:$B,$B10402,$G:$G,"CDU",$J:$J,"PLANNED")&gt;0,"tied","standalone"),"")</f>
        <v/>
      </c>
    </row>
    <row r="10403" spans="6:14">
      <c r="F10403" s="6">
        <f>IF($M10403="PADD I","PADD 1",IF($M10403="PADD II","PADD 2",IF($M10403="PADD III","PADD 3",IF($M10403="PADD IV","PADD 4",IF($M10403="PADD V","PADD 5","")))))</f>
        <v/>
      </c>
      <c r="G10403" s="6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  <c r="N10403" s="6">
        <f>IF(OR($G10403="FCC",$G10403="Hydrocracker",$G10403="Reformer"),IF(COUNTIFS($D:$D,$D10403,$A:$A,$A10403,$B:$B,$B10403,$G:$G,"CDU",$J:$J,"PLANNED")&gt;0,"tied","standalone"),"")</f>
        <v/>
      </c>
    </row>
    <row r="10404" spans="6:14">
      <c r="F10404" s="6">
        <f>IF($M10404="PADD I","PADD 1",IF($M10404="PADD II","PADD 2",IF($M10404="PADD III","PADD 3",IF($M10404="PADD IV","PADD 4",IF($M10404="PADD V","PADD 5","")))))</f>
        <v/>
      </c>
      <c r="G10404" s="6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  <c r="N10404" s="6">
        <f>IF(OR($G10404="FCC",$G10404="Hydrocracker",$G10404="Reformer"),IF(COUNTIFS($D:$D,$D10404,$A:$A,$A10404,$B:$B,$B10404,$G:$G,"CDU",$J:$J,"PLANNED")&gt;0,"tied","standalone"),"")</f>
        <v/>
      </c>
    </row>
    <row r="10405" spans="6:14">
      <c r="F10405" s="6">
        <f>IF($M10405="PADD I","PADD 1",IF($M10405="PADD II","PADD 2",IF($M10405="PADD III","PADD 3",IF($M10405="PADD IV","PADD 4",IF($M10405="PADD V","PADD 5","")))))</f>
        <v/>
      </c>
      <c r="G10405" s="6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  <c r="N10405" s="6">
        <f>IF(OR($G10405="FCC",$G10405="Hydrocracker",$G10405="Reformer"),IF(COUNTIFS($D:$D,$D10405,$A:$A,$A10405,$B:$B,$B10405,$G:$G,"CDU",$J:$J,"PLANNED")&gt;0,"tied","standalone"),"")</f>
        <v/>
      </c>
    </row>
    <row r="10406" spans="6:14">
      <c r="F10406" s="6">
        <f>IF($M10406="PADD I","PADD 1",IF($M10406="PADD II","PADD 2",IF($M10406="PADD III","PADD 3",IF($M10406="PADD IV","PADD 4",IF($M10406="PADD V","PADD 5","")))))</f>
        <v/>
      </c>
      <c r="G10406" s="6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  <c r="N10406" s="6">
        <f>IF(OR($G10406="FCC",$G10406="Hydrocracker",$G10406="Reformer"),IF(COUNTIFS($D:$D,$D10406,$A:$A,$A10406,$B:$B,$B10406,$G:$G,"CDU",$J:$J,"PLANNED")&gt;0,"tied","standalone"),"")</f>
        <v/>
      </c>
    </row>
    <row r="10407" spans="6:14">
      <c r="F10407" s="6">
        <f>IF($M10407="PADD I","PADD 1",IF($M10407="PADD II","PADD 2",IF($M10407="PADD III","PADD 3",IF($M10407="PADD IV","PADD 4",IF($M10407="PADD V","PADD 5","")))))</f>
        <v/>
      </c>
      <c r="G10407" s="6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  <c r="N10407" s="6">
        <f>IF(OR($G10407="FCC",$G10407="Hydrocracker",$G10407="Reformer"),IF(COUNTIFS($D:$D,$D10407,$A:$A,$A10407,$B:$B,$B10407,$G:$G,"CDU",$J:$J,"PLANNED")&gt;0,"tied","standalone"),"")</f>
        <v/>
      </c>
    </row>
    <row r="10408" spans="6:14">
      <c r="F10408" s="6">
        <f>IF($M10408="PADD I","PADD 1",IF($M10408="PADD II","PADD 2",IF($M10408="PADD III","PADD 3",IF($M10408="PADD IV","PADD 4",IF($M10408="PADD V","PADD 5","")))))</f>
        <v/>
      </c>
      <c r="G10408" s="6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  <c r="N10408" s="6">
        <f>IF(OR($G10408="FCC",$G10408="Hydrocracker",$G10408="Reformer"),IF(COUNTIFS($D:$D,$D10408,$A:$A,$A10408,$B:$B,$B10408,$G:$G,"CDU",$J:$J,"PLANNED")&gt;0,"tied","standalone"),"")</f>
        <v/>
      </c>
    </row>
    <row r="10409" spans="6:14">
      <c r="F10409" s="6">
        <f>IF($M10409="PADD I","PADD 1",IF($M10409="PADD II","PADD 2",IF($M10409="PADD III","PADD 3",IF($M10409="PADD IV","PADD 4",IF($M10409="PADD V","PADD 5","")))))</f>
        <v/>
      </c>
      <c r="G10409" s="6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  <c r="N10409" s="6">
        <f>IF(OR($G10409="FCC",$G10409="Hydrocracker",$G10409="Reformer"),IF(COUNTIFS($D:$D,$D10409,$A:$A,$A10409,$B:$B,$B10409,$G:$G,"CDU",$J:$J,"PLANNED")&gt;0,"tied","standalone"),"")</f>
        <v/>
      </c>
    </row>
    <row r="10410" spans="6:14">
      <c r="F10410" s="6">
        <f>IF($M10410="PADD I","PADD 1",IF($M10410="PADD II","PADD 2",IF($M10410="PADD III","PADD 3",IF($M10410="PADD IV","PADD 4",IF($M10410="PADD V","PADD 5","")))))</f>
        <v/>
      </c>
      <c r="G10410" s="6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  <c r="N10410" s="6">
        <f>IF(OR($G10410="FCC",$G10410="Hydrocracker",$G10410="Reformer"),IF(COUNTIFS($D:$D,$D10410,$A:$A,$A10410,$B:$B,$B10410,$G:$G,"CDU",$J:$J,"PLANNED")&gt;0,"tied","standalone"),"")</f>
        <v/>
      </c>
    </row>
    <row r="10411" spans="6:14">
      <c r="F10411" s="6">
        <f>IF($M10411="PADD I","PADD 1",IF($M10411="PADD II","PADD 2",IF($M10411="PADD III","PADD 3",IF($M10411="PADD IV","PADD 4",IF($M10411="PADD V","PADD 5","")))))</f>
        <v/>
      </c>
      <c r="G10411" s="6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  <c r="N10411" s="6">
        <f>IF(OR($G10411="FCC",$G10411="Hydrocracker",$G10411="Reformer"),IF(COUNTIFS($D:$D,$D10411,$A:$A,$A10411,$B:$B,$B10411,$G:$G,"CDU",$J:$J,"PLANNED")&gt;0,"tied","standalone"),"")</f>
        <v/>
      </c>
    </row>
    <row r="10412" spans="6:14">
      <c r="F10412" s="6">
        <f>IF($M10412="PADD I","PADD 1",IF($M10412="PADD II","PADD 2",IF($M10412="PADD III","PADD 3",IF($M10412="PADD IV","PADD 4",IF($M10412="PADD V","PADD 5","")))))</f>
        <v/>
      </c>
      <c r="G10412" s="6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  <c r="N10412" s="6">
        <f>IF(OR($G10412="FCC",$G10412="Hydrocracker",$G10412="Reformer"),IF(COUNTIFS($D:$D,$D10412,$A:$A,$A10412,$B:$B,$B10412,$G:$G,"CDU",$J:$J,"PLANNED")&gt;0,"tied","standalone"),"")</f>
        <v/>
      </c>
    </row>
    <row r="10413" spans="6:14">
      <c r="F10413" s="6">
        <f>IF($M10413="PADD I","PADD 1",IF($M10413="PADD II","PADD 2",IF($M10413="PADD III","PADD 3",IF($M10413="PADD IV","PADD 4",IF($M10413="PADD V","PADD 5","")))))</f>
        <v/>
      </c>
      <c r="G10413" s="6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  <c r="N10413" s="6">
        <f>IF(OR($G10413="FCC",$G10413="Hydrocracker",$G10413="Reformer"),IF(COUNTIFS($D:$D,$D10413,$A:$A,$A10413,$B:$B,$B10413,$G:$G,"CDU",$J:$J,"PLANNED")&gt;0,"tied","standalone"),"")</f>
        <v/>
      </c>
    </row>
    <row r="10414" spans="6:14">
      <c r="F10414" s="6">
        <f>IF($M10414="PADD I","PADD 1",IF($M10414="PADD II","PADD 2",IF($M10414="PADD III","PADD 3",IF($M10414="PADD IV","PADD 4",IF($M10414="PADD V","PADD 5","")))))</f>
        <v/>
      </c>
      <c r="G10414" s="6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  <c r="N10414" s="6">
        <f>IF(OR($G10414="FCC",$G10414="Hydrocracker",$G10414="Reformer"),IF(COUNTIFS($D:$D,$D10414,$A:$A,$A10414,$B:$B,$B10414,$G:$G,"CDU",$J:$J,"PLANNED")&gt;0,"tied","standalone"),"")</f>
        <v/>
      </c>
    </row>
    <row r="10415" spans="6:14">
      <c r="F10415" s="6">
        <f>IF($M10415="PADD I","PADD 1",IF($M10415="PADD II","PADD 2",IF($M10415="PADD III","PADD 3",IF($M10415="PADD IV","PADD 4",IF($M10415="PADD V","PADD 5","")))))</f>
        <v/>
      </c>
      <c r="G10415" s="6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  <c r="N10415" s="6">
        <f>IF(OR($G10415="FCC",$G10415="Hydrocracker",$G10415="Reformer"),IF(COUNTIFS($D:$D,$D10415,$A:$A,$A10415,$B:$B,$B10415,$G:$G,"CDU",$J:$J,"PLANNED")&gt;0,"tied","standalone"),"")</f>
        <v/>
      </c>
    </row>
    <row r="10416" spans="6:14">
      <c r="F10416" s="6">
        <f>IF($M10416="PADD I","PADD 1",IF($M10416="PADD II","PADD 2",IF($M10416="PADD III","PADD 3",IF($M10416="PADD IV","PADD 4",IF($M10416="PADD V","PADD 5","")))))</f>
        <v/>
      </c>
      <c r="G10416" s="6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  <c r="N10416" s="6">
        <f>IF(OR($G10416="FCC",$G10416="Hydrocracker",$G10416="Reformer"),IF(COUNTIFS($D:$D,$D10416,$A:$A,$A10416,$B:$B,$B10416,$G:$G,"CDU",$J:$J,"PLANNED")&gt;0,"tied","standalone"),"")</f>
        <v/>
      </c>
    </row>
    <row r="10417" spans="6:14">
      <c r="F10417" s="6">
        <f>IF($M10417="PADD I","PADD 1",IF($M10417="PADD II","PADD 2",IF($M10417="PADD III","PADD 3",IF($M10417="PADD IV","PADD 4",IF($M10417="PADD V","PADD 5","")))))</f>
        <v/>
      </c>
      <c r="G10417" s="6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  <c r="N10417" s="6">
        <f>IF(OR($G10417="FCC",$G10417="Hydrocracker",$G10417="Reformer"),IF(COUNTIFS($D:$D,$D10417,$A:$A,$A10417,$B:$B,$B10417,$G:$G,"CDU",$J:$J,"PLANNED")&gt;0,"tied","standalone"),"")</f>
        <v/>
      </c>
    </row>
    <row r="10418" spans="6:14">
      <c r="F10418" s="6">
        <f>IF($M10418="PADD I","PADD 1",IF($M10418="PADD II","PADD 2",IF($M10418="PADD III","PADD 3",IF($M10418="PADD IV","PADD 4",IF($M10418="PADD V","PADD 5","")))))</f>
        <v/>
      </c>
      <c r="G10418" s="6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  <c r="N10418" s="6">
        <f>IF(OR($G10418="FCC",$G10418="Hydrocracker",$G10418="Reformer"),IF(COUNTIFS($D:$D,$D10418,$A:$A,$A10418,$B:$B,$B10418,$G:$G,"CDU",$J:$J,"PLANNED")&gt;0,"tied","standalone"),"")</f>
        <v/>
      </c>
    </row>
    <row r="10419" spans="6:14">
      <c r="F10419" s="6">
        <f>IF($M10419="PADD I","PADD 1",IF($M10419="PADD II","PADD 2",IF($M10419="PADD III","PADD 3",IF($M10419="PADD IV","PADD 4",IF($M10419="PADD V","PADD 5","")))))</f>
        <v/>
      </c>
      <c r="G10419" s="6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  <c r="N10419" s="6">
        <f>IF(OR($G10419="FCC",$G10419="Hydrocracker",$G10419="Reformer"),IF(COUNTIFS($D:$D,$D10419,$A:$A,$A10419,$B:$B,$B10419,$G:$G,"CDU",$J:$J,"PLANNED")&gt;0,"tied","standalone"),"")</f>
        <v/>
      </c>
    </row>
    <row r="10420" spans="6:14">
      <c r="F10420" s="6">
        <f>IF($M10420="PADD I","PADD 1",IF($M10420="PADD II","PADD 2",IF($M10420="PADD III","PADD 3",IF($M10420="PADD IV","PADD 4",IF($M10420="PADD V","PADD 5","")))))</f>
        <v/>
      </c>
      <c r="G10420" s="6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  <c r="N10420" s="6">
        <f>IF(OR($G10420="FCC",$G10420="Hydrocracker",$G10420="Reformer"),IF(COUNTIFS($D:$D,$D10420,$A:$A,$A10420,$B:$B,$B10420,$G:$G,"CDU",$J:$J,"PLANNED")&gt;0,"tied","standalone"),"")</f>
        <v/>
      </c>
    </row>
    <row r="10421" spans="6:14">
      <c r="F10421" s="6">
        <f>IF($M10421="PADD I","PADD 1",IF($M10421="PADD II","PADD 2",IF($M10421="PADD III","PADD 3",IF($M10421="PADD IV","PADD 4",IF($M10421="PADD V","PADD 5","")))))</f>
        <v/>
      </c>
      <c r="G10421" s="6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  <c r="N10421" s="6">
        <f>IF(OR($G10421="FCC",$G10421="Hydrocracker",$G10421="Reformer"),IF(COUNTIFS($D:$D,$D10421,$A:$A,$A10421,$B:$B,$B10421,$G:$G,"CDU",$J:$J,"PLANNED")&gt;0,"tied","standalone"),"")</f>
        <v/>
      </c>
    </row>
    <row r="10422" spans="6:14">
      <c r="F10422" s="6">
        <f>IF($M10422="PADD I","PADD 1",IF($M10422="PADD II","PADD 2",IF($M10422="PADD III","PADD 3",IF($M10422="PADD IV","PADD 4",IF($M10422="PADD V","PADD 5","")))))</f>
        <v/>
      </c>
      <c r="G10422" s="6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  <c r="N10422" s="6">
        <f>IF(OR($G10422="FCC",$G10422="Hydrocracker",$G10422="Reformer"),IF(COUNTIFS($D:$D,$D10422,$A:$A,$A10422,$B:$B,$B10422,$G:$G,"CDU",$J:$J,"PLANNED")&gt;0,"tied","standalone"),"")</f>
        <v/>
      </c>
    </row>
    <row r="10423" spans="6:14">
      <c r="F10423" s="6">
        <f>IF($M10423="PADD I","PADD 1",IF($M10423="PADD II","PADD 2",IF($M10423="PADD III","PADD 3",IF($M10423="PADD IV","PADD 4",IF($M10423="PADD V","PADD 5","")))))</f>
        <v/>
      </c>
      <c r="G10423" s="6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  <c r="N10423" s="6">
        <f>IF(OR($G10423="FCC",$G10423="Hydrocracker",$G10423="Reformer"),IF(COUNTIFS($D:$D,$D10423,$A:$A,$A10423,$B:$B,$B10423,$G:$G,"CDU",$J:$J,"PLANNED")&gt;0,"tied","standalone"),"")</f>
        <v/>
      </c>
    </row>
    <row r="10424" spans="6:14">
      <c r="F10424" s="6">
        <f>IF($M10424="PADD I","PADD 1",IF($M10424="PADD II","PADD 2",IF($M10424="PADD III","PADD 3",IF($M10424="PADD IV","PADD 4",IF($M10424="PADD V","PADD 5","")))))</f>
        <v/>
      </c>
      <c r="G10424" s="6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  <c r="N10424" s="6">
        <f>IF(OR($G10424="FCC",$G10424="Hydrocracker",$G10424="Reformer"),IF(COUNTIFS($D:$D,$D10424,$A:$A,$A10424,$B:$B,$B10424,$G:$G,"CDU",$J:$J,"PLANNED")&gt;0,"tied","standalone"),"")</f>
        <v/>
      </c>
    </row>
    <row r="10425" spans="6:14">
      <c r="F10425" s="6">
        <f>IF($M10425="PADD I","PADD 1",IF($M10425="PADD II","PADD 2",IF($M10425="PADD III","PADD 3",IF($M10425="PADD IV","PADD 4",IF($M10425="PADD V","PADD 5","")))))</f>
        <v/>
      </c>
      <c r="G10425" s="6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  <c r="N10425" s="6">
        <f>IF(OR($G10425="FCC",$G10425="Hydrocracker",$G10425="Reformer"),IF(COUNTIFS($D:$D,$D10425,$A:$A,$A10425,$B:$B,$B10425,$G:$G,"CDU",$J:$J,"PLANNED")&gt;0,"tied","standalone"),"")</f>
        <v/>
      </c>
    </row>
    <row r="10426" spans="6:14">
      <c r="F10426" s="6">
        <f>IF($M10426="PADD I","PADD 1",IF($M10426="PADD II","PADD 2",IF($M10426="PADD III","PADD 3",IF($M10426="PADD IV","PADD 4",IF($M10426="PADD V","PADD 5","")))))</f>
        <v/>
      </c>
      <c r="G10426" s="6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  <c r="N10426" s="6">
        <f>IF(OR($G10426="FCC",$G10426="Hydrocracker",$G10426="Reformer"),IF(COUNTIFS($D:$D,$D10426,$A:$A,$A10426,$B:$B,$B10426,$G:$G,"CDU",$J:$J,"PLANNED")&gt;0,"tied","standalone"),"")</f>
        <v/>
      </c>
    </row>
    <row r="10427" spans="6:14">
      <c r="F10427" s="6">
        <f>IF($M10427="PADD I","PADD 1",IF($M10427="PADD II","PADD 2",IF($M10427="PADD III","PADD 3",IF($M10427="PADD IV","PADD 4",IF($M10427="PADD V","PADD 5","")))))</f>
        <v/>
      </c>
      <c r="G10427" s="6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  <c r="N10427" s="6">
        <f>IF(OR($G10427="FCC",$G10427="Hydrocracker",$G10427="Reformer"),IF(COUNTIFS($D:$D,$D10427,$A:$A,$A10427,$B:$B,$B10427,$G:$G,"CDU",$J:$J,"PLANNED")&gt;0,"tied","standalone"),"")</f>
        <v/>
      </c>
    </row>
    <row r="10428" spans="6:14">
      <c r="F10428" s="6">
        <f>IF($M10428="PADD I","PADD 1",IF($M10428="PADD II","PADD 2",IF($M10428="PADD III","PADD 3",IF($M10428="PADD IV","PADD 4",IF($M10428="PADD V","PADD 5","")))))</f>
        <v/>
      </c>
      <c r="G10428" s="6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  <c r="N10428" s="6">
        <f>IF(OR($G10428="FCC",$G10428="Hydrocracker",$G10428="Reformer"),IF(COUNTIFS($D:$D,$D10428,$A:$A,$A10428,$B:$B,$B10428,$G:$G,"CDU",$J:$J,"PLANNED")&gt;0,"tied","standalone"),"")</f>
        <v/>
      </c>
    </row>
    <row r="10429" spans="6:14">
      <c r="F10429" s="6">
        <f>IF($M10429="PADD I","PADD 1",IF($M10429="PADD II","PADD 2",IF($M10429="PADD III","PADD 3",IF($M10429="PADD IV","PADD 4",IF($M10429="PADD V","PADD 5","")))))</f>
        <v/>
      </c>
      <c r="G10429" s="6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  <c r="N10429" s="6">
        <f>IF(OR($G10429="FCC",$G10429="Hydrocracker",$G10429="Reformer"),IF(COUNTIFS($D:$D,$D10429,$A:$A,$A10429,$B:$B,$B10429,$G:$G,"CDU",$J:$J,"PLANNED")&gt;0,"tied","standalone"),"")</f>
        <v/>
      </c>
    </row>
    <row r="10430" spans="6:14">
      <c r="F10430" s="6">
        <f>IF($M10430="PADD I","PADD 1",IF($M10430="PADD II","PADD 2",IF($M10430="PADD III","PADD 3",IF($M10430="PADD IV","PADD 4",IF($M10430="PADD V","PADD 5","")))))</f>
        <v/>
      </c>
      <c r="G10430" s="6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  <c r="N10430" s="6">
        <f>IF(OR($G10430="FCC",$G10430="Hydrocracker",$G10430="Reformer"),IF(COUNTIFS($D:$D,$D10430,$A:$A,$A10430,$B:$B,$B10430,$G:$G,"CDU",$J:$J,"PLANNED")&gt;0,"tied","standalone"),"")</f>
        <v/>
      </c>
    </row>
    <row r="10431" spans="6:14">
      <c r="F10431" s="6">
        <f>IF($M10431="PADD I","PADD 1",IF($M10431="PADD II","PADD 2",IF($M10431="PADD III","PADD 3",IF($M10431="PADD IV","PADD 4",IF($M10431="PADD V","PADD 5","")))))</f>
        <v/>
      </c>
      <c r="G10431" s="6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  <c r="N10431" s="6">
        <f>IF(OR($G10431="FCC",$G10431="Hydrocracker",$G10431="Reformer"),IF(COUNTIFS($D:$D,$D10431,$A:$A,$A10431,$B:$B,$B10431,$G:$G,"CDU",$J:$J,"PLANNED")&gt;0,"tied","standalone"),"")</f>
        <v/>
      </c>
    </row>
    <row r="10432" spans="6:14">
      <c r="F10432" s="6">
        <f>IF($M10432="PADD I","PADD 1",IF($M10432="PADD II","PADD 2",IF($M10432="PADD III","PADD 3",IF($M10432="PADD IV","PADD 4",IF($M10432="PADD V","PADD 5","")))))</f>
        <v/>
      </c>
      <c r="G10432" s="6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  <c r="N10432" s="6">
        <f>IF(OR($G10432="FCC",$G10432="Hydrocracker",$G10432="Reformer"),IF(COUNTIFS($D:$D,$D10432,$A:$A,$A10432,$B:$B,$B10432,$G:$G,"CDU",$J:$J,"PLANNED")&gt;0,"tied","standalone"),"")</f>
        <v/>
      </c>
    </row>
    <row r="10433" spans="6:14">
      <c r="F10433" s="6">
        <f>IF($M10433="PADD I","PADD 1",IF($M10433="PADD II","PADD 2",IF($M10433="PADD III","PADD 3",IF($M10433="PADD IV","PADD 4",IF($M10433="PADD V","PADD 5","")))))</f>
        <v/>
      </c>
      <c r="G10433" s="6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  <c r="N10433" s="6">
        <f>IF(OR($G10433="FCC",$G10433="Hydrocracker",$G10433="Reformer"),IF(COUNTIFS($D:$D,$D10433,$A:$A,$A10433,$B:$B,$B10433,$G:$G,"CDU",$J:$J,"PLANNED")&gt;0,"tied","standalone"),"")</f>
        <v/>
      </c>
    </row>
    <row r="10434" spans="6:14">
      <c r="F10434" s="6">
        <f>IF($M10434="PADD I","PADD 1",IF($M10434="PADD II","PADD 2",IF($M10434="PADD III","PADD 3",IF($M10434="PADD IV","PADD 4",IF($M10434="PADD V","PADD 5","")))))</f>
        <v/>
      </c>
      <c r="G10434" s="6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  <c r="N10434" s="6">
        <f>IF(OR($G10434="FCC",$G10434="Hydrocracker",$G10434="Reformer"),IF(COUNTIFS($D:$D,$D10434,$A:$A,$A10434,$B:$B,$B10434,$G:$G,"CDU",$J:$J,"PLANNED")&gt;0,"tied","standalone"),"")</f>
        <v/>
      </c>
    </row>
    <row r="10435" spans="6:14">
      <c r="F10435" s="6">
        <f>IF($M10435="PADD I","PADD 1",IF($M10435="PADD II","PADD 2",IF($M10435="PADD III","PADD 3",IF($M10435="PADD IV","PADD 4",IF($M10435="PADD V","PADD 5","")))))</f>
        <v/>
      </c>
      <c r="G10435" s="6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  <c r="N10435" s="6">
        <f>IF(OR($G10435="FCC",$G10435="Hydrocracker",$G10435="Reformer"),IF(COUNTIFS($D:$D,$D10435,$A:$A,$A10435,$B:$B,$B10435,$G:$G,"CDU",$J:$J,"PLANNED")&gt;0,"tied","standalone"),"")</f>
        <v/>
      </c>
    </row>
    <row r="10436" spans="6:14">
      <c r="F10436" s="6">
        <f>IF($M10436="PADD I","PADD 1",IF($M10436="PADD II","PADD 2",IF($M10436="PADD III","PADD 3",IF($M10436="PADD IV","PADD 4",IF($M10436="PADD V","PADD 5","")))))</f>
        <v/>
      </c>
      <c r="G10436" s="6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  <c r="N10436" s="6">
        <f>IF(OR($G10436="FCC",$G10436="Hydrocracker",$G10436="Reformer"),IF(COUNTIFS($D:$D,$D10436,$A:$A,$A10436,$B:$B,$B10436,$G:$G,"CDU",$J:$J,"PLANNED")&gt;0,"tied","standalone"),"")</f>
        <v/>
      </c>
    </row>
    <row r="10437" spans="6:14">
      <c r="F10437" s="6">
        <f>IF($M10437="PADD I","PADD 1",IF($M10437="PADD II","PADD 2",IF($M10437="PADD III","PADD 3",IF($M10437="PADD IV","PADD 4",IF($M10437="PADD V","PADD 5","")))))</f>
        <v/>
      </c>
      <c r="G10437" s="6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  <c r="N10437" s="6">
        <f>IF(OR($G10437="FCC",$G10437="Hydrocracker",$G10437="Reformer"),IF(COUNTIFS($D:$D,$D10437,$A:$A,$A10437,$B:$B,$B10437,$G:$G,"CDU",$J:$J,"PLANNED")&gt;0,"tied","standalone"),"")</f>
        <v/>
      </c>
    </row>
    <row r="10438" spans="6:14">
      <c r="F10438" s="6">
        <f>IF($M10438="PADD I","PADD 1",IF($M10438="PADD II","PADD 2",IF($M10438="PADD III","PADD 3",IF($M10438="PADD IV","PADD 4",IF($M10438="PADD V","PADD 5","")))))</f>
        <v/>
      </c>
      <c r="G10438" s="6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  <c r="N10438" s="6">
        <f>IF(OR($G10438="FCC",$G10438="Hydrocracker",$G10438="Reformer"),IF(COUNTIFS($D:$D,$D10438,$A:$A,$A10438,$B:$B,$B10438,$G:$G,"CDU",$J:$J,"PLANNED")&gt;0,"tied","standalone"),"")</f>
        <v/>
      </c>
    </row>
    <row r="10439" spans="6:14">
      <c r="F10439" s="6">
        <f>IF($M10439="PADD I","PADD 1",IF($M10439="PADD II","PADD 2",IF($M10439="PADD III","PADD 3",IF($M10439="PADD IV","PADD 4",IF($M10439="PADD V","PADD 5","")))))</f>
        <v/>
      </c>
      <c r="G10439" s="6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  <c r="N10439" s="6">
        <f>IF(OR($G10439="FCC",$G10439="Hydrocracker",$G10439="Reformer"),IF(COUNTIFS($D:$D,$D10439,$A:$A,$A10439,$B:$B,$B10439,$G:$G,"CDU",$J:$J,"PLANNED")&gt;0,"tied","standalone"),"")</f>
        <v/>
      </c>
    </row>
    <row r="10440" spans="6:14">
      <c r="F10440" s="6">
        <f>IF($M10440="PADD I","PADD 1",IF($M10440="PADD II","PADD 2",IF($M10440="PADD III","PADD 3",IF($M10440="PADD IV","PADD 4",IF($M10440="PADD V","PADD 5","")))))</f>
        <v/>
      </c>
      <c r="G10440" s="6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  <c r="N10440" s="6">
        <f>IF(OR($G10440="FCC",$G10440="Hydrocracker",$G10440="Reformer"),IF(COUNTIFS($D:$D,$D10440,$A:$A,$A10440,$B:$B,$B10440,$G:$G,"CDU",$J:$J,"PLANNED")&gt;0,"tied","standalone"),"")</f>
        <v/>
      </c>
    </row>
    <row r="10441" spans="6:14">
      <c r="F10441" s="6">
        <f>IF($M10441="PADD I","PADD 1",IF($M10441="PADD II","PADD 2",IF($M10441="PADD III","PADD 3",IF($M10441="PADD IV","PADD 4",IF($M10441="PADD V","PADD 5","")))))</f>
        <v/>
      </c>
      <c r="G10441" s="6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  <c r="N10441" s="6">
        <f>IF(OR($G10441="FCC",$G10441="Hydrocracker",$G10441="Reformer"),IF(COUNTIFS($D:$D,$D10441,$A:$A,$A10441,$B:$B,$B10441,$G:$G,"CDU",$J:$J,"PLANNED")&gt;0,"tied","standalone"),"")</f>
        <v/>
      </c>
    </row>
    <row r="10442" spans="6:14">
      <c r="F10442" s="6">
        <f>IF($M10442="PADD I","PADD 1",IF($M10442="PADD II","PADD 2",IF($M10442="PADD III","PADD 3",IF($M10442="PADD IV","PADD 4",IF($M10442="PADD V","PADD 5","")))))</f>
        <v/>
      </c>
      <c r="G10442" s="6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  <c r="N10442" s="6">
        <f>IF(OR($G10442="FCC",$G10442="Hydrocracker",$G10442="Reformer"),IF(COUNTIFS($D:$D,$D10442,$A:$A,$A10442,$B:$B,$B10442,$G:$G,"CDU",$J:$J,"PLANNED")&gt;0,"tied","standalone"),"")</f>
        <v/>
      </c>
    </row>
    <row r="10443" spans="6:14">
      <c r="F10443" s="6">
        <f>IF($M10443="PADD I","PADD 1",IF($M10443="PADD II","PADD 2",IF($M10443="PADD III","PADD 3",IF($M10443="PADD IV","PADD 4",IF($M10443="PADD V","PADD 5","")))))</f>
        <v/>
      </c>
      <c r="G10443" s="6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  <c r="N10443" s="6">
        <f>IF(OR($G10443="FCC",$G10443="Hydrocracker",$G10443="Reformer"),IF(COUNTIFS($D:$D,$D10443,$A:$A,$A10443,$B:$B,$B10443,$G:$G,"CDU",$J:$J,"PLANNED")&gt;0,"tied","standalone"),"")</f>
        <v/>
      </c>
    </row>
    <row r="10444" spans="6:14">
      <c r="F10444" s="6">
        <f>IF($M10444="PADD I","PADD 1",IF($M10444="PADD II","PADD 2",IF($M10444="PADD III","PADD 3",IF($M10444="PADD IV","PADD 4",IF($M10444="PADD V","PADD 5","")))))</f>
        <v/>
      </c>
      <c r="G10444" s="6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  <c r="N10444" s="6">
        <f>IF(OR($G10444="FCC",$G10444="Hydrocracker",$G10444="Reformer"),IF(COUNTIFS($D:$D,$D10444,$A:$A,$A10444,$B:$B,$B10444,$G:$G,"CDU",$J:$J,"PLANNED")&gt;0,"tied","standalone"),"")</f>
        <v/>
      </c>
    </row>
    <row r="10445" spans="6:14">
      <c r="F10445" s="6">
        <f>IF($M10445="PADD I","PADD 1",IF($M10445="PADD II","PADD 2",IF($M10445="PADD III","PADD 3",IF($M10445="PADD IV","PADD 4",IF($M10445="PADD V","PADD 5","")))))</f>
        <v/>
      </c>
      <c r="G10445" s="6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  <c r="N10445" s="6">
        <f>IF(OR($G10445="FCC",$G10445="Hydrocracker",$G10445="Reformer"),IF(COUNTIFS($D:$D,$D10445,$A:$A,$A10445,$B:$B,$B10445,$G:$G,"CDU",$J:$J,"PLANNED")&gt;0,"tied","standalone"),"")</f>
        <v/>
      </c>
    </row>
    <row r="10446" spans="6:14">
      <c r="F10446" s="6">
        <f>IF($M10446="PADD I","PADD 1",IF($M10446="PADD II","PADD 2",IF($M10446="PADD III","PADD 3",IF($M10446="PADD IV","PADD 4",IF($M10446="PADD V","PADD 5","")))))</f>
        <v/>
      </c>
      <c r="G10446" s="6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  <c r="N10446" s="6">
        <f>IF(OR($G10446="FCC",$G10446="Hydrocracker",$G10446="Reformer"),IF(COUNTIFS($D:$D,$D10446,$A:$A,$A10446,$B:$B,$B10446,$G:$G,"CDU",$J:$J,"PLANNED")&gt;0,"tied","standalone"),"")</f>
        <v/>
      </c>
    </row>
    <row r="10447" spans="6:14">
      <c r="F10447" s="6">
        <f>IF($M10447="PADD I","PADD 1",IF($M10447="PADD II","PADD 2",IF($M10447="PADD III","PADD 3",IF($M10447="PADD IV","PADD 4",IF($M10447="PADD V","PADD 5","")))))</f>
        <v/>
      </c>
      <c r="G10447" s="6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  <c r="N10447" s="6">
        <f>IF(OR($G10447="FCC",$G10447="Hydrocracker",$G10447="Reformer"),IF(COUNTIFS($D:$D,$D10447,$A:$A,$A10447,$B:$B,$B10447,$G:$G,"CDU",$J:$J,"PLANNED")&gt;0,"tied","standalone"),"")</f>
        <v/>
      </c>
    </row>
    <row r="10448" spans="6:14">
      <c r="F10448" s="6">
        <f>IF($M10448="PADD I","PADD 1",IF($M10448="PADD II","PADD 2",IF($M10448="PADD III","PADD 3",IF($M10448="PADD IV","PADD 4",IF($M10448="PADD V","PADD 5","")))))</f>
        <v/>
      </c>
      <c r="G10448" s="6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  <c r="N10448" s="6">
        <f>IF(OR($G10448="FCC",$G10448="Hydrocracker",$G10448="Reformer"),IF(COUNTIFS($D:$D,$D10448,$A:$A,$A10448,$B:$B,$B10448,$G:$G,"CDU",$J:$J,"PLANNED")&gt;0,"tied","standalone"),"")</f>
        <v/>
      </c>
    </row>
    <row r="10449" spans="6:14">
      <c r="F10449" s="6">
        <f>IF($M10449="PADD I","PADD 1",IF($M10449="PADD II","PADD 2",IF($M10449="PADD III","PADD 3",IF($M10449="PADD IV","PADD 4",IF($M10449="PADD V","PADD 5","")))))</f>
        <v/>
      </c>
      <c r="G10449" s="6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  <c r="N10449" s="6">
        <f>IF(OR($G10449="FCC",$G10449="Hydrocracker",$G10449="Reformer"),IF(COUNTIFS($D:$D,$D10449,$A:$A,$A10449,$B:$B,$B10449,$G:$G,"CDU",$J:$J,"PLANNED")&gt;0,"tied","standalone"),"")</f>
        <v/>
      </c>
    </row>
    <row r="10450" spans="6:14">
      <c r="F10450" s="6">
        <f>IF($M10450="PADD I","PADD 1",IF($M10450="PADD II","PADD 2",IF($M10450="PADD III","PADD 3",IF($M10450="PADD IV","PADD 4",IF($M10450="PADD V","PADD 5","")))))</f>
        <v/>
      </c>
      <c r="G10450" s="6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  <c r="N10450" s="6">
        <f>IF(OR($G10450="FCC",$G10450="Hydrocracker",$G10450="Reformer"),IF(COUNTIFS($D:$D,$D10450,$A:$A,$A10450,$B:$B,$B10450,$G:$G,"CDU",$J:$J,"PLANNED")&gt;0,"tied","standalone"),"")</f>
        <v/>
      </c>
    </row>
    <row r="10451" spans="6:14">
      <c r="F10451" s="6">
        <f>IF($M10451="PADD I","PADD 1",IF($M10451="PADD II","PADD 2",IF($M10451="PADD III","PADD 3",IF($M10451="PADD IV","PADD 4",IF($M10451="PADD V","PADD 5","")))))</f>
        <v/>
      </c>
      <c r="G10451" s="6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  <c r="N10451" s="6">
        <f>IF(OR($G10451="FCC",$G10451="Hydrocracker",$G10451="Reformer"),IF(COUNTIFS($D:$D,$D10451,$A:$A,$A10451,$B:$B,$B10451,$G:$G,"CDU",$J:$J,"PLANNED")&gt;0,"tied","standalone"),"")</f>
        <v/>
      </c>
    </row>
    <row r="10452" spans="6:14">
      <c r="F10452" s="6">
        <f>IF($M10452="PADD I","PADD 1",IF($M10452="PADD II","PADD 2",IF($M10452="PADD III","PADD 3",IF($M10452="PADD IV","PADD 4",IF($M10452="PADD V","PADD 5","")))))</f>
        <v/>
      </c>
      <c r="G10452" s="6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  <c r="N10452" s="6">
        <f>IF(OR($G10452="FCC",$G10452="Hydrocracker",$G10452="Reformer"),IF(COUNTIFS($D:$D,$D10452,$A:$A,$A10452,$B:$B,$B10452,$G:$G,"CDU",$J:$J,"PLANNED")&gt;0,"tied","standalone"),"")</f>
        <v/>
      </c>
    </row>
    <row r="10453" spans="6:14">
      <c r="F10453" s="6">
        <f>IF($M10453="PADD I","PADD 1",IF($M10453="PADD II","PADD 2",IF($M10453="PADD III","PADD 3",IF($M10453="PADD IV","PADD 4",IF($M10453="PADD V","PADD 5","")))))</f>
        <v/>
      </c>
      <c r="G10453" s="6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  <c r="N10453" s="6">
        <f>IF(OR($G10453="FCC",$G10453="Hydrocracker",$G10453="Reformer"),IF(COUNTIFS($D:$D,$D10453,$A:$A,$A10453,$B:$B,$B10453,$G:$G,"CDU",$J:$J,"PLANNED")&gt;0,"tied","standalone"),"")</f>
        <v/>
      </c>
    </row>
    <row r="10454" spans="6:14">
      <c r="F10454" s="6">
        <f>IF($M10454="PADD I","PADD 1",IF($M10454="PADD II","PADD 2",IF($M10454="PADD III","PADD 3",IF($M10454="PADD IV","PADD 4",IF($M10454="PADD V","PADD 5","")))))</f>
        <v/>
      </c>
      <c r="G10454" s="6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  <c r="N10454" s="6">
        <f>IF(OR($G10454="FCC",$G10454="Hydrocracker",$G10454="Reformer"),IF(COUNTIFS($D:$D,$D10454,$A:$A,$A10454,$B:$B,$B10454,$G:$G,"CDU",$J:$J,"PLANNED")&gt;0,"tied","standalone"),"")</f>
        <v/>
      </c>
    </row>
    <row r="10455" spans="6:14">
      <c r="F10455" s="6">
        <f>IF($M10455="PADD I","PADD 1",IF($M10455="PADD II","PADD 2",IF($M10455="PADD III","PADD 3",IF($M10455="PADD IV","PADD 4",IF($M10455="PADD V","PADD 5","")))))</f>
        <v/>
      </c>
      <c r="G10455" s="6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  <c r="N10455" s="6">
        <f>IF(OR($G10455="FCC",$G10455="Hydrocracker",$G10455="Reformer"),IF(COUNTIFS($D:$D,$D10455,$A:$A,$A10455,$B:$B,$B10455,$G:$G,"CDU",$J:$J,"PLANNED")&gt;0,"tied","standalone"),"")</f>
        <v/>
      </c>
    </row>
    <row r="10456" spans="6:14">
      <c r="F10456" s="6">
        <f>IF($M10456="PADD I","PADD 1",IF($M10456="PADD II","PADD 2",IF($M10456="PADD III","PADD 3",IF($M10456="PADD IV","PADD 4",IF($M10456="PADD V","PADD 5","")))))</f>
        <v/>
      </c>
      <c r="G10456" s="6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  <c r="N10456" s="6">
        <f>IF(OR($G10456="FCC",$G10456="Hydrocracker",$G10456="Reformer"),IF(COUNTIFS($D:$D,$D10456,$A:$A,$A10456,$B:$B,$B10456,$G:$G,"CDU",$J:$J,"PLANNED")&gt;0,"tied","standalone"),"")</f>
        <v/>
      </c>
    </row>
    <row r="10457" spans="6:14">
      <c r="F10457" s="6">
        <f>IF($M10457="PADD I","PADD 1",IF($M10457="PADD II","PADD 2",IF($M10457="PADD III","PADD 3",IF($M10457="PADD IV","PADD 4",IF($M10457="PADD V","PADD 5","")))))</f>
        <v/>
      </c>
      <c r="G10457" s="6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  <c r="N10457" s="6">
        <f>IF(OR($G10457="FCC",$G10457="Hydrocracker",$G10457="Reformer"),IF(COUNTIFS($D:$D,$D10457,$A:$A,$A10457,$B:$B,$B10457,$G:$G,"CDU",$J:$J,"PLANNED")&gt;0,"tied","standalone"),"")</f>
        <v/>
      </c>
    </row>
    <row r="10458" spans="6:14">
      <c r="F10458" s="6">
        <f>IF($M10458="PADD I","PADD 1",IF($M10458="PADD II","PADD 2",IF($M10458="PADD III","PADD 3",IF($M10458="PADD IV","PADD 4",IF($M10458="PADD V","PADD 5","")))))</f>
        <v/>
      </c>
      <c r="G10458" s="6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  <c r="N10458" s="6">
        <f>IF(OR($G10458="FCC",$G10458="Hydrocracker",$G10458="Reformer"),IF(COUNTIFS($D:$D,$D10458,$A:$A,$A10458,$B:$B,$B10458,$G:$G,"CDU",$J:$J,"PLANNED")&gt;0,"tied","standalone"),"")</f>
        <v/>
      </c>
    </row>
    <row r="10459" spans="6:14">
      <c r="F10459" s="6">
        <f>IF($M10459="PADD I","PADD 1",IF($M10459="PADD II","PADD 2",IF($M10459="PADD III","PADD 3",IF($M10459="PADD IV","PADD 4",IF($M10459="PADD V","PADD 5","")))))</f>
        <v/>
      </c>
      <c r="G10459" s="6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  <c r="N10459" s="6">
        <f>IF(OR($G10459="FCC",$G10459="Hydrocracker",$G10459="Reformer"),IF(COUNTIFS($D:$D,$D10459,$A:$A,$A10459,$B:$B,$B10459,$G:$G,"CDU",$J:$J,"PLANNED")&gt;0,"tied","standalone"),"")</f>
        <v/>
      </c>
    </row>
    <row r="10460" spans="6:14">
      <c r="F10460" s="6">
        <f>IF($M10460="PADD I","PADD 1",IF($M10460="PADD II","PADD 2",IF($M10460="PADD III","PADD 3",IF($M10460="PADD IV","PADD 4",IF($M10460="PADD V","PADD 5","")))))</f>
        <v/>
      </c>
      <c r="G10460" s="6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  <c r="N10460" s="6">
        <f>IF(OR($G10460="FCC",$G10460="Hydrocracker",$G10460="Reformer"),IF(COUNTIFS($D:$D,$D10460,$A:$A,$A10460,$B:$B,$B10460,$G:$G,"CDU",$J:$J,"PLANNED")&gt;0,"tied","standalone"),"")</f>
        <v/>
      </c>
    </row>
    <row r="10461" spans="6:14">
      <c r="F10461" s="6">
        <f>IF($M10461="PADD I","PADD 1",IF($M10461="PADD II","PADD 2",IF($M10461="PADD III","PADD 3",IF($M10461="PADD IV","PADD 4",IF($M10461="PADD V","PADD 5","")))))</f>
        <v/>
      </c>
      <c r="G10461" s="6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  <c r="N10461" s="6">
        <f>IF(OR($G10461="FCC",$G10461="Hydrocracker",$G10461="Reformer"),IF(COUNTIFS($D:$D,$D10461,$A:$A,$A10461,$B:$B,$B10461,$G:$G,"CDU",$J:$J,"PLANNED")&gt;0,"tied","standalone"),"")</f>
        <v/>
      </c>
    </row>
    <row r="10462" spans="6:14">
      <c r="F10462" s="6">
        <f>IF($M10462="PADD I","PADD 1",IF($M10462="PADD II","PADD 2",IF($M10462="PADD III","PADD 3",IF($M10462="PADD IV","PADD 4",IF($M10462="PADD V","PADD 5","")))))</f>
        <v/>
      </c>
      <c r="G10462" s="6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  <c r="N10462" s="6">
        <f>IF(OR($G10462="FCC",$G10462="Hydrocracker",$G10462="Reformer"),IF(COUNTIFS($D:$D,$D10462,$A:$A,$A10462,$B:$B,$B10462,$G:$G,"CDU",$J:$J,"PLANNED")&gt;0,"tied","standalone"),"")</f>
        <v/>
      </c>
    </row>
    <row r="10463" spans="6:14">
      <c r="F10463" s="6">
        <f>IF($M10463="PADD I","PADD 1",IF($M10463="PADD II","PADD 2",IF($M10463="PADD III","PADD 3",IF($M10463="PADD IV","PADD 4",IF($M10463="PADD V","PADD 5","")))))</f>
        <v/>
      </c>
      <c r="G10463" s="6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  <c r="N10463" s="6">
        <f>IF(OR($G10463="FCC",$G10463="Hydrocracker",$G10463="Reformer"),IF(COUNTIFS($D:$D,$D10463,$A:$A,$A10463,$B:$B,$B10463,$G:$G,"CDU",$J:$J,"PLANNED")&gt;0,"tied","standalone"),"")</f>
        <v/>
      </c>
    </row>
    <row r="10464" spans="6:14">
      <c r="F10464" s="6">
        <f>IF($M10464="PADD I","PADD 1",IF($M10464="PADD II","PADD 2",IF($M10464="PADD III","PADD 3",IF($M10464="PADD IV","PADD 4",IF($M10464="PADD V","PADD 5","")))))</f>
        <v/>
      </c>
      <c r="G10464" s="6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  <c r="N10464" s="6">
        <f>IF(OR($G10464="FCC",$G10464="Hydrocracker",$G10464="Reformer"),IF(COUNTIFS($D:$D,$D10464,$A:$A,$A10464,$B:$B,$B10464,$G:$G,"CDU",$J:$J,"PLANNED")&gt;0,"tied","standalone"),"")</f>
        <v/>
      </c>
    </row>
    <row r="10465" spans="6:14">
      <c r="F10465" s="6">
        <f>IF($M10465="PADD I","PADD 1",IF($M10465="PADD II","PADD 2",IF($M10465="PADD III","PADD 3",IF($M10465="PADD IV","PADD 4",IF($M10465="PADD V","PADD 5","")))))</f>
        <v/>
      </c>
      <c r="G10465" s="6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  <c r="N10465" s="6">
        <f>IF(OR($G10465="FCC",$G10465="Hydrocracker",$G10465="Reformer"),IF(COUNTIFS($D:$D,$D10465,$A:$A,$A10465,$B:$B,$B10465,$G:$G,"CDU",$J:$J,"PLANNED")&gt;0,"tied","standalone"),"")</f>
        <v/>
      </c>
    </row>
    <row r="10466" spans="6:14">
      <c r="F10466" s="6">
        <f>IF($M10466="PADD I","PADD 1",IF($M10466="PADD II","PADD 2",IF($M10466="PADD III","PADD 3",IF($M10466="PADD IV","PADD 4",IF($M10466="PADD V","PADD 5","")))))</f>
        <v/>
      </c>
      <c r="G10466" s="6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  <c r="N10466" s="6">
        <f>IF(OR($G10466="FCC",$G10466="Hydrocracker",$G10466="Reformer"),IF(COUNTIFS($D:$D,$D10466,$A:$A,$A10466,$B:$B,$B10466,$G:$G,"CDU",$J:$J,"PLANNED")&gt;0,"tied","standalone"),"")</f>
        <v/>
      </c>
    </row>
    <row r="10467" spans="6:14">
      <c r="F10467" s="6">
        <f>IF($M10467="PADD I","PADD 1",IF($M10467="PADD II","PADD 2",IF($M10467="PADD III","PADD 3",IF($M10467="PADD IV","PADD 4",IF($M10467="PADD V","PADD 5","")))))</f>
        <v/>
      </c>
      <c r="G10467" s="6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  <c r="N10467" s="6">
        <f>IF(OR($G10467="FCC",$G10467="Hydrocracker",$G10467="Reformer"),IF(COUNTIFS($D:$D,$D10467,$A:$A,$A10467,$B:$B,$B10467,$G:$G,"CDU",$J:$J,"PLANNED")&gt;0,"tied","standalone"),"")</f>
        <v/>
      </c>
    </row>
    <row r="10468" spans="6:14">
      <c r="F10468" s="6">
        <f>IF($M10468="PADD I","PADD 1",IF($M10468="PADD II","PADD 2",IF($M10468="PADD III","PADD 3",IF($M10468="PADD IV","PADD 4",IF($M10468="PADD V","PADD 5","")))))</f>
        <v/>
      </c>
      <c r="G10468" s="6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  <c r="N10468" s="6">
        <f>IF(OR($G10468="FCC",$G10468="Hydrocracker",$G10468="Reformer"),IF(COUNTIFS($D:$D,$D10468,$A:$A,$A10468,$B:$B,$B10468,$G:$G,"CDU",$J:$J,"PLANNED")&gt;0,"tied","standalone"),"")</f>
        <v/>
      </c>
    </row>
    <row r="10469" spans="6:14">
      <c r="F10469" s="6">
        <f>IF($M10469="PADD I","PADD 1",IF($M10469="PADD II","PADD 2",IF($M10469="PADD III","PADD 3",IF($M10469="PADD IV","PADD 4",IF($M10469="PADD V","PADD 5","")))))</f>
        <v/>
      </c>
      <c r="G10469" s="6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  <c r="N10469" s="6">
        <f>IF(OR($G10469="FCC",$G10469="Hydrocracker",$G10469="Reformer"),IF(COUNTIFS($D:$D,$D10469,$A:$A,$A10469,$B:$B,$B10469,$G:$G,"CDU",$J:$J,"PLANNED")&gt;0,"tied","standalone"),"")</f>
        <v/>
      </c>
    </row>
    <row r="10470" spans="6:14">
      <c r="F10470" s="6">
        <f>IF($M10470="PADD I","PADD 1",IF($M10470="PADD II","PADD 2",IF($M10470="PADD III","PADD 3",IF($M10470="PADD IV","PADD 4",IF($M10470="PADD V","PADD 5","")))))</f>
        <v/>
      </c>
      <c r="G10470" s="6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  <c r="N10470" s="6">
        <f>IF(OR($G10470="FCC",$G10470="Hydrocracker",$G10470="Reformer"),IF(COUNTIFS($D:$D,$D10470,$A:$A,$A10470,$B:$B,$B10470,$G:$G,"CDU",$J:$J,"PLANNED")&gt;0,"tied","standalone"),"")</f>
        <v/>
      </c>
    </row>
    <row r="10471" spans="6:14">
      <c r="F10471" s="6">
        <f>IF($M10471="PADD I","PADD 1",IF($M10471="PADD II","PADD 2",IF($M10471="PADD III","PADD 3",IF($M10471="PADD IV","PADD 4",IF($M10471="PADD V","PADD 5","")))))</f>
        <v/>
      </c>
      <c r="G10471" s="6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  <c r="N10471" s="6">
        <f>IF(OR($G10471="FCC",$G10471="Hydrocracker",$G10471="Reformer"),IF(COUNTIFS($D:$D,$D10471,$A:$A,$A10471,$B:$B,$B10471,$G:$G,"CDU",$J:$J,"PLANNED")&gt;0,"tied","standalone"),"")</f>
        <v/>
      </c>
    </row>
    <row r="10472" spans="6:14">
      <c r="F10472" s="6">
        <f>IF($M10472="PADD I","PADD 1",IF($M10472="PADD II","PADD 2",IF($M10472="PADD III","PADD 3",IF($M10472="PADD IV","PADD 4",IF($M10472="PADD V","PADD 5","")))))</f>
        <v/>
      </c>
      <c r="G10472" s="6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  <c r="N10472" s="6">
        <f>IF(OR($G10472="FCC",$G10472="Hydrocracker",$G10472="Reformer"),IF(COUNTIFS($D:$D,$D10472,$A:$A,$A10472,$B:$B,$B10472,$G:$G,"CDU",$J:$J,"PLANNED")&gt;0,"tied","standalone"),"")</f>
        <v/>
      </c>
    </row>
    <row r="10473" spans="6:14">
      <c r="F10473" s="6">
        <f>IF($M10473="PADD I","PADD 1",IF($M10473="PADD II","PADD 2",IF($M10473="PADD III","PADD 3",IF($M10473="PADD IV","PADD 4",IF($M10473="PADD V","PADD 5","")))))</f>
        <v/>
      </c>
      <c r="G10473" s="6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  <c r="N10473" s="6">
        <f>IF(OR($G10473="FCC",$G10473="Hydrocracker",$G10473="Reformer"),IF(COUNTIFS($D:$D,$D10473,$A:$A,$A10473,$B:$B,$B10473,$G:$G,"CDU",$J:$J,"PLANNED")&gt;0,"tied","standalone"),"")</f>
        <v/>
      </c>
    </row>
    <row r="10474" spans="6:14">
      <c r="F10474" s="6">
        <f>IF($M10474="PADD I","PADD 1",IF($M10474="PADD II","PADD 2",IF($M10474="PADD III","PADD 3",IF($M10474="PADD IV","PADD 4",IF($M10474="PADD V","PADD 5","")))))</f>
        <v/>
      </c>
      <c r="G10474" s="6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  <c r="N10474" s="6">
        <f>IF(OR($G10474="FCC",$G10474="Hydrocracker",$G10474="Reformer"),IF(COUNTIFS($D:$D,$D10474,$A:$A,$A10474,$B:$B,$B10474,$G:$G,"CDU",$J:$J,"PLANNED")&gt;0,"tied","standalone"),"")</f>
        <v/>
      </c>
    </row>
    <row r="10475" spans="6:14">
      <c r="F10475" s="6">
        <f>IF($M10475="PADD I","PADD 1",IF($M10475="PADD II","PADD 2",IF($M10475="PADD III","PADD 3",IF($M10475="PADD IV","PADD 4",IF($M10475="PADD V","PADD 5","")))))</f>
        <v/>
      </c>
      <c r="G10475" s="6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  <c r="N10475" s="6">
        <f>IF(OR($G10475="FCC",$G10475="Hydrocracker",$G10475="Reformer"),IF(COUNTIFS($D:$D,$D10475,$A:$A,$A10475,$B:$B,$B10475,$G:$G,"CDU",$J:$J,"PLANNED")&gt;0,"tied","standalone"),"")</f>
        <v/>
      </c>
    </row>
    <row r="10476" spans="6:14">
      <c r="F10476" s="6">
        <f>IF($M10476="PADD I","PADD 1",IF($M10476="PADD II","PADD 2",IF($M10476="PADD III","PADD 3",IF($M10476="PADD IV","PADD 4",IF($M10476="PADD V","PADD 5","")))))</f>
        <v/>
      </c>
      <c r="G10476" s="6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  <c r="N10476" s="6">
        <f>IF(OR($G10476="FCC",$G10476="Hydrocracker",$G10476="Reformer"),IF(COUNTIFS($D:$D,$D10476,$A:$A,$A10476,$B:$B,$B10476,$G:$G,"CDU",$J:$J,"PLANNED")&gt;0,"tied","standalone"),"")</f>
        <v/>
      </c>
    </row>
    <row r="10477" spans="6:14">
      <c r="F10477" s="6">
        <f>IF($M10477="PADD I","PADD 1",IF($M10477="PADD II","PADD 2",IF($M10477="PADD III","PADD 3",IF($M10477="PADD IV","PADD 4",IF($M10477="PADD V","PADD 5","")))))</f>
        <v/>
      </c>
      <c r="G10477" s="6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  <c r="N10477" s="6">
        <f>IF(OR($G10477="FCC",$G10477="Hydrocracker",$G10477="Reformer"),IF(COUNTIFS($D:$D,$D10477,$A:$A,$A10477,$B:$B,$B10477,$G:$G,"CDU",$J:$J,"PLANNED")&gt;0,"tied","standalone"),"")</f>
        <v/>
      </c>
    </row>
    <row r="10478" spans="6:14">
      <c r="F10478" s="6">
        <f>IF($M10478="PADD I","PADD 1",IF($M10478="PADD II","PADD 2",IF($M10478="PADD III","PADD 3",IF($M10478="PADD IV","PADD 4",IF($M10478="PADD V","PADD 5","")))))</f>
        <v/>
      </c>
      <c r="G10478" s="6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  <c r="N10478" s="6">
        <f>IF(OR($G10478="FCC",$G10478="Hydrocracker",$G10478="Reformer"),IF(COUNTIFS($D:$D,$D10478,$A:$A,$A10478,$B:$B,$B10478,$G:$G,"CDU",$J:$J,"PLANNED")&gt;0,"tied","standalone"),"")</f>
        <v/>
      </c>
    </row>
    <row r="10479" spans="6:14">
      <c r="F10479" s="6">
        <f>IF($M10479="PADD I","PADD 1",IF($M10479="PADD II","PADD 2",IF($M10479="PADD III","PADD 3",IF($M10479="PADD IV","PADD 4",IF($M10479="PADD V","PADD 5","")))))</f>
        <v/>
      </c>
      <c r="G10479" s="6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  <c r="N10479" s="6">
        <f>IF(OR($G10479="FCC",$G10479="Hydrocracker",$G10479="Reformer"),IF(COUNTIFS($D:$D,$D10479,$A:$A,$A10479,$B:$B,$B10479,$G:$G,"CDU",$J:$J,"PLANNED")&gt;0,"tied","standalone"),"")</f>
        <v/>
      </c>
    </row>
    <row r="10480" spans="6:14">
      <c r="F10480" s="6">
        <f>IF($M10480="PADD I","PADD 1",IF($M10480="PADD II","PADD 2",IF($M10480="PADD III","PADD 3",IF($M10480="PADD IV","PADD 4",IF($M10480="PADD V","PADD 5","")))))</f>
        <v/>
      </c>
      <c r="G10480" s="6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  <c r="N10480" s="6">
        <f>IF(OR($G10480="FCC",$G10480="Hydrocracker",$G10480="Reformer"),IF(COUNTIFS($D:$D,$D10480,$A:$A,$A10480,$B:$B,$B10480,$G:$G,"CDU",$J:$J,"PLANNED")&gt;0,"tied","standalone"),"")</f>
        <v/>
      </c>
    </row>
    <row r="10481" spans="6:14">
      <c r="F10481" s="6">
        <f>IF($M10481="PADD I","PADD 1",IF($M10481="PADD II","PADD 2",IF($M10481="PADD III","PADD 3",IF($M10481="PADD IV","PADD 4",IF($M10481="PADD V","PADD 5","")))))</f>
        <v/>
      </c>
      <c r="G10481" s="6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  <c r="N10481" s="6">
        <f>IF(OR($G10481="FCC",$G10481="Hydrocracker",$G10481="Reformer"),IF(COUNTIFS($D:$D,$D10481,$A:$A,$A10481,$B:$B,$B10481,$G:$G,"CDU",$J:$J,"PLANNED")&gt;0,"tied","standalone"),"")</f>
        <v/>
      </c>
    </row>
    <row r="10482" spans="6:14">
      <c r="F10482" s="6">
        <f>IF($M10482="PADD I","PADD 1",IF($M10482="PADD II","PADD 2",IF($M10482="PADD III","PADD 3",IF($M10482="PADD IV","PADD 4",IF($M10482="PADD V","PADD 5","")))))</f>
        <v/>
      </c>
      <c r="G10482" s="6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  <c r="N10482" s="6">
        <f>IF(OR($G10482="FCC",$G10482="Hydrocracker",$G10482="Reformer"),IF(COUNTIFS($D:$D,$D10482,$A:$A,$A10482,$B:$B,$B10482,$G:$G,"CDU",$J:$J,"PLANNED")&gt;0,"tied","standalone"),"")</f>
        <v/>
      </c>
    </row>
    <row r="10483" spans="6:14">
      <c r="F10483" s="6">
        <f>IF($M10483="PADD I","PADD 1",IF($M10483="PADD II","PADD 2",IF($M10483="PADD III","PADD 3",IF($M10483="PADD IV","PADD 4",IF($M10483="PADD V","PADD 5","")))))</f>
        <v/>
      </c>
      <c r="G10483" s="6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  <c r="N10483" s="6">
        <f>IF(OR($G10483="FCC",$G10483="Hydrocracker",$G10483="Reformer"),IF(COUNTIFS($D:$D,$D10483,$A:$A,$A10483,$B:$B,$B10483,$G:$G,"CDU",$J:$J,"PLANNED")&gt;0,"tied","standalone"),"")</f>
        <v/>
      </c>
    </row>
    <row r="10484" spans="6:14">
      <c r="F10484" s="6">
        <f>IF($M10484="PADD I","PADD 1",IF($M10484="PADD II","PADD 2",IF($M10484="PADD III","PADD 3",IF($M10484="PADD IV","PADD 4",IF($M10484="PADD V","PADD 5","")))))</f>
        <v/>
      </c>
      <c r="G10484" s="6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  <c r="N10484" s="6">
        <f>IF(OR($G10484="FCC",$G10484="Hydrocracker",$G10484="Reformer"),IF(COUNTIFS($D:$D,$D10484,$A:$A,$A10484,$B:$B,$B10484,$G:$G,"CDU",$J:$J,"PLANNED")&gt;0,"tied","standalone"),"")</f>
        <v/>
      </c>
    </row>
    <row r="10485" spans="6:14">
      <c r="F10485" s="6">
        <f>IF($M10485="PADD I","PADD 1",IF($M10485="PADD II","PADD 2",IF($M10485="PADD III","PADD 3",IF($M10485="PADD IV","PADD 4",IF($M10485="PADD V","PADD 5","")))))</f>
        <v/>
      </c>
      <c r="G10485" s="6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  <c r="N10485" s="6">
        <f>IF(OR($G10485="FCC",$G10485="Hydrocracker",$G10485="Reformer"),IF(COUNTIFS($D:$D,$D10485,$A:$A,$A10485,$B:$B,$B10485,$G:$G,"CDU",$J:$J,"PLANNED")&gt;0,"tied","standalone"),"")</f>
        <v/>
      </c>
    </row>
    <row r="10486" spans="6:14">
      <c r="F10486" s="6">
        <f>IF($M10486="PADD I","PADD 1",IF($M10486="PADD II","PADD 2",IF($M10486="PADD III","PADD 3",IF($M10486="PADD IV","PADD 4",IF($M10486="PADD V","PADD 5","")))))</f>
        <v/>
      </c>
      <c r="G10486" s="6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  <c r="N10486" s="6">
        <f>IF(OR($G10486="FCC",$G10486="Hydrocracker",$G10486="Reformer"),IF(COUNTIFS($D:$D,$D10486,$A:$A,$A10486,$B:$B,$B10486,$G:$G,"CDU",$J:$J,"PLANNED")&gt;0,"tied","standalone"),"")</f>
        <v/>
      </c>
    </row>
    <row r="10487" spans="6:14">
      <c r="F10487" s="6">
        <f>IF($M10487="PADD I","PADD 1",IF($M10487="PADD II","PADD 2",IF($M10487="PADD III","PADD 3",IF($M10487="PADD IV","PADD 4",IF($M10487="PADD V","PADD 5","")))))</f>
        <v/>
      </c>
      <c r="G10487" s="6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  <c r="N10487" s="6">
        <f>IF(OR($G10487="FCC",$G10487="Hydrocracker",$G10487="Reformer"),IF(COUNTIFS($D:$D,$D10487,$A:$A,$A10487,$B:$B,$B10487,$G:$G,"CDU",$J:$J,"PLANNED")&gt;0,"tied","standalone"),"")</f>
        <v/>
      </c>
    </row>
    <row r="10488" spans="6:14">
      <c r="F10488" s="6">
        <f>IF($M10488="PADD I","PADD 1",IF($M10488="PADD II","PADD 2",IF($M10488="PADD III","PADD 3",IF($M10488="PADD IV","PADD 4",IF($M10488="PADD V","PADD 5","")))))</f>
        <v/>
      </c>
      <c r="G10488" s="6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  <c r="N10488" s="6">
        <f>IF(OR($G10488="FCC",$G10488="Hydrocracker",$G10488="Reformer"),IF(COUNTIFS($D:$D,$D10488,$A:$A,$A10488,$B:$B,$B10488,$G:$G,"CDU",$J:$J,"PLANNED")&gt;0,"tied","standalone"),"")</f>
        <v/>
      </c>
    </row>
    <row r="10489" spans="6:14">
      <c r="F10489" s="6">
        <f>IF($M10489="PADD I","PADD 1",IF($M10489="PADD II","PADD 2",IF($M10489="PADD III","PADD 3",IF($M10489="PADD IV","PADD 4",IF($M10489="PADD V","PADD 5","")))))</f>
        <v/>
      </c>
      <c r="G10489" s="6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  <c r="N10489" s="6">
        <f>IF(OR($G10489="FCC",$G10489="Hydrocracker",$G10489="Reformer"),IF(COUNTIFS($D:$D,$D10489,$A:$A,$A10489,$B:$B,$B10489,$G:$G,"CDU",$J:$J,"PLANNED")&gt;0,"tied","standalone"),"")</f>
        <v/>
      </c>
    </row>
    <row r="10490" spans="6:14">
      <c r="F10490" s="6">
        <f>IF($M10490="PADD I","PADD 1",IF($M10490="PADD II","PADD 2",IF($M10490="PADD III","PADD 3",IF($M10490="PADD IV","PADD 4",IF($M10490="PADD V","PADD 5","")))))</f>
        <v/>
      </c>
      <c r="G10490" s="6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  <c r="N10490" s="6">
        <f>IF(OR($G10490="FCC",$G10490="Hydrocracker",$G10490="Reformer"),IF(COUNTIFS($D:$D,$D10490,$A:$A,$A10490,$B:$B,$B10490,$G:$G,"CDU",$J:$J,"PLANNED")&gt;0,"tied","standalone"),"")</f>
        <v/>
      </c>
    </row>
    <row r="10491" spans="6:14">
      <c r="F10491" s="6">
        <f>IF($M10491="PADD I","PADD 1",IF($M10491="PADD II","PADD 2",IF($M10491="PADD III","PADD 3",IF($M10491="PADD IV","PADD 4",IF($M10491="PADD V","PADD 5","")))))</f>
        <v/>
      </c>
      <c r="G10491" s="6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  <c r="N10491" s="6">
        <f>IF(OR($G10491="FCC",$G10491="Hydrocracker",$G10491="Reformer"),IF(COUNTIFS($D:$D,$D10491,$A:$A,$A10491,$B:$B,$B10491,$G:$G,"CDU",$J:$J,"PLANNED")&gt;0,"tied","standalone"),"")</f>
        <v/>
      </c>
    </row>
    <row r="10492" spans="6:14">
      <c r="F10492" s="6">
        <f>IF($M10492="PADD I","PADD 1",IF($M10492="PADD II","PADD 2",IF($M10492="PADD III","PADD 3",IF($M10492="PADD IV","PADD 4",IF($M10492="PADD V","PADD 5","")))))</f>
        <v/>
      </c>
      <c r="G10492" s="6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  <c r="N10492" s="6">
        <f>IF(OR($G10492="FCC",$G10492="Hydrocracker",$G10492="Reformer"),IF(COUNTIFS($D:$D,$D10492,$A:$A,$A10492,$B:$B,$B10492,$G:$G,"CDU",$J:$J,"PLANNED")&gt;0,"tied","standalone"),"")</f>
        <v/>
      </c>
    </row>
    <row r="10493" spans="6:14">
      <c r="F10493" s="6">
        <f>IF($M10493="PADD I","PADD 1",IF($M10493="PADD II","PADD 2",IF($M10493="PADD III","PADD 3",IF($M10493="PADD IV","PADD 4",IF($M10493="PADD V","PADD 5","")))))</f>
        <v/>
      </c>
      <c r="G10493" s="6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  <c r="N10493" s="6">
        <f>IF(OR($G10493="FCC",$G10493="Hydrocracker",$G10493="Reformer"),IF(COUNTIFS($D:$D,$D10493,$A:$A,$A10493,$B:$B,$B10493,$G:$G,"CDU",$J:$J,"PLANNED")&gt;0,"tied","standalone"),"")</f>
        <v/>
      </c>
    </row>
    <row r="10494" spans="6:14">
      <c r="F10494" s="6">
        <f>IF($M10494="PADD I","PADD 1",IF($M10494="PADD II","PADD 2",IF($M10494="PADD III","PADD 3",IF($M10494="PADD IV","PADD 4",IF($M10494="PADD V","PADD 5","")))))</f>
        <v/>
      </c>
      <c r="G10494" s="6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  <c r="N10494" s="6">
        <f>IF(OR($G10494="FCC",$G10494="Hydrocracker",$G10494="Reformer"),IF(COUNTIFS($D:$D,$D10494,$A:$A,$A10494,$B:$B,$B10494,$G:$G,"CDU",$J:$J,"PLANNED")&gt;0,"tied","standalone"),"")</f>
        <v/>
      </c>
    </row>
    <row r="10495" spans="6:14">
      <c r="F10495" s="6">
        <f>IF($M10495="PADD I","PADD 1",IF($M10495="PADD II","PADD 2",IF($M10495="PADD III","PADD 3",IF($M10495="PADD IV","PADD 4",IF($M10495="PADD V","PADD 5","")))))</f>
        <v/>
      </c>
      <c r="G10495" s="6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  <c r="N10495" s="6">
        <f>IF(OR($G10495="FCC",$G10495="Hydrocracker",$G10495="Reformer"),IF(COUNTIFS($D:$D,$D10495,$A:$A,$A10495,$B:$B,$B10495,$G:$G,"CDU",$J:$J,"PLANNED")&gt;0,"tied","standalone"),"")</f>
        <v/>
      </c>
    </row>
    <row r="10496" spans="6:14">
      <c r="F10496" s="6">
        <f>IF($M10496="PADD I","PADD 1",IF($M10496="PADD II","PADD 2",IF($M10496="PADD III","PADD 3",IF($M10496="PADD IV","PADD 4",IF($M10496="PADD V","PADD 5","")))))</f>
        <v/>
      </c>
      <c r="G10496" s="6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  <c r="N10496" s="6">
        <f>IF(OR($G10496="FCC",$G10496="Hydrocracker",$G10496="Reformer"),IF(COUNTIFS($D:$D,$D10496,$A:$A,$A10496,$B:$B,$B10496,$G:$G,"CDU",$J:$J,"PLANNED")&gt;0,"tied","standalone"),"")</f>
        <v/>
      </c>
    </row>
    <row r="10497" spans="6:14">
      <c r="F10497" s="6">
        <f>IF($M10497="PADD I","PADD 1",IF($M10497="PADD II","PADD 2",IF($M10497="PADD III","PADD 3",IF($M10497="PADD IV","PADD 4",IF($M10497="PADD V","PADD 5","")))))</f>
        <v/>
      </c>
      <c r="G10497" s="6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  <c r="N10497" s="6">
        <f>IF(OR($G10497="FCC",$G10497="Hydrocracker",$G10497="Reformer"),IF(COUNTIFS($D:$D,$D10497,$A:$A,$A10497,$B:$B,$B10497,$G:$G,"CDU",$J:$J,"PLANNED")&gt;0,"tied","standalone"),"")</f>
        <v/>
      </c>
    </row>
    <row r="10498" spans="6:14">
      <c r="F10498" s="6">
        <f>IF($M10498="PADD I","PADD 1",IF($M10498="PADD II","PADD 2",IF($M10498="PADD III","PADD 3",IF($M10498="PADD IV","PADD 4",IF($M10498="PADD V","PADD 5","")))))</f>
        <v/>
      </c>
      <c r="G10498" s="6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  <c r="N10498" s="6">
        <f>IF(OR($G10498="FCC",$G10498="Hydrocracker",$G10498="Reformer"),IF(COUNTIFS($D:$D,$D10498,$A:$A,$A10498,$B:$B,$B10498,$G:$G,"CDU",$J:$J,"PLANNED")&gt;0,"tied","standalone"),"")</f>
        <v/>
      </c>
    </row>
    <row r="10499" spans="6:14">
      <c r="F10499" s="6">
        <f>IF($M10499="PADD I","PADD 1",IF($M10499="PADD II","PADD 2",IF($M10499="PADD III","PADD 3",IF($M10499="PADD IV","PADD 4",IF($M10499="PADD V","PADD 5","")))))</f>
        <v/>
      </c>
      <c r="G10499" s="6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  <c r="N10499" s="6">
        <f>IF(OR($G10499="FCC",$G10499="Hydrocracker",$G10499="Reformer"),IF(COUNTIFS($D:$D,$D10499,$A:$A,$A10499,$B:$B,$B10499,$G:$G,"CDU",$J:$J,"PLANNED")&gt;0,"tied","standalone"),"")</f>
        <v/>
      </c>
    </row>
    <row r="10500" spans="6:14">
      <c r="F10500" s="6">
        <f>IF($M10500="PADD I","PADD 1",IF($M10500="PADD II","PADD 2",IF($M10500="PADD III","PADD 3",IF($M10500="PADD IV","PADD 4",IF($M10500="PADD V","PADD 5","")))))</f>
        <v/>
      </c>
      <c r="G10500" s="6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  <c r="N10500" s="6">
        <f>IF(OR($G10500="FCC",$G10500="Hydrocracker",$G10500="Reformer"),IF(COUNTIFS($D:$D,$D10500,$A:$A,$A10500,$B:$B,$B10500,$G:$G,"CDU",$J:$J,"PLANNED")&gt;0,"tied","standalone"),"")</f>
        <v/>
      </c>
    </row>
    <row r="10501" spans="6:14">
      <c r="F10501" s="6">
        <f>IF($M10501="PADD I","PADD 1",IF($M10501="PADD II","PADD 2",IF($M10501="PADD III","PADD 3",IF($M10501="PADD IV","PADD 4",IF($M10501="PADD V","PADD 5","")))))</f>
        <v/>
      </c>
      <c r="G10501" s="6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  <c r="N10501" s="6">
        <f>IF(OR($G10501="FCC",$G10501="Hydrocracker",$G10501="Reformer"),IF(COUNTIFS($D:$D,$D10501,$A:$A,$A10501,$B:$B,$B10501,$G:$G,"CDU",$J:$J,"PLANNED")&gt;0,"tied","standalone"),"")</f>
        <v/>
      </c>
    </row>
    <row r="10502" spans="6:14">
      <c r="F10502" s="6">
        <f>IF($M10502="PADD I","PADD 1",IF($M10502="PADD II","PADD 2",IF($M10502="PADD III","PADD 3",IF($M10502="PADD IV","PADD 4",IF($M10502="PADD V","PADD 5","")))))</f>
        <v/>
      </c>
      <c r="G10502" s="6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  <c r="N10502" s="6">
        <f>IF(OR($G10502="FCC",$G10502="Hydrocracker",$G10502="Reformer"),IF(COUNTIFS($D:$D,$D10502,$A:$A,$A10502,$B:$B,$B10502,$G:$G,"CDU",$J:$J,"PLANNED")&gt;0,"tied","standalone"),"")</f>
        <v/>
      </c>
    </row>
    <row r="10503" spans="6:14">
      <c r="F10503" s="6">
        <f>IF($M10503="PADD I","PADD 1",IF($M10503="PADD II","PADD 2",IF($M10503="PADD III","PADD 3",IF($M10503="PADD IV","PADD 4",IF($M10503="PADD V","PADD 5","")))))</f>
        <v/>
      </c>
      <c r="G10503" s="6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  <c r="N10503" s="6">
        <f>IF(OR($G10503="FCC",$G10503="Hydrocracker",$G10503="Reformer"),IF(COUNTIFS($D:$D,$D10503,$A:$A,$A10503,$B:$B,$B10503,$G:$G,"CDU",$J:$J,"PLANNED")&gt;0,"tied","standalone"),"")</f>
        <v/>
      </c>
    </row>
    <row r="10504" spans="6:14">
      <c r="F10504" s="6">
        <f>IF($M10504="PADD I","PADD 1",IF($M10504="PADD II","PADD 2",IF($M10504="PADD III","PADD 3",IF($M10504="PADD IV","PADD 4",IF($M10504="PADD V","PADD 5","")))))</f>
        <v/>
      </c>
      <c r="G10504" s="6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  <c r="N10504" s="6">
        <f>IF(OR($G10504="FCC",$G10504="Hydrocracker",$G10504="Reformer"),IF(COUNTIFS($D:$D,$D10504,$A:$A,$A10504,$B:$B,$B10504,$G:$G,"CDU",$J:$J,"PLANNED")&gt;0,"tied","standalone"),"")</f>
        <v/>
      </c>
    </row>
    <row r="10505" spans="6:14">
      <c r="F10505" s="6">
        <f>IF($M10505="PADD I","PADD 1",IF($M10505="PADD II","PADD 2",IF($M10505="PADD III","PADD 3",IF($M10505="PADD IV","PADD 4",IF($M10505="PADD V","PADD 5","")))))</f>
        <v/>
      </c>
      <c r="G10505" s="6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  <c r="N10505" s="6">
        <f>IF(OR($G10505="FCC",$G10505="Hydrocracker",$G10505="Reformer"),IF(COUNTIFS($D:$D,$D10505,$A:$A,$A10505,$B:$B,$B10505,$G:$G,"CDU",$J:$J,"PLANNED")&gt;0,"tied","standalone"),"")</f>
        <v/>
      </c>
    </row>
    <row r="10506" spans="6:14">
      <c r="F10506" s="6">
        <f>IF($M10506="PADD I","PADD 1",IF($M10506="PADD II","PADD 2",IF($M10506="PADD III","PADD 3",IF($M10506="PADD IV","PADD 4",IF($M10506="PADD V","PADD 5","")))))</f>
        <v/>
      </c>
      <c r="G10506" s="6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  <c r="N10506" s="6">
        <f>IF(OR($G10506="FCC",$G10506="Hydrocracker",$G10506="Reformer"),IF(COUNTIFS($D:$D,$D10506,$A:$A,$A10506,$B:$B,$B10506,$G:$G,"CDU",$J:$J,"PLANNED")&gt;0,"tied","standalone"),"")</f>
        <v/>
      </c>
    </row>
    <row r="10507" spans="6:14">
      <c r="F10507" s="6">
        <f>IF($M10507="PADD I","PADD 1",IF($M10507="PADD II","PADD 2",IF($M10507="PADD III","PADD 3",IF($M10507="PADD IV","PADD 4",IF($M10507="PADD V","PADD 5","")))))</f>
        <v/>
      </c>
      <c r="G10507" s="6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  <c r="N10507" s="6">
        <f>IF(OR($G10507="FCC",$G10507="Hydrocracker",$G10507="Reformer"),IF(COUNTIFS($D:$D,$D10507,$A:$A,$A10507,$B:$B,$B10507,$G:$G,"CDU",$J:$J,"PLANNED")&gt;0,"tied","standalone"),"")</f>
        <v/>
      </c>
    </row>
    <row r="10508" spans="6:14">
      <c r="F10508" s="6">
        <f>IF($M10508="PADD I","PADD 1",IF($M10508="PADD II","PADD 2",IF($M10508="PADD III","PADD 3",IF($M10508="PADD IV","PADD 4",IF($M10508="PADD V","PADD 5","")))))</f>
        <v/>
      </c>
      <c r="G10508" s="6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  <c r="N10508" s="6">
        <f>IF(OR($G10508="FCC",$G10508="Hydrocracker",$G10508="Reformer"),IF(COUNTIFS($D:$D,$D10508,$A:$A,$A10508,$B:$B,$B10508,$G:$G,"CDU",$J:$J,"PLANNED")&gt;0,"tied","standalone"),"")</f>
        <v/>
      </c>
    </row>
    <row r="10509" spans="6:14">
      <c r="F10509" s="6">
        <f>IF($M10509="PADD I","PADD 1",IF($M10509="PADD II","PADD 2",IF($M10509="PADD III","PADD 3",IF($M10509="PADD IV","PADD 4",IF($M10509="PADD V","PADD 5","")))))</f>
        <v/>
      </c>
      <c r="G10509" s="6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  <c r="N10509" s="6">
        <f>IF(OR($G10509="FCC",$G10509="Hydrocracker",$G10509="Reformer"),IF(COUNTIFS($D:$D,$D10509,$A:$A,$A10509,$B:$B,$B10509,$G:$G,"CDU",$J:$J,"PLANNED")&gt;0,"tied","standalone"),"")</f>
        <v/>
      </c>
    </row>
    <row r="10510" spans="6:14">
      <c r="F10510" s="6">
        <f>IF($M10510="PADD I","PADD 1",IF($M10510="PADD II","PADD 2",IF($M10510="PADD III","PADD 3",IF($M10510="PADD IV","PADD 4",IF($M10510="PADD V","PADD 5","")))))</f>
        <v/>
      </c>
      <c r="G10510" s="6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  <c r="N10510" s="6">
        <f>IF(OR($G10510="FCC",$G10510="Hydrocracker",$G10510="Reformer"),IF(COUNTIFS($D:$D,$D10510,$A:$A,$A10510,$B:$B,$B10510,$G:$G,"CDU",$J:$J,"PLANNED")&gt;0,"tied","standalone"),"")</f>
        <v/>
      </c>
    </row>
    <row r="10511" spans="6:14">
      <c r="F10511" s="6">
        <f>IF($M10511="PADD I","PADD 1",IF($M10511="PADD II","PADD 2",IF($M10511="PADD III","PADD 3",IF($M10511="PADD IV","PADD 4",IF($M10511="PADD V","PADD 5","")))))</f>
        <v/>
      </c>
      <c r="G10511" s="6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  <c r="N10511" s="6">
        <f>IF(OR($G10511="FCC",$G10511="Hydrocracker",$G10511="Reformer"),IF(COUNTIFS($D:$D,$D10511,$A:$A,$A10511,$B:$B,$B10511,$G:$G,"CDU",$J:$J,"PLANNED")&gt;0,"tied","standalone"),"")</f>
        <v/>
      </c>
    </row>
    <row r="10512" spans="6:14">
      <c r="F10512" s="6">
        <f>IF($M10512="PADD I","PADD 1",IF($M10512="PADD II","PADD 2",IF($M10512="PADD III","PADD 3",IF($M10512="PADD IV","PADD 4",IF($M10512="PADD V","PADD 5","")))))</f>
        <v/>
      </c>
      <c r="G10512" s="6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  <c r="N10512" s="6">
        <f>IF(OR($G10512="FCC",$G10512="Hydrocracker",$G10512="Reformer"),IF(COUNTIFS($D:$D,$D10512,$A:$A,$A10512,$B:$B,$B10512,$G:$G,"CDU",$J:$J,"PLANNED")&gt;0,"tied","standalone"),"")</f>
        <v/>
      </c>
    </row>
    <row r="10513" spans="6:14">
      <c r="F10513" s="6">
        <f>IF($M10513="PADD I","PADD 1",IF($M10513="PADD II","PADD 2",IF($M10513="PADD III","PADD 3",IF($M10513="PADD IV","PADD 4",IF($M10513="PADD V","PADD 5","")))))</f>
        <v/>
      </c>
      <c r="G10513" s="6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  <c r="N10513" s="6">
        <f>IF(OR($G10513="FCC",$G10513="Hydrocracker",$G10513="Reformer"),IF(COUNTIFS($D:$D,$D10513,$A:$A,$A10513,$B:$B,$B10513,$G:$G,"CDU",$J:$J,"PLANNED")&gt;0,"tied","standalone"),"")</f>
        <v/>
      </c>
    </row>
    <row r="10514" spans="6:14">
      <c r="F10514" s="6">
        <f>IF($M10514="PADD I","PADD 1",IF($M10514="PADD II","PADD 2",IF($M10514="PADD III","PADD 3",IF($M10514="PADD IV","PADD 4",IF($M10514="PADD V","PADD 5","")))))</f>
        <v/>
      </c>
      <c r="G10514" s="6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  <c r="N10514" s="6">
        <f>IF(OR($G10514="FCC",$G10514="Hydrocracker",$G10514="Reformer"),IF(COUNTIFS($D:$D,$D10514,$A:$A,$A10514,$B:$B,$B10514,$G:$G,"CDU",$J:$J,"PLANNED")&gt;0,"tied","standalone"),"")</f>
        <v/>
      </c>
    </row>
    <row r="10515" spans="6:14">
      <c r="F10515" s="6">
        <f>IF($M10515="PADD I","PADD 1",IF($M10515="PADD II","PADD 2",IF($M10515="PADD III","PADD 3",IF($M10515="PADD IV","PADD 4",IF($M10515="PADD V","PADD 5","")))))</f>
        <v/>
      </c>
      <c r="G10515" s="6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  <c r="N10515" s="6">
        <f>IF(OR($G10515="FCC",$G10515="Hydrocracker",$G10515="Reformer"),IF(COUNTIFS($D:$D,$D10515,$A:$A,$A10515,$B:$B,$B10515,$G:$G,"CDU",$J:$J,"PLANNED")&gt;0,"tied","standalone"),"")</f>
        <v/>
      </c>
    </row>
    <row r="10516" spans="6:14">
      <c r="F10516" s="6">
        <f>IF($M10516="PADD I","PADD 1",IF($M10516="PADD II","PADD 2",IF($M10516="PADD III","PADD 3",IF($M10516="PADD IV","PADD 4",IF($M10516="PADD V","PADD 5","")))))</f>
        <v/>
      </c>
      <c r="G10516" s="6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  <c r="N10516" s="6">
        <f>IF(OR($G10516="FCC",$G10516="Hydrocracker",$G10516="Reformer"),IF(COUNTIFS($D:$D,$D10516,$A:$A,$A10516,$B:$B,$B10516,$G:$G,"CDU",$J:$J,"PLANNED")&gt;0,"tied","standalone"),"")</f>
        <v/>
      </c>
    </row>
    <row r="10517" spans="6:14">
      <c r="F10517" s="6">
        <f>IF($M10517="PADD I","PADD 1",IF($M10517="PADD II","PADD 2",IF($M10517="PADD III","PADD 3",IF($M10517="PADD IV","PADD 4",IF($M10517="PADD V","PADD 5","")))))</f>
        <v/>
      </c>
      <c r="G10517" s="6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  <c r="N10517" s="6">
        <f>IF(OR($G10517="FCC",$G10517="Hydrocracker",$G10517="Reformer"),IF(COUNTIFS($D:$D,$D10517,$A:$A,$A10517,$B:$B,$B10517,$G:$G,"CDU",$J:$J,"PLANNED")&gt;0,"tied","standalone"),"")</f>
        <v/>
      </c>
    </row>
    <row r="10518" spans="6:14">
      <c r="F10518" s="6">
        <f>IF($M10518="PADD I","PADD 1",IF($M10518="PADD II","PADD 2",IF($M10518="PADD III","PADD 3",IF($M10518="PADD IV","PADD 4",IF($M10518="PADD V","PADD 5","")))))</f>
        <v/>
      </c>
      <c r="G10518" s="6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  <c r="N10518" s="6">
        <f>IF(OR($G10518="FCC",$G10518="Hydrocracker",$G10518="Reformer"),IF(COUNTIFS($D:$D,$D10518,$A:$A,$A10518,$B:$B,$B10518,$G:$G,"CDU",$J:$J,"PLANNED")&gt;0,"tied","standalone"),"")</f>
        <v/>
      </c>
    </row>
    <row r="10519" spans="6:14">
      <c r="F10519" s="6">
        <f>IF($M10519="PADD I","PADD 1",IF($M10519="PADD II","PADD 2",IF($M10519="PADD III","PADD 3",IF($M10519="PADD IV","PADD 4",IF($M10519="PADD V","PADD 5","")))))</f>
        <v/>
      </c>
      <c r="G10519" s="6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  <c r="N10519" s="6">
        <f>IF(OR($G10519="FCC",$G10519="Hydrocracker",$G10519="Reformer"),IF(COUNTIFS($D:$D,$D10519,$A:$A,$A10519,$B:$B,$B10519,$G:$G,"CDU",$J:$J,"PLANNED")&gt;0,"tied","standalone"),"")</f>
        <v/>
      </c>
    </row>
    <row r="10520" spans="6:14">
      <c r="F10520" s="6">
        <f>IF($M10520="PADD I","PADD 1",IF($M10520="PADD II","PADD 2",IF($M10520="PADD III","PADD 3",IF($M10520="PADD IV","PADD 4",IF($M10520="PADD V","PADD 5","")))))</f>
        <v/>
      </c>
      <c r="G10520" s="6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  <c r="N10520" s="6">
        <f>IF(OR($G10520="FCC",$G10520="Hydrocracker",$G10520="Reformer"),IF(COUNTIFS($D:$D,$D10520,$A:$A,$A10520,$B:$B,$B10520,$G:$G,"CDU",$J:$J,"PLANNED")&gt;0,"tied","standalone"),"")</f>
        <v/>
      </c>
    </row>
    <row r="10521" spans="6:14">
      <c r="F10521" s="6">
        <f>IF($M10521="PADD I","PADD 1",IF($M10521="PADD II","PADD 2",IF($M10521="PADD III","PADD 3",IF($M10521="PADD IV","PADD 4",IF($M10521="PADD V","PADD 5","")))))</f>
        <v/>
      </c>
      <c r="G10521" s="6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  <c r="N10521" s="6">
        <f>IF(OR($G10521="FCC",$G10521="Hydrocracker",$G10521="Reformer"),IF(COUNTIFS($D:$D,$D10521,$A:$A,$A10521,$B:$B,$B10521,$G:$G,"CDU",$J:$J,"PLANNED")&gt;0,"tied","standalone"),"")</f>
        <v/>
      </c>
    </row>
    <row r="10522" spans="6:14">
      <c r="F10522" s="6">
        <f>IF($M10522="PADD I","PADD 1",IF($M10522="PADD II","PADD 2",IF($M10522="PADD III","PADD 3",IF($M10522="PADD IV","PADD 4",IF($M10522="PADD V","PADD 5","")))))</f>
        <v/>
      </c>
      <c r="G10522" s="6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  <c r="N10522" s="6">
        <f>IF(OR($G10522="FCC",$G10522="Hydrocracker",$G10522="Reformer"),IF(COUNTIFS($D:$D,$D10522,$A:$A,$A10522,$B:$B,$B10522,$G:$G,"CDU",$J:$J,"PLANNED")&gt;0,"tied","standalone"),"")</f>
        <v/>
      </c>
    </row>
    <row r="10523" spans="6:14">
      <c r="F10523" s="6">
        <f>IF($M10523="PADD I","PADD 1",IF($M10523="PADD II","PADD 2",IF($M10523="PADD III","PADD 3",IF($M10523="PADD IV","PADD 4",IF($M10523="PADD V","PADD 5","")))))</f>
        <v/>
      </c>
      <c r="G10523" s="6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  <c r="N10523" s="6">
        <f>IF(OR($G10523="FCC",$G10523="Hydrocracker",$G10523="Reformer"),IF(COUNTIFS($D:$D,$D10523,$A:$A,$A10523,$B:$B,$B10523,$G:$G,"CDU",$J:$J,"PLANNED")&gt;0,"tied","standalone"),"")</f>
        <v/>
      </c>
    </row>
    <row r="10524" spans="6:14">
      <c r="F10524" s="6">
        <f>IF($M10524="PADD I","PADD 1",IF($M10524="PADD II","PADD 2",IF($M10524="PADD III","PADD 3",IF($M10524="PADD IV","PADD 4",IF($M10524="PADD V","PADD 5","")))))</f>
        <v/>
      </c>
      <c r="G10524" s="6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  <c r="N10524" s="6">
        <f>IF(OR($G10524="FCC",$G10524="Hydrocracker",$G10524="Reformer"),IF(COUNTIFS($D:$D,$D10524,$A:$A,$A10524,$B:$B,$B10524,$G:$G,"CDU",$J:$J,"PLANNED")&gt;0,"tied","standalone"),"")</f>
        <v/>
      </c>
    </row>
    <row r="10525" spans="6:14">
      <c r="F10525" s="6">
        <f>IF($M10525="PADD I","PADD 1",IF($M10525="PADD II","PADD 2",IF($M10525="PADD III","PADD 3",IF($M10525="PADD IV","PADD 4",IF($M10525="PADD V","PADD 5","")))))</f>
        <v/>
      </c>
      <c r="G10525" s="6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  <c r="N10525" s="6">
        <f>IF(OR($G10525="FCC",$G10525="Hydrocracker",$G10525="Reformer"),IF(COUNTIFS($D:$D,$D10525,$A:$A,$A10525,$B:$B,$B10525,$G:$G,"CDU",$J:$J,"PLANNED")&gt;0,"tied","standalone"),"")</f>
        <v/>
      </c>
    </row>
    <row r="10526" spans="6:14">
      <c r="F10526" s="6">
        <f>IF($M10526="PADD I","PADD 1",IF($M10526="PADD II","PADD 2",IF($M10526="PADD III","PADD 3",IF($M10526="PADD IV","PADD 4",IF($M10526="PADD V","PADD 5","")))))</f>
        <v/>
      </c>
      <c r="G10526" s="6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  <c r="N10526" s="6">
        <f>IF(OR($G10526="FCC",$G10526="Hydrocracker",$G10526="Reformer"),IF(COUNTIFS($D:$D,$D10526,$A:$A,$A10526,$B:$B,$B10526,$G:$G,"CDU",$J:$J,"PLANNED")&gt;0,"tied","standalone"),"")</f>
        <v/>
      </c>
    </row>
    <row r="10527" spans="6:14">
      <c r="F10527" s="6">
        <f>IF($M10527="PADD I","PADD 1",IF($M10527="PADD II","PADD 2",IF($M10527="PADD III","PADD 3",IF($M10527="PADD IV","PADD 4",IF($M10527="PADD V","PADD 5","")))))</f>
        <v/>
      </c>
      <c r="G10527" s="6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  <c r="N10527" s="6">
        <f>IF(OR($G10527="FCC",$G10527="Hydrocracker",$G10527="Reformer"),IF(COUNTIFS($D:$D,$D10527,$A:$A,$A10527,$B:$B,$B10527,$G:$G,"CDU",$J:$J,"PLANNED")&gt;0,"tied","standalone"),"")</f>
        <v/>
      </c>
    </row>
    <row r="10528" spans="6:14">
      <c r="F10528" s="6">
        <f>IF($M10528="PADD I","PADD 1",IF($M10528="PADD II","PADD 2",IF($M10528="PADD III","PADD 3",IF($M10528="PADD IV","PADD 4",IF($M10528="PADD V","PADD 5","")))))</f>
        <v/>
      </c>
      <c r="G10528" s="6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  <c r="N10528" s="6">
        <f>IF(OR($G10528="FCC",$G10528="Hydrocracker",$G10528="Reformer"),IF(COUNTIFS($D:$D,$D10528,$A:$A,$A10528,$B:$B,$B10528,$G:$G,"CDU",$J:$J,"PLANNED")&gt;0,"tied","standalone"),"")</f>
        <v/>
      </c>
    </row>
    <row r="10529" spans="6:14">
      <c r="F10529" s="6">
        <f>IF($M10529="PADD I","PADD 1",IF($M10529="PADD II","PADD 2",IF($M10529="PADD III","PADD 3",IF($M10529="PADD IV","PADD 4",IF($M10529="PADD V","PADD 5","")))))</f>
        <v/>
      </c>
      <c r="G10529" s="6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  <c r="N10529" s="6">
        <f>IF(OR($G10529="FCC",$G10529="Hydrocracker",$G10529="Reformer"),IF(COUNTIFS($D:$D,$D10529,$A:$A,$A10529,$B:$B,$B10529,$G:$G,"CDU",$J:$J,"PLANNED")&gt;0,"tied","standalone"),"")</f>
        <v/>
      </c>
    </row>
    <row r="10530" spans="6:14">
      <c r="F10530" s="6">
        <f>IF($M10530="PADD I","PADD 1",IF($M10530="PADD II","PADD 2",IF($M10530="PADD III","PADD 3",IF($M10530="PADD IV","PADD 4",IF($M10530="PADD V","PADD 5","")))))</f>
        <v/>
      </c>
      <c r="G10530" s="6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  <c r="N10530" s="6">
        <f>IF(OR($G10530="FCC",$G10530="Hydrocracker",$G10530="Reformer"),IF(COUNTIFS($D:$D,$D10530,$A:$A,$A10530,$B:$B,$B10530,$G:$G,"CDU",$J:$J,"PLANNED")&gt;0,"tied","standalone"),"")</f>
        <v/>
      </c>
    </row>
    <row r="10531" spans="6:14">
      <c r="F10531" s="6">
        <f>IF($M10531="PADD I","PADD 1",IF($M10531="PADD II","PADD 2",IF($M10531="PADD III","PADD 3",IF($M10531="PADD IV","PADD 4",IF($M10531="PADD V","PADD 5","")))))</f>
        <v/>
      </c>
      <c r="G10531" s="6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  <c r="N10531" s="6">
        <f>IF(OR($G10531="FCC",$G10531="Hydrocracker",$G10531="Reformer"),IF(COUNTIFS($D:$D,$D10531,$A:$A,$A10531,$B:$B,$B10531,$G:$G,"CDU",$J:$J,"PLANNED")&gt;0,"tied","standalone"),"")</f>
        <v/>
      </c>
    </row>
    <row r="10532" spans="6:14">
      <c r="F10532" s="6">
        <f>IF($M10532="PADD I","PADD 1",IF($M10532="PADD II","PADD 2",IF($M10532="PADD III","PADD 3",IF($M10532="PADD IV","PADD 4",IF($M10532="PADD V","PADD 5","")))))</f>
        <v/>
      </c>
      <c r="G10532" s="6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  <c r="N10532" s="6">
        <f>IF(OR($G10532="FCC",$G10532="Hydrocracker",$G10532="Reformer"),IF(COUNTIFS($D:$D,$D10532,$A:$A,$A10532,$B:$B,$B10532,$G:$G,"CDU",$J:$J,"PLANNED")&gt;0,"tied","standalone"),"")</f>
        <v/>
      </c>
    </row>
    <row r="10533" spans="6:14">
      <c r="F10533" s="6">
        <f>IF($M10533="PADD I","PADD 1",IF($M10533="PADD II","PADD 2",IF($M10533="PADD III","PADD 3",IF($M10533="PADD IV","PADD 4",IF($M10533="PADD V","PADD 5","")))))</f>
        <v/>
      </c>
      <c r="G10533" s="6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  <c r="N10533" s="6">
        <f>IF(OR($G10533="FCC",$G10533="Hydrocracker",$G10533="Reformer"),IF(COUNTIFS($D:$D,$D10533,$A:$A,$A10533,$B:$B,$B10533,$G:$G,"CDU",$J:$J,"PLANNED")&gt;0,"tied","standalone"),"")</f>
        <v/>
      </c>
    </row>
    <row r="10534" spans="6:14">
      <c r="F10534" s="6">
        <f>IF($M10534="PADD I","PADD 1",IF($M10534="PADD II","PADD 2",IF($M10534="PADD III","PADD 3",IF($M10534="PADD IV","PADD 4",IF($M10534="PADD V","PADD 5","")))))</f>
        <v/>
      </c>
      <c r="G10534" s="6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  <c r="N10534" s="6">
        <f>IF(OR($G10534="FCC",$G10534="Hydrocracker",$G10534="Reformer"),IF(COUNTIFS($D:$D,$D10534,$A:$A,$A10534,$B:$B,$B10534,$G:$G,"CDU",$J:$J,"PLANNED")&gt;0,"tied","standalone"),"")</f>
        <v/>
      </c>
    </row>
    <row r="10535" spans="6:14">
      <c r="F10535" s="6">
        <f>IF($M10535="PADD I","PADD 1",IF($M10535="PADD II","PADD 2",IF($M10535="PADD III","PADD 3",IF($M10535="PADD IV","PADD 4",IF($M10535="PADD V","PADD 5","")))))</f>
        <v/>
      </c>
      <c r="G10535" s="6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  <c r="N10535" s="6">
        <f>IF(OR($G10535="FCC",$G10535="Hydrocracker",$G10535="Reformer"),IF(COUNTIFS($D:$D,$D10535,$A:$A,$A10535,$B:$B,$B10535,$G:$G,"CDU",$J:$J,"PLANNED")&gt;0,"tied","standalone"),"")</f>
        <v/>
      </c>
    </row>
    <row r="10536" spans="6:14">
      <c r="F10536" s="6">
        <f>IF($M10536="PADD I","PADD 1",IF($M10536="PADD II","PADD 2",IF($M10536="PADD III","PADD 3",IF($M10536="PADD IV","PADD 4",IF($M10536="PADD V","PADD 5","")))))</f>
        <v/>
      </c>
      <c r="G10536" s="6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  <c r="N10536" s="6">
        <f>IF(OR($G10536="FCC",$G10536="Hydrocracker",$G10536="Reformer"),IF(COUNTIFS($D:$D,$D10536,$A:$A,$A10536,$B:$B,$B10536,$G:$G,"CDU",$J:$J,"PLANNED")&gt;0,"tied","standalone"),"")</f>
        <v/>
      </c>
    </row>
    <row r="10537" spans="6:14">
      <c r="F10537" s="6">
        <f>IF($M10537="PADD I","PADD 1",IF($M10537="PADD II","PADD 2",IF($M10537="PADD III","PADD 3",IF($M10537="PADD IV","PADD 4",IF($M10537="PADD V","PADD 5","")))))</f>
        <v/>
      </c>
      <c r="G10537" s="6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  <c r="N10537" s="6">
        <f>IF(OR($G10537="FCC",$G10537="Hydrocracker",$G10537="Reformer"),IF(COUNTIFS($D:$D,$D10537,$A:$A,$A10537,$B:$B,$B10537,$G:$G,"CDU",$J:$J,"PLANNED")&gt;0,"tied","standalone"),"")</f>
        <v/>
      </c>
    </row>
    <row r="10538" spans="6:14">
      <c r="F10538" s="6">
        <f>IF($M10538="PADD I","PADD 1",IF($M10538="PADD II","PADD 2",IF($M10538="PADD III","PADD 3",IF($M10538="PADD IV","PADD 4",IF($M10538="PADD V","PADD 5","")))))</f>
        <v/>
      </c>
      <c r="G10538" s="6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  <c r="N10538" s="6">
        <f>IF(OR($G10538="FCC",$G10538="Hydrocracker",$G10538="Reformer"),IF(COUNTIFS($D:$D,$D10538,$A:$A,$A10538,$B:$B,$B10538,$G:$G,"CDU",$J:$J,"PLANNED")&gt;0,"tied","standalone"),"")</f>
        <v/>
      </c>
    </row>
    <row r="10539" spans="6:14">
      <c r="F10539" s="6">
        <f>IF($M10539="PADD I","PADD 1",IF($M10539="PADD II","PADD 2",IF($M10539="PADD III","PADD 3",IF($M10539="PADD IV","PADD 4",IF($M10539="PADD V","PADD 5","")))))</f>
        <v/>
      </c>
      <c r="G10539" s="6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  <c r="N10539" s="6">
        <f>IF(OR($G10539="FCC",$G10539="Hydrocracker",$G10539="Reformer"),IF(COUNTIFS($D:$D,$D10539,$A:$A,$A10539,$B:$B,$B10539,$G:$G,"CDU",$J:$J,"PLANNED")&gt;0,"tied","standalone"),"")</f>
        <v/>
      </c>
    </row>
    <row r="10540" spans="6:14">
      <c r="F10540" s="6">
        <f>IF($M10540="PADD I","PADD 1",IF($M10540="PADD II","PADD 2",IF($M10540="PADD III","PADD 3",IF($M10540="PADD IV","PADD 4",IF($M10540="PADD V","PADD 5","")))))</f>
        <v/>
      </c>
      <c r="G10540" s="6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  <c r="N10540" s="6">
        <f>IF(OR($G10540="FCC",$G10540="Hydrocracker",$G10540="Reformer"),IF(COUNTIFS($D:$D,$D10540,$A:$A,$A10540,$B:$B,$B10540,$G:$G,"CDU",$J:$J,"PLANNED")&gt;0,"tied","standalone"),"")</f>
        <v/>
      </c>
    </row>
    <row r="10541" spans="6:14">
      <c r="F10541" s="6">
        <f>IF($M10541="PADD I","PADD 1",IF($M10541="PADD II","PADD 2",IF($M10541="PADD III","PADD 3",IF($M10541="PADD IV","PADD 4",IF($M10541="PADD V","PADD 5","")))))</f>
        <v/>
      </c>
      <c r="G10541" s="6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  <c r="N10541" s="6">
        <f>IF(OR($G10541="FCC",$G10541="Hydrocracker",$G10541="Reformer"),IF(COUNTIFS($D:$D,$D10541,$A:$A,$A10541,$B:$B,$B10541,$G:$G,"CDU",$J:$J,"PLANNED")&gt;0,"tied","standalone"),"")</f>
        <v/>
      </c>
    </row>
    <row r="10542" spans="6:14">
      <c r="F10542" s="6">
        <f>IF($M10542="PADD I","PADD 1",IF($M10542="PADD II","PADD 2",IF($M10542="PADD III","PADD 3",IF($M10542="PADD IV","PADD 4",IF($M10542="PADD V","PADD 5","")))))</f>
        <v/>
      </c>
      <c r="G10542" s="6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  <c r="N10542" s="6">
        <f>IF(OR($G10542="FCC",$G10542="Hydrocracker",$G10542="Reformer"),IF(COUNTIFS($D:$D,$D10542,$A:$A,$A10542,$B:$B,$B10542,$G:$G,"CDU",$J:$J,"PLANNED")&gt;0,"tied","standalone"),"")</f>
        <v/>
      </c>
    </row>
    <row r="10543" spans="6:14">
      <c r="F10543" s="6">
        <f>IF($M10543="PADD I","PADD 1",IF($M10543="PADD II","PADD 2",IF($M10543="PADD III","PADD 3",IF($M10543="PADD IV","PADD 4",IF($M10543="PADD V","PADD 5","")))))</f>
        <v/>
      </c>
      <c r="G10543" s="6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  <c r="N10543" s="6">
        <f>IF(OR($G10543="FCC",$G10543="Hydrocracker",$G10543="Reformer"),IF(COUNTIFS($D:$D,$D10543,$A:$A,$A10543,$B:$B,$B10543,$G:$G,"CDU",$J:$J,"PLANNED")&gt;0,"tied","standalone"),"")</f>
        <v/>
      </c>
    </row>
    <row r="10544" spans="6:14">
      <c r="F10544" s="6">
        <f>IF($M10544="PADD I","PADD 1",IF($M10544="PADD II","PADD 2",IF($M10544="PADD III","PADD 3",IF($M10544="PADD IV","PADD 4",IF($M10544="PADD V","PADD 5","")))))</f>
        <v/>
      </c>
      <c r="G10544" s="6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  <c r="N10544" s="6">
        <f>IF(OR($G10544="FCC",$G10544="Hydrocracker",$G10544="Reformer"),IF(COUNTIFS($D:$D,$D10544,$A:$A,$A10544,$B:$B,$B10544,$G:$G,"CDU",$J:$J,"PLANNED")&gt;0,"tied","standalone"),"")</f>
        <v/>
      </c>
    </row>
    <row r="10545" spans="6:14">
      <c r="F10545" s="6">
        <f>IF($M10545="PADD I","PADD 1",IF($M10545="PADD II","PADD 2",IF($M10545="PADD III","PADD 3",IF($M10545="PADD IV","PADD 4",IF($M10545="PADD V","PADD 5","")))))</f>
        <v/>
      </c>
      <c r="G10545" s="6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  <c r="N10545" s="6">
        <f>IF(OR($G10545="FCC",$G10545="Hydrocracker",$G10545="Reformer"),IF(COUNTIFS($D:$D,$D10545,$A:$A,$A10545,$B:$B,$B10545,$G:$G,"CDU",$J:$J,"PLANNED")&gt;0,"tied","standalone"),"")</f>
        <v/>
      </c>
    </row>
    <row r="10546" spans="6:14">
      <c r="F10546" s="6">
        <f>IF($M10546="PADD I","PADD 1",IF($M10546="PADD II","PADD 2",IF($M10546="PADD III","PADD 3",IF($M10546="PADD IV","PADD 4",IF($M10546="PADD V","PADD 5","")))))</f>
        <v/>
      </c>
      <c r="G10546" s="6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  <c r="N10546" s="6">
        <f>IF(OR($G10546="FCC",$G10546="Hydrocracker",$G10546="Reformer"),IF(COUNTIFS($D:$D,$D10546,$A:$A,$A10546,$B:$B,$B10546,$G:$G,"CDU",$J:$J,"PLANNED")&gt;0,"tied","standalone"),"")</f>
        <v/>
      </c>
    </row>
    <row r="10547" spans="6:14">
      <c r="F10547" s="6">
        <f>IF($M10547="PADD I","PADD 1",IF($M10547="PADD II","PADD 2",IF($M10547="PADD III","PADD 3",IF($M10547="PADD IV","PADD 4",IF($M10547="PADD V","PADD 5","")))))</f>
        <v/>
      </c>
      <c r="G10547" s="6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  <c r="N10547" s="6">
        <f>IF(OR($G10547="FCC",$G10547="Hydrocracker",$G10547="Reformer"),IF(COUNTIFS($D:$D,$D10547,$A:$A,$A10547,$B:$B,$B10547,$G:$G,"CDU",$J:$J,"PLANNED")&gt;0,"tied","standalone"),"")</f>
        <v/>
      </c>
    </row>
    <row r="10548" spans="6:14">
      <c r="F10548" s="6">
        <f>IF($M10548="PADD I","PADD 1",IF($M10548="PADD II","PADD 2",IF($M10548="PADD III","PADD 3",IF($M10548="PADD IV","PADD 4",IF($M10548="PADD V","PADD 5","")))))</f>
        <v/>
      </c>
      <c r="G10548" s="6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  <c r="N10548" s="6">
        <f>IF(OR($G10548="FCC",$G10548="Hydrocracker",$G10548="Reformer"),IF(COUNTIFS($D:$D,$D10548,$A:$A,$A10548,$B:$B,$B10548,$G:$G,"CDU",$J:$J,"PLANNED")&gt;0,"tied","standalone"),"")</f>
        <v/>
      </c>
    </row>
    <row r="10549" spans="6:14">
      <c r="F10549" s="6">
        <f>IF($M10549="PADD I","PADD 1",IF($M10549="PADD II","PADD 2",IF($M10549="PADD III","PADD 3",IF($M10549="PADD IV","PADD 4",IF($M10549="PADD V","PADD 5","")))))</f>
        <v/>
      </c>
      <c r="G10549" s="6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  <c r="N10549" s="6">
        <f>IF(OR($G10549="FCC",$G10549="Hydrocracker",$G10549="Reformer"),IF(COUNTIFS($D:$D,$D10549,$A:$A,$A10549,$B:$B,$B10549,$G:$G,"CDU",$J:$J,"PLANNED")&gt;0,"tied","standalone"),"")</f>
        <v/>
      </c>
    </row>
    <row r="10550" spans="6:14">
      <c r="F10550" s="6">
        <f>IF($M10550="PADD I","PADD 1",IF($M10550="PADD II","PADD 2",IF($M10550="PADD III","PADD 3",IF($M10550="PADD IV","PADD 4",IF($M10550="PADD V","PADD 5","")))))</f>
        <v/>
      </c>
      <c r="G10550" s="6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  <c r="N10550" s="6">
        <f>IF(OR($G10550="FCC",$G10550="Hydrocracker",$G10550="Reformer"),IF(COUNTIFS($D:$D,$D10550,$A:$A,$A10550,$B:$B,$B10550,$G:$G,"CDU",$J:$J,"PLANNED")&gt;0,"tied","standalone"),"")</f>
        <v/>
      </c>
    </row>
    <row r="10551" spans="6:14">
      <c r="F10551" s="6">
        <f>IF($M10551="PADD I","PADD 1",IF($M10551="PADD II","PADD 2",IF($M10551="PADD III","PADD 3",IF($M10551="PADD IV","PADD 4",IF($M10551="PADD V","PADD 5","")))))</f>
        <v/>
      </c>
      <c r="G10551" s="6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  <c r="N10551" s="6">
        <f>IF(OR($G10551="FCC",$G10551="Hydrocracker",$G10551="Reformer"),IF(COUNTIFS($D:$D,$D10551,$A:$A,$A10551,$B:$B,$B10551,$G:$G,"CDU",$J:$J,"PLANNED")&gt;0,"tied","standalone"),"")</f>
        <v/>
      </c>
    </row>
    <row r="10552" spans="6:14">
      <c r="F10552" s="6">
        <f>IF($M10552="PADD I","PADD 1",IF($M10552="PADD II","PADD 2",IF($M10552="PADD III","PADD 3",IF($M10552="PADD IV","PADD 4",IF($M10552="PADD V","PADD 5","")))))</f>
        <v/>
      </c>
      <c r="G10552" s="6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  <c r="N10552" s="6">
        <f>IF(OR($G10552="FCC",$G10552="Hydrocracker",$G10552="Reformer"),IF(COUNTIFS($D:$D,$D10552,$A:$A,$A10552,$B:$B,$B10552,$G:$G,"CDU",$J:$J,"PLANNED")&gt;0,"tied","standalone"),"")</f>
        <v/>
      </c>
    </row>
    <row r="10553" spans="6:14">
      <c r="F10553" s="6">
        <f>IF($M10553="PADD I","PADD 1",IF($M10553="PADD II","PADD 2",IF($M10553="PADD III","PADD 3",IF($M10553="PADD IV","PADD 4",IF($M10553="PADD V","PADD 5","")))))</f>
        <v/>
      </c>
      <c r="G10553" s="6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  <c r="N10553" s="6">
        <f>IF(OR($G10553="FCC",$G10553="Hydrocracker",$G10553="Reformer"),IF(COUNTIFS($D:$D,$D10553,$A:$A,$A10553,$B:$B,$B10553,$G:$G,"CDU",$J:$J,"PLANNED")&gt;0,"tied","standalone"),"")</f>
        <v/>
      </c>
    </row>
    <row r="10554" spans="6:14">
      <c r="F10554" s="6">
        <f>IF($M10554="PADD I","PADD 1",IF($M10554="PADD II","PADD 2",IF($M10554="PADD III","PADD 3",IF($M10554="PADD IV","PADD 4",IF($M10554="PADD V","PADD 5","")))))</f>
        <v/>
      </c>
      <c r="G10554" s="6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  <c r="N10554" s="6">
        <f>IF(OR($G10554="FCC",$G10554="Hydrocracker",$G10554="Reformer"),IF(COUNTIFS($D:$D,$D10554,$A:$A,$A10554,$B:$B,$B10554,$G:$G,"CDU",$J:$J,"PLANNED")&gt;0,"tied","standalone"),"")</f>
        <v/>
      </c>
    </row>
    <row r="10555" spans="6:14">
      <c r="F10555" s="6">
        <f>IF($M10555="PADD I","PADD 1",IF($M10555="PADD II","PADD 2",IF($M10555="PADD III","PADD 3",IF($M10555="PADD IV","PADD 4",IF($M10555="PADD V","PADD 5","")))))</f>
        <v/>
      </c>
      <c r="G10555" s="6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  <c r="N10555" s="6">
        <f>IF(OR($G10555="FCC",$G10555="Hydrocracker",$G10555="Reformer"),IF(COUNTIFS($D:$D,$D10555,$A:$A,$A10555,$B:$B,$B10555,$G:$G,"CDU",$J:$J,"PLANNED")&gt;0,"tied","standalone"),"")</f>
        <v/>
      </c>
    </row>
    <row r="10556" spans="6:14">
      <c r="F10556" s="6">
        <f>IF($M10556="PADD I","PADD 1",IF($M10556="PADD II","PADD 2",IF($M10556="PADD III","PADD 3",IF($M10556="PADD IV","PADD 4",IF($M10556="PADD V","PADD 5","")))))</f>
        <v/>
      </c>
      <c r="G10556" s="6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  <c r="N10556" s="6">
        <f>IF(OR($G10556="FCC",$G10556="Hydrocracker",$G10556="Reformer"),IF(COUNTIFS($D:$D,$D10556,$A:$A,$A10556,$B:$B,$B10556,$G:$G,"CDU",$J:$J,"PLANNED")&gt;0,"tied","standalone"),"")</f>
        <v/>
      </c>
    </row>
    <row r="10557" spans="6:14">
      <c r="F10557" s="6">
        <f>IF($M10557="PADD I","PADD 1",IF($M10557="PADD II","PADD 2",IF($M10557="PADD III","PADD 3",IF($M10557="PADD IV","PADD 4",IF($M10557="PADD V","PADD 5","")))))</f>
        <v/>
      </c>
      <c r="G10557" s="6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  <c r="N10557" s="6">
        <f>IF(OR($G10557="FCC",$G10557="Hydrocracker",$G10557="Reformer"),IF(COUNTIFS($D:$D,$D10557,$A:$A,$A10557,$B:$B,$B10557,$G:$G,"CDU",$J:$J,"PLANNED")&gt;0,"tied","standalone"),"")</f>
        <v/>
      </c>
    </row>
    <row r="10558" spans="6:14">
      <c r="F10558" s="6">
        <f>IF($M10558="PADD I","PADD 1",IF($M10558="PADD II","PADD 2",IF($M10558="PADD III","PADD 3",IF($M10558="PADD IV","PADD 4",IF($M10558="PADD V","PADD 5","")))))</f>
        <v/>
      </c>
      <c r="G10558" s="6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  <c r="N10558" s="6">
        <f>IF(OR($G10558="FCC",$G10558="Hydrocracker",$G10558="Reformer"),IF(COUNTIFS($D:$D,$D10558,$A:$A,$A10558,$B:$B,$B10558,$G:$G,"CDU",$J:$J,"PLANNED")&gt;0,"tied","standalone"),"")</f>
        <v/>
      </c>
    </row>
    <row r="10559" spans="6:14">
      <c r="F10559" s="6">
        <f>IF($M10559="PADD I","PADD 1",IF($M10559="PADD II","PADD 2",IF($M10559="PADD III","PADD 3",IF($M10559="PADD IV","PADD 4",IF($M10559="PADD V","PADD 5","")))))</f>
        <v/>
      </c>
      <c r="G10559" s="6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  <c r="N10559" s="6">
        <f>IF(OR($G10559="FCC",$G10559="Hydrocracker",$G10559="Reformer"),IF(COUNTIFS($D:$D,$D10559,$A:$A,$A10559,$B:$B,$B10559,$G:$G,"CDU",$J:$J,"PLANNED")&gt;0,"tied","standalone"),"")</f>
        <v/>
      </c>
    </row>
    <row r="10560" spans="6:14">
      <c r="F10560" s="6">
        <f>IF($M10560="PADD I","PADD 1",IF($M10560="PADD II","PADD 2",IF($M10560="PADD III","PADD 3",IF($M10560="PADD IV","PADD 4",IF($M10560="PADD V","PADD 5","")))))</f>
        <v/>
      </c>
      <c r="G10560" s="6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  <c r="N10560" s="6">
        <f>IF(OR($G10560="FCC",$G10560="Hydrocracker",$G10560="Reformer"),IF(COUNTIFS($D:$D,$D10560,$A:$A,$A10560,$B:$B,$B10560,$G:$G,"CDU",$J:$J,"PLANNED")&gt;0,"tied","standalone"),"")</f>
        <v/>
      </c>
    </row>
    <row r="10561" spans="6:14">
      <c r="F10561" s="6">
        <f>IF($M10561="PADD I","PADD 1",IF($M10561="PADD II","PADD 2",IF($M10561="PADD III","PADD 3",IF($M10561="PADD IV","PADD 4",IF($M10561="PADD V","PADD 5","")))))</f>
        <v/>
      </c>
      <c r="G10561" s="6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  <c r="N10561" s="6">
        <f>IF(OR($G10561="FCC",$G10561="Hydrocracker",$G10561="Reformer"),IF(COUNTIFS($D:$D,$D10561,$A:$A,$A10561,$B:$B,$B10561,$G:$G,"CDU",$J:$J,"PLANNED")&gt;0,"tied","standalone"),"")</f>
        <v/>
      </c>
    </row>
    <row r="10562" spans="6:14">
      <c r="F10562" s="6">
        <f>IF($M10562="PADD I","PADD 1",IF($M10562="PADD II","PADD 2",IF($M10562="PADD III","PADD 3",IF($M10562="PADD IV","PADD 4",IF($M10562="PADD V","PADD 5","")))))</f>
        <v/>
      </c>
      <c r="G10562" s="6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  <c r="N10562" s="6">
        <f>IF(OR($G10562="FCC",$G10562="Hydrocracker",$G10562="Reformer"),IF(COUNTIFS($D:$D,$D10562,$A:$A,$A10562,$B:$B,$B10562,$G:$G,"CDU",$J:$J,"PLANNED")&gt;0,"tied","standalone"),"")</f>
        <v/>
      </c>
    </row>
    <row r="10563" spans="6:14">
      <c r="F10563" s="6">
        <f>IF($M10563="PADD I","PADD 1",IF($M10563="PADD II","PADD 2",IF($M10563="PADD III","PADD 3",IF($M10563="PADD IV","PADD 4",IF($M10563="PADD V","PADD 5","")))))</f>
        <v/>
      </c>
      <c r="G10563" s="6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  <c r="N10563" s="6">
        <f>IF(OR($G10563="FCC",$G10563="Hydrocracker",$G10563="Reformer"),IF(COUNTIFS($D:$D,$D10563,$A:$A,$A10563,$B:$B,$B10563,$G:$G,"CDU",$J:$J,"PLANNED")&gt;0,"tied","standalone"),"")</f>
        <v/>
      </c>
    </row>
    <row r="10564" spans="6:14">
      <c r="F10564" s="6">
        <f>IF($M10564="PADD I","PADD 1",IF($M10564="PADD II","PADD 2",IF($M10564="PADD III","PADD 3",IF($M10564="PADD IV","PADD 4",IF($M10564="PADD V","PADD 5","")))))</f>
        <v/>
      </c>
      <c r="G10564" s="6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  <c r="N10564" s="6">
        <f>IF(OR($G10564="FCC",$G10564="Hydrocracker",$G10564="Reformer"),IF(COUNTIFS($D:$D,$D10564,$A:$A,$A10564,$B:$B,$B10564,$G:$G,"CDU",$J:$J,"PLANNED")&gt;0,"tied","standalone"),"")</f>
        <v/>
      </c>
    </row>
    <row r="10565" spans="6:14">
      <c r="F10565" s="6">
        <f>IF($M10565="PADD I","PADD 1",IF($M10565="PADD II","PADD 2",IF($M10565="PADD III","PADD 3",IF($M10565="PADD IV","PADD 4",IF($M10565="PADD V","PADD 5","")))))</f>
        <v/>
      </c>
      <c r="G10565" s="6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  <c r="N10565" s="6">
        <f>IF(OR($G10565="FCC",$G10565="Hydrocracker",$G10565="Reformer"),IF(COUNTIFS($D:$D,$D10565,$A:$A,$A10565,$B:$B,$B10565,$G:$G,"CDU",$J:$J,"PLANNED")&gt;0,"tied","standalone"),"")</f>
        <v/>
      </c>
    </row>
    <row r="10566" spans="6:14">
      <c r="F10566" s="6">
        <f>IF($M10566="PADD I","PADD 1",IF($M10566="PADD II","PADD 2",IF($M10566="PADD III","PADD 3",IF($M10566="PADD IV","PADD 4",IF($M10566="PADD V","PADD 5","")))))</f>
        <v/>
      </c>
      <c r="G10566" s="6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  <c r="N10566" s="6">
        <f>IF(OR($G10566="FCC",$G10566="Hydrocracker",$G10566="Reformer"),IF(COUNTIFS($D:$D,$D10566,$A:$A,$A10566,$B:$B,$B10566,$G:$G,"CDU",$J:$J,"PLANNED")&gt;0,"tied","standalone"),"")</f>
        <v/>
      </c>
    </row>
    <row r="10567" spans="6:14">
      <c r="F10567" s="6">
        <f>IF($M10567="PADD I","PADD 1",IF($M10567="PADD II","PADD 2",IF($M10567="PADD III","PADD 3",IF($M10567="PADD IV","PADD 4",IF($M10567="PADD V","PADD 5","")))))</f>
        <v/>
      </c>
      <c r="G10567" s="6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  <c r="N10567" s="6">
        <f>IF(OR($G10567="FCC",$G10567="Hydrocracker",$G10567="Reformer"),IF(COUNTIFS($D:$D,$D10567,$A:$A,$A10567,$B:$B,$B10567,$G:$G,"CDU",$J:$J,"PLANNED")&gt;0,"tied","standalone"),"")</f>
        <v/>
      </c>
    </row>
    <row r="10568" spans="6:14">
      <c r="F10568" s="6">
        <f>IF($M10568="PADD I","PADD 1",IF($M10568="PADD II","PADD 2",IF($M10568="PADD III","PADD 3",IF($M10568="PADD IV","PADD 4",IF($M10568="PADD V","PADD 5","")))))</f>
        <v/>
      </c>
      <c r="G10568" s="6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  <c r="N10568" s="6">
        <f>IF(OR($G10568="FCC",$G10568="Hydrocracker",$G10568="Reformer"),IF(COUNTIFS($D:$D,$D10568,$A:$A,$A10568,$B:$B,$B10568,$G:$G,"CDU",$J:$J,"PLANNED")&gt;0,"tied","standalone"),"")</f>
        <v/>
      </c>
    </row>
    <row r="10569" spans="6:14">
      <c r="F10569" s="6">
        <f>IF($M10569="PADD I","PADD 1",IF($M10569="PADD II","PADD 2",IF($M10569="PADD III","PADD 3",IF($M10569="PADD IV","PADD 4",IF($M10569="PADD V","PADD 5","")))))</f>
        <v/>
      </c>
      <c r="G10569" s="6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  <c r="N10569" s="6">
        <f>IF(OR($G10569="FCC",$G10569="Hydrocracker",$G10569="Reformer"),IF(COUNTIFS($D:$D,$D10569,$A:$A,$A10569,$B:$B,$B10569,$G:$G,"CDU",$J:$J,"PLANNED")&gt;0,"tied","standalone"),"")</f>
        <v/>
      </c>
    </row>
    <row r="10570" spans="6:14">
      <c r="F10570" s="6">
        <f>IF($M10570="PADD I","PADD 1",IF($M10570="PADD II","PADD 2",IF($M10570="PADD III","PADD 3",IF($M10570="PADD IV","PADD 4",IF($M10570="PADD V","PADD 5","")))))</f>
        <v/>
      </c>
      <c r="G10570" s="6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  <c r="N10570" s="6">
        <f>IF(OR($G10570="FCC",$G10570="Hydrocracker",$G10570="Reformer"),IF(COUNTIFS($D:$D,$D10570,$A:$A,$A10570,$B:$B,$B10570,$G:$G,"CDU",$J:$J,"PLANNED")&gt;0,"tied","standalone"),"")</f>
        <v/>
      </c>
    </row>
    <row r="10571" spans="6:14">
      <c r="F10571" s="6">
        <f>IF($M10571="PADD I","PADD 1",IF($M10571="PADD II","PADD 2",IF($M10571="PADD III","PADD 3",IF($M10571="PADD IV","PADD 4",IF($M10571="PADD V","PADD 5","")))))</f>
        <v/>
      </c>
      <c r="G10571" s="6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  <c r="N10571" s="6">
        <f>IF(OR($G10571="FCC",$G10571="Hydrocracker",$G10571="Reformer"),IF(COUNTIFS($D:$D,$D10571,$A:$A,$A10571,$B:$B,$B10571,$G:$G,"CDU",$J:$J,"PLANNED")&gt;0,"tied","standalone"),"")</f>
        <v/>
      </c>
    </row>
    <row r="10572" spans="6:14">
      <c r="F10572" s="6">
        <f>IF($M10572="PADD I","PADD 1",IF($M10572="PADD II","PADD 2",IF($M10572="PADD III","PADD 3",IF($M10572="PADD IV","PADD 4",IF($M10572="PADD V","PADD 5","")))))</f>
        <v/>
      </c>
      <c r="G10572" s="6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  <c r="N10572" s="6">
        <f>IF(OR($G10572="FCC",$G10572="Hydrocracker",$G10572="Reformer"),IF(COUNTIFS($D:$D,$D10572,$A:$A,$A10572,$B:$B,$B10572,$G:$G,"CDU",$J:$J,"PLANNED")&gt;0,"tied","standalone"),"")</f>
        <v/>
      </c>
    </row>
    <row r="10573" spans="6:14">
      <c r="F10573" s="6">
        <f>IF($M10573="PADD I","PADD 1",IF($M10573="PADD II","PADD 2",IF($M10573="PADD III","PADD 3",IF($M10573="PADD IV","PADD 4",IF($M10573="PADD V","PADD 5","")))))</f>
        <v/>
      </c>
      <c r="G10573" s="6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  <c r="N10573" s="6">
        <f>IF(OR($G10573="FCC",$G10573="Hydrocracker",$G10573="Reformer"),IF(COUNTIFS($D:$D,$D10573,$A:$A,$A10573,$B:$B,$B10573,$G:$G,"CDU",$J:$J,"PLANNED")&gt;0,"tied","standalone"),"")</f>
        <v/>
      </c>
    </row>
    <row r="10574" spans="6:14">
      <c r="F10574" s="6">
        <f>IF($M10574="PADD I","PADD 1",IF($M10574="PADD II","PADD 2",IF($M10574="PADD III","PADD 3",IF($M10574="PADD IV","PADD 4",IF($M10574="PADD V","PADD 5","")))))</f>
        <v/>
      </c>
      <c r="G10574" s="6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  <c r="N10574" s="6">
        <f>IF(OR($G10574="FCC",$G10574="Hydrocracker",$G10574="Reformer"),IF(COUNTIFS($D:$D,$D10574,$A:$A,$A10574,$B:$B,$B10574,$G:$G,"CDU",$J:$J,"PLANNED")&gt;0,"tied","standalone"),"")</f>
        <v/>
      </c>
    </row>
    <row r="10575" spans="6:14">
      <c r="F10575" s="6">
        <f>IF($M10575="PADD I","PADD 1",IF($M10575="PADD II","PADD 2",IF($M10575="PADD III","PADD 3",IF($M10575="PADD IV","PADD 4",IF($M10575="PADD V","PADD 5","")))))</f>
        <v/>
      </c>
      <c r="G10575" s="6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  <c r="N10575" s="6">
        <f>IF(OR($G10575="FCC",$G10575="Hydrocracker",$G10575="Reformer"),IF(COUNTIFS($D:$D,$D10575,$A:$A,$A10575,$B:$B,$B10575,$G:$G,"CDU",$J:$J,"PLANNED")&gt;0,"tied","standalone"),"")</f>
        <v/>
      </c>
    </row>
    <row r="10576" spans="6:14">
      <c r="F10576" s="6">
        <f>IF($M10576="PADD I","PADD 1",IF($M10576="PADD II","PADD 2",IF($M10576="PADD III","PADD 3",IF($M10576="PADD IV","PADD 4",IF($M10576="PADD V","PADD 5","")))))</f>
        <v/>
      </c>
      <c r="G10576" s="6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  <c r="N10576" s="6">
        <f>IF(OR($G10576="FCC",$G10576="Hydrocracker",$G10576="Reformer"),IF(COUNTIFS($D:$D,$D10576,$A:$A,$A10576,$B:$B,$B10576,$G:$G,"CDU",$J:$J,"PLANNED")&gt;0,"tied","standalone"),"")</f>
        <v/>
      </c>
    </row>
    <row r="10577" spans="6:14">
      <c r="F10577" s="6">
        <f>IF($M10577="PADD I","PADD 1",IF($M10577="PADD II","PADD 2",IF($M10577="PADD III","PADD 3",IF($M10577="PADD IV","PADD 4",IF($M10577="PADD V","PADD 5","")))))</f>
        <v/>
      </c>
      <c r="G10577" s="6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  <c r="N10577" s="6">
        <f>IF(OR($G10577="FCC",$G10577="Hydrocracker",$G10577="Reformer"),IF(COUNTIFS($D:$D,$D10577,$A:$A,$A10577,$B:$B,$B10577,$G:$G,"CDU",$J:$J,"PLANNED")&gt;0,"tied","standalone"),"")</f>
        <v/>
      </c>
    </row>
    <row r="10578" spans="6:14">
      <c r="F10578" s="6">
        <f>IF($M10578="PADD I","PADD 1",IF($M10578="PADD II","PADD 2",IF($M10578="PADD III","PADD 3",IF($M10578="PADD IV","PADD 4",IF($M10578="PADD V","PADD 5","")))))</f>
        <v/>
      </c>
      <c r="G10578" s="6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  <c r="N10578" s="6">
        <f>IF(OR($G10578="FCC",$G10578="Hydrocracker",$G10578="Reformer"),IF(COUNTIFS($D:$D,$D10578,$A:$A,$A10578,$B:$B,$B10578,$G:$G,"CDU",$J:$J,"PLANNED")&gt;0,"tied","standalone"),"")</f>
        <v/>
      </c>
    </row>
    <row r="10579" spans="6:14">
      <c r="F10579" s="6">
        <f>IF($M10579="PADD I","PADD 1",IF($M10579="PADD II","PADD 2",IF($M10579="PADD III","PADD 3",IF($M10579="PADD IV","PADD 4",IF($M10579="PADD V","PADD 5","")))))</f>
        <v/>
      </c>
      <c r="G10579" s="6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  <c r="N10579" s="6">
        <f>IF(OR($G10579="FCC",$G10579="Hydrocracker",$G10579="Reformer"),IF(COUNTIFS($D:$D,$D10579,$A:$A,$A10579,$B:$B,$B10579,$G:$G,"CDU",$J:$J,"PLANNED")&gt;0,"tied","standalone"),"")</f>
        <v/>
      </c>
    </row>
    <row r="10580" spans="6:14">
      <c r="F10580" s="6">
        <f>IF($M10580="PADD I","PADD 1",IF($M10580="PADD II","PADD 2",IF($M10580="PADD III","PADD 3",IF($M10580="PADD IV","PADD 4",IF($M10580="PADD V","PADD 5","")))))</f>
        <v/>
      </c>
      <c r="G10580" s="6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  <c r="N10580" s="6">
        <f>IF(OR($G10580="FCC",$G10580="Hydrocracker",$G10580="Reformer"),IF(COUNTIFS($D:$D,$D10580,$A:$A,$A10580,$B:$B,$B10580,$G:$G,"CDU",$J:$J,"PLANNED")&gt;0,"tied","standalone"),"")</f>
        <v/>
      </c>
    </row>
    <row r="10581" spans="6:14">
      <c r="F10581" s="6">
        <f>IF($M10581="PADD I","PADD 1",IF($M10581="PADD II","PADD 2",IF($M10581="PADD III","PADD 3",IF($M10581="PADD IV","PADD 4",IF($M10581="PADD V","PADD 5","")))))</f>
        <v/>
      </c>
      <c r="G10581" s="6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  <c r="N10581" s="6">
        <f>IF(OR($G10581="FCC",$G10581="Hydrocracker",$G10581="Reformer"),IF(COUNTIFS($D:$D,$D10581,$A:$A,$A10581,$B:$B,$B10581,$G:$G,"CDU",$J:$J,"PLANNED")&gt;0,"tied","standalone"),"")</f>
        <v/>
      </c>
    </row>
    <row r="10582" spans="6:14">
      <c r="F10582" s="6">
        <f>IF($M10582="PADD I","PADD 1",IF($M10582="PADD II","PADD 2",IF($M10582="PADD III","PADD 3",IF($M10582="PADD IV","PADD 4",IF($M10582="PADD V","PADD 5","")))))</f>
        <v/>
      </c>
      <c r="G10582" s="6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  <c r="N10582" s="6">
        <f>IF(OR($G10582="FCC",$G10582="Hydrocracker",$G10582="Reformer"),IF(COUNTIFS($D:$D,$D10582,$A:$A,$A10582,$B:$B,$B10582,$G:$G,"CDU",$J:$J,"PLANNED")&gt;0,"tied","standalone"),"")</f>
        <v/>
      </c>
    </row>
    <row r="10583" spans="6:14">
      <c r="F10583" s="6">
        <f>IF($M10583="PADD I","PADD 1",IF($M10583="PADD II","PADD 2",IF($M10583="PADD III","PADD 3",IF($M10583="PADD IV","PADD 4",IF($M10583="PADD V","PADD 5","")))))</f>
        <v/>
      </c>
      <c r="G10583" s="6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  <c r="N10583" s="6">
        <f>IF(OR($G10583="FCC",$G10583="Hydrocracker",$G10583="Reformer"),IF(COUNTIFS($D:$D,$D10583,$A:$A,$A10583,$B:$B,$B10583,$G:$G,"CDU",$J:$J,"PLANNED")&gt;0,"tied","standalone"),"")</f>
        <v/>
      </c>
    </row>
    <row r="10584" spans="6:14">
      <c r="F10584" s="6">
        <f>IF($M10584="PADD I","PADD 1",IF($M10584="PADD II","PADD 2",IF($M10584="PADD III","PADD 3",IF($M10584="PADD IV","PADD 4",IF($M10584="PADD V","PADD 5","")))))</f>
        <v/>
      </c>
      <c r="G10584" s="6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  <c r="N10584" s="6">
        <f>IF(OR($G10584="FCC",$G10584="Hydrocracker",$G10584="Reformer"),IF(COUNTIFS($D:$D,$D10584,$A:$A,$A10584,$B:$B,$B10584,$G:$G,"CDU",$J:$J,"PLANNED")&gt;0,"tied","standalone"),"")</f>
        <v/>
      </c>
    </row>
    <row r="10585" spans="6:14">
      <c r="F10585" s="6">
        <f>IF($M10585="PADD I","PADD 1",IF($M10585="PADD II","PADD 2",IF($M10585="PADD III","PADD 3",IF($M10585="PADD IV","PADD 4",IF($M10585="PADD V","PADD 5","")))))</f>
        <v/>
      </c>
      <c r="G10585" s="6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  <c r="N10585" s="6">
        <f>IF(OR($G10585="FCC",$G10585="Hydrocracker",$G10585="Reformer"),IF(COUNTIFS($D:$D,$D10585,$A:$A,$A10585,$B:$B,$B10585,$G:$G,"CDU",$J:$J,"PLANNED")&gt;0,"tied","standalone"),"")</f>
        <v/>
      </c>
    </row>
    <row r="10586" spans="6:14">
      <c r="F10586" s="6">
        <f>IF($M10586="PADD I","PADD 1",IF($M10586="PADD II","PADD 2",IF($M10586="PADD III","PADD 3",IF($M10586="PADD IV","PADD 4",IF($M10586="PADD V","PADD 5","")))))</f>
        <v/>
      </c>
      <c r="G10586" s="6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  <c r="N10586" s="6">
        <f>IF(OR($G10586="FCC",$G10586="Hydrocracker",$G10586="Reformer"),IF(COUNTIFS($D:$D,$D10586,$A:$A,$A10586,$B:$B,$B10586,$G:$G,"CDU",$J:$J,"PLANNED")&gt;0,"tied","standalone"),"")</f>
        <v/>
      </c>
    </row>
    <row r="10587" spans="6:14">
      <c r="F10587" s="6">
        <f>IF($M10587="PADD I","PADD 1",IF($M10587="PADD II","PADD 2",IF($M10587="PADD III","PADD 3",IF($M10587="PADD IV","PADD 4",IF($M10587="PADD V","PADD 5","")))))</f>
        <v/>
      </c>
      <c r="G10587" s="6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  <c r="N10587" s="6">
        <f>IF(OR($G10587="FCC",$G10587="Hydrocracker",$G10587="Reformer"),IF(COUNTIFS($D:$D,$D10587,$A:$A,$A10587,$B:$B,$B10587,$G:$G,"CDU",$J:$J,"PLANNED")&gt;0,"tied","standalone"),"")</f>
        <v/>
      </c>
    </row>
    <row r="10588" spans="6:14">
      <c r="F10588" s="6">
        <f>IF($M10588="PADD I","PADD 1",IF($M10588="PADD II","PADD 2",IF($M10588="PADD III","PADD 3",IF($M10588="PADD IV","PADD 4",IF($M10588="PADD V","PADD 5","")))))</f>
        <v/>
      </c>
      <c r="G10588" s="6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  <c r="N10588" s="6">
        <f>IF(OR($G10588="FCC",$G10588="Hydrocracker",$G10588="Reformer"),IF(COUNTIFS($D:$D,$D10588,$A:$A,$A10588,$B:$B,$B10588,$G:$G,"CDU",$J:$J,"PLANNED")&gt;0,"tied","standalone"),"")</f>
        <v/>
      </c>
    </row>
    <row r="10589" spans="6:14">
      <c r="F10589" s="6">
        <f>IF($M10589="PADD I","PADD 1",IF($M10589="PADD II","PADD 2",IF($M10589="PADD III","PADD 3",IF($M10589="PADD IV","PADD 4",IF($M10589="PADD V","PADD 5","")))))</f>
        <v/>
      </c>
      <c r="G10589" s="6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  <c r="N10589" s="6">
        <f>IF(OR($G10589="FCC",$G10589="Hydrocracker",$G10589="Reformer"),IF(COUNTIFS($D:$D,$D10589,$A:$A,$A10589,$B:$B,$B10589,$G:$G,"CDU",$J:$J,"PLANNED")&gt;0,"tied","standalone"),"")</f>
        <v/>
      </c>
    </row>
    <row r="10590" spans="6:14">
      <c r="F10590" s="6">
        <f>IF($M10590="PADD I","PADD 1",IF($M10590="PADD II","PADD 2",IF($M10590="PADD III","PADD 3",IF($M10590="PADD IV","PADD 4",IF($M10590="PADD V","PADD 5","")))))</f>
        <v/>
      </c>
      <c r="G10590" s="6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  <c r="N10590" s="6">
        <f>IF(OR($G10590="FCC",$G10590="Hydrocracker",$G10590="Reformer"),IF(COUNTIFS($D:$D,$D10590,$A:$A,$A10590,$B:$B,$B10590,$G:$G,"CDU",$J:$J,"PLANNED")&gt;0,"tied","standalone"),"")</f>
        <v/>
      </c>
    </row>
    <row r="10591" spans="6:14">
      <c r="F10591" s="6">
        <f>IF($M10591="PADD I","PADD 1",IF($M10591="PADD II","PADD 2",IF($M10591="PADD III","PADD 3",IF($M10591="PADD IV","PADD 4",IF($M10591="PADD V","PADD 5","")))))</f>
        <v/>
      </c>
      <c r="G10591" s="6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  <c r="N10591" s="6">
        <f>IF(OR($G10591="FCC",$G10591="Hydrocracker",$G10591="Reformer"),IF(COUNTIFS($D:$D,$D10591,$A:$A,$A10591,$B:$B,$B10591,$G:$G,"CDU",$J:$J,"PLANNED")&gt;0,"tied","standalone"),"")</f>
        <v/>
      </c>
    </row>
    <row r="10592" spans="6:14">
      <c r="F10592" s="6">
        <f>IF($M10592="PADD I","PADD 1",IF($M10592="PADD II","PADD 2",IF($M10592="PADD III","PADD 3",IF($M10592="PADD IV","PADD 4",IF($M10592="PADD V","PADD 5","")))))</f>
        <v/>
      </c>
      <c r="G10592" s="6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  <c r="N10592" s="6">
        <f>IF(OR($G10592="FCC",$G10592="Hydrocracker",$G10592="Reformer"),IF(COUNTIFS($D:$D,$D10592,$A:$A,$A10592,$B:$B,$B10592,$G:$G,"CDU",$J:$J,"PLANNED")&gt;0,"tied","standalone"),"")</f>
        <v/>
      </c>
    </row>
    <row r="10593" spans="6:14">
      <c r="F10593" s="6">
        <f>IF($M10593="PADD I","PADD 1",IF($M10593="PADD II","PADD 2",IF($M10593="PADD III","PADD 3",IF($M10593="PADD IV","PADD 4",IF($M10593="PADD V","PADD 5","")))))</f>
        <v/>
      </c>
      <c r="G10593" s="6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  <c r="N10593" s="6">
        <f>IF(OR($G10593="FCC",$G10593="Hydrocracker",$G10593="Reformer"),IF(COUNTIFS($D:$D,$D10593,$A:$A,$A10593,$B:$B,$B10593,$G:$G,"CDU",$J:$J,"PLANNED")&gt;0,"tied","standalone"),"")</f>
        <v/>
      </c>
    </row>
    <row r="10594" spans="6:14">
      <c r="F10594" s="6">
        <f>IF($M10594="PADD I","PADD 1",IF($M10594="PADD II","PADD 2",IF($M10594="PADD III","PADD 3",IF($M10594="PADD IV","PADD 4",IF($M10594="PADD V","PADD 5","")))))</f>
        <v/>
      </c>
      <c r="G10594" s="6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  <c r="N10594" s="6">
        <f>IF(OR($G10594="FCC",$G10594="Hydrocracker",$G10594="Reformer"),IF(COUNTIFS($D:$D,$D10594,$A:$A,$A10594,$B:$B,$B10594,$G:$G,"CDU",$J:$J,"PLANNED")&gt;0,"tied","standalone"),"")</f>
        <v/>
      </c>
    </row>
    <row r="10595" spans="6:14">
      <c r="F10595" s="6">
        <f>IF($M10595="PADD I","PADD 1",IF($M10595="PADD II","PADD 2",IF($M10595="PADD III","PADD 3",IF($M10595="PADD IV","PADD 4",IF($M10595="PADD V","PADD 5","")))))</f>
        <v/>
      </c>
      <c r="G10595" s="6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  <c r="N10595" s="6">
        <f>IF(OR($G10595="FCC",$G10595="Hydrocracker",$G10595="Reformer"),IF(COUNTIFS($D:$D,$D10595,$A:$A,$A10595,$B:$B,$B10595,$G:$G,"CDU",$J:$J,"PLANNED")&gt;0,"tied","standalone"),"")</f>
        <v/>
      </c>
    </row>
    <row r="10596" spans="6:14">
      <c r="F10596" s="6">
        <f>IF($M10596="PADD I","PADD 1",IF($M10596="PADD II","PADD 2",IF($M10596="PADD III","PADD 3",IF($M10596="PADD IV","PADD 4",IF($M10596="PADD V","PADD 5","")))))</f>
        <v/>
      </c>
      <c r="G10596" s="6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  <c r="N10596" s="6">
        <f>IF(OR($G10596="FCC",$G10596="Hydrocracker",$G10596="Reformer"),IF(COUNTIFS($D:$D,$D10596,$A:$A,$A10596,$B:$B,$B10596,$G:$G,"CDU",$J:$J,"PLANNED")&gt;0,"tied","standalone"),"")</f>
        <v/>
      </c>
    </row>
    <row r="10597" spans="6:14">
      <c r="F10597" s="6">
        <f>IF($M10597="PADD I","PADD 1",IF($M10597="PADD II","PADD 2",IF($M10597="PADD III","PADD 3",IF($M10597="PADD IV","PADD 4",IF($M10597="PADD V","PADD 5","")))))</f>
        <v/>
      </c>
      <c r="G10597" s="6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  <c r="N10597" s="6">
        <f>IF(OR($G10597="FCC",$G10597="Hydrocracker",$G10597="Reformer"),IF(COUNTIFS($D:$D,$D10597,$A:$A,$A10597,$B:$B,$B10597,$G:$G,"CDU",$J:$J,"PLANNED")&gt;0,"tied","standalone"),"")</f>
        <v/>
      </c>
    </row>
    <row r="10598" spans="6:14">
      <c r="F10598" s="6">
        <f>IF($M10598="PADD I","PADD 1",IF($M10598="PADD II","PADD 2",IF($M10598="PADD III","PADD 3",IF($M10598="PADD IV","PADD 4",IF($M10598="PADD V","PADD 5","")))))</f>
        <v/>
      </c>
      <c r="G10598" s="6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  <c r="N10598" s="6">
        <f>IF(OR($G10598="FCC",$G10598="Hydrocracker",$G10598="Reformer"),IF(COUNTIFS($D:$D,$D10598,$A:$A,$A10598,$B:$B,$B10598,$G:$G,"CDU",$J:$J,"PLANNED")&gt;0,"tied","standalone"),"")</f>
        <v/>
      </c>
    </row>
    <row r="10599" spans="6:14">
      <c r="F10599" s="6">
        <f>IF($M10599="PADD I","PADD 1",IF($M10599="PADD II","PADD 2",IF($M10599="PADD III","PADD 3",IF($M10599="PADD IV","PADD 4",IF($M10599="PADD V","PADD 5","")))))</f>
        <v/>
      </c>
      <c r="G10599" s="6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  <c r="N10599" s="6">
        <f>IF(OR($G10599="FCC",$G10599="Hydrocracker",$G10599="Reformer"),IF(COUNTIFS($D:$D,$D10599,$A:$A,$A10599,$B:$B,$B10599,$G:$G,"CDU",$J:$J,"PLANNED")&gt;0,"tied","standalone"),"")</f>
        <v/>
      </c>
    </row>
    <row r="10600" spans="6:14">
      <c r="F10600" s="6">
        <f>IF($M10600="PADD I","PADD 1",IF($M10600="PADD II","PADD 2",IF($M10600="PADD III","PADD 3",IF($M10600="PADD IV","PADD 4",IF($M10600="PADD V","PADD 5","")))))</f>
        <v/>
      </c>
      <c r="G10600" s="6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  <c r="N10600" s="6">
        <f>IF(OR($G10600="FCC",$G10600="Hydrocracker",$G10600="Reformer"),IF(COUNTIFS($D:$D,$D10600,$A:$A,$A10600,$B:$B,$B10600,$G:$G,"CDU",$J:$J,"PLANNED")&gt;0,"tied","standalone"),"")</f>
        <v/>
      </c>
    </row>
    <row r="10601" spans="6:14">
      <c r="F10601" s="6">
        <f>IF($M10601="PADD I","PADD 1",IF($M10601="PADD II","PADD 2",IF($M10601="PADD III","PADD 3",IF($M10601="PADD IV","PADD 4",IF($M10601="PADD V","PADD 5","")))))</f>
        <v/>
      </c>
      <c r="G10601" s="6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  <c r="N10601" s="6">
        <f>IF(OR($G10601="FCC",$G10601="Hydrocracker",$G10601="Reformer"),IF(COUNTIFS($D:$D,$D10601,$A:$A,$A10601,$B:$B,$B10601,$G:$G,"CDU",$J:$J,"PLANNED")&gt;0,"tied","standalone"),"")</f>
        <v/>
      </c>
    </row>
    <row r="10602" spans="6:14">
      <c r="F10602" s="6">
        <f>IF($M10602="PADD I","PADD 1",IF($M10602="PADD II","PADD 2",IF($M10602="PADD III","PADD 3",IF($M10602="PADD IV","PADD 4",IF($M10602="PADD V","PADD 5","")))))</f>
        <v/>
      </c>
      <c r="G10602" s="6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  <c r="N10602" s="6">
        <f>IF(OR($G10602="FCC",$G10602="Hydrocracker",$G10602="Reformer"),IF(COUNTIFS($D:$D,$D10602,$A:$A,$A10602,$B:$B,$B10602,$G:$G,"CDU",$J:$J,"PLANNED")&gt;0,"tied","standalone"),"")</f>
        <v/>
      </c>
    </row>
    <row r="10603" spans="6:14">
      <c r="F10603" s="6">
        <f>IF($M10603="PADD I","PADD 1",IF($M10603="PADD II","PADD 2",IF($M10603="PADD III","PADD 3",IF($M10603="PADD IV","PADD 4",IF($M10603="PADD V","PADD 5","")))))</f>
        <v/>
      </c>
      <c r="G10603" s="6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  <c r="N10603" s="6">
        <f>IF(OR($G10603="FCC",$G10603="Hydrocracker",$G10603="Reformer"),IF(COUNTIFS($D:$D,$D10603,$A:$A,$A10603,$B:$B,$B10603,$G:$G,"CDU",$J:$J,"PLANNED")&gt;0,"tied","standalone"),"")</f>
        <v/>
      </c>
    </row>
    <row r="10604" spans="6:14">
      <c r="F10604" s="6">
        <f>IF($M10604="PADD I","PADD 1",IF($M10604="PADD II","PADD 2",IF($M10604="PADD III","PADD 3",IF($M10604="PADD IV","PADD 4",IF($M10604="PADD V","PADD 5","")))))</f>
        <v/>
      </c>
      <c r="G10604" s="6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  <c r="N10604" s="6">
        <f>IF(OR($G10604="FCC",$G10604="Hydrocracker",$G10604="Reformer"),IF(COUNTIFS($D:$D,$D10604,$A:$A,$A10604,$B:$B,$B10604,$G:$G,"CDU",$J:$J,"PLANNED")&gt;0,"tied","standalone"),"")</f>
        <v/>
      </c>
    </row>
    <row r="10605" spans="6:14">
      <c r="F10605" s="6">
        <f>IF($M10605="PADD I","PADD 1",IF($M10605="PADD II","PADD 2",IF($M10605="PADD III","PADD 3",IF($M10605="PADD IV","PADD 4",IF($M10605="PADD V","PADD 5","")))))</f>
        <v/>
      </c>
      <c r="G10605" s="6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  <c r="N10605" s="6">
        <f>IF(OR($G10605="FCC",$G10605="Hydrocracker",$G10605="Reformer"),IF(COUNTIFS($D:$D,$D10605,$A:$A,$A10605,$B:$B,$B10605,$G:$G,"CDU",$J:$J,"PLANNED")&gt;0,"tied","standalone"),"")</f>
        <v/>
      </c>
    </row>
    <row r="10606" spans="6:14">
      <c r="F10606" s="6">
        <f>IF($M10606="PADD I","PADD 1",IF($M10606="PADD II","PADD 2",IF($M10606="PADD III","PADD 3",IF($M10606="PADD IV","PADD 4",IF($M10606="PADD V","PADD 5","")))))</f>
        <v/>
      </c>
      <c r="G10606" s="6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  <c r="N10606" s="6">
        <f>IF(OR($G10606="FCC",$G10606="Hydrocracker",$G10606="Reformer"),IF(COUNTIFS($D:$D,$D10606,$A:$A,$A10606,$B:$B,$B10606,$G:$G,"CDU",$J:$J,"PLANNED")&gt;0,"tied","standalone"),"")</f>
        <v/>
      </c>
    </row>
    <row r="10607" spans="6:14">
      <c r="F10607" s="6">
        <f>IF($M10607="PADD I","PADD 1",IF($M10607="PADD II","PADD 2",IF($M10607="PADD III","PADD 3",IF($M10607="PADD IV","PADD 4",IF($M10607="PADD V","PADD 5","")))))</f>
        <v/>
      </c>
      <c r="G10607" s="6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  <c r="N10607" s="6">
        <f>IF(OR($G10607="FCC",$G10607="Hydrocracker",$G10607="Reformer"),IF(COUNTIFS($D:$D,$D10607,$A:$A,$A10607,$B:$B,$B10607,$G:$G,"CDU",$J:$J,"PLANNED")&gt;0,"tied","standalone"),"")</f>
        <v/>
      </c>
    </row>
    <row r="10608" spans="6:14">
      <c r="F10608" s="6">
        <f>IF($M10608="PADD I","PADD 1",IF($M10608="PADD II","PADD 2",IF($M10608="PADD III","PADD 3",IF($M10608="PADD IV","PADD 4",IF($M10608="PADD V","PADD 5","")))))</f>
        <v/>
      </c>
      <c r="G10608" s="6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  <c r="N10608" s="6">
        <f>IF(OR($G10608="FCC",$G10608="Hydrocracker",$G10608="Reformer"),IF(COUNTIFS($D:$D,$D10608,$A:$A,$A10608,$B:$B,$B10608,$G:$G,"CDU",$J:$J,"PLANNED")&gt;0,"tied","standalone"),"")</f>
        <v/>
      </c>
    </row>
    <row r="10609" spans="6:14">
      <c r="F10609" s="6">
        <f>IF($M10609="PADD I","PADD 1",IF($M10609="PADD II","PADD 2",IF($M10609="PADD III","PADD 3",IF($M10609="PADD IV","PADD 4",IF($M10609="PADD V","PADD 5","")))))</f>
        <v/>
      </c>
      <c r="G10609" s="6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  <c r="N10609" s="6">
        <f>IF(OR($G10609="FCC",$G10609="Hydrocracker",$G10609="Reformer"),IF(COUNTIFS($D:$D,$D10609,$A:$A,$A10609,$B:$B,$B10609,$G:$G,"CDU",$J:$J,"PLANNED")&gt;0,"tied","standalone"),"")</f>
        <v/>
      </c>
    </row>
    <row r="10610" spans="6:14">
      <c r="F10610" s="6">
        <f>IF($M10610="PADD I","PADD 1",IF($M10610="PADD II","PADD 2",IF($M10610="PADD III","PADD 3",IF($M10610="PADD IV","PADD 4",IF($M10610="PADD V","PADD 5","")))))</f>
        <v/>
      </c>
      <c r="G10610" s="6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  <c r="N10610" s="6">
        <f>IF(OR($G10610="FCC",$G10610="Hydrocracker",$G10610="Reformer"),IF(COUNTIFS($D:$D,$D10610,$A:$A,$A10610,$B:$B,$B10610,$G:$G,"CDU",$J:$J,"PLANNED")&gt;0,"tied","standalone"),"")</f>
        <v/>
      </c>
    </row>
    <row r="10611" spans="6:14">
      <c r="F10611" s="6">
        <f>IF($M10611="PADD I","PADD 1",IF($M10611="PADD II","PADD 2",IF($M10611="PADD III","PADD 3",IF($M10611="PADD IV","PADD 4",IF($M10611="PADD V","PADD 5","")))))</f>
        <v/>
      </c>
      <c r="G10611" s="6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  <c r="N10611" s="6">
        <f>IF(OR($G10611="FCC",$G10611="Hydrocracker",$G10611="Reformer"),IF(COUNTIFS($D:$D,$D10611,$A:$A,$A10611,$B:$B,$B10611,$G:$G,"CDU",$J:$J,"PLANNED")&gt;0,"tied","standalone"),"")</f>
        <v/>
      </c>
    </row>
    <row r="10612" spans="6:14">
      <c r="F10612" s="6">
        <f>IF($M10612="PADD I","PADD 1",IF($M10612="PADD II","PADD 2",IF($M10612="PADD III","PADD 3",IF($M10612="PADD IV","PADD 4",IF($M10612="PADD V","PADD 5","")))))</f>
        <v/>
      </c>
      <c r="G10612" s="6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  <c r="N10612" s="6">
        <f>IF(OR($G10612="FCC",$G10612="Hydrocracker",$G10612="Reformer"),IF(COUNTIFS($D:$D,$D10612,$A:$A,$A10612,$B:$B,$B10612,$G:$G,"CDU",$J:$J,"PLANNED")&gt;0,"tied","standalone"),"")</f>
        <v/>
      </c>
    </row>
    <row r="10613" spans="6:14">
      <c r="F10613" s="6">
        <f>IF($M10613="PADD I","PADD 1",IF($M10613="PADD II","PADD 2",IF($M10613="PADD III","PADD 3",IF($M10613="PADD IV","PADD 4",IF($M10613="PADD V","PADD 5","")))))</f>
        <v/>
      </c>
      <c r="G10613" s="6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  <c r="N10613" s="6">
        <f>IF(OR($G10613="FCC",$G10613="Hydrocracker",$G10613="Reformer"),IF(COUNTIFS($D:$D,$D10613,$A:$A,$A10613,$B:$B,$B10613,$G:$G,"CDU",$J:$J,"PLANNED")&gt;0,"tied","standalone"),"")</f>
        <v/>
      </c>
    </row>
    <row r="10614" spans="6:14">
      <c r="F10614" s="6">
        <f>IF($M10614="PADD I","PADD 1",IF($M10614="PADD II","PADD 2",IF($M10614="PADD III","PADD 3",IF($M10614="PADD IV","PADD 4",IF($M10614="PADD V","PADD 5","")))))</f>
        <v/>
      </c>
      <c r="G10614" s="6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  <c r="N10614" s="6">
        <f>IF(OR($G10614="FCC",$G10614="Hydrocracker",$G10614="Reformer"),IF(COUNTIFS($D:$D,$D10614,$A:$A,$A10614,$B:$B,$B10614,$G:$G,"CDU",$J:$J,"PLANNED")&gt;0,"tied","standalone"),"")</f>
        <v/>
      </c>
    </row>
    <row r="10615" spans="6:14">
      <c r="F10615" s="6">
        <f>IF($M10615="PADD I","PADD 1",IF($M10615="PADD II","PADD 2",IF($M10615="PADD III","PADD 3",IF($M10615="PADD IV","PADD 4",IF($M10615="PADD V","PADD 5","")))))</f>
        <v/>
      </c>
      <c r="G10615" s="6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  <c r="N10615" s="6">
        <f>IF(OR($G10615="FCC",$G10615="Hydrocracker",$G10615="Reformer"),IF(COUNTIFS($D:$D,$D10615,$A:$A,$A10615,$B:$B,$B10615,$G:$G,"CDU",$J:$J,"PLANNED")&gt;0,"tied","standalone"),"")</f>
        <v/>
      </c>
    </row>
    <row r="10616" spans="6:14">
      <c r="F10616" s="6">
        <f>IF($M10616="PADD I","PADD 1",IF($M10616="PADD II","PADD 2",IF($M10616="PADD III","PADD 3",IF($M10616="PADD IV","PADD 4",IF($M10616="PADD V","PADD 5","")))))</f>
        <v/>
      </c>
      <c r="G10616" s="6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  <c r="N10616" s="6">
        <f>IF(OR($G10616="FCC",$G10616="Hydrocracker",$G10616="Reformer"),IF(COUNTIFS($D:$D,$D10616,$A:$A,$A10616,$B:$B,$B10616,$G:$G,"CDU",$J:$J,"PLANNED")&gt;0,"tied","standalone"),"")</f>
        <v/>
      </c>
    </row>
    <row r="10617" spans="6:14">
      <c r="F10617" s="6">
        <f>IF($M10617="PADD I","PADD 1",IF($M10617="PADD II","PADD 2",IF($M10617="PADD III","PADD 3",IF($M10617="PADD IV","PADD 4",IF($M10617="PADD V","PADD 5","")))))</f>
        <v/>
      </c>
      <c r="G10617" s="6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  <c r="N10617" s="6">
        <f>IF(OR($G10617="FCC",$G10617="Hydrocracker",$G10617="Reformer"),IF(COUNTIFS($D:$D,$D10617,$A:$A,$A10617,$B:$B,$B10617,$G:$G,"CDU",$J:$J,"PLANNED")&gt;0,"tied","standalone"),"")</f>
        <v/>
      </c>
    </row>
    <row r="10618" spans="6:14">
      <c r="F10618" s="6">
        <f>IF($M10618="PADD I","PADD 1",IF($M10618="PADD II","PADD 2",IF($M10618="PADD III","PADD 3",IF($M10618="PADD IV","PADD 4",IF($M10618="PADD V","PADD 5","")))))</f>
        <v/>
      </c>
      <c r="G10618" s="6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  <c r="N10618" s="6">
        <f>IF(OR($G10618="FCC",$G10618="Hydrocracker",$G10618="Reformer"),IF(COUNTIFS($D:$D,$D10618,$A:$A,$A10618,$B:$B,$B10618,$G:$G,"CDU",$J:$J,"PLANNED")&gt;0,"tied","standalone"),"")</f>
        <v/>
      </c>
    </row>
    <row r="10619" spans="6:14">
      <c r="F10619" s="6">
        <f>IF($M10619="PADD I","PADD 1",IF($M10619="PADD II","PADD 2",IF($M10619="PADD III","PADD 3",IF($M10619="PADD IV","PADD 4",IF($M10619="PADD V","PADD 5","")))))</f>
        <v/>
      </c>
      <c r="G10619" s="6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  <c r="N10619" s="6">
        <f>IF(OR($G10619="FCC",$G10619="Hydrocracker",$G10619="Reformer"),IF(COUNTIFS($D:$D,$D10619,$A:$A,$A10619,$B:$B,$B10619,$G:$G,"CDU",$J:$J,"PLANNED")&gt;0,"tied","standalone"),"")</f>
        <v/>
      </c>
    </row>
    <row r="10620" spans="6:14">
      <c r="F10620" s="6">
        <f>IF($M10620="PADD I","PADD 1",IF($M10620="PADD II","PADD 2",IF($M10620="PADD III","PADD 3",IF($M10620="PADD IV","PADD 4",IF($M10620="PADD V","PADD 5","")))))</f>
        <v/>
      </c>
      <c r="G10620" s="6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  <c r="N10620" s="6">
        <f>IF(OR($G10620="FCC",$G10620="Hydrocracker",$G10620="Reformer"),IF(COUNTIFS($D:$D,$D10620,$A:$A,$A10620,$B:$B,$B10620,$G:$G,"CDU",$J:$J,"PLANNED")&gt;0,"tied","standalone"),"")</f>
        <v/>
      </c>
    </row>
    <row r="10621" spans="6:14">
      <c r="F10621" s="6">
        <f>IF($M10621="PADD I","PADD 1",IF($M10621="PADD II","PADD 2",IF($M10621="PADD III","PADD 3",IF($M10621="PADD IV","PADD 4",IF($M10621="PADD V","PADD 5","")))))</f>
        <v/>
      </c>
      <c r="G10621" s="6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  <c r="N10621" s="6">
        <f>IF(OR($G10621="FCC",$G10621="Hydrocracker",$G10621="Reformer"),IF(COUNTIFS($D:$D,$D10621,$A:$A,$A10621,$B:$B,$B10621,$G:$G,"CDU",$J:$J,"PLANNED")&gt;0,"tied","standalone"),"")</f>
        <v/>
      </c>
    </row>
    <row r="10622" spans="6:14">
      <c r="F10622" s="6">
        <f>IF($M10622="PADD I","PADD 1",IF($M10622="PADD II","PADD 2",IF($M10622="PADD III","PADD 3",IF($M10622="PADD IV","PADD 4",IF($M10622="PADD V","PADD 5","")))))</f>
        <v/>
      </c>
      <c r="G10622" s="6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  <c r="N10622" s="6">
        <f>IF(OR($G10622="FCC",$G10622="Hydrocracker",$G10622="Reformer"),IF(COUNTIFS($D:$D,$D10622,$A:$A,$A10622,$B:$B,$B10622,$G:$G,"CDU",$J:$J,"PLANNED")&gt;0,"tied","standalone"),"")</f>
        <v/>
      </c>
    </row>
    <row r="10623" spans="6:14">
      <c r="F10623" s="6">
        <f>IF($M10623="PADD I","PADD 1",IF($M10623="PADD II","PADD 2",IF($M10623="PADD III","PADD 3",IF($M10623="PADD IV","PADD 4",IF($M10623="PADD V","PADD 5","")))))</f>
        <v/>
      </c>
      <c r="G10623" s="6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  <c r="N10623" s="6">
        <f>IF(OR($G10623="FCC",$G10623="Hydrocracker",$G10623="Reformer"),IF(COUNTIFS($D:$D,$D10623,$A:$A,$A10623,$B:$B,$B10623,$G:$G,"CDU",$J:$J,"PLANNED")&gt;0,"tied","standalone"),"")</f>
        <v/>
      </c>
    </row>
    <row r="10624" spans="6:14">
      <c r="F10624" s="6">
        <f>IF($M10624="PADD I","PADD 1",IF($M10624="PADD II","PADD 2",IF($M10624="PADD III","PADD 3",IF($M10624="PADD IV","PADD 4",IF($M10624="PADD V","PADD 5","")))))</f>
        <v/>
      </c>
      <c r="G10624" s="6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  <c r="N10624" s="6">
        <f>IF(OR($G10624="FCC",$G10624="Hydrocracker",$G10624="Reformer"),IF(COUNTIFS($D:$D,$D10624,$A:$A,$A10624,$B:$B,$B10624,$G:$G,"CDU",$J:$J,"PLANNED")&gt;0,"tied","standalone"),"")</f>
        <v/>
      </c>
    </row>
    <row r="10625" spans="6:14">
      <c r="F10625" s="6">
        <f>IF($M10625="PADD I","PADD 1",IF($M10625="PADD II","PADD 2",IF($M10625="PADD III","PADD 3",IF($M10625="PADD IV","PADD 4",IF($M10625="PADD V","PADD 5","")))))</f>
        <v/>
      </c>
      <c r="G10625" s="6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  <c r="N10625" s="6">
        <f>IF(OR($G10625="FCC",$G10625="Hydrocracker",$G10625="Reformer"),IF(COUNTIFS($D:$D,$D10625,$A:$A,$A10625,$B:$B,$B10625,$G:$G,"CDU",$J:$J,"PLANNED")&gt;0,"tied","standalone"),"")</f>
        <v/>
      </c>
    </row>
    <row r="10626" spans="6:14">
      <c r="F10626" s="6">
        <f>IF($M10626="PADD I","PADD 1",IF($M10626="PADD II","PADD 2",IF($M10626="PADD III","PADD 3",IF($M10626="PADD IV","PADD 4",IF($M10626="PADD V","PADD 5","")))))</f>
        <v/>
      </c>
      <c r="G10626" s="6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  <c r="N10626" s="6">
        <f>IF(OR($G10626="FCC",$G10626="Hydrocracker",$G10626="Reformer"),IF(COUNTIFS($D:$D,$D10626,$A:$A,$A10626,$B:$B,$B10626,$G:$G,"CDU",$J:$J,"PLANNED")&gt;0,"tied","standalone"),"")</f>
        <v/>
      </c>
    </row>
    <row r="10627" spans="6:14">
      <c r="F10627" s="6">
        <f>IF($M10627="PADD I","PADD 1",IF($M10627="PADD II","PADD 2",IF($M10627="PADD III","PADD 3",IF($M10627="PADD IV","PADD 4",IF($M10627="PADD V","PADD 5","")))))</f>
        <v/>
      </c>
      <c r="G10627" s="6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  <c r="N10627" s="6">
        <f>IF(OR($G10627="FCC",$G10627="Hydrocracker",$G10627="Reformer"),IF(COUNTIFS($D:$D,$D10627,$A:$A,$A10627,$B:$B,$B10627,$G:$G,"CDU",$J:$J,"PLANNED")&gt;0,"tied","standalone"),"")</f>
        <v/>
      </c>
    </row>
    <row r="10628" spans="6:14">
      <c r="F10628" s="6">
        <f>IF($M10628="PADD I","PADD 1",IF($M10628="PADD II","PADD 2",IF($M10628="PADD III","PADD 3",IF($M10628="PADD IV","PADD 4",IF($M10628="PADD V","PADD 5","")))))</f>
        <v/>
      </c>
      <c r="G10628" s="6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  <c r="N10628" s="6">
        <f>IF(OR($G10628="FCC",$G10628="Hydrocracker",$G10628="Reformer"),IF(COUNTIFS($D:$D,$D10628,$A:$A,$A10628,$B:$B,$B10628,$G:$G,"CDU",$J:$J,"PLANNED")&gt;0,"tied","standalone"),"")</f>
        <v/>
      </c>
    </row>
    <row r="10629" spans="6:14">
      <c r="F10629" s="6">
        <f>IF($M10629="PADD I","PADD 1",IF($M10629="PADD II","PADD 2",IF($M10629="PADD III","PADD 3",IF($M10629="PADD IV","PADD 4",IF($M10629="PADD V","PADD 5","")))))</f>
        <v/>
      </c>
      <c r="G10629" s="6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  <c r="N10629" s="6">
        <f>IF(OR($G10629="FCC",$G10629="Hydrocracker",$G10629="Reformer"),IF(COUNTIFS($D:$D,$D10629,$A:$A,$A10629,$B:$B,$B10629,$G:$G,"CDU",$J:$J,"PLANNED")&gt;0,"tied","standalone"),"")</f>
        <v/>
      </c>
    </row>
    <row r="10630" spans="6:14">
      <c r="F10630" s="6">
        <f>IF($M10630="PADD I","PADD 1",IF($M10630="PADD II","PADD 2",IF($M10630="PADD III","PADD 3",IF($M10630="PADD IV","PADD 4",IF($M10630="PADD V","PADD 5","")))))</f>
        <v/>
      </c>
      <c r="G10630" s="6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  <c r="N10630" s="6">
        <f>IF(OR($G10630="FCC",$G10630="Hydrocracker",$G10630="Reformer"),IF(COUNTIFS($D:$D,$D10630,$A:$A,$A10630,$B:$B,$B10630,$G:$G,"CDU",$J:$J,"PLANNED")&gt;0,"tied","standalone"),"")</f>
        <v/>
      </c>
    </row>
    <row r="10631" spans="6:14">
      <c r="F10631" s="6">
        <f>IF($M10631="PADD I","PADD 1",IF($M10631="PADD II","PADD 2",IF($M10631="PADD III","PADD 3",IF($M10631="PADD IV","PADD 4",IF($M10631="PADD V","PADD 5","")))))</f>
        <v/>
      </c>
      <c r="G10631" s="6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  <c r="N10631" s="6">
        <f>IF(OR($G10631="FCC",$G10631="Hydrocracker",$G10631="Reformer"),IF(COUNTIFS($D:$D,$D10631,$A:$A,$A10631,$B:$B,$B10631,$G:$G,"CDU",$J:$J,"PLANNED")&gt;0,"tied","standalone"),"")</f>
        <v/>
      </c>
    </row>
    <row r="10632" spans="6:14">
      <c r="F10632" s="6">
        <f>IF($M10632="PADD I","PADD 1",IF($M10632="PADD II","PADD 2",IF($M10632="PADD III","PADD 3",IF($M10632="PADD IV","PADD 4",IF($M10632="PADD V","PADD 5","")))))</f>
        <v/>
      </c>
      <c r="G10632" s="6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  <c r="N10632" s="6">
        <f>IF(OR($G10632="FCC",$G10632="Hydrocracker",$G10632="Reformer"),IF(COUNTIFS($D:$D,$D10632,$A:$A,$A10632,$B:$B,$B10632,$G:$G,"CDU",$J:$J,"PLANNED")&gt;0,"tied","standalone"),"")</f>
        <v/>
      </c>
    </row>
    <row r="10633" spans="6:14">
      <c r="F10633" s="6">
        <f>IF($M10633="PADD I","PADD 1",IF($M10633="PADD II","PADD 2",IF($M10633="PADD III","PADD 3",IF($M10633="PADD IV","PADD 4",IF($M10633="PADD V","PADD 5","")))))</f>
        <v/>
      </c>
      <c r="G10633" s="6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  <c r="N10633" s="6">
        <f>IF(OR($G10633="FCC",$G10633="Hydrocracker",$G10633="Reformer"),IF(COUNTIFS($D:$D,$D10633,$A:$A,$A10633,$B:$B,$B10633,$G:$G,"CDU",$J:$J,"PLANNED")&gt;0,"tied","standalone"),"")</f>
        <v/>
      </c>
    </row>
    <row r="10634" spans="6:14">
      <c r="F10634" s="6">
        <f>IF($M10634="PADD I","PADD 1",IF($M10634="PADD II","PADD 2",IF($M10634="PADD III","PADD 3",IF($M10634="PADD IV","PADD 4",IF($M10634="PADD V","PADD 5","")))))</f>
        <v/>
      </c>
      <c r="G10634" s="6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  <c r="N10634" s="6">
        <f>IF(OR($G10634="FCC",$G10634="Hydrocracker",$G10634="Reformer"),IF(COUNTIFS($D:$D,$D10634,$A:$A,$A10634,$B:$B,$B10634,$G:$G,"CDU",$J:$J,"PLANNED")&gt;0,"tied","standalone"),"")</f>
        <v/>
      </c>
    </row>
    <row r="10635" spans="6:14">
      <c r="F10635" s="6">
        <f>IF($M10635="PADD I","PADD 1",IF($M10635="PADD II","PADD 2",IF($M10635="PADD III","PADD 3",IF($M10635="PADD IV","PADD 4",IF($M10635="PADD V","PADD 5","")))))</f>
        <v/>
      </c>
      <c r="G10635" s="6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  <c r="N10635" s="6">
        <f>IF(OR($G10635="FCC",$G10635="Hydrocracker",$G10635="Reformer"),IF(COUNTIFS($D:$D,$D10635,$A:$A,$A10635,$B:$B,$B10635,$G:$G,"CDU",$J:$J,"PLANNED")&gt;0,"tied","standalone"),"")</f>
        <v/>
      </c>
    </row>
    <row r="10636" spans="6:14">
      <c r="F10636" s="6">
        <f>IF($M10636="PADD I","PADD 1",IF($M10636="PADD II","PADD 2",IF($M10636="PADD III","PADD 3",IF($M10636="PADD IV","PADD 4",IF($M10636="PADD V","PADD 5","")))))</f>
        <v/>
      </c>
      <c r="G10636" s="6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  <c r="N10636" s="6">
        <f>IF(OR($G10636="FCC",$G10636="Hydrocracker",$G10636="Reformer"),IF(COUNTIFS($D:$D,$D10636,$A:$A,$A10636,$B:$B,$B10636,$G:$G,"CDU",$J:$J,"PLANNED")&gt;0,"tied","standalone"),"")</f>
        <v/>
      </c>
    </row>
    <row r="10637" spans="6:14">
      <c r="F10637" s="6">
        <f>IF($M10637="PADD I","PADD 1",IF($M10637="PADD II","PADD 2",IF($M10637="PADD III","PADD 3",IF($M10637="PADD IV","PADD 4",IF($M10637="PADD V","PADD 5","")))))</f>
        <v/>
      </c>
      <c r="G10637" s="6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  <c r="N10637" s="6">
        <f>IF(OR($G10637="FCC",$G10637="Hydrocracker",$G10637="Reformer"),IF(COUNTIFS($D:$D,$D10637,$A:$A,$A10637,$B:$B,$B10637,$G:$G,"CDU",$J:$J,"PLANNED")&gt;0,"tied","standalone"),"")</f>
        <v/>
      </c>
    </row>
    <row r="10638" spans="6:14">
      <c r="F10638" s="6">
        <f>IF($M10638="PADD I","PADD 1",IF($M10638="PADD II","PADD 2",IF($M10638="PADD III","PADD 3",IF($M10638="PADD IV","PADD 4",IF($M10638="PADD V","PADD 5","")))))</f>
        <v/>
      </c>
      <c r="G10638" s="6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  <c r="N10638" s="6">
        <f>IF(OR($G10638="FCC",$G10638="Hydrocracker",$G10638="Reformer"),IF(COUNTIFS($D:$D,$D10638,$A:$A,$A10638,$B:$B,$B10638,$G:$G,"CDU",$J:$J,"PLANNED")&gt;0,"tied","standalone"),"")</f>
        <v/>
      </c>
    </row>
    <row r="10639" spans="6:14">
      <c r="F10639" s="6">
        <f>IF($M10639="PADD I","PADD 1",IF($M10639="PADD II","PADD 2",IF($M10639="PADD III","PADD 3",IF($M10639="PADD IV","PADD 4",IF($M10639="PADD V","PADD 5","")))))</f>
        <v/>
      </c>
      <c r="G10639" s="6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  <c r="N10639" s="6">
        <f>IF(OR($G10639="FCC",$G10639="Hydrocracker",$G10639="Reformer"),IF(COUNTIFS($D:$D,$D10639,$A:$A,$A10639,$B:$B,$B10639,$G:$G,"CDU",$J:$J,"PLANNED")&gt;0,"tied","standalone"),"")</f>
        <v/>
      </c>
    </row>
    <row r="10640" spans="6:14">
      <c r="F10640" s="6">
        <f>IF($M10640="PADD I","PADD 1",IF($M10640="PADD II","PADD 2",IF($M10640="PADD III","PADD 3",IF($M10640="PADD IV","PADD 4",IF($M10640="PADD V","PADD 5","")))))</f>
        <v/>
      </c>
      <c r="G10640" s="6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  <c r="N10640" s="6">
        <f>IF(OR($G10640="FCC",$G10640="Hydrocracker",$G10640="Reformer"),IF(COUNTIFS($D:$D,$D10640,$A:$A,$A10640,$B:$B,$B10640,$G:$G,"CDU",$J:$J,"PLANNED")&gt;0,"tied","standalone"),"")</f>
        <v/>
      </c>
    </row>
    <row r="10641" spans="6:14">
      <c r="F10641" s="6">
        <f>IF($M10641="PADD I","PADD 1",IF($M10641="PADD II","PADD 2",IF($M10641="PADD III","PADD 3",IF($M10641="PADD IV","PADD 4",IF($M10641="PADD V","PADD 5","")))))</f>
        <v/>
      </c>
      <c r="G10641" s="6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  <c r="N10641" s="6">
        <f>IF(OR($G10641="FCC",$G10641="Hydrocracker",$G10641="Reformer"),IF(COUNTIFS($D:$D,$D10641,$A:$A,$A10641,$B:$B,$B10641,$G:$G,"CDU",$J:$J,"PLANNED")&gt;0,"tied","standalone"),"")</f>
        <v/>
      </c>
    </row>
    <row r="10642" spans="6:14">
      <c r="F10642" s="6">
        <f>IF($M10642="PADD I","PADD 1",IF($M10642="PADD II","PADD 2",IF($M10642="PADD III","PADD 3",IF($M10642="PADD IV","PADD 4",IF($M10642="PADD V","PADD 5","")))))</f>
        <v/>
      </c>
      <c r="G10642" s="6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  <c r="N10642" s="6">
        <f>IF(OR($G10642="FCC",$G10642="Hydrocracker",$G10642="Reformer"),IF(COUNTIFS($D:$D,$D10642,$A:$A,$A10642,$B:$B,$B10642,$G:$G,"CDU",$J:$J,"PLANNED")&gt;0,"tied","standalone"),"")</f>
        <v/>
      </c>
    </row>
    <row r="10643" spans="6:14">
      <c r="F10643" s="6">
        <f>IF($M10643="PADD I","PADD 1",IF($M10643="PADD II","PADD 2",IF($M10643="PADD III","PADD 3",IF($M10643="PADD IV","PADD 4",IF($M10643="PADD V","PADD 5","")))))</f>
        <v/>
      </c>
      <c r="G10643" s="6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  <c r="N10643" s="6">
        <f>IF(OR($G10643="FCC",$G10643="Hydrocracker",$G10643="Reformer"),IF(COUNTIFS($D:$D,$D10643,$A:$A,$A10643,$B:$B,$B10643,$G:$G,"CDU",$J:$J,"PLANNED")&gt;0,"tied","standalone"),"")</f>
        <v/>
      </c>
    </row>
    <row r="10644" spans="6:14">
      <c r="F10644" s="6">
        <f>IF($M10644="PADD I","PADD 1",IF($M10644="PADD II","PADD 2",IF($M10644="PADD III","PADD 3",IF($M10644="PADD IV","PADD 4",IF($M10644="PADD V","PADD 5","")))))</f>
        <v/>
      </c>
      <c r="G10644" s="6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  <c r="N10644" s="6">
        <f>IF(OR($G10644="FCC",$G10644="Hydrocracker",$G10644="Reformer"),IF(COUNTIFS($D:$D,$D10644,$A:$A,$A10644,$B:$B,$B10644,$G:$G,"CDU",$J:$J,"PLANNED")&gt;0,"tied","standalone"),"")</f>
        <v/>
      </c>
    </row>
    <row r="10645" spans="6:14">
      <c r="F10645" s="6">
        <f>IF($M10645="PADD I","PADD 1",IF($M10645="PADD II","PADD 2",IF($M10645="PADD III","PADD 3",IF($M10645="PADD IV","PADD 4",IF($M10645="PADD V","PADD 5","")))))</f>
        <v/>
      </c>
      <c r="G10645" s="6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  <c r="N10645" s="6">
        <f>IF(OR($G10645="FCC",$G10645="Hydrocracker",$G10645="Reformer"),IF(COUNTIFS($D:$D,$D10645,$A:$A,$A10645,$B:$B,$B10645,$G:$G,"CDU",$J:$J,"PLANNED")&gt;0,"tied","standalone"),"")</f>
        <v/>
      </c>
    </row>
    <row r="10646" spans="6:14">
      <c r="F10646" s="6">
        <f>IF($M10646="PADD I","PADD 1",IF($M10646="PADD II","PADD 2",IF($M10646="PADD III","PADD 3",IF($M10646="PADD IV","PADD 4",IF($M10646="PADD V","PADD 5","")))))</f>
        <v/>
      </c>
      <c r="G10646" s="6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  <c r="N10646" s="6">
        <f>IF(OR($G10646="FCC",$G10646="Hydrocracker",$G10646="Reformer"),IF(COUNTIFS($D:$D,$D10646,$A:$A,$A10646,$B:$B,$B10646,$G:$G,"CDU",$J:$J,"PLANNED")&gt;0,"tied","standalone"),"")</f>
        <v/>
      </c>
    </row>
    <row r="10647" spans="6:14">
      <c r="F10647" s="6">
        <f>IF($M10647="PADD I","PADD 1",IF($M10647="PADD II","PADD 2",IF($M10647="PADD III","PADD 3",IF($M10647="PADD IV","PADD 4",IF($M10647="PADD V","PADD 5","")))))</f>
        <v/>
      </c>
      <c r="G10647" s="6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  <c r="N10647" s="6">
        <f>IF(OR($G10647="FCC",$G10647="Hydrocracker",$G10647="Reformer"),IF(COUNTIFS($D:$D,$D10647,$A:$A,$A10647,$B:$B,$B10647,$G:$G,"CDU",$J:$J,"PLANNED")&gt;0,"tied","standalone"),"")</f>
        <v/>
      </c>
    </row>
    <row r="10648" spans="6:14">
      <c r="F10648" s="6">
        <f>IF($M10648="PADD I","PADD 1",IF($M10648="PADD II","PADD 2",IF($M10648="PADD III","PADD 3",IF($M10648="PADD IV","PADD 4",IF($M10648="PADD V","PADD 5","")))))</f>
        <v/>
      </c>
      <c r="G10648" s="6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  <c r="N10648" s="6">
        <f>IF(OR($G10648="FCC",$G10648="Hydrocracker",$G10648="Reformer"),IF(COUNTIFS($D:$D,$D10648,$A:$A,$A10648,$B:$B,$B10648,$G:$G,"CDU",$J:$J,"PLANNED")&gt;0,"tied","standalone"),"")</f>
        <v/>
      </c>
    </row>
    <row r="10649" spans="6:14">
      <c r="F10649" s="6">
        <f>IF($M10649="PADD I","PADD 1",IF($M10649="PADD II","PADD 2",IF($M10649="PADD III","PADD 3",IF($M10649="PADD IV","PADD 4",IF($M10649="PADD V","PADD 5","")))))</f>
        <v/>
      </c>
      <c r="G10649" s="6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  <c r="N10649" s="6">
        <f>IF(OR($G10649="FCC",$G10649="Hydrocracker",$G10649="Reformer"),IF(COUNTIFS($D:$D,$D10649,$A:$A,$A10649,$B:$B,$B10649,$G:$G,"CDU",$J:$J,"PLANNED")&gt;0,"tied","standalone"),"")</f>
        <v/>
      </c>
    </row>
    <row r="10650" spans="6:14">
      <c r="F10650" s="6">
        <f>IF($M10650="PADD I","PADD 1",IF($M10650="PADD II","PADD 2",IF($M10650="PADD III","PADD 3",IF($M10650="PADD IV","PADD 4",IF($M10650="PADD V","PADD 5","")))))</f>
        <v/>
      </c>
      <c r="G10650" s="6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  <c r="N10650" s="6">
        <f>IF(OR($G10650="FCC",$G10650="Hydrocracker",$G10650="Reformer"),IF(COUNTIFS($D:$D,$D10650,$A:$A,$A10650,$B:$B,$B10650,$G:$G,"CDU",$J:$J,"PLANNED")&gt;0,"tied","standalone"),"")</f>
        <v/>
      </c>
    </row>
    <row r="10651" spans="6:14">
      <c r="F10651" s="6">
        <f>IF($M10651="PADD I","PADD 1",IF($M10651="PADD II","PADD 2",IF($M10651="PADD III","PADD 3",IF($M10651="PADD IV","PADD 4",IF($M10651="PADD V","PADD 5","")))))</f>
        <v/>
      </c>
      <c r="G10651" s="6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  <c r="N10651" s="6">
        <f>IF(OR($G10651="FCC",$G10651="Hydrocracker",$G10651="Reformer"),IF(COUNTIFS($D:$D,$D10651,$A:$A,$A10651,$B:$B,$B10651,$G:$G,"CDU",$J:$J,"PLANNED")&gt;0,"tied","standalone"),"")</f>
        <v/>
      </c>
    </row>
    <row r="10652" spans="6:14">
      <c r="F10652" s="6">
        <f>IF($M10652="PADD I","PADD 1",IF($M10652="PADD II","PADD 2",IF($M10652="PADD III","PADD 3",IF($M10652="PADD IV","PADD 4",IF($M10652="PADD V","PADD 5","")))))</f>
        <v/>
      </c>
      <c r="G10652" s="6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  <c r="N10652" s="6">
        <f>IF(OR($G10652="FCC",$G10652="Hydrocracker",$G10652="Reformer"),IF(COUNTIFS($D:$D,$D10652,$A:$A,$A10652,$B:$B,$B10652,$G:$G,"CDU",$J:$J,"PLANNED")&gt;0,"tied","standalone"),"")</f>
        <v/>
      </c>
    </row>
    <row r="10653" spans="6:14">
      <c r="F10653" s="6">
        <f>IF($M10653="PADD I","PADD 1",IF($M10653="PADD II","PADD 2",IF($M10653="PADD III","PADD 3",IF($M10653="PADD IV","PADD 4",IF($M10653="PADD V","PADD 5","")))))</f>
        <v/>
      </c>
      <c r="G10653" s="6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  <c r="N10653" s="6">
        <f>IF(OR($G10653="FCC",$G10653="Hydrocracker",$G10653="Reformer"),IF(COUNTIFS($D:$D,$D10653,$A:$A,$A10653,$B:$B,$B10653,$G:$G,"CDU",$J:$J,"PLANNED")&gt;0,"tied","standalone"),"")</f>
        <v/>
      </c>
    </row>
    <row r="10654" spans="6:14">
      <c r="F10654" s="6">
        <f>IF($M10654="PADD I","PADD 1",IF($M10654="PADD II","PADD 2",IF($M10654="PADD III","PADD 3",IF($M10654="PADD IV","PADD 4",IF($M10654="PADD V","PADD 5","")))))</f>
        <v/>
      </c>
      <c r="G10654" s="6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  <c r="N10654" s="6">
        <f>IF(OR($G10654="FCC",$G10654="Hydrocracker",$G10654="Reformer"),IF(COUNTIFS($D:$D,$D10654,$A:$A,$A10654,$B:$B,$B10654,$G:$G,"CDU",$J:$J,"PLANNED")&gt;0,"tied","standalone"),"")</f>
        <v/>
      </c>
    </row>
    <row r="10655" spans="6:14">
      <c r="F10655" s="6">
        <f>IF($M10655="PADD I","PADD 1",IF($M10655="PADD II","PADD 2",IF($M10655="PADD III","PADD 3",IF($M10655="PADD IV","PADD 4",IF($M10655="PADD V","PADD 5","")))))</f>
        <v/>
      </c>
      <c r="G10655" s="6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  <c r="N10655" s="6">
        <f>IF(OR($G10655="FCC",$G10655="Hydrocracker",$G10655="Reformer"),IF(COUNTIFS($D:$D,$D10655,$A:$A,$A10655,$B:$B,$B10655,$G:$G,"CDU",$J:$J,"PLANNED")&gt;0,"tied","standalone"),"")</f>
        <v/>
      </c>
    </row>
    <row r="10656" spans="6:14">
      <c r="F10656" s="6">
        <f>IF($M10656="PADD I","PADD 1",IF($M10656="PADD II","PADD 2",IF($M10656="PADD III","PADD 3",IF($M10656="PADD IV","PADD 4",IF($M10656="PADD V","PADD 5","")))))</f>
        <v/>
      </c>
      <c r="G10656" s="6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  <c r="N10656" s="6">
        <f>IF(OR($G10656="FCC",$G10656="Hydrocracker",$G10656="Reformer"),IF(COUNTIFS($D:$D,$D10656,$A:$A,$A10656,$B:$B,$B10656,$G:$G,"CDU",$J:$J,"PLANNED")&gt;0,"tied","standalone"),"")</f>
        <v/>
      </c>
    </row>
    <row r="10657" spans="6:14">
      <c r="F10657" s="6">
        <f>IF($M10657="PADD I","PADD 1",IF($M10657="PADD II","PADD 2",IF($M10657="PADD III","PADD 3",IF($M10657="PADD IV","PADD 4",IF($M10657="PADD V","PADD 5","")))))</f>
        <v/>
      </c>
      <c r="G10657" s="6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  <c r="N10657" s="6">
        <f>IF(OR($G10657="FCC",$G10657="Hydrocracker",$G10657="Reformer"),IF(COUNTIFS($D:$D,$D10657,$A:$A,$A10657,$B:$B,$B10657,$G:$G,"CDU",$J:$J,"PLANNED")&gt;0,"tied","standalone"),"")</f>
        <v/>
      </c>
    </row>
    <row r="10658" spans="6:14">
      <c r="F10658" s="6">
        <f>IF($M10658="PADD I","PADD 1",IF($M10658="PADD II","PADD 2",IF($M10658="PADD III","PADD 3",IF($M10658="PADD IV","PADD 4",IF($M10658="PADD V","PADD 5","")))))</f>
        <v/>
      </c>
      <c r="G10658" s="6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  <c r="N10658" s="6">
        <f>IF(OR($G10658="FCC",$G10658="Hydrocracker",$G10658="Reformer"),IF(COUNTIFS($D:$D,$D10658,$A:$A,$A10658,$B:$B,$B10658,$G:$G,"CDU",$J:$J,"PLANNED")&gt;0,"tied","standalone"),"")</f>
        <v/>
      </c>
    </row>
    <row r="10659" spans="6:14">
      <c r="F10659" s="6">
        <f>IF($M10659="PADD I","PADD 1",IF($M10659="PADD II","PADD 2",IF($M10659="PADD III","PADD 3",IF($M10659="PADD IV","PADD 4",IF($M10659="PADD V","PADD 5","")))))</f>
        <v/>
      </c>
      <c r="G10659" s="6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  <c r="N10659" s="6">
        <f>IF(OR($G10659="FCC",$G10659="Hydrocracker",$G10659="Reformer"),IF(COUNTIFS($D:$D,$D10659,$A:$A,$A10659,$B:$B,$B10659,$G:$G,"CDU",$J:$J,"PLANNED")&gt;0,"tied","standalone"),"")</f>
        <v/>
      </c>
    </row>
    <row r="10660" spans="6:14">
      <c r="F10660" s="6">
        <f>IF($M10660="PADD I","PADD 1",IF($M10660="PADD II","PADD 2",IF($M10660="PADD III","PADD 3",IF($M10660="PADD IV","PADD 4",IF($M10660="PADD V","PADD 5","")))))</f>
        <v/>
      </c>
      <c r="G10660" s="6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  <c r="N10660" s="6">
        <f>IF(OR($G10660="FCC",$G10660="Hydrocracker",$G10660="Reformer"),IF(COUNTIFS($D:$D,$D10660,$A:$A,$A10660,$B:$B,$B10660,$G:$G,"CDU",$J:$J,"PLANNED")&gt;0,"tied","standalone"),"")</f>
        <v/>
      </c>
    </row>
    <row r="10661" spans="6:14">
      <c r="F10661" s="6">
        <f>IF($M10661="PADD I","PADD 1",IF($M10661="PADD II","PADD 2",IF($M10661="PADD III","PADD 3",IF($M10661="PADD IV","PADD 4",IF($M10661="PADD V","PADD 5","")))))</f>
        <v/>
      </c>
      <c r="G10661" s="6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  <c r="N10661" s="6">
        <f>IF(OR($G10661="FCC",$G10661="Hydrocracker",$G10661="Reformer"),IF(COUNTIFS($D:$D,$D10661,$A:$A,$A10661,$B:$B,$B10661,$G:$G,"CDU",$J:$J,"PLANNED")&gt;0,"tied","standalone"),"")</f>
        <v/>
      </c>
    </row>
    <row r="10662" spans="6:14">
      <c r="F10662" s="6">
        <f>IF($M10662="PADD I","PADD 1",IF($M10662="PADD II","PADD 2",IF($M10662="PADD III","PADD 3",IF($M10662="PADD IV","PADD 4",IF($M10662="PADD V","PADD 5","")))))</f>
        <v/>
      </c>
      <c r="G10662" s="6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  <c r="N10662" s="6">
        <f>IF(OR($G10662="FCC",$G10662="Hydrocracker",$G10662="Reformer"),IF(COUNTIFS($D:$D,$D10662,$A:$A,$A10662,$B:$B,$B10662,$G:$G,"CDU",$J:$J,"PLANNED")&gt;0,"tied","standalone"),"")</f>
        <v/>
      </c>
    </row>
    <row r="10663" spans="6:14">
      <c r="F10663" s="6">
        <f>IF($M10663="PADD I","PADD 1",IF($M10663="PADD II","PADD 2",IF($M10663="PADD III","PADD 3",IF($M10663="PADD IV","PADD 4",IF($M10663="PADD V","PADD 5","")))))</f>
        <v/>
      </c>
      <c r="G10663" s="6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  <c r="N10663" s="6">
        <f>IF(OR($G10663="FCC",$G10663="Hydrocracker",$G10663="Reformer"),IF(COUNTIFS($D:$D,$D10663,$A:$A,$A10663,$B:$B,$B10663,$G:$G,"CDU",$J:$J,"PLANNED")&gt;0,"tied","standalone"),"")</f>
        <v/>
      </c>
    </row>
    <row r="10664" spans="6:14">
      <c r="F10664" s="6">
        <f>IF($M10664="PADD I","PADD 1",IF($M10664="PADD II","PADD 2",IF($M10664="PADD III","PADD 3",IF($M10664="PADD IV","PADD 4",IF($M10664="PADD V","PADD 5","")))))</f>
        <v/>
      </c>
      <c r="G10664" s="6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  <c r="N10664" s="6">
        <f>IF(OR($G10664="FCC",$G10664="Hydrocracker",$G10664="Reformer"),IF(COUNTIFS($D:$D,$D10664,$A:$A,$A10664,$B:$B,$B10664,$G:$G,"CDU",$J:$J,"PLANNED")&gt;0,"tied","standalone"),"")</f>
        <v/>
      </c>
    </row>
    <row r="10665" spans="6:14">
      <c r="F10665" s="6">
        <f>IF($M10665="PADD I","PADD 1",IF($M10665="PADD II","PADD 2",IF($M10665="PADD III","PADD 3",IF($M10665="PADD IV","PADD 4",IF($M10665="PADD V","PADD 5","")))))</f>
        <v/>
      </c>
      <c r="G10665" s="6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  <c r="N10665" s="6">
        <f>IF(OR($G10665="FCC",$G10665="Hydrocracker",$G10665="Reformer"),IF(COUNTIFS($D:$D,$D10665,$A:$A,$A10665,$B:$B,$B10665,$G:$G,"CDU",$J:$J,"PLANNED")&gt;0,"tied","standalone"),"")</f>
        <v/>
      </c>
    </row>
    <row r="10666" spans="6:14">
      <c r="F10666" s="6">
        <f>IF($M10666="PADD I","PADD 1",IF($M10666="PADD II","PADD 2",IF($M10666="PADD III","PADD 3",IF($M10666="PADD IV","PADD 4",IF($M10666="PADD V","PADD 5","")))))</f>
        <v/>
      </c>
      <c r="G10666" s="6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  <c r="N10666" s="6">
        <f>IF(OR($G10666="FCC",$G10666="Hydrocracker",$G10666="Reformer"),IF(COUNTIFS($D:$D,$D10666,$A:$A,$A10666,$B:$B,$B10666,$G:$G,"CDU",$J:$J,"PLANNED")&gt;0,"tied","standalone"),"")</f>
        <v/>
      </c>
    </row>
    <row r="10667" spans="6:14">
      <c r="F10667" s="6">
        <f>IF($M10667="PADD I","PADD 1",IF($M10667="PADD II","PADD 2",IF($M10667="PADD III","PADD 3",IF($M10667="PADD IV","PADD 4",IF($M10667="PADD V","PADD 5","")))))</f>
        <v/>
      </c>
      <c r="G10667" s="6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  <c r="N10667" s="6">
        <f>IF(OR($G10667="FCC",$G10667="Hydrocracker",$G10667="Reformer"),IF(COUNTIFS($D:$D,$D10667,$A:$A,$A10667,$B:$B,$B10667,$G:$G,"CDU",$J:$J,"PLANNED")&gt;0,"tied","standalone"),"")</f>
        <v/>
      </c>
    </row>
    <row r="10668" spans="6:14">
      <c r="F10668" s="6">
        <f>IF($M10668="PADD I","PADD 1",IF($M10668="PADD II","PADD 2",IF($M10668="PADD III","PADD 3",IF($M10668="PADD IV","PADD 4",IF($M10668="PADD V","PADD 5","")))))</f>
        <v/>
      </c>
      <c r="G10668" s="6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  <c r="N10668" s="6">
        <f>IF(OR($G10668="FCC",$G10668="Hydrocracker",$G10668="Reformer"),IF(COUNTIFS($D:$D,$D10668,$A:$A,$A10668,$B:$B,$B10668,$G:$G,"CDU",$J:$J,"PLANNED")&gt;0,"tied","standalone"),"")</f>
        <v/>
      </c>
    </row>
    <row r="10669" spans="6:14">
      <c r="F10669" s="6">
        <f>IF($M10669="PADD I","PADD 1",IF($M10669="PADD II","PADD 2",IF($M10669="PADD III","PADD 3",IF($M10669="PADD IV","PADD 4",IF($M10669="PADD V","PADD 5","")))))</f>
        <v/>
      </c>
      <c r="G10669" s="6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  <c r="N10669" s="6">
        <f>IF(OR($G10669="FCC",$G10669="Hydrocracker",$G10669="Reformer"),IF(COUNTIFS($D:$D,$D10669,$A:$A,$A10669,$B:$B,$B10669,$G:$G,"CDU",$J:$J,"PLANNED")&gt;0,"tied","standalone"),"")</f>
        <v/>
      </c>
    </row>
    <row r="10670" spans="6:14">
      <c r="F10670" s="6">
        <f>IF($M10670="PADD I","PADD 1",IF($M10670="PADD II","PADD 2",IF($M10670="PADD III","PADD 3",IF($M10670="PADD IV","PADD 4",IF($M10670="PADD V","PADD 5","")))))</f>
        <v/>
      </c>
      <c r="G10670" s="6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  <c r="N10670" s="6">
        <f>IF(OR($G10670="FCC",$G10670="Hydrocracker",$G10670="Reformer"),IF(COUNTIFS($D:$D,$D10670,$A:$A,$A10670,$B:$B,$B10670,$G:$G,"CDU",$J:$J,"PLANNED")&gt;0,"tied","standalone"),"")</f>
        <v/>
      </c>
    </row>
    <row r="10671" spans="6:14">
      <c r="F10671" s="6">
        <f>IF($M10671="PADD I","PADD 1",IF($M10671="PADD II","PADD 2",IF($M10671="PADD III","PADD 3",IF($M10671="PADD IV","PADD 4",IF($M10671="PADD V","PADD 5","")))))</f>
        <v/>
      </c>
      <c r="G10671" s="6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  <c r="N10671" s="6">
        <f>IF(OR($G10671="FCC",$G10671="Hydrocracker",$G10671="Reformer"),IF(COUNTIFS($D:$D,$D10671,$A:$A,$A10671,$B:$B,$B10671,$G:$G,"CDU",$J:$J,"PLANNED")&gt;0,"tied","standalone"),"")</f>
        <v/>
      </c>
    </row>
    <row r="10672" spans="6:14">
      <c r="F10672" s="6">
        <f>IF($M10672="PADD I","PADD 1",IF($M10672="PADD II","PADD 2",IF($M10672="PADD III","PADD 3",IF($M10672="PADD IV","PADD 4",IF($M10672="PADD V","PADD 5","")))))</f>
        <v/>
      </c>
      <c r="G10672" s="6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  <c r="N10672" s="6">
        <f>IF(OR($G10672="FCC",$G10672="Hydrocracker",$G10672="Reformer"),IF(COUNTIFS($D:$D,$D10672,$A:$A,$A10672,$B:$B,$B10672,$G:$G,"CDU",$J:$J,"PLANNED")&gt;0,"tied","standalone"),"")</f>
        <v/>
      </c>
    </row>
    <row r="10673" spans="6:14">
      <c r="F10673" s="6">
        <f>IF($M10673="PADD I","PADD 1",IF($M10673="PADD II","PADD 2",IF($M10673="PADD III","PADD 3",IF($M10673="PADD IV","PADD 4",IF($M10673="PADD V","PADD 5","")))))</f>
        <v/>
      </c>
      <c r="G10673" s="6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  <c r="N10673" s="6">
        <f>IF(OR($G10673="FCC",$G10673="Hydrocracker",$G10673="Reformer"),IF(COUNTIFS($D:$D,$D10673,$A:$A,$A10673,$B:$B,$B10673,$G:$G,"CDU",$J:$J,"PLANNED")&gt;0,"tied","standalone"),"")</f>
        <v/>
      </c>
    </row>
    <row r="10674" spans="6:14">
      <c r="F10674" s="6">
        <f>IF($M10674="PADD I","PADD 1",IF($M10674="PADD II","PADD 2",IF($M10674="PADD III","PADD 3",IF($M10674="PADD IV","PADD 4",IF($M10674="PADD V","PADD 5","")))))</f>
        <v/>
      </c>
      <c r="G10674" s="6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  <c r="N10674" s="6">
        <f>IF(OR($G10674="FCC",$G10674="Hydrocracker",$G10674="Reformer"),IF(COUNTIFS($D:$D,$D10674,$A:$A,$A10674,$B:$B,$B10674,$G:$G,"CDU",$J:$J,"PLANNED")&gt;0,"tied","standalone"),"")</f>
        <v/>
      </c>
    </row>
    <row r="10675" spans="6:14">
      <c r="F10675" s="6">
        <f>IF($M10675="PADD I","PADD 1",IF($M10675="PADD II","PADD 2",IF($M10675="PADD III","PADD 3",IF($M10675="PADD IV","PADD 4",IF($M10675="PADD V","PADD 5","")))))</f>
        <v/>
      </c>
      <c r="G10675" s="6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  <c r="N10675" s="6">
        <f>IF(OR($G10675="FCC",$G10675="Hydrocracker",$G10675="Reformer"),IF(COUNTIFS($D:$D,$D10675,$A:$A,$A10675,$B:$B,$B10675,$G:$G,"CDU",$J:$J,"PLANNED")&gt;0,"tied","standalone"),"")</f>
        <v/>
      </c>
    </row>
    <row r="10676" spans="6:14">
      <c r="F10676" s="6">
        <f>IF($M10676="PADD I","PADD 1",IF($M10676="PADD II","PADD 2",IF($M10676="PADD III","PADD 3",IF($M10676="PADD IV","PADD 4",IF($M10676="PADD V","PADD 5","")))))</f>
        <v/>
      </c>
      <c r="G10676" s="6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  <c r="N10676" s="6">
        <f>IF(OR($G10676="FCC",$G10676="Hydrocracker",$G10676="Reformer"),IF(COUNTIFS($D:$D,$D10676,$A:$A,$A10676,$B:$B,$B10676,$G:$G,"CDU",$J:$J,"PLANNED")&gt;0,"tied","standalone"),"")</f>
        <v/>
      </c>
    </row>
    <row r="10677" spans="6:14">
      <c r="F10677" s="6">
        <f>IF($M10677="PADD I","PADD 1",IF($M10677="PADD II","PADD 2",IF($M10677="PADD III","PADD 3",IF($M10677="PADD IV","PADD 4",IF($M10677="PADD V","PADD 5","")))))</f>
        <v/>
      </c>
      <c r="G10677" s="6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  <c r="N10677" s="6">
        <f>IF(OR($G10677="FCC",$G10677="Hydrocracker",$G10677="Reformer"),IF(COUNTIFS($D:$D,$D10677,$A:$A,$A10677,$B:$B,$B10677,$G:$G,"CDU",$J:$J,"PLANNED")&gt;0,"tied","standalone"),"")</f>
        <v/>
      </c>
    </row>
    <row r="10678" spans="6:14">
      <c r="F10678" s="6">
        <f>IF($M10678="PADD I","PADD 1",IF($M10678="PADD II","PADD 2",IF($M10678="PADD III","PADD 3",IF($M10678="PADD IV","PADD 4",IF($M10678="PADD V","PADD 5","")))))</f>
        <v/>
      </c>
      <c r="G10678" s="6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  <c r="N10678" s="6">
        <f>IF(OR($G10678="FCC",$G10678="Hydrocracker",$G10678="Reformer"),IF(COUNTIFS($D:$D,$D10678,$A:$A,$A10678,$B:$B,$B10678,$G:$G,"CDU",$J:$J,"PLANNED")&gt;0,"tied","standalone"),"")</f>
        <v/>
      </c>
    </row>
    <row r="10679" spans="6:14">
      <c r="F10679" s="6">
        <f>IF($M10679="PADD I","PADD 1",IF($M10679="PADD II","PADD 2",IF($M10679="PADD III","PADD 3",IF($M10679="PADD IV","PADD 4",IF($M10679="PADD V","PADD 5","")))))</f>
        <v/>
      </c>
      <c r="G10679" s="6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  <c r="N10679" s="6">
        <f>IF(OR($G10679="FCC",$G10679="Hydrocracker",$G10679="Reformer"),IF(COUNTIFS($D:$D,$D10679,$A:$A,$A10679,$B:$B,$B10679,$G:$G,"CDU",$J:$J,"PLANNED")&gt;0,"tied","standalone"),"")</f>
        <v/>
      </c>
    </row>
    <row r="10680" spans="6:14">
      <c r="F10680" s="6">
        <f>IF($M10680="PADD I","PADD 1",IF($M10680="PADD II","PADD 2",IF($M10680="PADD III","PADD 3",IF($M10680="PADD IV","PADD 4",IF($M10680="PADD V","PADD 5","")))))</f>
        <v/>
      </c>
      <c r="G10680" s="6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  <c r="N10680" s="6">
        <f>IF(OR($G10680="FCC",$G10680="Hydrocracker",$G10680="Reformer"),IF(COUNTIFS($D:$D,$D10680,$A:$A,$A10680,$B:$B,$B10680,$G:$G,"CDU",$J:$J,"PLANNED")&gt;0,"tied","standalone"),"")</f>
        <v/>
      </c>
    </row>
    <row r="10681" spans="6:14">
      <c r="F10681" s="6">
        <f>IF($M10681="PADD I","PADD 1",IF($M10681="PADD II","PADD 2",IF($M10681="PADD III","PADD 3",IF($M10681="PADD IV","PADD 4",IF($M10681="PADD V","PADD 5","")))))</f>
        <v/>
      </c>
      <c r="G10681" s="6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  <c r="N10681" s="6">
        <f>IF(OR($G10681="FCC",$G10681="Hydrocracker",$G10681="Reformer"),IF(COUNTIFS($D:$D,$D10681,$A:$A,$A10681,$B:$B,$B10681,$G:$G,"CDU",$J:$J,"PLANNED")&gt;0,"tied","standalone"),"")</f>
        <v/>
      </c>
    </row>
    <row r="10682" spans="6:14">
      <c r="F10682" s="6">
        <f>IF($M10682="PADD I","PADD 1",IF($M10682="PADD II","PADD 2",IF($M10682="PADD III","PADD 3",IF($M10682="PADD IV","PADD 4",IF($M10682="PADD V","PADD 5","")))))</f>
        <v/>
      </c>
      <c r="G10682" s="6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  <c r="N10682" s="6">
        <f>IF(OR($G10682="FCC",$G10682="Hydrocracker",$G10682="Reformer"),IF(COUNTIFS($D:$D,$D10682,$A:$A,$A10682,$B:$B,$B10682,$G:$G,"CDU",$J:$J,"PLANNED")&gt;0,"tied","standalone"),"")</f>
        <v/>
      </c>
    </row>
    <row r="10683" spans="6:14">
      <c r="F10683" s="6">
        <f>IF($M10683="PADD I","PADD 1",IF($M10683="PADD II","PADD 2",IF($M10683="PADD III","PADD 3",IF($M10683="PADD IV","PADD 4",IF($M10683="PADD V","PADD 5","")))))</f>
        <v/>
      </c>
      <c r="G10683" s="6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  <c r="N10683" s="6">
        <f>IF(OR($G10683="FCC",$G10683="Hydrocracker",$G10683="Reformer"),IF(COUNTIFS($D:$D,$D10683,$A:$A,$A10683,$B:$B,$B10683,$G:$G,"CDU",$J:$J,"PLANNED")&gt;0,"tied","standalone"),"")</f>
        <v/>
      </c>
    </row>
    <row r="10684" spans="6:14">
      <c r="F10684" s="6">
        <f>IF($M10684="PADD I","PADD 1",IF($M10684="PADD II","PADD 2",IF($M10684="PADD III","PADD 3",IF($M10684="PADD IV","PADD 4",IF($M10684="PADD V","PADD 5","")))))</f>
        <v/>
      </c>
      <c r="G10684" s="6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  <c r="N10684" s="6">
        <f>IF(OR($G10684="FCC",$G10684="Hydrocracker",$G10684="Reformer"),IF(COUNTIFS($D:$D,$D10684,$A:$A,$A10684,$B:$B,$B10684,$G:$G,"CDU",$J:$J,"PLANNED")&gt;0,"tied","standalone"),"")</f>
        <v/>
      </c>
    </row>
    <row r="10685" spans="6:14">
      <c r="F10685" s="6">
        <f>IF($M10685="PADD I","PADD 1",IF($M10685="PADD II","PADD 2",IF($M10685="PADD III","PADD 3",IF($M10685="PADD IV","PADD 4",IF($M10685="PADD V","PADD 5","")))))</f>
        <v/>
      </c>
      <c r="G10685" s="6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  <c r="N10685" s="6">
        <f>IF(OR($G10685="FCC",$G10685="Hydrocracker",$G10685="Reformer"),IF(COUNTIFS($D:$D,$D10685,$A:$A,$A10685,$B:$B,$B10685,$G:$G,"CDU",$J:$J,"PLANNED")&gt;0,"tied","standalone"),"")</f>
        <v/>
      </c>
    </row>
    <row r="10686" spans="6:14">
      <c r="F10686" s="6">
        <f>IF($M10686="PADD I","PADD 1",IF($M10686="PADD II","PADD 2",IF($M10686="PADD III","PADD 3",IF($M10686="PADD IV","PADD 4",IF($M10686="PADD V","PADD 5","")))))</f>
        <v/>
      </c>
      <c r="G10686" s="6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  <c r="N10686" s="6">
        <f>IF(OR($G10686="FCC",$G10686="Hydrocracker",$G10686="Reformer"),IF(COUNTIFS($D:$D,$D10686,$A:$A,$A10686,$B:$B,$B10686,$G:$G,"CDU",$J:$J,"PLANNED")&gt;0,"tied","standalone"),"")</f>
        <v/>
      </c>
    </row>
    <row r="10687" spans="6:14">
      <c r="F10687" s="6">
        <f>IF($M10687="PADD I","PADD 1",IF($M10687="PADD II","PADD 2",IF($M10687="PADD III","PADD 3",IF($M10687="PADD IV","PADD 4",IF($M10687="PADD V","PADD 5","")))))</f>
        <v/>
      </c>
      <c r="G10687" s="6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  <c r="N10687" s="6">
        <f>IF(OR($G10687="FCC",$G10687="Hydrocracker",$G10687="Reformer"),IF(COUNTIFS($D:$D,$D10687,$A:$A,$A10687,$B:$B,$B10687,$G:$G,"CDU",$J:$J,"PLANNED")&gt;0,"tied","standalone"),"")</f>
        <v/>
      </c>
    </row>
    <row r="10688" spans="6:14">
      <c r="F10688" s="6">
        <f>IF($M10688="PADD I","PADD 1",IF($M10688="PADD II","PADD 2",IF($M10688="PADD III","PADD 3",IF($M10688="PADD IV","PADD 4",IF($M10688="PADD V","PADD 5","")))))</f>
        <v/>
      </c>
      <c r="G10688" s="6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  <c r="N10688" s="6">
        <f>IF(OR($G10688="FCC",$G10688="Hydrocracker",$G10688="Reformer"),IF(COUNTIFS($D:$D,$D10688,$A:$A,$A10688,$B:$B,$B10688,$G:$G,"CDU",$J:$J,"PLANNED")&gt;0,"tied","standalone"),"")</f>
        <v/>
      </c>
    </row>
    <row r="10689" spans="6:14">
      <c r="F10689" s="6">
        <f>IF($M10689="PADD I","PADD 1",IF($M10689="PADD II","PADD 2",IF($M10689="PADD III","PADD 3",IF($M10689="PADD IV","PADD 4",IF($M10689="PADD V","PADD 5","")))))</f>
        <v/>
      </c>
      <c r="G10689" s="6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  <c r="N10689" s="6">
        <f>IF(OR($G10689="FCC",$G10689="Hydrocracker",$G10689="Reformer"),IF(COUNTIFS($D:$D,$D10689,$A:$A,$A10689,$B:$B,$B10689,$G:$G,"CDU",$J:$J,"PLANNED")&gt;0,"tied","standalone"),"")</f>
        <v/>
      </c>
    </row>
    <row r="10690" spans="6:14">
      <c r="F10690" s="6">
        <f>IF($M10690="PADD I","PADD 1",IF($M10690="PADD II","PADD 2",IF($M10690="PADD III","PADD 3",IF($M10690="PADD IV","PADD 4",IF($M10690="PADD V","PADD 5","")))))</f>
        <v/>
      </c>
      <c r="G10690" s="6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  <c r="N10690" s="6">
        <f>IF(OR($G10690="FCC",$G10690="Hydrocracker",$G10690="Reformer"),IF(COUNTIFS($D:$D,$D10690,$A:$A,$A10690,$B:$B,$B10690,$G:$G,"CDU",$J:$J,"PLANNED")&gt;0,"tied","standalone"),"")</f>
        <v/>
      </c>
    </row>
    <row r="10691" spans="6:14">
      <c r="F10691" s="6">
        <f>IF($M10691="PADD I","PADD 1",IF($M10691="PADD II","PADD 2",IF($M10691="PADD III","PADD 3",IF($M10691="PADD IV","PADD 4",IF($M10691="PADD V","PADD 5","")))))</f>
        <v/>
      </c>
      <c r="G10691" s="6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  <c r="N10691" s="6">
        <f>IF(OR($G10691="FCC",$G10691="Hydrocracker",$G10691="Reformer"),IF(COUNTIFS($D:$D,$D10691,$A:$A,$A10691,$B:$B,$B10691,$G:$G,"CDU",$J:$J,"PLANNED")&gt;0,"tied","standalone"),"")</f>
        <v/>
      </c>
    </row>
    <row r="10692" spans="6:14">
      <c r="F10692" s="6">
        <f>IF($M10692="PADD I","PADD 1",IF($M10692="PADD II","PADD 2",IF($M10692="PADD III","PADD 3",IF($M10692="PADD IV","PADD 4",IF($M10692="PADD V","PADD 5","")))))</f>
        <v/>
      </c>
      <c r="G10692" s="6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  <c r="N10692" s="6">
        <f>IF(OR($G10692="FCC",$G10692="Hydrocracker",$G10692="Reformer"),IF(COUNTIFS($D:$D,$D10692,$A:$A,$A10692,$B:$B,$B10692,$G:$G,"CDU",$J:$J,"PLANNED")&gt;0,"tied","standalone"),"")</f>
        <v/>
      </c>
    </row>
    <row r="10693" spans="6:14">
      <c r="F10693" s="6">
        <f>IF($M10693="PADD I","PADD 1",IF($M10693="PADD II","PADD 2",IF($M10693="PADD III","PADD 3",IF($M10693="PADD IV","PADD 4",IF($M10693="PADD V","PADD 5","")))))</f>
        <v/>
      </c>
      <c r="G10693" s="6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  <c r="N10693" s="6">
        <f>IF(OR($G10693="FCC",$G10693="Hydrocracker",$G10693="Reformer"),IF(COUNTIFS($D:$D,$D10693,$A:$A,$A10693,$B:$B,$B10693,$G:$G,"CDU",$J:$J,"PLANNED")&gt;0,"tied","standalone"),"")</f>
        <v/>
      </c>
    </row>
    <row r="10694" spans="6:14">
      <c r="F10694" s="6">
        <f>IF($M10694="PADD I","PADD 1",IF($M10694="PADD II","PADD 2",IF($M10694="PADD III","PADD 3",IF($M10694="PADD IV","PADD 4",IF($M10694="PADD V","PADD 5","")))))</f>
        <v/>
      </c>
      <c r="G10694" s="6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  <c r="N10694" s="6">
        <f>IF(OR($G10694="FCC",$G10694="Hydrocracker",$G10694="Reformer"),IF(COUNTIFS($D:$D,$D10694,$A:$A,$A10694,$B:$B,$B10694,$G:$G,"CDU",$J:$J,"PLANNED")&gt;0,"tied","standalone"),"")</f>
        <v/>
      </c>
    </row>
    <row r="10695" spans="6:14">
      <c r="F10695" s="6">
        <f>IF($M10695="PADD I","PADD 1",IF($M10695="PADD II","PADD 2",IF($M10695="PADD III","PADD 3",IF($M10695="PADD IV","PADD 4",IF($M10695="PADD V","PADD 5","")))))</f>
        <v/>
      </c>
      <c r="G10695" s="6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  <c r="N10695" s="6">
        <f>IF(OR($G10695="FCC",$G10695="Hydrocracker",$G10695="Reformer"),IF(COUNTIFS($D:$D,$D10695,$A:$A,$A10695,$B:$B,$B10695,$G:$G,"CDU",$J:$J,"PLANNED")&gt;0,"tied","standalone"),"")</f>
        <v/>
      </c>
    </row>
    <row r="10696" spans="6:14">
      <c r="F10696" s="6">
        <f>IF($M10696="PADD I","PADD 1",IF($M10696="PADD II","PADD 2",IF($M10696="PADD III","PADD 3",IF($M10696="PADD IV","PADD 4",IF($M10696="PADD V","PADD 5","")))))</f>
        <v/>
      </c>
      <c r="G10696" s="6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  <c r="N10696" s="6">
        <f>IF(OR($G10696="FCC",$G10696="Hydrocracker",$G10696="Reformer"),IF(COUNTIFS($D:$D,$D10696,$A:$A,$A10696,$B:$B,$B10696,$G:$G,"CDU",$J:$J,"PLANNED")&gt;0,"tied","standalone"),"")</f>
        <v/>
      </c>
    </row>
    <row r="10697" spans="6:14">
      <c r="F10697" s="6">
        <f>IF($M10697="PADD I","PADD 1",IF($M10697="PADD II","PADD 2",IF($M10697="PADD III","PADD 3",IF($M10697="PADD IV","PADD 4",IF($M10697="PADD V","PADD 5","")))))</f>
        <v/>
      </c>
      <c r="G10697" s="6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  <c r="N10697" s="6">
        <f>IF(OR($G10697="FCC",$G10697="Hydrocracker",$G10697="Reformer"),IF(COUNTIFS($D:$D,$D10697,$A:$A,$A10697,$B:$B,$B10697,$G:$G,"CDU",$J:$J,"PLANNED")&gt;0,"tied","standalone"),"")</f>
        <v/>
      </c>
    </row>
    <row r="10698" spans="6:14">
      <c r="F10698" s="6">
        <f>IF($M10698="PADD I","PADD 1",IF($M10698="PADD II","PADD 2",IF($M10698="PADD III","PADD 3",IF($M10698="PADD IV","PADD 4",IF($M10698="PADD V","PADD 5","")))))</f>
        <v/>
      </c>
      <c r="G10698" s="6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  <c r="N10698" s="6">
        <f>IF(OR($G10698="FCC",$G10698="Hydrocracker",$G10698="Reformer"),IF(COUNTIFS($D:$D,$D10698,$A:$A,$A10698,$B:$B,$B10698,$G:$G,"CDU",$J:$J,"PLANNED")&gt;0,"tied","standalone"),"")</f>
        <v/>
      </c>
    </row>
    <row r="10699" spans="6:14">
      <c r="F10699" s="6">
        <f>IF($M10699="PADD I","PADD 1",IF($M10699="PADD II","PADD 2",IF($M10699="PADD III","PADD 3",IF($M10699="PADD IV","PADD 4",IF($M10699="PADD V","PADD 5","")))))</f>
        <v/>
      </c>
      <c r="G10699" s="6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  <c r="N10699" s="6">
        <f>IF(OR($G10699="FCC",$G10699="Hydrocracker",$G10699="Reformer"),IF(COUNTIFS($D:$D,$D10699,$A:$A,$A10699,$B:$B,$B10699,$G:$G,"CDU",$J:$J,"PLANNED")&gt;0,"tied","standalone"),"")</f>
        <v/>
      </c>
    </row>
    <row r="10700" spans="6:14">
      <c r="F10700" s="6">
        <f>IF($M10700="PADD I","PADD 1",IF($M10700="PADD II","PADD 2",IF($M10700="PADD III","PADD 3",IF($M10700="PADD IV","PADD 4",IF($M10700="PADD V","PADD 5","")))))</f>
        <v/>
      </c>
      <c r="G10700" s="6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  <c r="N10700" s="6">
        <f>IF(OR($G10700="FCC",$G10700="Hydrocracker",$G10700="Reformer"),IF(COUNTIFS($D:$D,$D10700,$A:$A,$A10700,$B:$B,$B10700,$G:$G,"CDU",$J:$J,"PLANNED")&gt;0,"tied","standalone"),"")</f>
        <v/>
      </c>
    </row>
    <row r="10701" spans="6:14">
      <c r="F10701" s="6">
        <f>IF($M10701="PADD I","PADD 1",IF($M10701="PADD II","PADD 2",IF($M10701="PADD III","PADD 3",IF($M10701="PADD IV","PADD 4",IF($M10701="PADD V","PADD 5","")))))</f>
        <v/>
      </c>
      <c r="G10701" s="6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  <c r="N10701" s="6">
        <f>IF(OR($G10701="FCC",$G10701="Hydrocracker",$G10701="Reformer"),IF(COUNTIFS($D:$D,$D10701,$A:$A,$A10701,$B:$B,$B10701,$G:$G,"CDU",$J:$J,"PLANNED")&gt;0,"tied","standalone"),"")</f>
        <v/>
      </c>
    </row>
    <row r="10702" spans="6:14">
      <c r="F10702" s="6">
        <f>IF($M10702="PADD I","PADD 1",IF($M10702="PADD II","PADD 2",IF($M10702="PADD III","PADD 3",IF($M10702="PADD IV","PADD 4",IF($M10702="PADD V","PADD 5","")))))</f>
        <v/>
      </c>
      <c r="G10702" s="6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  <c r="N10702" s="6">
        <f>IF(OR($G10702="FCC",$G10702="Hydrocracker",$G10702="Reformer"),IF(COUNTIFS($D:$D,$D10702,$A:$A,$A10702,$B:$B,$B10702,$G:$G,"CDU",$J:$J,"PLANNED")&gt;0,"tied","standalone"),"")</f>
        <v/>
      </c>
    </row>
    <row r="10703" spans="6:14">
      <c r="F10703" s="6">
        <f>IF($M10703="PADD I","PADD 1",IF($M10703="PADD II","PADD 2",IF($M10703="PADD III","PADD 3",IF($M10703="PADD IV","PADD 4",IF($M10703="PADD V","PADD 5","")))))</f>
        <v/>
      </c>
      <c r="G10703" s="6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  <c r="N10703" s="6">
        <f>IF(OR($G10703="FCC",$G10703="Hydrocracker",$G10703="Reformer"),IF(COUNTIFS($D:$D,$D10703,$A:$A,$A10703,$B:$B,$B10703,$G:$G,"CDU",$J:$J,"PLANNED")&gt;0,"tied","standalone"),"")</f>
        <v/>
      </c>
    </row>
    <row r="10704" spans="6:14">
      <c r="F10704" s="6">
        <f>IF($M10704="PADD I","PADD 1",IF($M10704="PADD II","PADD 2",IF($M10704="PADD III","PADD 3",IF($M10704="PADD IV","PADD 4",IF($M10704="PADD V","PADD 5","")))))</f>
        <v/>
      </c>
      <c r="G10704" s="6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  <c r="N10704" s="6">
        <f>IF(OR($G10704="FCC",$G10704="Hydrocracker",$G10704="Reformer"),IF(COUNTIFS($D:$D,$D10704,$A:$A,$A10704,$B:$B,$B10704,$G:$G,"CDU",$J:$J,"PLANNED")&gt;0,"tied","standalone"),"")</f>
        <v/>
      </c>
    </row>
    <row r="10705" spans="6:14">
      <c r="F10705" s="6">
        <f>IF($M10705="PADD I","PADD 1",IF($M10705="PADD II","PADD 2",IF($M10705="PADD III","PADD 3",IF($M10705="PADD IV","PADD 4",IF($M10705="PADD V","PADD 5","")))))</f>
        <v/>
      </c>
      <c r="G10705" s="6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  <c r="N10705" s="6">
        <f>IF(OR($G10705="FCC",$G10705="Hydrocracker",$G10705="Reformer"),IF(COUNTIFS($D:$D,$D10705,$A:$A,$A10705,$B:$B,$B10705,$G:$G,"CDU",$J:$J,"PLANNED")&gt;0,"tied","standalone"),"")</f>
        <v/>
      </c>
    </row>
    <row r="10706" spans="6:14">
      <c r="F10706" s="6">
        <f>IF($M10706="PADD I","PADD 1",IF($M10706="PADD II","PADD 2",IF($M10706="PADD III","PADD 3",IF($M10706="PADD IV","PADD 4",IF($M10706="PADD V","PADD 5","")))))</f>
        <v/>
      </c>
      <c r="G10706" s="6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  <c r="N10706" s="6">
        <f>IF(OR($G10706="FCC",$G10706="Hydrocracker",$G10706="Reformer"),IF(COUNTIFS($D:$D,$D10706,$A:$A,$A10706,$B:$B,$B10706,$G:$G,"CDU",$J:$J,"PLANNED")&gt;0,"tied","standalone"),"")</f>
        <v/>
      </c>
    </row>
    <row r="10707" spans="6:14">
      <c r="F10707" s="6">
        <f>IF($M10707="PADD I","PADD 1",IF($M10707="PADD II","PADD 2",IF($M10707="PADD III","PADD 3",IF($M10707="PADD IV","PADD 4",IF($M10707="PADD V","PADD 5","")))))</f>
        <v/>
      </c>
      <c r="G10707" s="6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  <c r="N10707" s="6">
        <f>IF(OR($G10707="FCC",$G10707="Hydrocracker",$G10707="Reformer"),IF(COUNTIFS($D:$D,$D10707,$A:$A,$A10707,$B:$B,$B10707,$G:$G,"CDU",$J:$J,"PLANNED")&gt;0,"tied","standalone"),"")</f>
        <v/>
      </c>
    </row>
    <row r="10708" spans="6:14">
      <c r="F10708" s="6">
        <f>IF($M10708="PADD I","PADD 1",IF($M10708="PADD II","PADD 2",IF($M10708="PADD III","PADD 3",IF($M10708="PADD IV","PADD 4",IF($M10708="PADD V","PADD 5","")))))</f>
        <v/>
      </c>
      <c r="G10708" s="6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  <c r="N10708" s="6">
        <f>IF(OR($G10708="FCC",$G10708="Hydrocracker",$G10708="Reformer"),IF(COUNTIFS($D:$D,$D10708,$A:$A,$A10708,$B:$B,$B10708,$G:$G,"CDU",$J:$J,"PLANNED")&gt;0,"tied","standalone"),"")</f>
        <v/>
      </c>
    </row>
    <row r="10709" spans="6:14">
      <c r="F10709" s="6">
        <f>IF($M10709="PADD I","PADD 1",IF($M10709="PADD II","PADD 2",IF($M10709="PADD III","PADD 3",IF($M10709="PADD IV","PADD 4",IF($M10709="PADD V","PADD 5","")))))</f>
        <v/>
      </c>
      <c r="G10709" s="6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  <c r="N10709" s="6">
        <f>IF(OR($G10709="FCC",$G10709="Hydrocracker",$G10709="Reformer"),IF(COUNTIFS($D:$D,$D10709,$A:$A,$A10709,$B:$B,$B10709,$G:$G,"CDU",$J:$J,"PLANNED")&gt;0,"tied","standalone"),"")</f>
        <v/>
      </c>
    </row>
    <row r="10710" spans="6:14">
      <c r="F10710" s="6">
        <f>IF($M10710="PADD I","PADD 1",IF($M10710="PADD II","PADD 2",IF($M10710="PADD III","PADD 3",IF($M10710="PADD IV","PADD 4",IF($M10710="PADD V","PADD 5","")))))</f>
        <v/>
      </c>
      <c r="G10710" s="6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  <c r="N10710" s="6">
        <f>IF(OR($G10710="FCC",$G10710="Hydrocracker",$G10710="Reformer"),IF(COUNTIFS($D:$D,$D10710,$A:$A,$A10710,$B:$B,$B10710,$G:$G,"CDU",$J:$J,"PLANNED")&gt;0,"tied","standalone"),"")</f>
        <v/>
      </c>
    </row>
    <row r="10711" spans="6:14">
      <c r="F10711" s="6">
        <f>IF($M10711="PADD I","PADD 1",IF($M10711="PADD II","PADD 2",IF($M10711="PADD III","PADD 3",IF($M10711="PADD IV","PADD 4",IF($M10711="PADD V","PADD 5","")))))</f>
        <v/>
      </c>
      <c r="G10711" s="6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  <c r="N10711" s="6">
        <f>IF(OR($G10711="FCC",$G10711="Hydrocracker",$G10711="Reformer"),IF(COUNTIFS($D:$D,$D10711,$A:$A,$A10711,$B:$B,$B10711,$G:$G,"CDU",$J:$J,"PLANNED")&gt;0,"tied","standalone"),"")</f>
        <v/>
      </c>
    </row>
    <row r="10712" spans="6:14">
      <c r="F10712" s="6">
        <f>IF($M10712="PADD I","PADD 1",IF($M10712="PADD II","PADD 2",IF($M10712="PADD III","PADD 3",IF($M10712="PADD IV","PADD 4",IF($M10712="PADD V","PADD 5","")))))</f>
        <v/>
      </c>
      <c r="G10712" s="6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  <c r="N10712" s="6">
        <f>IF(OR($G10712="FCC",$G10712="Hydrocracker",$G10712="Reformer"),IF(COUNTIFS($D:$D,$D10712,$A:$A,$A10712,$B:$B,$B10712,$G:$G,"CDU",$J:$J,"PLANNED")&gt;0,"tied","standalone"),"")</f>
        <v/>
      </c>
    </row>
    <row r="10713" spans="6:14">
      <c r="F10713" s="6">
        <f>IF($M10713="PADD I","PADD 1",IF($M10713="PADD II","PADD 2",IF($M10713="PADD III","PADD 3",IF($M10713="PADD IV","PADD 4",IF($M10713="PADD V","PADD 5","")))))</f>
        <v/>
      </c>
      <c r="G10713" s="6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  <c r="N10713" s="6">
        <f>IF(OR($G10713="FCC",$G10713="Hydrocracker",$G10713="Reformer"),IF(COUNTIFS($D:$D,$D10713,$A:$A,$A10713,$B:$B,$B10713,$G:$G,"CDU",$J:$J,"PLANNED")&gt;0,"tied","standalone"),"")</f>
        <v/>
      </c>
    </row>
    <row r="10714" spans="6:14">
      <c r="F10714" s="6">
        <f>IF($M10714="PADD I","PADD 1",IF($M10714="PADD II","PADD 2",IF($M10714="PADD III","PADD 3",IF($M10714="PADD IV","PADD 4",IF($M10714="PADD V","PADD 5","")))))</f>
        <v/>
      </c>
      <c r="G10714" s="6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  <c r="N10714" s="6">
        <f>IF(OR($G10714="FCC",$G10714="Hydrocracker",$G10714="Reformer"),IF(COUNTIFS($D:$D,$D10714,$A:$A,$A10714,$B:$B,$B10714,$G:$G,"CDU",$J:$J,"PLANNED")&gt;0,"tied","standalone"),"")</f>
        <v/>
      </c>
    </row>
    <row r="10715" spans="6:14">
      <c r="F10715" s="6">
        <f>IF($M10715="PADD I","PADD 1",IF($M10715="PADD II","PADD 2",IF($M10715="PADD III","PADD 3",IF($M10715="PADD IV","PADD 4",IF($M10715="PADD V","PADD 5","")))))</f>
        <v/>
      </c>
      <c r="G10715" s="6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  <c r="N10715" s="6">
        <f>IF(OR($G10715="FCC",$G10715="Hydrocracker",$G10715="Reformer"),IF(COUNTIFS($D:$D,$D10715,$A:$A,$A10715,$B:$B,$B10715,$G:$G,"CDU",$J:$J,"PLANNED")&gt;0,"tied","standalone"),"")</f>
        <v/>
      </c>
    </row>
    <row r="10716" spans="6:14">
      <c r="F10716" s="6">
        <f>IF($M10716="PADD I","PADD 1",IF($M10716="PADD II","PADD 2",IF($M10716="PADD III","PADD 3",IF($M10716="PADD IV","PADD 4",IF($M10716="PADD V","PADD 5","")))))</f>
        <v/>
      </c>
      <c r="G10716" s="6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  <c r="N10716" s="6">
        <f>IF(OR($G10716="FCC",$G10716="Hydrocracker",$G10716="Reformer"),IF(COUNTIFS($D:$D,$D10716,$A:$A,$A10716,$B:$B,$B10716,$G:$G,"CDU",$J:$J,"PLANNED")&gt;0,"tied","standalone"),"")</f>
        <v/>
      </c>
    </row>
    <row r="10717" spans="6:14">
      <c r="F10717" s="6">
        <f>IF($M10717="PADD I","PADD 1",IF($M10717="PADD II","PADD 2",IF($M10717="PADD III","PADD 3",IF($M10717="PADD IV","PADD 4",IF($M10717="PADD V","PADD 5","")))))</f>
        <v/>
      </c>
      <c r="G10717" s="6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  <c r="N10717" s="6">
        <f>IF(OR($G10717="FCC",$G10717="Hydrocracker",$G10717="Reformer"),IF(COUNTIFS($D:$D,$D10717,$A:$A,$A10717,$B:$B,$B10717,$G:$G,"CDU",$J:$J,"PLANNED")&gt;0,"tied","standalone"),"")</f>
        <v/>
      </c>
    </row>
    <row r="10718" spans="6:14">
      <c r="F10718" s="6">
        <f>IF($M10718="PADD I","PADD 1",IF($M10718="PADD II","PADD 2",IF($M10718="PADD III","PADD 3",IF($M10718="PADD IV","PADD 4",IF($M10718="PADD V","PADD 5","")))))</f>
        <v/>
      </c>
      <c r="G10718" s="6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  <c r="N10718" s="6">
        <f>IF(OR($G10718="FCC",$G10718="Hydrocracker",$G10718="Reformer"),IF(COUNTIFS($D:$D,$D10718,$A:$A,$A10718,$B:$B,$B10718,$G:$G,"CDU",$J:$J,"PLANNED")&gt;0,"tied","standalone"),"")</f>
        <v/>
      </c>
    </row>
    <row r="10719" spans="6:14">
      <c r="F10719" s="6">
        <f>IF($M10719="PADD I","PADD 1",IF($M10719="PADD II","PADD 2",IF($M10719="PADD III","PADD 3",IF($M10719="PADD IV","PADD 4",IF($M10719="PADD V","PADD 5","")))))</f>
        <v/>
      </c>
      <c r="G10719" s="6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  <c r="N10719" s="6">
        <f>IF(OR($G10719="FCC",$G10719="Hydrocracker",$G10719="Reformer"),IF(COUNTIFS($D:$D,$D10719,$A:$A,$A10719,$B:$B,$B10719,$G:$G,"CDU",$J:$J,"PLANNED")&gt;0,"tied","standalone"),"")</f>
        <v/>
      </c>
    </row>
    <row r="10720" spans="6:14">
      <c r="F10720" s="6">
        <f>IF($M10720="PADD I","PADD 1",IF($M10720="PADD II","PADD 2",IF($M10720="PADD III","PADD 3",IF($M10720="PADD IV","PADD 4",IF($M10720="PADD V","PADD 5","")))))</f>
        <v/>
      </c>
      <c r="G10720" s="6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  <c r="N10720" s="6">
        <f>IF(OR($G10720="FCC",$G10720="Hydrocracker",$G10720="Reformer"),IF(COUNTIFS($D:$D,$D10720,$A:$A,$A10720,$B:$B,$B10720,$G:$G,"CDU",$J:$J,"PLANNED")&gt;0,"tied","standalone"),"")</f>
        <v/>
      </c>
    </row>
    <row r="10721" spans="6:14">
      <c r="F10721" s="6">
        <f>IF($M10721="PADD I","PADD 1",IF($M10721="PADD II","PADD 2",IF($M10721="PADD III","PADD 3",IF($M10721="PADD IV","PADD 4",IF($M10721="PADD V","PADD 5","")))))</f>
        <v/>
      </c>
      <c r="G10721" s="6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  <c r="N10721" s="6">
        <f>IF(OR($G10721="FCC",$G10721="Hydrocracker",$G10721="Reformer"),IF(COUNTIFS($D:$D,$D10721,$A:$A,$A10721,$B:$B,$B10721,$G:$G,"CDU",$J:$J,"PLANNED")&gt;0,"tied","standalone"),"")</f>
        <v/>
      </c>
    </row>
    <row r="10722" spans="6:14">
      <c r="F10722" s="6">
        <f>IF($M10722="PADD I","PADD 1",IF($M10722="PADD II","PADD 2",IF($M10722="PADD III","PADD 3",IF($M10722="PADD IV","PADD 4",IF($M10722="PADD V","PADD 5","")))))</f>
        <v/>
      </c>
      <c r="G10722" s="6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  <c r="N10722" s="6">
        <f>IF(OR($G10722="FCC",$G10722="Hydrocracker",$G10722="Reformer"),IF(COUNTIFS($D:$D,$D10722,$A:$A,$A10722,$B:$B,$B10722,$G:$G,"CDU",$J:$J,"PLANNED")&gt;0,"tied","standalone"),"")</f>
        <v/>
      </c>
    </row>
    <row r="10723" spans="6:14">
      <c r="F10723" s="6">
        <f>IF($M10723="PADD I","PADD 1",IF($M10723="PADD II","PADD 2",IF($M10723="PADD III","PADD 3",IF($M10723="PADD IV","PADD 4",IF($M10723="PADD V","PADD 5","")))))</f>
        <v/>
      </c>
      <c r="G10723" s="6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  <c r="N10723" s="6">
        <f>IF(OR($G10723="FCC",$G10723="Hydrocracker",$G10723="Reformer"),IF(COUNTIFS($D:$D,$D10723,$A:$A,$A10723,$B:$B,$B10723,$G:$G,"CDU",$J:$J,"PLANNED")&gt;0,"tied","standalone"),"")</f>
        <v/>
      </c>
    </row>
    <row r="10724" spans="6:14">
      <c r="F10724" s="6">
        <f>IF($M10724="PADD I","PADD 1",IF($M10724="PADD II","PADD 2",IF($M10724="PADD III","PADD 3",IF($M10724="PADD IV","PADD 4",IF($M10724="PADD V","PADD 5","")))))</f>
        <v/>
      </c>
      <c r="G10724" s="6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  <c r="N10724" s="6">
        <f>IF(OR($G10724="FCC",$G10724="Hydrocracker",$G10724="Reformer"),IF(COUNTIFS($D:$D,$D10724,$A:$A,$A10724,$B:$B,$B10724,$G:$G,"CDU",$J:$J,"PLANNED")&gt;0,"tied","standalone"),"")</f>
        <v/>
      </c>
    </row>
    <row r="10725" spans="6:14">
      <c r="F10725" s="6">
        <f>IF($M10725="PADD I","PADD 1",IF($M10725="PADD II","PADD 2",IF($M10725="PADD III","PADD 3",IF($M10725="PADD IV","PADD 4",IF($M10725="PADD V","PADD 5","")))))</f>
        <v/>
      </c>
      <c r="G10725" s="6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  <c r="N10725" s="6">
        <f>IF(OR($G10725="FCC",$G10725="Hydrocracker",$G10725="Reformer"),IF(COUNTIFS($D:$D,$D10725,$A:$A,$A10725,$B:$B,$B10725,$G:$G,"CDU",$J:$J,"PLANNED")&gt;0,"tied","standalone"),"")</f>
        <v/>
      </c>
    </row>
    <row r="10726" spans="6:14">
      <c r="F10726" s="6">
        <f>IF($M10726="PADD I","PADD 1",IF($M10726="PADD II","PADD 2",IF($M10726="PADD III","PADD 3",IF($M10726="PADD IV","PADD 4",IF($M10726="PADD V","PADD 5","")))))</f>
        <v/>
      </c>
      <c r="G10726" s="6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  <c r="N10726" s="6">
        <f>IF(OR($G10726="FCC",$G10726="Hydrocracker",$G10726="Reformer"),IF(COUNTIFS($D:$D,$D10726,$A:$A,$A10726,$B:$B,$B10726,$G:$G,"CDU",$J:$J,"PLANNED")&gt;0,"tied","standalone"),"")</f>
        <v/>
      </c>
    </row>
    <row r="10727" spans="6:14">
      <c r="F10727" s="6">
        <f>IF($M10727="PADD I","PADD 1",IF($M10727="PADD II","PADD 2",IF($M10727="PADD III","PADD 3",IF($M10727="PADD IV","PADD 4",IF($M10727="PADD V","PADD 5","")))))</f>
        <v/>
      </c>
      <c r="G10727" s="6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  <c r="N10727" s="6">
        <f>IF(OR($G10727="FCC",$G10727="Hydrocracker",$G10727="Reformer"),IF(COUNTIFS($D:$D,$D10727,$A:$A,$A10727,$B:$B,$B10727,$G:$G,"CDU",$J:$J,"PLANNED")&gt;0,"tied","standalone"),"")</f>
        <v/>
      </c>
    </row>
    <row r="10728" spans="6:14">
      <c r="F10728" s="6">
        <f>IF($M10728="PADD I","PADD 1",IF($M10728="PADD II","PADD 2",IF($M10728="PADD III","PADD 3",IF($M10728="PADD IV","PADD 4",IF($M10728="PADD V","PADD 5","")))))</f>
        <v/>
      </c>
      <c r="G10728" s="6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  <c r="N10728" s="6">
        <f>IF(OR($G10728="FCC",$G10728="Hydrocracker",$G10728="Reformer"),IF(COUNTIFS($D:$D,$D10728,$A:$A,$A10728,$B:$B,$B10728,$G:$G,"CDU",$J:$J,"PLANNED")&gt;0,"tied","standalone"),"")</f>
        <v/>
      </c>
    </row>
    <row r="10729" spans="6:14">
      <c r="F10729" s="6">
        <f>IF($M10729="PADD I","PADD 1",IF($M10729="PADD II","PADD 2",IF($M10729="PADD III","PADD 3",IF($M10729="PADD IV","PADD 4",IF($M10729="PADD V","PADD 5","")))))</f>
        <v/>
      </c>
      <c r="G10729" s="6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  <c r="N10729" s="6">
        <f>IF(OR($G10729="FCC",$G10729="Hydrocracker",$G10729="Reformer"),IF(COUNTIFS($D:$D,$D10729,$A:$A,$A10729,$B:$B,$B10729,$G:$G,"CDU",$J:$J,"PLANNED")&gt;0,"tied","standalone"),"")</f>
        <v/>
      </c>
    </row>
    <row r="10730" spans="6:14">
      <c r="F10730" s="6">
        <f>IF($M10730="PADD I","PADD 1",IF($M10730="PADD II","PADD 2",IF($M10730="PADD III","PADD 3",IF($M10730="PADD IV","PADD 4",IF($M10730="PADD V","PADD 5","")))))</f>
        <v/>
      </c>
      <c r="G10730" s="6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  <c r="N10730" s="6">
        <f>IF(OR($G10730="FCC",$G10730="Hydrocracker",$G10730="Reformer"),IF(COUNTIFS($D:$D,$D10730,$A:$A,$A10730,$B:$B,$B10730,$G:$G,"CDU",$J:$J,"PLANNED")&gt;0,"tied","standalone"),"")</f>
        <v/>
      </c>
    </row>
    <row r="10731" spans="6:14">
      <c r="F10731" s="6">
        <f>IF($M10731="PADD I","PADD 1",IF($M10731="PADD II","PADD 2",IF($M10731="PADD III","PADD 3",IF($M10731="PADD IV","PADD 4",IF($M10731="PADD V","PADD 5","")))))</f>
        <v/>
      </c>
      <c r="G10731" s="6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  <c r="N10731" s="6">
        <f>IF(OR($G10731="FCC",$G10731="Hydrocracker",$G10731="Reformer"),IF(COUNTIFS($D:$D,$D10731,$A:$A,$A10731,$B:$B,$B10731,$G:$G,"CDU",$J:$J,"PLANNED")&gt;0,"tied","standalone"),"")</f>
        <v/>
      </c>
    </row>
    <row r="10732" spans="6:14">
      <c r="F10732" s="6">
        <f>IF($M10732="PADD I","PADD 1",IF($M10732="PADD II","PADD 2",IF($M10732="PADD III","PADD 3",IF($M10732="PADD IV","PADD 4",IF($M10732="PADD V","PADD 5","")))))</f>
        <v/>
      </c>
      <c r="G10732" s="6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  <c r="N10732" s="6">
        <f>IF(OR($G10732="FCC",$G10732="Hydrocracker",$G10732="Reformer"),IF(COUNTIFS($D:$D,$D10732,$A:$A,$A10732,$B:$B,$B10732,$G:$G,"CDU",$J:$J,"PLANNED")&gt;0,"tied","standalone"),"")</f>
        <v/>
      </c>
    </row>
    <row r="10733" spans="6:14">
      <c r="F10733" s="6">
        <f>IF($M10733="PADD I","PADD 1",IF($M10733="PADD II","PADD 2",IF($M10733="PADD III","PADD 3",IF($M10733="PADD IV","PADD 4",IF($M10733="PADD V","PADD 5","")))))</f>
        <v/>
      </c>
      <c r="G10733" s="6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  <c r="N10733" s="6">
        <f>IF(OR($G10733="FCC",$G10733="Hydrocracker",$G10733="Reformer"),IF(COUNTIFS($D:$D,$D10733,$A:$A,$A10733,$B:$B,$B10733,$G:$G,"CDU",$J:$J,"PLANNED")&gt;0,"tied","standalone"),"")</f>
        <v/>
      </c>
    </row>
    <row r="10734" spans="6:14">
      <c r="F10734" s="6">
        <f>IF($M10734="PADD I","PADD 1",IF($M10734="PADD II","PADD 2",IF($M10734="PADD III","PADD 3",IF($M10734="PADD IV","PADD 4",IF($M10734="PADD V","PADD 5","")))))</f>
        <v/>
      </c>
      <c r="G10734" s="6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  <c r="N10734" s="6">
        <f>IF(OR($G10734="FCC",$G10734="Hydrocracker",$G10734="Reformer"),IF(COUNTIFS($D:$D,$D10734,$A:$A,$A10734,$B:$B,$B10734,$G:$G,"CDU",$J:$J,"PLANNED")&gt;0,"tied","standalone"),"")</f>
        <v/>
      </c>
    </row>
    <row r="10735" spans="6:14">
      <c r="F10735" s="6">
        <f>IF($M10735="PADD I","PADD 1",IF($M10735="PADD II","PADD 2",IF($M10735="PADD III","PADD 3",IF($M10735="PADD IV","PADD 4",IF($M10735="PADD V","PADD 5","")))))</f>
        <v/>
      </c>
      <c r="G10735" s="6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  <c r="N10735" s="6">
        <f>IF(OR($G10735="FCC",$G10735="Hydrocracker",$G10735="Reformer"),IF(COUNTIFS($D:$D,$D10735,$A:$A,$A10735,$B:$B,$B10735,$G:$G,"CDU",$J:$J,"PLANNED")&gt;0,"tied","standalone"),"")</f>
        <v/>
      </c>
    </row>
    <row r="10736" spans="6:14">
      <c r="F10736" s="6">
        <f>IF($M10736="PADD I","PADD 1",IF($M10736="PADD II","PADD 2",IF($M10736="PADD III","PADD 3",IF($M10736="PADD IV","PADD 4",IF($M10736="PADD V","PADD 5","")))))</f>
        <v/>
      </c>
      <c r="G10736" s="6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  <c r="N10736" s="6">
        <f>IF(OR($G10736="FCC",$G10736="Hydrocracker",$G10736="Reformer"),IF(COUNTIFS($D:$D,$D10736,$A:$A,$A10736,$B:$B,$B10736,$G:$G,"CDU",$J:$J,"PLANNED")&gt;0,"tied","standalone"),"")</f>
        <v/>
      </c>
    </row>
    <row r="10737" spans="6:14">
      <c r="F10737" s="6">
        <f>IF($M10737="PADD I","PADD 1",IF($M10737="PADD II","PADD 2",IF($M10737="PADD III","PADD 3",IF($M10737="PADD IV","PADD 4",IF($M10737="PADD V","PADD 5","")))))</f>
        <v/>
      </c>
      <c r="G10737" s="6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  <c r="N10737" s="6">
        <f>IF(OR($G10737="FCC",$G10737="Hydrocracker",$G10737="Reformer"),IF(COUNTIFS($D:$D,$D10737,$A:$A,$A10737,$B:$B,$B10737,$G:$G,"CDU",$J:$J,"PLANNED")&gt;0,"tied","standalone"),"")</f>
        <v/>
      </c>
    </row>
    <row r="10738" spans="6:14">
      <c r="F10738" s="6">
        <f>IF($M10738="PADD I","PADD 1",IF($M10738="PADD II","PADD 2",IF($M10738="PADD III","PADD 3",IF($M10738="PADD IV","PADD 4",IF($M10738="PADD V","PADD 5","")))))</f>
        <v/>
      </c>
      <c r="G10738" s="6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  <c r="N10738" s="6">
        <f>IF(OR($G10738="FCC",$G10738="Hydrocracker",$G10738="Reformer"),IF(COUNTIFS($D:$D,$D10738,$A:$A,$A10738,$B:$B,$B10738,$G:$G,"CDU",$J:$J,"PLANNED")&gt;0,"tied","standalone"),"")</f>
        <v/>
      </c>
    </row>
    <row r="10739" spans="6:14">
      <c r="F10739" s="6">
        <f>IF($M10739="PADD I","PADD 1",IF($M10739="PADD II","PADD 2",IF($M10739="PADD III","PADD 3",IF($M10739="PADD IV","PADD 4",IF($M10739="PADD V","PADD 5","")))))</f>
        <v/>
      </c>
      <c r="G10739" s="6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  <c r="N10739" s="6">
        <f>IF(OR($G10739="FCC",$G10739="Hydrocracker",$G10739="Reformer"),IF(COUNTIFS($D:$D,$D10739,$A:$A,$A10739,$B:$B,$B10739,$G:$G,"CDU",$J:$J,"PLANNED")&gt;0,"tied","standalone"),"")</f>
        <v/>
      </c>
    </row>
    <row r="10740" spans="6:14">
      <c r="F10740" s="6">
        <f>IF($M10740="PADD I","PADD 1",IF($M10740="PADD II","PADD 2",IF($M10740="PADD III","PADD 3",IF($M10740="PADD IV","PADD 4",IF($M10740="PADD V","PADD 5","")))))</f>
        <v/>
      </c>
      <c r="G10740" s="6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  <c r="N10740" s="6">
        <f>IF(OR($G10740="FCC",$G10740="Hydrocracker",$G10740="Reformer"),IF(COUNTIFS($D:$D,$D10740,$A:$A,$A10740,$B:$B,$B10740,$G:$G,"CDU",$J:$J,"PLANNED")&gt;0,"tied","standalone"),"")</f>
        <v/>
      </c>
    </row>
    <row r="10741" spans="6:14">
      <c r="F10741" s="6">
        <f>IF($M10741="PADD I","PADD 1",IF($M10741="PADD II","PADD 2",IF($M10741="PADD III","PADD 3",IF($M10741="PADD IV","PADD 4",IF($M10741="PADD V","PADD 5","")))))</f>
        <v/>
      </c>
      <c r="G10741" s="6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  <c r="N10741" s="6">
        <f>IF(OR($G10741="FCC",$G10741="Hydrocracker",$G10741="Reformer"),IF(COUNTIFS($D:$D,$D10741,$A:$A,$A10741,$B:$B,$B10741,$G:$G,"CDU",$J:$J,"PLANNED")&gt;0,"tied","standalone"),"")</f>
        <v/>
      </c>
    </row>
    <row r="10742" spans="6:14">
      <c r="F10742" s="6">
        <f>IF($M10742="PADD I","PADD 1",IF($M10742="PADD II","PADD 2",IF($M10742="PADD III","PADD 3",IF($M10742="PADD IV","PADD 4",IF($M10742="PADD V","PADD 5","")))))</f>
        <v/>
      </c>
      <c r="G10742" s="6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  <c r="N10742" s="6">
        <f>IF(OR($G10742="FCC",$G10742="Hydrocracker",$G10742="Reformer"),IF(COUNTIFS($D:$D,$D10742,$A:$A,$A10742,$B:$B,$B10742,$G:$G,"CDU",$J:$J,"PLANNED")&gt;0,"tied","standalone"),"")</f>
        <v/>
      </c>
    </row>
    <row r="10743" spans="6:14">
      <c r="F10743" s="6">
        <f>IF($M10743="PADD I","PADD 1",IF($M10743="PADD II","PADD 2",IF($M10743="PADD III","PADD 3",IF($M10743="PADD IV","PADD 4",IF($M10743="PADD V","PADD 5","")))))</f>
        <v/>
      </c>
      <c r="G10743" s="6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  <c r="N10743" s="6">
        <f>IF(OR($G10743="FCC",$G10743="Hydrocracker",$G10743="Reformer"),IF(COUNTIFS($D:$D,$D10743,$A:$A,$A10743,$B:$B,$B10743,$G:$G,"CDU",$J:$J,"PLANNED")&gt;0,"tied","standalone"),"")</f>
        <v/>
      </c>
    </row>
    <row r="10744" spans="6:14">
      <c r="F10744" s="6">
        <f>IF($M10744="PADD I","PADD 1",IF($M10744="PADD II","PADD 2",IF($M10744="PADD III","PADD 3",IF($M10744="PADD IV","PADD 4",IF($M10744="PADD V","PADD 5","")))))</f>
        <v/>
      </c>
      <c r="G10744" s="6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  <c r="N10744" s="6">
        <f>IF(OR($G10744="FCC",$G10744="Hydrocracker",$G10744="Reformer"),IF(COUNTIFS($D:$D,$D10744,$A:$A,$A10744,$B:$B,$B10744,$G:$G,"CDU",$J:$J,"PLANNED")&gt;0,"tied","standalone"),"")</f>
        <v/>
      </c>
    </row>
    <row r="10745" spans="6:14">
      <c r="F10745" s="6">
        <f>IF($M10745="PADD I","PADD 1",IF($M10745="PADD II","PADD 2",IF($M10745="PADD III","PADD 3",IF($M10745="PADD IV","PADD 4",IF($M10745="PADD V","PADD 5","")))))</f>
        <v/>
      </c>
      <c r="G10745" s="6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  <c r="N10745" s="6">
        <f>IF(OR($G10745="FCC",$G10745="Hydrocracker",$G10745="Reformer"),IF(COUNTIFS($D:$D,$D10745,$A:$A,$A10745,$B:$B,$B10745,$G:$G,"CDU",$J:$J,"PLANNED")&gt;0,"tied","standalone"),"")</f>
        <v/>
      </c>
    </row>
    <row r="10746" spans="6:14">
      <c r="F10746" s="6">
        <f>IF($M10746="PADD I","PADD 1",IF($M10746="PADD II","PADD 2",IF($M10746="PADD III","PADD 3",IF($M10746="PADD IV","PADD 4",IF($M10746="PADD V","PADD 5","")))))</f>
        <v/>
      </c>
      <c r="G10746" s="6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  <c r="N10746" s="6">
        <f>IF(OR($G10746="FCC",$G10746="Hydrocracker",$G10746="Reformer"),IF(COUNTIFS($D:$D,$D10746,$A:$A,$A10746,$B:$B,$B10746,$G:$G,"CDU",$J:$J,"PLANNED")&gt;0,"tied","standalone"),"")</f>
        <v/>
      </c>
    </row>
    <row r="10747" spans="6:14">
      <c r="F10747" s="6">
        <f>IF($M10747="PADD I","PADD 1",IF($M10747="PADD II","PADD 2",IF($M10747="PADD III","PADD 3",IF($M10747="PADD IV","PADD 4",IF($M10747="PADD V","PADD 5","")))))</f>
        <v/>
      </c>
      <c r="G10747" s="6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  <c r="N10747" s="6">
        <f>IF(OR($G10747="FCC",$G10747="Hydrocracker",$G10747="Reformer"),IF(COUNTIFS($D:$D,$D10747,$A:$A,$A10747,$B:$B,$B10747,$G:$G,"CDU",$J:$J,"PLANNED")&gt;0,"tied","standalone"),"")</f>
        <v/>
      </c>
    </row>
    <row r="10748" spans="6:14">
      <c r="F10748" s="6">
        <f>IF($M10748="PADD I","PADD 1",IF($M10748="PADD II","PADD 2",IF($M10748="PADD III","PADD 3",IF($M10748="PADD IV","PADD 4",IF($M10748="PADD V","PADD 5","")))))</f>
        <v/>
      </c>
      <c r="G10748" s="6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  <c r="N10748" s="6">
        <f>IF(OR($G10748="FCC",$G10748="Hydrocracker",$G10748="Reformer"),IF(COUNTIFS($D:$D,$D10748,$A:$A,$A10748,$B:$B,$B10748,$G:$G,"CDU",$J:$J,"PLANNED")&gt;0,"tied","standalone"),"")</f>
        <v/>
      </c>
    </row>
    <row r="10749" spans="6:14">
      <c r="F10749" s="6">
        <f>IF($M10749="PADD I","PADD 1",IF($M10749="PADD II","PADD 2",IF($M10749="PADD III","PADD 3",IF($M10749="PADD IV","PADD 4",IF($M10749="PADD V","PADD 5","")))))</f>
        <v/>
      </c>
      <c r="G10749" s="6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  <c r="N10749" s="6">
        <f>IF(OR($G10749="FCC",$G10749="Hydrocracker",$G10749="Reformer"),IF(COUNTIFS($D:$D,$D10749,$A:$A,$A10749,$B:$B,$B10749,$G:$G,"CDU",$J:$J,"PLANNED")&gt;0,"tied","standalone"),"")</f>
        <v/>
      </c>
    </row>
    <row r="10750" spans="6:14">
      <c r="F10750" s="6">
        <f>IF($M10750="PADD I","PADD 1",IF($M10750="PADD II","PADD 2",IF($M10750="PADD III","PADD 3",IF($M10750="PADD IV","PADD 4",IF($M10750="PADD V","PADD 5","")))))</f>
        <v/>
      </c>
      <c r="G10750" s="6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  <c r="N10750" s="6">
        <f>IF(OR($G10750="FCC",$G10750="Hydrocracker",$G10750="Reformer"),IF(COUNTIFS($D:$D,$D10750,$A:$A,$A10750,$B:$B,$B10750,$G:$G,"CDU",$J:$J,"PLANNED")&gt;0,"tied","standalone"),"")</f>
        <v/>
      </c>
    </row>
    <row r="10751" spans="6:14">
      <c r="F10751" s="6">
        <f>IF($M10751="PADD I","PADD 1",IF($M10751="PADD II","PADD 2",IF($M10751="PADD III","PADD 3",IF($M10751="PADD IV","PADD 4",IF($M10751="PADD V","PADD 5","")))))</f>
        <v/>
      </c>
      <c r="G10751" s="6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  <c r="N10751" s="6">
        <f>IF(OR($G10751="FCC",$G10751="Hydrocracker",$G10751="Reformer"),IF(COUNTIFS($D:$D,$D10751,$A:$A,$A10751,$B:$B,$B10751,$G:$G,"CDU",$J:$J,"PLANNED")&gt;0,"tied","standalone"),"")</f>
        <v/>
      </c>
    </row>
    <row r="10752" spans="6:14">
      <c r="F10752" s="6">
        <f>IF($M10752="PADD I","PADD 1",IF($M10752="PADD II","PADD 2",IF($M10752="PADD III","PADD 3",IF($M10752="PADD IV","PADD 4",IF($M10752="PADD V","PADD 5","")))))</f>
        <v/>
      </c>
      <c r="G10752" s="6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  <c r="N10752" s="6">
        <f>IF(OR($G10752="FCC",$G10752="Hydrocracker",$G10752="Reformer"),IF(COUNTIFS($D:$D,$D10752,$A:$A,$A10752,$B:$B,$B10752,$G:$G,"CDU",$J:$J,"PLANNED")&gt;0,"tied","standalone"),"")</f>
        <v/>
      </c>
    </row>
    <row r="10753" spans="6:14">
      <c r="F10753" s="6">
        <f>IF($M10753="PADD I","PADD 1",IF($M10753="PADD II","PADD 2",IF($M10753="PADD III","PADD 3",IF($M10753="PADD IV","PADD 4",IF($M10753="PADD V","PADD 5","")))))</f>
        <v/>
      </c>
      <c r="G10753" s="6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  <c r="N10753" s="6">
        <f>IF(OR($G10753="FCC",$G10753="Hydrocracker",$G10753="Reformer"),IF(COUNTIFS($D:$D,$D10753,$A:$A,$A10753,$B:$B,$B10753,$G:$G,"CDU",$J:$J,"PLANNED")&gt;0,"tied","standalone"),"")</f>
        <v/>
      </c>
    </row>
    <row r="10754" spans="6:14">
      <c r="F10754" s="6">
        <f>IF($M10754="PADD I","PADD 1",IF($M10754="PADD II","PADD 2",IF($M10754="PADD III","PADD 3",IF($M10754="PADD IV","PADD 4",IF($M10754="PADD V","PADD 5","")))))</f>
        <v/>
      </c>
      <c r="G10754" s="6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  <c r="N10754" s="6">
        <f>IF(OR($G10754="FCC",$G10754="Hydrocracker",$G10754="Reformer"),IF(COUNTIFS($D:$D,$D10754,$A:$A,$A10754,$B:$B,$B10754,$G:$G,"CDU",$J:$J,"PLANNED")&gt;0,"tied","standalone"),"")</f>
        <v/>
      </c>
    </row>
    <row r="10755" spans="6:14">
      <c r="F10755" s="6">
        <f>IF($M10755="PADD I","PADD 1",IF($M10755="PADD II","PADD 2",IF($M10755="PADD III","PADD 3",IF($M10755="PADD IV","PADD 4",IF($M10755="PADD V","PADD 5","")))))</f>
        <v/>
      </c>
      <c r="G10755" s="6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  <c r="N10755" s="6">
        <f>IF(OR($G10755="FCC",$G10755="Hydrocracker",$G10755="Reformer"),IF(COUNTIFS($D:$D,$D10755,$A:$A,$A10755,$B:$B,$B10755,$G:$G,"CDU",$J:$J,"PLANNED")&gt;0,"tied","standalone"),"")</f>
        <v/>
      </c>
    </row>
    <row r="10756" spans="6:14">
      <c r="F10756" s="6">
        <f>IF($M10756="PADD I","PADD 1",IF($M10756="PADD II","PADD 2",IF($M10756="PADD III","PADD 3",IF($M10756="PADD IV","PADD 4",IF($M10756="PADD V","PADD 5","")))))</f>
        <v/>
      </c>
      <c r="G10756" s="6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  <c r="N10756" s="6">
        <f>IF(OR($G10756="FCC",$G10756="Hydrocracker",$G10756="Reformer"),IF(COUNTIFS($D:$D,$D10756,$A:$A,$A10756,$B:$B,$B10756,$G:$G,"CDU",$J:$J,"PLANNED")&gt;0,"tied","standalone"),"")</f>
        <v/>
      </c>
    </row>
    <row r="10757" spans="6:14">
      <c r="F10757" s="6">
        <f>IF($M10757="PADD I","PADD 1",IF($M10757="PADD II","PADD 2",IF($M10757="PADD III","PADD 3",IF($M10757="PADD IV","PADD 4",IF($M10757="PADD V","PADD 5","")))))</f>
        <v/>
      </c>
      <c r="G10757" s="6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  <c r="N10757" s="6">
        <f>IF(OR($G10757="FCC",$G10757="Hydrocracker",$G10757="Reformer"),IF(COUNTIFS($D:$D,$D10757,$A:$A,$A10757,$B:$B,$B10757,$G:$G,"CDU",$J:$J,"PLANNED")&gt;0,"tied","standalone"),"")</f>
        <v/>
      </c>
    </row>
    <row r="10758" spans="6:14">
      <c r="F10758" s="6">
        <f>IF($M10758="PADD I","PADD 1",IF($M10758="PADD II","PADD 2",IF($M10758="PADD III","PADD 3",IF($M10758="PADD IV","PADD 4",IF($M10758="PADD V","PADD 5","")))))</f>
        <v/>
      </c>
      <c r="G10758" s="6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  <c r="N10758" s="6">
        <f>IF(OR($G10758="FCC",$G10758="Hydrocracker",$G10758="Reformer"),IF(COUNTIFS($D:$D,$D10758,$A:$A,$A10758,$B:$B,$B10758,$G:$G,"CDU",$J:$J,"PLANNED")&gt;0,"tied","standalone"),"")</f>
        <v/>
      </c>
    </row>
    <row r="10759" spans="6:14">
      <c r="F10759" s="6">
        <f>IF($M10759="PADD I","PADD 1",IF($M10759="PADD II","PADD 2",IF($M10759="PADD III","PADD 3",IF($M10759="PADD IV","PADD 4",IF($M10759="PADD V","PADD 5","")))))</f>
        <v/>
      </c>
      <c r="G10759" s="6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  <c r="N10759" s="6">
        <f>IF(OR($G10759="FCC",$G10759="Hydrocracker",$G10759="Reformer"),IF(COUNTIFS($D:$D,$D10759,$A:$A,$A10759,$B:$B,$B10759,$G:$G,"CDU",$J:$J,"PLANNED")&gt;0,"tied","standalone"),"")</f>
        <v/>
      </c>
    </row>
    <row r="10760" spans="6:14">
      <c r="F10760" s="6">
        <f>IF($M10760="PADD I","PADD 1",IF($M10760="PADD II","PADD 2",IF($M10760="PADD III","PADD 3",IF($M10760="PADD IV","PADD 4",IF($M10760="PADD V","PADD 5","")))))</f>
        <v/>
      </c>
      <c r="G10760" s="6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  <c r="N10760" s="6">
        <f>IF(OR($G10760="FCC",$G10760="Hydrocracker",$G10760="Reformer"),IF(COUNTIFS($D:$D,$D10760,$A:$A,$A10760,$B:$B,$B10760,$G:$G,"CDU",$J:$J,"PLANNED")&gt;0,"tied","standalone"),"")</f>
        <v/>
      </c>
    </row>
    <row r="10761" spans="6:14">
      <c r="F10761" s="6">
        <f>IF($M10761="PADD I","PADD 1",IF($M10761="PADD II","PADD 2",IF($M10761="PADD III","PADD 3",IF($M10761="PADD IV","PADD 4",IF($M10761="PADD V","PADD 5","")))))</f>
        <v/>
      </c>
      <c r="G10761" s="6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  <c r="N10761" s="6">
        <f>IF(OR($G10761="FCC",$G10761="Hydrocracker",$G10761="Reformer"),IF(COUNTIFS($D:$D,$D10761,$A:$A,$A10761,$B:$B,$B10761,$G:$G,"CDU",$J:$J,"PLANNED")&gt;0,"tied","standalone"),"")</f>
        <v/>
      </c>
    </row>
    <row r="10762" spans="6:14">
      <c r="F10762" s="6">
        <f>IF($M10762="PADD I","PADD 1",IF($M10762="PADD II","PADD 2",IF($M10762="PADD III","PADD 3",IF($M10762="PADD IV","PADD 4",IF($M10762="PADD V","PADD 5","")))))</f>
        <v/>
      </c>
      <c r="G10762" s="6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  <c r="N10762" s="6">
        <f>IF(OR($G10762="FCC",$G10762="Hydrocracker",$G10762="Reformer"),IF(COUNTIFS($D:$D,$D10762,$A:$A,$A10762,$B:$B,$B10762,$G:$G,"CDU",$J:$J,"PLANNED")&gt;0,"tied","standalone"),"")</f>
        <v/>
      </c>
    </row>
    <row r="10763" spans="6:14">
      <c r="F10763" s="6">
        <f>IF($M10763="PADD I","PADD 1",IF($M10763="PADD II","PADD 2",IF($M10763="PADD III","PADD 3",IF($M10763="PADD IV","PADD 4",IF($M10763="PADD V","PADD 5","")))))</f>
        <v/>
      </c>
      <c r="G10763" s="6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  <c r="N10763" s="6">
        <f>IF(OR($G10763="FCC",$G10763="Hydrocracker",$G10763="Reformer"),IF(COUNTIFS($D:$D,$D10763,$A:$A,$A10763,$B:$B,$B10763,$G:$G,"CDU",$J:$J,"PLANNED")&gt;0,"tied","standalone"),"")</f>
        <v/>
      </c>
    </row>
    <row r="10764" spans="6:14">
      <c r="F10764" s="6">
        <f>IF($M10764="PADD I","PADD 1",IF($M10764="PADD II","PADD 2",IF($M10764="PADD III","PADD 3",IF($M10764="PADD IV","PADD 4",IF($M10764="PADD V","PADD 5","")))))</f>
        <v/>
      </c>
      <c r="G10764" s="6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  <c r="N10764" s="6">
        <f>IF(OR($G10764="FCC",$G10764="Hydrocracker",$G10764="Reformer"),IF(COUNTIFS($D:$D,$D10764,$A:$A,$A10764,$B:$B,$B10764,$G:$G,"CDU",$J:$J,"PLANNED")&gt;0,"tied","standalone"),"")</f>
        <v/>
      </c>
    </row>
    <row r="10765" spans="6:14">
      <c r="F10765" s="6">
        <f>IF($M10765="PADD I","PADD 1",IF($M10765="PADD II","PADD 2",IF($M10765="PADD III","PADD 3",IF($M10765="PADD IV","PADD 4",IF($M10765="PADD V","PADD 5","")))))</f>
        <v/>
      </c>
      <c r="G10765" s="6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  <c r="N10765" s="6">
        <f>IF(OR($G10765="FCC",$G10765="Hydrocracker",$G10765="Reformer"),IF(COUNTIFS($D:$D,$D10765,$A:$A,$A10765,$B:$B,$B10765,$G:$G,"CDU",$J:$J,"PLANNED")&gt;0,"tied","standalone"),"")</f>
        <v/>
      </c>
    </row>
    <row r="10766" spans="6:14">
      <c r="F10766" s="6">
        <f>IF($M10766="PADD I","PADD 1",IF($M10766="PADD II","PADD 2",IF($M10766="PADD III","PADD 3",IF($M10766="PADD IV","PADD 4",IF($M10766="PADD V","PADD 5","")))))</f>
        <v/>
      </c>
      <c r="G10766" s="6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  <c r="N10766" s="6">
        <f>IF(OR($G10766="FCC",$G10766="Hydrocracker",$G10766="Reformer"),IF(COUNTIFS($D:$D,$D10766,$A:$A,$A10766,$B:$B,$B10766,$G:$G,"CDU",$J:$J,"PLANNED")&gt;0,"tied","standalone"),"")</f>
        <v/>
      </c>
    </row>
    <row r="10767" spans="6:14">
      <c r="F10767" s="6">
        <f>IF($M10767="PADD I","PADD 1",IF($M10767="PADD II","PADD 2",IF($M10767="PADD III","PADD 3",IF($M10767="PADD IV","PADD 4",IF($M10767="PADD V","PADD 5","")))))</f>
        <v/>
      </c>
      <c r="G10767" s="6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  <c r="N10767" s="6">
        <f>IF(OR($G10767="FCC",$G10767="Hydrocracker",$G10767="Reformer"),IF(COUNTIFS($D:$D,$D10767,$A:$A,$A10767,$B:$B,$B10767,$G:$G,"CDU",$J:$J,"PLANNED")&gt;0,"tied","standalone"),"")</f>
        <v/>
      </c>
    </row>
    <row r="10768" spans="6:14">
      <c r="F10768" s="6">
        <f>IF($M10768="PADD I","PADD 1",IF($M10768="PADD II","PADD 2",IF($M10768="PADD III","PADD 3",IF($M10768="PADD IV","PADD 4",IF($M10768="PADD V","PADD 5","")))))</f>
        <v/>
      </c>
      <c r="G10768" s="6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  <c r="N10768" s="6">
        <f>IF(OR($G10768="FCC",$G10768="Hydrocracker",$G10768="Reformer"),IF(COUNTIFS($D:$D,$D10768,$A:$A,$A10768,$B:$B,$B10768,$G:$G,"CDU",$J:$J,"PLANNED")&gt;0,"tied","standalone"),"")</f>
        <v/>
      </c>
    </row>
    <row r="10769" spans="6:14">
      <c r="F10769" s="6">
        <f>IF($M10769="PADD I","PADD 1",IF($M10769="PADD II","PADD 2",IF($M10769="PADD III","PADD 3",IF($M10769="PADD IV","PADD 4",IF($M10769="PADD V","PADD 5","")))))</f>
        <v/>
      </c>
      <c r="G10769" s="6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  <c r="N10769" s="6">
        <f>IF(OR($G10769="FCC",$G10769="Hydrocracker",$G10769="Reformer"),IF(COUNTIFS($D:$D,$D10769,$A:$A,$A10769,$B:$B,$B10769,$G:$G,"CDU",$J:$J,"PLANNED")&gt;0,"tied","standalone"),"")</f>
        <v/>
      </c>
    </row>
    <row r="10770" spans="6:14">
      <c r="F10770" s="6">
        <f>IF($M10770="PADD I","PADD 1",IF($M10770="PADD II","PADD 2",IF($M10770="PADD III","PADD 3",IF($M10770="PADD IV","PADD 4",IF($M10770="PADD V","PADD 5","")))))</f>
        <v/>
      </c>
      <c r="G10770" s="6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  <c r="N10770" s="6">
        <f>IF(OR($G10770="FCC",$G10770="Hydrocracker",$G10770="Reformer"),IF(COUNTIFS($D:$D,$D10770,$A:$A,$A10770,$B:$B,$B10770,$G:$G,"CDU",$J:$J,"PLANNED")&gt;0,"tied","standalone"),"")</f>
        <v/>
      </c>
    </row>
    <row r="10771" spans="6:14">
      <c r="F10771" s="6">
        <f>IF($M10771="PADD I","PADD 1",IF($M10771="PADD II","PADD 2",IF($M10771="PADD III","PADD 3",IF($M10771="PADD IV","PADD 4",IF($M10771="PADD V","PADD 5","")))))</f>
        <v/>
      </c>
      <c r="G10771" s="6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  <c r="N10771" s="6">
        <f>IF(OR($G10771="FCC",$G10771="Hydrocracker",$G10771="Reformer"),IF(COUNTIFS($D:$D,$D10771,$A:$A,$A10771,$B:$B,$B10771,$G:$G,"CDU",$J:$J,"PLANNED")&gt;0,"tied","standalone"),"")</f>
        <v/>
      </c>
    </row>
    <row r="10772" spans="6:14">
      <c r="F10772" s="6">
        <f>IF($M10772="PADD I","PADD 1",IF($M10772="PADD II","PADD 2",IF($M10772="PADD III","PADD 3",IF($M10772="PADD IV","PADD 4",IF($M10772="PADD V","PADD 5","")))))</f>
        <v/>
      </c>
      <c r="G10772" s="6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  <c r="N10772" s="6">
        <f>IF(OR($G10772="FCC",$G10772="Hydrocracker",$G10772="Reformer"),IF(COUNTIFS($D:$D,$D10772,$A:$A,$A10772,$B:$B,$B10772,$G:$G,"CDU",$J:$J,"PLANNED")&gt;0,"tied","standalone"),"")</f>
        <v/>
      </c>
    </row>
    <row r="10773" spans="6:14">
      <c r="F10773" s="6">
        <f>IF($M10773="PADD I","PADD 1",IF($M10773="PADD II","PADD 2",IF($M10773="PADD III","PADD 3",IF($M10773="PADD IV","PADD 4",IF($M10773="PADD V","PADD 5","")))))</f>
        <v/>
      </c>
      <c r="G10773" s="6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  <c r="N10773" s="6">
        <f>IF(OR($G10773="FCC",$G10773="Hydrocracker",$G10773="Reformer"),IF(COUNTIFS($D:$D,$D10773,$A:$A,$A10773,$B:$B,$B10773,$G:$G,"CDU",$J:$J,"PLANNED")&gt;0,"tied","standalone"),"")</f>
        <v/>
      </c>
    </row>
    <row r="10774" spans="6:14">
      <c r="F10774" s="6">
        <f>IF($M10774="PADD I","PADD 1",IF($M10774="PADD II","PADD 2",IF($M10774="PADD III","PADD 3",IF($M10774="PADD IV","PADD 4",IF($M10774="PADD V","PADD 5","")))))</f>
        <v/>
      </c>
      <c r="G10774" s="6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  <c r="N10774" s="6">
        <f>IF(OR($G10774="FCC",$G10774="Hydrocracker",$G10774="Reformer"),IF(COUNTIFS($D:$D,$D10774,$A:$A,$A10774,$B:$B,$B10774,$G:$G,"CDU",$J:$J,"PLANNED")&gt;0,"tied","standalone"),"")</f>
        <v/>
      </c>
    </row>
    <row r="10775" spans="6:14">
      <c r="F10775" s="6">
        <f>IF($M10775="PADD I","PADD 1",IF($M10775="PADD II","PADD 2",IF($M10775="PADD III","PADD 3",IF($M10775="PADD IV","PADD 4",IF($M10775="PADD V","PADD 5","")))))</f>
        <v/>
      </c>
      <c r="G10775" s="6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  <c r="N10775" s="6">
        <f>IF(OR($G10775="FCC",$G10775="Hydrocracker",$G10775="Reformer"),IF(COUNTIFS($D:$D,$D10775,$A:$A,$A10775,$B:$B,$B10775,$G:$G,"CDU",$J:$J,"PLANNED")&gt;0,"tied","standalone"),"")</f>
        <v/>
      </c>
    </row>
    <row r="10776" spans="6:14">
      <c r="F10776" s="6">
        <f>IF($M10776="PADD I","PADD 1",IF($M10776="PADD II","PADD 2",IF($M10776="PADD III","PADD 3",IF($M10776="PADD IV","PADD 4",IF($M10776="PADD V","PADD 5","")))))</f>
        <v/>
      </c>
      <c r="G10776" s="6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  <c r="N10776" s="6">
        <f>IF(OR($G10776="FCC",$G10776="Hydrocracker",$G10776="Reformer"),IF(COUNTIFS($D:$D,$D10776,$A:$A,$A10776,$B:$B,$B10776,$G:$G,"CDU",$J:$J,"PLANNED")&gt;0,"tied","standalone"),"")</f>
        <v/>
      </c>
    </row>
    <row r="10777" spans="6:14">
      <c r="F10777" s="6">
        <f>IF($M10777="PADD I","PADD 1",IF($M10777="PADD II","PADD 2",IF($M10777="PADD III","PADD 3",IF($M10777="PADD IV","PADD 4",IF($M10777="PADD V","PADD 5","")))))</f>
        <v/>
      </c>
      <c r="G10777" s="6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  <c r="N10777" s="6">
        <f>IF(OR($G10777="FCC",$G10777="Hydrocracker",$G10777="Reformer"),IF(COUNTIFS($D:$D,$D10777,$A:$A,$A10777,$B:$B,$B10777,$G:$G,"CDU",$J:$J,"PLANNED")&gt;0,"tied","standalone"),"")</f>
        <v/>
      </c>
    </row>
    <row r="10778" spans="6:14">
      <c r="F10778" s="6">
        <f>IF($M10778="PADD I","PADD 1",IF($M10778="PADD II","PADD 2",IF($M10778="PADD III","PADD 3",IF($M10778="PADD IV","PADD 4",IF($M10778="PADD V","PADD 5","")))))</f>
        <v/>
      </c>
      <c r="G10778" s="6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  <c r="N10778" s="6">
        <f>IF(OR($G10778="FCC",$G10778="Hydrocracker",$G10778="Reformer"),IF(COUNTIFS($D:$D,$D10778,$A:$A,$A10778,$B:$B,$B10778,$G:$G,"CDU",$J:$J,"PLANNED")&gt;0,"tied","standalone"),"")</f>
        <v/>
      </c>
    </row>
    <row r="10779" spans="6:14">
      <c r="F10779" s="6">
        <f>IF($M10779="PADD I","PADD 1",IF($M10779="PADD II","PADD 2",IF($M10779="PADD III","PADD 3",IF($M10779="PADD IV","PADD 4",IF($M10779="PADD V","PADD 5","")))))</f>
        <v/>
      </c>
      <c r="G10779" s="6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  <c r="N10779" s="6">
        <f>IF(OR($G10779="FCC",$G10779="Hydrocracker",$G10779="Reformer"),IF(COUNTIFS($D:$D,$D10779,$A:$A,$A10779,$B:$B,$B10779,$G:$G,"CDU",$J:$J,"PLANNED")&gt;0,"tied","standalone"),"")</f>
        <v/>
      </c>
    </row>
    <row r="10780" spans="6:14">
      <c r="F10780" s="6">
        <f>IF($M10780="PADD I","PADD 1",IF($M10780="PADD II","PADD 2",IF($M10780="PADD III","PADD 3",IF($M10780="PADD IV","PADD 4",IF($M10780="PADD V","PADD 5","")))))</f>
        <v/>
      </c>
      <c r="G10780" s="6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  <c r="N10780" s="6">
        <f>IF(OR($G10780="FCC",$G10780="Hydrocracker",$G10780="Reformer"),IF(COUNTIFS($D:$D,$D10780,$A:$A,$A10780,$B:$B,$B10780,$G:$G,"CDU",$J:$J,"PLANNED")&gt;0,"tied","standalone"),"")</f>
        <v/>
      </c>
    </row>
    <row r="10781" spans="6:14">
      <c r="F10781" s="6">
        <f>IF($M10781="PADD I","PADD 1",IF($M10781="PADD II","PADD 2",IF($M10781="PADD III","PADD 3",IF($M10781="PADD IV","PADD 4",IF($M10781="PADD V","PADD 5","")))))</f>
        <v/>
      </c>
      <c r="G10781" s="6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  <c r="N10781" s="6">
        <f>IF(OR($G10781="FCC",$G10781="Hydrocracker",$G10781="Reformer"),IF(COUNTIFS($D:$D,$D10781,$A:$A,$A10781,$B:$B,$B10781,$G:$G,"CDU",$J:$J,"PLANNED")&gt;0,"tied","standalone"),"")</f>
        <v/>
      </c>
    </row>
    <row r="10782" spans="6:14">
      <c r="F10782" s="6">
        <f>IF($M10782="PADD I","PADD 1",IF($M10782="PADD II","PADD 2",IF($M10782="PADD III","PADD 3",IF($M10782="PADD IV","PADD 4",IF($M10782="PADD V","PADD 5","")))))</f>
        <v/>
      </c>
      <c r="G10782" s="6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  <c r="N10782" s="6">
        <f>IF(OR($G10782="FCC",$G10782="Hydrocracker",$G10782="Reformer"),IF(COUNTIFS($D:$D,$D10782,$A:$A,$A10782,$B:$B,$B10782,$G:$G,"CDU",$J:$J,"PLANNED")&gt;0,"tied","standalone"),"")</f>
        <v/>
      </c>
    </row>
    <row r="10783" spans="6:14">
      <c r="F10783" s="6">
        <f>IF($M10783="PADD I","PADD 1",IF($M10783="PADD II","PADD 2",IF($M10783="PADD III","PADD 3",IF($M10783="PADD IV","PADD 4",IF($M10783="PADD V","PADD 5","")))))</f>
        <v/>
      </c>
      <c r="G10783" s="6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  <c r="N10783" s="6">
        <f>IF(OR($G10783="FCC",$G10783="Hydrocracker",$G10783="Reformer"),IF(COUNTIFS($D:$D,$D10783,$A:$A,$A10783,$B:$B,$B10783,$G:$G,"CDU",$J:$J,"PLANNED")&gt;0,"tied","standalone"),"")</f>
        <v/>
      </c>
    </row>
    <row r="10784" spans="6:14">
      <c r="F10784" s="6">
        <f>IF($M10784="PADD I","PADD 1",IF($M10784="PADD II","PADD 2",IF($M10784="PADD III","PADD 3",IF($M10784="PADD IV","PADD 4",IF($M10784="PADD V","PADD 5","")))))</f>
        <v/>
      </c>
      <c r="G10784" s="6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  <c r="N10784" s="6">
        <f>IF(OR($G10784="FCC",$G10784="Hydrocracker",$G10784="Reformer"),IF(COUNTIFS($D:$D,$D10784,$A:$A,$A10784,$B:$B,$B10784,$G:$G,"CDU",$J:$J,"PLANNED")&gt;0,"tied","standalone"),"")</f>
        <v/>
      </c>
    </row>
    <row r="10785" spans="6:14">
      <c r="F10785" s="6">
        <f>IF($M10785="PADD I","PADD 1",IF($M10785="PADD II","PADD 2",IF($M10785="PADD III","PADD 3",IF($M10785="PADD IV","PADD 4",IF($M10785="PADD V","PADD 5","")))))</f>
        <v/>
      </c>
      <c r="G10785" s="6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  <c r="N10785" s="6">
        <f>IF(OR($G10785="FCC",$G10785="Hydrocracker",$G10785="Reformer"),IF(COUNTIFS($D:$D,$D10785,$A:$A,$A10785,$B:$B,$B10785,$G:$G,"CDU",$J:$J,"PLANNED")&gt;0,"tied","standalone"),"")</f>
        <v/>
      </c>
    </row>
    <row r="10786" spans="6:14">
      <c r="F10786" s="6">
        <f>IF($M10786="PADD I","PADD 1",IF($M10786="PADD II","PADD 2",IF($M10786="PADD III","PADD 3",IF($M10786="PADD IV","PADD 4",IF($M10786="PADD V","PADD 5","")))))</f>
        <v/>
      </c>
      <c r="G10786" s="6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  <c r="N10786" s="6">
        <f>IF(OR($G10786="FCC",$G10786="Hydrocracker",$G10786="Reformer"),IF(COUNTIFS($D:$D,$D10786,$A:$A,$A10786,$B:$B,$B10786,$G:$G,"CDU",$J:$J,"PLANNED")&gt;0,"tied","standalone"),"")</f>
        <v/>
      </c>
    </row>
    <row r="10787" spans="6:14">
      <c r="F10787" s="6">
        <f>IF($M10787="PADD I","PADD 1",IF($M10787="PADD II","PADD 2",IF($M10787="PADD III","PADD 3",IF($M10787="PADD IV","PADD 4",IF($M10787="PADD V","PADD 5","")))))</f>
        <v/>
      </c>
      <c r="G10787" s="6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  <c r="N10787" s="6">
        <f>IF(OR($G10787="FCC",$G10787="Hydrocracker",$G10787="Reformer"),IF(COUNTIFS($D:$D,$D10787,$A:$A,$A10787,$B:$B,$B10787,$G:$G,"CDU",$J:$J,"PLANNED")&gt;0,"tied","standalone"),"")</f>
        <v/>
      </c>
    </row>
    <row r="10788" spans="6:14">
      <c r="F10788" s="6">
        <f>IF($M10788="PADD I","PADD 1",IF($M10788="PADD II","PADD 2",IF($M10788="PADD III","PADD 3",IF($M10788="PADD IV","PADD 4",IF($M10788="PADD V","PADD 5","")))))</f>
        <v/>
      </c>
      <c r="G10788" s="6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  <c r="N10788" s="6">
        <f>IF(OR($G10788="FCC",$G10788="Hydrocracker",$G10788="Reformer"),IF(COUNTIFS($D:$D,$D10788,$A:$A,$A10788,$B:$B,$B10788,$G:$G,"CDU",$J:$J,"PLANNED")&gt;0,"tied","standalone"),"")</f>
        <v/>
      </c>
    </row>
    <row r="10789" spans="6:14">
      <c r="F10789" s="6">
        <f>IF($M10789="PADD I","PADD 1",IF($M10789="PADD II","PADD 2",IF($M10789="PADD III","PADD 3",IF($M10789="PADD IV","PADD 4",IF($M10789="PADD V","PADD 5","")))))</f>
        <v/>
      </c>
      <c r="G10789" s="6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  <c r="N10789" s="6">
        <f>IF(OR($G10789="FCC",$G10789="Hydrocracker",$G10789="Reformer"),IF(COUNTIFS($D:$D,$D10789,$A:$A,$A10789,$B:$B,$B10789,$G:$G,"CDU",$J:$J,"PLANNED")&gt;0,"tied","standalone"),"")</f>
        <v/>
      </c>
    </row>
    <row r="10790" spans="6:14">
      <c r="F10790" s="6">
        <f>IF($M10790="PADD I","PADD 1",IF($M10790="PADD II","PADD 2",IF($M10790="PADD III","PADD 3",IF($M10790="PADD IV","PADD 4",IF($M10790="PADD V","PADD 5","")))))</f>
        <v/>
      </c>
      <c r="G10790" s="6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  <c r="N10790" s="6">
        <f>IF(OR($G10790="FCC",$G10790="Hydrocracker",$G10790="Reformer"),IF(COUNTIFS($D:$D,$D10790,$A:$A,$A10790,$B:$B,$B10790,$G:$G,"CDU",$J:$J,"PLANNED")&gt;0,"tied","standalone"),"")</f>
        <v/>
      </c>
    </row>
    <row r="10791" spans="6:14">
      <c r="F10791" s="6">
        <f>IF($M10791="PADD I","PADD 1",IF($M10791="PADD II","PADD 2",IF($M10791="PADD III","PADD 3",IF($M10791="PADD IV","PADD 4",IF($M10791="PADD V","PADD 5","")))))</f>
        <v/>
      </c>
      <c r="G10791" s="6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  <c r="N10791" s="6">
        <f>IF(OR($G10791="FCC",$G10791="Hydrocracker",$G10791="Reformer"),IF(COUNTIFS($D:$D,$D10791,$A:$A,$A10791,$B:$B,$B10791,$G:$G,"CDU",$J:$J,"PLANNED")&gt;0,"tied","standalone"),"")</f>
        <v/>
      </c>
    </row>
    <row r="10792" spans="6:14">
      <c r="F10792" s="6">
        <f>IF($M10792="PADD I","PADD 1",IF($M10792="PADD II","PADD 2",IF($M10792="PADD III","PADD 3",IF($M10792="PADD IV","PADD 4",IF($M10792="PADD V","PADD 5","")))))</f>
        <v/>
      </c>
      <c r="G10792" s="6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  <c r="N10792" s="6">
        <f>IF(OR($G10792="FCC",$G10792="Hydrocracker",$G10792="Reformer"),IF(COUNTIFS($D:$D,$D10792,$A:$A,$A10792,$B:$B,$B10792,$G:$G,"CDU",$J:$J,"PLANNED")&gt;0,"tied","standalone"),"")</f>
        <v/>
      </c>
    </row>
    <row r="10793" spans="6:14">
      <c r="F10793" s="6">
        <f>IF($M10793="PADD I","PADD 1",IF($M10793="PADD II","PADD 2",IF($M10793="PADD III","PADD 3",IF($M10793="PADD IV","PADD 4",IF($M10793="PADD V","PADD 5","")))))</f>
        <v/>
      </c>
      <c r="G10793" s="6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  <c r="N10793" s="6">
        <f>IF(OR($G10793="FCC",$G10793="Hydrocracker",$G10793="Reformer"),IF(COUNTIFS($D:$D,$D10793,$A:$A,$A10793,$B:$B,$B10793,$G:$G,"CDU",$J:$J,"PLANNED")&gt;0,"tied","standalone"),"")</f>
        <v/>
      </c>
    </row>
    <row r="10794" spans="6:14">
      <c r="F10794" s="6">
        <f>IF($M10794="PADD I","PADD 1",IF($M10794="PADD II","PADD 2",IF($M10794="PADD III","PADD 3",IF($M10794="PADD IV","PADD 4",IF($M10794="PADD V","PADD 5","")))))</f>
        <v/>
      </c>
      <c r="G10794" s="6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  <c r="N10794" s="6">
        <f>IF(OR($G10794="FCC",$G10794="Hydrocracker",$G10794="Reformer"),IF(COUNTIFS($D:$D,$D10794,$A:$A,$A10794,$B:$B,$B10794,$G:$G,"CDU",$J:$J,"PLANNED")&gt;0,"tied","standalone"),"")</f>
        <v/>
      </c>
    </row>
    <row r="10795" spans="6:14">
      <c r="F10795" s="6">
        <f>IF($M10795="PADD I","PADD 1",IF($M10795="PADD II","PADD 2",IF($M10795="PADD III","PADD 3",IF($M10795="PADD IV","PADD 4",IF($M10795="PADD V","PADD 5","")))))</f>
        <v/>
      </c>
      <c r="G10795" s="6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  <c r="N10795" s="6">
        <f>IF(OR($G10795="FCC",$G10795="Hydrocracker",$G10795="Reformer"),IF(COUNTIFS($D:$D,$D10795,$A:$A,$A10795,$B:$B,$B10795,$G:$G,"CDU",$J:$J,"PLANNED")&gt;0,"tied","standalone"),"")</f>
        <v/>
      </c>
    </row>
    <row r="10796" spans="6:14">
      <c r="F10796" s="6">
        <f>IF($M10796="PADD I","PADD 1",IF($M10796="PADD II","PADD 2",IF($M10796="PADD III","PADD 3",IF($M10796="PADD IV","PADD 4",IF($M10796="PADD V","PADD 5","")))))</f>
        <v/>
      </c>
      <c r="G10796" s="6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  <c r="N10796" s="6">
        <f>IF(OR($G10796="FCC",$G10796="Hydrocracker",$G10796="Reformer"),IF(COUNTIFS($D:$D,$D10796,$A:$A,$A10796,$B:$B,$B10796,$G:$G,"CDU",$J:$J,"PLANNED")&gt;0,"tied","standalone"),"")</f>
        <v/>
      </c>
    </row>
    <row r="10797" spans="6:14">
      <c r="F10797" s="6">
        <f>IF($M10797="PADD I","PADD 1",IF($M10797="PADD II","PADD 2",IF($M10797="PADD III","PADD 3",IF($M10797="PADD IV","PADD 4",IF($M10797="PADD V","PADD 5","")))))</f>
        <v/>
      </c>
      <c r="G10797" s="6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  <c r="N10797" s="6">
        <f>IF(OR($G10797="FCC",$G10797="Hydrocracker",$G10797="Reformer"),IF(COUNTIFS($D:$D,$D10797,$A:$A,$A10797,$B:$B,$B10797,$G:$G,"CDU",$J:$J,"PLANNED")&gt;0,"tied","standalone"),"")</f>
        <v/>
      </c>
    </row>
    <row r="10798" spans="6:14">
      <c r="F10798" s="6">
        <f>IF($M10798="PADD I","PADD 1",IF($M10798="PADD II","PADD 2",IF($M10798="PADD III","PADD 3",IF($M10798="PADD IV","PADD 4",IF($M10798="PADD V","PADD 5","")))))</f>
        <v/>
      </c>
      <c r="G10798" s="6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  <c r="N10798" s="6">
        <f>IF(OR($G10798="FCC",$G10798="Hydrocracker",$G10798="Reformer"),IF(COUNTIFS($D:$D,$D10798,$A:$A,$A10798,$B:$B,$B10798,$G:$G,"CDU",$J:$J,"PLANNED")&gt;0,"tied","standalone"),"")</f>
        <v/>
      </c>
    </row>
    <row r="10799" spans="6:14">
      <c r="F10799" s="6">
        <f>IF($M10799="PADD I","PADD 1",IF($M10799="PADD II","PADD 2",IF($M10799="PADD III","PADD 3",IF($M10799="PADD IV","PADD 4",IF($M10799="PADD V","PADD 5","")))))</f>
        <v/>
      </c>
      <c r="G10799" s="6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  <c r="N10799" s="6">
        <f>IF(OR($G10799="FCC",$G10799="Hydrocracker",$G10799="Reformer"),IF(COUNTIFS($D:$D,$D10799,$A:$A,$A10799,$B:$B,$B10799,$G:$G,"CDU",$J:$J,"PLANNED")&gt;0,"tied","standalone"),"")</f>
        <v/>
      </c>
    </row>
    <row r="10800" spans="6:14">
      <c r="F10800" s="6">
        <f>IF($M10800="PADD I","PADD 1",IF($M10800="PADD II","PADD 2",IF($M10800="PADD III","PADD 3",IF($M10800="PADD IV","PADD 4",IF($M10800="PADD V","PADD 5","")))))</f>
        <v/>
      </c>
      <c r="G10800" s="6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  <c r="N10800" s="6">
        <f>IF(OR($G10800="FCC",$G10800="Hydrocracker",$G10800="Reformer"),IF(COUNTIFS($D:$D,$D10800,$A:$A,$A10800,$B:$B,$B10800,$G:$G,"CDU",$J:$J,"PLANNED")&gt;0,"tied","standalone"),"")</f>
        <v/>
      </c>
    </row>
    <row r="10801" spans="6:14">
      <c r="F10801" s="6">
        <f>IF($M10801="PADD I","PADD 1",IF($M10801="PADD II","PADD 2",IF($M10801="PADD III","PADD 3",IF($M10801="PADD IV","PADD 4",IF($M10801="PADD V","PADD 5","")))))</f>
        <v/>
      </c>
      <c r="G10801" s="6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  <c r="N10801" s="6">
        <f>IF(OR($G10801="FCC",$G10801="Hydrocracker",$G10801="Reformer"),IF(COUNTIFS($D:$D,$D10801,$A:$A,$A10801,$B:$B,$B10801,$G:$G,"CDU",$J:$J,"PLANNED")&gt;0,"tied","standalone"),"")</f>
        <v/>
      </c>
    </row>
    <row r="10802" spans="6:14">
      <c r="F10802" s="6">
        <f>IF($M10802="PADD I","PADD 1",IF($M10802="PADD II","PADD 2",IF($M10802="PADD III","PADD 3",IF($M10802="PADD IV","PADD 4",IF($M10802="PADD V","PADD 5","")))))</f>
        <v/>
      </c>
      <c r="G10802" s="6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  <c r="N10802" s="6">
        <f>IF(OR($G10802="FCC",$G10802="Hydrocracker",$G10802="Reformer"),IF(COUNTIFS($D:$D,$D10802,$A:$A,$A10802,$B:$B,$B10802,$G:$G,"CDU",$J:$J,"PLANNED")&gt;0,"tied","standalone"),"")</f>
        <v/>
      </c>
    </row>
    <row r="10803" spans="6:14">
      <c r="F10803" s="6">
        <f>IF($M10803="PADD I","PADD 1",IF($M10803="PADD II","PADD 2",IF($M10803="PADD III","PADD 3",IF($M10803="PADD IV","PADD 4",IF($M10803="PADD V","PADD 5","")))))</f>
        <v/>
      </c>
      <c r="G10803" s="6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  <c r="N10803" s="6">
        <f>IF(OR($G10803="FCC",$G10803="Hydrocracker",$G10803="Reformer"),IF(COUNTIFS($D:$D,$D10803,$A:$A,$A10803,$B:$B,$B10803,$G:$G,"CDU",$J:$J,"PLANNED")&gt;0,"tied","standalone"),"")</f>
        <v/>
      </c>
    </row>
    <row r="10804" spans="6:14">
      <c r="F10804" s="6">
        <f>IF($M10804="PADD I","PADD 1",IF($M10804="PADD II","PADD 2",IF($M10804="PADD III","PADD 3",IF($M10804="PADD IV","PADD 4",IF($M10804="PADD V","PADD 5","")))))</f>
        <v/>
      </c>
      <c r="G10804" s="6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  <c r="N10804" s="6">
        <f>IF(OR($G10804="FCC",$G10804="Hydrocracker",$G10804="Reformer"),IF(COUNTIFS($D:$D,$D10804,$A:$A,$A10804,$B:$B,$B10804,$G:$G,"CDU",$J:$J,"PLANNED")&gt;0,"tied","standalone"),"")</f>
        <v/>
      </c>
    </row>
    <row r="10805" spans="6:14">
      <c r="F10805" s="6">
        <f>IF($M10805="PADD I","PADD 1",IF($M10805="PADD II","PADD 2",IF($M10805="PADD III","PADD 3",IF($M10805="PADD IV","PADD 4",IF($M10805="PADD V","PADD 5","")))))</f>
        <v/>
      </c>
      <c r="G10805" s="6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  <c r="N10805" s="6">
        <f>IF(OR($G10805="FCC",$G10805="Hydrocracker",$G10805="Reformer"),IF(COUNTIFS($D:$D,$D10805,$A:$A,$A10805,$B:$B,$B10805,$G:$G,"CDU",$J:$J,"PLANNED")&gt;0,"tied","standalone"),"")</f>
        <v/>
      </c>
    </row>
    <row r="10806" spans="6:14">
      <c r="F10806" s="6">
        <f>IF($M10806="PADD I","PADD 1",IF($M10806="PADD II","PADD 2",IF($M10806="PADD III","PADD 3",IF($M10806="PADD IV","PADD 4",IF($M10806="PADD V","PADD 5","")))))</f>
        <v/>
      </c>
      <c r="G10806" s="6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  <c r="N10806" s="6">
        <f>IF(OR($G10806="FCC",$G10806="Hydrocracker",$G10806="Reformer"),IF(COUNTIFS($D:$D,$D10806,$A:$A,$A10806,$B:$B,$B10806,$G:$G,"CDU",$J:$J,"PLANNED")&gt;0,"tied","standalone"),"")</f>
        <v/>
      </c>
    </row>
    <row r="10807" spans="6:14">
      <c r="F10807" s="6">
        <f>IF($M10807="PADD I","PADD 1",IF($M10807="PADD II","PADD 2",IF($M10807="PADD III","PADD 3",IF($M10807="PADD IV","PADD 4",IF($M10807="PADD V","PADD 5","")))))</f>
        <v/>
      </c>
      <c r="G10807" s="6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  <c r="N10807" s="6">
        <f>IF(OR($G10807="FCC",$G10807="Hydrocracker",$G10807="Reformer"),IF(COUNTIFS($D:$D,$D10807,$A:$A,$A10807,$B:$B,$B10807,$G:$G,"CDU",$J:$J,"PLANNED")&gt;0,"tied","standalone"),"")</f>
        <v/>
      </c>
    </row>
    <row r="10808" spans="6:14">
      <c r="F10808" s="6">
        <f>IF($M10808="PADD I","PADD 1",IF($M10808="PADD II","PADD 2",IF($M10808="PADD III","PADD 3",IF($M10808="PADD IV","PADD 4",IF($M10808="PADD V","PADD 5","")))))</f>
        <v/>
      </c>
      <c r="G10808" s="6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  <c r="N10808" s="6">
        <f>IF(OR($G10808="FCC",$G10808="Hydrocracker",$G10808="Reformer"),IF(COUNTIFS($D:$D,$D10808,$A:$A,$A10808,$B:$B,$B10808,$G:$G,"CDU",$J:$J,"PLANNED")&gt;0,"tied","standalone"),"")</f>
        <v/>
      </c>
    </row>
    <row r="10809" spans="6:14">
      <c r="F10809" s="6">
        <f>IF($M10809="PADD I","PADD 1",IF($M10809="PADD II","PADD 2",IF($M10809="PADD III","PADD 3",IF($M10809="PADD IV","PADD 4",IF($M10809="PADD V","PADD 5","")))))</f>
        <v/>
      </c>
      <c r="G10809" s="6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  <c r="N10809" s="6">
        <f>IF(OR($G10809="FCC",$G10809="Hydrocracker",$G10809="Reformer"),IF(COUNTIFS($D:$D,$D10809,$A:$A,$A10809,$B:$B,$B10809,$G:$G,"CDU",$J:$J,"PLANNED")&gt;0,"tied","standalone"),"")</f>
        <v/>
      </c>
    </row>
    <row r="10810" spans="6:14">
      <c r="F10810" s="6">
        <f>IF($M10810="PADD I","PADD 1",IF($M10810="PADD II","PADD 2",IF($M10810="PADD III","PADD 3",IF($M10810="PADD IV","PADD 4",IF($M10810="PADD V","PADD 5","")))))</f>
        <v/>
      </c>
      <c r="G10810" s="6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  <c r="N10810" s="6">
        <f>IF(OR($G10810="FCC",$G10810="Hydrocracker",$G10810="Reformer"),IF(COUNTIFS($D:$D,$D10810,$A:$A,$A10810,$B:$B,$B10810,$G:$G,"CDU",$J:$J,"PLANNED")&gt;0,"tied","standalone"),"")</f>
        <v/>
      </c>
    </row>
    <row r="10811" spans="6:14">
      <c r="F10811" s="6">
        <f>IF($M10811="PADD I","PADD 1",IF($M10811="PADD II","PADD 2",IF($M10811="PADD III","PADD 3",IF($M10811="PADD IV","PADD 4",IF($M10811="PADD V","PADD 5","")))))</f>
        <v/>
      </c>
      <c r="G10811" s="6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  <c r="N10811" s="6">
        <f>IF(OR($G10811="FCC",$G10811="Hydrocracker",$G10811="Reformer"),IF(COUNTIFS($D:$D,$D10811,$A:$A,$A10811,$B:$B,$B10811,$G:$G,"CDU",$J:$J,"PLANNED")&gt;0,"tied","standalone"),"")</f>
        <v/>
      </c>
    </row>
    <row r="10812" spans="6:14">
      <c r="F10812" s="6">
        <f>IF($M10812="PADD I","PADD 1",IF($M10812="PADD II","PADD 2",IF($M10812="PADD III","PADD 3",IF($M10812="PADD IV","PADD 4",IF($M10812="PADD V","PADD 5","")))))</f>
        <v/>
      </c>
      <c r="G10812" s="6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  <c r="N10812" s="6">
        <f>IF(OR($G10812="FCC",$G10812="Hydrocracker",$G10812="Reformer"),IF(COUNTIFS($D:$D,$D10812,$A:$A,$A10812,$B:$B,$B10812,$G:$G,"CDU",$J:$J,"PLANNED")&gt;0,"tied","standalone"),"")</f>
        <v/>
      </c>
    </row>
    <row r="10813" spans="6:14">
      <c r="F10813" s="6">
        <f>IF($M10813="PADD I","PADD 1",IF($M10813="PADD II","PADD 2",IF($M10813="PADD III","PADD 3",IF($M10813="PADD IV","PADD 4",IF($M10813="PADD V","PADD 5","")))))</f>
        <v/>
      </c>
      <c r="G10813" s="6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  <c r="N10813" s="6">
        <f>IF(OR($G10813="FCC",$G10813="Hydrocracker",$G10813="Reformer"),IF(COUNTIFS($D:$D,$D10813,$A:$A,$A10813,$B:$B,$B10813,$G:$G,"CDU",$J:$J,"PLANNED")&gt;0,"tied","standalone"),"")</f>
        <v/>
      </c>
    </row>
    <row r="10814" spans="6:14">
      <c r="F10814" s="6">
        <f>IF($M10814="PADD I","PADD 1",IF($M10814="PADD II","PADD 2",IF($M10814="PADD III","PADD 3",IF($M10814="PADD IV","PADD 4",IF($M10814="PADD V","PADD 5","")))))</f>
        <v/>
      </c>
      <c r="G10814" s="6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  <c r="N10814" s="6">
        <f>IF(OR($G10814="FCC",$G10814="Hydrocracker",$G10814="Reformer"),IF(COUNTIFS($D:$D,$D10814,$A:$A,$A10814,$B:$B,$B10814,$G:$G,"CDU",$J:$J,"PLANNED")&gt;0,"tied","standalone"),"")</f>
        <v/>
      </c>
    </row>
    <row r="10815" spans="6:14">
      <c r="F10815" s="6">
        <f>IF($M10815="PADD I","PADD 1",IF($M10815="PADD II","PADD 2",IF($M10815="PADD III","PADD 3",IF($M10815="PADD IV","PADD 4",IF($M10815="PADD V","PADD 5","")))))</f>
        <v/>
      </c>
      <c r="G10815" s="6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  <c r="N10815" s="6">
        <f>IF(OR($G10815="FCC",$G10815="Hydrocracker",$G10815="Reformer"),IF(COUNTIFS($D:$D,$D10815,$A:$A,$A10815,$B:$B,$B10815,$G:$G,"CDU",$J:$J,"PLANNED")&gt;0,"tied","standalone"),"")</f>
        <v/>
      </c>
    </row>
    <row r="10816" spans="6:14">
      <c r="F10816" s="6">
        <f>IF($M10816="PADD I","PADD 1",IF($M10816="PADD II","PADD 2",IF($M10816="PADD III","PADD 3",IF($M10816="PADD IV","PADD 4",IF($M10816="PADD V","PADD 5","")))))</f>
        <v/>
      </c>
      <c r="G10816" s="6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  <c r="N10816" s="6">
        <f>IF(OR($G10816="FCC",$G10816="Hydrocracker",$G10816="Reformer"),IF(COUNTIFS($D:$D,$D10816,$A:$A,$A10816,$B:$B,$B10816,$G:$G,"CDU",$J:$J,"PLANNED")&gt;0,"tied","standalone"),"")</f>
        <v/>
      </c>
    </row>
    <row r="10817" spans="6:14">
      <c r="F10817" s="6">
        <f>IF($M10817="PADD I","PADD 1",IF($M10817="PADD II","PADD 2",IF($M10817="PADD III","PADD 3",IF($M10817="PADD IV","PADD 4",IF($M10817="PADD V","PADD 5","")))))</f>
        <v/>
      </c>
      <c r="G10817" s="6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  <c r="N10817" s="6">
        <f>IF(OR($G10817="FCC",$G10817="Hydrocracker",$G10817="Reformer"),IF(COUNTIFS($D:$D,$D10817,$A:$A,$A10817,$B:$B,$B10817,$G:$G,"CDU",$J:$J,"PLANNED")&gt;0,"tied","standalone"),"")</f>
        <v/>
      </c>
    </row>
    <row r="10818" spans="6:14">
      <c r="F10818" s="6">
        <f>IF($M10818="PADD I","PADD 1",IF($M10818="PADD II","PADD 2",IF($M10818="PADD III","PADD 3",IF($M10818="PADD IV","PADD 4",IF($M10818="PADD V","PADD 5","")))))</f>
        <v/>
      </c>
      <c r="G10818" s="6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  <c r="N10818" s="6">
        <f>IF(OR($G10818="FCC",$G10818="Hydrocracker",$G10818="Reformer"),IF(COUNTIFS($D:$D,$D10818,$A:$A,$A10818,$B:$B,$B10818,$G:$G,"CDU",$J:$J,"PLANNED")&gt;0,"tied","standalone"),"")</f>
        <v/>
      </c>
    </row>
    <row r="10819" spans="6:14">
      <c r="F10819" s="6">
        <f>IF($M10819="PADD I","PADD 1",IF($M10819="PADD II","PADD 2",IF($M10819="PADD III","PADD 3",IF($M10819="PADD IV","PADD 4",IF($M10819="PADD V","PADD 5","")))))</f>
        <v/>
      </c>
      <c r="G10819" s="6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  <c r="N10819" s="6">
        <f>IF(OR($G10819="FCC",$G10819="Hydrocracker",$G10819="Reformer"),IF(COUNTIFS($D:$D,$D10819,$A:$A,$A10819,$B:$B,$B10819,$G:$G,"CDU",$J:$J,"PLANNED")&gt;0,"tied","standalone"),"")</f>
        <v/>
      </c>
    </row>
    <row r="10820" spans="6:14">
      <c r="F10820" s="6">
        <f>IF($M10820="PADD I","PADD 1",IF($M10820="PADD II","PADD 2",IF($M10820="PADD III","PADD 3",IF($M10820="PADD IV","PADD 4",IF($M10820="PADD V","PADD 5","")))))</f>
        <v/>
      </c>
      <c r="G10820" s="6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  <c r="N10820" s="6">
        <f>IF(OR($G10820="FCC",$G10820="Hydrocracker",$G10820="Reformer"),IF(COUNTIFS($D:$D,$D10820,$A:$A,$A10820,$B:$B,$B10820,$G:$G,"CDU",$J:$J,"PLANNED")&gt;0,"tied","standalone"),"")</f>
        <v/>
      </c>
    </row>
    <row r="10821" spans="6:14">
      <c r="F10821" s="6">
        <f>IF($M10821="PADD I","PADD 1",IF($M10821="PADD II","PADD 2",IF($M10821="PADD III","PADD 3",IF($M10821="PADD IV","PADD 4",IF($M10821="PADD V","PADD 5","")))))</f>
        <v/>
      </c>
      <c r="G10821" s="6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  <c r="N10821" s="6">
        <f>IF(OR($G10821="FCC",$G10821="Hydrocracker",$G10821="Reformer"),IF(COUNTIFS($D:$D,$D10821,$A:$A,$A10821,$B:$B,$B10821,$G:$G,"CDU",$J:$J,"PLANNED")&gt;0,"tied","standalone"),"")</f>
        <v/>
      </c>
    </row>
    <row r="10822" spans="6:14">
      <c r="F10822" s="6">
        <f>IF($M10822="PADD I","PADD 1",IF($M10822="PADD II","PADD 2",IF($M10822="PADD III","PADD 3",IF($M10822="PADD IV","PADD 4",IF($M10822="PADD V","PADD 5","")))))</f>
        <v/>
      </c>
      <c r="G10822" s="6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  <c r="N10822" s="6">
        <f>IF(OR($G10822="FCC",$G10822="Hydrocracker",$G10822="Reformer"),IF(COUNTIFS($D:$D,$D10822,$A:$A,$A10822,$B:$B,$B10822,$G:$G,"CDU",$J:$J,"PLANNED")&gt;0,"tied","standalone"),"")</f>
        <v/>
      </c>
    </row>
    <row r="10823" spans="6:14">
      <c r="F10823" s="6">
        <f>IF($M10823="PADD I","PADD 1",IF($M10823="PADD II","PADD 2",IF($M10823="PADD III","PADD 3",IF($M10823="PADD IV","PADD 4",IF($M10823="PADD V","PADD 5","")))))</f>
        <v/>
      </c>
      <c r="G10823" s="6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  <c r="N10823" s="6">
        <f>IF(OR($G10823="FCC",$G10823="Hydrocracker",$G10823="Reformer"),IF(COUNTIFS($D:$D,$D10823,$A:$A,$A10823,$B:$B,$B10823,$G:$G,"CDU",$J:$J,"PLANNED")&gt;0,"tied","standalone"),"")</f>
        <v/>
      </c>
    </row>
    <row r="10824" spans="6:14">
      <c r="F10824" s="6">
        <f>IF($M10824="PADD I","PADD 1",IF($M10824="PADD II","PADD 2",IF($M10824="PADD III","PADD 3",IF($M10824="PADD IV","PADD 4",IF($M10824="PADD V","PADD 5","")))))</f>
        <v/>
      </c>
      <c r="G10824" s="6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  <c r="N10824" s="6">
        <f>IF(OR($G10824="FCC",$G10824="Hydrocracker",$G10824="Reformer"),IF(COUNTIFS($D:$D,$D10824,$A:$A,$A10824,$B:$B,$B10824,$G:$G,"CDU",$J:$J,"PLANNED")&gt;0,"tied","standalone"),"")</f>
        <v/>
      </c>
    </row>
    <row r="10825" spans="6:14">
      <c r="F10825" s="6">
        <f>IF($M10825="PADD I","PADD 1",IF($M10825="PADD II","PADD 2",IF($M10825="PADD III","PADD 3",IF($M10825="PADD IV","PADD 4",IF($M10825="PADD V","PADD 5","")))))</f>
        <v/>
      </c>
      <c r="G10825" s="6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  <c r="N10825" s="6">
        <f>IF(OR($G10825="FCC",$G10825="Hydrocracker",$G10825="Reformer"),IF(COUNTIFS($D:$D,$D10825,$A:$A,$A10825,$B:$B,$B10825,$G:$G,"CDU",$J:$J,"PLANNED")&gt;0,"tied","standalone"),"")</f>
        <v/>
      </c>
    </row>
    <row r="10826" spans="6:14">
      <c r="F10826" s="6">
        <f>IF($M10826="PADD I","PADD 1",IF($M10826="PADD II","PADD 2",IF($M10826="PADD III","PADD 3",IF($M10826="PADD IV","PADD 4",IF($M10826="PADD V","PADD 5","")))))</f>
        <v/>
      </c>
      <c r="G10826" s="6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  <c r="N10826" s="6">
        <f>IF(OR($G10826="FCC",$G10826="Hydrocracker",$G10826="Reformer"),IF(COUNTIFS($D:$D,$D10826,$A:$A,$A10826,$B:$B,$B10826,$G:$G,"CDU",$J:$J,"PLANNED")&gt;0,"tied","standalone"),"")</f>
        <v/>
      </c>
    </row>
    <row r="10827" spans="6:14">
      <c r="F10827" s="6">
        <f>IF($M10827="PADD I","PADD 1",IF($M10827="PADD II","PADD 2",IF($M10827="PADD III","PADD 3",IF($M10827="PADD IV","PADD 4",IF($M10827="PADD V","PADD 5","")))))</f>
        <v/>
      </c>
      <c r="G10827" s="6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  <c r="N10827" s="6">
        <f>IF(OR($G10827="FCC",$G10827="Hydrocracker",$G10827="Reformer"),IF(COUNTIFS($D:$D,$D10827,$A:$A,$A10827,$B:$B,$B10827,$G:$G,"CDU",$J:$J,"PLANNED")&gt;0,"tied","standalone"),"")</f>
        <v/>
      </c>
    </row>
    <row r="10828" spans="6:14">
      <c r="F10828" s="6">
        <f>IF($M10828="PADD I","PADD 1",IF($M10828="PADD II","PADD 2",IF($M10828="PADD III","PADD 3",IF($M10828="PADD IV","PADD 4",IF($M10828="PADD V","PADD 5","")))))</f>
        <v/>
      </c>
      <c r="G10828" s="6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  <c r="N10828" s="6">
        <f>IF(OR($G10828="FCC",$G10828="Hydrocracker",$G10828="Reformer"),IF(COUNTIFS($D:$D,$D10828,$A:$A,$A10828,$B:$B,$B10828,$G:$G,"CDU",$J:$J,"PLANNED")&gt;0,"tied","standalone"),"")</f>
        <v/>
      </c>
    </row>
    <row r="10829" spans="6:14">
      <c r="F10829" s="6">
        <f>IF($M10829="PADD I","PADD 1",IF($M10829="PADD II","PADD 2",IF($M10829="PADD III","PADD 3",IF($M10829="PADD IV","PADD 4",IF($M10829="PADD V","PADD 5","")))))</f>
        <v/>
      </c>
      <c r="G10829" s="6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  <c r="N10829" s="6">
        <f>IF(OR($G10829="FCC",$G10829="Hydrocracker",$G10829="Reformer"),IF(COUNTIFS($D:$D,$D10829,$A:$A,$A10829,$B:$B,$B10829,$G:$G,"CDU",$J:$J,"PLANNED")&gt;0,"tied","standalone"),"")</f>
        <v/>
      </c>
    </row>
    <row r="10830" spans="6:14">
      <c r="F10830" s="6">
        <f>IF($M10830="PADD I","PADD 1",IF($M10830="PADD II","PADD 2",IF($M10830="PADD III","PADD 3",IF($M10830="PADD IV","PADD 4",IF($M10830="PADD V","PADD 5","")))))</f>
        <v/>
      </c>
      <c r="G10830" s="6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  <c r="N10830" s="6">
        <f>IF(OR($G10830="FCC",$G10830="Hydrocracker",$G10830="Reformer"),IF(COUNTIFS($D:$D,$D10830,$A:$A,$A10830,$B:$B,$B10830,$G:$G,"CDU",$J:$J,"PLANNED")&gt;0,"tied","standalone"),"")</f>
        <v/>
      </c>
    </row>
    <row r="10831" spans="6:14">
      <c r="F10831" s="6">
        <f>IF($M10831="PADD I","PADD 1",IF($M10831="PADD II","PADD 2",IF($M10831="PADD III","PADD 3",IF($M10831="PADD IV","PADD 4",IF($M10831="PADD V","PADD 5","")))))</f>
        <v/>
      </c>
      <c r="G10831" s="6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  <c r="N10831" s="6">
        <f>IF(OR($G10831="FCC",$G10831="Hydrocracker",$G10831="Reformer"),IF(COUNTIFS($D:$D,$D10831,$A:$A,$A10831,$B:$B,$B10831,$G:$G,"CDU",$J:$J,"PLANNED")&gt;0,"tied","standalone"),"")</f>
        <v/>
      </c>
    </row>
    <row r="10832" spans="6:14">
      <c r="F10832" s="6">
        <f>IF($M10832="PADD I","PADD 1",IF($M10832="PADD II","PADD 2",IF($M10832="PADD III","PADD 3",IF($M10832="PADD IV","PADD 4",IF($M10832="PADD V","PADD 5","")))))</f>
        <v/>
      </c>
      <c r="G10832" s="6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  <c r="N10832" s="6">
        <f>IF(OR($G10832="FCC",$G10832="Hydrocracker",$G10832="Reformer"),IF(COUNTIFS($D:$D,$D10832,$A:$A,$A10832,$B:$B,$B10832,$G:$G,"CDU",$J:$J,"PLANNED")&gt;0,"tied","standalone"),"")</f>
        <v/>
      </c>
    </row>
    <row r="10833" spans="6:14">
      <c r="F10833" s="6">
        <f>IF($M10833="PADD I","PADD 1",IF($M10833="PADD II","PADD 2",IF($M10833="PADD III","PADD 3",IF($M10833="PADD IV","PADD 4",IF($M10833="PADD V","PADD 5","")))))</f>
        <v/>
      </c>
      <c r="G10833" s="6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  <c r="N10833" s="6">
        <f>IF(OR($G10833="FCC",$G10833="Hydrocracker",$G10833="Reformer"),IF(COUNTIFS($D:$D,$D10833,$A:$A,$A10833,$B:$B,$B10833,$G:$G,"CDU",$J:$J,"PLANNED")&gt;0,"tied","standalone"),"")</f>
        <v/>
      </c>
    </row>
    <row r="10834" spans="6:14">
      <c r="F10834" s="6">
        <f>IF($M10834="PADD I","PADD 1",IF($M10834="PADD II","PADD 2",IF($M10834="PADD III","PADD 3",IF($M10834="PADD IV","PADD 4",IF($M10834="PADD V","PADD 5","")))))</f>
        <v/>
      </c>
      <c r="G10834" s="6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  <c r="N10834" s="6">
        <f>IF(OR($G10834="FCC",$G10834="Hydrocracker",$G10834="Reformer"),IF(COUNTIFS($D:$D,$D10834,$A:$A,$A10834,$B:$B,$B10834,$G:$G,"CDU",$J:$J,"PLANNED")&gt;0,"tied","standalone"),"")</f>
        <v/>
      </c>
    </row>
    <row r="10835" spans="6:14">
      <c r="F10835" s="6">
        <f>IF($M10835="PADD I","PADD 1",IF($M10835="PADD II","PADD 2",IF($M10835="PADD III","PADD 3",IF($M10835="PADD IV","PADD 4",IF($M10835="PADD V","PADD 5","")))))</f>
        <v/>
      </c>
      <c r="G10835" s="6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  <c r="N10835" s="6">
        <f>IF(OR($G10835="FCC",$G10835="Hydrocracker",$G10835="Reformer"),IF(COUNTIFS($D:$D,$D10835,$A:$A,$A10835,$B:$B,$B10835,$G:$G,"CDU",$J:$J,"PLANNED")&gt;0,"tied","standalone"),"")</f>
        <v/>
      </c>
    </row>
    <row r="10836" spans="6:14">
      <c r="F10836" s="6">
        <f>IF($M10836="PADD I","PADD 1",IF($M10836="PADD II","PADD 2",IF($M10836="PADD III","PADD 3",IF($M10836="PADD IV","PADD 4",IF($M10836="PADD V","PADD 5","")))))</f>
        <v/>
      </c>
      <c r="G10836" s="6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  <c r="N10836" s="6">
        <f>IF(OR($G10836="FCC",$G10836="Hydrocracker",$G10836="Reformer"),IF(COUNTIFS($D:$D,$D10836,$A:$A,$A10836,$B:$B,$B10836,$G:$G,"CDU",$J:$J,"PLANNED")&gt;0,"tied","standalone"),"")</f>
        <v/>
      </c>
    </row>
    <row r="10837" spans="6:14">
      <c r="F10837" s="6">
        <f>IF($M10837="PADD I","PADD 1",IF($M10837="PADD II","PADD 2",IF($M10837="PADD III","PADD 3",IF($M10837="PADD IV","PADD 4",IF($M10837="PADD V","PADD 5","")))))</f>
        <v/>
      </c>
      <c r="G10837" s="6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  <c r="N10837" s="6">
        <f>IF(OR($G10837="FCC",$G10837="Hydrocracker",$G10837="Reformer"),IF(COUNTIFS($D:$D,$D10837,$A:$A,$A10837,$B:$B,$B10837,$G:$G,"CDU",$J:$J,"PLANNED")&gt;0,"tied","standalone"),"")</f>
        <v/>
      </c>
    </row>
    <row r="10838" spans="6:14">
      <c r="F10838" s="6">
        <f>IF($M10838="PADD I","PADD 1",IF($M10838="PADD II","PADD 2",IF($M10838="PADD III","PADD 3",IF($M10838="PADD IV","PADD 4",IF($M10838="PADD V","PADD 5","")))))</f>
        <v/>
      </c>
      <c r="G10838" s="6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  <c r="N10838" s="6">
        <f>IF(OR($G10838="FCC",$G10838="Hydrocracker",$G10838="Reformer"),IF(COUNTIFS($D:$D,$D10838,$A:$A,$A10838,$B:$B,$B10838,$G:$G,"CDU",$J:$J,"PLANNED")&gt;0,"tied","standalone"),"")</f>
        <v/>
      </c>
    </row>
    <row r="10839" spans="6:14">
      <c r="F10839" s="6">
        <f>IF($M10839="PADD I","PADD 1",IF($M10839="PADD II","PADD 2",IF($M10839="PADD III","PADD 3",IF($M10839="PADD IV","PADD 4",IF($M10839="PADD V","PADD 5","")))))</f>
        <v/>
      </c>
      <c r="G10839" s="6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  <c r="N10839" s="6">
        <f>IF(OR($G10839="FCC",$G10839="Hydrocracker",$G10839="Reformer"),IF(COUNTIFS($D:$D,$D10839,$A:$A,$A10839,$B:$B,$B10839,$G:$G,"CDU",$J:$J,"PLANNED")&gt;0,"tied","standalone"),"")</f>
        <v/>
      </c>
    </row>
    <row r="10840" spans="6:14">
      <c r="F10840" s="6">
        <f>IF($M10840="PADD I","PADD 1",IF($M10840="PADD II","PADD 2",IF($M10840="PADD III","PADD 3",IF($M10840="PADD IV","PADD 4",IF($M10840="PADD V","PADD 5","")))))</f>
        <v/>
      </c>
      <c r="G10840" s="6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  <c r="N10840" s="6">
        <f>IF(OR($G10840="FCC",$G10840="Hydrocracker",$G10840="Reformer"),IF(COUNTIFS($D:$D,$D10840,$A:$A,$A10840,$B:$B,$B10840,$G:$G,"CDU",$J:$J,"PLANNED")&gt;0,"tied","standalone"),"")</f>
        <v/>
      </c>
    </row>
    <row r="10841" spans="6:14">
      <c r="F10841" s="6">
        <f>IF($M10841="PADD I","PADD 1",IF($M10841="PADD II","PADD 2",IF($M10841="PADD III","PADD 3",IF($M10841="PADD IV","PADD 4",IF($M10841="PADD V","PADD 5","")))))</f>
        <v/>
      </c>
      <c r="G10841" s="6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  <c r="N10841" s="6">
        <f>IF(OR($G10841="FCC",$G10841="Hydrocracker",$G10841="Reformer"),IF(COUNTIFS($D:$D,$D10841,$A:$A,$A10841,$B:$B,$B10841,$G:$G,"CDU",$J:$J,"PLANNED")&gt;0,"tied","standalone"),"")</f>
        <v/>
      </c>
    </row>
    <row r="10842" spans="6:14">
      <c r="F10842" s="6">
        <f>IF($M10842="PADD I","PADD 1",IF($M10842="PADD II","PADD 2",IF($M10842="PADD III","PADD 3",IF($M10842="PADD IV","PADD 4",IF($M10842="PADD V","PADD 5","")))))</f>
        <v/>
      </c>
      <c r="G10842" s="6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  <c r="N10842" s="6">
        <f>IF(OR($G10842="FCC",$G10842="Hydrocracker",$G10842="Reformer"),IF(COUNTIFS($D:$D,$D10842,$A:$A,$A10842,$B:$B,$B10842,$G:$G,"CDU",$J:$J,"PLANNED")&gt;0,"tied","standalone"),"")</f>
        <v/>
      </c>
    </row>
    <row r="10843" spans="6:14">
      <c r="F10843" s="6">
        <f>IF($M10843="PADD I","PADD 1",IF($M10843="PADD II","PADD 2",IF($M10843="PADD III","PADD 3",IF($M10843="PADD IV","PADD 4",IF($M10843="PADD V","PADD 5","")))))</f>
        <v/>
      </c>
      <c r="G10843" s="6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  <c r="N10843" s="6">
        <f>IF(OR($G10843="FCC",$G10843="Hydrocracker",$G10843="Reformer"),IF(COUNTIFS($D:$D,$D10843,$A:$A,$A10843,$B:$B,$B10843,$G:$G,"CDU",$J:$J,"PLANNED")&gt;0,"tied","standalone"),"")</f>
        <v/>
      </c>
    </row>
    <row r="10844" spans="6:14">
      <c r="F10844" s="6">
        <f>IF($M10844="PADD I","PADD 1",IF($M10844="PADD II","PADD 2",IF($M10844="PADD III","PADD 3",IF($M10844="PADD IV","PADD 4",IF($M10844="PADD V","PADD 5","")))))</f>
        <v/>
      </c>
      <c r="G10844" s="6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  <c r="N10844" s="6">
        <f>IF(OR($G10844="FCC",$G10844="Hydrocracker",$G10844="Reformer"),IF(COUNTIFS($D:$D,$D10844,$A:$A,$A10844,$B:$B,$B10844,$G:$G,"CDU",$J:$J,"PLANNED")&gt;0,"tied","standalone"),"")</f>
        <v/>
      </c>
    </row>
    <row r="10845" spans="6:14">
      <c r="F10845" s="6">
        <f>IF($M10845="PADD I","PADD 1",IF($M10845="PADD II","PADD 2",IF($M10845="PADD III","PADD 3",IF($M10845="PADD IV","PADD 4",IF($M10845="PADD V","PADD 5","")))))</f>
        <v/>
      </c>
      <c r="G10845" s="6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  <c r="N10845" s="6">
        <f>IF(OR($G10845="FCC",$G10845="Hydrocracker",$G10845="Reformer"),IF(COUNTIFS($D:$D,$D10845,$A:$A,$A10845,$B:$B,$B10845,$G:$G,"CDU",$J:$J,"PLANNED")&gt;0,"tied","standalone"),"")</f>
        <v/>
      </c>
    </row>
    <row r="10846" spans="6:14">
      <c r="F10846" s="6">
        <f>IF($M10846="PADD I","PADD 1",IF($M10846="PADD II","PADD 2",IF($M10846="PADD III","PADD 3",IF($M10846="PADD IV","PADD 4",IF($M10846="PADD V","PADD 5","")))))</f>
        <v/>
      </c>
      <c r="G10846" s="6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  <c r="N10846" s="6">
        <f>IF(OR($G10846="FCC",$G10846="Hydrocracker",$G10846="Reformer"),IF(COUNTIFS($D:$D,$D10846,$A:$A,$A10846,$B:$B,$B10846,$G:$G,"CDU",$J:$J,"PLANNED")&gt;0,"tied","standalone"),"")</f>
        <v/>
      </c>
    </row>
    <row r="10847" spans="6:14">
      <c r="F10847" s="6">
        <f>IF($M10847="PADD I","PADD 1",IF($M10847="PADD II","PADD 2",IF($M10847="PADD III","PADD 3",IF($M10847="PADD IV","PADD 4",IF($M10847="PADD V","PADD 5","")))))</f>
        <v/>
      </c>
      <c r="G10847" s="6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  <c r="N10847" s="6">
        <f>IF(OR($G10847="FCC",$G10847="Hydrocracker",$G10847="Reformer"),IF(COUNTIFS($D:$D,$D10847,$A:$A,$A10847,$B:$B,$B10847,$G:$G,"CDU",$J:$J,"PLANNED")&gt;0,"tied","standalone"),"")</f>
        <v/>
      </c>
    </row>
    <row r="10848" spans="6:14">
      <c r="F10848" s="6">
        <f>IF($M10848="PADD I","PADD 1",IF($M10848="PADD II","PADD 2",IF($M10848="PADD III","PADD 3",IF($M10848="PADD IV","PADD 4",IF($M10848="PADD V","PADD 5","")))))</f>
        <v/>
      </c>
      <c r="G10848" s="6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  <c r="N10848" s="6">
        <f>IF(OR($G10848="FCC",$G10848="Hydrocracker",$G10848="Reformer"),IF(COUNTIFS($D:$D,$D10848,$A:$A,$A10848,$B:$B,$B10848,$G:$G,"CDU",$J:$J,"PLANNED")&gt;0,"tied","standalone"),"")</f>
        <v/>
      </c>
    </row>
    <row r="10849" spans="6:14">
      <c r="F10849" s="6">
        <f>IF($M10849="PADD I","PADD 1",IF($M10849="PADD II","PADD 2",IF($M10849="PADD III","PADD 3",IF($M10849="PADD IV","PADD 4",IF($M10849="PADD V","PADD 5","")))))</f>
        <v/>
      </c>
      <c r="G10849" s="6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  <c r="N10849" s="6">
        <f>IF(OR($G10849="FCC",$G10849="Hydrocracker",$G10849="Reformer"),IF(COUNTIFS($D:$D,$D10849,$A:$A,$A10849,$B:$B,$B10849,$G:$G,"CDU",$J:$J,"PLANNED")&gt;0,"tied","standalone"),"")</f>
        <v/>
      </c>
    </row>
    <row r="10850" spans="6:14">
      <c r="F10850" s="6">
        <f>IF($M10850="PADD I","PADD 1",IF($M10850="PADD II","PADD 2",IF($M10850="PADD III","PADD 3",IF($M10850="PADD IV","PADD 4",IF($M10850="PADD V","PADD 5","")))))</f>
        <v/>
      </c>
      <c r="G10850" s="6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  <c r="N10850" s="6">
        <f>IF(OR($G10850="FCC",$G10850="Hydrocracker",$G10850="Reformer"),IF(COUNTIFS($D:$D,$D10850,$A:$A,$A10850,$B:$B,$B10850,$G:$G,"CDU",$J:$J,"PLANNED")&gt;0,"tied","standalone"),"")</f>
        <v/>
      </c>
    </row>
    <row r="10851" spans="6:14">
      <c r="F10851" s="6">
        <f>IF($M10851="PADD I","PADD 1",IF($M10851="PADD II","PADD 2",IF($M10851="PADD III","PADD 3",IF($M10851="PADD IV","PADD 4",IF($M10851="PADD V","PADD 5","")))))</f>
        <v/>
      </c>
      <c r="G10851" s="6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  <c r="N10851" s="6">
        <f>IF(OR($G10851="FCC",$G10851="Hydrocracker",$G10851="Reformer"),IF(COUNTIFS($D:$D,$D10851,$A:$A,$A10851,$B:$B,$B10851,$G:$G,"CDU",$J:$J,"PLANNED")&gt;0,"tied","standalone"),"")</f>
        <v/>
      </c>
    </row>
    <row r="10852" spans="6:14">
      <c r="F10852" s="6">
        <f>IF($M10852="PADD I","PADD 1",IF($M10852="PADD II","PADD 2",IF($M10852="PADD III","PADD 3",IF($M10852="PADD IV","PADD 4",IF($M10852="PADD V","PADD 5","")))))</f>
        <v/>
      </c>
      <c r="G10852" s="6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  <c r="N10852" s="6">
        <f>IF(OR($G10852="FCC",$G10852="Hydrocracker",$G10852="Reformer"),IF(COUNTIFS($D:$D,$D10852,$A:$A,$A10852,$B:$B,$B10852,$G:$G,"CDU",$J:$J,"PLANNED")&gt;0,"tied","standalone"),"")</f>
        <v/>
      </c>
    </row>
    <row r="10853" spans="6:14">
      <c r="F10853" s="6">
        <f>IF($M10853="PADD I","PADD 1",IF($M10853="PADD II","PADD 2",IF($M10853="PADD III","PADD 3",IF($M10853="PADD IV","PADD 4",IF($M10853="PADD V","PADD 5","")))))</f>
        <v/>
      </c>
      <c r="G10853" s="6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  <c r="N10853" s="6">
        <f>IF(OR($G10853="FCC",$G10853="Hydrocracker",$G10853="Reformer"),IF(COUNTIFS($D:$D,$D10853,$A:$A,$A10853,$B:$B,$B10853,$G:$G,"CDU",$J:$J,"PLANNED")&gt;0,"tied","standalone"),"")</f>
        <v/>
      </c>
    </row>
    <row r="10854" spans="6:14">
      <c r="F10854" s="6">
        <f>IF($M10854="PADD I","PADD 1",IF($M10854="PADD II","PADD 2",IF($M10854="PADD III","PADD 3",IF($M10854="PADD IV","PADD 4",IF($M10854="PADD V","PADD 5","")))))</f>
        <v/>
      </c>
      <c r="G10854" s="6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  <c r="N10854" s="6">
        <f>IF(OR($G10854="FCC",$G10854="Hydrocracker",$G10854="Reformer"),IF(COUNTIFS($D:$D,$D10854,$A:$A,$A10854,$B:$B,$B10854,$G:$G,"CDU",$J:$J,"PLANNED")&gt;0,"tied","standalone"),"")</f>
        <v/>
      </c>
    </row>
    <row r="10855" spans="6:14">
      <c r="F10855" s="6">
        <f>IF($M10855="PADD I","PADD 1",IF($M10855="PADD II","PADD 2",IF($M10855="PADD III","PADD 3",IF($M10855="PADD IV","PADD 4",IF($M10855="PADD V","PADD 5","")))))</f>
        <v/>
      </c>
      <c r="G10855" s="6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  <c r="N10855" s="6">
        <f>IF(OR($G10855="FCC",$G10855="Hydrocracker",$G10855="Reformer"),IF(COUNTIFS($D:$D,$D10855,$A:$A,$A10855,$B:$B,$B10855,$G:$G,"CDU",$J:$J,"PLANNED")&gt;0,"tied","standalone"),"")</f>
        <v/>
      </c>
    </row>
    <row r="10856" spans="6:14">
      <c r="F10856" s="6">
        <f>IF($M10856="PADD I","PADD 1",IF($M10856="PADD II","PADD 2",IF($M10856="PADD III","PADD 3",IF($M10856="PADD IV","PADD 4",IF($M10856="PADD V","PADD 5","")))))</f>
        <v/>
      </c>
      <c r="G10856" s="6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  <c r="N10856" s="6">
        <f>IF(OR($G10856="FCC",$G10856="Hydrocracker",$G10856="Reformer"),IF(COUNTIFS($D:$D,$D10856,$A:$A,$A10856,$B:$B,$B10856,$G:$G,"CDU",$J:$J,"PLANNED")&gt;0,"tied","standalone"),"")</f>
        <v/>
      </c>
    </row>
    <row r="10857" spans="6:14">
      <c r="F10857" s="6">
        <f>IF($M10857="PADD I","PADD 1",IF($M10857="PADD II","PADD 2",IF($M10857="PADD III","PADD 3",IF($M10857="PADD IV","PADD 4",IF($M10857="PADD V","PADD 5","")))))</f>
        <v/>
      </c>
      <c r="G10857" s="6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  <c r="N10857" s="6">
        <f>IF(OR($G10857="FCC",$G10857="Hydrocracker",$G10857="Reformer"),IF(COUNTIFS($D:$D,$D10857,$A:$A,$A10857,$B:$B,$B10857,$G:$G,"CDU",$J:$J,"PLANNED")&gt;0,"tied","standalone"),"")</f>
        <v/>
      </c>
    </row>
    <row r="10858" spans="6:14">
      <c r="F10858" s="6">
        <f>IF($M10858="PADD I","PADD 1",IF($M10858="PADD II","PADD 2",IF($M10858="PADD III","PADD 3",IF($M10858="PADD IV","PADD 4",IF($M10858="PADD V","PADD 5","")))))</f>
        <v/>
      </c>
      <c r="G10858" s="6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  <c r="N10858" s="6">
        <f>IF(OR($G10858="FCC",$G10858="Hydrocracker",$G10858="Reformer"),IF(COUNTIFS($D:$D,$D10858,$A:$A,$A10858,$B:$B,$B10858,$G:$G,"CDU",$J:$J,"PLANNED")&gt;0,"tied","standalone"),"")</f>
        <v/>
      </c>
    </row>
    <row r="10859" spans="6:14">
      <c r="F10859" s="6">
        <f>IF($M10859="PADD I","PADD 1",IF($M10859="PADD II","PADD 2",IF($M10859="PADD III","PADD 3",IF($M10859="PADD IV","PADD 4",IF($M10859="PADD V","PADD 5","")))))</f>
        <v/>
      </c>
      <c r="G10859" s="6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  <c r="N10859" s="6">
        <f>IF(OR($G10859="FCC",$G10859="Hydrocracker",$G10859="Reformer"),IF(COUNTIFS($D:$D,$D10859,$A:$A,$A10859,$B:$B,$B10859,$G:$G,"CDU",$J:$J,"PLANNED")&gt;0,"tied","standalone"),"")</f>
        <v/>
      </c>
    </row>
    <row r="10860" spans="6:14">
      <c r="F10860" s="6">
        <f>IF($M10860="PADD I","PADD 1",IF($M10860="PADD II","PADD 2",IF($M10860="PADD III","PADD 3",IF($M10860="PADD IV","PADD 4",IF($M10860="PADD V","PADD 5","")))))</f>
        <v/>
      </c>
      <c r="G10860" s="6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  <c r="N10860" s="6">
        <f>IF(OR($G10860="FCC",$G10860="Hydrocracker",$G10860="Reformer"),IF(COUNTIFS($D:$D,$D10860,$A:$A,$A10860,$B:$B,$B10860,$G:$G,"CDU",$J:$J,"PLANNED")&gt;0,"tied","standalone"),"")</f>
        <v/>
      </c>
    </row>
    <row r="10861" spans="6:14">
      <c r="F10861" s="6">
        <f>IF($M10861="PADD I","PADD 1",IF($M10861="PADD II","PADD 2",IF($M10861="PADD III","PADD 3",IF($M10861="PADD IV","PADD 4",IF($M10861="PADD V","PADD 5","")))))</f>
        <v/>
      </c>
      <c r="G10861" s="6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  <c r="N10861" s="6">
        <f>IF(OR($G10861="FCC",$G10861="Hydrocracker",$G10861="Reformer"),IF(COUNTIFS($D:$D,$D10861,$A:$A,$A10861,$B:$B,$B10861,$G:$G,"CDU",$J:$J,"PLANNED")&gt;0,"tied","standalone"),"")</f>
        <v/>
      </c>
    </row>
    <row r="10862" spans="6:14">
      <c r="F10862" s="6">
        <f>IF($M10862="PADD I","PADD 1",IF($M10862="PADD II","PADD 2",IF($M10862="PADD III","PADD 3",IF($M10862="PADD IV","PADD 4",IF($M10862="PADD V","PADD 5","")))))</f>
        <v/>
      </c>
      <c r="G10862" s="6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  <c r="N10862" s="6">
        <f>IF(OR($G10862="FCC",$G10862="Hydrocracker",$G10862="Reformer"),IF(COUNTIFS($D:$D,$D10862,$A:$A,$A10862,$B:$B,$B10862,$G:$G,"CDU",$J:$J,"PLANNED")&gt;0,"tied","standalone"),"")</f>
        <v/>
      </c>
    </row>
    <row r="10863" spans="6:14">
      <c r="F10863" s="6">
        <f>IF($M10863="PADD I","PADD 1",IF($M10863="PADD II","PADD 2",IF($M10863="PADD III","PADD 3",IF($M10863="PADD IV","PADD 4",IF($M10863="PADD V","PADD 5","")))))</f>
        <v/>
      </c>
      <c r="G10863" s="6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  <c r="N10863" s="6">
        <f>IF(OR($G10863="FCC",$G10863="Hydrocracker",$G10863="Reformer"),IF(COUNTIFS($D:$D,$D10863,$A:$A,$A10863,$B:$B,$B10863,$G:$G,"CDU",$J:$J,"PLANNED")&gt;0,"tied","standalone"),"")</f>
        <v/>
      </c>
    </row>
    <row r="10864" spans="6:14">
      <c r="F10864" s="6">
        <f>IF($M10864="PADD I","PADD 1",IF($M10864="PADD II","PADD 2",IF($M10864="PADD III","PADD 3",IF($M10864="PADD IV","PADD 4",IF($M10864="PADD V","PADD 5","")))))</f>
        <v/>
      </c>
      <c r="G10864" s="6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  <c r="N10864" s="6">
        <f>IF(OR($G10864="FCC",$G10864="Hydrocracker",$G10864="Reformer"),IF(COUNTIFS($D:$D,$D10864,$A:$A,$A10864,$B:$B,$B10864,$G:$G,"CDU",$J:$J,"PLANNED")&gt;0,"tied","standalone"),"")</f>
        <v/>
      </c>
    </row>
    <row r="10865" spans="6:14">
      <c r="F10865" s="6">
        <f>IF($M10865="PADD I","PADD 1",IF($M10865="PADD II","PADD 2",IF($M10865="PADD III","PADD 3",IF($M10865="PADD IV","PADD 4",IF($M10865="PADD V","PADD 5","")))))</f>
        <v/>
      </c>
      <c r="G10865" s="6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  <c r="N10865" s="6">
        <f>IF(OR($G10865="FCC",$G10865="Hydrocracker",$G10865="Reformer"),IF(COUNTIFS($D:$D,$D10865,$A:$A,$A10865,$B:$B,$B10865,$G:$G,"CDU",$J:$J,"PLANNED")&gt;0,"tied","standalone"),"")</f>
        <v/>
      </c>
    </row>
    <row r="10866" spans="6:14">
      <c r="F10866" s="6">
        <f>IF($M10866="PADD I","PADD 1",IF($M10866="PADD II","PADD 2",IF($M10866="PADD III","PADD 3",IF($M10866="PADD IV","PADD 4",IF($M10866="PADD V","PADD 5","")))))</f>
        <v/>
      </c>
      <c r="G10866" s="6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  <c r="N10866" s="6">
        <f>IF(OR($G10866="FCC",$G10866="Hydrocracker",$G10866="Reformer"),IF(COUNTIFS($D:$D,$D10866,$A:$A,$A10866,$B:$B,$B10866,$G:$G,"CDU",$J:$J,"PLANNED")&gt;0,"tied","standalone"),"")</f>
        <v/>
      </c>
    </row>
    <row r="10867" spans="6:14">
      <c r="F10867" s="6">
        <f>IF($M10867="PADD I","PADD 1",IF($M10867="PADD II","PADD 2",IF($M10867="PADD III","PADD 3",IF($M10867="PADD IV","PADD 4",IF($M10867="PADD V","PADD 5","")))))</f>
        <v/>
      </c>
      <c r="G10867" s="6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  <c r="N10867" s="6">
        <f>IF(OR($G10867="FCC",$G10867="Hydrocracker",$G10867="Reformer"),IF(COUNTIFS($D:$D,$D10867,$A:$A,$A10867,$B:$B,$B10867,$G:$G,"CDU",$J:$J,"PLANNED")&gt;0,"tied","standalone"),"")</f>
        <v/>
      </c>
    </row>
    <row r="10868" spans="6:14">
      <c r="F10868" s="6">
        <f>IF($M10868="PADD I","PADD 1",IF($M10868="PADD II","PADD 2",IF($M10868="PADD III","PADD 3",IF($M10868="PADD IV","PADD 4",IF($M10868="PADD V","PADD 5","")))))</f>
        <v/>
      </c>
      <c r="G10868" s="6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  <c r="N10868" s="6">
        <f>IF(OR($G10868="FCC",$G10868="Hydrocracker",$G10868="Reformer"),IF(COUNTIFS($D:$D,$D10868,$A:$A,$A10868,$B:$B,$B10868,$G:$G,"CDU",$J:$J,"PLANNED")&gt;0,"tied","standalone"),"")</f>
        <v/>
      </c>
    </row>
    <row r="10869" spans="6:14">
      <c r="F10869" s="6">
        <f>IF($M10869="PADD I","PADD 1",IF($M10869="PADD II","PADD 2",IF($M10869="PADD III","PADD 3",IF($M10869="PADD IV","PADD 4",IF($M10869="PADD V","PADD 5","")))))</f>
        <v/>
      </c>
      <c r="G10869" s="6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  <c r="N10869" s="6">
        <f>IF(OR($G10869="FCC",$G10869="Hydrocracker",$G10869="Reformer"),IF(COUNTIFS($D:$D,$D10869,$A:$A,$A10869,$B:$B,$B10869,$G:$G,"CDU",$J:$J,"PLANNED")&gt;0,"tied","standalone"),"")</f>
        <v/>
      </c>
    </row>
    <row r="10870" spans="6:14">
      <c r="F10870" s="6">
        <f>IF($M10870="PADD I","PADD 1",IF($M10870="PADD II","PADD 2",IF($M10870="PADD III","PADD 3",IF($M10870="PADD IV","PADD 4",IF($M10870="PADD V","PADD 5","")))))</f>
        <v/>
      </c>
      <c r="G10870" s="6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  <c r="N10870" s="6">
        <f>IF(OR($G10870="FCC",$G10870="Hydrocracker",$G10870="Reformer"),IF(COUNTIFS($D:$D,$D10870,$A:$A,$A10870,$B:$B,$B10870,$G:$G,"CDU",$J:$J,"PLANNED")&gt;0,"tied","standalone"),"")</f>
        <v/>
      </c>
    </row>
    <row r="10871" spans="6:14">
      <c r="F10871" s="6">
        <f>IF($M10871="PADD I","PADD 1",IF($M10871="PADD II","PADD 2",IF($M10871="PADD III","PADD 3",IF($M10871="PADD IV","PADD 4",IF($M10871="PADD V","PADD 5","")))))</f>
        <v/>
      </c>
      <c r="G10871" s="6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  <c r="N10871" s="6">
        <f>IF(OR($G10871="FCC",$G10871="Hydrocracker",$G10871="Reformer"),IF(COUNTIFS($D:$D,$D10871,$A:$A,$A10871,$B:$B,$B10871,$G:$G,"CDU",$J:$J,"PLANNED")&gt;0,"tied","standalone"),"")</f>
        <v/>
      </c>
    </row>
    <row r="10872" spans="6:14">
      <c r="F10872" s="6">
        <f>IF($M10872="PADD I","PADD 1",IF($M10872="PADD II","PADD 2",IF($M10872="PADD III","PADD 3",IF($M10872="PADD IV","PADD 4",IF($M10872="PADD V","PADD 5","")))))</f>
        <v/>
      </c>
      <c r="G10872" s="6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  <c r="N10872" s="6">
        <f>IF(OR($G10872="FCC",$G10872="Hydrocracker",$G10872="Reformer"),IF(COUNTIFS($D:$D,$D10872,$A:$A,$A10872,$B:$B,$B10872,$G:$G,"CDU",$J:$J,"PLANNED")&gt;0,"tied","standalone"),"")</f>
        <v/>
      </c>
    </row>
    <row r="10873" spans="6:14">
      <c r="F10873" s="6">
        <f>IF($M10873="PADD I","PADD 1",IF($M10873="PADD II","PADD 2",IF($M10873="PADD III","PADD 3",IF($M10873="PADD IV","PADD 4",IF($M10873="PADD V","PADD 5","")))))</f>
        <v/>
      </c>
      <c r="G10873" s="6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  <c r="N10873" s="6">
        <f>IF(OR($G10873="FCC",$G10873="Hydrocracker",$G10873="Reformer"),IF(COUNTIFS($D:$D,$D10873,$A:$A,$A10873,$B:$B,$B10873,$G:$G,"CDU",$J:$J,"PLANNED")&gt;0,"tied","standalone"),"")</f>
        <v/>
      </c>
    </row>
    <row r="10874" spans="6:14">
      <c r="F10874" s="6">
        <f>IF($M10874="PADD I","PADD 1",IF($M10874="PADD II","PADD 2",IF($M10874="PADD III","PADD 3",IF($M10874="PADD IV","PADD 4",IF($M10874="PADD V","PADD 5","")))))</f>
        <v/>
      </c>
      <c r="G10874" s="6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  <c r="N10874" s="6">
        <f>IF(OR($G10874="FCC",$G10874="Hydrocracker",$G10874="Reformer"),IF(COUNTIFS($D:$D,$D10874,$A:$A,$A10874,$B:$B,$B10874,$G:$G,"CDU",$J:$J,"PLANNED")&gt;0,"tied","standalone"),"")</f>
        <v/>
      </c>
    </row>
    <row r="10875" spans="6:14">
      <c r="F10875" s="6">
        <f>IF($M10875="PADD I","PADD 1",IF($M10875="PADD II","PADD 2",IF($M10875="PADD III","PADD 3",IF($M10875="PADD IV","PADD 4",IF($M10875="PADD V","PADD 5","")))))</f>
        <v/>
      </c>
      <c r="G10875" s="6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  <c r="N10875" s="6">
        <f>IF(OR($G10875="FCC",$G10875="Hydrocracker",$G10875="Reformer"),IF(COUNTIFS($D:$D,$D10875,$A:$A,$A10875,$B:$B,$B10875,$G:$G,"CDU",$J:$J,"PLANNED")&gt;0,"tied","standalone"),"")</f>
        <v/>
      </c>
    </row>
    <row r="10876" spans="6:14">
      <c r="F10876" s="6">
        <f>IF($M10876="PADD I","PADD 1",IF($M10876="PADD II","PADD 2",IF($M10876="PADD III","PADD 3",IF($M10876="PADD IV","PADD 4",IF($M10876="PADD V","PADD 5","")))))</f>
        <v/>
      </c>
      <c r="G10876" s="6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  <c r="N10876" s="6">
        <f>IF(OR($G10876="FCC",$G10876="Hydrocracker",$G10876="Reformer"),IF(COUNTIFS($D:$D,$D10876,$A:$A,$A10876,$B:$B,$B10876,$G:$G,"CDU",$J:$J,"PLANNED")&gt;0,"tied","standalone"),"")</f>
        <v/>
      </c>
    </row>
    <row r="10877" spans="6:14">
      <c r="F10877" s="6">
        <f>IF($M10877="PADD I","PADD 1",IF($M10877="PADD II","PADD 2",IF($M10877="PADD III","PADD 3",IF($M10877="PADD IV","PADD 4",IF($M10877="PADD V","PADD 5","")))))</f>
        <v/>
      </c>
      <c r="G10877" s="6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  <c r="N10877" s="6">
        <f>IF(OR($G10877="FCC",$G10877="Hydrocracker",$G10877="Reformer"),IF(COUNTIFS($D:$D,$D10877,$A:$A,$A10877,$B:$B,$B10877,$G:$G,"CDU",$J:$J,"PLANNED")&gt;0,"tied","standalone"),"")</f>
        <v/>
      </c>
    </row>
    <row r="10878" spans="6:14">
      <c r="F10878" s="6">
        <f>IF($M10878="PADD I","PADD 1",IF($M10878="PADD II","PADD 2",IF($M10878="PADD III","PADD 3",IF($M10878="PADD IV","PADD 4",IF($M10878="PADD V","PADD 5","")))))</f>
        <v/>
      </c>
      <c r="G10878" s="6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  <c r="N10878" s="6">
        <f>IF(OR($G10878="FCC",$G10878="Hydrocracker",$G10878="Reformer"),IF(COUNTIFS($D:$D,$D10878,$A:$A,$A10878,$B:$B,$B10878,$G:$G,"CDU",$J:$J,"PLANNED")&gt;0,"tied","standalone"),"")</f>
        <v/>
      </c>
    </row>
    <row r="10879" spans="6:14">
      <c r="F10879" s="6">
        <f>IF($M10879="PADD I","PADD 1",IF($M10879="PADD II","PADD 2",IF($M10879="PADD III","PADD 3",IF($M10879="PADD IV","PADD 4",IF($M10879="PADD V","PADD 5","")))))</f>
        <v/>
      </c>
      <c r="G10879" s="6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  <c r="N10879" s="6">
        <f>IF(OR($G10879="FCC",$G10879="Hydrocracker",$G10879="Reformer"),IF(COUNTIFS($D:$D,$D10879,$A:$A,$A10879,$B:$B,$B10879,$G:$G,"CDU",$J:$J,"PLANNED")&gt;0,"tied","standalone"),"")</f>
        <v/>
      </c>
    </row>
    <row r="10880" spans="6:14">
      <c r="F10880" s="6">
        <f>IF($M10880="PADD I","PADD 1",IF($M10880="PADD II","PADD 2",IF($M10880="PADD III","PADD 3",IF($M10880="PADD IV","PADD 4",IF($M10880="PADD V","PADD 5","")))))</f>
        <v/>
      </c>
      <c r="G10880" s="6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  <c r="N10880" s="6">
        <f>IF(OR($G10880="FCC",$G10880="Hydrocracker",$G10880="Reformer"),IF(COUNTIFS($D:$D,$D10880,$A:$A,$A10880,$B:$B,$B10880,$G:$G,"CDU",$J:$J,"PLANNED")&gt;0,"tied","standalone"),"")</f>
        <v/>
      </c>
    </row>
    <row r="10881" spans="6:14">
      <c r="F10881" s="6">
        <f>IF($M10881="PADD I","PADD 1",IF($M10881="PADD II","PADD 2",IF($M10881="PADD III","PADD 3",IF($M10881="PADD IV","PADD 4",IF($M10881="PADD V","PADD 5","")))))</f>
        <v/>
      </c>
      <c r="G10881" s="6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  <c r="N10881" s="6">
        <f>IF(OR($G10881="FCC",$G10881="Hydrocracker",$G10881="Reformer"),IF(COUNTIFS($D:$D,$D10881,$A:$A,$A10881,$B:$B,$B10881,$G:$G,"CDU",$J:$J,"PLANNED")&gt;0,"tied","standalone"),"")</f>
        <v/>
      </c>
    </row>
    <row r="10882" spans="6:14">
      <c r="F10882" s="6">
        <f>IF($M10882="PADD I","PADD 1",IF($M10882="PADD II","PADD 2",IF($M10882="PADD III","PADD 3",IF($M10882="PADD IV","PADD 4",IF($M10882="PADD V","PADD 5","")))))</f>
        <v/>
      </c>
      <c r="G10882" s="6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  <c r="N10882" s="6">
        <f>IF(OR($G10882="FCC",$G10882="Hydrocracker",$G10882="Reformer"),IF(COUNTIFS($D:$D,$D10882,$A:$A,$A10882,$B:$B,$B10882,$G:$G,"CDU",$J:$J,"PLANNED")&gt;0,"tied","standalone"),"")</f>
        <v/>
      </c>
    </row>
    <row r="10883" spans="6:14">
      <c r="F10883" s="6">
        <f>IF($M10883="PADD I","PADD 1",IF($M10883="PADD II","PADD 2",IF($M10883="PADD III","PADD 3",IF($M10883="PADD IV","PADD 4",IF($M10883="PADD V","PADD 5","")))))</f>
        <v/>
      </c>
      <c r="G10883" s="6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  <c r="N10883" s="6">
        <f>IF(OR($G10883="FCC",$G10883="Hydrocracker",$G10883="Reformer"),IF(COUNTIFS($D:$D,$D10883,$A:$A,$A10883,$B:$B,$B10883,$G:$G,"CDU",$J:$J,"PLANNED")&gt;0,"tied","standalone"),"")</f>
        <v/>
      </c>
    </row>
    <row r="10884" spans="6:14">
      <c r="F10884" s="6">
        <f>IF($M10884="PADD I","PADD 1",IF($M10884="PADD II","PADD 2",IF($M10884="PADD III","PADD 3",IF($M10884="PADD IV","PADD 4",IF($M10884="PADD V","PADD 5","")))))</f>
        <v/>
      </c>
      <c r="G10884" s="6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  <c r="N10884" s="6">
        <f>IF(OR($G10884="FCC",$G10884="Hydrocracker",$G10884="Reformer"),IF(COUNTIFS($D:$D,$D10884,$A:$A,$A10884,$B:$B,$B10884,$G:$G,"CDU",$J:$J,"PLANNED")&gt;0,"tied","standalone"),"")</f>
        <v/>
      </c>
    </row>
    <row r="10885" spans="6:14">
      <c r="F10885" s="6">
        <f>IF($M10885="PADD I","PADD 1",IF($M10885="PADD II","PADD 2",IF($M10885="PADD III","PADD 3",IF($M10885="PADD IV","PADD 4",IF($M10885="PADD V","PADD 5","")))))</f>
        <v/>
      </c>
      <c r="G10885" s="6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  <c r="N10885" s="6">
        <f>IF(OR($G10885="FCC",$G10885="Hydrocracker",$G10885="Reformer"),IF(COUNTIFS($D:$D,$D10885,$A:$A,$A10885,$B:$B,$B10885,$G:$G,"CDU",$J:$J,"PLANNED")&gt;0,"tied","standalone"),"")</f>
        <v/>
      </c>
    </row>
    <row r="10886" spans="6:14">
      <c r="F10886" s="6">
        <f>IF($M10886="PADD I","PADD 1",IF($M10886="PADD II","PADD 2",IF($M10886="PADD III","PADD 3",IF($M10886="PADD IV","PADD 4",IF($M10886="PADD V","PADD 5","")))))</f>
        <v/>
      </c>
      <c r="G10886" s="6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  <c r="N10886" s="6">
        <f>IF(OR($G10886="FCC",$G10886="Hydrocracker",$G10886="Reformer"),IF(COUNTIFS($D:$D,$D10886,$A:$A,$A10886,$B:$B,$B10886,$G:$G,"CDU",$J:$J,"PLANNED")&gt;0,"tied","standalone"),"")</f>
        <v/>
      </c>
    </row>
    <row r="10887" spans="6:14">
      <c r="F10887" s="6">
        <f>IF($M10887="PADD I","PADD 1",IF($M10887="PADD II","PADD 2",IF($M10887="PADD III","PADD 3",IF($M10887="PADD IV","PADD 4",IF($M10887="PADD V","PADD 5","")))))</f>
        <v/>
      </c>
      <c r="G10887" s="6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  <c r="N10887" s="6">
        <f>IF(OR($G10887="FCC",$G10887="Hydrocracker",$G10887="Reformer"),IF(COUNTIFS($D:$D,$D10887,$A:$A,$A10887,$B:$B,$B10887,$G:$G,"CDU",$J:$J,"PLANNED")&gt;0,"tied","standalone"),"")</f>
        <v/>
      </c>
    </row>
    <row r="10888" spans="6:14">
      <c r="F10888" s="6">
        <f>IF($M10888="PADD I","PADD 1",IF($M10888="PADD II","PADD 2",IF($M10888="PADD III","PADD 3",IF($M10888="PADD IV","PADD 4",IF($M10888="PADD V","PADD 5","")))))</f>
        <v/>
      </c>
      <c r="G10888" s="6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  <c r="N10888" s="6">
        <f>IF(OR($G10888="FCC",$G10888="Hydrocracker",$G10888="Reformer"),IF(COUNTIFS($D:$D,$D10888,$A:$A,$A10888,$B:$B,$B10888,$G:$G,"CDU",$J:$J,"PLANNED")&gt;0,"tied","standalone"),"")</f>
        <v/>
      </c>
    </row>
    <row r="10889" spans="6:14">
      <c r="F10889" s="6">
        <f>IF($M10889="PADD I","PADD 1",IF($M10889="PADD II","PADD 2",IF($M10889="PADD III","PADD 3",IF($M10889="PADD IV","PADD 4",IF($M10889="PADD V","PADD 5","")))))</f>
        <v/>
      </c>
      <c r="G10889" s="6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  <c r="N10889" s="6">
        <f>IF(OR($G10889="FCC",$G10889="Hydrocracker",$G10889="Reformer"),IF(COUNTIFS($D:$D,$D10889,$A:$A,$A10889,$B:$B,$B10889,$G:$G,"CDU",$J:$J,"PLANNED")&gt;0,"tied","standalone"),"")</f>
        <v/>
      </c>
    </row>
    <row r="10890" spans="6:14">
      <c r="F10890" s="6">
        <f>IF($M10890="PADD I","PADD 1",IF($M10890="PADD II","PADD 2",IF($M10890="PADD III","PADD 3",IF($M10890="PADD IV","PADD 4",IF($M10890="PADD V","PADD 5","")))))</f>
        <v/>
      </c>
      <c r="G10890" s="6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  <c r="N10890" s="6">
        <f>IF(OR($G10890="FCC",$G10890="Hydrocracker",$G10890="Reformer"),IF(COUNTIFS($D:$D,$D10890,$A:$A,$A10890,$B:$B,$B10890,$G:$G,"CDU",$J:$J,"PLANNED")&gt;0,"tied","standalone"),"")</f>
        <v/>
      </c>
    </row>
    <row r="10891" spans="6:14">
      <c r="F10891" s="6">
        <f>IF($M10891="PADD I","PADD 1",IF($M10891="PADD II","PADD 2",IF($M10891="PADD III","PADD 3",IF($M10891="PADD IV","PADD 4",IF($M10891="PADD V","PADD 5","")))))</f>
        <v/>
      </c>
      <c r="G10891" s="6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  <c r="N10891" s="6">
        <f>IF(OR($G10891="FCC",$G10891="Hydrocracker",$G10891="Reformer"),IF(COUNTIFS($D:$D,$D10891,$A:$A,$A10891,$B:$B,$B10891,$G:$G,"CDU",$J:$J,"PLANNED")&gt;0,"tied","standalone"),"")</f>
        <v/>
      </c>
    </row>
    <row r="10892" spans="6:14">
      <c r="F10892" s="6">
        <f>IF($M10892="PADD I","PADD 1",IF($M10892="PADD II","PADD 2",IF($M10892="PADD III","PADD 3",IF($M10892="PADD IV","PADD 4",IF($M10892="PADD V","PADD 5","")))))</f>
        <v/>
      </c>
      <c r="G10892" s="6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  <c r="N10892" s="6">
        <f>IF(OR($G10892="FCC",$G10892="Hydrocracker",$G10892="Reformer"),IF(COUNTIFS($D:$D,$D10892,$A:$A,$A10892,$B:$B,$B10892,$G:$G,"CDU",$J:$J,"PLANNED")&gt;0,"tied","standalone"),"")</f>
        <v/>
      </c>
    </row>
    <row r="10893" spans="6:14">
      <c r="F10893" s="6">
        <f>IF($M10893="PADD I","PADD 1",IF($M10893="PADD II","PADD 2",IF($M10893="PADD III","PADD 3",IF($M10893="PADD IV","PADD 4",IF($M10893="PADD V","PADD 5","")))))</f>
        <v/>
      </c>
      <c r="G10893" s="6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  <c r="N10893" s="6">
        <f>IF(OR($G10893="FCC",$G10893="Hydrocracker",$G10893="Reformer"),IF(COUNTIFS($D:$D,$D10893,$A:$A,$A10893,$B:$B,$B10893,$G:$G,"CDU",$J:$J,"PLANNED")&gt;0,"tied","standalone"),"")</f>
        <v/>
      </c>
    </row>
    <row r="10894" spans="6:14">
      <c r="F10894" s="6">
        <f>IF($M10894="PADD I","PADD 1",IF($M10894="PADD II","PADD 2",IF($M10894="PADD III","PADD 3",IF($M10894="PADD IV","PADD 4",IF($M10894="PADD V","PADD 5","")))))</f>
        <v/>
      </c>
      <c r="G10894" s="6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  <c r="N10894" s="6">
        <f>IF(OR($G10894="FCC",$G10894="Hydrocracker",$G10894="Reformer"),IF(COUNTIFS($D:$D,$D10894,$A:$A,$A10894,$B:$B,$B10894,$G:$G,"CDU",$J:$J,"PLANNED")&gt;0,"tied","standalone"),"")</f>
        <v/>
      </c>
    </row>
    <row r="10895" spans="6:14">
      <c r="F10895" s="6">
        <f>IF($M10895="PADD I","PADD 1",IF($M10895="PADD II","PADD 2",IF($M10895="PADD III","PADD 3",IF($M10895="PADD IV","PADD 4",IF($M10895="PADD V","PADD 5","")))))</f>
        <v/>
      </c>
      <c r="G10895" s="6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  <c r="N10895" s="6">
        <f>IF(OR($G10895="FCC",$G10895="Hydrocracker",$G10895="Reformer"),IF(COUNTIFS($D:$D,$D10895,$A:$A,$A10895,$B:$B,$B10895,$G:$G,"CDU",$J:$J,"PLANNED")&gt;0,"tied","standalone"),"")</f>
        <v/>
      </c>
    </row>
    <row r="10896" spans="6:14">
      <c r="F10896" s="6">
        <f>IF($M10896="PADD I","PADD 1",IF($M10896="PADD II","PADD 2",IF($M10896="PADD III","PADD 3",IF($M10896="PADD IV","PADD 4",IF($M10896="PADD V","PADD 5","")))))</f>
        <v/>
      </c>
      <c r="G10896" s="6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  <c r="N10896" s="6">
        <f>IF(OR($G10896="FCC",$G10896="Hydrocracker",$G10896="Reformer"),IF(COUNTIFS($D:$D,$D10896,$A:$A,$A10896,$B:$B,$B10896,$G:$G,"CDU",$J:$J,"PLANNED")&gt;0,"tied","standalone"),"")</f>
        <v/>
      </c>
    </row>
    <row r="10897" spans="6:14">
      <c r="F10897" s="6">
        <f>IF($M10897="PADD I","PADD 1",IF($M10897="PADD II","PADD 2",IF($M10897="PADD III","PADD 3",IF($M10897="PADD IV","PADD 4",IF($M10897="PADD V","PADD 5","")))))</f>
        <v/>
      </c>
      <c r="G10897" s="6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  <c r="N10897" s="6">
        <f>IF(OR($G10897="FCC",$G10897="Hydrocracker",$G10897="Reformer"),IF(COUNTIFS($D:$D,$D10897,$A:$A,$A10897,$B:$B,$B10897,$G:$G,"CDU",$J:$J,"PLANNED")&gt;0,"tied","standalone"),"")</f>
        <v/>
      </c>
    </row>
    <row r="10898" spans="6:14">
      <c r="F10898" s="6">
        <f>IF($M10898="PADD I","PADD 1",IF($M10898="PADD II","PADD 2",IF($M10898="PADD III","PADD 3",IF($M10898="PADD IV","PADD 4",IF($M10898="PADD V","PADD 5","")))))</f>
        <v/>
      </c>
      <c r="G10898" s="6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  <c r="N10898" s="6">
        <f>IF(OR($G10898="FCC",$G10898="Hydrocracker",$G10898="Reformer"),IF(COUNTIFS($D:$D,$D10898,$A:$A,$A10898,$B:$B,$B10898,$G:$G,"CDU",$J:$J,"PLANNED")&gt;0,"tied","standalone"),"")</f>
        <v/>
      </c>
    </row>
    <row r="10899" spans="6:14">
      <c r="F10899" s="6">
        <f>IF($M10899="PADD I","PADD 1",IF($M10899="PADD II","PADD 2",IF($M10899="PADD III","PADD 3",IF($M10899="PADD IV","PADD 4",IF($M10899="PADD V","PADD 5","")))))</f>
        <v/>
      </c>
      <c r="G10899" s="6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  <c r="N10899" s="6">
        <f>IF(OR($G10899="FCC",$G10899="Hydrocracker",$G10899="Reformer"),IF(COUNTIFS($D:$D,$D10899,$A:$A,$A10899,$B:$B,$B10899,$G:$G,"CDU",$J:$J,"PLANNED")&gt;0,"tied","standalone"),"")</f>
        <v/>
      </c>
    </row>
    <row r="10900" spans="6:14">
      <c r="F10900" s="6">
        <f>IF($M10900="PADD I","PADD 1",IF($M10900="PADD II","PADD 2",IF($M10900="PADD III","PADD 3",IF($M10900="PADD IV","PADD 4",IF($M10900="PADD V","PADD 5","")))))</f>
        <v/>
      </c>
      <c r="G10900" s="6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  <c r="N10900" s="6">
        <f>IF(OR($G10900="FCC",$G10900="Hydrocracker",$G10900="Reformer"),IF(COUNTIFS($D:$D,$D10900,$A:$A,$A10900,$B:$B,$B10900,$G:$G,"CDU",$J:$J,"PLANNED")&gt;0,"tied","standalone"),"")</f>
        <v/>
      </c>
    </row>
    <row r="10901" spans="6:14">
      <c r="F10901" s="6">
        <f>IF($M10901="PADD I","PADD 1",IF($M10901="PADD II","PADD 2",IF($M10901="PADD III","PADD 3",IF($M10901="PADD IV","PADD 4",IF($M10901="PADD V","PADD 5","")))))</f>
        <v/>
      </c>
      <c r="G10901" s="6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  <c r="N10901" s="6">
        <f>IF(OR($G10901="FCC",$G10901="Hydrocracker",$G10901="Reformer"),IF(COUNTIFS($D:$D,$D10901,$A:$A,$A10901,$B:$B,$B10901,$G:$G,"CDU",$J:$J,"PLANNED")&gt;0,"tied","standalone"),"")</f>
        <v/>
      </c>
    </row>
    <row r="10902" spans="6:14">
      <c r="F10902" s="6">
        <f>IF($M10902="PADD I","PADD 1",IF($M10902="PADD II","PADD 2",IF($M10902="PADD III","PADD 3",IF($M10902="PADD IV","PADD 4",IF($M10902="PADD V","PADD 5","")))))</f>
        <v/>
      </c>
      <c r="G10902" s="6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  <c r="N10902" s="6">
        <f>IF(OR($G10902="FCC",$G10902="Hydrocracker",$G10902="Reformer"),IF(COUNTIFS($D:$D,$D10902,$A:$A,$A10902,$B:$B,$B10902,$G:$G,"CDU",$J:$J,"PLANNED")&gt;0,"tied","standalone"),"")</f>
        <v/>
      </c>
    </row>
    <row r="10903" spans="6:14">
      <c r="F10903" s="6">
        <f>IF($M10903="PADD I","PADD 1",IF($M10903="PADD II","PADD 2",IF($M10903="PADD III","PADD 3",IF($M10903="PADD IV","PADD 4",IF($M10903="PADD V","PADD 5","")))))</f>
        <v/>
      </c>
      <c r="G10903" s="6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  <c r="N10903" s="6">
        <f>IF(OR($G10903="FCC",$G10903="Hydrocracker",$G10903="Reformer"),IF(COUNTIFS($D:$D,$D10903,$A:$A,$A10903,$B:$B,$B10903,$G:$G,"CDU",$J:$J,"PLANNED")&gt;0,"tied","standalone"),"")</f>
        <v/>
      </c>
    </row>
    <row r="10904" spans="6:14">
      <c r="F10904" s="6">
        <f>IF($M10904="PADD I","PADD 1",IF($M10904="PADD II","PADD 2",IF($M10904="PADD III","PADD 3",IF($M10904="PADD IV","PADD 4",IF($M10904="PADD V","PADD 5","")))))</f>
        <v/>
      </c>
      <c r="G10904" s="6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  <c r="N10904" s="6">
        <f>IF(OR($G10904="FCC",$G10904="Hydrocracker",$G10904="Reformer"),IF(COUNTIFS($D:$D,$D10904,$A:$A,$A10904,$B:$B,$B10904,$G:$G,"CDU",$J:$J,"PLANNED")&gt;0,"tied","standalone"),"")</f>
        <v/>
      </c>
    </row>
    <row r="10905" spans="6:14">
      <c r="F10905" s="6">
        <f>IF($M10905="PADD I","PADD 1",IF($M10905="PADD II","PADD 2",IF($M10905="PADD III","PADD 3",IF($M10905="PADD IV","PADD 4",IF($M10905="PADD V","PADD 5","")))))</f>
        <v/>
      </c>
      <c r="G10905" s="6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  <c r="N10905" s="6">
        <f>IF(OR($G10905="FCC",$G10905="Hydrocracker",$G10905="Reformer"),IF(COUNTIFS($D:$D,$D10905,$A:$A,$A10905,$B:$B,$B10905,$G:$G,"CDU",$J:$J,"PLANNED")&gt;0,"tied","standalone"),"")</f>
        <v/>
      </c>
    </row>
    <row r="10906" spans="6:14">
      <c r="F10906" s="6">
        <f>IF($M10906="PADD I","PADD 1",IF($M10906="PADD II","PADD 2",IF($M10906="PADD III","PADD 3",IF($M10906="PADD IV","PADD 4",IF($M10906="PADD V","PADD 5","")))))</f>
        <v/>
      </c>
      <c r="G10906" s="6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  <c r="N10906" s="6">
        <f>IF(OR($G10906="FCC",$G10906="Hydrocracker",$G10906="Reformer"),IF(COUNTIFS($D:$D,$D10906,$A:$A,$A10906,$B:$B,$B10906,$G:$G,"CDU",$J:$J,"PLANNED")&gt;0,"tied","standalone"),"")</f>
        <v/>
      </c>
    </row>
    <row r="10907" spans="6:14">
      <c r="F10907" s="6">
        <f>IF($M10907="PADD I","PADD 1",IF($M10907="PADD II","PADD 2",IF($M10907="PADD III","PADD 3",IF($M10907="PADD IV","PADD 4",IF($M10907="PADD V","PADD 5","")))))</f>
        <v/>
      </c>
      <c r="G10907" s="6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  <c r="N10907" s="6">
        <f>IF(OR($G10907="FCC",$G10907="Hydrocracker",$G10907="Reformer"),IF(COUNTIFS($D:$D,$D10907,$A:$A,$A10907,$B:$B,$B10907,$G:$G,"CDU",$J:$J,"PLANNED")&gt;0,"tied","standalone"),"")</f>
        <v/>
      </c>
    </row>
    <row r="10908" spans="6:14">
      <c r="F10908" s="6">
        <f>IF($M10908="PADD I","PADD 1",IF($M10908="PADD II","PADD 2",IF($M10908="PADD III","PADD 3",IF($M10908="PADD IV","PADD 4",IF($M10908="PADD V","PADD 5","")))))</f>
        <v/>
      </c>
      <c r="G10908" s="6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  <c r="N10908" s="6">
        <f>IF(OR($G10908="FCC",$G10908="Hydrocracker",$G10908="Reformer"),IF(COUNTIFS($D:$D,$D10908,$A:$A,$A10908,$B:$B,$B10908,$G:$G,"CDU",$J:$J,"PLANNED")&gt;0,"tied","standalone"),"")</f>
        <v/>
      </c>
    </row>
    <row r="10909" spans="6:14">
      <c r="F10909" s="6">
        <f>IF($M10909="PADD I","PADD 1",IF($M10909="PADD II","PADD 2",IF($M10909="PADD III","PADD 3",IF($M10909="PADD IV","PADD 4",IF($M10909="PADD V","PADD 5","")))))</f>
        <v/>
      </c>
      <c r="G10909" s="6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  <c r="N10909" s="6">
        <f>IF(OR($G10909="FCC",$G10909="Hydrocracker",$G10909="Reformer"),IF(COUNTIFS($D:$D,$D10909,$A:$A,$A10909,$B:$B,$B10909,$G:$G,"CDU",$J:$J,"PLANNED")&gt;0,"tied","standalone"),"")</f>
        <v/>
      </c>
    </row>
    <row r="10910" spans="6:14">
      <c r="F10910" s="6">
        <f>IF($M10910="PADD I","PADD 1",IF($M10910="PADD II","PADD 2",IF($M10910="PADD III","PADD 3",IF($M10910="PADD IV","PADD 4",IF($M10910="PADD V","PADD 5","")))))</f>
        <v/>
      </c>
      <c r="G10910" s="6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  <c r="N10910" s="6">
        <f>IF(OR($G10910="FCC",$G10910="Hydrocracker",$G10910="Reformer"),IF(COUNTIFS($D:$D,$D10910,$A:$A,$A10910,$B:$B,$B10910,$G:$G,"CDU",$J:$J,"PLANNED")&gt;0,"tied","standalone"),"")</f>
        <v/>
      </c>
    </row>
    <row r="10911" spans="6:14">
      <c r="F10911" s="6">
        <f>IF($M10911="PADD I","PADD 1",IF($M10911="PADD II","PADD 2",IF($M10911="PADD III","PADD 3",IF($M10911="PADD IV","PADD 4",IF($M10911="PADD V","PADD 5","")))))</f>
        <v/>
      </c>
      <c r="G10911" s="6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  <c r="N10911" s="6">
        <f>IF(OR($G10911="FCC",$G10911="Hydrocracker",$G10911="Reformer"),IF(COUNTIFS($D:$D,$D10911,$A:$A,$A10911,$B:$B,$B10911,$G:$G,"CDU",$J:$J,"PLANNED")&gt;0,"tied","standalone"),"")</f>
        <v/>
      </c>
    </row>
    <row r="10912" spans="6:14">
      <c r="F10912" s="6">
        <f>IF($M10912="PADD I","PADD 1",IF($M10912="PADD II","PADD 2",IF($M10912="PADD III","PADD 3",IF($M10912="PADD IV","PADD 4",IF($M10912="PADD V","PADD 5","")))))</f>
        <v/>
      </c>
      <c r="G10912" s="6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  <c r="N10912" s="6">
        <f>IF(OR($G10912="FCC",$G10912="Hydrocracker",$G10912="Reformer"),IF(COUNTIFS($D:$D,$D10912,$A:$A,$A10912,$B:$B,$B10912,$G:$G,"CDU",$J:$J,"PLANNED")&gt;0,"tied","standalone"),"")</f>
        <v/>
      </c>
    </row>
    <row r="10913" spans="6:14">
      <c r="F10913" s="6">
        <f>IF($M10913="PADD I","PADD 1",IF($M10913="PADD II","PADD 2",IF($M10913="PADD III","PADD 3",IF($M10913="PADD IV","PADD 4",IF($M10913="PADD V","PADD 5","")))))</f>
        <v/>
      </c>
      <c r="G10913" s="6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  <c r="N10913" s="6">
        <f>IF(OR($G10913="FCC",$G10913="Hydrocracker",$G10913="Reformer"),IF(COUNTIFS($D:$D,$D10913,$A:$A,$A10913,$B:$B,$B10913,$G:$G,"CDU",$J:$J,"PLANNED")&gt;0,"tied","standalone"),"")</f>
        <v/>
      </c>
    </row>
    <row r="10914" spans="6:14">
      <c r="F10914" s="6">
        <f>IF($M10914="PADD I","PADD 1",IF($M10914="PADD II","PADD 2",IF($M10914="PADD III","PADD 3",IF($M10914="PADD IV","PADD 4",IF($M10914="PADD V","PADD 5","")))))</f>
        <v/>
      </c>
      <c r="G10914" s="6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  <c r="N10914" s="6">
        <f>IF(OR($G10914="FCC",$G10914="Hydrocracker",$G10914="Reformer"),IF(COUNTIFS($D:$D,$D10914,$A:$A,$A10914,$B:$B,$B10914,$G:$G,"CDU",$J:$J,"PLANNED")&gt;0,"tied","standalone"),"")</f>
        <v/>
      </c>
    </row>
    <row r="10915" spans="6:14">
      <c r="F10915" s="6">
        <f>IF($M10915="PADD I","PADD 1",IF($M10915="PADD II","PADD 2",IF($M10915="PADD III","PADD 3",IF($M10915="PADD IV","PADD 4",IF($M10915="PADD V","PADD 5","")))))</f>
        <v/>
      </c>
      <c r="G10915" s="6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  <c r="N10915" s="6">
        <f>IF(OR($G10915="FCC",$G10915="Hydrocracker",$G10915="Reformer"),IF(COUNTIFS($D:$D,$D10915,$A:$A,$A10915,$B:$B,$B10915,$G:$G,"CDU",$J:$J,"PLANNED")&gt;0,"tied","standalone"),"")</f>
        <v/>
      </c>
    </row>
    <row r="10916" spans="6:14">
      <c r="F10916" s="6">
        <f>IF($M10916="PADD I","PADD 1",IF($M10916="PADD II","PADD 2",IF($M10916="PADD III","PADD 3",IF($M10916="PADD IV","PADD 4",IF($M10916="PADD V","PADD 5","")))))</f>
        <v/>
      </c>
      <c r="G10916" s="6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  <c r="N10916" s="6">
        <f>IF(OR($G10916="FCC",$G10916="Hydrocracker",$G10916="Reformer"),IF(COUNTIFS($D:$D,$D10916,$A:$A,$A10916,$B:$B,$B10916,$G:$G,"CDU",$J:$J,"PLANNED")&gt;0,"tied","standalone"),"")</f>
        <v/>
      </c>
    </row>
    <row r="10917" spans="6:14">
      <c r="F10917" s="6">
        <f>IF($M10917="PADD I","PADD 1",IF($M10917="PADD II","PADD 2",IF($M10917="PADD III","PADD 3",IF($M10917="PADD IV","PADD 4",IF($M10917="PADD V","PADD 5","")))))</f>
        <v/>
      </c>
      <c r="G10917" s="6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  <c r="N10917" s="6">
        <f>IF(OR($G10917="FCC",$G10917="Hydrocracker",$G10917="Reformer"),IF(COUNTIFS($D:$D,$D10917,$A:$A,$A10917,$B:$B,$B10917,$G:$G,"CDU",$J:$J,"PLANNED")&gt;0,"tied","standalone"),"")</f>
        <v/>
      </c>
    </row>
    <row r="10918" spans="6:14">
      <c r="F10918" s="6">
        <f>IF($M10918="PADD I","PADD 1",IF($M10918="PADD II","PADD 2",IF($M10918="PADD III","PADD 3",IF($M10918="PADD IV","PADD 4",IF($M10918="PADD V","PADD 5","")))))</f>
        <v/>
      </c>
      <c r="G10918" s="6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  <c r="N10918" s="6">
        <f>IF(OR($G10918="FCC",$G10918="Hydrocracker",$G10918="Reformer"),IF(COUNTIFS($D:$D,$D10918,$A:$A,$A10918,$B:$B,$B10918,$G:$G,"CDU",$J:$J,"PLANNED")&gt;0,"tied","standalone"),"")</f>
        <v/>
      </c>
    </row>
    <row r="10919" spans="6:14">
      <c r="F10919" s="6">
        <f>IF($M10919="PADD I","PADD 1",IF($M10919="PADD II","PADD 2",IF($M10919="PADD III","PADD 3",IF($M10919="PADD IV","PADD 4",IF($M10919="PADD V","PADD 5","")))))</f>
        <v/>
      </c>
      <c r="G10919" s="6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  <c r="N10919" s="6">
        <f>IF(OR($G10919="FCC",$G10919="Hydrocracker",$G10919="Reformer"),IF(COUNTIFS($D:$D,$D10919,$A:$A,$A10919,$B:$B,$B10919,$G:$G,"CDU",$J:$J,"PLANNED")&gt;0,"tied","standalone"),"")</f>
        <v/>
      </c>
    </row>
    <row r="10920" spans="6:14">
      <c r="F10920" s="6">
        <f>IF($M10920="PADD I","PADD 1",IF($M10920="PADD II","PADD 2",IF($M10920="PADD III","PADD 3",IF($M10920="PADD IV","PADD 4",IF($M10920="PADD V","PADD 5","")))))</f>
        <v/>
      </c>
      <c r="G10920" s="6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  <c r="N10920" s="6">
        <f>IF(OR($G10920="FCC",$G10920="Hydrocracker",$G10920="Reformer"),IF(COUNTIFS($D:$D,$D10920,$A:$A,$A10920,$B:$B,$B10920,$G:$G,"CDU",$J:$J,"PLANNED")&gt;0,"tied","standalone"),"")</f>
        <v/>
      </c>
    </row>
    <row r="10921" spans="6:14">
      <c r="F10921" s="6">
        <f>IF($M10921="PADD I","PADD 1",IF($M10921="PADD II","PADD 2",IF($M10921="PADD III","PADD 3",IF($M10921="PADD IV","PADD 4",IF($M10921="PADD V","PADD 5","")))))</f>
        <v/>
      </c>
      <c r="G10921" s="6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  <c r="N10921" s="6">
        <f>IF(OR($G10921="FCC",$G10921="Hydrocracker",$G10921="Reformer"),IF(COUNTIFS($D:$D,$D10921,$A:$A,$A10921,$B:$B,$B10921,$G:$G,"CDU",$J:$J,"PLANNED")&gt;0,"tied","standalone"),"")</f>
        <v/>
      </c>
    </row>
    <row r="10922" spans="6:14">
      <c r="F10922" s="6">
        <f>IF($M10922="PADD I","PADD 1",IF($M10922="PADD II","PADD 2",IF($M10922="PADD III","PADD 3",IF($M10922="PADD IV","PADD 4",IF($M10922="PADD V","PADD 5","")))))</f>
        <v/>
      </c>
      <c r="G10922" s="6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  <c r="N10922" s="6">
        <f>IF(OR($G10922="FCC",$G10922="Hydrocracker",$G10922="Reformer"),IF(COUNTIFS($D:$D,$D10922,$A:$A,$A10922,$B:$B,$B10922,$G:$G,"CDU",$J:$J,"PLANNED")&gt;0,"tied","standalone"),"")</f>
        <v/>
      </c>
    </row>
    <row r="10923" spans="6:14">
      <c r="F10923" s="6">
        <f>IF($M10923="PADD I","PADD 1",IF($M10923="PADD II","PADD 2",IF($M10923="PADD III","PADD 3",IF($M10923="PADD IV","PADD 4",IF($M10923="PADD V","PADD 5","")))))</f>
        <v/>
      </c>
      <c r="G10923" s="6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  <c r="N10923" s="6">
        <f>IF(OR($G10923="FCC",$G10923="Hydrocracker",$G10923="Reformer"),IF(COUNTIFS($D:$D,$D10923,$A:$A,$A10923,$B:$B,$B10923,$G:$G,"CDU",$J:$J,"PLANNED")&gt;0,"tied","standalone"),"")</f>
        <v/>
      </c>
    </row>
    <row r="10924" spans="6:14">
      <c r="F10924" s="6">
        <f>IF($M10924="PADD I","PADD 1",IF($M10924="PADD II","PADD 2",IF($M10924="PADD III","PADD 3",IF($M10924="PADD IV","PADD 4",IF($M10924="PADD V","PADD 5","")))))</f>
        <v/>
      </c>
      <c r="G10924" s="6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  <c r="N10924" s="6">
        <f>IF(OR($G10924="FCC",$G10924="Hydrocracker",$G10924="Reformer"),IF(COUNTIFS($D:$D,$D10924,$A:$A,$A10924,$B:$B,$B10924,$G:$G,"CDU",$J:$J,"PLANNED")&gt;0,"tied","standalone"),"")</f>
        <v/>
      </c>
    </row>
    <row r="10925" spans="6:14">
      <c r="F10925" s="6">
        <f>IF($M10925="PADD I","PADD 1",IF($M10925="PADD II","PADD 2",IF($M10925="PADD III","PADD 3",IF($M10925="PADD IV","PADD 4",IF($M10925="PADD V","PADD 5","")))))</f>
        <v/>
      </c>
      <c r="G10925" s="6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  <c r="N10925" s="6">
        <f>IF(OR($G10925="FCC",$G10925="Hydrocracker",$G10925="Reformer"),IF(COUNTIFS($D:$D,$D10925,$A:$A,$A10925,$B:$B,$B10925,$G:$G,"CDU",$J:$J,"PLANNED")&gt;0,"tied","standalone"),"")</f>
        <v/>
      </c>
    </row>
    <row r="10926" spans="6:14">
      <c r="F10926" s="6">
        <f>IF($M10926="PADD I","PADD 1",IF($M10926="PADD II","PADD 2",IF($M10926="PADD III","PADD 3",IF($M10926="PADD IV","PADD 4",IF($M10926="PADD V","PADD 5","")))))</f>
        <v/>
      </c>
      <c r="G10926" s="6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  <c r="N10926" s="6">
        <f>IF(OR($G10926="FCC",$G10926="Hydrocracker",$G10926="Reformer"),IF(COUNTIFS($D:$D,$D10926,$A:$A,$A10926,$B:$B,$B10926,$G:$G,"CDU",$J:$J,"PLANNED")&gt;0,"tied","standalone"),"")</f>
        <v/>
      </c>
    </row>
    <row r="10927" spans="6:14">
      <c r="F10927" s="6">
        <f>IF($M10927="PADD I","PADD 1",IF($M10927="PADD II","PADD 2",IF($M10927="PADD III","PADD 3",IF($M10927="PADD IV","PADD 4",IF($M10927="PADD V","PADD 5","")))))</f>
        <v/>
      </c>
      <c r="G10927" s="6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  <c r="N10927" s="6">
        <f>IF(OR($G10927="FCC",$G10927="Hydrocracker",$G10927="Reformer"),IF(COUNTIFS($D:$D,$D10927,$A:$A,$A10927,$B:$B,$B10927,$G:$G,"CDU",$J:$J,"PLANNED")&gt;0,"tied","standalone"),"")</f>
        <v/>
      </c>
    </row>
    <row r="10928" spans="6:14">
      <c r="F10928" s="6">
        <f>IF($M10928="PADD I","PADD 1",IF($M10928="PADD II","PADD 2",IF($M10928="PADD III","PADD 3",IF($M10928="PADD IV","PADD 4",IF($M10928="PADD V","PADD 5","")))))</f>
        <v/>
      </c>
      <c r="G10928" s="6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  <c r="N10928" s="6">
        <f>IF(OR($G10928="FCC",$G10928="Hydrocracker",$G10928="Reformer"),IF(COUNTIFS($D:$D,$D10928,$A:$A,$A10928,$B:$B,$B10928,$G:$G,"CDU",$J:$J,"PLANNED")&gt;0,"tied","standalone"),"")</f>
        <v/>
      </c>
    </row>
    <row r="10929" spans="6:14">
      <c r="F10929" s="6">
        <f>IF($M10929="PADD I","PADD 1",IF($M10929="PADD II","PADD 2",IF($M10929="PADD III","PADD 3",IF($M10929="PADD IV","PADD 4",IF($M10929="PADD V","PADD 5","")))))</f>
        <v/>
      </c>
      <c r="G10929" s="6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  <c r="N10929" s="6">
        <f>IF(OR($G10929="FCC",$G10929="Hydrocracker",$G10929="Reformer"),IF(COUNTIFS($D:$D,$D10929,$A:$A,$A10929,$B:$B,$B10929,$G:$G,"CDU",$J:$J,"PLANNED")&gt;0,"tied","standalone"),"")</f>
        <v/>
      </c>
    </row>
    <row r="10930" spans="6:14">
      <c r="F10930" s="6">
        <f>IF($M10930="PADD I","PADD 1",IF($M10930="PADD II","PADD 2",IF($M10930="PADD III","PADD 3",IF($M10930="PADD IV","PADD 4",IF($M10930="PADD V","PADD 5","")))))</f>
        <v/>
      </c>
      <c r="G10930" s="6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  <c r="N10930" s="6">
        <f>IF(OR($G10930="FCC",$G10930="Hydrocracker",$G10930="Reformer"),IF(COUNTIFS($D:$D,$D10930,$A:$A,$A10930,$B:$B,$B10930,$G:$G,"CDU",$J:$J,"PLANNED")&gt;0,"tied","standalone"),"")</f>
        <v/>
      </c>
    </row>
    <row r="10931" spans="6:14">
      <c r="F10931" s="6">
        <f>IF($M10931="PADD I","PADD 1",IF($M10931="PADD II","PADD 2",IF($M10931="PADD III","PADD 3",IF($M10931="PADD IV","PADD 4",IF($M10931="PADD V","PADD 5","")))))</f>
        <v/>
      </c>
      <c r="G10931" s="6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  <c r="N10931" s="6">
        <f>IF(OR($G10931="FCC",$G10931="Hydrocracker",$G10931="Reformer"),IF(COUNTIFS($D:$D,$D10931,$A:$A,$A10931,$B:$B,$B10931,$G:$G,"CDU",$J:$J,"PLANNED")&gt;0,"tied","standalone"),"")</f>
        <v/>
      </c>
    </row>
    <row r="10932" spans="6:14">
      <c r="F10932" s="6">
        <f>IF($M10932="PADD I","PADD 1",IF($M10932="PADD II","PADD 2",IF($M10932="PADD III","PADD 3",IF($M10932="PADD IV","PADD 4",IF($M10932="PADD V","PADD 5","")))))</f>
        <v/>
      </c>
      <c r="G10932" s="6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  <c r="N10932" s="6">
        <f>IF(OR($G10932="FCC",$G10932="Hydrocracker",$G10932="Reformer"),IF(COUNTIFS($D:$D,$D10932,$A:$A,$A10932,$B:$B,$B10932,$G:$G,"CDU",$J:$J,"PLANNED")&gt;0,"tied","standalone"),"")</f>
        <v/>
      </c>
    </row>
    <row r="10933" spans="6:14">
      <c r="F10933" s="6">
        <f>IF($M10933="PADD I","PADD 1",IF($M10933="PADD II","PADD 2",IF($M10933="PADD III","PADD 3",IF($M10933="PADD IV","PADD 4",IF($M10933="PADD V","PADD 5","")))))</f>
        <v/>
      </c>
      <c r="G10933" s="6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  <c r="N10933" s="6">
        <f>IF(OR($G10933="FCC",$G10933="Hydrocracker",$G10933="Reformer"),IF(COUNTIFS($D:$D,$D10933,$A:$A,$A10933,$B:$B,$B10933,$G:$G,"CDU",$J:$J,"PLANNED")&gt;0,"tied","standalone"),"")</f>
        <v/>
      </c>
    </row>
    <row r="10934" spans="6:14">
      <c r="F10934" s="6">
        <f>IF($M10934="PADD I","PADD 1",IF($M10934="PADD II","PADD 2",IF($M10934="PADD III","PADD 3",IF($M10934="PADD IV","PADD 4",IF($M10934="PADD V","PADD 5","")))))</f>
        <v/>
      </c>
      <c r="G10934" s="6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  <c r="N10934" s="6">
        <f>IF(OR($G10934="FCC",$G10934="Hydrocracker",$G10934="Reformer"),IF(COUNTIFS($D:$D,$D10934,$A:$A,$A10934,$B:$B,$B10934,$G:$G,"CDU",$J:$J,"PLANNED")&gt;0,"tied","standalone"),"")</f>
        <v/>
      </c>
    </row>
    <row r="10935" spans="6:14">
      <c r="F10935" s="6">
        <f>IF($M10935="PADD I","PADD 1",IF($M10935="PADD II","PADD 2",IF($M10935="PADD III","PADD 3",IF($M10935="PADD IV","PADD 4",IF($M10935="PADD V","PADD 5","")))))</f>
        <v/>
      </c>
      <c r="G10935" s="6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  <c r="N10935" s="6">
        <f>IF(OR($G10935="FCC",$G10935="Hydrocracker",$G10935="Reformer"),IF(COUNTIFS($D:$D,$D10935,$A:$A,$A10935,$B:$B,$B10935,$G:$G,"CDU",$J:$J,"PLANNED")&gt;0,"tied","standalone"),"")</f>
        <v/>
      </c>
    </row>
    <row r="10936" spans="6:14">
      <c r="F10936" s="6">
        <f>IF($M10936="PADD I","PADD 1",IF($M10936="PADD II","PADD 2",IF($M10936="PADD III","PADD 3",IF($M10936="PADD IV","PADD 4",IF($M10936="PADD V","PADD 5","")))))</f>
        <v/>
      </c>
      <c r="G10936" s="6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  <c r="N10936" s="6">
        <f>IF(OR($G10936="FCC",$G10936="Hydrocracker",$G10936="Reformer"),IF(COUNTIFS($D:$D,$D10936,$A:$A,$A10936,$B:$B,$B10936,$G:$G,"CDU",$J:$J,"PLANNED")&gt;0,"tied","standalone"),"")</f>
        <v/>
      </c>
    </row>
    <row r="10937" spans="6:14">
      <c r="F10937" s="6">
        <f>IF($M10937="PADD I","PADD 1",IF($M10937="PADD II","PADD 2",IF($M10937="PADD III","PADD 3",IF($M10937="PADD IV","PADD 4",IF($M10937="PADD V","PADD 5","")))))</f>
        <v/>
      </c>
      <c r="G10937" s="6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  <c r="N10937" s="6">
        <f>IF(OR($G10937="FCC",$G10937="Hydrocracker",$G10937="Reformer"),IF(COUNTIFS($D:$D,$D10937,$A:$A,$A10937,$B:$B,$B10937,$G:$G,"CDU",$J:$J,"PLANNED")&gt;0,"tied","standalone"),"")</f>
        <v/>
      </c>
    </row>
    <row r="10938" spans="6:14">
      <c r="F10938" s="6">
        <f>IF($M10938="PADD I","PADD 1",IF($M10938="PADD II","PADD 2",IF($M10938="PADD III","PADD 3",IF($M10938="PADD IV","PADD 4",IF($M10938="PADD V","PADD 5","")))))</f>
        <v/>
      </c>
      <c r="G10938" s="6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  <c r="N10938" s="6">
        <f>IF(OR($G10938="FCC",$G10938="Hydrocracker",$G10938="Reformer"),IF(COUNTIFS($D:$D,$D10938,$A:$A,$A10938,$B:$B,$B10938,$G:$G,"CDU",$J:$J,"PLANNED")&gt;0,"tied","standalone"),"")</f>
        <v/>
      </c>
    </row>
    <row r="10939" spans="6:14">
      <c r="F10939" s="6">
        <f>IF($M10939="PADD I","PADD 1",IF($M10939="PADD II","PADD 2",IF($M10939="PADD III","PADD 3",IF($M10939="PADD IV","PADD 4",IF($M10939="PADD V","PADD 5","")))))</f>
        <v/>
      </c>
      <c r="G10939" s="6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  <c r="N10939" s="6">
        <f>IF(OR($G10939="FCC",$G10939="Hydrocracker",$G10939="Reformer"),IF(COUNTIFS($D:$D,$D10939,$A:$A,$A10939,$B:$B,$B10939,$G:$G,"CDU",$J:$J,"PLANNED")&gt;0,"tied","standalone"),"")</f>
        <v/>
      </c>
    </row>
    <row r="10940" spans="6:14">
      <c r="F10940" s="6">
        <f>IF($M10940="PADD I","PADD 1",IF($M10940="PADD II","PADD 2",IF($M10940="PADD III","PADD 3",IF($M10940="PADD IV","PADD 4",IF($M10940="PADD V","PADD 5","")))))</f>
        <v/>
      </c>
      <c r="G10940" s="6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  <c r="N10940" s="6">
        <f>IF(OR($G10940="FCC",$G10940="Hydrocracker",$G10940="Reformer"),IF(COUNTIFS($D:$D,$D10940,$A:$A,$A10940,$B:$B,$B10940,$G:$G,"CDU",$J:$J,"PLANNED")&gt;0,"tied","standalone"),"")</f>
        <v/>
      </c>
    </row>
    <row r="10941" spans="6:14">
      <c r="F10941" s="6">
        <f>IF($M10941="PADD I","PADD 1",IF($M10941="PADD II","PADD 2",IF($M10941="PADD III","PADD 3",IF($M10941="PADD IV","PADD 4",IF($M10941="PADD V","PADD 5","")))))</f>
        <v/>
      </c>
      <c r="G10941" s="6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  <c r="N10941" s="6">
        <f>IF(OR($G10941="FCC",$G10941="Hydrocracker",$G10941="Reformer"),IF(COUNTIFS($D:$D,$D10941,$A:$A,$A10941,$B:$B,$B10941,$G:$G,"CDU",$J:$J,"PLANNED")&gt;0,"tied","standalone"),"")</f>
        <v/>
      </c>
    </row>
    <row r="10942" spans="6:14">
      <c r="F10942" s="6">
        <f>IF($M10942="PADD I","PADD 1",IF($M10942="PADD II","PADD 2",IF($M10942="PADD III","PADD 3",IF($M10942="PADD IV","PADD 4",IF($M10942="PADD V","PADD 5","")))))</f>
        <v/>
      </c>
      <c r="G10942" s="6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  <c r="N10942" s="6">
        <f>IF(OR($G10942="FCC",$G10942="Hydrocracker",$G10942="Reformer"),IF(COUNTIFS($D:$D,$D10942,$A:$A,$A10942,$B:$B,$B10942,$G:$G,"CDU",$J:$J,"PLANNED")&gt;0,"tied","standalone"),"")</f>
        <v/>
      </c>
    </row>
    <row r="10943" spans="6:14">
      <c r="F10943" s="6">
        <f>IF($M10943="PADD I","PADD 1",IF($M10943="PADD II","PADD 2",IF($M10943="PADD III","PADD 3",IF($M10943="PADD IV","PADD 4",IF($M10943="PADD V","PADD 5","")))))</f>
        <v/>
      </c>
      <c r="G10943" s="6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  <c r="N10943" s="6">
        <f>IF(OR($G10943="FCC",$G10943="Hydrocracker",$G10943="Reformer"),IF(COUNTIFS($D:$D,$D10943,$A:$A,$A10943,$B:$B,$B10943,$G:$G,"CDU",$J:$J,"PLANNED")&gt;0,"tied","standalone"),"")</f>
        <v/>
      </c>
    </row>
    <row r="10944" spans="6:14">
      <c r="F10944" s="6">
        <f>IF($M10944="PADD I","PADD 1",IF($M10944="PADD II","PADD 2",IF($M10944="PADD III","PADD 3",IF($M10944="PADD IV","PADD 4",IF($M10944="PADD V","PADD 5","")))))</f>
        <v/>
      </c>
      <c r="G10944" s="6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  <c r="N10944" s="6">
        <f>IF(OR($G10944="FCC",$G10944="Hydrocracker",$G10944="Reformer"),IF(COUNTIFS($D:$D,$D10944,$A:$A,$A10944,$B:$B,$B10944,$G:$G,"CDU",$J:$J,"PLANNED")&gt;0,"tied","standalone"),"")</f>
        <v/>
      </c>
    </row>
    <row r="10945" spans="6:14">
      <c r="F10945" s="6">
        <f>IF($M10945="PADD I","PADD 1",IF($M10945="PADD II","PADD 2",IF($M10945="PADD III","PADD 3",IF($M10945="PADD IV","PADD 4",IF($M10945="PADD V","PADD 5","")))))</f>
        <v/>
      </c>
      <c r="G10945" s="6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  <c r="N10945" s="6">
        <f>IF(OR($G10945="FCC",$G10945="Hydrocracker",$G10945="Reformer"),IF(COUNTIFS($D:$D,$D10945,$A:$A,$A10945,$B:$B,$B10945,$G:$G,"CDU",$J:$J,"PLANNED")&gt;0,"tied","standalone"),"")</f>
        <v/>
      </c>
    </row>
    <row r="10946" spans="6:14">
      <c r="F10946" s="6">
        <f>IF($M10946="PADD I","PADD 1",IF($M10946="PADD II","PADD 2",IF($M10946="PADD III","PADD 3",IF($M10946="PADD IV","PADD 4",IF($M10946="PADD V","PADD 5","")))))</f>
        <v/>
      </c>
      <c r="G10946" s="6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  <c r="N10946" s="6">
        <f>IF(OR($G10946="FCC",$G10946="Hydrocracker",$G10946="Reformer"),IF(COUNTIFS($D:$D,$D10946,$A:$A,$A10946,$B:$B,$B10946,$G:$G,"CDU",$J:$J,"PLANNED")&gt;0,"tied","standalone"),"")</f>
        <v/>
      </c>
    </row>
    <row r="10947" spans="6:14">
      <c r="F10947" s="6">
        <f>IF($M10947="PADD I","PADD 1",IF($M10947="PADD II","PADD 2",IF($M10947="PADD III","PADD 3",IF($M10947="PADD IV","PADD 4",IF($M10947="PADD V","PADD 5","")))))</f>
        <v/>
      </c>
      <c r="G10947" s="6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  <c r="N10947" s="6">
        <f>IF(OR($G10947="FCC",$G10947="Hydrocracker",$G10947="Reformer"),IF(COUNTIFS($D:$D,$D10947,$A:$A,$A10947,$B:$B,$B10947,$G:$G,"CDU",$J:$J,"PLANNED")&gt;0,"tied","standalone"),"")</f>
        <v/>
      </c>
    </row>
    <row r="10948" spans="6:14">
      <c r="F10948" s="6">
        <f>IF($M10948="PADD I","PADD 1",IF($M10948="PADD II","PADD 2",IF($M10948="PADD III","PADD 3",IF($M10948="PADD IV","PADD 4",IF($M10948="PADD V","PADD 5","")))))</f>
        <v/>
      </c>
      <c r="G10948" s="6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  <c r="N10948" s="6">
        <f>IF(OR($G10948="FCC",$G10948="Hydrocracker",$G10948="Reformer"),IF(COUNTIFS($D:$D,$D10948,$A:$A,$A10948,$B:$B,$B10948,$G:$G,"CDU",$J:$J,"PLANNED")&gt;0,"tied","standalone"),"")</f>
        <v/>
      </c>
    </row>
    <row r="10949" spans="6:14">
      <c r="F10949" s="6">
        <f>IF($M10949="PADD I","PADD 1",IF($M10949="PADD II","PADD 2",IF($M10949="PADD III","PADD 3",IF($M10949="PADD IV","PADD 4",IF($M10949="PADD V","PADD 5","")))))</f>
        <v/>
      </c>
      <c r="G10949" s="6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  <c r="N10949" s="6">
        <f>IF(OR($G10949="FCC",$G10949="Hydrocracker",$G10949="Reformer"),IF(COUNTIFS($D:$D,$D10949,$A:$A,$A10949,$B:$B,$B10949,$G:$G,"CDU",$J:$J,"PLANNED")&gt;0,"tied","standalone"),"")</f>
        <v/>
      </c>
    </row>
    <row r="10950" spans="6:14">
      <c r="F10950" s="6">
        <f>IF($M10950="PADD I","PADD 1",IF($M10950="PADD II","PADD 2",IF($M10950="PADD III","PADD 3",IF($M10950="PADD IV","PADD 4",IF($M10950="PADD V","PADD 5","")))))</f>
        <v/>
      </c>
      <c r="G10950" s="6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  <c r="N10950" s="6">
        <f>IF(OR($G10950="FCC",$G10950="Hydrocracker",$G10950="Reformer"),IF(COUNTIFS($D:$D,$D10950,$A:$A,$A10950,$B:$B,$B10950,$G:$G,"CDU",$J:$J,"PLANNED")&gt;0,"tied","standalone"),"")</f>
        <v/>
      </c>
    </row>
    <row r="10951" spans="6:14">
      <c r="F10951" s="6">
        <f>IF($M10951="PADD I","PADD 1",IF($M10951="PADD II","PADD 2",IF($M10951="PADD III","PADD 3",IF($M10951="PADD IV","PADD 4",IF($M10951="PADD V","PADD 5","")))))</f>
        <v/>
      </c>
      <c r="G10951" s="6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  <c r="N10951" s="6">
        <f>IF(OR($G10951="FCC",$G10951="Hydrocracker",$G10951="Reformer"),IF(COUNTIFS($D:$D,$D10951,$A:$A,$A10951,$B:$B,$B10951,$G:$G,"CDU",$J:$J,"PLANNED")&gt;0,"tied","standalone"),"")</f>
        <v/>
      </c>
    </row>
    <row r="10952" spans="6:14">
      <c r="F10952" s="6">
        <f>IF($M10952="PADD I","PADD 1",IF($M10952="PADD II","PADD 2",IF($M10952="PADD III","PADD 3",IF($M10952="PADD IV","PADD 4",IF($M10952="PADD V","PADD 5","")))))</f>
        <v/>
      </c>
      <c r="G10952" s="6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  <c r="N10952" s="6">
        <f>IF(OR($G10952="FCC",$G10952="Hydrocracker",$G10952="Reformer"),IF(COUNTIFS($D:$D,$D10952,$A:$A,$A10952,$B:$B,$B10952,$G:$G,"CDU",$J:$J,"PLANNED")&gt;0,"tied","standalone"),"")</f>
        <v/>
      </c>
    </row>
    <row r="10953" spans="6:14">
      <c r="F10953" s="6">
        <f>IF($M10953="PADD I","PADD 1",IF($M10953="PADD II","PADD 2",IF($M10953="PADD III","PADD 3",IF($M10953="PADD IV","PADD 4",IF($M10953="PADD V","PADD 5","")))))</f>
        <v/>
      </c>
      <c r="G10953" s="6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  <c r="N10953" s="6">
        <f>IF(OR($G10953="FCC",$G10953="Hydrocracker",$G10953="Reformer"),IF(COUNTIFS($D:$D,$D10953,$A:$A,$A10953,$B:$B,$B10953,$G:$G,"CDU",$J:$J,"PLANNED")&gt;0,"tied","standalone"),"")</f>
        <v/>
      </c>
    </row>
    <row r="10954" spans="6:14">
      <c r="F10954" s="6">
        <f>IF($M10954="PADD I","PADD 1",IF($M10954="PADD II","PADD 2",IF($M10954="PADD III","PADD 3",IF($M10954="PADD IV","PADD 4",IF($M10954="PADD V","PADD 5","")))))</f>
        <v/>
      </c>
      <c r="G10954" s="6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  <c r="N10954" s="6">
        <f>IF(OR($G10954="FCC",$G10954="Hydrocracker",$G10954="Reformer"),IF(COUNTIFS($D:$D,$D10954,$A:$A,$A10954,$B:$B,$B10954,$G:$G,"CDU",$J:$J,"PLANNED")&gt;0,"tied","standalone"),"")</f>
        <v/>
      </c>
    </row>
    <row r="10955" spans="6:14">
      <c r="F10955" s="6">
        <f>IF($M10955="PADD I","PADD 1",IF($M10955="PADD II","PADD 2",IF($M10955="PADD III","PADD 3",IF($M10955="PADD IV","PADD 4",IF($M10955="PADD V","PADD 5","")))))</f>
        <v/>
      </c>
      <c r="G10955" s="6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  <c r="N10955" s="6">
        <f>IF(OR($G10955="FCC",$G10955="Hydrocracker",$G10955="Reformer"),IF(COUNTIFS($D:$D,$D10955,$A:$A,$A10955,$B:$B,$B10955,$G:$G,"CDU",$J:$J,"PLANNED")&gt;0,"tied","standalone"),"")</f>
        <v/>
      </c>
    </row>
    <row r="10956" spans="6:14">
      <c r="F10956" s="6">
        <f>IF($M10956="PADD I","PADD 1",IF($M10956="PADD II","PADD 2",IF($M10956="PADD III","PADD 3",IF($M10956="PADD IV","PADD 4",IF($M10956="PADD V","PADD 5","")))))</f>
        <v/>
      </c>
      <c r="G10956" s="6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  <c r="N10956" s="6">
        <f>IF(OR($G10956="FCC",$G10956="Hydrocracker",$G10956="Reformer"),IF(COUNTIFS($D:$D,$D10956,$A:$A,$A10956,$B:$B,$B10956,$G:$G,"CDU",$J:$J,"PLANNED")&gt;0,"tied","standalone"),"")</f>
        <v/>
      </c>
    </row>
    <row r="10957" spans="6:14">
      <c r="F10957" s="6">
        <f>IF($M10957="PADD I","PADD 1",IF($M10957="PADD II","PADD 2",IF($M10957="PADD III","PADD 3",IF($M10957="PADD IV","PADD 4",IF($M10957="PADD V","PADD 5","")))))</f>
        <v/>
      </c>
      <c r="G10957" s="6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  <c r="N10957" s="6">
        <f>IF(OR($G10957="FCC",$G10957="Hydrocracker",$G10957="Reformer"),IF(COUNTIFS($D:$D,$D10957,$A:$A,$A10957,$B:$B,$B10957,$G:$G,"CDU",$J:$J,"PLANNED")&gt;0,"tied","standalone"),"")</f>
        <v/>
      </c>
    </row>
    <row r="10958" spans="6:14">
      <c r="F10958" s="6">
        <f>IF($M10958="PADD I","PADD 1",IF($M10958="PADD II","PADD 2",IF($M10958="PADD III","PADD 3",IF($M10958="PADD IV","PADD 4",IF($M10958="PADD V","PADD 5","")))))</f>
        <v/>
      </c>
      <c r="G10958" s="6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  <c r="N10958" s="6">
        <f>IF(OR($G10958="FCC",$G10958="Hydrocracker",$G10958="Reformer"),IF(COUNTIFS($D:$D,$D10958,$A:$A,$A10958,$B:$B,$B10958,$G:$G,"CDU",$J:$J,"PLANNED")&gt;0,"tied","standalone"),"")</f>
        <v/>
      </c>
    </row>
    <row r="10959" spans="6:14">
      <c r="F10959" s="6">
        <f>IF($M10959="PADD I","PADD 1",IF($M10959="PADD II","PADD 2",IF($M10959="PADD III","PADD 3",IF($M10959="PADD IV","PADD 4",IF($M10959="PADD V","PADD 5","")))))</f>
        <v/>
      </c>
      <c r="G10959" s="6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  <c r="N10959" s="6">
        <f>IF(OR($G10959="FCC",$G10959="Hydrocracker",$G10959="Reformer"),IF(COUNTIFS($D:$D,$D10959,$A:$A,$A10959,$B:$B,$B10959,$G:$G,"CDU",$J:$J,"PLANNED")&gt;0,"tied","standalone"),"")</f>
        <v/>
      </c>
    </row>
    <row r="10960" spans="6:14">
      <c r="F10960" s="6">
        <f>IF($M10960="PADD I","PADD 1",IF($M10960="PADD II","PADD 2",IF($M10960="PADD III","PADD 3",IF($M10960="PADD IV","PADD 4",IF($M10960="PADD V","PADD 5","")))))</f>
        <v/>
      </c>
      <c r="G10960" s="6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  <c r="N10960" s="6">
        <f>IF(OR($G10960="FCC",$G10960="Hydrocracker",$G10960="Reformer"),IF(COUNTIFS($D:$D,$D10960,$A:$A,$A10960,$B:$B,$B10960,$G:$G,"CDU",$J:$J,"PLANNED")&gt;0,"tied","standalone"),"")</f>
        <v/>
      </c>
    </row>
    <row r="10961" spans="6:14">
      <c r="F10961" s="6">
        <f>IF($M10961="PADD I","PADD 1",IF($M10961="PADD II","PADD 2",IF($M10961="PADD III","PADD 3",IF($M10961="PADD IV","PADD 4",IF($M10961="PADD V","PADD 5","")))))</f>
        <v/>
      </c>
      <c r="G10961" s="6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  <c r="N10961" s="6">
        <f>IF(OR($G10961="FCC",$G10961="Hydrocracker",$G10961="Reformer"),IF(COUNTIFS($D:$D,$D10961,$A:$A,$A10961,$B:$B,$B10961,$G:$G,"CDU",$J:$J,"PLANNED")&gt;0,"tied","standalone"),"")</f>
        <v/>
      </c>
    </row>
    <row r="10962" spans="6:14">
      <c r="F10962" s="6">
        <f>IF($M10962="PADD I","PADD 1",IF($M10962="PADD II","PADD 2",IF($M10962="PADD III","PADD 3",IF($M10962="PADD IV","PADD 4",IF($M10962="PADD V","PADD 5","")))))</f>
        <v/>
      </c>
      <c r="G10962" s="6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  <c r="N10962" s="6">
        <f>IF(OR($G10962="FCC",$G10962="Hydrocracker",$G10962="Reformer"),IF(COUNTIFS($D:$D,$D10962,$A:$A,$A10962,$B:$B,$B10962,$G:$G,"CDU",$J:$J,"PLANNED")&gt;0,"tied","standalone"),"")</f>
        <v/>
      </c>
    </row>
    <row r="10963" spans="6:14">
      <c r="F10963" s="6">
        <f>IF($M10963="PADD I","PADD 1",IF($M10963="PADD II","PADD 2",IF($M10963="PADD III","PADD 3",IF($M10963="PADD IV","PADD 4",IF($M10963="PADD V","PADD 5","")))))</f>
        <v/>
      </c>
      <c r="G10963" s="6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  <c r="N10963" s="6">
        <f>IF(OR($G10963="FCC",$G10963="Hydrocracker",$G10963="Reformer"),IF(COUNTIFS($D:$D,$D10963,$A:$A,$A10963,$B:$B,$B10963,$G:$G,"CDU",$J:$J,"PLANNED")&gt;0,"tied","standalone"),"")</f>
        <v/>
      </c>
    </row>
    <row r="10964" spans="6:14">
      <c r="F10964" s="6">
        <f>IF($M10964="PADD I","PADD 1",IF($M10964="PADD II","PADD 2",IF($M10964="PADD III","PADD 3",IF($M10964="PADD IV","PADD 4",IF($M10964="PADD V","PADD 5","")))))</f>
        <v/>
      </c>
      <c r="G10964" s="6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  <c r="N10964" s="6">
        <f>IF(OR($G10964="FCC",$G10964="Hydrocracker",$G10964="Reformer"),IF(COUNTIFS($D:$D,$D10964,$A:$A,$A10964,$B:$B,$B10964,$G:$G,"CDU",$J:$J,"PLANNED")&gt;0,"tied","standalone"),"")</f>
        <v/>
      </c>
    </row>
    <row r="10965" spans="6:14">
      <c r="F10965" s="6">
        <f>IF($M10965="PADD I","PADD 1",IF($M10965="PADD II","PADD 2",IF($M10965="PADD III","PADD 3",IF($M10965="PADD IV","PADD 4",IF($M10965="PADD V","PADD 5","")))))</f>
        <v/>
      </c>
      <c r="G10965" s="6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  <c r="N10965" s="6">
        <f>IF(OR($G10965="FCC",$G10965="Hydrocracker",$G10965="Reformer"),IF(COUNTIFS($D:$D,$D10965,$A:$A,$A10965,$B:$B,$B10965,$G:$G,"CDU",$J:$J,"PLANNED")&gt;0,"tied","standalone"),"")</f>
        <v/>
      </c>
    </row>
    <row r="10966" spans="6:14">
      <c r="F10966" s="6">
        <f>IF($M10966="PADD I","PADD 1",IF($M10966="PADD II","PADD 2",IF($M10966="PADD III","PADD 3",IF($M10966="PADD IV","PADD 4",IF($M10966="PADD V","PADD 5","")))))</f>
        <v/>
      </c>
      <c r="G10966" s="6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  <c r="N10966" s="6">
        <f>IF(OR($G10966="FCC",$G10966="Hydrocracker",$G10966="Reformer"),IF(COUNTIFS($D:$D,$D10966,$A:$A,$A10966,$B:$B,$B10966,$G:$G,"CDU",$J:$J,"PLANNED")&gt;0,"tied","standalone"),"")</f>
        <v/>
      </c>
    </row>
    <row r="10967" spans="6:14">
      <c r="F10967" s="6">
        <f>IF($M10967="PADD I","PADD 1",IF($M10967="PADD II","PADD 2",IF($M10967="PADD III","PADD 3",IF($M10967="PADD IV","PADD 4",IF($M10967="PADD V","PADD 5","")))))</f>
        <v/>
      </c>
      <c r="G10967" s="6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  <c r="N10967" s="6">
        <f>IF(OR($G10967="FCC",$G10967="Hydrocracker",$G10967="Reformer"),IF(COUNTIFS($D:$D,$D10967,$A:$A,$A10967,$B:$B,$B10967,$G:$G,"CDU",$J:$J,"PLANNED")&gt;0,"tied","standalone"),"")</f>
        <v/>
      </c>
    </row>
    <row r="10968" spans="6:14">
      <c r="F10968" s="6">
        <f>IF($M10968="PADD I","PADD 1",IF($M10968="PADD II","PADD 2",IF($M10968="PADD III","PADD 3",IF($M10968="PADD IV","PADD 4",IF($M10968="PADD V","PADD 5","")))))</f>
        <v/>
      </c>
      <c r="G10968" s="6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  <c r="N10968" s="6">
        <f>IF(OR($G10968="FCC",$G10968="Hydrocracker",$G10968="Reformer"),IF(COUNTIFS($D:$D,$D10968,$A:$A,$A10968,$B:$B,$B10968,$G:$G,"CDU",$J:$J,"PLANNED")&gt;0,"tied","standalone"),"")</f>
        <v/>
      </c>
    </row>
    <row r="10969" spans="6:14">
      <c r="F10969" s="6">
        <f>IF($M10969="PADD I","PADD 1",IF($M10969="PADD II","PADD 2",IF($M10969="PADD III","PADD 3",IF($M10969="PADD IV","PADD 4",IF($M10969="PADD V","PADD 5","")))))</f>
        <v/>
      </c>
      <c r="G10969" s="6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  <c r="N10969" s="6">
        <f>IF(OR($G10969="FCC",$G10969="Hydrocracker",$G10969="Reformer"),IF(COUNTIFS($D:$D,$D10969,$A:$A,$A10969,$B:$B,$B10969,$G:$G,"CDU",$J:$J,"PLANNED")&gt;0,"tied","standalone"),"")</f>
        <v/>
      </c>
    </row>
    <row r="10970" spans="6:14">
      <c r="F10970" s="6">
        <f>IF($M10970="PADD I","PADD 1",IF($M10970="PADD II","PADD 2",IF($M10970="PADD III","PADD 3",IF($M10970="PADD IV","PADD 4",IF($M10970="PADD V","PADD 5","")))))</f>
        <v/>
      </c>
      <c r="G10970" s="6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  <c r="N10970" s="6">
        <f>IF(OR($G10970="FCC",$G10970="Hydrocracker",$G10970="Reformer"),IF(COUNTIFS($D:$D,$D10970,$A:$A,$A10970,$B:$B,$B10970,$G:$G,"CDU",$J:$J,"PLANNED")&gt;0,"tied","standalone"),"")</f>
        <v/>
      </c>
    </row>
    <row r="10971" spans="6:14">
      <c r="F10971" s="6">
        <f>IF($M10971="PADD I","PADD 1",IF($M10971="PADD II","PADD 2",IF($M10971="PADD III","PADD 3",IF($M10971="PADD IV","PADD 4",IF($M10971="PADD V","PADD 5","")))))</f>
        <v/>
      </c>
      <c r="G10971" s="6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  <c r="N10971" s="6">
        <f>IF(OR($G10971="FCC",$G10971="Hydrocracker",$G10971="Reformer"),IF(COUNTIFS($D:$D,$D10971,$A:$A,$A10971,$B:$B,$B10971,$G:$G,"CDU",$J:$J,"PLANNED")&gt;0,"tied","standalone"),"")</f>
        <v/>
      </c>
    </row>
    <row r="10972" spans="6:14">
      <c r="F10972" s="6">
        <f>IF($M10972="PADD I","PADD 1",IF($M10972="PADD II","PADD 2",IF($M10972="PADD III","PADD 3",IF($M10972="PADD IV","PADD 4",IF($M10972="PADD V","PADD 5","")))))</f>
        <v/>
      </c>
      <c r="G10972" s="6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  <c r="N10972" s="6">
        <f>IF(OR($G10972="FCC",$G10972="Hydrocracker",$G10972="Reformer"),IF(COUNTIFS($D:$D,$D10972,$A:$A,$A10972,$B:$B,$B10972,$G:$G,"CDU",$J:$J,"PLANNED")&gt;0,"tied","standalone"),"")</f>
        <v/>
      </c>
    </row>
    <row r="10973" spans="6:14">
      <c r="F10973" s="6">
        <f>IF($M10973="PADD I","PADD 1",IF($M10973="PADD II","PADD 2",IF($M10973="PADD III","PADD 3",IF($M10973="PADD IV","PADD 4",IF($M10973="PADD V","PADD 5","")))))</f>
        <v/>
      </c>
      <c r="G10973" s="6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  <c r="N10973" s="6">
        <f>IF(OR($G10973="FCC",$G10973="Hydrocracker",$G10973="Reformer"),IF(COUNTIFS($D:$D,$D10973,$A:$A,$A10973,$B:$B,$B10973,$G:$G,"CDU",$J:$J,"PLANNED")&gt;0,"tied","standalone"),"")</f>
        <v/>
      </c>
    </row>
    <row r="10974" spans="6:14">
      <c r="F10974" s="6">
        <f>IF($M10974="PADD I","PADD 1",IF($M10974="PADD II","PADD 2",IF($M10974="PADD III","PADD 3",IF($M10974="PADD IV","PADD 4",IF($M10974="PADD V","PADD 5","")))))</f>
        <v/>
      </c>
      <c r="G10974" s="6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  <c r="N10974" s="6">
        <f>IF(OR($G10974="FCC",$G10974="Hydrocracker",$G10974="Reformer"),IF(COUNTIFS($D:$D,$D10974,$A:$A,$A10974,$B:$B,$B10974,$G:$G,"CDU",$J:$J,"PLANNED")&gt;0,"tied","standalone"),"")</f>
        <v/>
      </c>
    </row>
    <row r="10975" spans="6:14">
      <c r="F10975" s="6">
        <f>IF($M10975="PADD I","PADD 1",IF($M10975="PADD II","PADD 2",IF($M10975="PADD III","PADD 3",IF($M10975="PADD IV","PADD 4",IF($M10975="PADD V","PADD 5","")))))</f>
        <v/>
      </c>
      <c r="G10975" s="6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  <c r="N10975" s="6">
        <f>IF(OR($G10975="FCC",$G10975="Hydrocracker",$G10975="Reformer"),IF(COUNTIFS($D:$D,$D10975,$A:$A,$A10975,$B:$B,$B10975,$G:$G,"CDU",$J:$J,"PLANNED")&gt;0,"tied","standalone"),"")</f>
        <v/>
      </c>
    </row>
    <row r="10976" spans="6:14">
      <c r="F10976" s="6">
        <f>IF($M10976="PADD I","PADD 1",IF($M10976="PADD II","PADD 2",IF($M10976="PADD III","PADD 3",IF($M10976="PADD IV","PADD 4",IF($M10976="PADD V","PADD 5","")))))</f>
        <v/>
      </c>
      <c r="G10976" s="6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  <c r="N10976" s="6">
        <f>IF(OR($G10976="FCC",$G10976="Hydrocracker",$G10976="Reformer"),IF(COUNTIFS($D:$D,$D10976,$A:$A,$A10976,$B:$B,$B10976,$G:$G,"CDU",$J:$J,"PLANNED")&gt;0,"tied","standalone"),"")</f>
        <v/>
      </c>
    </row>
    <row r="10977" spans="6:14">
      <c r="F10977" s="6">
        <f>IF($M10977="PADD I","PADD 1",IF($M10977="PADD II","PADD 2",IF($M10977="PADD III","PADD 3",IF($M10977="PADD IV","PADD 4",IF($M10977="PADD V","PADD 5","")))))</f>
        <v/>
      </c>
      <c r="G10977" s="6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  <c r="N10977" s="6">
        <f>IF(OR($G10977="FCC",$G10977="Hydrocracker",$G10977="Reformer"),IF(COUNTIFS($D:$D,$D10977,$A:$A,$A10977,$B:$B,$B10977,$G:$G,"CDU",$J:$J,"PLANNED")&gt;0,"tied","standalone"),"")</f>
        <v/>
      </c>
    </row>
    <row r="10978" spans="6:14">
      <c r="F10978" s="6">
        <f>IF($M10978="PADD I","PADD 1",IF($M10978="PADD II","PADD 2",IF($M10978="PADD III","PADD 3",IF($M10978="PADD IV","PADD 4",IF($M10978="PADD V","PADD 5","")))))</f>
        <v/>
      </c>
      <c r="G10978" s="6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  <c r="N10978" s="6">
        <f>IF(OR($G10978="FCC",$G10978="Hydrocracker",$G10978="Reformer"),IF(COUNTIFS($D:$D,$D10978,$A:$A,$A10978,$B:$B,$B10978,$G:$G,"CDU",$J:$J,"PLANNED")&gt;0,"tied","standalone"),"")</f>
        <v/>
      </c>
    </row>
    <row r="10979" spans="6:14">
      <c r="F10979" s="6">
        <f>IF($M10979="PADD I","PADD 1",IF($M10979="PADD II","PADD 2",IF($M10979="PADD III","PADD 3",IF($M10979="PADD IV","PADD 4",IF($M10979="PADD V","PADD 5","")))))</f>
        <v/>
      </c>
      <c r="G10979" s="6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  <c r="N10979" s="6">
        <f>IF(OR($G10979="FCC",$G10979="Hydrocracker",$G10979="Reformer"),IF(COUNTIFS($D:$D,$D10979,$A:$A,$A10979,$B:$B,$B10979,$G:$G,"CDU",$J:$J,"PLANNED")&gt;0,"tied","standalone"),"")</f>
        <v/>
      </c>
    </row>
    <row r="10980" spans="6:14">
      <c r="F10980" s="6">
        <f>IF($M10980="PADD I","PADD 1",IF($M10980="PADD II","PADD 2",IF($M10980="PADD III","PADD 3",IF($M10980="PADD IV","PADD 4",IF($M10980="PADD V","PADD 5","")))))</f>
        <v/>
      </c>
      <c r="G10980" s="6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  <c r="N10980" s="6">
        <f>IF(OR($G10980="FCC",$G10980="Hydrocracker",$G10980="Reformer"),IF(COUNTIFS($D:$D,$D10980,$A:$A,$A10980,$B:$B,$B10980,$G:$G,"CDU",$J:$J,"PLANNED")&gt;0,"tied","standalone"),"")</f>
        <v/>
      </c>
    </row>
    <row r="10981" spans="6:14">
      <c r="F10981" s="6">
        <f>IF($M10981="PADD I","PADD 1",IF($M10981="PADD II","PADD 2",IF($M10981="PADD III","PADD 3",IF($M10981="PADD IV","PADD 4",IF($M10981="PADD V","PADD 5","")))))</f>
        <v/>
      </c>
      <c r="G10981" s="6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  <c r="N10981" s="6">
        <f>IF(OR($G10981="FCC",$G10981="Hydrocracker",$G10981="Reformer"),IF(COUNTIFS($D:$D,$D10981,$A:$A,$A10981,$B:$B,$B10981,$G:$G,"CDU",$J:$J,"PLANNED")&gt;0,"tied","standalone"),"")</f>
        <v/>
      </c>
    </row>
    <row r="10982" spans="6:14">
      <c r="F10982" s="6">
        <f>IF($M10982="PADD I","PADD 1",IF($M10982="PADD II","PADD 2",IF($M10982="PADD III","PADD 3",IF($M10982="PADD IV","PADD 4",IF($M10982="PADD V","PADD 5","")))))</f>
        <v/>
      </c>
      <c r="G10982" s="6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  <c r="N10982" s="6">
        <f>IF(OR($G10982="FCC",$G10982="Hydrocracker",$G10982="Reformer"),IF(COUNTIFS($D:$D,$D10982,$A:$A,$A10982,$B:$B,$B10982,$G:$G,"CDU",$J:$J,"PLANNED")&gt;0,"tied","standalone"),"")</f>
        <v/>
      </c>
    </row>
    <row r="10983" spans="6:14">
      <c r="F10983" s="6">
        <f>IF($M10983="PADD I","PADD 1",IF($M10983="PADD II","PADD 2",IF($M10983="PADD III","PADD 3",IF($M10983="PADD IV","PADD 4",IF($M10983="PADD V","PADD 5","")))))</f>
        <v/>
      </c>
      <c r="G10983" s="6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  <c r="N10983" s="6">
        <f>IF(OR($G10983="FCC",$G10983="Hydrocracker",$G10983="Reformer"),IF(COUNTIFS($D:$D,$D10983,$A:$A,$A10983,$B:$B,$B10983,$G:$G,"CDU",$J:$J,"PLANNED")&gt;0,"tied","standalone"),"")</f>
        <v/>
      </c>
    </row>
    <row r="10984" spans="6:14">
      <c r="F10984" s="6">
        <f>IF($M10984="PADD I","PADD 1",IF($M10984="PADD II","PADD 2",IF($M10984="PADD III","PADD 3",IF($M10984="PADD IV","PADD 4",IF($M10984="PADD V","PADD 5","")))))</f>
        <v/>
      </c>
      <c r="G10984" s="6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  <c r="N10984" s="6">
        <f>IF(OR($G10984="FCC",$G10984="Hydrocracker",$G10984="Reformer"),IF(COUNTIFS($D:$D,$D10984,$A:$A,$A10984,$B:$B,$B10984,$G:$G,"CDU",$J:$J,"PLANNED")&gt;0,"tied","standalone"),"")</f>
        <v/>
      </c>
    </row>
    <row r="10985" spans="6:14">
      <c r="F10985" s="6">
        <f>IF($M10985="PADD I","PADD 1",IF($M10985="PADD II","PADD 2",IF($M10985="PADD III","PADD 3",IF($M10985="PADD IV","PADD 4",IF($M10985="PADD V","PADD 5","")))))</f>
        <v/>
      </c>
      <c r="G10985" s="6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  <c r="N10985" s="6">
        <f>IF(OR($G10985="FCC",$G10985="Hydrocracker",$G10985="Reformer"),IF(COUNTIFS($D:$D,$D10985,$A:$A,$A10985,$B:$B,$B10985,$G:$G,"CDU",$J:$J,"PLANNED")&gt;0,"tied","standalone"),"")</f>
        <v/>
      </c>
    </row>
    <row r="10986" spans="6:14">
      <c r="F10986" s="6">
        <f>IF($M10986="PADD I","PADD 1",IF($M10986="PADD II","PADD 2",IF($M10986="PADD III","PADD 3",IF($M10986="PADD IV","PADD 4",IF($M10986="PADD V","PADD 5","")))))</f>
        <v/>
      </c>
      <c r="G10986" s="6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  <c r="N10986" s="6">
        <f>IF(OR($G10986="FCC",$G10986="Hydrocracker",$G10986="Reformer"),IF(COUNTIFS($D:$D,$D10986,$A:$A,$A10986,$B:$B,$B10986,$G:$G,"CDU",$J:$J,"PLANNED")&gt;0,"tied","standalone"),"")</f>
        <v/>
      </c>
    </row>
    <row r="10987" spans="6:14">
      <c r="F10987" s="6">
        <f>IF($M10987="PADD I","PADD 1",IF($M10987="PADD II","PADD 2",IF($M10987="PADD III","PADD 3",IF($M10987="PADD IV","PADD 4",IF($M10987="PADD V","PADD 5","")))))</f>
        <v/>
      </c>
      <c r="G10987" s="6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  <c r="N10987" s="6">
        <f>IF(OR($G10987="FCC",$G10987="Hydrocracker",$G10987="Reformer"),IF(COUNTIFS($D:$D,$D10987,$A:$A,$A10987,$B:$B,$B10987,$G:$G,"CDU",$J:$J,"PLANNED")&gt;0,"tied","standalone"),"")</f>
        <v/>
      </c>
    </row>
    <row r="10988" spans="6:14">
      <c r="F10988" s="6">
        <f>IF($M10988="PADD I","PADD 1",IF($M10988="PADD II","PADD 2",IF($M10988="PADD III","PADD 3",IF($M10988="PADD IV","PADD 4",IF($M10988="PADD V","PADD 5","")))))</f>
        <v/>
      </c>
      <c r="G10988" s="6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  <c r="N10988" s="6">
        <f>IF(OR($G10988="FCC",$G10988="Hydrocracker",$G10988="Reformer"),IF(COUNTIFS($D:$D,$D10988,$A:$A,$A10988,$B:$B,$B10988,$G:$G,"CDU",$J:$J,"PLANNED")&gt;0,"tied","standalone"),"")</f>
        <v/>
      </c>
    </row>
    <row r="10989" spans="6:14">
      <c r="F10989" s="6">
        <f>IF($M10989="PADD I","PADD 1",IF($M10989="PADD II","PADD 2",IF($M10989="PADD III","PADD 3",IF($M10989="PADD IV","PADD 4",IF($M10989="PADD V","PADD 5","")))))</f>
        <v/>
      </c>
      <c r="G10989" s="6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  <c r="N10989" s="6">
        <f>IF(OR($G10989="FCC",$G10989="Hydrocracker",$G10989="Reformer"),IF(COUNTIFS($D:$D,$D10989,$A:$A,$A10989,$B:$B,$B10989,$G:$G,"CDU",$J:$J,"PLANNED")&gt;0,"tied","standalone"),"")</f>
        <v/>
      </c>
    </row>
    <row r="10990" spans="6:14">
      <c r="F10990" s="6">
        <f>IF($M10990="PADD I","PADD 1",IF($M10990="PADD II","PADD 2",IF($M10990="PADD III","PADD 3",IF($M10990="PADD IV","PADD 4",IF($M10990="PADD V","PADD 5","")))))</f>
        <v/>
      </c>
      <c r="G10990" s="6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  <c r="N10990" s="6">
        <f>IF(OR($G10990="FCC",$G10990="Hydrocracker",$G10990="Reformer"),IF(COUNTIFS($D:$D,$D10990,$A:$A,$A10990,$B:$B,$B10990,$G:$G,"CDU",$J:$J,"PLANNED")&gt;0,"tied","standalone"),"")</f>
        <v/>
      </c>
    </row>
    <row r="10991" spans="6:14">
      <c r="F10991" s="6">
        <f>IF($M10991="PADD I","PADD 1",IF($M10991="PADD II","PADD 2",IF($M10991="PADD III","PADD 3",IF($M10991="PADD IV","PADD 4",IF($M10991="PADD V","PADD 5","")))))</f>
        <v/>
      </c>
      <c r="G10991" s="6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  <c r="N10991" s="6">
        <f>IF(OR($G10991="FCC",$G10991="Hydrocracker",$G10991="Reformer"),IF(COUNTIFS($D:$D,$D10991,$A:$A,$A10991,$B:$B,$B10991,$G:$G,"CDU",$J:$J,"PLANNED")&gt;0,"tied","standalone"),"")</f>
        <v/>
      </c>
    </row>
    <row r="10992" spans="6:14">
      <c r="F10992" s="6">
        <f>IF($M10992="PADD I","PADD 1",IF($M10992="PADD II","PADD 2",IF($M10992="PADD III","PADD 3",IF($M10992="PADD IV","PADD 4",IF($M10992="PADD V","PADD 5","")))))</f>
        <v/>
      </c>
      <c r="G10992" s="6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  <c r="N10992" s="6">
        <f>IF(OR($G10992="FCC",$G10992="Hydrocracker",$G10992="Reformer"),IF(COUNTIFS($D:$D,$D10992,$A:$A,$A10992,$B:$B,$B10992,$G:$G,"CDU",$J:$J,"PLANNED")&gt;0,"tied","standalone"),"")</f>
        <v/>
      </c>
    </row>
    <row r="10993" spans="6:14">
      <c r="F10993" s="6">
        <f>IF($M10993="PADD I","PADD 1",IF($M10993="PADD II","PADD 2",IF($M10993="PADD III","PADD 3",IF($M10993="PADD IV","PADD 4",IF($M10993="PADD V","PADD 5","")))))</f>
        <v/>
      </c>
      <c r="G10993" s="6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  <c r="N10993" s="6">
        <f>IF(OR($G10993="FCC",$G10993="Hydrocracker",$G10993="Reformer"),IF(COUNTIFS($D:$D,$D10993,$A:$A,$A10993,$B:$B,$B10993,$G:$G,"CDU",$J:$J,"PLANNED")&gt;0,"tied","standalone"),"")</f>
        <v/>
      </c>
    </row>
    <row r="10994" spans="6:14">
      <c r="F10994" s="6">
        <f>IF($M10994="PADD I","PADD 1",IF($M10994="PADD II","PADD 2",IF($M10994="PADD III","PADD 3",IF($M10994="PADD IV","PADD 4",IF($M10994="PADD V","PADD 5","")))))</f>
        <v/>
      </c>
      <c r="G10994" s="6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  <c r="N10994" s="6">
        <f>IF(OR($G10994="FCC",$G10994="Hydrocracker",$G10994="Reformer"),IF(COUNTIFS($D:$D,$D10994,$A:$A,$A10994,$B:$B,$B10994,$G:$G,"CDU",$J:$J,"PLANNED")&gt;0,"tied","standalone"),"")</f>
        <v/>
      </c>
    </row>
    <row r="10995" spans="6:14">
      <c r="F10995" s="6">
        <f>IF($M10995="PADD I","PADD 1",IF($M10995="PADD II","PADD 2",IF($M10995="PADD III","PADD 3",IF($M10995="PADD IV","PADD 4",IF($M10995="PADD V","PADD 5","")))))</f>
        <v/>
      </c>
      <c r="G10995" s="6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  <c r="N10995" s="6">
        <f>IF(OR($G10995="FCC",$G10995="Hydrocracker",$G10995="Reformer"),IF(COUNTIFS($D:$D,$D10995,$A:$A,$A10995,$B:$B,$B10995,$G:$G,"CDU",$J:$J,"PLANNED")&gt;0,"tied","standalone"),"")</f>
        <v/>
      </c>
    </row>
    <row r="10996" spans="6:14">
      <c r="F10996" s="6">
        <f>IF($M10996="PADD I","PADD 1",IF($M10996="PADD II","PADD 2",IF($M10996="PADD III","PADD 3",IF($M10996="PADD IV","PADD 4",IF($M10996="PADD V","PADD 5","")))))</f>
        <v/>
      </c>
      <c r="G10996" s="6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  <c r="N10996" s="6">
        <f>IF(OR($G10996="FCC",$G10996="Hydrocracker",$G10996="Reformer"),IF(COUNTIFS($D:$D,$D10996,$A:$A,$A10996,$B:$B,$B10996,$G:$G,"CDU",$J:$J,"PLANNED")&gt;0,"tied","standalone"),"")</f>
        <v/>
      </c>
    </row>
    <row r="10997" spans="6:14">
      <c r="F10997" s="6">
        <f>IF($M10997="PADD I","PADD 1",IF($M10997="PADD II","PADD 2",IF($M10997="PADD III","PADD 3",IF($M10997="PADD IV","PADD 4",IF($M10997="PADD V","PADD 5","")))))</f>
        <v/>
      </c>
      <c r="G10997" s="6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  <c r="N10997" s="6">
        <f>IF(OR($G10997="FCC",$G10997="Hydrocracker",$G10997="Reformer"),IF(COUNTIFS($D:$D,$D10997,$A:$A,$A10997,$B:$B,$B10997,$G:$G,"CDU",$J:$J,"PLANNED")&gt;0,"tied","standalone"),"")</f>
        <v/>
      </c>
    </row>
    <row r="10998" spans="6:14">
      <c r="F10998" s="6">
        <f>IF($M10998="PADD I","PADD 1",IF($M10998="PADD II","PADD 2",IF($M10998="PADD III","PADD 3",IF($M10998="PADD IV","PADD 4",IF($M10998="PADD V","PADD 5","")))))</f>
        <v/>
      </c>
      <c r="G10998" s="6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  <c r="N10998" s="6">
        <f>IF(OR($G10998="FCC",$G10998="Hydrocracker",$G10998="Reformer"),IF(COUNTIFS($D:$D,$D10998,$A:$A,$A10998,$B:$B,$B10998,$G:$G,"CDU",$J:$J,"PLANNED")&gt;0,"tied","standalone"),"")</f>
        <v/>
      </c>
    </row>
    <row r="10999" spans="6:14">
      <c r="F10999" s="6">
        <f>IF($M10999="PADD I","PADD 1",IF($M10999="PADD II","PADD 2",IF($M10999="PADD III","PADD 3",IF($M10999="PADD IV","PADD 4",IF($M10999="PADD V","PADD 5","")))))</f>
        <v/>
      </c>
      <c r="G10999" s="6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  <c r="N10999" s="6">
        <f>IF(OR($G10999="FCC",$G10999="Hydrocracker",$G10999="Reformer"),IF(COUNTIFS($D:$D,$D10999,$A:$A,$A10999,$B:$B,$B10999,$G:$G,"CDU",$J:$J,"PLANNED")&gt;0,"tied","standalone"),"")</f>
        <v/>
      </c>
    </row>
    <row r="11000" spans="6:14">
      <c r="F11000" s="6">
        <f>IF($M11000="PADD I","PADD 1",IF($M11000="PADD II","PADD 2",IF($M11000="PADD III","PADD 3",IF($M11000="PADD IV","PADD 4",IF($M11000="PADD V","PADD 5","")))))</f>
        <v/>
      </c>
      <c r="G11000" s="6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  <c r="N11000" s="6">
        <f>IF(OR($G11000="FCC",$G11000="Hydrocracker",$G11000="Reformer"),IF(COUNTIFS($D:$D,$D11000,$A:$A,$A11000,$B:$B,$B11000,$G:$G,"CDU",$J:$J,"PLANNED")&gt;0,"tied","standalone"),"")</f>
        <v/>
      </c>
    </row>
    <row r="11001" spans="6:14">
      <c r="F11001" s="6">
        <f>IF($M11001="PADD I","PADD 1",IF($M11001="PADD II","PADD 2",IF($M11001="PADD III","PADD 3",IF($M11001="PADD IV","PADD 4",IF($M11001="PADD V","PADD 5","")))))</f>
        <v/>
      </c>
      <c r="G11001" s="6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  <c r="N11001" s="6">
        <f>IF(OR($G11001="FCC",$G11001="Hydrocracker",$G11001="Reformer"),IF(COUNTIFS($D:$D,$D11001,$A:$A,$A11001,$B:$B,$B11001,$G:$G,"CDU",$J:$J,"PLANNED")&gt;0,"tied","standalone"),"")</f>
        <v/>
      </c>
    </row>
    <row r="11002" spans="6:14">
      <c r="F11002" s="6">
        <f>IF($M11002="PADD I","PADD 1",IF($M11002="PADD II","PADD 2",IF($M11002="PADD III","PADD 3",IF($M11002="PADD IV","PADD 4",IF($M11002="PADD V","PADD 5","")))))</f>
        <v/>
      </c>
      <c r="G11002" s="6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  <c r="N11002" s="6">
        <f>IF(OR($G11002="FCC",$G11002="Hydrocracker",$G11002="Reformer"),IF(COUNTIFS($D:$D,$D11002,$A:$A,$A11002,$B:$B,$B11002,$G:$G,"CDU",$J:$J,"PLANNED")&gt;0,"tied","standalone"),"")</f>
        <v/>
      </c>
    </row>
    <row r="11003" spans="6:14">
      <c r="F11003" s="6">
        <f>IF($M11003="PADD I","PADD 1",IF($M11003="PADD II","PADD 2",IF($M11003="PADD III","PADD 3",IF($M11003="PADD IV","PADD 4",IF($M11003="PADD V","PADD 5","")))))</f>
        <v/>
      </c>
      <c r="G11003" s="6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  <c r="N11003" s="6">
        <f>IF(OR($G11003="FCC",$G11003="Hydrocracker",$G11003="Reformer"),IF(COUNTIFS($D:$D,$D11003,$A:$A,$A11003,$B:$B,$B11003,$G:$G,"CDU",$J:$J,"PLANNED")&gt;0,"tied","standalone"),"")</f>
        <v/>
      </c>
    </row>
    <row r="11004" spans="6:14">
      <c r="F11004" s="6">
        <f>IF($M11004="PADD I","PADD 1",IF($M11004="PADD II","PADD 2",IF($M11004="PADD III","PADD 3",IF($M11004="PADD IV","PADD 4",IF($M11004="PADD V","PADD 5","")))))</f>
        <v/>
      </c>
      <c r="G11004" s="6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  <c r="N11004" s="6">
        <f>IF(OR($G11004="FCC",$G11004="Hydrocracker",$G11004="Reformer"),IF(COUNTIFS($D:$D,$D11004,$A:$A,$A11004,$B:$B,$B11004,$G:$G,"CDU",$J:$J,"PLANNED")&gt;0,"tied","standalone"),"")</f>
        <v/>
      </c>
    </row>
    <row r="11005" spans="6:14">
      <c r="F11005" s="6">
        <f>IF($M11005="PADD I","PADD 1",IF($M11005="PADD II","PADD 2",IF($M11005="PADD III","PADD 3",IF($M11005="PADD IV","PADD 4",IF($M11005="PADD V","PADD 5","")))))</f>
        <v/>
      </c>
      <c r="G11005" s="6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  <c r="N11005" s="6">
        <f>IF(OR($G11005="FCC",$G11005="Hydrocracker",$G11005="Reformer"),IF(COUNTIFS($D:$D,$D11005,$A:$A,$A11005,$B:$B,$B11005,$G:$G,"CDU",$J:$J,"PLANNED")&gt;0,"tied","standalone"),"")</f>
        <v/>
      </c>
    </row>
    <row r="11006" spans="6:14">
      <c r="F11006" s="6">
        <f>IF($M11006="PADD I","PADD 1",IF($M11006="PADD II","PADD 2",IF($M11006="PADD III","PADD 3",IF($M11006="PADD IV","PADD 4",IF($M11006="PADD V","PADD 5","")))))</f>
        <v/>
      </c>
      <c r="G11006" s="6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  <c r="N11006" s="6">
        <f>IF(OR($G11006="FCC",$G11006="Hydrocracker",$G11006="Reformer"),IF(COUNTIFS($D:$D,$D11006,$A:$A,$A11006,$B:$B,$B11006,$G:$G,"CDU",$J:$J,"PLANNED")&gt;0,"tied","standalone"),"")</f>
        <v/>
      </c>
    </row>
    <row r="11007" spans="6:14">
      <c r="F11007" s="6">
        <f>IF($M11007="PADD I","PADD 1",IF($M11007="PADD II","PADD 2",IF($M11007="PADD III","PADD 3",IF($M11007="PADD IV","PADD 4",IF($M11007="PADD V","PADD 5","")))))</f>
        <v/>
      </c>
      <c r="G11007" s="6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  <c r="N11007" s="6">
        <f>IF(OR($G11007="FCC",$G11007="Hydrocracker",$G11007="Reformer"),IF(COUNTIFS($D:$D,$D11007,$A:$A,$A11007,$B:$B,$B11007,$G:$G,"CDU",$J:$J,"PLANNED")&gt;0,"tied","standalone"),"")</f>
        <v/>
      </c>
    </row>
    <row r="11008" spans="6:14">
      <c r="F11008" s="6">
        <f>IF($M11008="PADD I","PADD 1",IF($M11008="PADD II","PADD 2",IF($M11008="PADD III","PADD 3",IF($M11008="PADD IV","PADD 4",IF($M11008="PADD V","PADD 5","")))))</f>
        <v/>
      </c>
      <c r="G11008" s="6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  <c r="N11008" s="6">
        <f>IF(OR($G11008="FCC",$G11008="Hydrocracker",$G11008="Reformer"),IF(COUNTIFS($D:$D,$D11008,$A:$A,$A11008,$B:$B,$B11008,$G:$G,"CDU",$J:$J,"PLANNED")&gt;0,"tied","standalone"),"")</f>
        <v/>
      </c>
    </row>
    <row r="11009" spans="6:14">
      <c r="F11009" s="6">
        <f>IF($M11009="PADD I","PADD 1",IF($M11009="PADD II","PADD 2",IF($M11009="PADD III","PADD 3",IF($M11009="PADD IV","PADD 4",IF($M11009="PADD V","PADD 5","")))))</f>
        <v/>
      </c>
      <c r="G11009" s="6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  <c r="N11009" s="6">
        <f>IF(OR($G11009="FCC",$G11009="Hydrocracker",$G11009="Reformer"),IF(COUNTIFS($D:$D,$D11009,$A:$A,$A11009,$B:$B,$B11009,$G:$G,"CDU",$J:$J,"PLANNED")&gt;0,"tied","standalone"),"")</f>
        <v/>
      </c>
    </row>
    <row r="11010" spans="6:14">
      <c r="F11010" s="6">
        <f>IF($M11010="PADD I","PADD 1",IF($M11010="PADD II","PADD 2",IF($M11010="PADD III","PADD 3",IF($M11010="PADD IV","PADD 4",IF($M11010="PADD V","PADD 5","")))))</f>
        <v/>
      </c>
      <c r="G11010" s="6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  <c r="N11010" s="6">
        <f>IF(OR($G11010="FCC",$G11010="Hydrocracker",$G11010="Reformer"),IF(COUNTIFS($D:$D,$D11010,$A:$A,$A11010,$B:$B,$B11010,$G:$G,"CDU",$J:$J,"PLANNED")&gt;0,"tied","standalone"),"")</f>
        <v/>
      </c>
    </row>
    <row r="11011" spans="6:14">
      <c r="F11011" s="6">
        <f>IF($M11011="PADD I","PADD 1",IF($M11011="PADD II","PADD 2",IF($M11011="PADD III","PADD 3",IF($M11011="PADD IV","PADD 4",IF($M11011="PADD V","PADD 5","")))))</f>
        <v/>
      </c>
      <c r="G11011" s="6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  <c r="N11011" s="6">
        <f>IF(OR($G11011="FCC",$G11011="Hydrocracker",$G11011="Reformer"),IF(COUNTIFS($D:$D,$D11011,$A:$A,$A11011,$B:$B,$B11011,$G:$G,"CDU",$J:$J,"PLANNED")&gt;0,"tied","standalone"),"")</f>
        <v/>
      </c>
    </row>
    <row r="11012" spans="6:14">
      <c r="F11012" s="6">
        <f>IF($M11012="PADD I","PADD 1",IF($M11012="PADD II","PADD 2",IF($M11012="PADD III","PADD 3",IF($M11012="PADD IV","PADD 4",IF($M11012="PADD V","PADD 5","")))))</f>
        <v/>
      </c>
      <c r="G11012" s="6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  <c r="N11012" s="6">
        <f>IF(OR($G11012="FCC",$G11012="Hydrocracker",$G11012="Reformer"),IF(COUNTIFS($D:$D,$D11012,$A:$A,$A11012,$B:$B,$B11012,$G:$G,"CDU",$J:$J,"PLANNED")&gt;0,"tied","standalone"),"")</f>
        <v/>
      </c>
    </row>
    <row r="11013" spans="6:14">
      <c r="F11013" s="6">
        <f>IF($M11013="PADD I","PADD 1",IF($M11013="PADD II","PADD 2",IF($M11013="PADD III","PADD 3",IF($M11013="PADD IV","PADD 4",IF($M11013="PADD V","PADD 5","")))))</f>
        <v/>
      </c>
      <c r="G11013" s="6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  <c r="N11013" s="6">
        <f>IF(OR($G11013="FCC",$G11013="Hydrocracker",$G11013="Reformer"),IF(COUNTIFS($D:$D,$D11013,$A:$A,$A11013,$B:$B,$B11013,$G:$G,"CDU",$J:$J,"PLANNED")&gt;0,"tied","standalone"),"")</f>
        <v/>
      </c>
    </row>
    <row r="11014" spans="6:14">
      <c r="F11014" s="6">
        <f>IF($M11014="PADD I","PADD 1",IF($M11014="PADD II","PADD 2",IF($M11014="PADD III","PADD 3",IF($M11014="PADD IV","PADD 4",IF($M11014="PADD V","PADD 5","")))))</f>
        <v/>
      </c>
      <c r="G11014" s="6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  <c r="N11014" s="6">
        <f>IF(OR($G11014="FCC",$G11014="Hydrocracker",$G11014="Reformer"),IF(COUNTIFS($D:$D,$D11014,$A:$A,$A11014,$B:$B,$B11014,$G:$G,"CDU",$J:$J,"PLANNED")&gt;0,"tied","standalone"),"")</f>
        <v/>
      </c>
    </row>
    <row r="11015" spans="6:14">
      <c r="F11015" s="6">
        <f>IF($M11015="PADD I","PADD 1",IF($M11015="PADD II","PADD 2",IF($M11015="PADD III","PADD 3",IF($M11015="PADD IV","PADD 4",IF($M11015="PADD V","PADD 5","")))))</f>
        <v/>
      </c>
      <c r="G11015" s="6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  <c r="N11015" s="6">
        <f>IF(OR($G11015="FCC",$G11015="Hydrocracker",$G11015="Reformer"),IF(COUNTIFS($D:$D,$D11015,$A:$A,$A11015,$B:$B,$B11015,$G:$G,"CDU",$J:$J,"PLANNED")&gt;0,"tied","standalone"),"")</f>
        <v/>
      </c>
    </row>
    <row r="11016" spans="6:14">
      <c r="F11016" s="6">
        <f>IF($M11016="PADD I","PADD 1",IF($M11016="PADD II","PADD 2",IF($M11016="PADD III","PADD 3",IF($M11016="PADD IV","PADD 4",IF($M11016="PADD V","PADD 5","")))))</f>
        <v/>
      </c>
      <c r="G11016" s="6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  <c r="N11016" s="6">
        <f>IF(OR($G11016="FCC",$G11016="Hydrocracker",$G11016="Reformer"),IF(COUNTIFS($D:$D,$D11016,$A:$A,$A11016,$B:$B,$B11016,$G:$G,"CDU",$J:$J,"PLANNED")&gt;0,"tied","standalone"),"")</f>
        <v/>
      </c>
    </row>
    <row r="11017" spans="6:14">
      <c r="F11017" s="6">
        <f>IF($M11017="PADD I","PADD 1",IF($M11017="PADD II","PADD 2",IF($M11017="PADD III","PADD 3",IF($M11017="PADD IV","PADD 4",IF($M11017="PADD V","PADD 5","")))))</f>
        <v/>
      </c>
      <c r="G11017" s="6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  <c r="N11017" s="6">
        <f>IF(OR($G11017="FCC",$G11017="Hydrocracker",$G11017="Reformer"),IF(COUNTIFS($D:$D,$D11017,$A:$A,$A11017,$B:$B,$B11017,$G:$G,"CDU",$J:$J,"PLANNED")&gt;0,"tied","standalone"),"")</f>
        <v/>
      </c>
    </row>
    <row r="11018" spans="6:14">
      <c r="F11018" s="6">
        <f>IF($M11018="PADD I","PADD 1",IF($M11018="PADD II","PADD 2",IF($M11018="PADD III","PADD 3",IF($M11018="PADD IV","PADD 4",IF($M11018="PADD V","PADD 5","")))))</f>
        <v/>
      </c>
      <c r="G11018" s="6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  <c r="N11018" s="6">
        <f>IF(OR($G11018="FCC",$G11018="Hydrocracker",$G11018="Reformer"),IF(COUNTIFS($D:$D,$D11018,$A:$A,$A11018,$B:$B,$B11018,$G:$G,"CDU",$J:$J,"PLANNED")&gt;0,"tied","standalone"),"")</f>
        <v/>
      </c>
    </row>
    <row r="11019" spans="6:14">
      <c r="F11019" s="6">
        <f>IF($M11019="PADD I","PADD 1",IF($M11019="PADD II","PADD 2",IF($M11019="PADD III","PADD 3",IF($M11019="PADD IV","PADD 4",IF($M11019="PADD V","PADD 5","")))))</f>
        <v/>
      </c>
      <c r="G11019" s="6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  <c r="N11019" s="6">
        <f>IF(OR($G11019="FCC",$G11019="Hydrocracker",$G11019="Reformer"),IF(COUNTIFS($D:$D,$D11019,$A:$A,$A11019,$B:$B,$B11019,$G:$G,"CDU",$J:$J,"PLANNED")&gt;0,"tied","standalone"),"")</f>
        <v/>
      </c>
    </row>
    <row r="11020" spans="6:14">
      <c r="F11020" s="6">
        <f>IF($M11020="PADD I","PADD 1",IF($M11020="PADD II","PADD 2",IF($M11020="PADD III","PADD 3",IF($M11020="PADD IV","PADD 4",IF($M11020="PADD V","PADD 5","")))))</f>
        <v/>
      </c>
      <c r="G11020" s="6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  <c r="N11020" s="6">
        <f>IF(OR($G11020="FCC",$G11020="Hydrocracker",$G11020="Reformer"),IF(COUNTIFS($D:$D,$D11020,$A:$A,$A11020,$B:$B,$B11020,$G:$G,"CDU",$J:$J,"PLANNED")&gt;0,"tied","standalone"),"")</f>
        <v/>
      </c>
    </row>
    <row r="11021" spans="6:14">
      <c r="F11021" s="6">
        <f>IF($M11021="PADD I","PADD 1",IF($M11021="PADD II","PADD 2",IF($M11021="PADD III","PADD 3",IF($M11021="PADD IV","PADD 4",IF($M11021="PADD V","PADD 5","")))))</f>
        <v/>
      </c>
      <c r="G11021" s="6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  <c r="N11021" s="6">
        <f>IF(OR($G11021="FCC",$G11021="Hydrocracker",$G11021="Reformer"),IF(COUNTIFS($D:$D,$D11021,$A:$A,$A11021,$B:$B,$B11021,$G:$G,"CDU",$J:$J,"PLANNED")&gt;0,"tied","standalone"),"")</f>
        <v/>
      </c>
    </row>
    <row r="11022" spans="6:14">
      <c r="F11022" s="6">
        <f>IF($M11022="PADD I","PADD 1",IF($M11022="PADD II","PADD 2",IF($M11022="PADD III","PADD 3",IF($M11022="PADD IV","PADD 4",IF($M11022="PADD V","PADD 5","")))))</f>
        <v/>
      </c>
      <c r="G11022" s="6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  <c r="N11022" s="6">
        <f>IF(OR($G11022="FCC",$G11022="Hydrocracker",$G11022="Reformer"),IF(COUNTIFS($D:$D,$D11022,$A:$A,$A11022,$B:$B,$B11022,$G:$G,"CDU",$J:$J,"PLANNED")&gt;0,"tied","standalone"),"")</f>
        <v/>
      </c>
    </row>
    <row r="11023" spans="6:14">
      <c r="F11023" s="6">
        <f>IF($M11023="PADD I","PADD 1",IF($M11023="PADD II","PADD 2",IF($M11023="PADD III","PADD 3",IF($M11023="PADD IV","PADD 4",IF($M11023="PADD V","PADD 5","")))))</f>
        <v/>
      </c>
      <c r="G11023" s="6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  <c r="N11023" s="6">
        <f>IF(OR($G11023="FCC",$G11023="Hydrocracker",$G11023="Reformer"),IF(COUNTIFS($D:$D,$D11023,$A:$A,$A11023,$B:$B,$B11023,$G:$G,"CDU",$J:$J,"PLANNED")&gt;0,"tied","standalone"),"")</f>
        <v/>
      </c>
    </row>
    <row r="11024" spans="6:14">
      <c r="F11024" s="6">
        <f>IF($M11024="PADD I","PADD 1",IF($M11024="PADD II","PADD 2",IF($M11024="PADD III","PADD 3",IF($M11024="PADD IV","PADD 4",IF($M11024="PADD V","PADD 5","")))))</f>
        <v/>
      </c>
      <c r="G11024" s="6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  <c r="N11024" s="6">
        <f>IF(OR($G11024="FCC",$G11024="Hydrocracker",$G11024="Reformer"),IF(COUNTIFS($D:$D,$D11024,$A:$A,$A11024,$B:$B,$B11024,$G:$G,"CDU",$J:$J,"PLANNED")&gt;0,"tied","standalone"),"")</f>
        <v/>
      </c>
    </row>
    <row r="11025" spans="6:14">
      <c r="F11025" s="6">
        <f>IF($M11025="PADD I","PADD 1",IF($M11025="PADD II","PADD 2",IF($M11025="PADD III","PADD 3",IF($M11025="PADD IV","PADD 4",IF($M11025="PADD V","PADD 5","")))))</f>
        <v/>
      </c>
      <c r="G11025" s="6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  <c r="N11025" s="6">
        <f>IF(OR($G11025="FCC",$G11025="Hydrocracker",$G11025="Reformer"),IF(COUNTIFS($D:$D,$D11025,$A:$A,$A11025,$B:$B,$B11025,$G:$G,"CDU",$J:$J,"PLANNED")&gt;0,"tied","standalone"),"")</f>
        <v/>
      </c>
    </row>
    <row r="11026" spans="6:14">
      <c r="F11026" s="6">
        <f>IF($M11026="PADD I","PADD 1",IF($M11026="PADD II","PADD 2",IF($M11026="PADD III","PADD 3",IF($M11026="PADD IV","PADD 4",IF($M11026="PADD V","PADD 5","")))))</f>
        <v/>
      </c>
      <c r="G11026" s="6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  <c r="N11026" s="6">
        <f>IF(OR($G11026="FCC",$G11026="Hydrocracker",$G11026="Reformer"),IF(COUNTIFS($D:$D,$D11026,$A:$A,$A11026,$B:$B,$B11026,$G:$G,"CDU",$J:$J,"PLANNED")&gt;0,"tied","standalone"),"")</f>
        <v/>
      </c>
    </row>
    <row r="11027" spans="6:14">
      <c r="F11027" s="6">
        <f>IF($M11027="PADD I","PADD 1",IF($M11027="PADD II","PADD 2",IF($M11027="PADD III","PADD 3",IF($M11027="PADD IV","PADD 4",IF($M11027="PADD V","PADD 5","")))))</f>
        <v/>
      </c>
      <c r="G11027" s="6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  <c r="N11027" s="6">
        <f>IF(OR($G11027="FCC",$G11027="Hydrocracker",$G11027="Reformer"),IF(COUNTIFS($D:$D,$D11027,$A:$A,$A11027,$B:$B,$B11027,$G:$G,"CDU",$J:$J,"PLANNED")&gt;0,"tied","standalone"),"")</f>
        <v/>
      </c>
    </row>
    <row r="11028" spans="6:14">
      <c r="F11028" s="6">
        <f>IF($M11028="PADD I","PADD 1",IF($M11028="PADD II","PADD 2",IF($M11028="PADD III","PADD 3",IF($M11028="PADD IV","PADD 4",IF($M11028="PADD V","PADD 5","")))))</f>
        <v/>
      </c>
      <c r="G11028" s="6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  <c r="N11028" s="6">
        <f>IF(OR($G11028="FCC",$G11028="Hydrocracker",$G11028="Reformer"),IF(COUNTIFS($D:$D,$D11028,$A:$A,$A11028,$B:$B,$B11028,$G:$G,"CDU",$J:$J,"PLANNED")&gt;0,"tied","standalone"),"")</f>
        <v/>
      </c>
    </row>
    <row r="11029" spans="6:14">
      <c r="F11029" s="6">
        <f>IF($M11029="PADD I","PADD 1",IF($M11029="PADD II","PADD 2",IF($M11029="PADD III","PADD 3",IF($M11029="PADD IV","PADD 4",IF($M11029="PADD V","PADD 5","")))))</f>
        <v/>
      </c>
      <c r="G11029" s="6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  <c r="N11029" s="6">
        <f>IF(OR($G11029="FCC",$G11029="Hydrocracker",$G11029="Reformer"),IF(COUNTIFS($D:$D,$D11029,$A:$A,$A11029,$B:$B,$B11029,$G:$G,"CDU",$J:$J,"PLANNED")&gt;0,"tied","standalone"),"")</f>
        <v/>
      </c>
    </row>
    <row r="11030" spans="6:14">
      <c r="F11030" s="6">
        <f>IF($M11030="PADD I","PADD 1",IF($M11030="PADD II","PADD 2",IF($M11030="PADD III","PADD 3",IF($M11030="PADD IV","PADD 4",IF($M11030="PADD V","PADD 5","")))))</f>
        <v/>
      </c>
      <c r="G11030" s="6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  <c r="N11030" s="6">
        <f>IF(OR($G11030="FCC",$G11030="Hydrocracker",$G11030="Reformer"),IF(COUNTIFS($D:$D,$D11030,$A:$A,$A11030,$B:$B,$B11030,$G:$G,"CDU",$J:$J,"PLANNED")&gt;0,"tied","standalone"),"")</f>
        <v/>
      </c>
    </row>
    <row r="11031" spans="6:14">
      <c r="F11031" s="6">
        <f>IF($M11031="PADD I","PADD 1",IF($M11031="PADD II","PADD 2",IF($M11031="PADD III","PADD 3",IF($M11031="PADD IV","PADD 4",IF($M11031="PADD V","PADD 5","")))))</f>
        <v/>
      </c>
      <c r="G11031" s="6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  <c r="N11031" s="6">
        <f>IF(OR($G11031="FCC",$G11031="Hydrocracker",$G11031="Reformer"),IF(COUNTIFS($D:$D,$D11031,$A:$A,$A11031,$B:$B,$B11031,$G:$G,"CDU",$J:$J,"PLANNED")&gt;0,"tied","standalone"),"")</f>
        <v/>
      </c>
    </row>
    <row r="11032" spans="6:14">
      <c r="F11032" s="6">
        <f>IF($M11032="PADD I","PADD 1",IF($M11032="PADD II","PADD 2",IF($M11032="PADD III","PADD 3",IF($M11032="PADD IV","PADD 4",IF($M11032="PADD V","PADD 5","")))))</f>
        <v/>
      </c>
      <c r="G11032" s="6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  <c r="N11032" s="6">
        <f>IF(OR($G11032="FCC",$G11032="Hydrocracker",$G11032="Reformer"),IF(COUNTIFS($D:$D,$D11032,$A:$A,$A11032,$B:$B,$B11032,$G:$G,"CDU",$J:$J,"PLANNED")&gt;0,"tied","standalone"),"")</f>
        <v/>
      </c>
    </row>
    <row r="11033" spans="6:14">
      <c r="F11033" s="6">
        <f>IF($M11033="PADD I","PADD 1",IF($M11033="PADD II","PADD 2",IF($M11033="PADD III","PADD 3",IF($M11033="PADD IV","PADD 4",IF($M11033="PADD V","PADD 5","")))))</f>
        <v/>
      </c>
      <c r="G11033" s="6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  <c r="N11033" s="6">
        <f>IF(OR($G11033="FCC",$G11033="Hydrocracker",$G11033="Reformer"),IF(COUNTIFS($D:$D,$D11033,$A:$A,$A11033,$B:$B,$B11033,$G:$G,"CDU",$J:$J,"PLANNED")&gt;0,"tied","standalone"),"")</f>
        <v/>
      </c>
    </row>
    <row r="11034" spans="6:14">
      <c r="F11034" s="6">
        <f>IF($M11034="PADD I","PADD 1",IF($M11034="PADD II","PADD 2",IF($M11034="PADD III","PADD 3",IF($M11034="PADD IV","PADD 4",IF($M11034="PADD V","PADD 5","")))))</f>
        <v/>
      </c>
      <c r="G11034" s="6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  <c r="N11034" s="6">
        <f>IF(OR($G11034="FCC",$G11034="Hydrocracker",$G11034="Reformer"),IF(COUNTIFS($D:$D,$D11034,$A:$A,$A11034,$B:$B,$B11034,$G:$G,"CDU",$J:$J,"PLANNED")&gt;0,"tied","standalone"),"")</f>
        <v/>
      </c>
    </row>
    <row r="11035" spans="6:14">
      <c r="F11035" s="6">
        <f>IF($M11035="PADD I","PADD 1",IF($M11035="PADD II","PADD 2",IF($M11035="PADD III","PADD 3",IF($M11035="PADD IV","PADD 4",IF($M11035="PADD V","PADD 5","")))))</f>
        <v/>
      </c>
      <c r="G11035" s="6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  <c r="N11035" s="6">
        <f>IF(OR($G11035="FCC",$G11035="Hydrocracker",$G11035="Reformer"),IF(COUNTIFS($D:$D,$D11035,$A:$A,$A11035,$B:$B,$B11035,$G:$G,"CDU",$J:$J,"PLANNED")&gt;0,"tied","standalone"),"")</f>
        <v/>
      </c>
    </row>
    <row r="11036" spans="6:14">
      <c r="F11036" s="6">
        <f>IF($M11036="PADD I","PADD 1",IF($M11036="PADD II","PADD 2",IF($M11036="PADD III","PADD 3",IF($M11036="PADD IV","PADD 4",IF($M11036="PADD V","PADD 5","")))))</f>
        <v/>
      </c>
      <c r="G11036" s="6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  <c r="N11036" s="6">
        <f>IF(OR($G11036="FCC",$G11036="Hydrocracker",$G11036="Reformer"),IF(COUNTIFS($D:$D,$D11036,$A:$A,$A11036,$B:$B,$B11036,$G:$G,"CDU",$J:$J,"PLANNED")&gt;0,"tied","standalone"),"")</f>
        <v/>
      </c>
    </row>
    <row r="11037" spans="6:14">
      <c r="F11037" s="6">
        <f>IF($M11037="PADD I","PADD 1",IF($M11037="PADD II","PADD 2",IF($M11037="PADD III","PADD 3",IF($M11037="PADD IV","PADD 4",IF($M11037="PADD V","PADD 5","")))))</f>
        <v/>
      </c>
      <c r="G11037" s="6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  <c r="N11037" s="6">
        <f>IF(OR($G11037="FCC",$G11037="Hydrocracker",$G11037="Reformer"),IF(COUNTIFS($D:$D,$D11037,$A:$A,$A11037,$B:$B,$B11037,$G:$G,"CDU",$J:$J,"PLANNED")&gt;0,"tied","standalone"),"")</f>
        <v/>
      </c>
    </row>
    <row r="11038" spans="6:14">
      <c r="F11038" s="6">
        <f>IF($M11038="PADD I","PADD 1",IF($M11038="PADD II","PADD 2",IF($M11038="PADD III","PADD 3",IF($M11038="PADD IV","PADD 4",IF($M11038="PADD V","PADD 5","")))))</f>
        <v/>
      </c>
      <c r="G11038" s="6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  <c r="N11038" s="6">
        <f>IF(OR($G11038="FCC",$G11038="Hydrocracker",$G11038="Reformer"),IF(COUNTIFS($D:$D,$D11038,$A:$A,$A11038,$B:$B,$B11038,$G:$G,"CDU",$J:$J,"PLANNED")&gt;0,"tied","standalone"),"")</f>
        <v/>
      </c>
    </row>
    <row r="11039" spans="6:14">
      <c r="F11039" s="6">
        <f>IF($M11039="PADD I","PADD 1",IF($M11039="PADD II","PADD 2",IF($M11039="PADD III","PADD 3",IF($M11039="PADD IV","PADD 4",IF($M11039="PADD V","PADD 5","")))))</f>
        <v/>
      </c>
      <c r="G11039" s="6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  <c r="N11039" s="6">
        <f>IF(OR($G11039="FCC",$G11039="Hydrocracker",$G11039="Reformer"),IF(COUNTIFS($D:$D,$D11039,$A:$A,$A11039,$B:$B,$B11039,$G:$G,"CDU",$J:$J,"PLANNED")&gt;0,"tied","standalone"),"")</f>
        <v/>
      </c>
    </row>
    <row r="11040" spans="6:14">
      <c r="F11040" s="6">
        <f>IF($M11040="PADD I","PADD 1",IF($M11040="PADD II","PADD 2",IF($M11040="PADD III","PADD 3",IF($M11040="PADD IV","PADD 4",IF($M11040="PADD V","PADD 5","")))))</f>
        <v/>
      </c>
      <c r="G11040" s="6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  <c r="N11040" s="6">
        <f>IF(OR($G11040="FCC",$G11040="Hydrocracker",$G11040="Reformer"),IF(COUNTIFS($D:$D,$D11040,$A:$A,$A11040,$B:$B,$B11040,$G:$G,"CDU",$J:$J,"PLANNED")&gt;0,"tied","standalone"),"")</f>
        <v/>
      </c>
    </row>
    <row r="11041" spans="6:14">
      <c r="F11041" s="6">
        <f>IF($M11041="PADD I","PADD 1",IF($M11041="PADD II","PADD 2",IF($M11041="PADD III","PADD 3",IF($M11041="PADD IV","PADD 4",IF($M11041="PADD V","PADD 5","")))))</f>
        <v/>
      </c>
      <c r="G11041" s="6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  <c r="N11041" s="6">
        <f>IF(OR($G11041="FCC",$G11041="Hydrocracker",$G11041="Reformer"),IF(COUNTIFS($D:$D,$D11041,$A:$A,$A11041,$B:$B,$B11041,$G:$G,"CDU",$J:$J,"PLANNED")&gt;0,"tied","standalone"),"")</f>
        <v/>
      </c>
    </row>
    <row r="11042" spans="6:14">
      <c r="F11042" s="6">
        <f>IF($M11042="PADD I","PADD 1",IF($M11042="PADD II","PADD 2",IF($M11042="PADD III","PADD 3",IF($M11042="PADD IV","PADD 4",IF($M11042="PADD V","PADD 5","")))))</f>
        <v/>
      </c>
      <c r="G11042" s="6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  <c r="N11042" s="6">
        <f>IF(OR($G11042="FCC",$G11042="Hydrocracker",$G11042="Reformer"),IF(COUNTIFS($D:$D,$D11042,$A:$A,$A11042,$B:$B,$B11042,$G:$G,"CDU",$J:$J,"PLANNED")&gt;0,"tied","standalone"),"")</f>
        <v/>
      </c>
    </row>
    <row r="11043" spans="6:14">
      <c r="F11043" s="6">
        <f>IF($M11043="PADD I","PADD 1",IF($M11043="PADD II","PADD 2",IF($M11043="PADD III","PADD 3",IF($M11043="PADD IV","PADD 4",IF($M11043="PADD V","PADD 5","")))))</f>
        <v/>
      </c>
      <c r="G11043" s="6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  <c r="N11043" s="6">
        <f>IF(OR($G11043="FCC",$G11043="Hydrocracker",$G11043="Reformer"),IF(COUNTIFS($D:$D,$D11043,$A:$A,$A11043,$B:$B,$B11043,$G:$G,"CDU",$J:$J,"PLANNED")&gt;0,"tied","standalone"),"")</f>
        <v/>
      </c>
    </row>
    <row r="11044" spans="6:14">
      <c r="F11044" s="6">
        <f>IF($M11044="PADD I","PADD 1",IF($M11044="PADD II","PADD 2",IF($M11044="PADD III","PADD 3",IF($M11044="PADD IV","PADD 4",IF($M11044="PADD V","PADD 5","")))))</f>
        <v/>
      </c>
      <c r="G11044" s="6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  <c r="N11044" s="6">
        <f>IF(OR($G11044="FCC",$G11044="Hydrocracker",$G11044="Reformer"),IF(COUNTIFS($D:$D,$D11044,$A:$A,$A11044,$B:$B,$B11044,$G:$G,"CDU",$J:$J,"PLANNED")&gt;0,"tied","standalone"),"")</f>
        <v/>
      </c>
    </row>
    <row r="11045" spans="6:14">
      <c r="F11045" s="6">
        <f>IF($M11045="PADD I","PADD 1",IF($M11045="PADD II","PADD 2",IF($M11045="PADD III","PADD 3",IF($M11045="PADD IV","PADD 4",IF($M11045="PADD V","PADD 5","")))))</f>
        <v/>
      </c>
      <c r="G11045" s="6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  <c r="N11045" s="6">
        <f>IF(OR($G11045="FCC",$G11045="Hydrocracker",$G11045="Reformer"),IF(COUNTIFS($D:$D,$D11045,$A:$A,$A11045,$B:$B,$B11045,$G:$G,"CDU",$J:$J,"PLANNED")&gt;0,"tied","standalone"),"")</f>
        <v/>
      </c>
    </row>
    <row r="11046" spans="6:14">
      <c r="F11046" s="6">
        <f>IF($M11046="PADD I","PADD 1",IF($M11046="PADD II","PADD 2",IF($M11046="PADD III","PADD 3",IF($M11046="PADD IV","PADD 4",IF($M11046="PADD V","PADD 5","")))))</f>
        <v/>
      </c>
      <c r="G11046" s="6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  <c r="N11046" s="6">
        <f>IF(OR($G11046="FCC",$G11046="Hydrocracker",$G11046="Reformer"),IF(COUNTIFS($D:$D,$D11046,$A:$A,$A11046,$B:$B,$B11046,$G:$G,"CDU",$J:$J,"PLANNED")&gt;0,"tied","standalone"),"")</f>
        <v/>
      </c>
    </row>
    <row r="11047" spans="6:14">
      <c r="F11047" s="6">
        <f>IF($M11047="PADD I","PADD 1",IF($M11047="PADD II","PADD 2",IF($M11047="PADD III","PADD 3",IF($M11047="PADD IV","PADD 4",IF($M11047="PADD V","PADD 5","")))))</f>
        <v/>
      </c>
      <c r="G11047" s="6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  <c r="N11047" s="6">
        <f>IF(OR($G11047="FCC",$G11047="Hydrocracker",$G11047="Reformer"),IF(COUNTIFS($D:$D,$D11047,$A:$A,$A11047,$B:$B,$B11047,$G:$G,"CDU",$J:$J,"PLANNED")&gt;0,"tied","standalone"),"")</f>
        <v/>
      </c>
    </row>
    <row r="11048" spans="6:14">
      <c r="F11048" s="6">
        <f>IF($M11048="PADD I","PADD 1",IF($M11048="PADD II","PADD 2",IF($M11048="PADD III","PADD 3",IF($M11048="PADD IV","PADD 4",IF($M11048="PADD V","PADD 5","")))))</f>
        <v/>
      </c>
      <c r="G11048" s="6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  <c r="N11048" s="6">
        <f>IF(OR($G11048="FCC",$G11048="Hydrocracker",$G11048="Reformer"),IF(COUNTIFS($D:$D,$D11048,$A:$A,$A11048,$B:$B,$B11048,$G:$G,"CDU",$J:$J,"PLANNED")&gt;0,"tied","standalone"),"")</f>
        <v/>
      </c>
    </row>
    <row r="11049" spans="6:14">
      <c r="F11049" s="6">
        <f>IF($M11049="PADD I","PADD 1",IF($M11049="PADD II","PADD 2",IF($M11049="PADD III","PADD 3",IF($M11049="PADD IV","PADD 4",IF($M11049="PADD V","PADD 5","")))))</f>
        <v/>
      </c>
      <c r="G11049" s="6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  <c r="N11049" s="6">
        <f>IF(OR($G11049="FCC",$G11049="Hydrocracker",$G11049="Reformer"),IF(COUNTIFS($D:$D,$D11049,$A:$A,$A11049,$B:$B,$B11049,$G:$G,"CDU",$J:$J,"PLANNED")&gt;0,"tied","standalone"),"")</f>
        <v/>
      </c>
    </row>
    <row r="11050" spans="6:14">
      <c r="F11050" s="6">
        <f>IF($M11050="PADD I","PADD 1",IF($M11050="PADD II","PADD 2",IF($M11050="PADD III","PADD 3",IF($M11050="PADD IV","PADD 4",IF($M11050="PADD V","PADD 5","")))))</f>
        <v/>
      </c>
      <c r="G11050" s="6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  <c r="N11050" s="6">
        <f>IF(OR($G11050="FCC",$G11050="Hydrocracker",$G11050="Reformer"),IF(COUNTIFS($D:$D,$D11050,$A:$A,$A11050,$B:$B,$B11050,$G:$G,"CDU",$J:$J,"PLANNED")&gt;0,"tied","standalone"),"")</f>
        <v/>
      </c>
    </row>
    <row r="11051" spans="6:14">
      <c r="F11051" s="6">
        <f>IF($M11051="PADD I","PADD 1",IF($M11051="PADD II","PADD 2",IF($M11051="PADD III","PADD 3",IF($M11051="PADD IV","PADD 4",IF($M11051="PADD V","PADD 5","")))))</f>
        <v/>
      </c>
      <c r="G11051" s="6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  <c r="N11051" s="6">
        <f>IF(OR($G11051="FCC",$G11051="Hydrocracker",$G11051="Reformer"),IF(COUNTIFS($D:$D,$D11051,$A:$A,$A11051,$B:$B,$B11051,$G:$G,"CDU",$J:$J,"PLANNED")&gt;0,"tied","standalone"),"")</f>
        <v/>
      </c>
    </row>
    <row r="11052" spans="6:14">
      <c r="F11052" s="6">
        <f>IF($M11052="PADD I","PADD 1",IF($M11052="PADD II","PADD 2",IF($M11052="PADD III","PADD 3",IF($M11052="PADD IV","PADD 4",IF($M11052="PADD V","PADD 5","")))))</f>
        <v/>
      </c>
      <c r="G11052" s="6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  <c r="N11052" s="6">
        <f>IF(OR($G11052="FCC",$G11052="Hydrocracker",$G11052="Reformer"),IF(COUNTIFS($D:$D,$D11052,$A:$A,$A11052,$B:$B,$B11052,$G:$G,"CDU",$J:$J,"PLANNED")&gt;0,"tied","standalone"),"")</f>
        <v/>
      </c>
    </row>
    <row r="11053" spans="6:14">
      <c r="F11053" s="6">
        <f>IF($M11053="PADD I","PADD 1",IF($M11053="PADD II","PADD 2",IF($M11053="PADD III","PADD 3",IF($M11053="PADD IV","PADD 4",IF($M11053="PADD V","PADD 5","")))))</f>
        <v/>
      </c>
      <c r="G11053" s="6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  <c r="N11053" s="6">
        <f>IF(OR($G11053="FCC",$G11053="Hydrocracker",$G11053="Reformer"),IF(COUNTIFS($D:$D,$D11053,$A:$A,$A11053,$B:$B,$B11053,$G:$G,"CDU",$J:$J,"PLANNED")&gt;0,"tied","standalone"),"")</f>
        <v/>
      </c>
    </row>
    <row r="11054" spans="6:14">
      <c r="F11054" s="6">
        <f>IF($M11054="PADD I","PADD 1",IF($M11054="PADD II","PADD 2",IF($M11054="PADD III","PADD 3",IF($M11054="PADD IV","PADD 4",IF($M11054="PADD V","PADD 5","")))))</f>
        <v/>
      </c>
      <c r="G11054" s="6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  <c r="N11054" s="6">
        <f>IF(OR($G11054="FCC",$G11054="Hydrocracker",$G11054="Reformer"),IF(COUNTIFS($D:$D,$D11054,$A:$A,$A11054,$B:$B,$B11054,$G:$G,"CDU",$J:$J,"PLANNED")&gt;0,"tied","standalone"),"")</f>
        <v/>
      </c>
    </row>
    <row r="11055" spans="6:14">
      <c r="F11055" s="6">
        <f>IF($M11055="PADD I","PADD 1",IF($M11055="PADD II","PADD 2",IF($M11055="PADD III","PADD 3",IF($M11055="PADD IV","PADD 4",IF($M11055="PADD V","PADD 5","")))))</f>
        <v/>
      </c>
      <c r="G11055" s="6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  <c r="N11055" s="6">
        <f>IF(OR($G11055="FCC",$G11055="Hydrocracker",$G11055="Reformer"),IF(COUNTIFS($D:$D,$D11055,$A:$A,$A11055,$B:$B,$B11055,$G:$G,"CDU",$J:$J,"PLANNED")&gt;0,"tied","standalone"),"")</f>
        <v/>
      </c>
    </row>
    <row r="11056" spans="6:14">
      <c r="F11056" s="6">
        <f>IF($M11056="PADD I","PADD 1",IF($M11056="PADD II","PADD 2",IF($M11056="PADD III","PADD 3",IF($M11056="PADD IV","PADD 4",IF($M11056="PADD V","PADD 5","")))))</f>
        <v/>
      </c>
      <c r="G11056" s="6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  <c r="N11056" s="6">
        <f>IF(OR($G11056="FCC",$G11056="Hydrocracker",$G11056="Reformer"),IF(COUNTIFS($D:$D,$D11056,$A:$A,$A11056,$B:$B,$B11056,$G:$G,"CDU",$J:$J,"PLANNED")&gt;0,"tied","standalone"),"")</f>
        <v/>
      </c>
    </row>
    <row r="11057" spans="6:14">
      <c r="F11057" s="6">
        <f>IF($M11057="PADD I","PADD 1",IF($M11057="PADD II","PADD 2",IF($M11057="PADD III","PADD 3",IF($M11057="PADD IV","PADD 4",IF($M11057="PADD V","PADD 5","")))))</f>
        <v/>
      </c>
      <c r="G11057" s="6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  <c r="N11057" s="6">
        <f>IF(OR($G11057="FCC",$G11057="Hydrocracker",$G11057="Reformer"),IF(COUNTIFS($D:$D,$D11057,$A:$A,$A11057,$B:$B,$B11057,$G:$G,"CDU",$J:$J,"PLANNED")&gt;0,"tied","standalone"),"")</f>
        <v/>
      </c>
    </row>
    <row r="11058" spans="6:14">
      <c r="F11058" s="6">
        <f>IF($M11058="PADD I","PADD 1",IF($M11058="PADD II","PADD 2",IF($M11058="PADD III","PADD 3",IF($M11058="PADD IV","PADD 4",IF($M11058="PADD V","PADD 5","")))))</f>
        <v/>
      </c>
      <c r="G11058" s="6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  <c r="N11058" s="6">
        <f>IF(OR($G11058="FCC",$G11058="Hydrocracker",$G11058="Reformer"),IF(COUNTIFS($D:$D,$D11058,$A:$A,$A11058,$B:$B,$B11058,$G:$G,"CDU",$J:$J,"PLANNED")&gt;0,"tied","standalone"),"")</f>
        <v/>
      </c>
    </row>
    <row r="11059" spans="6:14">
      <c r="F11059" s="6">
        <f>IF($M11059="PADD I","PADD 1",IF($M11059="PADD II","PADD 2",IF($M11059="PADD III","PADD 3",IF($M11059="PADD IV","PADD 4",IF($M11059="PADD V","PADD 5","")))))</f>
        <v/>
      </c>
      <c r="G11059" s="6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  <c r="N11059" s="6">
        <f>IF(OR($G11059="FCC",$G11059="Hydrocracker",$G11059="Reformer"),IF(COUNTIFS($D:$D,$D11059,$A:$A,$A11059,$B:$B,$B11059,$G:$G,"CDU",$J:$J,"PLANNED")&gt;0,"tied","standalone"),"")</f>
        <v/>
      </c>
    </row>
    <row r="11060" spans="6:14">
      <c r="F11060" s="6">
        <f>IF($M11060="PADD I","PADD 1",IF($M11060="PADD II","PADD 2",IF($M11060="PADD III","PADD 3",IF($M11060="PADD IV","PADD 4",IF($M11060="PADD V","PADD 5","")))))</f>
        <v/>
      </c>
      <c r="G11060" s="6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  <c r="N11060" s="6">
        <f>IF(OR($G11060="FCC",$G11060="Hydrocracker",$G11060="Reformer"),IF(COUNTIFS($D:$D,$D11060,$A:$A,$A11060,$B:$B,$B11060,$G:$G,"CDU",$J:$J,"PLANNED")&gt;0,"tied","standalone"),"")</f>
        <v/>
      </c>
    </row>
    <row r="11061" spans="6:14">
      <c r="F11061" s="6">
        <f>IF($M11061="PADD I","PADD 1",IF($M11061="PADD II","PADD 2",IF($M11061="PADD III","PADD 3",IF($M11061="PADD IV","PADD 4",IF($M11061="PADD V","PADD 5","")))))</f>
        <v/>
      </c>
      <c r="G11061" s="6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  <c r="N11061" s="6">
        <f>IF(OR($G11061="FCC",$G11061="Hydrocracker",$G11061="Reformer"),IF(COUNTIFS($D:$D,$D11061,$A:$A,$A11061,$B:$B,$B11061,$G:$G,"CDU",$J:$J,"PLANNED")&gt;0,"tied","standalone"),"")</f>
        <v/>
      </c>
    </row>
    <row r="11062" spans="6:14">
      <c r="F11062" s="6">
        <f>IF($M11062="PADD I","PADD 1",IF($M11062="PADD II","PADD 2",IF($M11062="PADD III","PADD 3",IF($M11062="PADD IV","PADD 4",IF($M11062="PADD V","PADD 5","")))))</f>
        <v/>
      </c>
      <c r="G11062" s="6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  <c r="N11062" s="6">
        <f>IF(OR($G11062="FCC",$G11062="Hydrocracker",$G11062="Reformer"),IF(COUNTIFS($D:$D,$D11062,$A:$A,$A11062,$B:$B,$B11062,$G:$G,"CDU",$J:$J,"PLANNED")&gt;0,"tied","standalone"),"")</f>
        <v/>
      </c>
    </row>
    <row r="11063" spans="6:14">
      <c r="F11063" s="6">
        <f>IF($M11063="PADD I","PADD 1",IF($M11063="PADD II","PADD 2",IF($M11063="PADD III","PADD 3",IF($M11063="PADD IV","PADD 4",IF($M11063="PADD V","PADD 5","")))))</f>
        <v/>
      </c>
      <c r="G11063" s="6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  <c r="N11063" s="6">
        <f>IF(OR($G11063="FCC",$G11063="Hydrocracker",$G11063="Reformer"),IF(COUNTIFS($D:$D,$D11063,$A:$A,$A11063,$B:$B,$B11063,$G:$G,"CDU",$J:$J,"PLANNED")&gt;0,"tied","standalone"),"")</f>
        <v/>
      </c>
    </row>
    <row r="11064" spans="6:14">
      <c r="F11064" s="6">
        <f>IF($M11064="PADD I","PADD 1",IF($M11064="PADD II","PADD 2",IF($M11064="PADD III","PADD 3",IF($M11064="PADD IV","PADD 4",IF($M11064="PADD V","PADD 5","")))))</f>
        <v/>
      </c>
      <c r="G11064" s="6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  <c r="N11064" s="6">
        <f>IF(OR($G11064="FCC",$G11064="Hydrocracker",$G11064="Reformer"),IF(COUNTIFS($D:$D,$D11064,$A:$A,$A11064,$B:$B,$B11064,$G:$G,"CDU",$J:$J,"PLANNED")&gt;0,"tied","standalone"),"")</f>
        <v/>
      </c>
    </row>
    <row r="11065" spans="6:14">
      <c r="F11065" s="6">
        <f>IF($M11065="PADD I","PADD 1",IF($M11065="PADD II","PADD 2",IF($M11065="PADD III","PADD 3",IF($M11065="PADD IV","PADD 4",IF($M11065="PADD V","PADD 5","")))))</f>
        <v/>
      </c>
      <c r="G11065" s="6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  <c r="N11065" s="6">
        <f>IF(OR($G11065="FCC",$G11065="Hydrocracker",$G11065="Reformer"),IF(COUNTIFS($D:$D,$D11065,$A:$A,$A11065,$B:$B,$B11065,$G:$G,"CDU",$J:$J,"PLANNED")&gt;0,"tied","standalone"),"")</f>
        <v/>
      </c>
    </row>
    <row r="11066" spans="6:14">
      <c r="F11066" s="6">
        <f>IF($M11066="PADD I","PADD 1",IF($M11066="PADD II","PADD 2",IF($M11066="PADD III","PADD 3",IF($M11066="PADD IV","PADD 4",IF($M11066="PADD V","PADD 5","")))))</f>
        <v/>
      </c>
      <c r="G11066" s="6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  <c r="N11066" s="6">
        <f>IF(OR($G11066="FCC",$G11066="Hydrocracker",$G11066="Reformer"),IF(COUNTIFS($D:$D,$D11066,$A:$A,$A11066,$B:$B,$B11066,$G:$G,"CDU",$J:$J,"PLANNED")&gt;0,"tied","standalone"),"")</f>
        <v/>
      </c>
    </row>
    <row r="11067" spans="6:14">
      <c r="F11067" s="6">
        <f>IF($M11067="PADD I","PADD 1",IF($M11067="PADD II","PADD 2",IF($M11067="PADD III","PADD 3",IF($M11067="PADD IV","PADD 4",IF($M11067="PADD V","PADD 5","")))))</f>
        <v/>
      </c>
      <c r="G11067" s="6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  <c r="N11067" s="6">
        <f>IF(OR($G11067="FCC",$G11067="Hydrocracker",$G11067="Reformer"),IF(COUNTIFS($D:$D,$D11067,$A:$A,$A11067,$B:$B,$B11067,$G:$G,"CDU",$J:$J,"PLANNED")&gt;0,"tied","standalone"),"")</f>
        <v/>
      </c>
    </row>
    <row r="11068" spans="6:14">
      <c r="F11068" s="6">
        <f>IF($M11068="PADD I","PADD 1",IF($M11068="PADD II","PADD 2",IF($M11068="PADD III","PADD 3",IF($M11068="PADD IV","PADD 4",IF($M11068="PADD V","PADD 5","")))))</f>
        <v/>
      </c>
      <c r="G11068" s="6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  <c r="N11068" s="6">
        <f>IF(OR($G11068="FCC",$G11068="Hydrocracker",$G11068="Reformer"),IF(COUNTIFS($D:$D,$D11068,$A:$A,$A11068,$B:$B,$B11068,$G:$G,"CDU",$J:$J,"PLANNED")&gt;0,"tied","standalone"),"")</f>
        <v/>
      </c>
    </row>
    <row r="11069" spans="6:14">
      <c r="F11069" s="6">
        <f>IF($M11069="PADD I","PADD 1",IF($M11069="PADD II","PADD 2",IF($M11069="PADD III","PADD 3",IF($M11069="PADD IV","PADD 4",IF($M11069="PADD V","PADD 5","")))))</f>
        <v/>
      </c>
      <c r="G11069" s="6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  <c r="N11069" s="6">
        <f>IF(OR($G11069="FCC",$G11069="Hydrocracker",$G11069="Reformer"),IF(COUNTIFS($D:$D,$D11069,$A:$A,$A11069,$B:$B,$B11069,$G:$G,"CDU",$J:$J,"PLANNED")&gt;0,"tied","standalone"),"")</f>
        <v/>
      </c>
    </row>
    <row r="11070" spans="6:14">
      <c r="F11070" s="6">
        <f>IF($M11070="PADD I","PADD 1",IF($M11070="PADD II","PADD 2",IF($M11070="PADD III","PADD 3",IF($M11070="PADD IV","PADD 4",IF($M11070="PADD V","PADD 5","")))))</f>
        <v/>
      </c>
      <c r="G11070" s="6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  <c r="N11070" s="6">
        <f>IF(OR($G11070="FCC",$G11070="Hydrocracker",$G11070="Reformer"),IF(COUNTIFS($D:$D,$D11070,$A:$A,$A11070,$B:$B,$B11070,$G:$G,"CDU",$J:$J,"PLANNED")&gt;0,"tied","standalone"),"")</f>
        <v/>
      </c>
    </row>
    <row r="11071" spans="6:14">
      <c r="F11071" s="6">
        <f>IF($M11071="PADD I","PADD 1",IF($M11071="PADD II","PADD 2",IF($M11071="PADD III","PADD 3",IF($M11071="PADD IV","PADD 4",IF($M11071="PADD V","PADD 5","")))))</f>
        <v/>
      </c>
      <c r="G11071" s="6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  <c r="N11071" s="6">
        <f>IF(OR($G11071="FCC",$G11071="Hydrocracker",$G11071="Reformer"),IF(COUNTIFS($D:$D,$D11071,$A:$A,$A11071,$B:$B,$B11071,$G:$G,"CDU",$J:$J,"PLANNED")&gt;0,"tied","standalone"),"")</f>
        <v/>
      </c>
    </row>
    <row r="11072" spans="6:14">
      <c r="F11072" s="6">
        <f>IF($M11072="PADD I","PADD 1",IF($M11072="PADD II","PADD 2",IF($M11072="PADD III","PADD 3",IF($M11072="PADD IV","PADD 4",IF($M11072="PADD V","PADD 5","")))))</f>
        <v/>
      </c>
      <c r="G11072" s="6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  <c r="N11072" s="6">
        <f>IF(OR($G11072="FCC",$G11072="Hydrocracker",$G11072="Reformer"),IF(COUNTIFS($D:$D,$D11072,$A:$A,$A11072,$B:$B,$B11072,$G:$G,"CDU",$J:$J,"PLANNED")&gt;0,"tied","standalone"),"")</f>
        <v/>
      </c>
    </row>
    <row r="11073" spans="6:14">
      <c r="F11073" s="6">
        <f>IF($M11073="PADD I","PADD 1",IF($M11073="PADD II","PADD 2",IF($M11073="PADD III","PADD 3",IF($M11073="PADD IV","PADD 4",IF($M11073="PADD V","PADD 5","")))))</f>
        <v/>
      </c>
      <c r="G11073" s="6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  <c r="N11073" s="6">
        <f>IF(OR($G11073="FCC",$G11073="Hydrocracker",$G11073="Reformer"),IF(COUNTIFS($D:$D,$D11073,$A:$A,$A11073,$B:$B,$B11073,$G:$G,"CDU",$J:$J,"PLANNED")&gt;0,"tied","standalone"),"")</f>
        <v/>
      </c>
    </row>
    <row r="11074" spans="6:14">
      <c r="F11074" s="6">
        <f>IF($M11074="PADD I","PADD 1",IF($M11074="PADD II","PADD 2",IF($M11074="PADD III","PADD 3",IF($M11074="PADD IV","PADD 4",IF($M11074="PADD V","PADD 5","")))))</f>
        <v/>
      </c>
      <c r="G11074" s="6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  <c r="N11074" s="6">
        <f>IF(OR($G11074="FCC",$G11074="Hydrocracker",$G11074="Reformer"),IF(COUNTIFS($D:$D,$D11074,$A:$A,$A11074,$B:$B,$B11074,$G:$G,"CDU",$J:$J,"PLANNED")&gt;0,"tied","standalone"),"")</f>
        <v/>
      </c>
    </row>
    <row r="11075" spans="6:14">
      <c r="F11075" s="6">
        <f>IF($M11075="PADD I","PADD 1",IF($M11075="PADD II","PADD 2",IF($M11075="PADD III","PADD 3",IF($M11075="PADD IV","PADD 4",IF($M11075="PADD V","PADD 5","")))))</f>
        <v/>
      </c>
      <c r="G11075" s="6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  <c r="N11075" s="6">
        <f>IF(OR($G11075="FCC",$G11075="Hydrocracker",$G11075="Reformer"),IF(COUNTIFS($D:$D,$D11075,$A:$A,$A11075,$B:$B,$B11075,$G:$G,"CDU",$J:$J,"PLANNED")&gt;0,"tied","standalone"),"")</f>
        <v/>
      </c>
    </row>
    <row r="11076" spans="6:14">
      <c r="F11076" s="6">
        <f>IF($M11076="PADD I","PADD 1",IF($M11076="PADD II","PADD 2",IF($M11076="PADD III","PADD 3",IF($M11076="PADD IV","PADD 4",IF($M11076="PADD V","PADD 5","")))))</f>
        <v/>
      </c>
      <c r="G11076" s="6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  <c r="N11076" s="6">
        <f>IF(OR($G11076="FCC",$G11076="Hydrocracker",$G11076="Reformer"),IF(COUNTIFS($D:$D,$D11076,$A:$A,$A11076,$B:$B,$B11076,$G:$G,"CDU",$J:$J,"PLANNED")&gt;0,"tied","standalone"),"")</f>
        <v/>
      </c>
    </row>
    <row r="11077" spans="6:14">
      <c r="F11077" s="6">
        <f>IF($M11077="PADD I","PADD 1",IF($M11077="PADD II","PADD 2",IF($M11077="PADD III","PADD 3",IF($M11077="PADD IV","PADD 4",IF($M11077="PADD V","PADD 5","")))))</f>
        <v/>
      </c>
      <c r="G11077" s="6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  <c r="N11077" s="6">
        <f>IF(OR($G11077="FCC",$G11077="Hydrocracker",$G11077="Reformer"),IF(COUNTIFS($D:$D,$D11077,$A:$A,$A11077,$B:$B,$B11077,$G:$G,"CDU",$J:$J,"PLANNED")&gt;0,"tied","standalone"),"")</f>
        <v/>
      </c>
    </row>
    <row r="11078" spans="6:14">
      <c r="F11078" s="6">
        <f>IF($M11078="PADD I","PADD 1",IF($M11078="PADD II","PADD 2",IF($M11078="PADD III","PADD 3",IF($M11078="PADD IV","PADD 4",IF($M11078="PADD V","PADD 5","")))))</f>
        <v/>
      </c>
      <c r="G11078" s="6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  <c r="N11078" s="6">
        <f>IF(OR($G11078="FCC",$G11078="Hydrocracker",$G11078="Reformer"),IF(COUNTIFS($D:$D,$D11078,$A:$A,$A11078,$B:$B,$B11078,$G:$G,"CDU",$J:$J,"PLANNED")&gt;0,"tied","standalone"),"")</f>
        <v/>
      </c>
    </row>
    <row r="11079" spans="6:14">
      <c r="F11079" s="6">
        <f>IF($M11079="PADD I","PADD 1",IF($M11079="PADD II","PADD 2",IF($M11079="PADD III","PADD 3",IF($M11079="PADD IV","PADD 4",IF($M11079="PADD V","PADD 5","")))))</f>
        <v/>
      </c>
      <c r="G11079" s="6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  <c r="N11079" s="6">
        <f>IF(OR($G11079="FCC",$G11079="Hydrocracker",$G11079="Reformer"),IF(COUNTIFS($D:$D,$D11079,$A:$A,$A11079,$B:$B,$B11079,$G:$G,"CDU",$J:$J,"PLANNED")&gt;0,"tied","standalone"),"")</f>
        <v/>
      </c>
    </row>
    <row r="11080" spans="6:14">
      <c r="F11080" s="6">
        <f>IF($M11080="PADD I","PADD 1",IF($M11080="PADD II","PADD 2",IF($M11080="PADD III","PADD 3",IF($M11080="PADD IV","PADD 4",IF($M11080="PADD V","PADD 5","")))))</f>
        <v/>
      </c>
      <c r="G11080" s="6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  <c r="N11080" s="6">
        <f>IF(OR($G11080="FCC",$G11080="Hydrocracker",$G11080="Reformer"),IF(COUNTIFS($D:$D,$D11080,$A:$A,$A11080,$B:$B,$B11080,$G:$G,"CDU",$J:$J,"PLANNED")&gt;0,"tied","standalone"),"")</f>
        <v/>
      </c>
    </row>
    <row r="11081" spans="6:14">
      <c r="F11081" s="6">
        <f>IF($M11081="PADD I","PADD 1",IF($M11081="PADD II","PADD 2",IF($M11081="PADD III","PADD 3",IF($M11081="PADD IV","PADD 4",IF($M11081="PADD V","PADD 5","")))))</f>
        <v/>
      </c>
      <c r="G11081" s="6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  <c r="N11081" s="6">
        <f>IF(OR($G11081="FCC",$G11081="Hydrocracker",$G11081="Reformer"),IF(COUNTIFS($D:$D,$D11081,$A:$A,$A11081,$B:$B,$B11081,$G:$G,"CDU",$J:$J,"PLANNED")&gt;0,"tied","standalone"),"")</f>
        <v/>
      </c>
    </row>
    <row r="11082" spans="6:14">
      <c r="F11082" s="6">
        <f>IF($M11082="PADD I","PADD 1",IF($M11082="PADD II","PADD 2",IF($M11082="PADD III","PADD 3",IF($M11082="PADD IV","PADD 4",IF($M11082="PADD V","PADD 5","")))))</f>
        <v/>
      </c>
      <c r="G11082" s="6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  <c r="N11082" s="6">
        <f>IF(OR($G11082="FCC",$G11082="Hydrocracker",$G11082="Reformer"),IF(COUNTIFS($D:$D,$D11082,$A:$A,$A11082,$B:$B,$B11082,$G:$G,"CDU",$J:$J,"PLANNED")&gt;0,"tied","standalone"),"")</f>
        <v/>
      </c>
    </row>
    <row r="11083" spans="6:14">
      <c r="F11083" s="6">
        <f>IF($M11083="PADD I","PADD 1",IF($M11083="PADD II","PADD 2",IF($M11083="PADD III","PADD 3",IF($M11083="PADD IV","PADD 4",IF($M11083="PADD V","PADD 5","")))))</f>
        <v/>
      </c>
      <c r="G11083" s="6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  <c r="N11083" s="6">
        <f>IF(OR($G11083="FCC",$G11083="Hydrocracker",$G11083="Reformer"),IF(COUNTIFS($D:$D,$D11083,$A:$A,$A11083,$B:$B,$B11083,$G:$G,"CDU",$J:$J,"PLANNED")&gt;0,"tied","standalone"),"")</f>
        <v/>
      </c>
    </row>
    <row r="11084" spans="6:14">
      <c r="F11084" s="6">
        <f>IF($M11084="PADD I","PADD 1",IF($M11084="PADD II","PADD 2",IF($M11084="PADD III","PADD 3",IF($M11084="PADD IV","PADD 4",IF($M11084="PADD V","PADD 5","")))))</f>
        <v/>
      </c>
      <c r="G11084" s="6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  <c r="N11084" s="6">
        <f>IF(OR($G11084="FCC",$G11084="Hydrocracker",$G11084="Reformer"),IF(COUNTIFS($D:$D,$D11084,$A:$A,$A11084,$B:$B,$B11084,$G:$G,"CDU",$J:$J,"PLANNED")&gt;0,"tied","standalone"),"")</f>
        <v/>
      </c>
    </row>
    <row r="11085" spans="6:14">
      <c r="F11085" s="6">
        <f>IF($M11085="PADD I","PADD 1",IF($M11085="PADD II","PADD 2",IF($M11085="PADD III","PADD 3",IF($M11085="PADD IV","PADD 4",IF($M11085="PADD V","PADD 5","")))))</f>
        <v/>
      </c>
      <c r="G11085" s="6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  <c r="N11085" s="6">
        <f>IF(OR($G11085="FCC",$G11085="Hydrocracker",$G11085="Reformer"),IF(COUNTIFS($D:$D,$D11085,$A:$A,$A11085,$B:$B,$B11085,$G:$G,"CDU",$J:$J,"PLANNED")&gt;0,"tied","standalone"),"")</f>
        <v/>
      </c>
    </row>
    <row r="11086" spans="6:14">
      <c r="F11086" s="6">
        <f>IF($M11086="PADD I","PADD 1",IF($M11086="PADD II","PADD 2",IF($M11086="PADD III","PADD 3",IF($M11086="PADD IV","PADD 4",IF($M11086="PADD V","PADD 5","")))))</f>
        <v/>
      </c>
      <c r="G11086" s="6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  <c r="N11086" s="6">
        <f>IF(OR($G11086="FCC",$G11086="Hydrocracker",$G11086="Reformer"),IF(COUNTIFS($D:$D,$D11086,$A:$A,$A11086,$B:$B,$B11086,$G:$G,"CDU",$J:$J,"PLANNED")&gt;0,"tied","standalone"),"")</f>
        <v/>
      </c>
    </row>
    <row r="11087" spans="6:14">
      <c r="F11087" s="6">
        <f>IF($M11087="PADD I","PADD 1",IF($M11087="PADD II","PADD 2",IF($M11087="PADD III","PADD 3",IF($M11087="PADD IV","PADD 4",IF($M11087="PADD V","PADD 5","")))))</f>
        <v/>
      </c>
      <c r="G11087" s="6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  <c r="N11087" s="6">
        <f>IF(OR($G11087="FCC",$G11087="Hydrocracker",$G11087="Reformer"),IF(COUNTIFS($D:$D,$D11087,$A:$A,$A11087,$B:$B,$B11087,$G:$G,"CDU",$J:$J,"PLANNED")&gt;0,"tied","standalone"),"")</f>
        <v/>
      </c>
    </row>
    <row r="11088" spans="6:14">
      <c r="F11088" s="6">
        <f>IF($M11088="PADD I","PADD 1",IF($M11088="PADD II","PADD 2",IF($M11088="PADD III","PADD 3",IF($M11088="PADD IV","PADD 4",IF($M11088="PADD V","PADD 5","")))))</f>
        <v/>
      </c>
      <c r="G11088" s="6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  <c r="N11088" s="6">
        <f>IF(OR($G11088="FCC",$G11088="Hydrocracker",$G11088="Reformer"),IF(COUNTIFS($D:$D,$D11088,$A:$A,$A11088,$B:$B,$B11088,$G:$G,"CDU",$J:$J,"PLANNED")&gt;0,"tied","standalone"),"")</f>
        <v/>
      </c>
    </row>
    <row r="11089" spans="6:14">
      <c r="F11089" s="6">
        <f>IF($M11089="PADD I","PADD 1",IF($M11089="PADD II","PADD 2",IF($M11089="PADD III","PADD 3",IF($M11089="PADD IV","PADD 4",IF($M11089="PADD V","PADD 5","")))))</f>
        <v/>
      </c>
      <c r="G11089" s="6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  <c r="N11089" s="6">
        <f>IF(OR($G11089="FCC",$G11089="Hydrocracker",$G11089="Reformer"),IF(COUNTIFS($D:$D,$D11089,$A:$A,$A11089,$B:$B,$B11089,$G:$G,"CDU",$J:$J,"PLANNED")&gt;0,"tied","standalone"),"")</f>
        <v/>
      </c>
    </row>
    <row r="11090" spans="6:14">
      <c r="F11090" s="6">
        <f>IF($M11090="PADD I","PADD 1",IF($M11090="PADD II","PADD 2",IF($M11090="PADD III","PADD 3",IF($M11090="PADD IV","PADD 4",IF($M11090="PADD V","PADD 5","")))))</f>
        <v/>
      </c>
      <c r="G11090" s="6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  <c r="N11090" s="6">
        <f>IF(OR($G11090="FCC",$G11090="Hydrocracker",$G11090="Reformer"),IF(COUNTIFS($D:$D,$D11090,$A:$A,$A11090,$B:$B,$B11090,$G:$G,"CDU",$J:$J,"PLANNED")&gt;0,"tied","standalone"),"")</f>
        <v/>
      </c>
    </row>
    <row r="11091" spans="6:14">
      <c r="F11091" s="6">
        <f>IF($M11091="PADD I","PADD 1",IF($M11091="PADD II","PADD 2",IF($M11091="PADD III","PADD 3",IF($M11091="PADD IV","PADD 4",IF($M11091="PADD V","PADD 5","")))))</f>
        <v/>
      </c>
      <c r="G11091" s="6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  <c r="N11091" s="6">
        <f>IF(OR($G11091="FCC",$G11091="Hydrocracker",$G11091="Reformer"),IF(COUNTIFS($D:$D,$D11091,$A:$A,$A11091,$B:$B,$B11091,$G:$G,"CDU",$J:$J,"PLANNED")&gt;0,"tied","standalone"),"")</f>
        <v/>
      </c>
    </row>
    <row r="11092" spans="6:14">
      <c r="F11092" s="6">
        <f>IF($M11092="PADD I","PADD 1",IF($M11092="PADD II","PADD 2",IF($M11092="PADD III","PADD 3",IF($M11092="PADD IV","PADD 4",IF($M11092="PADD V","PADD 5","")))))</f>
        <v/>
      </c>
      <c r="G11092" s="6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  <c r="N11092" s="6">
        <f>IF(OR($G11092="FCC",$G11092="Hydrocracker",$G11092="Reformer"),IF(COUNTIFS($D:$D,$D11092,$A:$A,$A11092,$B:$B,$B11092,$G:$G,"CDU",$J:$J,"PLANNED")&gt;0,"tied","standalone"),"")</f>
        <v/>
      </c>
    </row>
    <row r="11093" spans="6:14">
      <c r="F11093" s="6">
        <f>IF($M11093="PADD I","PADD 1",IF($M11093="PADD II","PADD 2",IF($M11093="PADD III","PADD 3",IF($M11093="PADD IV","PADD 4",IF($M11093="PADD V","PADD 5","")))))</f>
        <v/>
      </c>
      <c r="G11093" s="6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  <c r="N11093" s="6">
        <f>IF(OR($G11093="FCC",$G11093="Hydrocracker",$G11093="Reformer"),IF(COUNTIFS($D:$D,$D11093,$A:$A,$A11093,$B:$B,$B11093,$G:$G,"CDU",$J:$J,"PLANNED")&gt;0,"tied","standalone"),"")</f>
        <v/>
      </c>
    </row>
    <row r="11094" spans="6:14">
      <c r="F11094" s="6">
        <f>IF($M11094="PADD I","PADD 1",IF($M11094="PADD II","PADD 2",IF($M11094="PADD III","PADD 3",IF($M11094="PADD IV","PADD 4",IF($M11094="PADD V","PADD 5","")))))</f>
        <v/>
      </c>
      <c r="G11094" s="6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  <c r="N11094" s="6">
        <f>IF(OR($G11094="FCC",$G11094="Hydrocracker",$G11094="Reformer"),IF(COUNTIFS($D:$D,$D11094,$A:$A,$A11094,$B:$B,$B11094,$G:$G,"CDU",$J:$J,"PLANNED")&gt;0,"tied","standalone"),"")</f>
        <v/>
      </c>
    </row>
    <row r="11095" spans="6:14">
      <c r="F11095" s="6">
        <f>IF($M11095="PADD I","PADD 1",IF($M11095="PADD II","PADD 2",IF($M11095="PADD III","PADD 3",IF($M11095="PADD IV","PADD 4",IF($M11095="PADD V","PADD 5","")))))</f>
        <v/>
      </c>
      <c r="G11095" s="6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  <c r="N11095" s="6">
        <f>IF(OR($G11095="FCC",$G11095="Hydrocracker",$G11095="Reformer"),IF(COUNTIFS($D:$D,$D11095,$A:$A,$A11095,$B:$B,$B11095,$G:$G,"CDU",$J:$J,"PLANNED")&gt;0,"tied","standalone"),"")</f>
        <v/>
      </c>
    </row>
    <row r="11096" spans="6:14">
      <c r="F11096" s="6">
        <f>IF($M11096="PADD I","PADD 1",IF($M11096="PADD II","PADD 2",IF($M11096="PADD III","PADD 3",IF($M11096="PADD IV","PADD 4",IF($M11096="PADD V","PADD 5","")))))</f>
        <v/>
      </c>
      <c r="G11096" s="6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  <c r="N11096" s="6">
        <f>IF(OR($G11096="FCC",$G11096="Hydrocracker",$G11096="Reformer"),IF(COUNTIFS($D:$D,$D11096,$A:$A,$A11096,$B:$B,$B11096,$G:$G,"CDU",$J:$J,"PLANNED")&gt;0,"tied","standalone"),"")</f>
        <v/>
      </c>
    </row>
    <row r="11097" spans="6:14">
      <c r="F11097" s="6">
        <f>IF($M11097="PADD I","PADD 1",IF($M11097="PADD II","PADD 2",IF($M11097="PADD III","PADD 3",IF($M11097="PADD IV","PADD 4",IF($M11097="PADD V","PADD 5","")))))</f>
        <v/>
      </c>
      <c r="G11097" s="6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  <c r="N11097" s="6">
        <f>IF(OR($G11097="FCC",$G11097="Hydrocracker",$G11097="Reformer"),IF(COUNTIFS($D:$D,$D11097,$A:$A,$A11097,$B:$B,$B11097,$G:$G,"CDU",$J:$J,"PLANNED")&gt;0,"tied","standalone"),"")</f>
        <v/>
      </c>
    </row>
    <row r="11098" spans="6:14">
      <c r="F11098" s="6">
        <f>IF($M11098="PADD I","PADD 1",IF($M11098="PADD II","PADD 2",IF($M11098="PADD III","PADD 3",IF($M11098="PADD IV","PADD 4",IF($M11098="PADD V","PADD 5","")))))</f>
        <v/>
      </c>
      <c r="G11098" s="6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  <c r="N11098" s="6">
        <f>IF(OR($G11098="FCC",$G11098="Hydrocracker",$G11098="Reformer"),IF(COUNTIFS($D:$D,$D11098,$A:$A,$A11098,$B:$B,$B11098,$G:$G,"CDU",$J:$J,"PLANNED")&gt;0,"tied","standalone"),"")</f>
        <v/>
      </c>
    </row>
    <row r="11099" spans="6:14">
      <c r="F11099" s="6">
        <f>IF($M11099="PADD I","PADD 1",IF($M11099="PADD II","PADD 2",IF($M11099="PADD III","PADD 3",IF($M11099="PADD IV","PADD 4",IF($M11099="PADD V","PADD 5","")))))</f>
        <v/>
      </c>
      <c r="G11099" s="6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  <c r="N11099" s="6">
        <f>IF(OR($G11099="FCC",$G11099="Hydrocracker",$G11099="Reformer"),IF(COUNTIFS($D:$D,$D11099,$A:$A,$A11099,$B:$B,$B11099,$G:$G,"CDU",$J:$J,"PLANNED")&gt;0,"tied","standalone"),"")</f>
        <v/>
      </c>
    </row>
    <row r="11100" spans="6:14">
      <c r="F11100" s="6">
        <f>IF($M11100="PADD I","PADD 1",IF($M11100="PADD II","PADD 2",IF($M11100="PADD III","PADD 3",IF($M11100="PADD IV","PADD 4",IF($M11100="PADD V","PADD 5","")))))</f>
        <v/>
      </c>
      <c r="G11100" s="6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  <c r="N11100" s="6">
        <f>IF(OR($G11100="FCC",$G11100="Hydrocracker",$G11100="Reformer"),IF(COUNTIFS($D:$D,$D11100,$A:$A,$A11100,$B:$B,$B11100,$G:$G,"CDU",$J:$J,"PLANNED")&gt;0,"tied","standalone"),"")</f>
        <v/>
      </c>
    </row>
    <row r="11101" spans="6:14">
      <c r="F11101" s="6">
        <f>IF($M11101="PADD I","PADD 1",IF($M11101="PADD II","PADD 2",IF($M11101="PADD III","PADD 3",IF($M11101="PADD IV","PADD 4",IF($M11101="PADD V","PADD 5","")))))</f>
        <v/>
      </c>
      <c r="G11101" s="6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  <c r="N11101" s="6">
        <f>IF(OR($G11101="FCC",$G11101="Hydrocracker",$G11101="Reformer"),IF(COUNTIFS($D:$D,$D11101,$A:$A,$A11101,$B:$B,$B11101,$G:$G,"CDU",$J:$J,"PLANNED")&gt;0,"tied","standalone"),"")</f>
        <v/>
      </c>
    </row>
    <row r="11102" spans="6:14">
      <c r="F11102" s="6">
        <f>IF($M11102="PADD I","PADD 1",IF($M11102="PADD II","PADD 2",IF($M11102="PADD III","PADD 3",IF($M11102="PADD IV","PADD 4",IF($M11102="PADD V","PADD 5","")))))</f>
        <v/>
      </c>
      <c r="G11102" s="6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  <c r="N11102" s="6">
        <f>IF(OR($G11102="FCC",$G11102="Hydrocracker",$G11102="Reformer"),IF(COUNTIFS($D:$D,$D11102,$A:$A,$A11102,$B:$B,$B11102,$G:$G,"CDU",$J:$J,"PLANNED")&gt;0,"tied","standalone"),"")</f>
        <v/>
      </c>
    </row>
    <row r="11103" spans="6:14">
      <c r="F11103" s="6">
        <f>IF($M11103="PADD I","PADD 1",IF($M11103="PADD II","PADD 2",IF($M11103="PADD III","PADD 3",IF($M11103="PADD IV","PADD 4",IF($M11103="PADD V","PADD 5","")))))</f>
        <v/>
      </c>
      <c r="G11103" s="6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  <c r="N11103" s="6">
        <f>IF(OR($G11103="FCC",$G11103="Hydrocracker",$G11103="Reformer"),IF(COUNTIFS($D:$D,$D11103,$A:$A,$A11103,$B:$B,$B11103,$G:$G,"CDU",$J:$J,"PLANNED")&gt;0,"tied","standalone"),"")</f>
        <v/>
      </c>
    </row>
    <row r="11104" spans="6:14">
      <c r="F11104" s="6">
        <f>IF($M11104="PADD I","PADD 1",IF($M11104="PADD II","PADD 2",IF($M11104="PADD III","PADD 3",IF($M11104="PADD IV","PADD 4",IF($M11104="PADD V","PADD 5","")))))</f>
        <v/>
      </c>
      <c r="G11104" s="6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  <c r="N11104" s="6">
        <f>IF(OR($G11104="FCC",$G11104="Hydrocracker",$G11104="Reformer"),IF(COUNTIFS($D:$D,$D11104,$A:$A,$A11104,$B:$B,$B11104,$G:$G,"CDU",$J:$J,"PLANNED")&gt;0,"tied","standalone"),"")</f>
        <v/>
      </c>
    </row>
    <row r="11105" spans="6:14">
      <c r="F11105" s="6">
        <f>IF($M11105="PADD I","PADD 1",IF($M11105="PADD II","PADD 2",IF($M11105="PADD III","PADD 3",IF($M11105="PADD IV","PADD 4",IF($M11105="PADD V","PADD 5","")))))</f>
        <v/>
      </c>
      <c r="G11105" s="6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  <c r="N11105" s="6">
        <f>IF(OR($G11105="FCC",$G11105="Hydrocracker",$G11105="Reformer"),IF(COUNTIFS($D:$D,$D11105,$A:$A,$A11105,$B:$B,$B11105,$G:$G,"CDU",$J:$J,"PLANNED")&gt;0,"tied","standalone"),"")</f>
        <v/>
      </c>
    </row>
    <row r="11106" spans="6:14">
      <c r="F11106" s="6">
        <f>IF($M11106="PADD I","PADD 1",IF($M11106="PADD II","PADD 2",IF($M11106="PADD III","PADD 3",IF($M11106="PADD IV","PADD 4",IF($M11106="PADD V","PADD 5","")))))</f>
        <v/>
      </c>
      <c r="G11106" s="6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  <c r="N11106" s="6">
        <f>IF(OR($G11106="FCC",$G11106="Hydrocracker",$G11106="Reformer"),IF(COUNTIFS($D:$D,$D11106,$A:$A,$A11106,$B:$B,$B11106,$G:$G,"CDU",$J:$J,"PLANNED")&gt;0,"tied","standalone"),"")</f>
        <v/>
      </c>
    </row>
    <row r="11107" spans="6:14">
      <c r="F11107" s="6">
        <f>IF($M11107="PADD I","PADD 1",IF($M11107="PADD II","PADD 2",IF($M11107="PADD III","PADD 3",IF($M11107="PADD IV","PADD 4",IF($M11107="PADD V","PADD 5","")))))</f>
        <v/>
      </c>
      <c r="G11107" s="6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  <c r="N11107" s="6">
        <f>IF(OR($G11107="FCC",$G11107="Hydrocracker",$G11107="Reformer"),IF(COUNTIFS($D:$D,$D11107,$A:$A,$A11107,$B:$B,$B11107,$G:$G,"CDU",$J:$J,"PLANNED")&gt;0,"tied","standalone"),"")</f>
        <v/>
      </c>
    </row>
    <row r="11108" spans="6:14">
      <c r="F11108" s="6">
        <f>IF($M11108="PADD I","PADD 1",IF($M11108="PADD II","PADD 2",IF($M11108="PADD III","PADD 3",IF($M11108="PADD IV","PADD 4",IF($M11108="PADD V","PADD 5","")))))</f>
        <v/>
      </c>
      <c r="G11108" s="6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  <c r="N11108" s="6">
        <f>IF(OR($G11108="FCC",$G11108="Hydrocracker",$G11108="Reformer"),IF(COUNTIFS($D:$D,$D11108,$A:$A,$A11108,$B:$B,$B11108,$G:$G,"CDU",$J:$J,"PLANNED")&gt;0,"tied","standalone"),"")</f>
        <v/>
      </c>
    </row>
    <row r="11109" spans="6:14">
      <c r="F11109" s="6">
        <f>IF($M11109="PADD I","PADD 1",IF($M11109="PADD II","PADD 2",IF($M11109="PADD III","PADD 3",IF($M11109="PADD IV","PADD 4",IF($M11109="PADD V","PADD 5","")))))</f>
        <v/>
      </c>
      <c r="G11109" s="6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  <c r="N11109" s="6">
        <f>IF(OR($G11109="FCC",$G11109="Hydrocracker",$G11109="Reformer"),IF(COUNTIFS($D:$D,$D11109,$A:$A,$A11109,$B:$B,$B11109,$G:$G,"CDU",$J:$J,"PLANNED")&gt;0,"tied","standalone"),"")</f>
        <v/>
      </c>
    </row>
    <row r="11110" spans="6:14">
      <c r="F11110" s="6">
        <f>IF($M11110="PADD I","PADD 1",IF($M11110="PADD II","PADD 2",IF($M11110="PADD III","PADD 3",IF($M11110="PADD IV","PADD 4",IF($M11110="PADD V","PADD 5","")))))</f>
        <v/>
      </c>
      <c r="G11110" s="6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  <c r="N11110" s="6">
        <f>IF(OR($G11110="FCC",$G11110="Hydrocracker",$G11110="Reformer"),IF(COUNTIFS($D:$D,$D11110,$A:$A,$A11110,$B:$B,$B11110,$G:$G,"CDU",$J:$J,"PLANNED")&gt;0,"tied","standalone"),"")</f>
        <v/>
      </c>
    </row>
    <row r="11111" spans="6:14">
      <c r="F11111" s="6">
        <f>IF($M11111="PADD I","PADD 1",IF($M11111="PADD II","PADD 2",IF($M11111="PADD III","PADD 3",IF($M11111="PADD IV","PADD 4",IF($M11111="PADD V","PADD 5","")))))</f>
        <v/>
      </c>
      <c r="G11111" s="6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  <c r="N11111" s="6">
        <f>IF(OR($G11111="FCC",$G11111="Hydrocracker",$G11111="Reformer"),IF(COUNTIFS($D:$D,$D11111,$A:$A,$A11111,$B:$B,$B11111,$G:$G,"CDU",$J:$J,"PLANNED")&gt;0,"tied","standalone"),"")</f>
        <v/>
      </c>
    </row>
    <row r="11112" spans="6:14">
      <c r="F11112" s="6">
        <f>IF($M11112="PADD I","PADD 1",IF($M11112="PADD II","PADD 2",IF($M11112="PADD III","PADD 3",IF($M11112="PADD IV","PADD 4",IF($M11112="PADD V","PADD 5","")))))</f>
        <v/>
      </c>
      <c r="G11112" s="6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  <c r="N11112" s="6">
        <f>IF(OR($G11112="FCC",$G11112="Hydrocracker",$G11112="Reformer"),IF(COUNTIFS($D:$D,$D11112,$A:$A,$A11112,$B:$B,$B11112,$G:$G,"CDU",$J:$J,"PLANNED")&gt;0,"tied","standalone"),"")</f>
        <v/>
      </c>
    </row>
    <row r="11113" spans="6:14">
      <c r="F11113" s="6">
        <f>IF($M11113="PADD I","PADD 1",IF($M11113="PADD II","PADD 2",IF($M11113="PADD III","PADD 3",IF($M11113="PADD IV","PADD 4",IF($M11113="PADD V","PADD 5","")))))</f>
        <v/>
      </c>
      <c r="G11113" s="6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  <c r="N11113" s="6">
        <f>IF(OR($G11113="FCC",$G11113="Hydrocracker",$G11113="Reformer"),IF(COUNTIFS($D:$D,$D11113,$A:$A,$A11113,$B:$B,$B11113,$G:$G,"CDU",$J:$J,"PLANNED")&gt;0,"tied","standalone"),"")</f>
        <v/>
      </c>
    </row>
    <row r="11114" spans="6:14">
      <c r="F11114" s="6">
        <f>IF($M11114="PADD I","PADD 1",IF($M11114="PADD II","PADD 2",IF($M11114="PADD III","PADD 3",IF($M11114="PADD IV","PADD 4",IF($M11114="PADD V","PADD 5","")))))</f>
        <v/>
      </c>
      <c r="G11114" s="6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  <c r="N11114" s="6">
        <f>IF(OR($G11114="FCC",$G11114="Hydrocracker",$G11114="Reformer"),IF(COUNTIFS($D:$D,$D11114,$A:$A,$A11114,$B:$B,$B11114,$G:$G,"CDU",$J:$J,"PLANNED")&gt;0,"tied","standalone"),"")</f>
        <v/>
      </c>
    </row>
    <row r="11115" spans="6:14">
      <c r="F11115" s="6">
        <f>IF($M11115="PADD I","PADD 1",IF($M11115="PADD II","PADD 2",IF($M11115="PADD III","PADD 3",IF($M11115="PADD IV","PADD 4",IF($M11115="PADD V","PADD 5","")))))</f>
        <v/>
      </c>
      <c r="G11115" s="6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  <c r="N11115" s="6">
        <f>IF(OR($G11115="FCC",$G11115="Hydrocracker",$G11115="Reformer"),IF(COUNTIFS($D:$D,$D11115,$A:$A,$A11115,$B:$B,$B11115,$G:$G,"CDU",$J:$J,"PLANNED")&gt;0,"tied","standalone"),"")</f>
        <v/>
      </c>
    </row>
    <row r="11116" spans="6:14">
      <c r="F11116" s="6">
        <f>IF($M11116="PADD I","PADD 1",IF($M11116="PADD II","PADD 2",IF($M11116="PADD III","PADD 3",IF($M11116="PADD IV","PADD 4",IF($M11116="PADD V","PADD 5","")))))</f>
        <v/>
      </c>
      <c r="G11116" s="6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  <c r="N11116" s="6">
        <f>IF(OR($G11116="FCC",$G11116="Hydrocracker",$G11116="Reformer"),IF(COUNTIFS($D:$D,$D11116,$A:$A,$A11116,$B:$B,$B11116,$G:$G,"CDU",$J:$J,"PLANNED")&gt;0,"tied","standalone"),"")</f>
        <v/>
      </c>
    </row>
    <row r="11117" spans="6:14">
      <c r="F11117" s="6">
        <f>IF($M11117="PADD I","PADD 1",IF($M11117="PADD II","PADD 2",IF($M11117="PADD III","PADD 3",IF($M11117="PADD IV","PADD 4",IF($M11117="PADD V","PADD 5","")))))</f>
        <v/>
      </c>
      <c r="G11117" s="6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  <c r="N11117" s="6">
        <f>IF(OR($G11117="FCC",$G11117="Hydrocracker",$G11117="Reformer"),IF(COUNTIFS($D:$D,$D11117,$A:$A,$A11117,$B:$B,$B11117,$G:$G,"CDU",$J:$J,"PLANNED")&gt;0,"tied","standalone"),"")</f>
        <v/>
      </c>
    </row>
    <row r="11118" spans="6:14">
      <c r="F11118" s="6">
        <f>IF($M11118="PADD I","PADD 1",IF($M11118="PADD II","PADD 2",IF($M11118="PADD III","PADD 3",IF($M11118="PADD IV","PADD 4",IF($M11118="PADD V","PADD 5","")))))</f>
        <v/>
      </c>
      <c r="G11118" s="6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  <c r="N11118" s="6">
        <f>IF(OR($G11118="FCC",$G11118="Hydrocracker",$G11118="Reformer"),IF(COUNTIFS($D:$D,$D11118,$A:$A,$A11118,$B:$B,$B11118,$G:$G,"CDU",$J:$J,"PLANNED")&gt;0,"tied","standalone"),"")</f>
        <v/>
      </c>
    </row>
    <row r="11119" spans="6:14">
      <c r="F11119" s="6">
        <f>IF($M11119="PADD I","PADD 1",IF($M11119="PADD II","PADD 2",IF($M11119="PADD III","PADD 3",IF($M11119="PADD IV","PADD 4",IF($M11119="PADD V","PADD 5","")))))</f>
        <v/>
      </c>
      <c r="G11119" s="6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  <c r="N11119" s="6">
        <f>IF(OR($G11119="FCC",$G11119="Hydrocracker",$G11119="Reformer"),IF(COUNTIFS($D:$D,$D11119,$A:$A,$A11119,$B:$B,$B11119,$G:$G,"CDU",$J:$J,"PLANNED")&gt;0,"tied","standalone"),"")</f>
        <v/>
      </c>
    </row>
    <row r="11120" spans="6:14">
      <c r="F11120" s="6">
        <f>IF($M11120="PADD I","PADD 1",IF($M11120="PADD II","PADD 2",IF($M11120="PADD III","PADD 3",IF($M11120="PADD IV","PADD 4",IF($M11120="PADD V","PADD 5","")))))</f>
        <v/>
      </c>
      <c r="G11120" s="6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  <c r="N11120" s="6">
        <f>IF(OR($G11120="FCC",$G11120="Hydrocracker",$G11120="Reformer"),IF(COUNTIFS($D:$D,$D11120,$A:$A,$A11120,$B:$B,$B11120,$G:$G,"CDU",$J:$J,"PLANNED")&gt;0,"tied","standalone"),"")</f>
        <v/>
      </c>
    </row>
    <row r="11121" spans="6:14">
      <c r="F11121" s="6">
        <f>IF($M11121="PADD I","PADD 1",IF($M11121="PADD II","PADD 2",IF($M11121="PADD III","PADD 3",IF($M11121="PADD IV","PADD 4",IF($M11121="PADD V","PADD 5","")))))</f>
        <v/>
      </c>
      <c r="G11121" s="6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  <c r="N11121" s="6">
        <f>IF(OR($G11121="FCC",$G11121="Hydrocracker",$G11121="Reformer"),IF(COUNTIFS($D:$D,$D11121,$A:$A,$A11121,$B:$B,$B11121,$G:$G,"CDU",$J:$J,"PLANNED")&gt;0,"tied","standalone"),"")</f>
        <v/>
      </c>
    </row>
    <row r="11122" spans="6:14">
      <c r="F11122" s="6">
        <f>IF($M11122="PADD I","PADD 1",IF($M11122="PADD II","PADD 2",IF($M11122="PADD III","PADD 3",IF($M11122="PADD IV","PADD 4",IF($M11122="PADD V","PADD 5","")))))</f>
        <v/>
      </c>
      <c r="G11122" s="6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  <c r="N11122" s="6">
        <f>IF(OR($G11122="FCC",$G11122="Hydrocracker",$G11122="Reformer"),IF(COUNTIFS($D:$D,$D11122,$A:$A,$A11122,$B:$B,$B11122,$G:$G,"CDU",$J:$J,"PLANNED")&gt;0,"tied","standalone"),"")</f>
        <v/>
      </c>
    </row>
    <row r="11123" spans="6:14">
      <c r="F11123" s="6">
        <f>IF($M11123="PADD I","PADD 1",IF($M11123="PADD II","PADD 2",IF($M11123="PADD III","PADD 3",IF($M11123="PADD IV","PADD 4",IF($M11123="PADD V","PADD 5","")))))</f>
        <v/>
      </c>
      <c r="G11123" s="6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  <c r="N11123" s="6">
        <f>IF(OR($G11123="FCC",$G11123="Hydrocracker",$G11123="Reformer"),IF(COUNTIFS($D:$D,$D11123,$A:$A,$A11123,$B:$B,$B11123,$G:$G,"CDU",$J:$J,"PLANNED")&gt;0,"tied","standalone"),"")</f>
        <v/>
      </c>
    </row>
    <row r="11124" spans="6:14">
      <c r="F11124" s="6">
        <f>IF($M11124="PADD I","PADD 1",IF($M11124="PADD II","PADD 2",IF($M11124="PADD III","PADD 3",IF($M11124="PADD IV","PADD 4",IF($M11124="PADD V","PADD 5","")))))</f>
        <v/>
      </c>
      <c r="G11124" s="6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  <c r="N11124" s="6">
        <f>IF(OR($G11124="FCC",$G11124="Hydrocracker",$G11124="Reformer"),IF(COUNTIFS($D:$D,$D11124,$A:$A,$A11124,$B:$B,$B11124,$G:$G,"CDU",$J:$J,"PLANNED")&gt;0,"tied","standalone"),"")</f>
        <v/>
      </c>
    </row>
    <row r="11125" spans="6:14">
      <c r="F11125" s="6">
        <f>IF($M11125="PADD I","PADD 1",IF($M11125="PADD II","PADD 2",IF($M11125="PADD III","PADD 3",IF($M11125="PADD IV","PADD 4",IF($M11125="PADD V","PADD 5","")))))</f>
        <v/>
      </c>
      <c r="G11125" s="6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  <c r="N11125" s="6">
        <f>IF(OR($G11125="FCC",$G11125="Hydrocracker",$G11125="Reformer"),IF(COUNTIFS($D:$D,$D11125,$A:$A,$A11125,$B:$B,$B11125,$G:$G,"CDU",$J:$J,"PLANNED")&gt;0,"tied","standalone"),"")</f>
        <v/>
      </c>
    </row>
    <row r="11126" spans="6:14">
      <c r="F11126" s="6">
        <f>IF($M11126="PADD I","PADD 1",IF($M11126="PADD II","PADD 2",IF($M11126="PADD III","PADD 3",IF($M11126="PADD IV","PADD 4",IF($M11126="PADD V","PADD 5","")))))</f>
        <v/>
      </c>
      <c r="G11126" s="6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  <c r="N11126" s="6">
        <f>IF(OR($G11126="FCC",$G11126="Hydrocracker",$G11126="Reformer"),IF(COUNTIFS($D:$D,$D11126,$A:$A,$A11126,$B:$B,$B11126,$G:$G,"CDU",$J:$J,"PLANNED")&gt;0,"tied","standalone"),"")</f>
        <v/>
      </c>
    </row>
    <row r="11127" spans="6:14">
      <c r="F11127" s="6">
        <f>IF($M11127="PADD I","PADD 1",IF($M11127="PADD II","PADD 2",IF($M11127="PADD III","PADD 3",IF($M11127="PADD IV","PADD 4",IF($M11127="PADD V","PADD 5","")))))</f>
        <v/>
      </c>
      <c r="G11127" s="6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  <c r="N11127" s="6">
        <f>IF(OR($G11127="FCC",$G11127="Hydrocracker",$G11127="Reformer"),IF(COUNTIFS($D:$D,$D11127,$A:$A,$A11127,$B:$B,$B11127,$G:$G,"CDU",$J:$J,"PLANNED")&gt;0,"tied","standalone"),"")</f>
        <v/>
      </c>
    </row>
    <row r="11128" spans="6:14">
      <c r="F11128" s="6">
        <f>IF($M11128="PADD I","PADD 1",IF($M11128="PADD II","PADD 2",IF($M11128="PADD III","PADD 3",IF($M11128="PADD IV","PADD 4",IF($M11128="PADD V","PADD 5","")))))</f>
        <v/>
      </c>
      <c r="G11128" s="6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  <c r="N11128" s="6">
        <f>IF(OR($G11128="FCC",$G11128="Hydrocracker",$G11128="Reformer"),IF(COUNTIFS($D:$D,$D11128,$A:$A,$A11128,$B:$B,$B11128,$G:$G,"CDU",$J:$J,"PLANNED")&gt;0,"tied","standalone"),"")</f>
        <v/>
      </c>
    </row>
    <row r="11129" spans="6:14">
      <c r="F11129" s="6">
        <f>IF($M11129="PADD I","PADD 1",IF($M11129="PADD II","PADD 2",IF($M11129="PADD III","PADD 3",IF($M11129="PADD IV","PADD 4",IF($M11129="PADD V","PADD 5","")))))</f>
        <v/>
      </c>
      <c r="G11129" s="6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  <c r="N11129" s="6">
        <f>IF(OR($G11129="FCC",$G11129="Hydrocracker",$G11129="Reformer"),IF(COUNTIFS($D:$D,$D11129,$A:$A,$A11129,$B:$B,$B11129,$G:$G,"CDU",$J:$J,"PLANNED")&gt;0,"tied","standalone"),"")</f>
        <v/>
      </c>
    </row>
    <row r="11130" spans="6:14">
      <c r="F11130" s="6">
        <f>IF($M11130="PADD I","PADD 1",IF($M11130="PADD II","PADD 2",IF($M11130="PADD III","PADD 3",IF($M11130="PADD IV","PADD 4",IF($M11130="PADD V","PADD 5","")))))</f>
        <v/>
      </c>
      <c r="G11130" s="6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  <c r="N11130" s="6">
        <f>IF(OR($G11130="FCC",$G11130="Hydrocracker",$G11130="Reformer"),IF(COUNTIFS($D:$D,$D11130,$A:$A,$A11130,$B:$B,$B11130,$G:$G,"CDU",$J:$J,"PLANNED")&gt;0,"tied","standalone"),"")</f>
        <v/>
      </c>
    </row>
    <row r="11131" spans="6:14">
      <c r="F11131" s="6">
        <f>IF($M11131="PADD I","PADD 1",IF($M11131="PADD II","PADD 2",IF($M11131="PADD III","PADD 3",IF($M11131="PADD IV","PADD 4",IF($M11131="PADD V","PADD 5","")))))</f>
        <v/>
      </c>
      <c r="G11131" s="6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  <c r="N11131" s="6">
        <f>IF(OR($G11131="FCC",$G11131="Hydrocracker",$G11131="Reformer"),IF(COUNTIFS($D:$D,$D11131,$A:$A,$A11131,$B:$B,$B11131,$G:$G,"CDU",$J:$J,"PLANNED")&gt;0,"tied","standalone"),"")</f>
        <v/>
      </c>
    </row>
    <row r="11132" spans="6:14">
      <c r="F11132" s="6">
        <f>IF($M11132="PADD I","PADD 1",IF($M11132="PADD II","PADD 2",IF($M11132="PADD III","PADD 3",IF($M11132="PADD IV","PADD 4",IF($M11132="PADD V","PADD 5","")))))</f>
        <v/>
      </c>
      <c r="G11132" s="6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  <c r="N11132" s="6">
        <f>IF(OR($G11132="FCC",$G11132="Hydrocracker",$G11132="Reformer"),IF(COUNTIFS($D:$D,$D11132,$A:$A,$A11132,$B:$B,$B11132,$G:$G,"CDU",$J:$J,"PLANNED")&gt;0,"tied","standalone"),"")</f>
        <v/>
      </c>
    </row>
    <row r="11133" spans="6:14">
      <c r="F11133" s="6">
        <f>IF($M11133="PADD I","PADD 1",IF($M11133="PADD II","PADD 2",IF($M11133="PADD III","PADD 3",IF($M11133="PADD IV","PADD 4",IF($M11133="PADD V","PADD 5","")))))</f>
        <v/>
      </c>
      <c r="G11133" s="6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  <c r="N11133" s="6">
        <f>IF(OR($G11133="FCC",$G11133="Hydrocracker",$G11133="Reformer"),IF(COUNTIFS($D:$D,$D11133,$A:$A,$A11133,$B:$B,$B11133,$G:$G,"CDU",$J:$J,"PLANNED")&gt;0,"tied","standalone"),"")</f>
        <v/>
      </c>
    </row>
    <row r="11134" spans="6:14">
      <c r="F11134" s="6">
        <f>IF($M11134="PADD I","PADD 1",IF($M11134="PADD II","PADD 2",IF($M11134="PADD III","PADD 3",IF($M11134="PADD IV","PADD 4",IF($M11134="PADD V","PADD 5","")))))</f>
        <v/>
      </c>
      <c r="G11134" s="6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  <c r="N11134" s="6">
        <f>IF(OR($G11134="FCC",$G11134="Hydrocracker",$G11134="Reformer"),IF(COUNTIFS($D:$D,$D11134,$A:$A,$A11134,$B:$B,$B11134,$G:$G,"CDU",$J:$J,"PLANNED")&gt;0,"tied","standalone"),"")</f>
        <v/>
      </c>
    </row>
    <row r="11135" spans="6:14">
      <c r="F11135" s="6">
        <f>IF($M11135="PADD I","PADD 1",IF($M11135="PADD II","PADD 2",IF($M11135="PADD III","PADD 3",IF($M11135="PADD IV","PADD 4",IF($M11135="PADD V","PADD 5","")))))</f>
        <v/>
      </c>
      <c r="G11135" s="6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  <c r="N11135" s="6">
        <f>IF(OR($G11135="FCC",$G11135="Hydrocracker",$G11135="Reformer"),IF(COUNTIFS($D:$D,$D11135,$A:$A,$A11135,$B:$B,$B11135,$G:$G,"CDU",$J:$J,"PLANNED")&gt;0,"tied","standalone"),"")</f>
        <v/>
      </c>
    </row>
    <row r="11136" spans="6:14">
      <c r="F11136" s="6">
        <f>IF($M11136="PADD I","PADD 1",IF($M11136="PADD II","PADD 2",IF($M11136="PADD III","PADD 3",IF($M11136="PADD IV","PADD 4",IF($M11136="PADD V","PADD 5","")))))</f>
        <v/>
      </c>
      <c r="G11136" s="6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  <c r="N11136" s="6">
        <f>IF(OR($G11136="FCC",$G11136="Hydrocracker",$G11136="Reformer"),IF(COUNTIFS($D:$D,$D11136,$A:$A,$A11136,$B:$B,$B11136,$G:$G,"CDU",$J:$J,"PLANNED")&gt;0,"tied","standalone"),"")</f>
        <v/>
      </c>
    </row>
    <row r="11137" spans="6:14">
      <c r="F11137" s="6">
        <f>IF($M11137="PADD I","PADD 1",IF($M11137="PADD II","PADD 2",IF($M11137="PADD III","PADD 3",IF($M11137="PADD IV","PADD 4",IF($M11137="PADD V","PADD 5","")))))</f>
        <v/>
      </c>
      <c r="G11137" s="6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  <c r="N11137" s="6">
        <f>IF(OR($G11137="FCC",$G11137="Hydrocracker",$G11137="Reformer"),IF(COUNTIFS($D:$D,$D11137,$A:$A,$A11137,$B:$B,$B11137,$G:$G,"CDU",$J:$J,"PLANNED")&gt;0,"tied","standalone"),"")</f>
        <v/>
      </c>
    </row>
    <row r="11138" spans="6:14">
      <c r="F11138" s="6">
        <f>IF($M11138="PADD I","PADD 1",IF($M11138="PADD II","PADD 2",IF($M11138="PADD III","PADD 3",IF($M11138="PADD IV","PADD 4",IF($M11138="PADD V","PADD 5","")))))</f>
        <v/>
      </c>
      <c r="G11138" s="6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  <c r="N11138" s="6">
        <f>IF(OR($G11138="FCC",$G11138="Hydrocracker",$G11138="Reformer"),IF(COUNTIFS($D:$D,$D11138,$A:$A,$A11138,$B:$B,$B11138,$G:$G,"CDU",$J:$J,"PLANNED")&gt;0,"tied","standalone"),"")</f>
        <v/>
      </c>
    </row>
    <row r="11139" spans="6:14">
      <c r="F11139" s="6">
        <f>IF($M11139="PADD I","PADD 1",IF($M11139="PADD II","PADD 2",IF($M11139="PADD III","PADD 3",IF($M11139="PADD IV","PADD 4",IF($M11139="PADD V","PADD 5","")))))</f>
        <v/>
      </c>
      <c r="G11139" s="6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  <c r="N11139" s="6">
        <f>IF(OR($G11139="FCC",$G11139="Hydrocracker",$G11139="Reformer"),IF(COUNTIFS($D:$D,$D11139,$A:$A,$A11139,$B:$B,$B11139,$G:$G,"CDU",$J:$J,"PLANNED")&gt;0,"tied","standalone"),"")</f>
        <v/>
      </c>
    </row>
    <row r="11140" spans="6:14">
      <c r="F11140" s="6">
        <f>IF($M11140="PADD I","PADD 1",IF($M11140="PADD II","PADD 2",IF($M11140="PADD III","PADD 3",IF($M11140="PADD IV","PADD 4",IF($M11140="PADD V","PADD 5","")))))</f>
        <v/>
      </c>
      <c r="G11140" s="6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  <c r="N11140" s="6">
        <f>IF(OR($G11140="FCC",$G11140="Hydrocracker",$G11140="Reformer"),IF(COUNTIFS($D:$D,$D11140,$A:$A,$A11140,$B:$B,$B11140,$G:$G,"CDU",$J:$J,"PLANNED")&gt;0,"tied","standalone"),"")</f>
        <v/>
      </c>
    </row>
    <row r="11141" spans="6:14">
      <c r="F11141" s="6">
        <f>IF($M11141="PADD I","PADD 1",IF($M11141="PADD II","PADD 2",IF($M11141="PADD III","PADD 3",IF($M11141="PADD IV","PADD 4",IF($M11141="PADD V","PADD 5","")))))</f>
        <v/>
      </c>
      <c r="G11141" s="6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  <c r="N11141" s="6">
        <f>IF(OR($G11141="FCC",$G11141="Hydrocracker",$G11141="Reformer"),IF(COUNTIFS($D:$D,$D11141,$A:$A,$A11141,$B:$B,$B11141,$G:$G,"CDU",$J:$J,"PLANNED")&gt;0,"tied","standalone"),"")</f>
        <v/>
      </c>
    </row>
    <row r="11142" spans="6:14">
      <c r="F11142" s="6">
        <f>IF($M11142="PADD I","PADD 1",IF($M11142="PADD II","PADD 2",IF($M11142="PADD III","PADD 3",IF($M11142="PADD IV","PADD 4",IF($M11142="PADD V","PADD 5","")))))</f>
        <v/>
      </c>
      <c r="G11142" s="6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  <c r="N11142" s="6">
        <f>IF(OR($G11142="FCC",$G11142="Hydrocracker",$G11142="Reformer"),IF(COUNTIFS($D:$D,$D11142,$A:$A,$A11142,$B:$B,$B11142,$G:$G,"CDU",$J:$J,"PLANNED")&gt;0,"tied","standalone"),"")</f>
        <v/>
      </c>
    </row>
    <row r="11143" spans="6:14">
      <c r="F11143" s="6">
        <f>IF($M11143="PADD I","PADD 1",IF($M11143="PADD II","PADD 2",IF($M11143="PADD III","PADD 3",IF($M11143="PADD IV","PADD 4",IF($M11143="PADD V","PADD 5","")))))</f>
        <v/>
      </c>
      <c r="G11143" s="6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  <c r="N11143" s="6">
        <f>IF(OR($G11143="FCC",$G11143="Hydrocracker",$G11143="Reformer"),IF(COUNTIFS($D:$D,$D11143,$A:$A,$A11143,$B:$B,$B11143,$G:$G,"CDU",$J:$J,"PLANNED")&gt;0,"tied","standalone"),"")</f>
        <v/>
      </c>
    </row>
    <row r="11144" spans="6:14">
      <c r="F11144" s="6">
        <f>IF($M11144="PADD I","PADD 1",IF($M11144="PADD II","PADD 2",IF($M11144="PADD III","PADD 3",IF($M11144="PADD IV","PADD 4",IF($M11144="PADD V","PADD 5","")))))</f>
        <v/>
      </c>
      <c r="G11144" s="6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  <c r="N11144" s="6">
        <f>IF(OR($G11144="FCC",$G11144="Hydrocracker",$G11144="Reformer"),IF(COUNTIFS($D:$D,$D11144,$A:$A,$A11144,$B:$B,$B11144,$G:$G,"CDU",$J:$J,"PLANNED")&gt;0,"tied","standalone"),"")</f>
        <v/>
      </c>
    </row>
    <row r="11145" spans="6:14">
      <c r="F11145" s="6">
        <f>IF($M11145="PADD I","PADD 1",IF($M11145="PADD II","PADD 2",IF($M11145="PADD III","PADD 3",IF($M11145="PADD IV","PADD 4",IF($M11145="PADD V","PADD 5","")))))</f>
        <v/>
      </c>
      <c r="G11145" s="6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  <c r="N11145" s="6">
        <f>IF(OR($G11145="FCC",$G11145="Hydrocracker",$G11145="Reformer"),IF(COUNTIFS($D:$D,$D11145,$A:$A,$A11145,$B:$B,$B11145,$G:$G,"CDU",$J:$J,"PLANNED")&gt;0,"tied","standalone"),"")</f>
        <v/>
      </c>
    </row>
    <row r="11146" spans="6:14">
      <c r="F11146" s="6">
        <f>IF($M11146="PADD I","PADD 1",IF($M11146="PADD II","PADD 2",IF($M11146="PADD III","PADD 3",IF($M11146="PADD IV","PADD 4",IF($M11146="PADD V","PADD 5","")))))</f>
        <v/>
      </c>
      <c r="G11146" s="6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  <c r="N11146" s="6">
        <f>IF(OR($G11146="FCC",$G11146="Hydrocracker",$G11146="Reformer"),IF(COUNTIFS($D:$D,$D11146,$A:$A,$A11146,$B:$B,$B11146,$G:$G,"CDU",$J:$J,"PLANNED")&gt;0,"tied","standalone"),"")</f>
        <v/>
      </c>
    </row>
    <row r="11147" spans="6:14">
      <c r="F11147" s="6">
        <f>IF($M11147="PADD I","PADD 1",IF($M11147="PADD II","PADD 2",IF($M11147="PADD III","PADD 3",IF($M11147="PADD IV","PADD 4",IF($M11147="PADD V","PADD 5","")))))</f>
        <v/>
      </c>
      <c r="G11147" s="6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  <c r="N11147" s="6">
        <f>IF(OR($G11147="FCC",$G11147="Hydrocracker",$G11147="Reformer"),IF(COUNTIFS($D:$D,$D11147,$A:$A,$A11147,$B:$B,$B11147,$G:$G,"CDU",$J:$J,"PLANNED")&gt;0,"tied","standalone"),"")</f>
        <v/>
      </c>
    </row>
    <row r="11148" spans="6:14">
      <c r="F11148" s="6">
        <f>IF($M11148="PADD I","PADD 1",IF($M11148="PADD II","PADD 2",IF($M11148="PADD III","PADD 3",IF($M11148="PADD IV","PADD 4",IF($M11148="PADD V","PADD 5","")))))</f>
        <v/>
      </c>
      <c r="G11148" s="6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  <c r="N11148" s="6">
        <f>IF(OR($G11148="FCC",$G11148="Hydrocracker",$G11148="Reformer"),IF(COUNTIFS($D:$D,$D11148,$A:$A,$A11148,$B:$B,$B11148,$G:$G,"CDU",$J:$J,"PLANNED")&gt;0,"tied","standalone"),"")</f>
        <v/>
      </c>
    </row>
    <row r="11149" spans="6:14">
      <c r="F11149" s="6">
        <f>IF($M11149="PADD I","PADD 1",IF($M11149="PADD II","PADD 2",IF($M11149="PADD III","PADD 3",IF($M11149="PADD IV","PADD 4",IF($M11149="PADD V","PADD 5","")))))</f>
        <v/>
      </c>
      <c r="G11149" s="6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  <c r="N11149" s="6">
        <f>IF(OR($G11149="FCC",$G11149="Hydrocracker",$G11149="Reformer"),IF(COUNTIFS($D:$D,$D11149,$A:$A,$A11149,$B:$B,$B11149,$G:$G,"CDU",$J:$J,"PLANNED")&gt;0,"tied","standalone"),"")</f>
        <v/>
      </c>
    </row>
    <row r="11150" spans="6:14">
      <c r="F11150" s="6">
        <f>IF($M11150="PADD I","PADD 1",IF($M11150="PADD II","PADD 2",IF($M11150="PADD III","PADD 3",IF($M11150="PADD IV","PADD 4",IF($M11150="PADD V","PADD 5","")))))</f>
        <v/>
      </c>
      <c r="G11150" s="6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  <c r="N11150" s="6">
        <f>IF(OR($G11150="FCC",$G11150="Hydrocracker",$G11150="Reformer"),IF(COUNTIFS($D:$D,$D11150,$A:$A,$A11150,$B:$B,$B11150,$G:$G,"CDU",$J:$J,"PLANNED")&gt;0,"tied","standalone"),"")</f>
        <v/>
      </c>
    </row>
    <row r="11151" spans="6:14">
      <c r="F11151" s="6">
        <f>IF($M11151="PADD I","PADD 1",IF($M11151="PADD II","PADD 2",IF($M11151="PADD III","PADD 3",IF($M11151="PADD IV","PADD 4",IF($M11151="PADD V","PADD 5","")))))</f>
        <v/>
      </c>
      <c r="G11151" s="6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  <c r="N11151" s="6">
        <f>IF(OR($G11151="FCC",$G11151="Hydrocracker",$G11151="Reformer"),IF(COUNTIFS($D:$D,$D11151,$A:$A,$A11151,$B:$B,$B11151,$G:$G,"CDU",$J:$J,"PLANNED")&gt;0,"tied","standalone"),"")</f>
        <v/>
      </c>
    </row>
    <row r="11152" spans="6:14">
      <c r="F11152" s="6">
        <f>IF($M11152="PADD I","PADD 1",IF($M11152="PADD II","PADD 2",IF($M11152="PADD III","PADD 3",IF($M11152="PADD IV","PADD 4",IF($M11152="PADD V","PADD 5","")))))</f>
        <v/>
      </c>
      <c r="G11152" s="6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  <c r="N11152" s="6">
        <f>IF(OR($G11152="FCC",$G11152="Hydrocracker",$G11152="Reformer"),IF(COUNTIFS($D:$D,$D11152,$A:$A,$A11152,$B:$B,$B11152,$G:$G,"CDU",$J:$J,"PLANNED")&gt;0,"tied","standalone"),"")</f>
        <v/>
      </c>
    </row>
    <row r="11153" spans="6:14">
      <c r="F11153" s="6">
        <f>IF($M11153="PADD I","PADD 1",IF($M11153="PADD II","PADD 2",IF($M11153="PADD III","PADD 3",IF($M11153="PADD IV","PADD 4",IF($M11153="PADD V","PADD 5","")))))</f>
        <v/>
      </c>
      <c r="G11153" s="6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  <c r="N11153" s="6">
        <f>IF(OR($G11153="FCC",$G11153="Hydrocracker",$G11153="Reformer"),IF(COUNTIFS($D:$D,$D11153,$A:$A,$A11153,$B:$B,$B11153,$G:$G,"CDU",$J:$J,"PLANNED")&gt;0,"tied","standalone"),"")</f>
        <v/>
      </c>
    </row>
    <row r="11154" spans="6:14">
      <c r="F11154" s="6">
        <f>IF($M11154="PADD I","PADD 1",IF($M11154="PADD II","PADD 2",IF($M11154="PADD III","PADD 3",IF($M11154="PADD IV","PADD 4",IF($M11154="PADD V","PADD 5","")))))</f>
        <v/>
      </c>
      <c r="G11154" s="6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  <c r="N11154" s="6">
        <f>IF(OR($G11154="FCC",$G11154="Hydrocracker",$G11154="Reformer"),IF(COUNTIFS($D:$D,$D11154,$A:$A,$A11154,$B:$B,$B11154,$G:$G,"CDU",$J:$J,"PLANNED")&gt;0,"tied","standalone"),"")</f>
        <v/>
      </c>
    </row>
    <row r="11155" spans="6:14">
      <c r="F11155" s="6">
        <f>IF($M11155="PADD I","PADD 1",IF($M11155="PADD II","PADD 2",IF($M11155="PADD III","PADD 3",IF($M11155="PADD IV","PADD 4",IF($M11155="PADD V","PADD 5","")))))</f>
        <v/>
      </c>
      <c r="G11155" s="6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  <c r="N11155" s="6">
        <f>IF(OR($G11155="FCC",$G11155="Hydrocracker",$G11155="Reformer"),IF(COUNTIFS($D:$D,$D11155,$A:$A,$A11155,$B:$B,$B11155,$G:$G,"CDU",$J:$J,"PLANNED")&gt;0,"tied","standalone"),"")</f>
        <v/>
      </c>
    </row>
    <row r="11156" spans="6:14">
      <c r="F11156" s="6">
        <f>IF($M11156="PADD I","PADD 1",IF($M11156="PADD II","PADD 2",IF($M11156="PADD III","PADD 3",IF($M11156="PADD IV","PADD 4",IF($M11156="PADD V","PADD 5","")))))</f>
        <v/>
      </c>
      <c r="G11156" s="6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  <c r="N11156" s="6">
        <f>IF(OR($G11156="FCC",$G11156="Hydrocracker",$G11156="Reformer"),IF(COUNTIFS($D:$D,$D11156,$A:$A,$A11156,$B:$B,$B11156,$G:$G,"CDU",$J:$J,"PLANNED")&gt;0,"tied","standalone"),"")</f>
        <v/>
      </c>
    </row>
    <row r="11157" spans="6:14">
      <c r="F11157" s="6">
        <f>IF($M11157="PADD I","PADD 1",IF($M11157="PADD II","PADD 2",IF($M11157="PADD III","PADD 3",IF($M11157="PADD IV","PADD 4",IF($M11157="PADD V","PADD 5","")))))</f>
        <v/>
      </c>
      <c r="G11157" s="6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  <c r="N11157" s="6">
        <f>IF(OR($G11157="FCC",$G11157="Hydrocracker",$G11157="Reformer"),IF(COUNTIFS($D:$D,$D11157,$A:$A,$A11157,$B:$B,$B11157,$G:$G,"CDU",$J:$J,"PLANNED")&gt;0,"tied","standalone"),"")</f>
        <v/>
      </c>
    </row>
    <row r="11158" spans="6:14">
      <c r="F11158" s="6">
        <f>IF($M11158="PADD I","PADD 1",IF($M11158="PADD II","PADD 2",IF($M11158="PADD III","PADD 3",IF($M11158="PADD IV","PADD 4",IF($M11158="PADD V","PADD 5","")))))</f>
        <v/>
      </c>
      <c r="G11158" s="6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  <c r="N11158" s="6">
        <f>IF(OR($G11158="FCC",$G11158="Hydrocracker",$G11158="Reformer"),IF(COUNTIFS($D:$D,$D11158,$A:$A,$A11158,$B:$B,$B11158,$G:$G,"CDU",$J:$J,"PLANNED")&gt;0,"tied","standalone"),"")</f>
        <v/>
      </c>
    </row>
    <row r="11159" spans="6:14">
      <c r="F11159" s="6">
        <f>IF($M11159="PADD I","PADD 1",IF($M11159="PADD II","PADD 2",IF($M11159="PADD III","PADD 3",IF($M11159="PADD IV","PADD 4",IF($M11159="PADD V","PADD 5","")))))</f>
        <v/>
      </c>
      <c r="G11159" s="6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  <c r="N11159" s="6">
        <f>IF(OR($G11159="FCC",$G11159="Hydrocracker",$G11159="Reformer"),IF(COUNTIFS($D:$D,$D11159,$A:$A,$A11159,$B:$B,$B11159,$G:$G,"CDU",$J:$J,"PLANNED")&gt;0,"tied","standalone"),"")</f>
        <v/>
      </c>
    </row>
    <row r="11160" spans="6:14">
      <c r="F11160" s="6">
        <f>IF($M11160="PADD I","PADD 1",IF($M11160="PADD II","PADD 2",IF($M11160="PADD III","PADD 3",IF($M11160="PADD IV","PADD 4",IF($M11160="PADD V","PADD 5","")))))</f>
        <v/>
      </c>
      <c r="G11160" s="6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  <c r="N11160" s="6">
        <f>IF(OR($G11160="FCC",$G11160="Hydrocracker",$G11160="Reformer"),IF(COUNTIFS($D:$D,$D11160,$A:$A,$A11160,$B:$B,$B11160,$G:$G,"CDU",$J:$J,"PLANNED")&gt;0,"tied","standalone"),"")</f>
        <v/>
      </c>
    </row>
    <row r="11161" spans="6:14">
      <c r="F11161" s="6">
        <f>IF($M11161="PADD I","PADD 1",IF($M11161="PADD II","PADD 2",IF($M11161="PADD III","PADD 3",IF($M11161="PADD IV","PADD 4",IF($M11161="PADD V","PADD 5","")))))</f>
        <v/>
      </c>
      <c r="G11161" s="6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  <c r="N11161" s="6">
        <f>IF(OR($G11161="FCC",$G11161="Hydrocracker",$G11161="Reformer"),IF(COUNTIFS($D:$D,$D11161,$A:$A,$A11161,$B:$B,$B11161,$G:$G,"CDU",$J:$J,"PLANNED")&gt;0,"tied","standalone"),"")</f>
        <v/>
      </c>
    </row>
    <row r="11162" spans="6:14">
      <c r="F11162" s="6">
        <f>IF($M11162="PADD I","PADD 1",IF($M11162="PADD II","PADD 2",IF($M11162="PADD III","PADD 3",IF($M11162="PADD IV","PADD 4",IF($M11162="PADD V","PADD 5","")))))</f>
        <v/>
      </c>
      <c r="G11162" s="6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  <c r="N11162" s="6">
        <f>IF(OR($G11162="FCC",$G11162="Hydrocracker",$G11162="Reformer"),IF(COUNTIFS($D:$D,$D11162,$A:$A,$A11162,$B:$B,$B11162,$G:$G,"CDU",$J:$J,"PLANNED")&gt;0,"tied","standalone"),"")</f>
        <v/>
      </c>
    </row>
    <row r="11163" spans="6:14">
      <c r="F11163" s="6">
        <f>IF($M11163="PADD I","PADD 1",IF($M11163="PADD II","PADD 2",IF($M11163="PADD III","PADD 3",IF($M11163="PADD IV","PADD 4",IF($M11163="PADD V","PADD 5","")))))</f>
        <v/>
      </c>
      <c r="G11163" s="6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  <c r="N11163" s="6">
        <f>IF(OR($G11163="FCC",$G11163="Hydrocracker",$G11163="Reformer"),IF(COUNTIFS($D:$D,$D11163,$A:$A,$A11163,$B:$B,$B11163,$G:$G,"CDU",$J:$J,"PLANNED")&gt;0,"tied","standalone"),"")</f>
        <v/>
      </c>
    </row>
    <row r="11164" spans="6:14">
      <c r="F11164" s="6">
        <f>IF($M11164="PADD I","PADD 1",IF($M11164="PADD II","PADD 2",IF($M11164="PADD III","PADD 3",IF($M11164="PADD IV","PADD 4",IF($M11164="PADD V","PADD 5","")))))</f>
        <v/>
      </c>
      <c r="G11164" s="6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  <c r="N11164" s="6">
        <f>IF(OR($G11164="FCC",$G11164="Hydrocracker",$G11164="Reformer"),IF(COUNTIFS($D:$D,$D11164,$A:$A,$A11164,$B:$B,$B11164,$G:$G,"CDU",$J:$J,"PLANNED")&gt;0,"tied","standalone"),"")</f>
        <v/>
      </c>
    </row>
    <row r="11165" spans="6:14">
      <c r="F11165" s="6">
        <f>IF($M11165="PADD I","PADD 1",IF($M11165="PADD II","PADD 2",IF($M11165="PADD III","PADD 3",IF($M11165="PADD IV","PADD 4",IF($M11165="PADD V","PADD 5","")))))</f>
        <v/>
      </c>
      <c r="G11165" s="6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  <c r="N11165" s="6">
        <f>IF(OR($G11165="FCC",$G11165="Hydrocracker",$G11165="Reformer"),IF(COUNTIFS($D:$D,$D11165,$A:$A,$A11165,$B:$B,$B11165,$G:$G,"CDU",$J:$J,"PLANNED")&gt;0,"tied","standalone"),"")</f>
        <v/>
      </c>
    </row>
    <row r="11166" spans="6:14">
      <c r="F11166" s="6">
        <f>IF($M11166="PADD I","PADD 1",IF($M11166="PADD II","PADD 2",IF($M11166="PADD III","PADD 3",IF($M11166="PADD IV","PADD 4",IF($M11166="PADD V","PADD 5","")))))</f>
        <v/>
      </c>
      <c r="G11166" s="6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  <c r="N11166" s="6">
        <f>IF(OR($G11166="FCC",$G11166="Hydrocracker",$G11166="Reformer"),IF(COUNTIFS($D:$D,$D11166,$A:$A,$A11166,$B:$B,$B11166,$G:$G,"CDU",$J:$J,"PLANNED")&gt;0,"tied","standalone"),"")</f>
        <v/>
      </c>
    </row>
    <row r="11167" spans="6:14">
      <c r="F11167" s="6">
        <f>IF($M11167="PADD I","PADD 1",IF($M11167="PADD II","PADD 2",IF($M11167="PADD III","PADD 3",IF($M11167="PADD IV","PADD 4",IF($M11167="PADD V","PADD 5","")))))</f>
        <v/>
      </c>
      <c r="G11167" s="6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  <c r="N11167" s="6">
        <f>IF(OR($G11167="FCC",$G11167="Hydrocracker",$G11167="Reformer"),IF(COUNTIFS($D:$D,$D11167,$A:$A,$A11167,$B:$B,$B11167,$G:$G,"CDU",$J:$J,"PLANNED")&gt;0,"tied","standalone"),"")</f>
        <v/>
      </c>
    </row>
    <row r="11168" spans="6:14">
      <c r="F11168" s="6">
        <f>IF($M11168="PADD I","PADD 1",IF($M11168="PADD II","PADD 2",IF($M11168="PADD III","PADD 3",IF($M11168="PADD IV","PADD 4",IF($M11168="PADD V","PADD 5","")))))</f>
        <v/>
      </c>
      <c r="G11168" s="6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  <c r="N11168" s="6">
        <f>IF(OR($G11168="FCC",$G11168="Hydrocracker",$G11168="Reformer"),IF(COUNTIFS($D:$D,$D11168,$A:$A,$A11168,$B:$B,$B11168,$G:$G,"CDU",$J:$J,"PLANNED")&gt;0,"tied","standalone"),"")</f>
        <v/>
      </c>
    </row>
    <row r="11169" spans="6:14">
      <c r="F11169" s="6">
        <f>IF($M11169="PADD I","PADD 1",IF($M11169="PADD II","PADD 2",IF($M11169="PADD III","PADD 3",IF($M11169="PADD IV","PADD 4",IF($M11169="PADD V","PADD 5","")))))</f>
        <v/>
      </c>
      <c r="G11169" s="6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  <c r="N11169" s="6">
        <f>IF(OR($G11169="FCC",$G11169="Hydrocracker",$G11169="Reformer"),IF(COUNTIFS($D:$D,$D11169,$A:$A,$A11169,$B:$B,$B11169,$G:$G,"CDU",$J:$J,"PLANNED")&gt;0,"tied","standalone"),"")</f>
        <v/>
      </c>
    </row>
    <row r="11170" spans="6:14">
      <c r="F11170" s="6">
        <f>IF($M11170="PADD I","PADD 1",IF($M11170="PADD II","PADD 2",IF($M11170="PADD III","PADD 3",IF($M11170="PADD IV","PADD 4",IF($M11170="PADD V","PADD 5","")))))</f>
        <v/>
      </c>
      <c r="G11170" s="6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  <c r="N11170" s="6">
        <f>IF(OR($G11170="FCC",$G11170="Hydrocracker",$G11170="Reformer"),IF(COUNTIFS($D:$D,$D11170,$A:$A,$A11170,$B:$B,$B11170,$G:$G,"CDU",$J:$J,"PLANNED")&gt;0,"tied","standalone"),"")</f>
        <v/>
      </c>
    </row>
    <row r="11171" spans="6:14">
      <c r="F11171" s="6">
        <f>IF($M11171="PADD I","PADD 1",IF($M11171="PADD II","PADD 2",IF($M11171="PADD III","PADD 3",IF($M11171="PADD IV","PADD 4",IF($M11171="PADD V","PADD 5","")))))</f>
        <v/>
      </c>
      <c r="G11171" s="6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  <c r="N11171" s="6">
        <f>IF(OR($G11171="FCC",$G11171="Hydrocracker",$G11171="Reformer"),IF(COUNTIFS($D:$D,$D11171,$A:$A,$A11171,$B:$B,$B11171,$G:$G,"CDU",$J:$J,"PLANNED")&gt;0,"tied","standalone"),"")</f>
        <v/>
      </c>
    </row>
    <row r="11172" spans="6:14">
      <c r="F11172" s="6">
        <f>IF($M11172="PADD I","PADD 1",IF($M11172="PADD II","PADD 2",IF($M11172="PADD III","PADD 3",IF($M11172="PADD IV","PADD 4",IF($M11172="PADD V","PADD 5","")))))</f>
        <v/>
      </c>
      <c r="G11172" s="6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  <c r="N11172" s="6">
        <f>IF(OR($G11172="FCC",$G11172="Hydrocracker",$G11172="Reformer"),IF(COUNTIFS($D:$D,$D11172,$A:$A,$A11172,$B:$B,$B11172,$G:$G,"CDU",$J:$J,"PLANNED")&gt;0,"tied","standalone"),"")</f>
        <v/>
      </c>
    </row>
    <row r="11173" spans="6:14">
      <c r="F11173" s="6">
        <f>IF($M11173="PADD I","PADD 1",IF($M11173="PADD II","PADD 2",IF($M11173="PADD III","PADD 3",IF($M11173="PADD IV","PADD 4",IF($M11173="PADD V","PADD 5","")))))</f>
        <v/>
      </c>
      <c r="G11173" s="6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  <c r="N11173" s="6">
        <f>IF(OR($G11173="FCC",$G11173="Hydrocracker",$G11173="Reformer"),IF(COUNTIFS($D:$D,$D11173,$A:$A,$A11173,$B:$B,$B11173,$G:$G,"CDU",$J:$J,"PLANNED")&gt;0,"tied","standalone"),"")</f>
        <v/>
      </c>
    </row>
    <row r="11174" spans="6:14">
      <c r="F11174" s="6">
        <f>IF($M11174="PADD I","PADD 1",IF($M11174="PADD II","PADD 2",IF($M11174="PADD III","PADD 3",IF($M11174="PADD IV","PADD 4",IF($M11174="PADD V","PADD 5","")))))</f>
        <v/>
      </c>
      <c r="G11174" s="6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  <c r="N11174" s="6">
        <f>IF(OR($G11174="FCC",$G11174="Hydrocracker",$G11174="Reformer"),IF(COUNTIFS($D:$D,$D11174,$A:$A,$A11174,$B:$B,$B11174,$G:$G,"CDU",$J:$J,"PLANNED")&gt;0,"tied","standalone"),"")</f>
        <v/>
      </c>
    </row>
    <row r="11175" spans="6:14">
      <c r="F11175" s="6">
        <f>IF($M11175="PADD I","PADD 1",IF($M11175="PADD II","PADD 2",IF($M11175="PADD III","PADD 3",IF($M11175="PADD IV","PADD 4",IF($M11175="PADD V","PADD 5","")))))</f>
        <v/>
      </c>
      <c r="G11175" s="6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  <c r="N11175" s="6">
        <f>IF(OR($G11175="FCC",$G11175="Hydrocracker",$G11175="Reformer"),IF(COUNTIFS($D:$D,$D11175,$A:$A,$A11175,$B:$B,$B11175,$G:$G,"CDU",$J:$J,"PLANNED")&gt;0,"tied","standalone"),"")</f>
        <v/>
      </c>
    </row>
    <row r="11176" spans="6:14">
      <c r="F11176" s="6">
        <f>IF($M11176="PADD I","PADD 1",IF($M11176="PADD II","PADD 2",IF($M11176="PADD III","PADD 3",IF($M11176="PADD IV","PADD 4",IF($M11176="PADD V","PADD 5","")))))</f>
        <v/>
      </c>
      <c r="G11176" s="6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  <c r="N11176" s="6">
        <f>IF(OR($G11176="FCC",$G11176="Hydrocracker",$G11176="Reformer"),IF(COUNTIFS($D:$D,$D11176,$A:$A,$A11176,$B:$B,$B11176,$G:$G,"CDU",$J:$J,"PLANNED")&gt;0,"tied","standalone"),"")</f>
        <v/>
      </c>
    </row>
    <row r="11177" spans="6:14">
      <c r="F11177" s="6">
        <f>IF($M11177="PADD I","PADD 1",IF($M11177="PADD II","PADD 2",IF($M11177="PADD III","PADD 3",IF($M11177="PADD IV","PADD 4",IF($M11177="PADD V","PADD 5","")))))</f>
        <v/>
      </c>
      <c r="G11177" s="6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  <c r="N11177" s="6">
        <f>IF(OR($G11177="FCC",$G11177="Hydrocracker",$G11177="Reformer"),IF(COUNTIFS($D:$D,$D11177,$A:$A,$A11177,$B:$B,$B11177,$G:$G,"CDU",$J:$J,"PLANNED")&gt;0,"tied","standalone"),"")</f>
        <v/>
      </c>
    </row>
    <row r="11178" spans="6:14">
      <c r="F11178" s="6">
        <f>IF($M11178="PADD I","PADD 1",IF($M11178="PADD II","PADD 2",IF($M11178="PADD III","PADD 3",IF($M11178="PADD IV","PADD 4",IF($M11178="PADD V","PADD 5","")))))</f>
        <v/>
      </c>
      <c r="G11178" s="6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  <c r="N11178" s="6">
        <f>IF(OR($G11178="FCC",$G11178="Hydrocracker",$G11178="Reformer"),IF(COUNTIFS($D:$D,$D11178,$A:$A,$A11178,$B:$B,$B11178,$G:$G,"CDU",$J:$J,"PLANNED")&gt;0,"tied","standalone"),"")</f>
        <v/>
      </c>
    </row>
    <row r="11179" spans="6:14">
      <c r="F11179" s="6">
        <f>IF($M11179="PADD I","PADD 1",IF($M11179="PADD II","PADD 2",IF($M11179="PADD III","PADD 3",IF($M11179="PADD IV","PADD 4",IF($M11179="PADD V","PADD 5","")))))</f>
        <v/>
      </c>
      <c r="G11179" s="6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  <c r="N11179" s="6">
        <f>IF(OR($G11179="FCC",$G11179="Hydrocracker",$G11179="Reformer"),IF(COUNTIFS($D:$D,$D11179,$A:$A,$A11179,$B:$B,$B11179,$G:$G,"CDU",$J:$J,"PLANNED")&gt;0,"tied","standalone"),"")</f>
        <v/>
      </c>
    </row>
    <row r="11180" spans="6:14">
      <c r="F11180" s="6">
        <f>IF($M11180="PADD I","PADD 1",IF($M11180="PADD II","PADD 2",IF($M11180="PADD III","PADD 3",IF($M11180="PADD IV","PADD 4",IF($M11180="PADD V","PADD 5","")))))</f>
        <v/>
      </c>
      <c r="G11180" s="6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  <c r="N11180" s="6">
        <f>IF(OR($G11180="FCC",$G11180="Hydrocracker",$G11180="Reformer"),IF(COUNTIFS($D:$D,$D11180,$A:$A,$A11180,$B:$B,$B11180,$G:$G,"CDU",$J:$J,"PLANNED")&gt;0,"tied","standalone"),"")</f>
        <v/>
      </c>
    </row>
    <row r="11181" spans="6:14">
      <c r="F11181" s="6">
        <f>IF($M11181="PADD I","PADD 1",IF($M11181="PADD II","PADD 2",IF($M11181="PADD III","PADD 3",IF($M11181="PADD IV","PADD 4",IF($M11181="PADD V","PADD 5","")))))</f>
        <v/>
      </c>
      <c r="G11181" s="6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  <c r="N11181" s="6">
        <f>IF(OR($G11181="FCC",$G11181="Hydrocracker",$G11181="Reformer"),IF(COUNTIFS($D:$D,$D11181,$A:$A,$A11181,$B:$B,$B11181,$G:$G,"CDU",$J:$J,"PLANNED")&gt;0,"tied","standalone"),"")</f>
        <v/>
      </c>
    </row>
    <row r="11182" spans="6:14">
      <c r="F11182" s="6">
        <f>IF($M11182="PADD I","PADD 1",IF($M11182="PADD II","PADD 2",IF($M11182="PADD III","PADD 3",IF($M11182="PADD IV","PADD 4",IF($M11182="PADD V","PADD 5","")))))</f>
        <v/>
      </c>
      <c r="G11182" s="6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  <c r="N11182" s="6">
        <f>IF(OR($G11182="FCC",$G11182="Hydrocracker",$G11182="Reformer"),IF(COUNTIFS($D:$D,$D11182,$A:$A,$A11182,$B:$B,$B11182,$G:$G,"CDU",$J:$J,"PLANNED")&gt;0,"tied","standalone"),"")</f>
        <v/>
      </c>
    </row>
    <row r="11183" spans="6:14">
      <c r="F11183" s="6">
        <f>IF($M11183="PADD I","PADD 1",IF($M11183="PADD II","PADD 2",IF($M11183="PADD III","PADD 3",IF($M11183="PADD IV","PADD 4",IF($M11183="PADD V","PADD 5","")))))</f>
        <v/>
      </c>
      <c r="G11183" s="6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  <c r="N11183" s="6">
        <f>IF(OR($G11183="FCC",$G11183="Hydrocracker",$G11183="Reformer"),IF(COUNTIFS($D:$D,$D11183,$A:$A,$A11183,$B:$B,$B11183,$G:$G,"CDU",$J:$J,"PLANNED")&gt;0,"tied","standalone"),"")</f>
        <v/>
      </c>
    </row>
    <row r="11184" spans="6:14">
      <c r="F11184" s="6">
        <f>IF($M11184="PADD I","PADD 1",IF($M11184="PADD II","PADD 2",IF($M11184="PADD III","PADD 3",IF($M11184="PADD IV","PADD 4",IF($M11184="PADD V","PADD 5","")))))</f>
        <v/>
      </c>
      <c r="G11184" s="6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  <c r="N11184" s="6">
        <f>IF(OR($G11184="FCC",$G11184="Hydrocracker",$G11184="Reformer"),IF(COUNTIFS($D:$D,$D11184,$A:$A,$A11184,$B:$B,$B11184,$G:$G,"CDU",$J:$J,"PLANNED")&gt;0,"tied","standalone"),"")</f>
        <v/>
      </c>
    </row>
    <row r="11185" spans="6:14">
      <c r="F11185" s="6">
        <f>IF($M11185="PADD I","PADD 1",IF($M11185="PADD II","PADD 2",IF($M11185="PADD III","PADD 3",IF($M11185="PADD IV","PADD 4",IF($M11185="PADD V","PADD 5","")))))</f>
        <v/>
      </c>
      <c r="G11185" s="6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  <c r="N11185" s="6">
        <f>IF(OR($G11185="FCC",$G11185="Hydrocracker",$G11185="Reformer"),IF(COUNTIFS($D:$D,$D11185,$A:$A,$A11185,$B:$B,$B11185,$G:$G,"CDU",$J:$J,"PLANNED")&gt;0,"tied","standalone"),"")</f>
        <v/>
      </c>
    </row>
    <row r="11186" spans="6:14">
      <c r="F11186" s="6">
        <f>IF($M11186="PADD I","PADD 1",IF($M11186="PADD II","PADD 2",IF($M11186="PADD III","PADD 3",IF($M11186="PADD IV","PADD 4",IF($M11186="PADD V","PADD 5","")))))</f>
        <v/>
      </c>
      <c r="G11186" s="6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  <c r="N11186" s="6">
        <f>IF(OR($G11186="FCC",$G11186="Hydrocracker",$G11186="Reformer"),IF(COUNTIFS($D:$D,$D11186,$A:$A,$A11186,$B:$B,$B11186,$G:$G,"CDU",$J:$J,"PLANNED")&gt;0,"tied","standalone"),"")</f>
        <v/>
      </c>
    </row>
    <row r="11187" spans="6:14">
      <c r="F11187" s="6">
        <f>IF($M11187="PADD I","PADD 1",IF($M11187="PADD II","PADD 2",IF($M11187="PADD III","PADD 3",IF($M11187="PADD IV","PADD 4",IF($M11187="PADD V","PADD 5","")))))</f>
        <v/>
      </c>
      <c r="G11187" s="6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  <c r="N11187" s="6">
        <f>IF(OR($G11187="FCC",$G11187="Hydrocracker",$G11187="Reformer"),IF(COUNTIFS($D:$D,$D11187,$A:$A,$A11187,$B:$B,$B11187,$G:$G,"CDU",$J:$J,"PLANNED")&gt;0,"tied","standalone"),"")</f>
        <v/>
      </c>
    </row>
    <row r="11188" spans="6:14">
      <c r="F11188" s="6">
        <f>IF($M11188="PADD I","PADD 1",IF($M11188="PADD II","PADD 2",IF($M11188="PADD III","PADD 3",IF($M11188="PADD IV","PADD 4",IF($M11188="PADD V","PADD 5","")))))</f>
        <v/>
      </c>
      <c r="G11188" s="6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  <c r="N11188" s="6">
        <f>IF(OR($G11188="FCC",$G11188="Hydrocracker",$G11188="Reformer"),IF(COUNTIFS($D:$D,$D11188,$A:$A,$A11188,$B:$B,$B11188,$G:$G,"CDU",$J:$J,"PLANNED")&gt;0,"tied","standalone"),"")</f>
        <v/>
      </c>
    </row>
    <row r="11189" spans="6:14">
      <c r="F11189" s="6">
        <f>IF($M11189="PADD I","PADD 1",IF($M11189="PADD II","PADD 2",IF($M11189="PADD III","PADD 3",IF($M11189="PADD IV","PADD 4",IF($M11189="PADD V","PADD 5","")))))</f>
        <v/>
      </c>
      <c r="G11189" s="6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  <c r="N11189" s="6">
        <f>IF(OR($G11189="FCC",$G11189="Hydrocracker",$G11189="Reformer"),IF(COUNTIFS($D:$D,$D11189,$A:$A,$A11189,$B:$B,$B11189,$G:$G,"CDU",$J:$J,"PLANNED")&gt;0,"tied","standalone"),"")</f>
        <v/>
      </c>
    </row>
    <row r="11190" spans="6:14">
      <c r="F11190" s="6">
        <f>IF($M11190="PADD I","PADD 1",IF($M11190="PADD II","PADD 2",IF($M11190="PADD III","PADD 3",IF($M11190="PADD IV","PADD 4",IF($M11190="PADD V","PADD 5","")))))</f>
        <v/>
      </c>
      <c r="G11190" s="6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  <c r="N11190" s="6">
        <f>IF(OR($G11190="FCC",$G11190="Hydrocracker",$G11190="Reformer"),IF(COUNTIFS($D:$D,$D11190,$A:$A,$A11190,$B:$B,$B11190,$G:$G,"CDU",$J:$J,"PLANNED")&gt;0,"tied","standalone"),"")</f>
        <v/>
      </c>
    </row>
    <row r="11191" spans="6:14">
      <c r="F11191" s="6">
        <f>IF($M11191="PADD I","PADD 1",IF($M11191="PADD II","PADD 2",IF($M11191="PADD III","PADD 3",IF($M11191="PADD IV","PADD 4",IF($M11191="PADD V","PADD 5","")))))</f>
        <v/>
      </c>
      <c r="G11191" s="6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  <c r="N11191" s="6">
        <f>IF(OR($G11191="FCC",$G11191="Hydrocracker",$G11191="Reformer"),IF(COUNTIFS($D:$D,$D11191,$A:$A,$A11191,$B:$B,$B11191,$G:$G,"CDU",$J:$J,"PLANNED")&gt;0,"tied","standalone"),"")</f>
        <v/>
      </c>
    </row>
    <row r="11192" spans="6:14">
      <c r="F11192" s="6">
        <f>IF($M11192="PADD I","PADD 1",IF($M11192="PADD II","PADD 2",IF($M11192="PADD III","PADD 3",IF($M11192="PADD IV","PADD 4",IF($M11192="PADD V","PADD 5","")))))</f>
        <v/>
      </c>
      <c r="G11192" s="6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  <c r="N11192" s="6">
        <f>IF(OR($G11192="FCC",$G11192="Hydrocracker",$G11192="Reformer"),IF(COUNTIFS($D:$D,$D11192,$A:$A,$A11192,$B:$B,$B11192,$G:$G,"CDU",$J:$J,"PLANNED")&gt;0,"tied","standalone"),"")</f>
        <v/>
      </c>
    </row>
    <row r="11193" spans="6:14">
      <c r="F11193" s="6">
        <f>IF($M11193="PADD I","PADD 1",IF($M11193="PADD II","PADD 2",IF($M11193="PADD III","PADD 3",IF($M11193="PADD IV","PADD 4",IF($M11193="PADD V","PADD 5","")))))</f>
        <v/>
      </c>
      <c r="G11193" s="6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  <c r="N11193" s="6">
        <f>IF(OR($G11193="FCC",$G11193="Hydrocracker",$G11193="Reformer"),IF(COUNTIFS($D:$D,$D11193,$A:$A,$A11193,$B:$B,$B11193,$G:$G,"CDU",$J:$J,"PLANNED")&gt;0,"tied","standalone"),"")</f>
        <v/>
      </c>
    </row>
    <row r="11194" spans="6:14">
      <c r="F11194" s="6">
        <f>IF($M11194="PADD I","PADD 1",IF($M11194="PADD II","PADD 2",IF($M11194="PADD III","PADD 3",IF($M11194="PADD IV","PADD 4",IF($M11194="PADD V","PADD 5","")))))</f>
        <v/>
      </c>
      <c r="G11194" s="6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  <c r="N11194" s="6">
        <f>IF(OR($G11194="FCC",$G11194="Hydrocracker",$G11194="Reformer"),IF(COUNTIFS($D:$D,$D11194,$A:$A,$A11194,$B:$B,$B11194,$G:$G,"CDU",$J:$J,"PLANNED")&gt;0,"tied","standalone"),"")</f>
        <v/>
      </c>
    </row>
    <row r="11195" spans="6:14">
      <c r="F11195" s="6">
        <f>IF($M11195="PADD I","PADD 1",IF($M11195="PADD II","PADD 2",IF($M11195="PADD III","PADD 3",IF($M11195="PADD IV","PADD 4",IF($M11195="PADD V","PADD 5","")))))</f>
        <v/>
      </c>
      <c r="G11195" s="6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  <c r="N11195" s="6">
        <f>IF(OR($G11195="FCC",$G11195="Hydrocracker",$G11195="Reformer"),IF(COUNTIFS($D:$D,$D11195,$A:$A,$A11195,$B:$B,$B11195,$G:$G,"CDU",$J:$J,"PLANNED")&gt;0,"tied","standalone"),"")</f>
        <v/>
      </c>
    </row>
    <row r="11196" spans="6:14">
      <c r="F11196" s="6">
        <f>IF($M11196="PADD I","PADD 1",IF($M11196="PADD II","PADD 2",IF($M11196="PADD III","PADD 3",IF($M11196="PADD IV","PADD 4",IF($M11196="PADD V","PADD 5","")))))</f>
        <v/>
      </c>
      <c r="G11196" s="6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  <c r="N11196" s="6">
        <f>IF(OR($G11196="FCC",$G11196="Hydrocracker",$G11196="Reformer"),IF(COUNTIFS($D:$D,$D11196,$A:$A,$A11196,$B:$B,$B11196,$G:$G,"CDU",$J:$J,"PLANNED")&gt;0,"tied","standalone"),"")</f>
        <v/>
      </c>
    </row>
    <row r="11197" spans="6:14">
      <c r="F11197" s="6">
        <f>IF($M11197="PADD I","PADD 1",IF($M11197="PADD II","PADD 2",IF($M11197="PADD III","PADD 3",IF($M11197="PADD IV","PADD 4",IF($M11197="PADD V","PADD 5","")))))</f>
        <v/>
      </c>
      <c r="G11197" s="6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  <c r="N11197" s="6">
        <f>IF(OR($G11197="FCC",$G11197="Hydrocracker",$G11197="Reformer"),IF(COUNTIFS($D:$D,$D11197,$A:$A,$A11197,$B:$B,$B11197,$G:$G,"CDU",$J:$J,"PLANNED")&gt;0,"tied","standalone"),"")</f>
        <v/>
      </c>
    </row>
    <row r="11198" spans="6:14">
      <c r="F11198" s="6">
        <f>IF($M11198="PADD I","PADD 1",IF($M11198="PADD II","PADD 2",IF($M11198="PADD III","PADD 3",IF($M11198="PADD IV","PADD 4",IF($M11198="PADD V","PADD 5","")))))</f>
        <v/>
      </c>
      <c r="G11198" s="6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  <c r="N11198" s="6">
        <f>IF(OR($G11198="FCC",$G11198="Hydrocracker",$G11198="Reformer"),IF(COUNTIFS($D:$D,$D11198,$A:$A,$A11198,$B:$B,$B11198,$G:$G,"CDU",$J:$J,"PLANNED")&gt;0,"tied","standalone"),"")</f>
        <v/>
      </c>
    </row>
    <row r="11199" spans="6:14">
      <c r="F11199" s="6">
        <f>IF($M11199="PADD I","PADD 1",IF($M11199="PADD II","PADD 2",IF($M11199="PADD III","PADD 3",IF($M11199="PADD IV","PADD 4",IF($M11199="PADD V","PADD 5","")))))</f>
        <v/>
      </c>
      <c r="G11199" s="6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  <c r="N11199" s="6">
        <f>IF(OR($G11199="FCC",$G11199="Hydrocracker",$G11199="Reformer"),IF(COUNTIFS($D:$D,$D11199,$A:$A,$A11199,$B:$B,$B11199,$G:$G,"CDU",$J:$J,"PLANNED")&gt;0,"tied","standalone"),"")</f>
        <v/>
      </c>
    </row>
    <row r="11200" spans="6:14">
      <c r="F11200" s="6">
        <f>IF($M11200="PADD I","PADD 1",IF($M11200="PADD II","PADD 2",IF($M11200="PADD III","PADD 3",IF($M11200="PADD IV","PADD 4",IF($M11200="PADD V","PADD 5","")))))</f>
        <v/>
      </c>
      <c r="G11200" s="6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  <c r="N11200" s="6">
        <f>IF(OR($G11200="FCC",$G11200="Hydrocracker",$G11200="Reformer"),IF(COUNTIFS($D:$D,$D11200,$A:$A,$A11200,$B:$B,$B11200,$G:$G,"CDU",$J:$J,"PLANNED")&gt;0,"tied","standalone"),"")</f>
        <v/>
      </c>
    </row>
    <row r="11201" spans="6:14">
      <c r="F11201" s="6">
        <f>IF($M11201="PADD I","PADD 1",IF($M11201="PADD II","PADD 2",IF($M11201="PADD III","PADD 3",IF($M11201="PADD IV","PADD 4",IF($M11201="PADD V","PADD 5","")))))</f>
        <v/>
      </c>
      <c r="G11201" s="6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  <c r="N11201" s="6">
        <f>IF(OR($G11201="FCC",$G11201="Hydrocracker",$G11201="Reformer"),IF(COUNTIFS($D:$D,$D11201,$A:$A,$A11201,$B:$B,$B11201,$G:$G,"CDU",$J:$J,"PLANNED")&gt;0,"tied","standalone"),"")</f>
        <v/>
      </c>
    </row>
    <row r="11202" spans="6:14">
      <c r="F11202" s="6">
        <f>IF($M11202="PADD I","PADD 1",IF($M11202="PADD II","PADD 2",IF($M11202="PADD III","PADD 3",IF($M11202="PADD IV","PADD 4",IF($M11202="PADD V","PADD 5","")))))</f>
        <v/>
      </c>
      <c r="G11202" s="6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  <c r="N11202" s="6">
        <f>IF(OR($G11202="FCC",$G11202="Hydrocracker",$G11202="Reformer"),IF(COUNTIFS($D:$D,$D11202,$A:$A,$A11202,$B:$B,$B11202,$G:$G,"CDU",$J:$J,"PLANNED")&gt;0,"tied","standalone"),"")</f>
        <v/>
      </c>
    </row>
    <row r="11203" spans="6:14">
      <c r="F11203" s="6">
        <f>IF($M11203="PADD I","PADD 1",IF($M11203="PADD II","PADD 2",IF($M11203="PADD III","PADD 3",IF($M11203="PADD IV","PADD 4",IF($M11203="PADD V","PADD 5","")))))</f>
        <v/>
      </c>
      <c r="G11203" s="6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  <c r="N11203" s="6">
        <f>IF(OR($G11203="FCC",$G11203="Hydrocracker",$G11203="Reformer"),IF(COUNTIFS($D:$D,$D11203,$A:$A,$A11203,$B:$B,$B11203,$G:$G,"CDU",$J:$J,"PLANNED")&gt;0,"tied","standalone"),"")</f>
        <v/>
      </c>
    </row>
    <row r="11204" spans="6:14">
      <c r="F11204" s="6">
        <f>IF($M11204="PADD I","PADD 1",IF($M11204="PADD II","PADD 2",IF($M11204="PADD III","PADD 3",IF($M11204="PADD IV","PADD 4",IF($M11204="PADD V","PADD 5","")))))</f>
        <v/>
      </c>
      <c r="G11204" s="6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  <c r="N11204" s="6">
        <f>IF(OR($G11204="FCC",$G11204="Hydrocracker",$G11204="Reformer"),IF(COUNTIFS($D:$D,$D11204,$A:$A,$A11204,$B:$B,$B11204,$G:$G,"CDU",$J:$J,"PLANNED")&gt;0,"tied","standalone"),"")</f>
        <v/>
      </c>
    </row>
    <row r="11205" spans="6:14">
      <c r="F11205" s="6">
        <f>IF($M11205="PADD I","PADD 1",IF($M11205="PADD II","PADD 2",IF($M11205="PADD III","PADD 3",IF($M11205="PADD IV","PADD 4",IF($M11205="PADD V","PADD 5","")))))</f>
        <v/>
      </c>
      <c r="G11205" s="6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  <c r="N11205" s="6">
        <f>IF(OR($G11205="FCC",$G11205="Hydrocracker",$G11205="Reformer"),IF(COUNTIFS($D:$D,$D11205,$A:$A,$A11205,$B:$B,$B11205,$G:$G,"CDU",$J:$J,"PLANNED")&gt;0,"tied","standalone"),"")</f>
        <v/>
      </c>
    </row>
    <row r="11206" spans="6:14">
      <c r="F11206" s="6">
        <f>IF($M11206="PADD I","PADD 1",IF($M11206="PADD II","PADD 2",IF($M11206="PADD III","PADD 3",IF($M11206="PADD IV","PADD 4",IF($M11206="PADD V","PADD 5","")))))</f>
        <v/>
      </c>
      <c r="G11206" s="6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  <c r="N11206" s="6">
        <f>IF(OR($G11206="FCC",$G11206="Hydrocracker",$G11206="Reformer"),IF(COUNTIFS($D:$D,$D11206,$A:$A,$A11206,$B:$B,$B11206,$G:$G,"CDU",$J:$J,"PLANNED")&gt;0,"tied","standalone"),"")</f>
        <v/>
      </c>
    </row>
    <row r="11207" spans="6:14">
      <c r="F11207" s="6">
        <f>IF($M11207="PADD I","PADD 1",IF($M11207="PADD II","PADD 2",IF($M11207="PADD III","PADD 3",IF($M11207="PADD IV","PADD 4",IF($M11207="PADD V","PADD 5","")))))</f>
        <v/>
      </c>
      <c r="G11207" s="6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  <c r="N11207" s="6">
        <f>IF(OR($G11207="FCC",$G11207="Hydrocracker",$G11207="Reformer"),IF(COUNTIFS($D:$D,$D11207,$A:$A,$A11207,$B:$B,$B11207,$G:$G,"CDU",$J:$J,"PLANNED")&gt;0,"tied","standalone"),"")</f>
        <v/>
      </c>
    </row>
    <row r="11208" spans="6:14">
      <c r="F11208" s="6">
        <f>IF($M11208="PADD I","PADD 1",IF($M11208="PADD II","PADD 2",IF($M11208="PADD III","PADD 3",IF($M11208="PADD IV","PADD 4",IF($M11208="PADD V","PADD 5","")))))</f>
        <v/>
      </c>
      <c r="G11208" s="6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  <c r="N11208" s="6">
        <f>IF(OR($G11208="FCC",$G11208="Hydrocracker",$G11208="Reformer"),IF(COUNTIFS($D:$D,$D11208,$A:$A,$A11208,$B:$B,$B11208,$G:$G,"CDU",$J:$J,"PLANNED")&gt;0,"tied","standalone"),"")</f>
        <v/>
      </c>
    </row>
    <row r="11209" spans="6:14">
      <c r="F11209" s="6">
        <f>IF($M11209="PADD I","PADD 1",IF($M11209="PADD II","PADD 2",IF($M11209="PADD III","PADD 3",IF($M11209="PADD IV","PADD 4",IF($M11209="PADD V","PADD 5","")))))</f>
        <v/>
      </c>
      <c r="G11209" s="6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  <c r="N11209" s="6">
        <f>IF(OR($G11209="FCC",$G11209="Hydrocracker",$G11209="Reformer"),IF(COUNTIFS($D:$D,$D11209,$A:$A,$A11209,$B:$B,$B11209,$G:$G,"CDU",$J:$J,"PLANNED")&gt;0,"tied","standalone"),"")</f>
        <v/>
      </c>
    </row>
    <row r="11210" spans="6:14">
      <c r="F11210" s="6">
        <f>IF($M11210="PADD I","PADD 1",IF($M11210="PADD II","PADD 2",IF($M11210="PADD III","PADD 3",IF($M11210="PADD IV","PADD 4",IF($M11210="PADD V","PADD 5","")))))</f>
        <v/>
      </c>
      <c r="G11210" s="6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  <c r="N11210" s="6">
        <f>IF(OR($G11210="FCC",$G11210="Hydrocracker",$G11210="Reformer"),IF(COUNTIFS($D:$D,$D11210,$A:$A,$A11210,$B:$B,$B11210,$G:$G,"CDU",$J:$J,"PLANNED")&gt;0,"tied","standalone"),"")</f>
        <v/>
      </c>
    </row>
    <row r="11211" spans="6:14">
      <c r="F11211" s="6">
        <f>IF($M11211="PADD I","PADD 1",IF($M11211="PADD II","PADD 2",IF($M11211="PADD III","PADD 3",IF($M11211="PADD IV","PADD 4",IF($M11211="PADD V","PADD 5","")))))</f>
        <v/>
      </c>
      <c r="G11211" s="6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  <c r="N11211" s="6">
        <f>IF(OR($G11211="FCC",$G11211="Hydrocracker",$G11211="Reformer"),IF(COUNTIFS($D:$D,$D11211,$A:$A,$A11211,$B:$B,$B11211,$G:$G,"CDU",$J:$J,"PLANNED")&gt;0,"tied","standalone"),"")</f>
        <v/>
      </c>
    </row>
    <row r="11212" spans="6:14">
      <c r="F11212" s="6">
        <f>IF($M11212="PADD I","PADD 1",IF($M11212="PADD II","PADD 2",IF($M11212="PADD III","PADD 3",IF($M11212="PADD IV","PADD 4",IF($M11212="PADD V","PADD 5","")))))</f>
        <v/>
      </c>
      <c r="G11212" s="6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  <c r="N11212" s="6">
        <f>IF(OR($G11212="FCC",$G11212="Hydrocracker",$G11212="Reformer"),IF(COUNTIFS($D:$D,$D11212,$A:$A,$A11212,$B:$B,$B11212,$G:$G,"CDU",$J:$J,"PLANNED")&gt;0,"tied","standalone"),"")</f>
        <v/>
      </c>
    </row>
    <row r="11213" spans="6:14">
      <c r="F11213" s="6">
        <f>IF($M11213="PADD I","PADD 1",IF($M11213="PADD II","PADD 2",IF($M11213="PADD III","PADD 3",IF($M11213="PADD IV","PADD 4",IF($M11213="PADD V","PADD 5","")))))</f>
        <v/>
      </c>
      <c r="G11213" s="6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  <c r="N11213" s="6">
        <f>IF(OR($G11213="FCC",$G11213="Hydrocracker",$G11213="Reformer"),IF(COUNTIFS($D:$D,$D11213,$A:$A,$A11213,$B:$B,$B11213,$G:$G,"CDU",$J:$J,"PLANNED")&gt;0,"tied","standalone"),"")</f>
        <v/>
      </c>
    </row>
    <row r="11214" spans="6:14">
      <c r="F11214" s="6">
        <f>IF($M11214="PADD I","PADD 1",IF($M11214="PADD II","PADD 2",IF($M11214="PADD III","PADD 3",IF($M11214="PADD IV","PADD 4",IF($M11214="PADD V","PADD 5","")))))</f>
        <v/>
      </c>
      <c r="G11214" s="6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  <c r="N11214" s="6">
        <f>IF(OR($G11214="FCC",$G11214="Hydrocracker",$G11214="Reformer"),IF(COUNTIFS($D:$D,$D11214,$A:$A,$A11214,$B:$B,$B11214,$G:$G,"CDU",$J:$J,"PLANNED")&gt;0,"tied","standalone"),"")</f>
        <v/>
      </c>
    </row>
    <row r="11215" spans="6:14">
      <c r="F11215" s="6">
        <f>IF($M11215="PADD I","PADD 1",IF($M11215="PADD II","PADD 2",IF($M11215="PADD III","PADD 3",IF($M11215="PADD IV","PADD 4",IF($M11215="PADD V","PADD 5","")))))</f>
        <v/>
      </c>
      <c r="G11215" s="6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  <c r="N11215" s="6">
        <f>IF(OR($G11215="FCC",$G11215="Hydrocracker",$G11215="Reformer"),IF(COUNTIFS($D:$D,$D11215,$A:$A,$A11215,$B:$B,$B11215,$G:$G,"CDU",$J:$J,"PLANNED")&gt;0,"tied","standalone"),"")</f>
        <v/>
      </c>
    </row>
    <row r="11216" spans="6:14">
      <c r="F11216" s="6">
        <f>IF($M11216="PADD I","PADD 1",IF($M11216="PADD II","PADD 2",IF($M11216="PADD III","PADD 3",IF($M11216="PADD IV","PADD 4",IF($M11216="PADD V","PADD 5","")))))</f>
        <v/>
      </c>
      <c r="G11216" s="6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  <c r="N11216" s="6">
        <f>IF(OR($G11216="FCC",$G11216="Hydrocracker",$G11216="Reformer"),IF(COUNTIFS($D:$D,$D11216,$A:$A,$A11216,$B:$B,$B11216,$G:$G,"CDU",$J:$J,"PLANNED")&gt;0,"tied","standalone"),"")</f>
        <v/>
      </c>
    </row>
    <row r="11217" spans="6:14">
      <c r="F11217" s="6">
        <f>IF($M11217="PADD I","PADD 1",IF($M11217="PADD II","PADD 2",IF($M11217="PADD III","PADD 3",IF($M11217="PADD IV","PADD 4",IF($M11217="PADD V","PADD 5","")))))</f>
        <v/>
      </c>
      <c r="G11217" s="6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  <c r="N11217" s="6">
        <f>IF(OR($G11217="FCC",$G11217="Hydrocracker",$G11217="Reformer"),IF(COUNTIFS($D:$D,$D11217,$A:$A,$A11217,$B:$B,$B11217,$G:$G,"CDU",$J:$J,"PLANNED")&gt;0,"tied","standalone"),"")</f>
        <v/>
      </c>
    </row>
    <row r="11218" spans="6:14">
      <c r="F11218" s="6">
        <f>IF($M11218="PADD I","PADD 1",IF($M11218="PADD II","PADD 2",IF($M11218="PADD III","PADD 3",IF($M11218="PADD IV","PADD 4",IF($M11218="PADD V","PADD 5","")))))</f>
        <v/>
      </c>
      <c r="G11218" s="6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  <c r="N11218" s="6">
        <f>IF(OR($G11218="FCC",$G11218="Hydrocracker",$G11218="Reformer"),IF(COUNTIFS($D:$D,$D11218,$A:$A,$A11218,$B:$B,$B11218,$G:$G,"CDU",$J:$J,"PLANNED")&gt;0,"tied","standalone"),"")</f>
        <v/>
      </c>
    </row>
    <row r="11219" spans="6:14">
      <c r="F11219" s="6">
        <f>IF($M11219="PADD I","PADD 1",IF($M11219="PADD II","PADD 2",IF($M11219="PADD III","PADD 3",IF($M11219="PADD IV","PADD 4",IF($M11219="PADD V","PADD 5","")))))</f>
        <v/>
      </c>
      <c r="G11219" s="6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  <c r="N11219" s="6">
        <f>IF(OR($G11219="FCC",$G11219="Hydrocracker",$G11219="Reformer"),IF(COUNTIFS($D:$D,$D11219,$A:$A,$A11219,$B:$B,$B11219,$G:$G,"CDU",$J:$J,"PLANNED")&gt;0,"tied","standalone"),"")</f>
        <v/>
      </c>
    </row>
    <row r="11220" spans="6:14">
      <c r="F11220" s="6">
        <f>IF($M11220="PADD I","PADD 1",IF($M11220="PADD II","PADD 2",IF($M11220="PADD III","PADD 3",IF($M11220="PADD IV","PADD 4",IF($M11220="PADD V","PADD 5","")))))</f>
        <v/>
      </c>
      <c r="G11220" s="6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  <c r="N11220" s="6">
        <f>IF(OR($G11220="FCC",$G11220="Hydrocracker",$G11220="Reformer"),IF(COUNTIFS($D:$D,$D11220,$A:$A,$A11220,$B:$B,$B11220,$G:$G,"CDU",$J:$J,"PLANNED")&gt;0,"tied","standalone"),"")</f>
        <v/>
      </c>
    </row>
    <row r="11221" spans="6:14">
      <c r="F11221" s="6">
        <f>IF($M11221="PADD I","PADD 1",IF($M11221="PADD II","PADD 2",IF($M11221="PADD III","PADD 3",IF($M11221="PADD IV","PADD 4",IF($M11221="PADD V","PADD 5","")))))</f>
        <v/>
      </c>
      <c r="G11221" s="6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  <c r="N11221" s="6">
        <f>IF(OR($G11221="FCC",$G11221="Hydrocracker",$G11221="Reformer"),IF(COUNTIFS($D:$D,$D11221,$A:$A,$A11221,$B:$B,$B11221,$G:$G,"CDU",$J:$J,"PLANNED")&gt;0,"tied","standalone"),"")</f>
        <v/>
      </c>
    </row>
    <row r="11222" spans="6:14">
      <c r="F11222" s="6">
        <f>IF($M11222="PADD I","PADD 1",IF($M11222="PADD II","PADD 2",IF($M11222="PADD III","PADD 3",IF($M11222="PADD IV","PADD 4",IF($M11222="PADD V","PADD 5","")))))</f>
        <v/>
      </c>
      <c r="G11222" s="6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  <c r="N11222" s="6">
        <f>IF(OR($G11222="FCC",$G11222="Hydrocracker",$G11222="Reformer"),IF(COUNTIFS($D:$D,$D11222,$A:$A,$A11222,$B:$B,$B11222,$G:$G,"CDU",$J:$J,"PLANNED")&gt;0,"tied","standalone"),"")</f>
        <v/>
      </c>
    </row>
    <row r="11223" spans="6:14">
      <c r="F11223" s="6">
        <f>IF($M11223="PADD I","PADD 1",IF($M11223="PADD II","PADD 2",IF($M11223="PADD III","PADD 3",IF($M11223="PADD IV","PADD 4",IF($M11223="PADD V","PADD 5","")))))</f>
        <v/>
      </c>
      <c r="G11223" s="6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  <c r="N11223" s="6">
        <f>IF(OR($G11223="FCC",$G11223="Hydrocracker",$G11223="Reformer"),IF(COUNTIFS($D:$D,$D11223,$A:$A,$A11223,$B:$B,$B11223,$G:$G,"CDU",$J:$J,"PLANNED")&gt;0,"tied","standalone"),"")</f>
        <v/>
      </c>
    </row>
    <row r="11224" spans="6:14">
      <c r="F11224" s="6">
        <f>IF($M11224="PADD I","PADD 1",IF($M11224="PADD II","PADD 2",IF($M11224="PADD III","PADD 3",IF($M11224="PADD IV","PADD 4",IF($M11224="PADD V","PADD 5","")))))</f>
        <v/>
      </c>
      <c r="G11224" s="6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  <c r="N11224" s="6">
        <f>IF(OR($G11224="FCC",$G11224="Hydrocracker",$G11224="Reformer"),IF(COUNTIFS($D:$D,$D11224,$A:$A,$A11224,$B:$B,$B11224,$G:$G,"CDU",$J:$J,"PLANNED")&gt;0,"tied","standalone"),"")</f>
        <v/>
      </c>
    </row>
    <row r="11225" spans="6:14">
      <c r="F11225" s="6">
        <f>IF($M11225="PADD I","PADD 1",IF($M11225="PADD II","PADD 2",IF($M11225="PADD III","PADD 3",IF($M11225="PADD IV","PADD 4",IF($M11225="PADD V","PADD 5","")))))</f>
        <v/>
      </c>
      <c r="G11225" s="6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  <c r="N11225" s="6">
        <f>IF(OR($G11225="FCC",$G11225="Hydrocracker",$G11225="Reformer"),IF(COUNTIFS($D:$D,$D11225,$A:$A,$A11225,$B:$B,$B11225,$G:$G,"CDU",$J:$J,"PLANNED")&gt;0,"tied","standalone"),"")</f>
        <v/>
      </c>
    </row>
    <row r="11226" spans="6:14">
      <c r="F11226" s="6">
        <f>IF($M11226="PADD I","PADD 1",IF($M11226="PADD II","PADD 2",IF($M11226="PADD III","PADD 3",IF($M11226="PADD IV","PADD 4",IF($M11226="PADD V","PADD 5","")))))</f>
        <v/>
      </c>
      <c r="G11226" s="6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  <c r="N11226" s="6">
        <f>IF(OR($G11226="FCC",$G11226="Hydrocracker",$G11226="Reformer"),IF(COUNTIFS($D:$D,$D11226,$A:$A,$A11226,$B:$B,$B11226,$G:$G,"CDU",$J:$J,"PLANNED")&gt;0,"tied","standalone"),"")</f>
        <v/>
      </c>
    </row>
    <row r="11227" spans="6:14">
      <c r="F11227" s="6">
        <f>IF($M11227="PADD I","PADD 1",IF($M11227="PADD II","PADD 2",IF($M11227="PADD III","PADD 3",IF($M11227="PADD IV","PADD 4",IF($M11227="PADD V","PADD 5","")))))</f>
        <v/>
      </c>
      <c r="G11227" s="6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  <c r="N11227" s="6">
        <f>IF(OR($G11227="FCC",$G11227="Hydrocracker",$G11227="Reformer"),IF(COUNTIFS($D:$D,$D11227,$A:$A,$A11227,$B:$B,$B11227,$G:$G,"CDU",$J:$J,"PLANNED")&gt;0,"tied","standalone"),"")</f>
        <v/>
      </c>
    </row>
    <row r="11228" spans="6:14">
      <c r="F11228" s="6">
        <f>IF($M11228="PADD I","PADD 1",IF($M11228="PADD II","PADD 2",IF($M11228="PADD III","PADD 3",IF($M11228="PADD IV","PADD 4",IF($M11228="PADD V","PADD 5","")))))</f>
        <v/>
      </c>
      <c r="G11228" s="6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  <c r="N11228" s="6">
        <f>IF(OR($G11228="FCC",$G11228="Hydrocracker",$G11228="Reformer"),IF(COUNTIFS($D:$D,$D11228,$A:$A,$A11228,$B:$B,$B11228,$G:$G,"CDU",$J:$J,"PLANNED")&gt;0,"tied","standalone"),"")</f>
        <v/>
      </c>
    </row>
    <row r="11229" spans="6:14">
      <c r="F11229" s="6">
        <f>IF($M11229="PADD I","PADD 1",IF($M11229="PADD II","PADD 2",IF($M11229="PADD III","PADD 3",IF($M11229="PADD IV","PADD 4",IF($M11229="PADD V","PADD 5","")))))</f>
        <v/>
      </c>
      <c r="G11229" s="6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  <c r="N11229" s="6">
        <f>IF(OR($G11229="FCC",$G11229="Hydrocracker",$G11229="Reformer"),IF(COUNTIFS($D:$D,$D11229,$A:$A,$A11229,$B:$B,$B11229,$G:$G,"CDU",$J:$J,"PLANNED")&gt;0,"tied","standalone"),"")</f>
        <v/>
      </c>
    </row>
    <row r="11230" spans="6:14">
      <c r="F11230" s="6">
        <f>IF($M11230="PADD I","PADD 1",IF($M11230="PADD II","PADD 2",IF($M11230="PADD III","PADD 3",IF($M11230="PADD IV","PADD 4",IF($M11230="PADD V","PADD 5","")))))</f>
        <v/>
      </c>
      <c r="G11230" s="6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  <c r="N11230" s="6">
        <f>IF(OR($G11230="FCC",$G11230="Hydrocracker",$G11230="Reformer"),IF(COUNTIFS($D:$D,$D11230,$A:$A,$A11230,$B:$B,$B11230,$G:$G,"CDU",$J:$J,"PLANNED")&gt;0,"tied","standalone"),"")</f>
        <v/>
      </c>
    </row>
    <row r="11231" spans="6:14">
      <c r="F11231" s="6">
        <f>IF($M11231="PADD I","PADD 1",IF($M11231="PADD II","PADD 2",IF($M11231="PADD III","PADD 3",IF($M11231="PADD IV","PADD 4",IF($M11231="PADD V","PADD 5","")))))</f>
        <v/>
      </c>
      <c r="G11231" s="6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  <c r="N11231" s="6">
        <f>IF(OR($G11231="FCC",$G11231="Hydrocracker",$G11231="Reformer"),IF(COUNTIFS($D:$D,$D11231,$A:$A,$A11231,$B:$B,$B11231,$G:$G,"CDU",$J:$J,"PLANNED")&gt;0,"tied","standalone"),"")</f>
        <v/>
      </c>
    </row>
    <row r="11232" spans="6:14">
      <c r="F11232" s="6">
        <f>IF($M11232="PADD I","PADD 1",IF($M11232="PADD II","PADD 2",IF($M11232="PADD III","PADD 3",IF($M11232="PADD IV","PADD 4",IF($M11232="PADD V","PADD 5","")))))</f>
        <v/>
      </c>
      <c r="G11232" s="6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  <c r="N11232" s="6">
        <f>IF(OR($G11232="FCC",$G11232="Hydrocracker",$G11232="Reformer"),IF(COUNTIFS($D:$D,$D11232,$A:$A,$A11232,$B:$B,$B11232,$G:$G,"CDU",$J:$J,"PLANNED")&gt;0,"tied","standalone"),"")</f>
        <v/>
      </c>
    </row>
    <row r="11233" spans="6:14">
      <c r="F11233" s="6">
        <f>IF($M11233="PADD I","PADD 1",IF($M11233="PADD II","PADD 2",IF($M11233="PADD III","PADD 3",IF($M11233="PADD IV","PADD 4",IF($M11233="PADD V","PADD 5","")))))</f>
        <v/>
      </c>
      <c r="G11233" s="6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  <c r="N11233" s="6">
        <f>IF(OR($G11233="FCC",$G11233="Hydrocracker",$G11233="Reformer"),IF(COUNTIFS($D:$D,$D11233,$A:$A,$A11233,$B:$B,$B11233,$G:$G,"CDU",$J:$J,"PLANNED")&gt;0,"tied","standalone"),"")</f>
        <v/>
      </c>
    </row>
    <row r="11234" spans="6:14">
      <c r="F11234" s="6">
        <f>IF($M11234="PADD I","PADD 1",IF($M11234="PADD II","PADD 2",IF($M11234="PADD III","PADD 3",IF($M11234="PADD IV","PADD 4",IF($M11234="PADD V","PADD 5","")))))</f>
        <v/>
      </c>
      <c r="G11234" s="6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  <c r="N11234" s="6">
        <f>IF(OR($G11234="FCC",$G11234="Hydrocracker",$G11234="Reformer"),IF(COUNTIFS($D:$D,$D11234,$A:$A,$A11234,$B:$B,$B11234,$G:$G,"CDU",$J:$J,"PLANNED")&gt;0,"tied","standalone"),"")</f>
        <v/>
      </c>
    </row>
    <row r="11235" spans="6:14">
      <c r="F11235" s="6">
        <f>IF($M11235="PADD I","PADD 1",IF($M11235="PADD II","PADD 2",IF($M11235="PADD III","PADD 3",IF($M11235="PADD IV","PADD 4",IF($M11235="PADD V","PADD 5","")))))</f>
        <v/>
      </c>
      <c r="G11235" s="6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  <c r="N11235" s="6">
        <f>IF(OR($G11235="FCC",$G11235="Hydrocracker",$G11235="Reformer"),IF(COUNTIFS($D:$D,$D11235,$A:$A,$A11235,$B:$B,$B11235,$G:$G,"CDU",$J:$J,"PLANNED")&gt;0,"tied","standalone"),"")</f>
        <v/>
      </c>
    </row>
    <row r="11236" spans="6:14">
      <c r="F11236" s="6">
        <f>IF($M11236="PADD I","PADD 1",IF($M11236="PADD II","PADD 2",IF($M11236="PADD III","PADD 3",IF($M11236="PADD IV","PADD 4",IF($M11236="PADD V","PADD 5","")))))</f>
        <v/>
      </c>
      <c r="G11236" s="6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  <c r="N11236" s="6">
        <f>IF(OR($G11236="FCC",$G11236="Hydrocracker",$G11236="Reformer"),IF(COUNTIFS($D:$D,$D11236,$A:$A,$A11236,$B:$B,$B11236,$G:$G,"CDU",$J:$J,"PLANNED")&gt;0,"tied","standalone"),"")</f>
        <v/>
      </c>
    </row>
    <row r="11237" spans="6:14">
      <c r="F11237" s="6">
        <f>IF($M11237="PADD I","PADD 1",IF($M11237="PADD II","PADD 2",IF($M11237="PADD III","PADD 3",IF($M11237="PADD IV","PADD 4",IF($M11237="PADD V","PADD 5","")))))</f>
        <v/>
      </c>
      <c r="G11237" s="6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  <c r="N11237" s="6">
        <f>IF(OR($G11237="FCC",$G11237="Hydrocracker",$G11237="Reformer"),IF(COUNTIFS($D:$D,$D11237,$A:$A,$A11237,$B:$B,$B11237,$G:$G,"CDU",$J:$J,"PLANNED")&gt;0,"tied","standalone"),"")</f>
        <v/>
      </c>
    </row>
    <row r="11238" spans="6:14">
      <c r="F11238" s="6">
        <f>IF($M11238="PADD I","PADD 1",IF($M11238="PADD II","PADD 2",IF($M11238="PADD III","PADD 3",IF($M11238="PADD IV","PADD 4",IF($M11238="PADD V","PADD 5","")))))</f>
        <v/>
      </c>
      <c r="G11238" s="6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  <c r="N11238" s="6">
        <f>IF(OR($G11238="FCC",$G11238="Hydrocracker",$G11238="Reformer"),IF(COUNTIFS($D:$D,$D11238,$A:$A,$A11238,$B:$B,$B11238,$G:$G,"CDU",$J:$J,"PLANNED")&gt;0,"tied","standalone"),"")</f>
        <v/>
      </c>
    </row>
    <row r="11239" spans="6:14">
      <c r="F11239" s="6">
        <f>IF($M11239="PADD I","PADD 1",IF($M11239="PADD II","PADD 2",IF($M11239="PADD III","PADD 3",IF($M11239="PADD IV","PADD 4",IF($M11239="PADD V","PADD 5","")))))</f>
        <v/>
      </c>
      <c r="G11239" s="6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  <c r="N11239" s="6">
        <f>IF(OR($G11239="FCC",$G11239="Hydrocracker",$G11239="Reformer"),IF(COUNTIFS($D:$D,$D11239,$A:$A,$A11239,$B:$B,$B11239,$G:$G,"CDU",$J:$J,"PLANNED")&gt;0,"tied","standalone"),"")</f>
        <v/>
      </c>
    </row>
    <row r="11240" spans="6:14">
      <c r="F11240" s="6">
        <f>IF($M11240="PADD I","PADD 1",IF($M11240="PADD II","PADD 2",IF($M11240="PADD III","PADD 3",IF($M11240="PADD IV","PADD 4",IF($M11240="PADD V","PADD 5","")))))</f>
        <v/>
      </c>
      <c r="G11240" s="6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  <c r="N11240" s="6">
        <f>IF(OR($G11240="FCC",$G11240="Hydrocracker",$G11240="Reformer"),IF(COUNTIFS($D:$D,$D11240,$A:$A,$A11240,$B:$B,$B11240,$G:$G,"CDU",$J:$J,"PLANNED")&gt;0,"tied","standalone"),"")</f>
        <v/>
      </c>
    </row>
    <row r="11241" spans="6:14">
      <c r="F11241" s="6">
        <f>IF($M11241="PADD I","PADD 1",IF($M11241="PADD II","PADD 2",IF($M11241="PADD III","PADD 3",IF($M11241="PADD IV","PADD 4",IF($M11241="PADD V","PADD 5","")))))</f>
        <v/>
      </c>
      <c r="G11241" s="6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  <c r="N11241" s="6">
        <f>IF(OR($G11241="FCC",$G11241="Hydrocracker",$G11241="Reformer"),IF(COUNTIFS($D:$D,$D11241,$A:$A,$A11241,$B:$B,$B11241,$G:$G,"CDU",$J:$J,"PLANNED")&gt;0,"tied","standalone"),"")</f>
        <v/>
      </c>
    </row>
    <row r="11242" spans="6:14">
      <c r="F11242" s="6">
        <f>IF($M11242="PADD I","PADD 1",IF($M11242="PADD II","PADD 2",IF($M11242="PADD III","PADD 3",IF($M11242="PADD IV","PADD 4",IF($M11242="PADD V","PADD 5","")))))</f>
        <v/>
      </c>
      <c r="G11242" s="6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  <c r="N11242" s="6">
        <f>IF(OR($G11242="FCC",$G11242="Hydrocracker",$G11242="Reformer"),IF(COUNTIFS($D:$D,$D11242,$A:$A,$A11242,$B:$B,$B11242,$G:$G,"CDU",$J:$J,"PLANNED")&gt;0,"tied","standalone"),"")</f>
        <v/>
      </c>
    </row>
    <row r="11243" spans="6:14">
      <c r="F11243" s="6">
        <f>IF($M11243="PADD I","PADD 1",IF($M11243="PADD II","PADD 2",IF($M11243="PADD III","PADD 3",IF($M11243="PADD IV","PADD 4",IF($M11243="PADD V","PADD 5","")))))</f>
        <v/>
      </c>
      <c r="G11243" s="6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  <c r="N11243" s="6">
        <f>IF(OR($G11243="FCC",$G11243="Hydrocracker",$G11243="Reformer"),IF(COUNTIFS($D:$D,$D11243,$A:$A,$A11243,$B:$B,$B11243,$G:$G,"CDU",$J:$J,"PLANNED")&gt;0,"tied","standalone"),"")</f>
        <v/>
      </c>
    </row>
    <row r="11244" spans="6:14">
      <c r="F11244" s="6">
        <f>IF($M11244="PADD I","PADD 1",IF($M11244="PADD II","PADD 2",IF($M11244="PADD III","PADD 3",IF($M11244="PADD IV","PADD 4",IF($M11244="PADD V","PADD 5","")))))</f>
        <v/>
      </c>
      <c r="G11244" s="6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  <c r="N11244" s="6">
        <f>IF(OR($G11244="FCC",$G11244="Hydrocracker",$G11244="Reformer"),IF(COUNTIFS($D:$D,$D11244,$A:$A,$A11244,$B:$B,$B11244,$G:$G,"CDU",$J:$J,"PLANNED")&gt;0,"tied","standalone"),"")</f>
        <v/>
      </c>
    </row>
    <row r="11245" spans="6:14">
      <c r="F11245" s="6">
        <f>IF($M11245="PADD I","PADD 1",IF($M11245="PADD II","PADD 2",IF($M11245="PADD III","PADD 3",IF($M11245="PADD IV","PADD 4",IF($M11245="PADD V","PADD 5","")))))</f>
        <v/>
      </c>
      <c r="G11245" s="6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  <c r="N11245" s="6">
        <f>IF(OR($G11245="FCC",$G11245="Hydrocracker",$G11245="Reformer"),IF(COUNTIFS($D:$D,$D11245,$A:$A,$A11245,$B:$B,$B11245,$G:$G,"CDU",$J:$J,"PLANNED")&gt;0,"tied","standalone"),"")</f>
        <v/>
      </c>
    </row>
    <row r="11246" spans="6:14">
      <c r="F11246" s="6">
        <f>IF($M11246="PADD I","PADD 1",IF($M11246="PADD II","PADD 2",IF($M11246="PADD III","PADD 3",IF($M11246="PADD IV","PADD 4",IF($M11246="PADD V","PADD 5","")))))</f>
        <v/>
      </c>
      <c r="G11246" s="6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  <c r="N11246" s="6">
        <f>IF(OR($G11246="FCC",$G11246="Hydrocracker",$G11246="Reformer"),IF(COUNTIFS($D:$D,$D11246,$A:$A,$A11246,$B:$B,$B11246,$G:$G,"CDU",$J:$J,"PLANNED")&gt;0,"tied","standalone"),"")</f>
        <v/>
      </c>
    </row>
    <row r="11247" spans="6:14">
      <c r="F11247" s="6">
        <f>IF($M11247="PADD I","PADD 1",IF($M11247="PADD II","PADD 2",IF($M11247="PADD III","PADD 3",IF($M11247="PADD IV","PADD 4",IF($M11247="PADD V","PADD 5","")))))</f>
        <v/>
      </c>
      <c r="G11247" s="6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  <c r="N11247" s="6">
        <f>IF(OR($G11247="FCC",$G11247="Hydrocracker",$G11247="Reformer"),IF(COUNTIFS($D:$D,$D11247,$A:$A,$A11247,$B:$B,$B11247,$G:$G,"CDU",$J:$J,"PLANNED")&gt;0,"tied","standalone"),"")</f>
        <v/>
      </c>
    </row>
    <row r="11248" spans="6:14">
      <c r="F11248" s="6">
        <f>IF($M11248="PADD I","PADD 1",IF($M11248="PADD II","PADD 2",IF($M11248="PADD III","PADD 3",IF($M11248="PADD IV","PADD 4",IF($M11248="PADD V","PADD 5","")))))</f>
        <v/>
      </c>
      <c r="G11248" s="6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  <c r="N11248" s="6">
        <f>IF(OR($G11248="FCC",$G11248="Hydrocracker",$G11248="Reformer"),IF(COUNTIFS($D:$D,$D11248,$A:$A,$A11248,$B:$B,$B11248,$G:$G,"CDU",$J:$J,"PLANNED")&gt;0,"tied","standalone"),"")</f>
        <v/>
      </c>
    </row>
    <row r="11249" spans="6:14">
      <c r="F11249" s="6">
        <f>IF($M11249="PADD I","PADD 1",IF($M11249="PADD II","PADD 2",IF($M11249="PADD III","PADD 3",IF($M11249="PADD IV","PADD 4",IF($M11249="PADD V","PADD 5","")))))</f>
        <v/>
      </c>
      <c r="G11249" s="6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  <c r="N11249" s="6">
        <f>IF(OR($G11249="FCC",$G11249="Hydrocracker",$G11249="Reformer"),IF(COUNTIFS($D:$D,$D11249,$A:$A,$A11249,$B:$B,$B11249,$G:$G,"CDU",$J:$J,"PLANNED")&gt;0,"tied","standalone"),"")</f>
        <v/>
      </c>
    </row>
    <row r="11250" spans="6:14">
      <c r="F11250" s="6">
        <f>IF($M11250="PADD I","PADD 1",IF($M11250="PADD II","PADD 2",IF($M11250="PADD III","PADD 3",IF($M11250="PADD IV","PADD 4",IF($M11250="PADD V","PADD 5","")))))</f>
        <v/>
      </c>
      <c r="G11250" s="6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  <c r="N11250" s="6">
        <f>IF(OR($G11250="FCC",$G11250="Hydrocracker",$G11250="Reformer"),IF(COUNTIFS($D:$D,$D11250,$A:$A,$A11250,$B:$B,$B11250,$G:$G,"CDU",$J:$J,"PLANNED")&gt;0,"tied","standalone"),"")</f>
        <v/>
      </c>
    </row>
    <row r="11251" spans="6:14">
      <c r="F11251" s="6">
        <f>IF($M11251="PADD I","PADD 1",IF($M11251="PADD II","PADD 2",IF($M11251="PADD III","PADD 3",IF($M11251="PADD IV","PADD 4",IF($M11251="PADD V","PADD 5","")))))</f>
        <v/>
      </c>
      <c r="G11251" s="6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  <c r="N11251" s="6">
        <f>IF(OR($G11251="FCC",$G11251="Hydrocracker",$G11251="Reformer"),IF(COUNTIFS($D:$D,$D11251,$A:$A,$A11251,$B:$B,$B11251,$G:$G,"CDU",$J:$J,"PLANNED")&gt;0,"tied","standalone"),"")</f>
        <v/>
      </c>
    </row>
    <row r="11252" spans="6:14">
      <c r="F11252" s="6">
        <f>IF($M11252="PADD I","PADD 1",IF($M11252="PADD II","PADD 2",IF($M11252="PADD III","PADD 3",IF($M11252="PADD IV","PADD 4",IF($M11252="PADD V","PADD 5","")))))</f>
        <v/>
      </c>
      <c r="G11252" s="6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  <c r="N11252" s="6">
        <f>IF(OR($G11252="FCC",$G11252="Hydrocracker",$G11252="Reformer"),IF(COUNTIFS($D:$D,$D11252,$A:$A,$A11252,$B:$B,$B11252,$G:$G,"CDU",$J:$J,"PLANNED")&gt;0,"tied","standalone"),"")</f>
        <v/>
      </c>
    </row>
    <row r="11253" spans="6:14">
      <c r="F11253" s="6">
        <f>IF($M11253="PADD I","PADD 1",IF($M11253="PADD II","PADD 2",IF($M11253="PADD III","PADD 3",IF($M11253="PADD IV","PADD 4",IF($M11253="PADD V","PADD 5","")))))</f>
        <v/>
      </c>
      <c r="G11253" s="6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  <c r="N11253" s="6">
        <f>IF(OR($G11253="FCC",$G11253="Hydrocracker",$G11253="Reformer"),IF(COUNTIFS($D:$D,$D11253,$A:$A,$A11253,$B:$B,$B11253,$G:$G,"CDU",$J:$J,"PLANNED")&gt;0,"tied","standalone"),"")</f>
        <v/>
      </c>
    </row>
    <row r="11254" spans="6:14">
      <c r="F11254" s="6">
        <f>IF($M11254="PADD I","PADD 1",IF($M11254="PADD II","PADD 2",IF($M11254="PADD III","PADD 3",IF($M11254="PADD IV","PADD 4",IF($M11254="PADD V","PADD 5","")))))</f>
        <v/>
      </c>
      <c r="G11254" s="6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  <c r="N11254" s="6">
        <f>IF(OR($G11254="FCC",$G11254="Hydrocracker",$G11254="Reformer"),IF(COUNTIFS($D:$D,$D11254,$A:$A,$A11254,$B:$B,$B11254,$G:$G,"CDU",$J:$J,"PLANNED")&gt;0,"tied","standalone"),"")</f>
        <v/>
      </c>
    </row>
    <row r="11255" spans="6:14">
      <c r="F11255" s="6">
        <f>IF($M11255="PADD I","PADD 1",IF($M11255="PADD II","PADD 2",IF($M11255="PADD III","PADD 3",IF($M11255="PADD IV","PADD 4",IF($M11255="PADD V","PADD 5","")))))</f>
        <v/>
      </c>
      <c r="G11255" s="6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  <c r="N11255" s="6">
        <f>IF(OR($G11255="FCC",$G11255="Hydrocracker",$G11255="Reformer"),IF(COUNTIFS($D:$D,$D11255,$A:$A,$A11255,$B:$B,$B11255,$G:$G,"CDU",$J:$J,"PLANNED")&gt;0,"tied","standalone"),"")</f>
        <v/>
      </c>
    </row>
    <row r="11256" spans="6:14">
      <c r="F11256" s="6">
        <f>IF($M11256="PADD I","PADD 1",IF($M11256="PADD II","PADD 2",IF($M11256="PADD III","PADD 3",IF($M11256="PADD IV","PADD 4",IF($M11256="PADD V","PADD 5","")))))</f>
        <v/>
      </c>
      <c r="G11256" s="6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  <c r="N11256" s="6">
        <f>IF(OR($G11256="FCC",$G11256="Hydrocracker",$G11256="Reformer"),IF(COUNTIFS($D:$D,$D11256,$A:$A,$A11256,$B:$B,$B11256,$G:$G,"CDU",$J:$J,"PLANNED")&gt;0,"tied","standalone"),"")</f>
        <v/>
      </c>
    </row>
    <row r="11257" spans="6:14">
      <c r="F11257" s="6">
        <f>IF($M11257="PADD I","PADD 1",IF($M11257="PADD II","PADD 2",IF($M11257="PADD III","PADD 3",IF($M11257="PADD IV","PADD 4",IF($M11257="PADD V","PADD 5","")))))</f>
        <v/>
      </c>
      <c r="G11257" s="6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  <c r="N11257" s="6">
        <f>IF(OR($G11257="FCC",$G11257="Hydrocracker",$G11257="Reformer"),IF(COUNTIFS($D:$D,$D11257,$A:$A,$A11257,$B:$B,$B11257,$G:$G,"CDU",$J:$J,"PLANNED")&gt;0,"tied","standalone"),"")</f>
        <v/>
      </c>
    </row>
    <row r="11258" spans="6:14">
      <c r="F11258" s="6">
        <f>IF($M11258="PADD I","PADD 1",IF($M11258="PADD II","PADD 2",IF($M11258="PADD III","PADD 3",IF($M11258="PADD IV","PADD 4",IF($M11258="PADD V","PADD 5","")))))</f>
        <v/>
      </c>
      <c r="G11258" s="6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  <c r="N11258" s="6">
        <f>IF(OR($G11258="FCC",$G11258="Hydrocracker",$G11258="Reformer"),IF(COUNTIFS($D:$D,$D11258,$A:$A,$A11258,$B:$B,$B11258,$G:$G,"CDU",$J:$J,"PLANNED")&gt;0,"tied","standalone"),"")</f>
        <v/>
      </c>
    </row>
    <row r="11259" spans="6:14">
      <c r="F11259" s="6">
        <f>IF($M11259="PADD I","PADD 1",IF($M11259="PADD II","PADD 2",IF($M11259="PADD III","PADD 3",IF($M11259="PADD IV","PADD 4",IF($M11259="PADD V","PADD 5","")))))</f>
        <v/>
      </c>
      <c r="G11259" s="6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  <c r="N11259" s="6">
        <f>IF(OR($G11259="FCC",$G11259="Hydrocracker",$G11259="Reformer"),IF(COUNTIFS($D:$D,$D11259,$A:$A,$A11259,$B:$B,$B11259,$G:$G,"CDU",$J:$J,"PLANNED")&gt;0,"tied","standalone"),"")</f>
        <v/>
      </c>
    </row>
    <row r="11260" spans="6:14">
      <c r="F11260" s="6">
        <f>IF($M11260="PADD I","PADD 1",IF($M11260="PADD II","PADD 2",IF($M11260="PADD III","PADD 3",IF($M11260="PADD IV","PADD 4",IF($M11260="PADD V","PADD 5","")))))</f>
        <v/>
      </c>
      <c r="G11260" s="6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  <c r="N11260" s="6">
        <f>IF(OR($G11260="FCC",$G11260="Hydrocracker",$G11260="Reformer"),IF(COUNTIFS($D:$D,$D11260,$A:$A,$A11260,$B:$B,$B11260,$G:$G,"CDU",$J:$J,"PLANNED")&gt;0,"tied","standalone"),"")</f>
        <v/>
      </c>
    </row>
    <row r="11261" spans="6:14">
      <c r="F11261" s="6">
        <f>IF($M11261="PADD I","PADD 1",IF($M11261="PADD II","PADD 2",IF($M11261="PADD III","PADD 3",IF($M11261="PADD IV","PADD 4",IF($M11261="PADD V","PADD 5","")))))</f>
        <v/>
      </c>
      <c r="G11261" s="6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  <c r="N11261" s="6">
        <f>IF(OR($G11261="FCC",$G11261="Hydrocracker",$G11261="Reformer"),IF(COUNTIFS($D:$D,$D11261,$A:$A,$A11261,$B:$B,$B11261,$G:$G,"CDU",$J:$J,"PLANNED")&gt;0,"tied","standalone"),"")</f>
        <v/>
      </c>
    </row>
    <row r="11262" spans="6:14">
      <c r="F11262" s="6">
        <f>IF($M11262="PADD I","PADD 1",IF($M11262="PADD II","PADD 2",IF($M11262="PADD III","PADD 3",IF($M11262="PADD IV","PADD 4",IF($M11262="PADD V","PADD 5","")))))</f>
        <v/>
      </c>
      <c r="G11262" s="6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  <c r="N11262" s="6">
        <f>IF(OR($G11262="FCC",$G11262="Hydrocracker",$G11262="Reformer"),IF(COUNTIFS($D:$D,$D11262,$A:$A,$A11262,$B:$B,$B11262,$G:$G,"CDU",$J:$J,"PLANNED")&gt;0,"tied","standalone"),"")</f>
        <v/>
      </c>
    </row>
    <row r="11263" spans="6:14">
      <c r="F11263" s="6">
        <f>IF($M11263="PADD I","PADD 1",IF($M11263="PADD II","PADD 2",IF($M11263="PADD III","PADD 3",IF($M11263="PADD IV","PADD 4",IF($M11263="PADD V","PADD 5","")))))</f>
        <v/>
      </c>
      <c r="G11263" s="6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  <c r="N11263" s="6">
        <f>IF(OR($G11263="FCC",$G11263="Hydrocracker",$G11263="Reformer"),IF(COUNTIFS($D:$D,$D11263,$A:$A,$A11263,$B:$B,$B11263,$G:$G,"CDU",$J:$J,"PLANNED")&gt;0,"tied","standalone"),"")</f>
        <v/>
      </c>
    </row>
    <row r="11264" spans="6:14">
      <c r="F11264" s="6">
        <f>IF($M11264="PADD I","PADD 1",IF($M11264="PADD II","PADD 2",IF($M11264="PADD III","PADD 3",IF($M11264="PADD IV","PADD 4",IF($M11264="PADD V","PADD 5","")))))</f>
        <v/>
      </c>
      <c r="G11264" s="6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  <c r="N11264" s="6">
        <f>IF(OR($G11264="FCC",$G11264="Hydrocracker",$G11264="Reformer"),IF(COUNTIFS($D:$D,$D11264,$A:$A,$A11264,$B:$B,$B11264,$G:$G,"CDU",$J:$J,"PLANNED")&gt;0,"tied","standalone"),"")</f>
        <v/>
      </c>
    </row>
    <row r="11265" spans="6:14">
      <c r="F11265" s="6">
        <f>IF($M11265="PADD I","PADD 1",IF($M11265="PADD II","PADD 2",IF($M11265="PADD III","PADD 3",IF($M11265="PADD IV","PADD 4",IF($M11265="PADD V","PADD 5","")))))</f>
        <v/>
      </c>
      <c r="G11265" s="6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  <c r="N11265" s="6">
        <f>IF(OR($G11265="FCC",$G11265="Hydrocracker",$G11265="Reformer"),IF(COUNTIFS($D:$D,$D11265,$A:$A,$A11265,$B:$B,$B11265,$G:$G,"CDU",$J:$J,"PLANNED")&gt;0,"tied","standalone"),"")</f>
        <v/>
      </c>
    </row>
    <row r="11266" spans="6:14">
      <c r="F11266" s="6">
        <f>IF($M11266="PADD I","PADD 1",IF($M11266="PADD II","PADD 2",IF($M11266="PADD III","PADD 3",IF($M11266="PADD IV","PADD 4",IF($M11266="PADD V","PADD 5","")))))</f>
        <v/>
      </c>
      <c r="G11266" s="6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  <c r="N11266" s="6">
        <f>IF(OR($G11266="FCC",$G11266="Hydrocracker",$G11266="Reformer"),IF(COUNTIFS($D:$D,$D11266,$A:$A,$A11266,$B:$B,$B11266,$G:$G,"CDU",$J:$J,"PLANNED")&gt;0,"tied","standalone"),"")</f>
        <v/>
      </c>
    </row>
    <row r="11267" spans="6:14">
      <c r="F11267" s="6">
        <f>IF($M11267="PADD I","PADD 1",IF($M11267="PADD II","PADD 2",IF($M11267="PADD III","PADD 3",IF($M11267="PADD IV","PADD 4",IF($M11267="PADD V","PADD 5","")))))</f>
        <v/>
      </c>
      <c r="G11267" s="6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  <c r="N11267" s="6">
        <f>IF(OR($G11267="FCC",$G11267="Hydrocracker",$G11267="Reformer"),IF(COUNTIFS($D:$D,$D11267,$A:$A,$A11267,$B:$B,$B11267,$G:$G,"CDU",$J:$J,"PLANNED")&gt;0,"tied","standalone"),"")</f>
        <v/>
      </c>
    </row>
    <row r="11268" spans="6:14">
      <c r="F11268" s="6">
        <f>IF($M11268="PADD I","PADD 1",IF($M11268="PADD II","PADD 2",IF($M11268="PADD III","PADD 3",IF($M11268="PADD IV","PADD 4",IF($M11268="PADD V","PADD 5","")))))</f>
        <v/>
      </c>
      <c r="G11268" s="6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  <c r="N11268" s="6">
        <f>IF(OR($G11268="FCC",$G11268="Hydrocracker",$G11268="Reformer"),IF(COUNTIFS($D:$D,$D11268,$A:$A,$A11268,$B:$B,$B11268,$G:$G,"CDU",$J:$J,"PLANNED")&gt;0,"tied","standalone"),"")</f>
        <v/>
      </c>
    </row>
    <row r="11269" spans="6:14">
      <c r="F11269" s="6">
        <f>IF($M11269="PADD I","PADD 1",IF($M11269="PADD II","PADD 2",IF($M11269="PADD III","PADD 3",IF($M11269="PADD IV","PADD 4",IF($M11269="PADD V","PADD 5","")))))</f>
        <v/>
      </c>
      <c r="G11269" s="6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  <c r="N11269" s="6">
        <f>IF(OR($G11269="FCC",$G11269="Hydrocracker",$G11269="Reformer"),IF(COUNTIFS($D:$D,$D11269,$A:$A,$A11269,$B:$B,$B11269,$G:$G,"CDU",$J:$J,"PLANNED")&gt;0,"tied","standalone"),"")</f>
        <v/>
      </c>
    </row>
    <row r="11270" spans="6:14">
      <c r="F11270" s="6">
        <f>IF($M11270="PADD I","PADD 1",IF($M11270="PADD II","PADD 2",IF($M11270="PADD III","PADD 3",IF($M11270="PADD IV","PADD 4",IF($M11270="PADD V","PADD 5","")))))</f>
        <v/>
      </c>
      <c r="G11270" s="6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  <c r="N11270" s="6">
        <f>IF(OR($G11270="FCC",$G11270="Hydrocracker",$G11270="Reformer"),IF(COUNTIFS($D:$D,$D11270,$A:$A,$A11270,$B:$B,$B11270,$G:$G,"CDU",$J:$J,"PLANNED")&gt;0,"tied","standalone"),"")</f>
        <v/>
      </c>
    </row>
    <row r="11271" spans="6:14">
      <c r="F11271" s="6">
        <f>IF($M11271="PADD I","PADD 1",IF($M11271="PADD II","PADD 2",IF($M11271="PADD III","PADD 3",IF($M11271="PADD IV","PADD 4",IF($M11271="PADD V","PADD 5","")))))</f>
        <v/>
      </c>
      <c r="G11271" s="6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  <c r="N11271" s="6">
        <f>IF(OR($G11271="FCC",$G11271="Hydrocracker",$G11271="Reformer"),IF(COUNTIFS($D:$D,$D11271,$A:$A,$A11271,$B:$B,$B11271,$G:$G,"CDU",$J:$J,"PLANNED")&gt;0,"tied","standalone"),"")</f>
        <v/>
      </c>
    </row>
    <row r="11272" spans="6:14">
      <c r="F11272" s="6">
        <f>IF($M11272="PADD I","PADD 1",IF($M11272="PADD II","PADD 2",IF($M11272="PADD III","PADD 3",IF($M11272="PADD IV","PADD 4",IF($M11272="PADD V","PADD 5","")))))</f>
        <v/>
      </c>
      <c r="G11272" s="6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  <c r="N11272" s="6">
        <f>IF(OR($G11272="FCC",$G11272="Hydrocracker",$G11272="Reformer"),IF(COUNTIFS($D:$D,$D11272,$A:$A,$A11272,$B:$B,$B11272,$G:$G,"CDU",$J:$J,"PLANNED")&gt;0,"tied","standalone"),"")</f>
        <v/>
      </c>
    </row>
    <row r="11273" spans="6:14">
      <c r="F11273" s="6">
        <f>IF($M11273="PADD I","PADD 1",IF($M11273="PADD II","PADD 2",IF($M11273="PADD III","PADD 3",IF($M11273="PADD IV","PADD 4",IF($M11273="PADD V","PADD 5","")))))</f>
        <v/>
      </c>
      <c r="G11273" s="6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  <c r="N11273" s="6">
        <f>IF(OR($G11273="FCC",$G11273="Hydrocracker",$G11273="Reformer"),IF(COUNTIFS($D:$D,$D11273,$A:$A,$A11273,$B:$B,$B11273,$G:$G,"CDU",$J:$J,"PLANNED")&gt;0,"tied","standalone"),"")</f>
        <v/>
      </c>
    </row>
    <row r="11274" spans="6:14">
      <c r="F11274" s="6">
        <f>IF($M11274="PADD I","PADD 1",IF($M11274="PADD II","PADD 2",IF($M11274="PADD III","PADD 3",IF($M11274="PADD IV","PADD 4",IF($M11274="PADD V","PADD 5","")))))</f>
        <v/>
      </c>
      <c r="G11274" s="6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  <c r="N11274" s="6">
        <f>IF(OR($G11274="FCC",$G11274="Hydrocracker",$G11274="Reformer"),IF(COUNTIFS($D:$D,$D11274,$A:$A,$A11274,$B:$B,$B11274,$G:$G,"CDU",$J:$J,"PLANNED")&gt;0,"tied","standalone"),"")</f>
        <v/>
      </c>
    </row>
    <row r="11275" spans="6:14">
      <c r="F11275" s="6">
        <f>IF($M11275="PADD I","PADD 1",IF($M11275="PADD II","PADD 2",IF($M11275="PADD III","PADD 3",IF($M11275="PADD IV","PADD 4",IF($M11275="PADD V","PADD 5","")))))</f>
        <v/>
      </c>
      <c r="G11275" s="6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  <c r="N11275" s="6">
        <f>IF(OR($G11275="FCC",$G11275="Hydrocracker",$G11275="Reformer"),IF(COUNTIFS($D:$D,$D11275,$A:$A,$A11275,$B:$B,$B11275,$G:$G,"CDU",$J:$J,"PLANNED")&gt;0,"tied","standalone"),"")</f>
        <v/>
      </c>
    </row>
    <row r="11276" spans="6:14">
      <c r="F11276" s="6">
        <f>IF($M11276="PADD I","PADD 1",IF($M11276="PADD II","PADD 2",IF($M11276="PADD III","PADD 3",IF($M11276="PADD IV","PADD 4",IF($M11276="PADD V","PADD 5","")))))</f>
        <v/>
      </c>
      <c r="G11276" s="6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  <c r="N11276" s="6">
        <f>IF(OR($G11276="FCC",$G11276="Hydrocracker",$G11276="Reformer"),IF(COUNTIFS($D:$D,$D11276,$A:$A,$A11276,$B:$B,$B11276,$G:$G,"CDU",$J:$J,"PLANNED")&gt;0,"tied","standalone"),"")</f>
        <v/>
      </c>
    </row>
    <row r="11277" spans="6:14">
      <c r="F11277" s="6">
        <f>IF($M11277="PADD I","PADD 1",IF($M11277="PADD II","PADD 2",IF($M11277="PADD III","PADD 3",IF($M11277="PADD IV","PADD 4",IF($M11277="PADD V","PADD 5","")))))</f>
        <v/>
      </c>
      <c r="G11277" s="6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  <c r="N11277" s="6">
        <f>IF(OR($G11277="FCC",$G11277="Hydrocracker",$G11277="Reformer"),IF(COUNTIFS($D:$D,$D11277,$A:$A,$A11277,$B:$B,$B11277,$G:$G,"CDU",$J:$J,"PLANNED")&gt;0,"tied","standalone"),"")</f>
        <v/>
      </c>
    </row>
    <row r="11278" spans="6:14">
      <c r="F11278" s="6">
        <f>IF($M11278="PADD I","PADD 1",IF($M11278="PADD II","PADD 2",IF($M11278="PADD III","PADD 3",IF($M11278="PADD IV","PADD 4",IF($M11278="PADD V","PADD 5","")))))</f>
        <v/>
      </c>
      <c r="G11278" s="6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  <c r="N11278" s="6">
        <f>IF(OR($G11278="FCC",$G11278="Hydrocracker",$G11278="Reformer"),IF(COUNTIFS($D:$D,$D11278,$A:$A,$A11278,$B:$B,$B11278,$G:$G,"CDU",$J:$J,"PLANNED")&gt;0,"tied","standalone"),"")</f>
        <v/>
      </c>
    </row>
    <row r="11279" spans="6:14">
      <c r="F11279" s="6">
        <f>IF($M11279="PADD I","PADD 1",IF($M11279="PADD II","PADD 2",IF($M11279="PADD III","PADD 3",IF($M11279="PADD IV","PADD 4",IF($M11279="PADD V","PADD 5","")))))</f>
        <v/>
      </c>
      <c r="G11279" s="6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  <c r="N11279" s="6">
        <f>IF(OR($G11279="FCC",$G11279="Hydrocracker",$G11279="Reformer"),IF(COUNTIFS($D:$D,$D11279,$A:$A,$A11279,$B:$B,$B11279,$G:$G,"CDU",$J:$J,"PLANNED")&gt;0,"tied","standalone"),"")</f>
        <v/>
      </c>
    </row>
    <row r="11280" spans="6:14">
      <c r="F11280" s="6">
        <f>IF($M11280="PADD I","PADD 1",IF($M11280="PADD II","PADD 2",IF($M11280="PADD III","PADD 3",IF($M11280="PADD IV","PADD 4",IF($M11280="PADD V","PADD 5","")))))</f>
        <v/>
      </c>
      <c r="G11280" s="6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  <c r="N11280" s="6">
        <f>IF(OR($G11280="FCC",$G11280="Hydrocracker",$G11280="Reformer"),IF(COUNTIFS($D:$D,$D11280,$A:$A,$A11280,$B:$B,$B11280,$G:$G,"CDU",$J:$J,"PLANNED")&gt;0,"tied","standalone"),"")</f>
        <v/>
      </c>
    </row>
    <row r="11281" spans="6:14">
      <c r="F11281" s="6">
        <f>IF($M11281="PADD I","PADD 1",IF($M11281="PADD II","PADD 2",IF($M11281="PADD III","PADD 3",IF($M11281="PADD IV","PADD 4",IF($M11281="PADD V","PADD 5","")))))</f>
        <v/>
      </c>
      <c r="G11281" s="6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  <c r="N11281" s="6">
        <f>IF(OR($G11281="FCC",$G11281="Hydrocracker",$G11281="Reformer"),IF(COUNTIFS($D:$D,$D11281,$A:$A,$A11281,$B:$B,$B11281,$G:$G,"CDU",$J:$J,"PLANNED")&gt;0,"tied","standalone"),"")</f>
        <v/>
      </c>
    </row>
    <row r="11282" spans="6:14">
      <c r="F11282" s="6">
        <f>IF($M11282="PADD I","PADD 1",IF($M11282="PADD II","PADD 2",IF($M11282="PADD III","PADD 3",IF($M11282="PADD IV","PADD 4",IF($M11282="PADD V","PADD 5","")))))</f>
        <v/>
      </c>
      <c r="G11282" s="6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  <c r="N11282" s="6">
        <f>IF(OR($G11282="FCC",$G11282="Hydrocracker",$G11282="Reformer"),IF(COUNTIFS($D:$D,$D11282,$A:$A,$A11282,$B:$B,$B11282,$G:$G,"CDU",$J:$J,"PLANNED")&gt;0,"tied","standalone"),"")</f>
        <v/>
      </c>
    </row>
    <row r="11283" spans="6:14">
      <c r="F11283" s="6">
        <f>IF($M11283="PADD I","PADD 1",IF($M11283="PADD II","PADD 2",IF($M11283="PADD III","PADD 3",IF($M11283="PADD IV","PADD 4",IF($M11283="PADD V","PADD 5","")))))</f>
        <v/>
      </c>
      <c r="G11283" s="6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  <c r="N11283" s="6">
        <f>IF(OR($G11283="FCC",$G11283="Hydrocracker",$G11283="Reformer"),IF(COUNTIFS($D:$D,$D11283,$A:$A,$A11283,$B:$B,$B11283,$G:$G,"CDU",$J:$J,"PLANNED")&gt;0,"tied","standalone"),"")</f>
        <v/>
      </c>
    </row>
    <row r="11284" spans="6:14">
      <c r="F11284" s="6">
        <f>IF($M11284="PADD I","PADD 1",IF($M11284="PADD II","PADD 2",IF($M11284="PADD III","PADD 3",IF($M11284="PADD IV","PADD 4",IF($M11284="PADD V","PADD 5","")))))</f>
        <v/>
      </c>
      <c r="G11284" s="6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  <c r="N11284" s="6">
        <f>IF(OR($G11284="FCC",$G11284="Hydrocracker",$G11284="Reformer"),IF(COUNTIFS($D:$D,$D11284,$A:$A,$A11284,$B:$B,$B11284,$G:$G,"CDU",$J:$J,"PLANNED")&gt;0,"tied","standalone"),"")</f>
        <v/>
      </c>
    </row>
    <row r="11285" spans="6:14">
      <c r="F11285" s="6">
        <f>IF($M11285="PADD I","PADD 1",IF($M11285="PADD II","PADD 2",IF($M11285="PADD III","PADD 3",IF($M11285="PADD IV","PADD 4",IF($M11285="PADD V","PADD 5","")))))</f>
        <v/>
      </c>
      <c r="G11285" s="6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  <c r="N11285" s="6">
        <f>IF(OR($G11285="FCC",$G11285="Hydrocracker",$G11285="Reformer"),IF(COUNTIFS($D:$D,$D11285,$A:$A,$A11285,$B:$B,$B11285,$G:$G,"CDU",$J:$J,"PLANNED")&gt;0,"tied","standalone"),"")</f>
        <v/>
      </c>
    </row>
    <row r="11286" spans="6:14">
      <c r="F11286" s="6">
        <f>IF($M11286="PADD I","PADD 1",IF($M11286="PADD II","PADD 2",IF($M11286="PADD III","PADD 3",IF($M11286="PADD IV","PADD 4",IF($M11286="PADD V","PADD 5","")))))</f>
        <v/>
      </c>
      <c r="G11286" s="6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  <c r="N11286" s="6">
        <f>IF(OR($G11286="FCC",$G11286="Hydrocracker",$G11286="Reformer"),IF(COUNTIFS($D:$D,$D11286,$A:$A,$A11286,$B:$B,$B11286,$G:$G,"CDU",$J:$J,"PLANNED")&gt;0,"tied","standalone"),"")</f>
        <v/>
      </c>
    </row>
    <row r="11287" spans="6:14">
      <c r="F11287" s="6">
        <f>IF($M11287="PADD I","PADD 1",IF($M11287="PADD II","PADD 2",IF($M11287="PADD III","PADD 3",IF($M11287="PADD IV","PADD 4",IF($M11287="PADD V","PADD 5","")))))</f>
        <v/>
      </c>
      <c r="G11287" s="6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  <c r="N11287" s="6">
        <f>IF(OR($G11287="FCC",$G11287="Hydrocracker",$G11287="Reformer"),IF(COUNTIFS($D:$D,$D11287,$A:$A,$A11287,$B:$B,$B11287,$G:$G,"CDU",$J:$J,"PLANNED")&gt;0,"tied","standalone"),"")</f>
        <v/>
      </c>
    </row>
    <row r="11288" spans="6:14">
      <c r="F11288" s="6">
        <f>IF($M11288="PADD I","PADD 1",IF($M11288="PADD II","PADD 2",IF($M11288="PADD III","PADD 3",IF($M11288="PADD IV","PADD 4",IF($M11288="PADD V","PADD 5","")))))</f>
        <v/>
      </c>
      <c r="G11288" s="6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  <c r="N11288" s="6">
        <f>IF(OR($G11288="FCC",$G11288="Hydrocracker",$G11288="Reformer"),IF(COUNTIFS($D:$D,$D11288,$A:$A,$A11288,$B:$B,$B11288,$G:$G,"CDU",$J:$J,"PLANNED")&gt;0,"tied","standalone"),"")</f>
        <v/>
      </c>
    </row>
    <row r="11289" spans="6:14">
      <c r="F11289" s="6">
        <f>IF($M11289="PADD I","PADD 1",IF($M11289="PADD II","PADD 2",IF($M11289="PADD III","PADD 3",IF($M11289="PADD IV","PADD 4",IF($M11289="PADD V","PADD 5","")))))</f>
        <v/>
      </c>
      <c r="G11289" s="6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  <c r="N11289" s="6">
        <f>IF(OR($G11289="FCC",$G11289="Hydrocracker",$G11289="Reformer"),IF(COUNTIFS($D:$D,$D11289,$A:$A,$A11289,$B:$B,$B11289,$G:$G,"CDU",$J:$J,"PLANNED")&gt;0,"tied","standalone"),"")</f>
        <v/>
      </c>
    </row>
    <row r="11290" spans="6:14">
      <c r="F11290" s="6">
        <f>IF($M11290="PADD I","PADD 1",IF($M11290="PADD II","PADD 2",IF($M11290="PADD III","PADD 3",IF($M11290="PADD IV","PADD 4",IF($M11290="PADD V","PADD 5","")))))</f>
        <v/>
      </c>
      <c r="G11290" s="6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  <c r="N11290" s="6">
        <f>IF(OR($G11290="FCC",$G11290="Hydrocracker",$G11290="Reformer"),IF(COUNTIFS($D:$D,$D11290,$A:$A,$A11290,$B:$B,$B11290,$G:$G,"CDU",$J:$J,"PLANNED")&gt;0,"tied","standalone"),"")</f>
        <v/>
      </c>
    </row>
    <row r="11291" spans="6:14">
      <c r="F11291" s="6">
        <f>IF($M11291="PADD I","PADD 1",IF($M11291="PADD II","PADD 2",IF($M11291="PADD III","PADD 3",IF($M11291="PADD IV","PADD 4",IF($M11291="PADD V","PADD 5","")))))</f>
        <v/>
      </c>
      <c r="G11291" s="6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  <c r="N11291" s="6">
        <f>IF(OR($G11291="FCC",$G11291="Hydrocracker",$G11291="Reformer"),IF(COUNTIFS($D:$D,$D11291,$A:$A,$A11291,$B:$B,$B11291,$G:$G,"CDU",$J:$J,"PLANNED")&gt;0,"tied","standalone"),"")</f>
        <v/>
      </c>
    </row>
    <row r="11292" spans="6:14">
      <c r="F11292" s="6">
        <f>IF($M11292="PADD I","PADD 1",IF($M11292="PADD II","PADD 2",IF($M11292="PADD III","PADD 3",IF($M11292="PADD IV","PADD 4",IF($M11292="PADD V","PADD 5","")))))</f>
        <v/>
      </c>
      <c r="G11292" s="6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  <c r="N11292" s="6">
        <f>IF(OR($G11292="FCC",$G11292="Hydrocracker",$G11292="Reformer"),IF(COUNTIFS($D:$D,$D11292,$A:$A,$A11292,$B:$B,$B11292,$G:$G,"CDU",$J:$J,"PLANNED")&gt;0,"tied","standalone"),"")</f>
        <v/>
      </c>
    </row>
    <row r="11293" spans="6:14">
      <c r="F11293" s="6">
        <f>IF($M11293="PADD I","PADD 1",IF($M11293="PADD II","PADD 2",IF($M11293="PADD III","PADD 3",IF($M11293="PADD IV","PADD 4",IF($M11293="PADD V","PADD 5","")))))</f>
        <v/>
      </c>
      <c r="G11293" s="6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  <c r="N11293" s="6">
        <f>IF(OR($G11293="FCC",$G11293="Hydrocracker",$G11293="Reformer"),IF(COUNTIFS($D:$D,$D11293,$A:$A,$A11293,$B:$B,$B11293,$G:$G,"CDU",$J:$J,"PLANNED")&gt;0,"tied","standalone"),"")</f>
        <v/>
      </c>
    </row>
    <row r="11294" spans="6:14">
      <c r="F11294" s="6">
        <f>IF($M11294="PADD I","PADD 1",IF($M11294="PADD II","PADD 2",IF($M11294="PADD III","PADD 3",IF($M11294="PADD IV","PADD 4",IF($M11294="PADD V","PADD 5","")))))</f>
        <v/>
      </c>
      <c r="G11294" s="6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  <c r="N11294" s="6">
        <f>IF(OR($G11294="FCC",$G11294="Hydrocracker",$G11294="Reformer"),IF(COUNTIFS($D:$D,$D11294,$A:$A,$A11294,$B:$B,$B11294,$G:$G,"CDU",$J:$J,"PLANNED")&gt;0,"tied","standalone"),"")</f>
        <v/>
      </c>
    </row>
    <row r="11295" spans="6:14">
      <c r="F11295" s="6">
        <f>IF($M11295="PADD I","PADD 1",IF($M11295="PADD II","PADD 2",IF($M11295="PADD III","PADD 3",IF($M11295="PADD IV","PADD 4",IF($M11295="PADD V","PADD 5","")))))</f>
        <v/>
      </c>
      <c r="G11295" s="6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  <c r="N11295" s="6">
        <f>IF(OR($G11295="FCC",$G11295="Hydrocracker",$G11295="Reformer"),IF(COUNTIFS($D:$D,$D11295,$A:$A,$A11295,$B:$B,$B11295,$G:$G,"CDU",$J:$J,"PLANNED")&gt;0,"tied","standalone"),"")</f>
        <v/>
      </c>
    </row>
    <row r="11296" spans="6:14">
      <c r="F11296" s="6">
        <f>IF($M11296="PADD I","PADD 1",IF($M11296="PADD II","PADD 2",IF($M11296="PADD III","PADD 3",IF($M11296="PADD IV","PADD 4",IF($M11296="PADD V","PADD 5","")))))</f>
        <v/>
      </c>
      <c r="G11296" s="6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  <c r="N11296" s="6">
        <f>IF(OR($G11296="FCC",$G11296="Hydrocracker",$G11296="Reformer"),IF(COUNTIFS($D:$D,$D11296,$A:$A,$A11296,$B:$B,$B11296,$G:$G,"CDU",$J:$J,"PLANNED")&gt;0,"tied","standalone"),"")</f>
        <v/>
      </c>
    </row>
    <row r="11297" spans="6:14">
      <c r="F11297" s="6">
        <f>IF($M11297="PADD I","PADD 1",IF($M11297="PADD II","PADD 2",IF($M11297="PADD III","PADD 3",IF($M11297="PADD IV","PADD 4",IF($M11297="PADD V","PADD 5","")))))</f>
        <v/>
      </c>
      <c r="G11297" s="6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  <c r="N11297" s="6">
        <f>IF(OR($G11297="FCC",$G11297="Hydrocracker",$G11297="Reformer"),IF(COUNTIFS($D:$D,$D11297,$A:$A,$A11297,$B:$B,$B11297,$G:$G,"CDU",$J:$J,"PLANNED")&gt;0,"tied","standalone"),"")</f>
        <v/>
      </c>
    </row>
    <row r="11298" spans="6:14">
      <c r="F11298" s="6">
        <f>IF($M11298="PADD I","PADD 1",IF($M11298="PADD II","PADD 2",IF($M11298="PADD III","PADD 3",IF($M11298="PADD IV","PADD 4",IF($M11298="PADD V","PADD 5","")))))</f>
        <v/>
      </c>
      <c r="G11298" s="6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  <c r="N11298" s="6">
        <f>IF(OR($G11298="FCC",$G11298="Hydrocracker",$G11298="Reformer"),IF(COUNTIFS($D:$D,$D11298,$A:$A,$A11298,$B:$B,$B11298,$G:$G,"CDU",$J:$J,"PLANNED")&gt;0,"tied","standalone"),"")</f>
        <v/>
      </c>
    </row>
    <row r="11299" spans="6:14">
      <c r="F11299" s="6">
        <f>IF($M11299="PADD I","PADD 1",IF($M11299="PADD II","PADD 2",IF($M11299="PADD III","PADD 3",IF($M11299="PADD IV","PADD 4",IF($M11299="PADD V","PADD 5","")))))</f>
        <v/>
      </c>
      <c r="G11299" s="6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  <c r="N11299" s="6">
        <f>IF(OR($G11299="FCC",$G11299="Hydrocracker",$G11299="Reformer"),IF(COUNTIFS($D:$D,$D11299,$A:$A,$A11299,$B:$B,$B11299,$G:$G,"CDU",$J:$J,"PLANNED")&gt;0,"tied","standalone"),"")</f>
        <v/>
      </c>
    </row>
    <row r="11300" spans="6:14">
      <c r="F11300" s="6">
        <f>IF($M11300="PADD I","PADD 1",IF($M11300="PADD II","PADD 2",IF($M11300="PADD III","PADD 3",IF($M11300="PADD IV","PADD 4",IF($M11300="PADD V","PADD 5","")))))</f>
        <v/>
      </c>
      <c r="G11300" s="6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  <c r="N11300" s="6">
        <f>IF(OR($G11300="FCC",$G11300="Hydrocracker",$G11300="Reformer"),IF(COUNTIFS($D:$D,$D11300,$A:$A,$A11300,$B:$B,$B11300,$G:$G,"CDU",$J:$J,"PLANNED")&gt;0,"tied","standalone"),"")</f>
        <v/>
      </c>
    </row>
    <row r="11301" spans="6:14">
      <c r="F11301" s="6">
        <f>IF($M11301="PADD I","PADD 1",IF($M11301="PADD II","PADD 2",IF($M11301="PADD III","PADD 3",IF($M11301="PADD IV","PADD 4",IF($M11301="PADD V","PADD 5","")))))</f>
        <v/>
      </c>
      <c r="G11301" s="6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  <c r="N11301" s="6">
        <f>IF(OR($G11301="FCC",$G11301="Hydrocracker",$G11301="Reformer"),IF(COUNTIFS($D:$D,$D11301,$A:$A,$A11301,$B:$B,$B11301,$G:$G,"CDU",$J:$J,"PLANNED")&gt;0,"tied","standalone"),"")</f>
        <v/>
      </c>
    </row>
    <row r="11302" spans="6:14">
      <c r="F11302" s="6">
        <f>IF($M11302="PADD I","PADD 1",IF($M11302="PADD II","PADD 2",IF($M11302="PADD III","PADD 3",IF($M11302="PADD IV","PADD 4",IF($M11302="PADD V","PADD 5","")))))</f>
        <v/>
      </c>
      <c r="G11302" s="6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  <c r="N11302" s="6">
        <f>IF(OR($G11302="FCC",$G11302="Hydrocracker",$G11302="Reformer"),IF(COUNTIFS($D:$D,$D11302,$A:$A,$A11302,$B:$B,$B11302,$G:$G,"CDU",$J:$J,"PLANNED")&gt;0,"tied","standalone"),"")</f>
        <v/>
      </c>
    </row>
    <row r="11303" spans="6:14">
      <c r="F11303" s="6">
        <f>IF($M11303="PADD I","PADD 1",IF($M11303="PADD II","PADD 2",IF($M11303="PADD III","PADD 3",IF($M11303="PADD IV","PADD 4",IF($M11303="PADD V","PADD 5","")))))</f>
        <v/>
      </c>
      <c r="G11303" s="6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  <c r="N11303" s="6">
        <f>IF(OR($G11303="FCC",$G11303="Hydrocracker",$G11303="Reformer"),IF(COUNTIFS($D:$D,$D11303,$A:$A,$A11303,$B:$B,$B11303,$G:$G,"CDU",$J:$J,"PLANNED")&gt;0,"tied","standalone"),"")</f>
        <v/>
      </c>
    </row>
    <row r="11304" spans="6:14">
      <c r="F11304" s="6">
        <f>IF($M11304="PADD I","PADD 1",IF($M11304="PADD II","PADD 2",IF($M11304="PADD III","PADD 3",IF($M11304="PADD IV","PADD 4",IF($M11304="PADD V","PADD 5","")))))</f>
        <v/>
      </c>
      <c r="G11304" s="6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  <c r="N11304" s="6">
        <f>IF(OR($G11304="FCC",$G11304="Hydrocracker",$G11304="Reformer"),IF(COUNTIFS($D:$D,$D11304,$A:$A,$A11304,$B:$B,$B11304,$G:$G,"CDU",$J:$J,"PLANNED")&gt;0,"tied","standalone"),"")</f>
        <v/>
      </c>
    </row>
    <row r="11305" spans="6:14">
      <c r="F11305" s="6">
        <f>IF($M11305="PADD I","PADD 1",IF($M11305="PADD II","PADD 2",IF($M11305="PADD III","PADD 3",IF($M11305="PADD IV","PADD 4",IF($M11305="PADD V","PADD 5","")))))</f>
        <v/>
      </c>
      <c r="G11305" s="6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  <c r="N11305" s="6">
        <f>IF(OR($G11305="FCC",$G11305="Hydrocracker",$G11305="Reformer"),IF(COUNTIFS($D:$D,$D11305,$A:$A,$A11305,$B:$B,$B11305,$G:$G,"CDU",$J:$J,"PLANNED")&gt;0,"tied","standalone"),"")</f>
        <v/>
      </c>
    </row>
    <row r="11306" spans="6:14">
      <c r="F11306" s="6">
        <f>IF($M11306="PADD I","PADD 1",IF($M11306="PADD II","PADD 2",IF($M11306="PADD III","PADD 3",IF($M11306="PADD IV","PADD 4",IF($M11306="PADD V","PADD 5","")))))</f>
        <v/>
      </c>
      <c r="G11306" s="6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  <c r="N11306" s="6">
        <f>IF(OR($G11306="FCC",$G11306="Hydrocracker",$G11306="Reformer"),IF(COUNTIFS($D:$D,$D11306,$A:$A,$A11306,$B:$B,$B11306,$G:$G,"CDU",$J:$J,"PLANNED")&gt;0,"tied","standalone"),"")</f>
        <v/>
      </c>
    </row>
    <row r="11307" spans="6:14">
      <c r="F11307" s="6">
        <f>IF($M11307="PADD I","PADD 1",IF($M11307="PADD II","PADD 2",IF($M11307="PADD III","PADD 3",IF($M11307="PADD IV","PADD 4",IF($M11307="PADD V","PADD 5","")))))</f>
        <v/>
      </c>
      <c r="G11307" s="6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  <c r="N11307" s="6">
        <f>IF(OR($G11307="FCC",$G11307="Hydrocracker",$G11307="Reformer"),IF(COUNTIFS($D:$D,$D11307,$A:$A,$A11307,$B:$B,$B11307,$G:$G,"CDU",$J:$J,"PLANNED")&gt;0,"tied","standalone"),"")</f>
        <v/>
      </c>
    </row>
    <row r="11308" spans="6:14">
      <c r="F11308" s="6">
        <f>IF($M11308="PADD I","PADD 1",IF($M11308="PADD II","PADD 2",IF($M11308="PADD III","PADD 3",IF($M11308="PADD IV","PADD 4",IF($M11308="PADD V","PADD 5","")))))</f>
        <v/>
      </c>
      <c r="G11308" s="6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  <c r="N11308" s="6">
        <f>IF(OR($G11308="FCC",$G11308="Hydrocracker",$G11308="Reformer"),IF(COUNTIFS($D:$D,$D11308,$A:$A,$A11308,$B:$B,$B11308,$G:$G,"CDU",$J:$J,"PLANNED")&gt;0,"tied","standalone"),"")</f>
        <v/>
      </c>
    </row>
    <row r="11309" spans="6:14">
      <c r="F11309" s="6">
        <f>IF($M11309="PADD I","PADD 1",IF($M11309="PADD II","PADD 2",IF($M11309="PADD III","PADD 3",IF($M11309="PADD IV","PADD 4",IF($M11309="PADD V","PADD 5","")))))</f>
        <v/>
      </c>
      <c r="G11309" s="6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  <c r="N11309" s="6">
        <f>IF(OR($G11309="FCC",$G11309="Hydrocracker",$G11309="Reformer"),IF(COUNTIFS($D:$D,$D11309,$A:$A,$A11309,$B:$B,$B11309,$G:$G,"CDU",$J:$J,"PLANNED")&gt;0,"tied","standalone"),"")</f>
        <v/>
      </c>
    </row>
    <row r="11310" spans="6:14">
      <c r="F11310" s="6">
        <f>IF($M11310="PADD I","PADD 1",IF($M11310="PADD II","PADD 2",IF($M11310="PADD III","PADD 3",IF($M11310="PADD IV","PADD 4",IF($M11310="PADD V","PADD 5","")))))</f>
        <v/>
      </c>
      <c r="G11310" s="6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  <c r="N11310" s="6">
        <f>IF(OR($G11310="FCC",$G11310="Hydrocracker",$G11310="Reformer"),IF(COUNTIFS($D:$D,$D11310,$A:$A,$A11310,$B:$B,$B11310,$G:$G,"CDU",$J:$J,"PLANNED")&gt;0,"tied","standalone"),"")</f>
        <v/>
      </c>
    </row>
    <row r="11311" spans="6:14">
      <c r="F11311" s="6">
        <f>IF($M11311="PADD I","PADD 1",IF($M11311="PADD II","PADD 2",IF($M11311="PADD III","PADD 3",IF($M11311="PADD IV","PADD 4",IF($M11311="PADD V","PADD 5","")))))</f>
        <v/>
      </c>
      <c r="G11311" s="6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  <c r="N11311" s="6">
        <f>IF(OR($G11311="FCC",$G11311="Hydrocracker",$G11311="Reformer"),IF(COUNTIFS($D:$D,$D11311,$A:$A,$A11311,$B:$B,$B11311,$G:$G,"CDU",$J:$J,"PLANNED")&gt;0,"tied","standalone"),"")</f>
        <v/>
      </c>
    </row>
    <row r="11312" spans="6:14">
      <c r="F11312" s="6">
        <f>IF($M11312="PADD I","PADD 1",IF($M11312="PADD II","PADD 2",IF($M11312="PADD III","PADD 3",IF($M11312="PADD IV","PADD 4",IF($M11312="PADD V","PADD 5","")))))</f>
        <v/>
      </c>
      <c r="G11312" s="6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  <c r="N11312" s="6">
        <f>IF(OR($G11312="FCC",$G11312="Hydrocracker",$G11312="Reformer"),IF(COUNTIFS($D:$D,$D11312,$A:$A,$A11312,$B:$B,$B11312,$G:$G,"CDU",$J:$J,"PLANNED")&gt;0,"tied","standalone"),"")</f>
        <v/>
      </c>
    </row>
    <row r="11313" spans="6:14">
      <c r="F11313" s="6">
        <f>IF($M11313="PADD I","PADD 1",IF($M11313="PADD II","PADD 2",IF($M11313="PADD III","PADD 3",IF($M11313="PADD IV","PADD 4",IF($M11313="PADD V","PADD 5","")))))</f>
        <v/>
      </c>
      <c r="G11313" s="6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  <c r="N11313" s="6">
        <f>IF(OR($G11313="FCC",$G11313="Hydrocracker",$G11313="Reformer"),IF(COUNTIFS($D:$D,$D11313,$A:$A,$A11313,$B:$B,$B11313,$G:$G,"CDU",$J:$J,"PLANNED")&gt;0,"tied","standalone"),"")</f>
        <v/>
      </c>
    </row>
    <row r="11314" spans="6:14">
      <c r="F11314" s="6">
        <f>IF($M11314="PADD I","PADD 1",IF($M11314="PADD II","PADD 2",IF($M11314="PADD III","PADD 3",IF($M11314="PADD IV","PADD 4",IF($M11314="PADD V","PADD 5","")))))</f>
        <v/>
      </c>
      <c r="G11314" s="6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  <c r="N11314" s="6">
        <f>IF(OR($G11314="FCC",$G11314="Hydrocracker",$G11314="Reformer"),IF(COUNTIFS($D:$D,$D11314,$A:$A,$A11314,$B:$B,$B11314,$G:$G,"CDU",$J:$J,"PLANNED")&gt;0,"tied","standalone"),"")</f>
        <v/>
      </c>
    </row>
    <row r="11315" spans="6:14">
      <c r="F11315" s="6">
        <f>IF($M11315="PADD I","PADD 1",IF($M11315="PADD II","PADD 2",IF($M11315="PADD III","PADD 3",IF($M11315="PADD IV","PADD 4",IF($M11315="PADD V","PADD 5","")))))</f>
        <v/>
      </c>
      <c r="G11315" s="6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  <c r="N11315" s="6">
        <f>IF(OR($G11315="FCC",$G11315="Hydrocracker",$G11315="Reformer"),IF(COUNTIFS($D:$D,$D11315,$A:$A,$A11315,$B:$B,$B11315,$G:$G,"CDU",$J:$J,"PLANNED")&gt;0,"tied","standalone"),"")</f>
        <v/>
      </c>
    </row>
    <row r="11316" spans="6:14">
      <c r="F11316" s="6">
        <f>IF($M11316="PADD I","PADD 1",IF($M11316="PADD II","PADD 2",IF($M11316="PADD III","PADD 3",IF($M11316="PADD IV","PADD 4",IF($M11316="PADD V","PADD 5","")))))</f>
        <v/>
      </c>
      <c r="G11316" s="6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  <c r="N11316" s="6">
        <f>IF(OR($G11316="FCC",$G11316="Hydrocracker",$G11316="Reformer"),IF(COUNTIFS($D:$D,$D11316,$A:$A,$A11316,$B:$B,$B11316,$G:$G,"CDU",$J:$J,"PLANNED")&gt;0,"tied","standalone"),"")</f>
        <v/>
      </c>
    </row>
    <row r="11317" spans="6:14">
      <c r="F11317" s="6">
        <f>IF($M11317="PADD I","PADD 1",IF($M11317="PADD II","PADD 2",IF($M11317="PADD III","PADD 3",IF($M11317="PADD IV","PADD 4",IF($M11317="PADD V","PADD 5","")))))</f>
        <v/>
      </c>
      <c r="G11317" s="6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  <c r="N11317" s="6">
        <f>IF(OR($G11317="FCC",$G11317="Hydrocracker",$G11317="Reformer"),IF(COUNTIFS($D:$D,$D11317,$A:$A,$A11317,$B:$B,$B11317,$G:$G,"CDU",$J:$J,"PLANNED")&gt;0,"tied","standalone"),"")</f>
        <v/>
      </c>
    </row>
    <row r="11318" spans="6:14">
      <c r="F11318" s="6">
        <f>IF($M11318="PADD I","PADD 1",IF($M11318="PADD II","PADD 2",IF($M11318="PADD III","PADD 3",IF($M11318="PADD IV","PADD 4",IF($M11318="PADD V","PADD 5","")))))</f>
        <v/>
      </c>
      <c r="G11318" s="6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  <c r="N11318" s="6">
        <f>IF(OR($G11318="FCC",$G11318="Hydrocracker",$G11318="Reformer"),IF(COUNTIFS($D:$D,$D11318,$A:$A,$A11318,$B:$B,$B11318,$G:$G,"CDU",$J:$J,"PLANNED")&gt;0,"tied","standalone"),"")</f>
        <v/>
      </c>
    </row>
    <row r="11319" spans="6:14">
      <c r="F11319" s="6">
        <f>IF($M11319="PADD I","PADD 1",IF($M11319="PADD II","PADD 2",IF($M11319="PADD III","PADD 3",IF($M11319="PADD IV","PADD 4",IF($M11319="PADD V","PADD 5","")))))</f>
        <v/>
      </c>
      <c r="G11319" s="6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  <c r="N11319" s="6">
        <f>IF(OR($G11319="FCC",$G11319="Hydrocracker",$G11319="Reformer"),IF(COUNTIFS($D:$D,$D11319,$A:$A,$A11319,$B:$B,$B11319,$G:$G,"CDU",$J:$J,"PLANNED")&gt;0,"tied","standalone"),"")</f>
        <v/>
      </c>
    </row>
    <row r="11320" spans="6:14">
      <c r="F11320" s="6">
        <f>IF($M11320="PADD I","PADD 1",IF($M11320="PADD II","PADD 2",IF($M11320="PADD III","PADD 3",IF($M11320="PADD IV","PADD 4",IF($M11320="PADD V","PADD 5","")))))</f>
        <v/>
      </c>
      <c r="G11320" s="6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  <c r="N11320" s="6">
        <f>IF(OR($G11320="FCC",$G11320="Hydrocracker",$G11320="Reformer"),IF(COUNTIFS($D:$D,$D11320,$A:$A,$A11320,$B:$B,$B11320,$G:$G,"CDU",$J:$J,"PLANNED")&gt;0,"tied","standalone"),"")</f>
        <v/>
      </c>
    </row>
    <row r="11321" spans="6:14">
      <c r="F11321" s="6">
        <f>IF($M11321="PADD I","PADD 1",IF($M11321="PADD II","PADD 2",IF($M11321="PADD III","PADD 3",IF($M11321="PADD IV","PADD 4",IF($M11321="PADD V","PADD 5","")))))</f>
        <v/>
      </c>
      <c r="G11321" s="6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  <c r="N11321" s="6">
        <f>IF(OR($G11321="FCC",$G11321="Hydrocracker",$G11321="Reformer"),IF(COUNTIFS($D:$D,$D11321,$A:$A,$A11321,$B:$B,$B11321,$G:$G,"CDU",$J:$J,"PLANNED")&gt;0,"tied","standalone"),"")</f>
        <v/>
      </c>
    </row>
    <row r="11322" spans="6:14">
      <c r="F11322" s="6">
        <f>IF($M11322="PADD I","PADD 1",IF($M11322="PADD II","PADD 2",IF($M11322="PADD III","PADD 3",IF($M11322="PADD IV","PADD 4",IF($M11322="PADD V","PADD 5","")))))</f>
        <v/>
      </c>
      <c r="G11322" s="6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  <c r="N11322" s="6">
        <f>IF(OR($G11322="FCC",$G11322="Hydrocracker",$G11322="Reformer"),IF(COUNTIFS($D:$D,$D11322,$A:$A,$A11322,$B:$B,$B11322,$G:$G,"CDU",$J:$J,"PLANNED")&gt;0,"tied","standalone"),"")</f>
        <v/>
      </c>
    </row>
    <row r="11323" spans="6:14">
      <c r="F11323" s="6">
        <f>IF($M11323="PADD I","PADD 1",IF($M11323="PADD II","PADD 2",IF($M11323="PADD III","PADD 3",IF($M11323="PADD IV","PADD 4",IF($M11323="PADD V","PADD 5","")))))</f>
        <v/>
      </c>
      <c r="G11323" s="6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  <c r="N11323" s="6">
        <f>IF(OR($G11323="FCC",$G11323="Hydrocracker",$G11323="Reformer"),IF(COUNTIFS($D:$D,$D11323,$A:$A,$A11323,$B:$B,$B11323,$G:$G,"CDU",$J:$J,"PLANNED")&gt;0,"tied","standalone"),"")</f>
        <v/>
      </c>
    </row>
    <row r="11324" spans="6:14">
      <c r="F11324" s="6">
        <f>IF($M11324="PADD I","PADD 1",IF($M11324="PADD II","PADD 2",IF($M11324="PADD III","PADD 3",IF($M11324="PADD IV","PADD 4",IF($M11324="PADD V","PADD 5","")))))</f>
        <v/>
      </c>
      <c r="G11324" s="6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  <c r="N11324" s="6">
        <f>IF(OR($G11324="FCC",$G11324="Hydrocracker",$G11324="Reformer"),IF(COUNTIFS($D:$D,$D11324,$A:$A,$A11324,$B:$B,$B11324,$G:$G,"CDU",$J:$J,"PLANNED")&gt;0,"tied","standalone"),"")</f>
        <v/>
      </c>
    </row>
    <row r="11325" spans="6:14">
      <c r="F11325" s="6">
        <f>IF($M11325="PADD I","PADD 1",IF($M11325="PADD II","PADD 2",IF($M11325="PADD III","PADD 3",IF($M11325="PADD IV","PADD 4",IF($M11325="PADD V","PADD 5","")))))</f>
        <v/>
      </c>
      <c r="G11325" s="6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  <c r="N11325" s="6">
        <f>IF(OR($G11325="FCC",$G11325="Hydrocracker",$G11325="Reformer"),IF(COUNTIFS($D:$D,$D11325,$A:$A,$A11325,$B:$B,$B11325,$G:$G,"CDU",$J:$J,"PLANNED")&gt;0,"tied","standalone"),"")</f>
        <v/>
      </c>
    </row>
    <row r="11326" spans="6:14">
      <c r="F11326" s="6">
        <f>IF($M11326="PADD I","PADD 1",IF($M11326="PADD II","PADD 2",IF($M11326="PADD III","PADD 3",IF($M11326="PADD IV","PADD 4",IF($M11326="PADD V","PADD 5","")))))</f>
        <v/>
      </c>
      <c r="G11326" s="6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  <c r="N11326" s="6">
        <f>IF(OR($G11326="FCC",$G11326="Hydrocracker",$G11326="Reformer"),IF(COUNTIFS($D:$D,$D11326,$A:$A,$A11326,$B:$B,$B11326,$G:$G,"CDU",$J:$J,"PLANNED")&gt;0,"tied","standalone"),"")</f>
        <v/>
      </c>
    </row>
    <row r="11327" spans="6:14">
      <c r="F11327" s="6">
        <f>IF($M11327="PADD I","PADD 1",IF($M11327="PADD II","PADD 2",IF($M11327="PADD III","PADD 3",IF($M11327="PADD IV","PADD 4",IF($M11327="PADD V","PADD 5","")))))</f>
        <v/>
      </c>
      <c r="G11327" s="6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  <c r="N11327" s="6">
        <f>IF(OR($G11327="FCC",$G11327="Hydrocracker",$G11327="Reformer"),IF(COUNTIFS($D:$D,$D11327,$A:$A,$A11327,$B:$B,$B11327,$G:$G,"CDU",$J:$J,"PLANNED")&gt;0,"tied","standalone"),"")</f>
        <v/>
      </c>
    </row>
    <row r="11328" spans="6:14">
      <c r="F11328" s="6">
        <f>IF($M11328="PADD I","PADD 1",IF($M11328="PADD II","PADD 2",IF($M11328="PADD III","PADD 3",IF($M11328="PADD IV","PADD 4",IF($M11328="PADD V","PADD 5","")))))</f>
        <v/>
      </c>
      <c r="G11328" s="6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  <c r="N11328" s="6">
        <f>IF(OR($G11328="FCC",$G11328="Hydrocracker",$G11328="Reformer"),IF(COUNTIFS($D:$D,$D11328,$A:$A,$A11328,$B:$B,$B11328,$G:$G,"CDU",$J:$J,"PLANNED")&gt;0,"tied","standalone"),"")</f>
        <v/>
      </c>
    </row>
    <row r="11329" spans="6:14">
      <c r="F11329" s="6">
        <f>IF($M11329="PADD I","PADD 1",IF($M11329="PADD II","PADD 2",IF($M11329="PADD III","PADD 3",IF($M11329="PADD IV","PADD 4",IF($M11329="PADD V","PADD 5","")))))</f>
        <v/>
      </c>
      <c r="G11329" s="6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  <c r="N11329" s="6">
        <f>IF(OR($G11329="FCC",$G11329="Hydrocracker",$G11329="Reformer"),IF(COUNTIFS($D:$D,$D11329,$A:$A,$A11329,$B:$B,$B11329,$G:$G,"CDU",$J:$J,"PLANNED")&gt;0,"tied","standalone"),"")</f>
        <v/>
      </c>
    </row>
    <row r="11330" spans="6:14">
      <c r="F11330" s="6">
        <f>IF($M11330="PADD I","PADD 1",IF($M11330="PADD II","PADD 2",IF($M11330="PADD III","PADD 3",IF($M11330="PADD IV","PADD 4",IF($M11330="PADD V","PADD 5","")))))</f>
        <v/>
      </c>
      <c r="G11330" s="6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  <c r="N11330" s="6">
        <f>IF(OR($G11330="FCC",$G11330="Hydrocracker",$G11330="Reformer"),IF(COUNTIFS($D:$D,$D11330,$A:$A,$A11330,$B:$B,$B11330,$G:$G,"CDU",$J:$J,"PLANNED")&gt;0,"tied","standalone"),"")</f>
        <v/>
      </c>
    </row>
    <row r="11331" spans="6:14">
      <c r="F11331" s="6">
        <f>IF($M11331="PADD I","PADD 1",IF($M11331="PADD II","PADD 2",IF($M11331="PADD III","PADD 3",IF($M11331="PADD IV","PADD 4",IF($M11331="PADD V","PADD 5","")))))</f>
        <v/>
      </c>
      <c r="G11331" s="6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  <c r="N11331" s="6">
        <f>IF(OR($G11331="FCC",$G11331="Hydrocracker",$G11331="Reformer"),IF(COUNTIFS($D:$D,$D11331,$A:$A,$A11331,$B:$B,$B11331,$G:$G,"CDU",$J:$J,"PLANNED")&gt;0,"tied","standalone"),"")</f>
        <v/>
      </c>
    </row>
    <row r="11332" spans="6:14">
      <c r="F11332" s="6">
        <f>IF($M11332="PADD I","PADD 1",IF($M11332="PADD II","PADD 2",IF($M11332="PADD III","PADD 3",IF($M11332="PADD IV","PADD 4",IF($M11332="PADD V","PADD 5","")))))</f>
        <v/>
      </c>
      <c r="G11332" s="6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  <c r="N11332" s="6">
        <f>IF(OR($G11332="FCC",$G11332="Hydrocracker",$G11332="Reformer"),IF(COUNTIFS($D:$D,$D11332,$A:$A,$A11332,$B:$B,$B11332,$G:$G,"CDU",$J:$J,"PLANNED")&gt;0,"tied","standalone"),"")</f>
        <v/>
      </c>
    </row>
    <row r="11333" spans="6:14">
      <c r="F11333" s="6">
        <f>IF($M11333="PADD I","PADD 1",IF($M11333="PADD II","PADD 2",IF($M11333="PADD III","PADD 3",IF($M11333="PADD IV","PADD 4",IF($M11333="PADD V","PADD 5","")))))</f>
        <v/>
      </c>
      <c r="G11333" s="6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  <c r="N11333" s="6">
        <f>IF(OR($G11333="FCC",$G11333="Hydrocracker",$G11333="Reformer"),IF(COUNTIFS($D:$D,$D11333,$A:$A,$A11333,$B:$B,$B11333,$G:$G,"CDU",$J:$J,"PLANNED")&gt;0,"tied","standalone"),"")</f>
        <v/>
      </c>
    </row>
    <row r="11334" spans="6:14">
      <c r="F11334" s="6">
        <f>IF($M11334="PADD I","PADD 1",IF($M11334="PADD II","PADD 2",IF($M11334="PADD III","PADD 3",IF($M11334="PADD IV","PADD 4",IF($M11334="PADD V","PADD 5","")))))</f>
        <v/>
      </c>
      <c r="G11334" s="6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  <c r="N11334" s="6">
        <f>IF(OR($G11334="FCC",$G11334="Hydrocracker",$G11334="Reformer"),IF(COUNTIFS($D:$D,$D11334,$A:$A,$A11334,$B:$B,$B11334,$G:$G,"CDU",$J:$J,"PLANNED")&gt;0,"tied","standalone"),"")</f>
        <v/>
      </c>
    </row>
    <row r="11335" spans="6:14">
      <c r="F11335" s="6">
        <f>IF($M11335="PADD I","PADD 1",IF($M11335="PADD II","PADD 2",IF($M11335="PADD III","PADD 3",IF($M11335="PADD IV","PADD 4",IF($M11335="PADD V","PADD 5","")))))</f>
        <v/>
      </c>
      <c r="G11335" s="6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  <c r="N11335" s="6">
        <f>IF(OR($G11335="FCC",$G11335="Hydrocracker",$G11335="Reformer"),IF(COUNTIFS($D:$D,$D11335,$A:$A,$A11335,$B:$B,$B11335,$G:$G,"CDU",$J:$J,"PLANNED")&gt;0,"tied","standalone"),"")</f>
        <v/>
      </c>
    </row>
    <row r="11336" spans="6:14">
      <c r="F11336" s="6">
        <f>IF($M11336="PADD I","PADD 1",IF($M11336="PADD II","PADD 2",IF($M11336="PADD III","PADD 3",IF($M11336="PADD IV","PADD 4",IF($M11336="PADD V","PADD 5","")))))</f>
        <v/>
      </c>
      <c r="G11336" s="6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  <c r="N11336" s="6">
        <f>IF(OR($G11336="FCC",$G11336="Hydrocracker",$G11336="Reformer"),IF(COUNTIFS($D:$D,$D11336,$A:$A,$A11336,$B:$B,$B11336,$G:$G,"CDU",$J:$J,"PLANNED")&gt;0,"tied","standalone"),"")</f>
        <v/>
      </c>
    </row>
    <row r="11337" spans="6:14">
      <c r="F11337" s="6">
        <f>IF($M11337="PADD I","PADD 1",IF($M11337="PADD II","PADD 2",IF($M11337="PADD III","PADD 3",IF($M11337="PADD IV","PADD 4",IF($M11337="PADD V","PADD 5","")))))</f>
        <v/>
      </c>
      <c r="G11337" s="6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  <c r="N11337" s="6">
        <f>IF(OR($G11337="FCC",$G11337="Hydrocracker",$G11337="Reformer"),IF(COUNTIFS($D:$D,$D11337,$A:$A,$A11337,$B:$B,$B11337,$G:$G,"CDU",$J:$J,"PLANNED")&gt;0,"tied","standalone"),"")</f>
        <v/>
      </c>
    </row>
    <row r="11338" spans="6:14">
      <c r="F11338" s="6">
        <f>IF($M11338="PADD I","PADD 1",IF($M11338="PADD II","PADD 2",IF($M11338="PADD III","PADD 3",IF($M11338="PADD IV","PADD 4",IF($M11338="PADD V","PADD 5","")))))</f>
        <v/>
      </c>
      <c r="G11338" s="6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  <c r="N11338" s="6">
        <f>IF(OR($G11338="FCC",$G11338="Hydrocracker",$G11338="Reformer"),IF(COUNTIFS($D:$D,$D11338,$A:$A,$A11338,$B:$B,$B11338,$G:$G,"CDU",$J:$J,"PLANNED")&gt;0,"tied","standalone"),"")</f>
        <v/>
      </c>
    </row>
    <row r="11339" spans="6:14">
      <c r="F11339" s="6">
        <f>IF($M11339="PADD I","PADD 1",IF($M11339="PADD II","PADD 2",IF($M11339="PADD III","PADD 3",IF($M11339="PADD IV","PADD 4",IF($M11339="PADD V","PADD 5","")))))</f>
        <v/>
      </c>
      <c r="G11339" s="6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  <c r="N11339" s="6">
        <f>IF(OR($G11339="FCC",$G11339="Hydrocracker",$G11339="Reformer"),IF(COUNTIFS($D:$D,$D11339,$A:$A,$A11339,$B:$B,$B11339,$G:$G,"CDU",$J:$J,"PLANNED")&gt;0,"tied","standalone"),"")</f>
        <v/>
      </c>
    </row>
    <row r="11340" spans="6:14">
      <c r="F11340" s="6">
        <f>IF($M11340="PADD I","PADD 1",IF($M11340="PADD II","PADD 2",IF($M11340="PADD III","PADD 3",IF($M11340="PADD IV","PADD 4",IF($M11340="PADD V","PADD 5","")))))</f>
        <v/>
      </c>
      <c r="G11340" s="6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  <c r="N11340" s="6">
        <f>IF(OR($G11340="FCC",$G11340="Hydrocracker",$G11340="Reformer"),IF(COUNTIFS($D:$D,$D11340,$A:$A,$A11340,$B:$B,$B11340,$G:$G,"CDU",$J:$J,"PLANNED")&gt;0,"tied","standalone"),"")</f>
        <v/>
      </c>
    </row>
    <row r="11341" spans="6:14">
      <c r="F11341" s="6">
        <f>IF($M11341="PADD I","PADD 1",IF($M11341="PADD II","PADD 2",IF($M11341="PADD III","PADD 3",IF($M11341="PADD IV","PADD 4",IF($M11341="PADD V","PADD 5","")))))</f>
        <v/>
      </c>
      <c r="G11341" s="6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  <c r="N11341" s="6">
        <f>IF(OR($G11341="FCC",$G11341="Hydrocracker",$G11341="Reformer"),IF(COUNTIFS($D:$D,$D11341,$A:$A,$A11341,$B:$B,$B11341,$G:$G,"CDU",$J:$J,"PLANNED")&gt;0,"tied","standalone"),"")</f>
        <v/>
      </c>
    </row>
    <row r="11342" spans="6:14">
      <c r="F11342" s="6">
        <f>IF($M11342="PADD I","PADD 1",IF($M11342="PADD II","PADD 2",IF($M11342="PADD III","PADD 3",IF($M11342="PADD IV","PADD 4",IF($M11342="PADD V","PADD 5","")))))</f>
        <v/>
      </c>
      <c r="G11342" s="6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  <c r="N11342" s="6">
        <f>IF(OR($G11342="FCC",$G11342="Hydrocracker",$G11342="Reformer"),IF(COUNTIFS($D:$D,$D11342,$A:$A,$A11342,$B:$B,$B11342,$G:$G,"CDU",$J:$J,"PLANNED")&gt;0,"tied","standalone"),"")</f>
        <v/>
      </c>
    </row>
    <row r="11343" spans="6:14">
      <c r="F11343" s="6">
        <f>IF($M11343="PADD I","PADD 1",IF($M11343="PADD II","PADD 2",IF($M11343="PADD III","PADD 3",IF($M11343="PADD IV","PADD 4",IF($M11343="PADD V","PADD 5","")))))</f>
        <v/>
      </c>
      <c r="G11343" s="6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  <c r="N11343" s="6">
        <f>IF(OR($G11343="FCC",$G11343="Hydrocracker",$G11343="Reformer"),IF(COUNTIFS($D:$D,$D11343,$A:$A,$A11343,$B:$B,$B11343,$G:$G,"CDU",$J:$J,"PLANNED")&gt;0,"tied","standalone"),"")</f>
        <v/>
      </c>
    </row>
    <row r="11344" spans="6:14">
      <c r="F11344" s="6">
        <f>IF($M11344="PADD I","PADD 1",IF($M11344="PADD II","PADD 2",IF($M11344="PADD III","PADD 3",IF($M11344="PADD IV","PADD 4",IF($M11344="PADD V","PADD 5","")))))</f>
        <v/>
      </c>
      <c r="G11344" s="6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  <c r="N11344" s="6">
        <f>IF(OR($G11344="FCC",$G11344="Hydrocracker",$G11344="Reformer"),IF(COUNTIFS($D:$D,$D11344,$A:$A,$A11344,$B:$B,$B11344,$G:$G,"CDU",$J:$J,"PLANNED")&gt;0,"tied","standalone"),"")</f>
        <v/>
      </c>
    </row>
    <row r="11345" spans="6:14">
      <c r="F11345" s="6">
        <f>IF($M11345="PADD I","PADD 1",IF($M11345="PADD II","PADD 2",IF($M11345="PADD III","PADD 3",IF($M11345="PADD IV","PADD 4",IF($M11345="PADD V","PADD 5","")))))</f>
        <v/>
      </c>
      <c r="G11345" s="6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  <c r="N11345" s="6">
        <f>IF(OR($G11345="FCC",$G11345="Hydrocracker",$G11345="Reformer"),IF(COUNTIFS($D:$D,$D11345,$A:$A,$A11345,$B:$B,$B11345,$G:$G,"CDU",$J:$J,"PLANNED")&gt;0,"tied","standalone"),"")</f>
        <v/>
      </c>
    </row>
    <row r="11346" spans="6:14">
      <c r="F11346" s="6">
        <f>IF($M11346="PADD I","PADD 1",IF($M11346="PADD II","PADD 2",IF($M11346="PADD III","PADD 3",IF($M11346="PADD IV","PADD 4",IF($M11346="PADD V","PADD 5","")))))</f>
        <v/>
      </c>
      <c r="G11346" s="6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  <c r="N11346" s="6">
        <f>IF(OR($G11346="FCC",$G11346="Hydrocracker",$G11346="Reformer"),IF(COUNTIFS($D:$D,$D11346,$A:$A,$A11346,$B:$B,$B11346,$G:$G,"CDU",$J:$J,"PLANNED")&gt;0,"tied","standalone"),"")</f>
        <v/>
      </c>
    </row>
    <row r="11347" spans="6:14">
      <c r="F11347" s="6">
        <f>IF($M11347="PADD I","PADD 1",IF($M11347="PADD II","PADD 2",IF($M11347="PADD III","PADD 3",IF($M11347="PADD IV","PADD 4",IF($M11347="PADD V","PADD 5","")))))</f>
        <v/>
      </c>
      <c r="G11347" s="6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  <c r="N11347" s="6">
        <f>IF(OR($G11347="FCC",$G11347="Hydrocracker",$G11347="Reformer"),IF(COUNTIFS($D:$D,$D11347,$A:$A,$A11347,$B:$B,$B11347,$G:$G,"CDU",$J:$J,"PLANNED")&gt;0,"tied","standalone"),"")</f>
        <v/>
      </c>
    </row>
    <row r="11348" spans="6:14">
      <c r="F11348" s="6">
        <f>IF($M11348="PADD I","PADD 1",IF($M11348="PADD II","PADD 2",IF($M11348="PADD III","PADD 3",IF($M11348="PADD IV","PADD 4",IF($M11348="PADD V","PADD 5","")))))</f>
        <v/>
      </c>
      <c r="G11348" s="6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  <c r="N11348" s="6">
        <f>IF(OR($G11348="FCC",$G11348="Hydrocracker",$G11348="Reformer"),IF(COUNTIFS($D:$D,$D11348,$A:$A,$A11348,$B:$B,$B11348,$G:$G,"CDU",$J:$J,"PLANNED")&gt;0,"tied","standalone"),"")</f>
        <v/>
      </c>
    </row>
    <row r="11349" spans="6:14">
      <c r="F11349" s="6">
        <f>IF($M11349="PADD I","PADD 1",IF($M11349="PADD II","PADD 2",IF($M11349="PADD III","PADD 3",IF($M11349="PADD IV","PADD 4",IF($M11349="PADD V","PADD 5","")))))</f>
        <v/>
      </c>
      <c r="G11349" s="6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  <c r="N11349" s="6">
        <f>IF(OR($G11349="FCC",$G11349="Hydrocracker",$G11349="Reformer"),IF(COUNTIFS($D:$D,$D11349,$A:$A,$A11349,$B:$B,$B11349,$G:$G,"CDU",$J:$J,"PLANNED")&gt;0,"tied","standalone"),"")</f>
        <v/>
      </c>
    </row>
    <row r="11350" spans="6:14">
      <c r="F11350" s="6">
        <f>IF($M11350="PADD I","PADD 1",IF($M11350="PADD II","PADD 2",IF($M11350="PADD III","PADD 3",IF($M11350="PADD IV","PADD 4",IF($M11350="PADD V","PADD 5","")))))</f>
        <v/>
      </c>
      <c r="G11350" s="6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  <c r="N11350" s="6">
        <f>IF(OR($G11350="FCC",$G11350="Hydrocracker",$G11350="Reformer"),IF(COUNTIFS($D:$D,$D11350,$A:$A,$A11350,$B:$B,$B11350,$G:$G,"CDU",$J:$J,"PLANNED")&gt;0,"tied","standalone"),"")</f>
        <v/>
      </c>
    </row>
    <row r="11351" spans="6:14">
      <c r="F11351" s="6">
        <f>IF($M11351="PADD I","PADD 1",IF($M11351="PADD II","PADD 2",IF($M11351="PADD III","PADD 3",IF($M11351="PADD IV","PADD 4",IF($M11351="PADD V","PADD 5","")))))</f>
        <v/>
      </c>
      <c r="G11351" s="6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  <c r="N11351" s="6">
        <f>IF(OR($G11351="FCC",$G11351="Hydrocracker",$G11351="Reformer"),IF(COUNTIFS($D:$D,$D11351,$A:$A,$A11351,$B:$B,$B11351,$G:$G,"CDU",$J:$J,"PLANNED")&gt;0,"tied","standalone"),"")</f>
        <v/>
      </c>
    </row>
    <row r="11352" spans="6:14">
      <c r="F11352" s="6">
        <f>IF($M11352="PADD I","PADD 1",IF($M11352="PADD II","PADD 2",IF($M11352="PADD III","PADD 3",IF($M11352="PADD IV","PADD 4",IF($M11352="PADD V","PADD 5","")))))</f>
        <v/>
      </c>
      <c r="G11352" s="6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  <c r="N11352" s="6">
        <f>IF(OR($G11352="FCC",$G11352="Hydrocracker",$G11352="Reformer"),IF(COUNTIFS($D:$D,$D11352,$A:$A,$A11352,$B:$B,$B11352,$G:$G,"CDU",$J:$J,"PLANNED")&gt;0,"tied","standalone"),"")</f>
        <v/>
      </c>
    </row>
    <row r="11353" spans="6:14">
      <c r="F11353" s="6">
        <f>IF($M11353="PADD I","PADD 1",IF($M11353="PADD II","PADD 2",IF($M11353="PADD III","PADD 3",IF($M11353="PADD IV","PADD 4",IF($M11353="PADD V","PADD 5","")))))</f>
        <v/>
      </c>
      <c r="G11353" s="6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  <c r="N11353" s="6">
        <f>IF(OR($G11353="FCC",$G11353="Hydrocracker",$G11353="Reformer"),IF(COUNTIFS($D:$D,$D11353,$A:$A,$A11353,$B:$B,$B11353,$G:$G,"CDU",$J:$J,"PLANNED")&gt;0,"tied","standalone"),"")</f>
        <v/>
      </c>
    </row>
    <row r="11354" spans="6:14">
      <c r="F11354" s="6">
        <f>IF($M11354="PADD I","PADD 1",IF($M11354="PADD II","PADD 2",IF($M11354="PADD III","PADD 3",IF($M11354="PADD IV","PADD 4",IF($M11354="PADD V","PADD 5","")))))</f>
        <v/>
      </c>
      <c r="G11354" s="6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  <c r="N11354" s="6">
        <f>IF(OR($G11354="FCC",$G11354="Hydrocracker",$G11354="Reformer"),IF(COUNTIFS($D:$D,$D11354,$A:$A,$A11354,$B:$B,$B11354,$G:$G,"CDU",$J:$J,"PLANNED")&gt;0,"tied","standalone"),"")</f>
        <v/>
      </c>
    </row>
    <row r="11355" spans="6:14">
      <c r="F11355" s="6">
        <f>IF($M11355="PADD I","PADD 1",IF($M11355="PADD II","PADD 2",IF($M11355="PADD III","PADD 3",IF($M11355="PADD IV","PADD 4",IF($M11355="PADD V","PADD 5","")))))</f>
        <v/>
      </c>
      <c r="G11355" s="6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  <c r="N11355" s="6">
        <f>IF(OR($G11355="FCC",$G11355="Hydrocracker",$G11355="Reformer"),IF(COUNTIFS($D:$D,$D11355,$A:$A,$A11355,$B:$B,$B11355,$G:$G,"CDU",$J:$J,"PLANNED")&gt;0,"tied","standalone"),"")</f>
        <v/>
      </c>
    </row>
    <row r="11356" spans="6:14">
      <c r="F11356" s="6">
        <f>IF($M11356="PADD I","PADD 1",IF($M11356="PADD II","PADD 2",IF($M11356="PADD III","PADD 3",IF($M11356="PADD IV","PADD 4",IF($M11356="PADD V","PADD 5","")))))</f>
        <v/>
      </c>
      <c r="G11356" s="6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  <c r="N11356" s="6">
        <f>IF(OR($G11356="FCC",$G11356="Hydrocracker",$G11356="Reformer"),IF(COUNTIFS($D:$D,$D11356,$A:$A,$A11356,$B:$B,$B11356,$G:$G,"CDU",$J:$J,"PLANNED")&gt;0,"tied","standalone"),"")</f>
        <v/>
      </c>
    </row>
    <row r="11357" spans="6:14">
      <c r="F11357" s="6">
        <f>IF($M11357="PADD I","PADD 1",IF($M11357="PADD II","PADD 2",IF($M11357="PADD III","PADD 3",IF($M11357="PADD IV","PADD 4",IF($M11357="PADD V","PADD 5","")))))</f>
        <v/>
      </c>
      <c r="G11357" s="6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  <c r="N11357" s="6">
        <f>IF(OR($G11357="FCC",$G11357="Hydrocracker",$G11357="Reformer"),IF(COUNTIFS($D:$D,$D11357,$A:$A,$A11357,$B:$B,$B11357,$G:$G,"CDU",$J:$J,"PLANNED")&gt;0,"tied","standalone"),"")</f>
        <v/>
      </c>
    </row>
    <row r="11358" spans="6:14">
      <c r="F11358" s="6">
        <f>IF($M11358="PADD I","PADD 1",IF($M11358="PADD II","PADD 2",IF($M11358="PADD III","PADD 3",IF($M11358="PADD IV","PADD 4",IF($M11358="PADD V","PADD 5","")))))</f>
        <v/>
      </c>
      <c r="G11358" s="6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  <c r="N11358" s="6">
        <f>IF(OR($G11358="FCC",$G11358="Hydrocracker",$G11358="Reformer"),IF(COUNTIFS($D:$D,$D11358,$A:$A,$A11358,$B:$B,$B11358,$G:$G,"CDU",$J:$J,"PLANNED")&gt;0,"tied","standalone"),"")</f>
        <v/>
      </c>
    </row>
    <row r="11359" spans="6:14">
      <c r="F11359" s="6">
        <f>IF($M11359="PADD I","PADD 1",IF($M11359="PADD II","PADD 2",IF($M11359="PADD III","PADD 3",IF($M11359="PADD IV","PADD 4",IF($M11359="PADD V","PADD 5","")))))</f>
        <v/>
      </c>
      <c r="G11359" s="6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  <c r="N11359" s="6">
        <f>IF(OR($G11359="FCC",$G11359="Hydrocracker",$G11359="Reformer"),IF(COUNTIFS($D:$D,$D11359,$A:$A,$A11359,$B:$B,$B11359,$G:$G,"CDU",$J:$J,"PLANNED")&gt;0,"tied","standalone"),"")</f>
        <v/>
      </c>
    </row>
    <row r="11360" spans="6:14">
      <c r="F11360" s="6">
        <f>IF($M11360="PADD I","PADD 1",IF($M11360="PADD II","PADD 2",IF($M11360="PADD III","PADD 3",IF($M11360="PADD IV","PADD 4",IF($M11360="PADD V","PADD 5","")))))</f>
        <v/>
      </c>
      <c r="G11360" s="6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  <c r="N11360" s="6">
        <f>IF(OR($G11360="FCC",$G11360="Hydrocracker",$G11360="Reformer"),IF(COUNTIFS($D:$D,$D11360,$A:$A,$A11360,$B:$B,$B11360,$G:$G,"CDU",$J:$J,"PLANNED")&gt;0,"tied","standalone"),"")</f>
        <v/>
      </c>
    </row>
    <row r="11361" spans="6:14">
      <c r="F11361" s="6">
        <f>IF($M11361="PADD I","PADD 1",IF($M11361="PADD II","PADD 2",IF($M11361="PADD III","PADD 3",IF($M11361="PADD IV","PADD 4",IF($M11361="PADD V","PADD 5","")))))</f>
        <v/>
      </c>
      <c r="G11361" s="6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  <c r="N11361" s="6">
        <f>IF(OR($G11361="FCC",$G11361="Hydrocracker",$G11361="Reformer"),IF(COUNTIFS($D:$D,$D11361,$A:$A,$A11361,$B:$B,$B11361,$G:$G,"CDU",$J:$J,"PLANNED")&gt;0,"tied","standalone"),"")</f>
        <v/>
      </c>
    </row>
    <row r="11362" spans="6:14">
      <c r="F11362" s="6">
        <f>IF($M11362="PADD I","PADD 1",IF($M11362="PADD II","PADD 2",IF($M11362="PADD III","PADD 3",IF($M11362="PADD IV","PADD 4",IF($M11362="PADD V","PADD 5","")))))</f>
        <v/>
      </c>
      <c r="G11362" s="6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  <c r="N11362" s="6">
        <f>IF(OR($G11362="FCC",$G11362="Hydrocracker",$G11362="Reformer"),IF(COUNTIFS($D:$D,$D11362,$A:$A,$A11362,$B:$B,$B11362,$G:$G,"CDU",$J:$J,"PLANNED")&gt;0,"tied","standalone"),"")</f>
        <v/>
      </c>
    </row>
    <row r="11363" spans="6:14">
      <c r="F11363" s="6">
        <f>IF($M11363="PADD I","PADD 1",IF($M11363="PADD II","PADD 2",IF($M11363="PADD III","PADD 3",IF($M11363="PADD IV","PADD 4",IF($M11363="PADD V","PADD 5","")))))</f>
        <v/>
      </c>
      <c r="G11363" s="6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  <c r="N11363" s="6">
        <f>IF(OR($G11363="FCC",$G11363="Hydrocracker",$G11363="Reformer"),IF(COUNTIFS($D:$D,$D11363,$A:$A,$A11363,$B:$B,$B11363,$G:$G,"CDU",$J:$J,"PLANNED")&gt;0,"tied","standalone"),"")</f>
        <v/>
      </c>
    </row>
    <row r="11364" spans="6:14">
      <c r="F11364" s="6">
        <f>IF($M11364="PADD I","PADD 1",IF($M11364="PADD II","PADD 2",IF($M11364="PADD III","PADD 3",IF($M11364="PADD IV","PADD 4",IF($M11364="PADD V","PADD 5","")))))</f>
        <v/>
      </c>
      <c r="G11364" s="6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  <c r="N11364" s="6">
        <f>IF(OR($G11364="FCC",$G11364="Hydrocracker",$G11364="Reformer"),IF(COUNTIFS($D:$D,$D11364,$A:$A,$A11364,$B:$B,$B11364,$G:$G,"CDU",$J:$J,"PLANNED")&gt;0,"tied","standalone"),"")</f>
        <v/>
      </c>
    </row>
    <row r="11365" spans="6:14">
      <c r="F11365" s="6">
        <f>IF($M11365="PADD I","PADD 1",IF($M11365="PADD II","PADD 2",IF($M11365="PADD III","PADD 3",IF($M11365="PADD IV","PADD 4",IF($M11365="PADD V","PADD 5","")))))</f>
        <v/>
      </c>
      <c r="G11365" s="6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  <c r="N11365" s="6">
        <f>IF(OR($G11365="FCC",$G11365="Hydrocracker",$G11365="Reformer"),IF(COUNTIFS($D:$D,$D11365,$A:$A,$A11365,$B:$B,$B11365,$G:$G,"CDU",$J:$J,"PLANNED")&gt;0,"tied","standalone"),"")</f>
        <v/>
      </c>
    </row>
    <row r="11366" spans="6:14">
      <c r="F11366" s="6">
        <f>IF($M11366="PADD I","PADD 1",IF($M11366="PADD II","PADD 2",IF($M11366="PADD III","PADD 3",IF($M11366="PADD IV","PADD 4",IF($M11366="PADD V","PADD 5","")))))</f>
        <v/>
      </c>
      <c r="G11366" s="6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  <c r="N11366" s="6">
        <f>IF(OR($G11366="FCC",$G11366="Hydrocracker",$G11366="Reformer"),IF(COUNTIFS($D:$D,$D11366,$A:$A,$A11366,$B:$B,$B11366,$G:$G,"CDU",$J:$J,"PLANNED")&gt;0,"tied","standalone"),"")</f>
        <v/>
      </c>
    </row>
    <row r="11367" spans="6:14">
      <c r="F11367" s="6">
        <f>IF($M11367="PADD I","PADD 1",IF($M11367="PADD II","PADD 2",IF($M11367="PADD III","PADD 3",IF($M11367="PADD IV","PADD 4",IF($M11367="PADD V","PADD 5","")))))</f>
        <v/>
      </c>
      <c r="G11367" s="6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  <c r="N11367" s="6">
        <f>IF(OR($G11367="FCC",$G11367="Hydrocracker",$G11367="Reformer"),IF(COUNTIFS($D:$D,$D11367,$A:$A,$A11367,$B:$B,$B11367,$G:$G,"CDU",$J:$J,"PLANNED")&gt;0,"tied","standalone"),"")</f>
        <v/>
      </c>
    </row>
    <row r="11368" spans="6:14">
      <c r="F11368" s="6">
        <f>IF($M11368="PADD I","PADD 1",IF($M11368="PADD II","PADD 2",IF($M11368="PADD III","PADD 3",IF($M11368="PADD IV","PADD 4",IF($M11368="PADD V","PADD 5","")))))</f>
        <v/>
      </c>
      <c r="G11368" s="6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  <c r="N11368" s="6">
        <f>IF(OR($G11368="FCC",$G11368="Hydrocracker",$G11368="Reformer"),IF(COUNTIFS($D:$D,$D11368,$A:$A,$A11368,$B:$B,$B11368,$G:$G,"CDU",$J:$J,"PLANNED")&gt;0,"tied","standalone"),"")</f>
        <v/>
      </c>
    </row>
    <row r="11369" spans="6:14">
      <c r="F11369" s="6">
        <f>IF($M11369="PADD I","PADD 1",IF($M11369="PADD II","PADD 2",IF($M11369="PADD III","PADD 3",IF($M11369="PADD IV","PADD 4",IF($M11369="PADD V","PADD 5","")))))</f>
        <v/>
      </c>
      <c r="G11369" s="6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  <c r="N11369" s="6">
        <f>IF(OR($G11369="FCC",$G11369="Hydrocracker",$G11369="Reformer"),IF(COUNTIFS($D:$D,$D11369,$A:$A,$A11369,$B:$B,$B11369,$G:$G,"CDU",$J:$J,"PLANNED")&gt;0,"tied","standalone"),"")</f>
        <v/>
      </c>
    </row>
    <row r="11370" spans="6:14">
      <c r="F11370" s="6">
        <f>IF($M11370="PADD I","PADD 1",IF($M11370="PADD II","PADD 2",IF($M11370="PADD III","PADD 3",IF($M11370="PADD IV","PADD 4",IF($M11370="PADD V","PADD 5","")))))</f>
        <v/>
      </c>
      <c r="G11370" s="6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  <c r="N11370" s="6">
        <f>IF(OR($G11370="FCC",$G11370="Hydrocracker",$G11370="Reformer"),IF(COUNTIFS($D:$D,$D11370,$A:$A,$A11370,$B:$B,$B11370,$G:$G,"CDU",$J:$J,"PLANNED")&gt;0,"tied","standalone"),"")</f>
        <v/>
      </c>
    </row>
    <row r="11371" spans="6:14">
      <c r="F11371" s="6">
        <f>IF($M11371="PADD I","PADD 1",IF($M11371="PADD II","PADD 2",IF($M11371="PADD III","PADD 3",IF($M11371="PADD IV","PADD 4",IF($M11371="PADD V","PADD 5","")))))</f>
        <v/>
      </c>
      <c r="G11371" s="6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  <c r="N11371" s="6">
        <f>IF(OR($G11371="FCC",$G11371="Hydrocracker",$G11371="Reformer"),IF(COUNTIFS($D:$D,$D11371,$A:$A,$A11371,$B:$B,$B11371,$G:$G,"CDU",$J:$J,"PLANNED")&gt;0,"tied","standalone"),"")</f>
        <v/>
      </c>
    </row>
    <row r="11372" spans="6:14">
      <c r="F11372" s="6">
        <f>IF($M11372="PADD I","PADD 1",IF($M11372="PADD II","PADD 2",IF($M11372="PADD III","PADD 3",IF($M11372="PADD IV","PADD 4",IF($M11372="PADD V","PADD 5","")))))</f>
        <v/>
      </c>
      <c r="G11372" s="6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  <c r="N11372" s="6">
        <f>IF(OR($G11372="FCC",$G11372="Hydrocracker",$G11372="Reformer"),IF(COUNTIFS($D:$D,$D11372,$A:$A,$A11372,$B:$B,$B11372,$G:$G,"CDU",$J:$J,"PLANNED")&gt;0,"tied","standalone"),"")</f>
        <v/>
      </c>
    </row>
    <row r="11373" spans="6:14">
      <c r="F11373" s="6">
        <f>IF($M11373="PADD I","PADD 1",IF($M11373="PADD II","PADD 2",IF($M11373="PADD III","PADD 3",IF($M11373="PADD IV","PADD 4",IF($M11373="PADD V","PADD 5","")))))</f>
        <v/>
      </c>
      <c r="G11373" s="6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  <c r="N11373" s="6">
        <f>IF(OR($G11373="FCC",$G11373="Hydrocracker",$G11373="Reformer"),IF(COUNTIFS($D:$D,$D11373,$A:$A,$A11373,$B:$B,$B11373,$G:$G,"CDU",$J:$J,"PLANNED")&gt;0,"tied","standalone"),"")</f>
        <v/>
      </c>
    </row>
    <row r="11374" spans="6:14">
      <c r="F11374" s="6">
        <f>IF($M11374="PADD I","PADD 1",IF($M11374="PADD II","PADD 2",IF($M11374="PADD III","PADD 3",IF($M11374="PADD IV","PADD 4",IF($M11374="PADD V","PADD 5","")))))</f>
        <v/>
      </c>
      <c r="G11374" s="6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  <c r="N11374" s="6">
        <f>IF(OR($G11374="FCC",$G11374="Hydrocracker",$G11374="Reformer"),IF(COUNTIFS($D:$D,$D11374,$A:$A,$A11374,$B:$B,$B11374,$G:$G,"CDU",$J:$J,"PLANNED")&gt;0,"tied","standalone"),"")</f>
        <v/>
      </c>
    </row>
    <row r="11375" spans="6:14">
      <c r="F11375" s="6">
        <f>IF($M11375="PADD I","PADD 1",IF($M11375="PADD II","PADD 2",IF($M11375="PADD III","PADD 3",IF($M11375="PADD IV","PADD 4",IF($M11375="PADD V","PADD 5","")))))</f>
        <v/>
      </c>
      <c r="G11375" s="6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  <c r="N11375" s="6">
        <f>IF(OR($G11375="FCC",$G11375="Hydrocracker",$G11375="Reformer"),IF(COUNTIFS($D:$D,$D11375,$A:$A,$A11375,$B:$B,$B11375,$G:$G,"CDU",$J:$J,"PLANNED")&gt;0,"tied","standalone"),"")</f>
        <v/>
      </c>
    </row>
    <row r="11376" spans="6:14">
      <c r="F11376" s="6">
        <f>IF($M11376="PADD I","PADD 1",IF($M11376="PADD II","PADD 2",IF($M11376="PADD III","PADD 3",IF($M11376="PADD IV","PADD 4",IF($M11376="PADD V","PADD 5","")))))</f>
        <v/>
      </c>
      <c r="G11376" s="6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  <c r="N11376" s="6">
        <f>IF(OR($G11376="FCC",$G11376="Hydrocracker",$G11376="Reformer"),IF(COUNTIFS($D:$D,$D11376,$A:$A,$A11376,$B:$B,$B11376,$G:$G,"CDU",$J:$J,"PLANNED")&gt;0,"tied","standalone"),"")</f>
        <v/>
      </c>
    </row>
    <row r="11377" spans="6:14">
      <c r="F11377" s="6">
        <f>IF($M11377="PADD I","PADD 1",IF($M11377="PADD II","PADD 2",IF($M11377="PADD III","PADD 3",IF($M11377="PADD IV","PADD 4",IF($M11377="PADD V","PADD 5","")))))</f>
        <v/>
      </c>
      <c r="G11377" s="6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  <c r="N11377" s="6">
        <f>IF(OR($G11377="FCC",$G11377="Hydrocracker",$G11377="Reformer"),IF(COUNTIFS($D:$D,$D11377,$A:$A,$A11377,$B:$B,$B11377,$G:$G,"CDU",$J:$J,"PLANNED")&gt;0,"tied","standalone"),"")</f>
        <v/>
      </c>
    </row>
    <row r="11378" spans="6:14">
      <c r="F11378" s="6">
        <f>IF($M11378="PADD I","PADD 1",IF($M11378="PADD II","PADD 2",IF($M11378="PADD III","PADD 3",IF($M11378="PADD IV","PADD 4",IF($M11378="PADD V","PADD 5","")))))</f>
        <v/>
      </c>
      <c r="G11378" s="6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  <c r="N11378" s="6">
        <f>IF(OR($G11378="FCC",$G11378="Hydrocracker",$G11378="Reformer"),IF(COUNTIFS($D:$D,$D11378,$A:$A,$A11378,$B:$B,$B11378,$G:$G,"CDU",$J:$J,"PLANNED")&gt;0,"tied","standalone"),"")</f>
        <v/>
      </c>
    </row>
    <row r="11379" spans="6:14">
      <c r="F11379" s="6">
        <f>IF($M11379="PADD I","PADD 1",IF($M11379="PADD II","PADD 2",IF($M11379="PADD III","PADD 3",IF($M11379="PADD IV","PADD 4",IF($M11379="PADD V","PADD 5","")))))</f>
        <v/>
      </c>
      <c r="G11379" s="6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  <c r="N11379" s="6">
        <f>IF(OR($G11379="FCC",$G11379="Hydrocracker",$G11379="Reformer"),IF(COUNTIFS($D:$D,$D11379,$A:$A,$A11379,$B:$B,$B11379,$G:$G,"CDU",$J:$J,"PLANNED")&gt;0,"tied","standalone"),"")</f>
        <v/>
      </c>
    </row>
    <row r="11380" spans="6:14">
      <c r="F11380" s="6">
        <f>IF($M11380="PADD I","PADD 1",IF($M11380="PADD II","PADD 2",IF($M11380="PADD III","PADD 3",IF($M11380="PADD IV","PADD 4",IF($M11380="PADD V","PADD 5","")))))</f>
        <v/>
      </c>
      <c r="G11380" s="6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  <c r="N11380" s="6">
        <f>IF(OR($G11380="FCC",$G11380="Hydrocracker",$G11380="Reformer"),IF(COUNTIFS($D:$D,$D11380,$A:$A,$A11380,$B:$B,$B11380,$G:$G,"CDU",$J:$J,"PLANNED")&gt;0,"tied","standalone"),"")</f>
        <v/>
      </c>
    </row>
    <row r="11381" spans="6:14">
      <c r="F11381" s="6">
        <f>IF($M11381="PADD I","PADD 1",IF($M11381="PADD II","PADD 2",IF($M11381="PADD III","PADD 3",IF($M11381="PADD IV","PADD 4",IF($M11381="PADD V","PADD 5","")))))</f>
        <v/>
      </c>
      <c r="G11381" s="6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  <c r="N11381" s="6">
        <f>IF(OR($G11381="FCC",$G11381="Hydrocracker",$G11381="Reformer"),IF(COUNTIFS($D:$D,$D11381,$A:$A,$A11381,$B:$B,$B11381,$G:$G,"CDU",$J:$J,"PLANNED")&gt;0,"tied","standalone"),"")</f>
        <v/>
      </c>
    </row>
    <row r="11382" spans="6:14">
      <c r="F11382" s="6">
        <f>IF($M11382="PADD I","PADD 1",IF($M11382="PADD II","PADD 2",IF($M11382="PADD III","PADD 3",IF($M11382="PADD IV","PADD 4",IF($M11382="PADD V","PADD 5","")))))</f>
        <v/>
      </c>
      <c r="G11382" s="6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  <c r="N11382" s="6">
        <f>IF(OR($G11382="FCC",$G11382="Hydrocracker",$G11382="Reformer"),IF(COUNTIFS($D:$D,$D11382,$A:$A,$A11382,$B:$B,$B11382,$G:$G,"CDU",$J:$J,"PLANNED")&gt;0,"tied","standalone"),"")</f>
        <v/>
      </c>
    </row>
    <row r="11383" spans="6:14">
      <c r="F11383" s="6">
        <f>IF($M11383="PADD I","PADD 1",IF($M11383="PADD II","PADD 2",IF($M11383="PADD III","PADD 3",IF($M11383="PADD IV","PADD 4",IF($M11383="PADD V","PADD 5","")))))</f>
        <v/>
      </c>
      <c r="G11383" s="6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  <c r="N11383" s="6">
        <f>IF(OR($G11383="FCC",$G11383="Hydrocracker",$G11383="Reformer"),IF(COUNTIFS($D:$D,$D11383,$A:$A,$A11383,$B:$B,$B11383,$G:$G,"CDU",$J:$J,"PLANNED")&gt;0,"tied","standalone"),"")</f>
        <v/>
      </c>
    </row>
    <row r="11384" spans="6:14">
      <c r="F11384" s="6">
        <f>IF($M11384="PADD I","PADD 1",IF($M11384="PADD II","PADD 2",IF($M11384="PADD III","PADD 3",IF($M11384="PADD IV","PADD 4",IF($M11384="PADD V","PADD 5","")))))</f>
        <v/>
      </c>
      <c r="G11384" s="6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  <c r="N11384" s="6">
        <f>IF(OR($G11384="FCC",$G11384="Hydrocracker",$G11384="Reformer"),IF(COUNTIFS($D:$D,$D11384,$A:$A,$A11384,$B:$B,$B11384,$G:$G,"CDU",$J:$J,"PLANNED")&gt;0,"tied","standalone"),"")</f>
        <v/>
      </c>
    </row>
    <row r="11385" spans="6:14">
      <c r="F11385" s="6">
        <f>IF($M11385="PADD I","PADD 1",IF($M11385="PADD II","PADD 2",IF($M11385="PADD III","PADD 3",IF($M11385="PADD IV","PADD 4",IF($M11385="PADD V","PADD 5","")))))</f>
        <v/>
      </c>
      <c r="G11385" s="6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  <c r="N11385" s="6">
        <f>IF(OR($G11385="FCC",$G11385="Hydrocracker",$G11385="Reformer"),IF(COUNTIFS($D:$D,$D11385,$A:$A,$A11385,$B:$B,$B11385,$G:$G,"CDU",$J:$J,"PLANNED")&gt;0,"tied","standalone"),"")</f>
        <v/>
      </c>
    </row>
    <row r="11386" spans="6:14">
      <c r="F11386" s="6">
        <f>IF($M11386="PADD I","PADD 1",IF($M11386="PADD II","PADD 2",IF($M11386="PADD III","PADD 3",IF($M11386="PADD IV","PADD 4",IF($M11386="PADD V","PADD 5","")))))</f>
        <v/>
      </c>
      <c r="G11386" s="6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  <c r="N11386" s="6">
        <f>IF(OR($G11386="FCC",$G11386="Hydrocracker",$G11386="Reformer"),IF(COUNTIFS($D:$D,$D11386,$A:$A,$A11386,$B:$B,$B11386,$G:$G,"CDU",$J:$J,"PLANNED")&gt;0,"tied","standalone"),"")</f>
        <v/>
      </c>
    </row>
    <row r="11387" spans="6:14">
      <c r="F11387" s="6">
        <f>IF($M11387="PADD I","PADD 1",IF($M11387="PADD II","PADD 2",IF($M11387="PADD III","PADD 3",IF($M11387="PADD IV","PADD 4",IF($M11387="PADD V","PADD 5","")))))</f>
        <v/>
      </c>
      <c r="G11387" s="6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  <c r="N11387" s="6">
        <f>IF(OR($G11387="FCC",$G11387="Hydrocracker",$G11387="Reformer"),IF(COUNTIFS($D:$D,$D11387,$A:$A,$A11387,$B:$B,$B11387,$G:$G,"CDU",$J:$J,"PLANNED")&gt;0,"tied","standalone"),"")</f>
        <v/>
      </c>
    </row>
    <row r="11388" spans="6:14">
      <c r="F11388" s="6">
        <f>IF($M11388="PADD I","PADD 1",IF($M11388="PADD II","PADD 2",IF($M11388="PADD III","PADD 3",IF($M11388="PADD IV","PADD 4",IF($M11388="PADD V","PADD 5","")))))</f>
        <v/>
      </c>
      <c r="G11388" s="6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  <c r="N11388" s="6">
        <f>IF(OR($G11388="FCC",$G11388="Hydrocracker",$G11388="Reformer"),IF(COUNTIFS($D:$D,$D11388,$A:$A,$A11388,$B:$B,$B11388,$G:$G,"CDU",$J:$J,"PLANNED")&gt;0,"tied","standalone"),"")</f>
        <v/>
      </c>
    </row>
    <row r="11389" spans="6:14">
      <c r="F11389" s="6">
        <f>IF($M11389="PADD I","PADD 1",IF($M11389="PADD II","PADD 2",IF($M11389="PADD III","PADD 3",IF($M11389="PADD IV","PADD 4",IF($M11389="PADD V","PADD 5","")))))</f>
        <v/>
      </c>
      <c r="G11389" s="6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  <c r="N11389" s="6">
        <f>IF(OR($G11389="FCC",$G11389="Hydrocracker",$G11389="Reformer"),IF(COUNTIFS($D:$D,$D11389,$A:$A,$A11389,$B:$B,$B11389,$G:$G,"CDU",$J:$J,"PLANNED")&gt;0,"tied","standalone"),"")</f>
        <v/>
      </c>
    </row>
    <row r="11390" spans="6:14">
      <c r="F11390" s="6">
        <f>IF($M11390="PADD I","PADD 1",IF($M11390="PADD II","PADD 2",IF($M11390="PADD III","PADD 3",IF($M11390="PADD IV","PADD 4",IF($M11390="PADD V","PADD 5","")))))</f>
        <v/>
      </c>
      <c r="G11390" s="6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  <c r="N11390" s="6">
        <f>IF(OR($G11390="FCC",$G11390="Hydrocracker",$G11390="Reformer"),IF(COUNTIFS($D:$D,$D11390,$A:$A,$A11390,$B:$B,$B11390,$G:$G,"CDU",$J:$J,"PLANNED")&gt;0,"tied","standalone"),"")</f>
        <v/>
      </c>
    </row>
    <row r="11391" spans="6:14">
      <c r="F11391" s="6">
        <f>IF($M11391="PADD I","PADD 1",IF($M11391="PADD II","PADD 2",IF($M11391="PADD III","PADD 3",IF($M11391="PADD IV","PADD 4",IF($M11391="PADD V","PADD 5","")))))</f>
        <v/>
      </c>
      <c r="G11391" s="6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  <c r="N11391" s="6">
        <f>IF(OR($G11391="FCC",$G11391="Hydrocracker",$G11391="Reformer"),IF(COUNTIFS($D:$D,$D11391,$A:$A,$A11391,$B:$B,$B11391,$G:$G,"CDU",$J:$J,"PLANNED")&gt;0,"tied","standalone"),"")</f>
        <v/>
      </c>
    </row>
    <row r="11392" spans="6:14">
      <c r="F11392" s="6">
        <f>IF($M11392="PADD I","PADD 1",IF($M11392="PADD II","PADD 2",IF($M11392="PADD III","PADD 3",IF($M11392="PADD IV","PADD 4",IF($M11392="PADD V","PADD 5","")))))</f>
        <v/>
      </c>
      <c r="G11392" s="6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  <c r="N11392" s="6">
        <f>IF(OR($G11392="FCC",$G11392="Hydrocracker",$G11392="Reformer"),IF(COUNTIFS($D:$D,$D11392,$A:$A,$A11392,$B:$B,$B11392,$G:$G,"CDU",$J:$J,"PLANNED")&gt;0,"tied","standalone"),"")</f>
        <v/>
      </c>
    </row>
    <row r="11393" spans="6:14">
      <c r="F11393" s="6">
        <f>IF($M11393="PADD I","PADD 1",IF($M11393="PADD II","PADD 2",IF($M11393="PADD III","PADD 3",IF($M11393="PADD IV","PADD 4",IF($M11393="PADD V","PADD 5","")))))</f>
        <v/>
      </c>
      <c r="G11393" s="6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  <c r="N11393" s="6">
        <f>IF(OR($G11393="FCC",$G11393="Hydrocracker",$G11393="Reformer"),IF(COUNTIFS($D:$D,$D11393,$A:$A,$A11393,$B:$B,$B11393,$G:$G,"CDU",$J:$J,"PLANNED")&gt;0,"tied","standalone"),"")</f>
        <v/>
      </c>
    </row>
    <row r="11394" spans="6:14">
      <c r="F11394" s="6">
        <f>IF($M11394="PADD I","PADD 1",IF($M11394="PADD II","PADD 2",IF($M11394="PADD III","PADD 3",IF($M11394="PADD IV","PADD 4",IF($M11394="PADD V","PADD 5","")))))</f>
        <v/>
      </c>
      <c r="G11394" s="6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  <c r="N11394" s="6">
        <f>IF(OR($G11394="FCC",$G11394="Hydrocracker",$G11394="Reformer"),IF(COUNTIFS($D:$D,$D11394,$A:$A,$A11394,$B:$B,$B11394,$G:$G,"CDU",$J:$J,"PLANNED")&gt;0,"tied","standalone"),"")</f>
        <v/>
      </c>
    </row>
    <row r="11395" spans="6:14">
      <c r="F11395" s="6">
        <f>IF($M11395="PADD I","PADD 1",IF($M11395="PADD II","PADD 2",IF($M11395="PADD III","PADD 3",IF($M11395="PADD IV","PADD 4",IF($M11395="PADD V","PADD 5","")))))</f>
        <v/>
      </c>
      <c r="G11395" s="6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  <c r="N11395" s="6">
        <f>IF(OR($G11395="FCC",$G11395="Hydrocracker",$G11395="Reformer"),IF(COUNTIFS($D:$D,$D11395,$A:$A,$A11395,$B:$B,$B11395,$G:$G,"CDU",$J:$J,"PLANNED")&gt;0,"tied","standalone"),"")</f>
        <v/>
      </c>
    </row>
    <row r="11396" spans="6:14">
      <c r="F11396" s="6">
        <f>IF($M11396="PADD I","PADD 1",IF($M11396="PADD II","PADD 2",IF($M11396="PADD III","PADD 3",IF($M11396="PADD IV","PADD 4",IF($M11396="PADD V","PADD 5","")))))</f>
        <v/>
      </c>
      <c r="G11396" s="6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  <c r="N11396" s="6">
        <f>IF(OR($G11396="FCC",$G11396="Hydrocracker",$G11396="Reformer"),IF(COUNTIFS($D:$D,$D11396,$A:$A,$A11396,$B:$B,$B11396,$G:$G,"CDU",$J:$J,"PLANNED")&gt;0,"tied","standalone"),"")</f>
        <v/>
      </c>
    </row>
    <row r="11397" spans="6:14">
      <c r="F11397" s="6">
        <f>IF($M11397="PADD I","PADD 1",IF($M11397="PADD II","PADD 2",IF($M11397="PADD III","PADD 3",IF($M11397="PADD IV","PADD 4",IF($M11397="PADD V","PADD 5","")))))</f>
        <v/>
      </c>
      <c r="G11397" s="6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  <c r="N11397" s="6">
        <f>IF(OR($G11397="FCC",$G11397="Hydrocracker",$G11397="Reformer"),IF(COUNTIFS($D:$D,$D11397,$A:$A,$A11397,$B:$B,$B11397,$G:$G,"CDU",$J:$J,"PLANNED")&gt;0,"tied","standalone"),"")</f>
        <v/>
      </c>
    </row>
    <row r="11398" spans="6:14">
      <c r="F11398" s="6">
        <f>IF($M11398="PADD I","PADD 1",IF($M11398="PADD II","PADD 2",IF($M11398="PADD III","PADD 3",IF($M11398="PADD IV","PADD 4",IF($M11398="PADD V","PADD 5","")))))</f>
        <v/>
      </c>
      <c r="G11398" s="6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  <c r="N11398" s="6">
        <f>IF(OR($G11398="FCC",$G11398="Hydrocracker",$G11398="Reformer"),IF(COUNTIFS($D:$D,$D11398,$A:$A,$A11398,$B:$B,$B11398,$G:$G,"CDU",$J:$J,"PLANNED")&gt;0,"tied","standalone"),"")</f>
        <v/>
      </c>
    </row>
    <row r="11399" spans="6:14">
      <c r="F11399" s="6">
        <f>IF($M11399="PADD I","PADD 1",IF($M11399="PADD II","PADD 2",IF($M11399="PADD III","PADD 3",IF($M11399="PADD IV","PADD 4",IF($M11399="PADD V","PADD 5","")))))</f>
        <v/>
      </c>
      <c r="G11399" s="6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  <c r="N11399" s="6">
        <f>IF(OR($G11399="FCC",$G11399="Hydrocracker",$G11399="Reformer"),IF(COUNTIFS($D:$D,$D11399,$A:$A,$A11399,$B:$B,$B11399,$G:$G,"CDU",$J:$J,"PLANNED")&gt;0,"tied","standalone"),"")</f>
        <v/>
      </c>
    </row>
    <row r="11400" spans="6:14">
      <c r="F11400" s="6">
        <f>IF($M11400="PADD I","PADD 1",IF($M11400="PADD II","PADD 2",IF($M11400="PADD III","PADD 3",IF($M11400="PADD IV","PADD 4",IF($M11400="PADD V","PADD 5","")))))</f>
        <v/>
      </c>
      <c r="G11400" s="6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  <c r="N11400" s="6">
        <f>IF(OR($G11400="FCC",$G11400="Hydrocracker",$G11400="Reformer"),IF(COUNTIFS($D:$D,$D11400,$A:$A,$A11400,$B:$B,$B11400,$G:$G,"CDU",$J:$J,"PLANNED")&gt;0,"tied","standalone"),"")</f>
        <v/>
      </c>
    </row>
    <row r="11401" spans="6:14">
      <c r="F11401" s="6">
        <f>IF($M11401="PADD I","PADD 1",IF($M11401="PADD II","PADD 2",IF($M11401="PADD III","PADD 3",IF($M11401="PADD IV","PADD 4",IF($M11401="PADD V","PADD 5","")))))</f>
        <v/>
      </c>
      <c r="G11401" s="6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  <c r="N11401" s="6">
        <f>IF(OR($G11401="FCC",$G11401="Hydrocracker",$G11401="Reformer"),IF(COUNTIFS($D:$D,$D11401,$A:$A,$A11401,$B:$B,$B11401,$G:$G,"CDU",$J:$J,"PLANNED")&gt;0,"tied","standalone"),"")</f>
        <v/>
      </c>
    </row>
    <row r="11402" spans="6:14">
      <c r="F11402" s="6">
        <f>IF($M11402="PADD I","PADD 1",IF($M11402="PADD II","PADD 2",IF($M11402="PADD III","PADD 3",IF($M11402="PADD IV","PADD 4",IF($M11402="PADD V","PADD 5","")))))</f>
        <v/>
      </c>
      <c r="G11402" s="6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  <c r="N11402" s="6">
        <f>IF(OR($G11402="FCC",$G11402="Hydrocracker",$G11402="Reformer"),IF(COUNTIFS($D:$D,$D11402,$A:$A,$A11402,$B:$B,$B11402,$G:$G,"CDU",$J:$J,"PLANNED")&gt;0,"tied","standalone"),"")</f>
        <v/>
      </c>
    </row>
    <row r="11403" spans="6:14">
      <c r="F11403" s="6">
        <f>IF($M11403="PADD I","PADD 1",IF($M11403="PADD II","PADD 2",IF($M11403="PADD III","PADD 3",IF($M11403="PADD IV","PADD 4",IF($M11403="PADD V","PADD 5","")))))</f>
        <v/>
      </c>
      <c r="G11403" s="6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  <c r="N11403" s="6">
        <f>IF(OR($G11403="FCC",$G11403="Hydrocracker",$G11403="Reformer"),IF(COUNTIFS($D:$D,$D11403,$A:$A,$A11403,$B:$B,$B11403,$G:$G,"CDU",$J:$J,"PLANNED")&gt;0,"tied","standalone"),"")</f>
        <v/>
      </c>
    </row>
    <row r="11404" spans="6:14">
      <c r="F11404" s="6">
        <f>IF($M11404="PADD I","PADD 1",IF($M11404="PADD II","PADD 2",IF($M11404="PADD III","PADD 3",IF($M11404="PADD IV","PADD 4",IF($M11404="PADD V","PADD 5","")))))</f>
        <v/>
      </c>
      <c r="G11404" s="6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  <c r="N11404" s="6">
        <f>IF(OR($G11404="FCC",$G11404="Hydrocracker",$G11404="Reformer"),IF(COUNTIFS($D:$D,$D11404,$A:$A,$A11404,$B:$B,$B11404,$G:$G,"CDU",$J:$J,"PLANNED")&gt;0,"tied","standalone"),"")</f>
        <v/>
      </c>
    </row>
    <row r="11405" spans="6:14">
      <c r="F11405" s="6">
        <f>IF($M11405="PADD I","PADD 1",IF($M11405="PADD II","PADD 2",IF($M11405="PADD III","PADD 3",IF($M11405="PADD IV","PADD 4",IF($M11405="PADD V","PADD 5","")))))</f>
        <v/>
      </c>
      <c r="G11405" s="6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  <c r="N11405" s="6">
        <f>IF(OR($G11405="FCC",$G11405="Hydrocracker",$G11405="Reformer"),IF(COUNTIFS($D:$D,$D11405,$A:$A,$A11405,$B:$B,$B11405,$G:$G,"CDU",$J:$J,"PLANNED")&gt;0,"tied","standalone"),"")</f>
        <v/>
      </c>
    </row>
    <row r="11406" spans="6:14">
      <c r="F11406" s="6">
        <f>IF($M11406="PADD I","PADD 1",IF($M11406="PADD II","PADD 2",IF($M11406="PADD III","PADD 3",IF($M11406="PADD IV","PADD 4",IF($M11406="PADD V","PADD 5","")))))</f>
        <v/>
      </c>
      <c r="G11406" s="6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  <c r="N11406" s="6">
        <f>IF(OR($G11406="FCC",$G11406="Hydrocracker",$G11406="Reformer"),IF(COUNTIFS($D:$D,$D11406,$A:$A,$A11406,$B:$B,$B11406,$G:$G,"CDU",$J:$J,"PLANNED")&gt;0,"tied","standalone"),"")</f>
        <v/>
      </c>
    </row>
    <row r="11407" spans="6:14">
      <c r="F11407" s="6">
        <f>IF($M11407="PADD I","PADD 1",IF($M11407="PADD II","PADD 2",IF($M11407="PADD III","PADD 3",IF($M11407="PADD IV","PADD 4",IF($M11407="PADD V","PADD 5","")))))</f>
        <v/>
      </c>
      <c r="G11407" s="6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  <c r="N11407" s="6">
        <f>IF(OR($G11407="FCC",$G11407="Hydrocracker",$G11407="Reformer"),IF(COUNTIFS($D:$D,$D11407,$A:$A,$A11407,$B:$B,$B11407,$G:$G,"CDU",$J:$J,"PLANNED")&gt;0,"tied","standalone"),"")</f>
        <v/>
      </c>
    </row>
    <row r="11408" spans="6:14">
      <c r="F11408" s="6">
        <f>IF($M11408="PADD I","PADD 1",IF($M11408="PADD II","PADD 2",IF($M11408="PADD III","PADD 3",IF($M11408="PADD IV","PADD 4",IF($M11408="PADD V","PADD 5","")))))</f>
        <v/>
      </c>
      <c r="G11408" s="6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  <c r="N11408" s="6">
        <f>IF(OR($G11408="FCC",$G11408="Hydrocracker",$G11408="Reformer"),IF(COUNTIFS($D:$D,$D11408,$A:$A,$A11408,$B:$B,$B11408,$G:$G,"CDU",$J:$J,"PLANNED")&gt;0,"tied","standalone"),"")</f>
        <v/>
      </c>
    </row>
    <row r="11409" spans="6:14">
      <c r="F11409" s="6">
        <f>IF($M11409="PADD I","PADD 1",IF($M11409="PADD II","PADD 2",IF($M11409="PADD III","PADD 3",IF($M11409="PADD IV","PADD 4",IF($M11409="PADD V","PADD 5","")))))</f>
        <v/>
      </c>
      <c r="G11409" s="6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  <c r="N11409" s="6">
        <f>IF(OR($G11409="FCC",$G11409="Hydrocracker",$G11409="Reformer"),IF(COUNTIFS($D:$D,$D11409,$A:$A,$A11409,$B:$B,$B11409,$G:$G,"CDU",$J:$J,"PLANNED")&gt;0,"tied","standalone"),"")</f>
        <v/>
      </c>
    </row>
    <row r="11410" spans="6:14">
      <c r="F11410" s="6">
        <f>IF($M11410="PADD I","PADD 1",IF($M11410="PADD II","PADD 2",IF($M11410="PADD III","PADD 3",IF($M11410="PADD IV","PADD 4",IF($M11410="PADD V","PADD 5","")))))</f>
        <v/>
      </c>
      <c r="G11410" s="6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  <c r="N11410" s="6">
        <f>IF(OR($G11410="FCC",$G11410="Hydrocracker",$G11410="Reformer"),IF(COUNTIFS($D:$D,$D11410,$A:$A,$A11410,$B:$B,$B11410,$G:$G,"CDU",$J:$J,"PLANNED")&gt;0,"tied","standalone"),"")</f>
        <v/>
      </c>
    </row>
    <row r="11411" spans="6:14">
      <c r="F11411" s="6">
        <f>IF($M11411="PADD I","PADD 1",IF($M11411="PADD II","PADD 2",IF($M11411="PADD III","PADD 3",IF($M11411="PADD IV","PADD 4",IF($M11411="PADD V","PADD 5","")))))</f>
        <v/>
      </c>
      <c r="G11411" s="6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  <c r="N11411" s="6">
        <f>IF(OR($G11411="FCC",$G11411="Hydrocracker",$G11411="Reformer"),IF(COUNTIFS($D:$D,$D11411,$A:$A,$A11411,$B:$B,$B11411,$G:$G,"CDU",$J:$J,"PLANNED")&gt;0,"tied","standalone"),"")</f>
        <v/>
      </c>
    </row>
    <row r="11412" spans="6:14">
      <c r="F11412" s="6">
        <f>IF($M11412="PADD I","PADD 1",IF($M11412="PADD II","PADD 2",IF($M11412="PADD III","PADD 3",IF($M11412="PADD IV","PADD 4",IF($M11412="PADD V","PADD 5","")))))</f>
        <v/>
      </c>
      <c r="G11412" s="6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  <c r="N11412" s="6">
        <f>IF(OR($G11412="FCC",$G11412="Hydrocracker",$G11412="Reformer"),IF(COUNTIFS($D:$D,$D11412,$A:$A,$A11412,$B:$B,$B11412,$G:$G,"CDU",$J:$J,"PLANNED")&gt;0,"tied","standalone"),"")</f>
        <v/>
      </c>
    </row>
    <row r="11413" spans="6:14">
      <c r="F11413" s="6">
        <f>IF($M11413="PADD I","PADD 1",IF($M11413="PADD II","PADD 2",IF($M11413="PADD III","PADD 3",IF($M11413="PADD IV","PADD 4",IF($M11413="PADD V","PADD 5","")))))</f>
        <v/>
      </c>
      <c r="G11413" s="6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  <c r="N11413" s="6">
        <f>IF(OR($G11413="FCC",$G11413="Hydrocracker",$G11413="Reformer"),IF(COUNTIFS($D:$D,$D11413,$A:$A,$A11413,$B:$B,$B11413,$G:$G,"CDU",$J:$J,"PLANNED")&gt;0,"tied","standalone"),"")</f>
        <v/>
      </c>
    </row>
    <row r="11414" spans="6:14">
      <c r="F11414" s="6">
        <f>IF($M11414="PADD I","PADD 1",IF($M11414="PADD II","PADD 2",IF($M11414="PADD III","PADD 3",IF($M11414="PADD IV","PADD 4",IF($M11414="PADD V","PADD 5","")))))</f>
        <v/>
      </c>
      <c r="G11414" s="6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  <c r="N11414" s="6">
        <f>IF(OR($G11414="FCC",$G11414="Hydrocracker",$G11414="Reformer"),IF(COUNTIFS($D:$D,$D11414,$A:$A,$A11414,$B:$B,$B11414,$G:$G,"CDU",$J:$J,"PLANNED")&gt;0,"tied","standalone"),"")</f>
        <v/>
      </c>
    </row>
    <row r="11415" spans="6:14">
      <c r="F11415" s="6">
        <f>IF($M11415="PADD I","PADD 1",IF($M11415="PADD II","PADD 2",IF($M11415="PADD III","PADD 3",IF($M11415="PADD IV","PADD 4",IF($M11415="PADD V","PADD 5","")))))</f>
        <v/>
      </c>
      <c r="G11415" s="6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  <c r="N11415" s="6">
        <f>IF(OR($G11415="FCC",$G11415="Hydrocracker",$G11415="Reformer"),IF(COUNTIFS($D:$D,$D11415,$A:$A,$A11415,$B:$B,$B11415,$G:$G,"CDU",$J:$J,"PLANNED")&gt;0,"tied","standalone"),"")</f>
        <v/>
      </c>
    </row>
    <row r="11416" spans="6:14">
      <c r="F11416" s="6">
        <f>IF($M11416="PADD I","PADD 1",IF($M11416="PADD II","PADD 2",IF($M11416="PADD III","PADD 3",IF($M11416="PADD IV","PADD 4",IF($M11416="PADD V","PADD 5","")))))</f>
        <v/>
      </c>
      <c r="G11416" s="6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  <c r="N11416" s="6">
        <f>IF(OR($G11416="FCC",$G11416="Hydrocracker",$G11416="Reformer"),IF(COUNTIFS($D:$D,$D11416,$A:$A,$A11416,$B:$B,$B11416,$G:$G,"CDU",$J:$J,"PLANNED")&gt;0,"tied","standalone"),"")</f>
        <v/>
      </c>
    </row>
    <row r="11417" spans="6:14">
      <c r="F11417" s="6">
        <f>IF($M11417="PADD I","PADD 1",IF($M11417="PADD II","PADD 2",IF($M11417="PADD III","PADD 3",IF($M11417="PADD IV","PADD 4",IF($M11417="PADD V","PADD 5","")))))</f>
        <v/>
      </c>
      <c r="G11417" s="6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  <c r="N11417" s="6">
        <f>IF(OR($G11417="FCC",$G11417="Hydrocracker",$G11417="Reformer"),IF(COUNTIFS($D:$D,$D11417,$A:$A,$A11417,$B:$B,$B11417,$G:$G,"CDU",$J:$J,"PLANNED")&gt;0,"tied","standalone"),"")</f>
        <v/>
      </c>
    </row>
    <row r="11418" spans="6:14">
      <c r="F11418" s="6">
        <f>IF($M11418="PADD I","PADD 1",IF($M11418="PADD II","PADD 2",IF($M11418="PADD III","PADD 3",IF($M11418="PADD IV","PADD 4",IF($M11418="PADD V","PADD 5","")))))</f>
        <v/>
      </c>
      <c r="G11418" s="6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  <c r="N11418" s="6">
        <f>IF(OR($G11418="FCC",$G11418="Hydrocracker",$G11418="Reformer"),IF(COUNTIFS($D:$D,$D11418,$A:$A,$A11418,$B:$B,$B11418,$G:$G,"CDU",$J:$J,"PLANNED")&gt;0,"tied","standalone"),"")</f>
        <v/>
      </c>
    </row>
    <row r="11419" spans="6:14">
      <c r="F11419" s="6">
        <f>IF($M11419="PADD I","PADD 1",IF($M11419="PADD II","PADD 2",IF($M11419="PADD III","PADD 3",IF($M11419="PADD IV","PADD 4",IF($M11419="PADD V","PADD 5","")))))</f>
        <v/>
      </c>
      <c r="G11419" s="6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  <c r="N11419" s="6">
        <f>IF(OR($G11419="FCC",$G11419="Hydrocracker",$G11419="Reformer"),IF(COUNTIFS($D:$D,$D11419,$A:$A,$A11419,$B:$B,$B11419,$G:$G,"CDU",$J:$J,"PLANNED")&gt;0,"tied","standalone"),"")</f>
        <v/>
      </c>
    </row>
    <row r="11420" spans="6:14">
      <c r="F11420" s="6">
        <f>IF($M11420="PADD I","PADD 1",IF($M11420="PADD II","PADD 2",IF($M11420="PADD III","PADD 3",IF($M11420="PADD IV","PADD 4",IF($M11420="PADD V","PADD 5","")))))</f>
        <v/>
      </c>
      <c r="G11420" s="6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  <c r="N11420" s="6">
        <f>IF(OR($G11420="FCC",$G11420="Hydrocracker",$G11420="Reformer"),IF(COUNTIFS($D:$D,$D11420,$A:$A,$A11420,$B:$B,$B11420,$G:$G,"CDU",$J:$J,"PLANNED")&gt;0,"tied","standalone"),"")</f>
        <v/>
      </c>
    </row>
    <row r="11421" spans="6:14">
      <c r="F11421" s="6">
        <f>IF($M11421="PADD I","PADD 1",IF($M11421="PADD II","PADD 2",IF($M11421="PADD III","PADD 3",IF($M11421="PADD IV","PADD 4",IF($M11421="PADD V","PADD 5","")))))</f>
        <v/>
      </c>
      <c r="G11421" s="6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  <c r="N11421" s="6">
        <f>IF(OR($G11421="FCC",$G11421="Hydrocracker",$G11421="Reformer"),IF(COUNTIFS($D:$D,$D11421,$A:$A,$A11421,$B:$B,$B11421,$G:$G,"CDU",$J:$J,"PLANNED")&gt;0,"tied","standalone"),"")</f>
        <v/>
      </c>
    </row>
    <row r="11422" spans="6:14">
      <c r="F11422" s="6">
        <f>IF($M11422="PADD I","PADD 1",IF($M11422="PADD II","PADD 2",IF($M11422="PADD III","PADD 3",IF($M11422="PADD IV","PADD 4",IF($M11422="PADD V","PADD 5","")))))</f>
        <v/>
      </c>
      <c r="G11422" s="6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  <c r="N11422" s="6">
        <f>IF(OR($G11422="FCC",$G11422="Hydrocracker",$G11422="Reformer"),IF(COUNTIFS($D:$D,$D11422,$A:$A,$A11422,$B:$B,$B11422,$G:$G,"CDU",$J:$J,"PLANNED")&gt;0,"tied","standalone"),"")</f>
        <v/>
      </c>
    </row>
    <row r="11423" spans="6:14">
      <c r="F11423" s="6">
        <f>IF($M11423="PADD I","PADD 1",IF($M11423="PADD II","PADD 2",IF($M11423="PADD III","PADD 3",IF($M11423="PADD IV","PADD 4",IF($M11423="PADD V","PADD 5","")))))</f>
        <v/>
      </c>
      <c r="G11423" s="6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  <c r="N11423" s="6">
        <f>IF(OR($G11423="FCC",$G11423="Hydrocracker",$G11423="Reformer"),IF(COUNTIFS($D:$D,$D11423,$A:$A,$A11423,$B:$B,$B11423,$G:$G,"CDU",$J:$J,"PLANNED")&gt;0,"tied","standalone"),"")</f>
        <v/>
      </c>
    </row>
    <row r="11424" spans="6:14">
      <c r="F11424" s="6">
        <f>IF($M11424="PADD I","PADD 1",IF($M11424="PADD II","PADD 2",IF($M11424="PADD III","PADD 3",IF($M11424="PADD IV","PADD 4",IF($M11424="PADD V","PADD 5","")))))</f>
        <v/>
      </c>
      <c r="G11424" s="6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  <c r="N11424" s="6">
        <f>IF(OR($G11424="FCC",$G11424="Hydrocracker",$G11424="Reformer"),IF(COUNTIFS($D:$D,$D11424,$A:$A,$A11424,$B:$B,$B11424,$G:$G,"CDU",$J:$J,"PLANNED")&gt;0,"tied","standalone"),"")</f>
        <v/>
      </c>
    </row>
    <row r="11425" spans="6:14">
      <c r="F11425" s="6">
        <f>IF($M11425="PADD I","PADD 1",IF($M11425="PADD II","PADD 2",IF($M11425="PADD III","PADD 3",IF($M11425="PADD IV","PADD 4",IF($M11425="PADD V","PADD 5","")))))</f>
        <v/>
      </c>
      <c r="G11425" s="6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  <c r="N11425" s="6">
        <f>IF(OR($G11425="FCC",$G11425="Hydrocracker",$G11425="Reformer"),IF(COUNTIFS($D:$D,$D11425,$A:$A,$A11425,$B:$B,$B11425,$G:$G,"CDU",$J:$J,"PLANNED")&gt;0,"tied","standalone"),"")</f>
        <v/>
      </c>
    </row>
    <row r="11426" spans="6:14">
      <c r="F11426" s="6">
        <f>IF($M11426="PADD I","PADD 1",IF($M11426="PADD II","PADD 2",IF($M11426="PADD III","PADD 3",IF($M11426="PADD IV","PADD 4",IF($M11426="PADD V","PADD 5","")))))</f>
        <v/>
      </c>
      <c r="G11426" s="6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  <c r="N11426" s="6">
        <f>IF(OR($G11426="FCC",$G11426="Hydrocracker",$G11426="Reformer"),IF(COUNTIFS($D:$D,$D11426,$A:$A,$A11426,$B:$B,$B11426,$G:$G,"CDU",$J:$J,"PLANNED")&gt;0,"tied","standalone"),"")</f>
        <v/>
      </c>
    </row>
    <row r="11427" spans="6:14">
      <c r="F11427" s="6">
        <f>IF($M11427="PADD I","PADD 1",IF($M11427="PADD II","PADD 2",IF($M11427="PADD III","PADD 3",IF($M11427="PADD IV","PADD 4",IF($M11427="PADD V","PADD 5","")))))</f>
        <v/>
      </c>
      <c r="G11427" s="6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  <c r="N11427" s="6">
        <f>IF(OR($G11427="FCC",$G11427="Hydrocracker",$G11427="Reformer"),IF(COUNTIFS($D:$D,$D11427,$A:$A,$A11427,$B:$B,$B11427,$G:$G,"CDU",$J:$J,"PLANNED")&gt;0,"tied","standalone"),"")</f>
        <v/>
      </c>
    </row>
    <row r="11428" spans="6:14">
      <c r="F11428" s="6">
        <f>IF($M11428="PADD I","PADD 1",IF($M11428="PADD II","PADD 2",IF($M11428="PADD III","PADD 3",IF($M11428="PADD IV","PADD 4",IF($M11428="PADD V","PADD 5","")))))</f>
        <v/>
      </c>
      <c r="G11428" s="6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  <c r="N11428" s="6">
        <f>IF(OR($G11428="FCC",$G11428="Hydrocracker",$G11428="Reformer"),IF(COUNTIFS($D:$D,$D11428,$A:$A,$A11428,$B:$B,$B11428,$G:$G,"CDU",$J:$J,"PLANNED")&gt;0,"tied","standalone"),"")</f>
        <v/>
      </c>
    </row>
    <row r="11429" spans="6:14">
      <c r="F11429" s="6">
        <f>IF($M11429="PADD I","PADD 1",IF($M11429="PADD II","PADD 2",IF($M11429="PADD III","PADD 3",IF($M11429="PADD IV","PADD 4",IF($M11429="PADD V","PADD 5","")))))</f>
        <v/>
      </c>
      <c r="G11429" s="6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  <c r="N11429" s="6">
        <f>IF(OR($G11429="FCC",$G11429="Hydrocracker",$G11429="Reformer"),IF(COUNTIFS($D:$D,$D11429,$A:$A,$A11429,$B:$B,$B11429,$G:$G,"CDU",$J:$J,"PLANNED")&gt;0,"tied","standalone"),"")</f>
        <v/>
      </c>
    </row>
    <row r="11430" spans="6:14">
      <c r="F11430" s="6">
        <f>IF($M11430="PADD I","PADD 1",IF($M11430="PADD II","PADD 2",IF($M11430="PADD III","PADD 3",IF($M11430="PADD IV","PADD 4",IF($M11430="PADD V","PADD 5","")))))</f>
        <v/>
      </c>
      <c r="G11430" s="6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  <c r="N11430" s="6">
        <f>IF(OR($G11430="FCC",$G11430="Hydrocracker",$G11430="Reformer"),IF(COUNTIFS($D:$D,$D11430,$A:$A,$A11430,$B:$B,$B11430,$G:$G,"CDU",$J:$J,"PLANNED")&gt;0,"tied","standalone"),"")</f>
        <v/>
      </c>
    </row>
    <row r="11431" spans="6:14">
      <c r="F11431" s="6">
        <f>IF($M11431="PADD I","PADD 1",IF($M11431="PADD II","PADD 2",IF($M11431="PADD III","PADD 3",IF($M11431="PADD IV","PADD 4",IF($M11431="PADD V","PADD 5","")))))</f>
        <v/>
      </c>
      <c r="G11431" s="6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  <c r="N11431" s="6">
        <f>IF(OR($G11431="FCC",$G11431="Hydrocracker",$G11431="Reformer"),IF(COUNTIFS($D:$D,$D11431,$A:$A,$A11431,$B:$B,$B11431,$G:$G,"CDU",$J:$J,"PLANNED")&gt;0,"tied","standalone"),"")</f>
        <v/>
      </c>
    </row>
    <row r="11432" spans="6:14">
      <c r="F11432" s="6">
        <f>IF($M11432="PADD I","PADD 1",IF($M11432="PADD II","PADD 2",IF($M11432="PADD III","PADD 3",IF($M11432="PADD IV","PADD 4",IF($M11432="PADD V","PADD 5","")))))</f>
        <v/>
      </c>
      <c r="G11432" s="6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  <c r="N11432" s="6">
        <f>IF(OR($G11432="FCC",$G11432="Hydrocracker",$G11432="Reformer"),IF(COUNTIFS($D:$D,$D11432,$A:$A,$A11432,$B:$B,$B11432,$G:$G,"CDU",$J:$J,"PLANNED")&gt;0,"tied","standalone"),"")</f>
        <v/>
      </c>
    </row>
    <row r="11433" spans="6:14">
      <c r="F11433" s="6">
        <f>IF($M11433="PADD I","PADD 1",IF($M11433="PADD II","PADD 2",IF($M11433="PADD III","PADD 3",IF($M11433="PADD IV","PADD 4",IF($M11433="PADD V","PADD 5","")))))</f>
        <v/>
      </c>
      <c r="G11433" s="6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  <c r="N11433" s="6">
        <f>IF(OR($G11433="FCC",$G11433="Hydrocracker",$G11433="Reformer"),IF(COUNTIFS($D:$D,$D11433,$A:$A,$A11433,$B:$B,$B11433,$G:$G,"CDU",$J:$J,"PLANNED")&gt;0,"tied","standalone"),"")</f>
        <v/>
      </c>
    </row>
    <row r="11434" spans="6:14">
      <c r="F11434" s="6">
        <f>IF($M11434="PADD I","PADD 1",IF($M11434="PADD II","PADD 2",IF($M11434="PADD III","PADD 3",IF($M11434="PADD IV","PADD 4",IF($M11434="PADD V","PADD 5","")))))</f>
        <v/>
      </c>
      <c r="G11434" s="6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  <c r="N11434" s="6">
        <f>IF(OR($G11434="FCC",$G11434="Hydrocracker",$G11434="Reformer"),IF(COUNTIFS($D:$D,$D11434,$A:$A,$A11434,$B:$B,$B11434,$G:$G,"CDU",$J:$J,"PLANNED")&gt;0,"tied","standalone"),"")</f>
        <v/>
      </c>
    </row>
    <row r="11435" spans="6:14">
      <c r="F11435" s="6">
        <f>IF($M11435="PADD I","PADD 1",IF($M11435="PADD II","PADD 2",IF($M11435="PADD III","PADD 3",IF($M11435="PADD IV","PADD 4",IF($M11435="PADD V","PADD 5","")))))</f>
        <v/>
      </c>
      <c r="G11435" s="6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  <c r="N11435" s="6">
        <f>IF(OR($G11435="FCC",$G11435="Hydrocracker",$G11435="Reformer"),IF(COUNTIFS($D:$D,$D11435,$A:$A,$A11435,$B:$B,$B11435,$G:$G,"CDU",$J:$J,"PLANNED")&gt;0,"tied","standalone"),"")</f>
        <v/>
      </c>
    </row>
    <row r="11436" spans="6:14">
      <c r="F11436" s="6">
        <f>IF($M11436="PADD I","PADD 1",IF($M11436="PADD II","PADD 2",IF($M11436="PADD III","PADD 3",IF($M11436="PADD IV","PADD 4",IF($M11436="PADD V","PADD 5","")))))</f>
        <v/>
      </c>
      <c r="G11436" s="6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  <c r="N11436" s="6">
        <f>IF(OR($G11436="FCC",$G11436="Hydrocracker",$G11436="Reformer"),IF(COUNTIFS($D:$D,$D11436,$A:$A,$A11436,$B:$B,$B11436,$G:$G,"CDU",$J:$J,"PLANNED")&gt;0,"tied","standalone"),"")</f>
        <v/>
      </c>
    </row>
    <row r="11437" spans="6:14">
      <c r="F11437" s="6">
        <f>IF($M11437="PADD I","PADD 1",IF($M11437="PADD II","PADD 2",IF($M11437="PADD III","PADD 3",IF($M11437="PADD IV","PADD 4",IF($M11437="PADD V","PADD 5","")))))</f>
        <v/>
      </c>
      <c r="G11437" s="6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  <c r="N11437" s="6">
        <f>IF(OR($G11437="FCC",$G11437="Hydrocracker",$G11437="Reformer"),IF(COUNTIFS($D:$D,$D11437,$A:$A,$A11437,$B:$B,$B11437,$G:$G,"CDU",$J:$J,"PLANNED")&gt;0,"tied","standalone"),"")</f>
        <v/>
      </c>
    </row>
    <row r="11438" spans="6:14">
      <c r="F11438" s="6">
        <f>IF($M11438="PADD I","PADD 1",IF($M11438="PADD II","PADD 2",IF($M11438="PADD III","PADD 3",IF($M11438="PADD IV","PADD 4",IF($M11438="PADD V","PADD 5","")))))</f>
        <v/>
      </c>
      <c r="G11438" s="6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  <c r="N11438" s="6">
        <f>IF(OR($G11438="FCC",$G11438="Hydrocracker",$G11438="Reformer"),IF(COUNTIFS($D:$D,$D11438,$A:$A,$A11438,$B:$B,$B11438,$G:$G,"CDU",$J:$J,"PLANNED")&gt;0,"tied","standalone"),"")</f>
        <v/>
      </c>
    </row>
    <row r="11439" spans="6:14">
      <c r="F11439" s="6">
        <f>IF($M11439="PADD I","PADD 1",IF($M11439="PADD II","PADD 2",IF($M11439="PADD III","PADD 3",IF($M11439="PADD IV","PADD 4",IF($M11439="PADD V","PADD 5","")))))</f>
        <v/>
      </c>
      <c r="G11439" s="6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  <c r="N11439" s="6">
        <f>IF(OR($G11439="FCC",$G11439="Hydrocracker",$G11439="Reformer"),IF(COUNTIFS($D:$D,$D11439,$A:$A,$A11439,$B:$B,$B11439,$G:$G,"CDU",$J:$J,"PLANNED")&gt;0,"tied","standalone"),"")</f>
        <v/>
      </c>
    </row>
    <row r="11440" spans="6:14">
      <c r="F11440" s="6">
        <f>IF($M11440="PADD I","PADD 1",IF($M11440="PADD II","PADD 2",IF($M11440="PADD III","PADD 3",IF($M11440="PADD IV","PADD 4",IF($M11440="PADD V","PADD 5","")))))</f>
        <v/>
      </c>
      <c r="G11440" s="6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  <c r="N11440" s="6">
        <f>IF(OR($G11440="FCC",$G11440="Hydrocracker",$G11440="Reformer"),IF(COUNTIFS($D:$D,$D11440,$A:$A,$A11440,$B:$B,$B11440,$G:$G,"CDU",$J:$J,"PLANNED")&gt;0,"tied","standalone"),"")</f>
        <v/>
      </c>
    </row>
    <row r="11441" spans="6:14">
      <c r="F11441" s="6">
        <f>IF($M11441="PADD I","PADD 1",IF($M11441="PADD II","PADD 2",IF($M11441="PADD III","PADD 3",IF($M11441="PADD IV","PADD 4",IF($M11441="PADD V","PADD 5","")))))</f>
        <v/>
      </c>
      <c r="G11441" s="6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  <c r="N11441" s="6">
        <f>IF(OR($G11441="FCC",$G11441="Hydrocracker",$G11441="Reformer"),IF(COUNTIFS($D:$D,$D11441,$A:$A,$A11441,$B:$B,$B11441,$G:$G,"CDU",$J:$J,"PLANNED")&gt;0,"tied","standalone"),"")</f>
        <v/>
      </c>
    </row>
    <row r="11442" spans="6:14">
      <c r="F11442" s="6">
        <f>IF($M11442="PADD I","PADD 1",IF($M11442="PADD II","PADD 2",IF($M11442="PADD III","PADD 3",IF($M11442="PADD IV","PADD 4",IF($M11442="PADD V","PADD 5","")))))</f>
        <v/>
      </c>
      <c r="G11442" s="6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  <c r="N11442" s="6">
        <f>IF(OR($G11442="FCC",$G11442="Hydrocracker",$G11442="Reformer"),IF(COUNTIFS($D:$D,$D11442,$A:$A,$A11442,$B:$B,$B11442,$G:$G,"CDU",$J:$J,"PLANNED")&gt;0,"tied","standalone"),"")</f>
        <v/>
      </c>
    </row>
    <row r="11443" spans="6:14">
      <c r="F11443" s="6">
        <f>IF($M11443="PADD I","PADD 1",IF($M11443="PADD II","PADD 2",IF($M11443="PADD III","PADD 3",IF($M11443="PADD IV","PADD 4",IF($M11443="PADD V","PADD 5","")))))</f>
        <v/>
      </c>
      <c r="G11443" s="6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  <c r="N11443" s="6">
        <f>IF(OR($G11443="FCC",$G11443="Hydrocracker",$G11443="Reformer"),IF(COUNTIFS($D:$D,$D11443,$A:$A,$A11443,$B:$B,$B11443,$G:$G,"CDU",$J:$J,"PLANNED")&gt;0,"tied","standalone"),"")</f>
        <v/>
      </c>
    </row>
    <row r="11444" spans="6:14">
      <c r="F11444" s="6">
        <f>IF($M11444="PADD I","PADD 1",IF($M11444="PADD II","PADD 2",IF($M11444="PADD III","PADD 3",IF($M11444="PADD IV","PADD 4",IF($M11444="PADD V","PADD 5","")))))</f>
        <v/>
      </c>
      <c r="G11444" s="6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  <c r="N11444" s="6">
        <f>IF(OR($G11444="FCC",$G11444="Hydrocracker",$G11444="Reformer"),IF(COUNTIFS($D:$D,$D11444,$A:$A,$A11444,$B:$B,$B11444,$G:$G,"CDU",$J:$J,"PLANNED")&gt;0,"tied","standalone"),"")</f>
        <v/>
      </c>
    </row>
    <row r="11445" spans="6:14">
      <c r="F11445" s="6">
        <f>IF($M11445="PADD I","PADD 1",IF($M11445="PADD II","PADD 2",IF($M11445="PADD III","PADD 3",IF($M11445="PADD IV","PADD 4",IF($M11445="PADD V","PADD 5","")))))</f>
        <v/>
      </c>
      <c r="G11445" s="6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  <c r="N11445" s="6">
        <f>IF(OR($G11445="FCC",$G11445="Hydrocracker",$G11445="Reformer"),IF(COUNTIFS($D:$D,$D11445,$A:$A,$A11445,$B:$B,$B11445,$G:$G,"CDU",$J:$J,"PLANNED")&gt;0,"tied","standalone"),"")</f>
        <v/>
      </c>
    </row>
    <row r="11446" spans="6:14">
      <c r="F11446" s="6">
        <f>IF($M11446="PADD I","PADD 1",IF($M11446="PADD II","PADD 2",IF($M11446="PADD III","PADD 3",IF($M11446="PADD IV","PADD 4",IF($M11446="PADD V","PADD 5","")))))</f>
        <v/>
      </c>
      <c r="G11446" s="6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  <c r="N11446" s="6">
        <f>IF(OR($G11446="FCC",$G11446="Hydrocracker",$G11446="Reformer"),IF(COUNTIFS($D:$D,$D11446,$A:$A,$A11446,$B:$B,$B11446,$G:$G,"CDU",$J:$J,"PLANNED")&gt;0,"tied","standalone"),"")</f>
        <v/>
      </c>
    </row>
    <row r="11447" spans="6:14">
      <c r="F11447" s="6">
        <f>IF($M11447="PADD I","PADD 1",IF($M11447="PADD II","PADD 2",IF($M11447="PADD III","PADD 3",IF($M11447="PADD IV","PADD 4",IF($M11447="PADD V","PADD 5","")))))</f>
        <v/>
      </c>
      <c r="G11447" s="6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  <c r="N11447" s="6">
        <f>IF(OR($G11447="FCC",$G11447="Hydrocracker",$G11447="Reformer"),IF(COUNTIFS($D:$D,$D11447,$A:$A,$A11447,$B:$B,$B11447,$G:$G,"CDU",$J:$J,"PLANNED")&gt;0,"tied","standalone"),"")</f>
        <v/>
      </c>
    </row>
    <row r="11448" spans="6:14">
      <c r="F11448" s="6">
        <f>IF($M11448="PADD I","PADD 1",IF($M11448="PADD II","PADD 2",IF($M11448="PADD III","PADD 3",IF($M11448="PADD IV","PADD 4",IF($M11448="PADD V","PADD 5","")))))</f>
        <v/>
      </c>
      <c r="G11448" s="6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  <c r="N11448" s="6">
        <f>IF(OR($G11448="FCC",$G11448="Hydrocracker",$G11448="Reformer"),IF(COUNTIFS($D:$D,$D11448,$A:$A,$A11448,$B:$B,$B11448,$G:$G,"CDU",$J:$J,"PLANNED")&gt;0,"tied","standalone"),"")</f>
        <v/>
      </c>
    </row>
    <row r="11449" spans="6:14">
      <c r="F11449" s="6">
        <f>IF($M11449="PADD I","PADD 1",IF($M11449="PADD II","PADD 2",IF($M11449="PADD III","PADD 3",IF($M11449="PADD IV","PADD 4",IF($M11449="PADD V","PADD 5","")))))</f>
        <v/>
      </c>
      <c r="G11449" s="6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  <c r="N11449" s="6">
        <f>IF(OR($G11449="FCC",$G11449="Hydrocracker",$G11449="Reformer"),IF(COUNTIFS($D:$D,$D11449,$A:$A,$A11449,$B:$B,$B11449,$G:$G,"CDU",$J:$J,"PLANNED")&gt;0,"tied","standalone"),"")</f>
        <v/>
      </c>
    </row>
    <row r="11450" spans="6:14">
      <c r="F11450" s="6">
        <f>IF($M11450="PADD I","PADD 1",IF($M11450="PADD II","PADD 2",IF($M11450="PADD III","PADD 3",IF($M11450="PADD IV","PADD 4",IF($M11450="PADD V","PADD 5","")))))</f>
        <v/>
      </c>
      <c r="G11450" s="6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  <c r="N11450" s="6">
        <f>IF(OR($G11450="FCC",$G11450="Hydrocracker",$G11450="Reformer"),IF(COUNTIFS($D:$D,$D11450,$A:$A,$A11450,$B:$B,$B11450,$G:$G,"CDU",$J:$J,"PLANNED")&gt;0,"tied","standalone"),"")</f>
        <v/>
      </c>
    </row>
    <row r="11451" spans="6:14">
      <c r="F11451" s="6">
        <f>IF($M11451="PADD I","PADD 1",IF($M11451="PADD II","PADD 2",IF($M11451="PADD III","PADD 3",IF($M11451="PADD IV","PADD 4",IF($M11451="PADD V","PADD 5","")))))</f>
        <v/>
      </c>
      <c r="G11451" s="6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  <c r="N11451" s="6">
        <f>IF(OR($G11451="FCC",$G11451="Hydrocracker",$G11451="Reformer"),IF(COUNTIFS($D:$D,$D11451,$A:$A,$A11451,$B:$B,$B11451,$G:$G,"CDU",$J:$J,"PLANNED")&gt;0,"tied","standalone"),"")</f>
        <v/>
      </c>
    </row>
    <row r="11452" spans="6:14">
      <c r="F11452" s="6">
        <f>IF($M11452="PADD I","PADD 1",IF($M11452="PADD II","PADD 2",IF($M11452="PADD III","PADD 3",IF($M11452="PADD IV","PADD 4",IF($M11452="PADD V","PADD 5","")))))</f>
        <v/>
      </c>
      <c r="G11452" s="6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  <c r="N11452" s="6">
        <f>IF(OR($G11452="FCC",$G11452="Hydrocracker",$G11452="Reformer"),IF(COUNTIFS($D:$D,$D11452,$A:$A,$A11452,$B:$B,$B11452,$G:$G,"CDU",$J:$J,"PLANNED")&gt;0,"tied","standalone"),"")</f>
        <v/>
      </c>
    </row>
    <row r="11453" spans="6:14">
      <c r="F11453" s="6">
        <f>IF($M11453="PADD I","PADD 1",IF($M11453="PADD II","PADD 2",IF($M11453="PADD III","PADD 3",IF($M11453="PADD IV","PADD 4",IF($M11453="PADD V","PADD 5","")))))</f>
        <v/>
      </c>
      <c r="G11453" s="6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  <c r="N11453" s="6">
        <f>IF(OR($G11453="FCC",$G11453="Hydrocracker",$G11453="Reformer"),IF(COUNTIFS($D:$D,$D11453,$A:$A,$A11453,$B:$B,$B11453,$G:$G,"CDU",$J:$J,"PLANNED")&gt;0,"tied","standalone"),"")</f>
        <v/>
      </c>
    </row>
    <row r="11454" spans="6:14">
      <c r="F11454" s="6">
        <f>IF($M11454="PADD I","PADD 1",IF($M11454="PADD II","PADD 2",IF($M11454="PADD III","PADD 3",IF($M11454="PADD IV","PADD 4",IF($M11454="PADD V","PADD 5","")))))</f>
        <v/>
      </c>
      <c r="G11454" s="6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  <c r="N11454" s="6">
        <f>IF(OR($G11454="FCC",$G11454="Hydrocracker",$G11454="Reformer"),IF(COUNTIFS($D:$D,$D11454,$A:$A,$A11454,$B:$B,$B11454,$G:$G,"CDU",$J:$J,"PLANNED")&gt;0,"tied","standalone"),"")</f>
        <v/>
      </c>
    </row>
    <row r="11455" spans="6:14">
      <c r="F11455" s="6">
        <f>IF($M11455="PADD I","PADD 1",IF($M11455="PADD II","PADD 2",IF($M11455="PADD III","PADD 3",IF($M11455="PADD IV","PADD 4",IF($M11455="PADD V","PADD 5","")))))</f>
        <v/>
      </c>
      <c r="G11455" s="6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  <c r="N11455" s="6">
        <f>IF(OR($G11455="FCC",$G11455="Hydrocracker",$G11455="Reformer"),IF(COUNTIFS($D:$D,$D11455,$A:$A,$A11455,$B:$B,$B11455,$G:$G,"CDU",$J:$J,"PLANNED")&gt;0,"tied","standalone"),"")</f>
        <v/>
      </c>
    </row>
    <row r="11456" spans="6:14">
      <c r="F11456" s="6">
        <f>IF($M11456="PADD I","PADD 1",IF($M11456="PADD II","PADD 2",IF($M11456="PADD III","PADD 3",IF($M11456="PADD IV","PADD 4",IF($M11456="PADD V","PADD 5","")))))</f>
        <v/>
      </c>
      <c r="G11456" s="6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  <c r="N11456" s="6">
        <f>IF(OR($G11456="FCC",$G11456="Hydrocracker",$G11456="Reformer"),IF(COUNTIFS($D:$D,$D11456,$A:$A,$A11456,$B:$B,$B11456,$G:$G,"CDU",$J:$J,"PLANNED")&gt;0,"tied","standalone"),"")</f>
        <v/>
      </c>
    </row>
    <row r="11457" spans="6:14">
      <c r="F11457" s="6">
        <f>IF($M11457="PADD I","PADD 1",IF($M11457="PADD II","PADD 2",IF($M11457="PADD III","PADD 3",IF($M11457="PADD IV","PADD 4",IF($M11457="PADD V","PADD 5","")))))</f>
        <v/>
      </c>
      <c r="G11457" s="6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  <c r="N11457" s="6">
        <f>IF(OR($G11457="FCC",$G11457="Hydrocracker",$G11457="Reformer"),IF(COUNTIFS($D:$D,$D11457,$A:$A,$A11457,$B:$B,$B11457,$G:$G,"CDU",$J:$J,"PLANNED")&gt;0,"tied","standalone"),"")</f>
        <v/>
      </c>
    </row>
    <row r="11458" spans="6:14">
      <c r="F11458" s="6">
        <f>IF($M11458="PADD I","PADD 1",IF($M11458="PADD II","PADD 2",IF($M11458="PADD III","PADD 3",IF($M11458="PADD IV","PADD 4",IF($M11458="PADD V","PADD 5","")))))</f>
        <v/>
      </c>
      <c r="G11458" s="6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  <c r="N11458" s="6">
        <f>IF(OR($G11458="FCC",$G11458="Hydrocracker",$G11458="Reformer"),IF(COUNTIFS($D:$D,$D11458,$A:$A,$A11458,$B:$B,$B11458,$G:$G,"CDU",$J:$J,"PLANNED")&gt;0,"tied","standalone"),"")</f>
        <v/>
      </c>
    </row>
    <row r="11459" spans="6:14">
      <c r="F11459" s="6">
        <f>IF($M11459="PADD I","PADD 1",IF($M11459="PADD II","PADD 2",IF($M11459="PADD III","PADD 3",IF($M11459="PADD IV","PADD 4",IF($M11459="PADD V","PADD 5","")))))</f>
        <v/>
      </c>
      <c r="G11459" s="6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  <c r="N11459" s="6">
        <f>IF(OR($G11459="FCC",$G11459="Hydrocracker",$G11459="Reformer"),IF(COUNTIFS($D:$D,$D11459,$A:$A,$A11459,$B:$B,$B11459,$G:$G,"CDU",$J:$J,"PLANNED")&gt;0,"tied","standalone"),"")</f>
        <v/>
      </c>
    </row>
    <row r="11460" spans="6:14">
      <c r="F11460" s="6">
        <f>IF($M11460="PADD I","PADD 1",IF($M11460="PADD II","PADD 2",IF($M11460="PADD III","PADD 3",IF($M11460="PADD IV","PADD 4",IF($M11460="PADD V","PADD 5","")))))</f>
        <v/>
      </c>
      <c r="G11460" s="6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  <c r="N11460" s="6">
        <f>IF(OR($G11460="FCC",$G11460="Hydrocracker",$G11460="Reformer"),IF(COUNTIFS($D:$D,$D11460,$A:$A,$A11460,$B:$B,$B11460,$G:$G,"CDU",$J:$J,"PLANNED")&gt;0,"tied","standalone"),"")</f>
        <v/>
      </c>
    </row>
    <row r="11461" spans="6:14">
      <c r="F11461" s="6">
        <f>IF($M11461="PADD I","PADD 1",IF($M11461="PADD II","PADD 2",IF($M11461="PADD III","PADD 3",IF($M11461="PADD IV","PADD 4",IF($M11461="PADD V","PADD 5","")))))</f>
        <v/>
      </c>
      <c r="G11461" s="6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  <c r="N11461" s="6">
        <f>IF(OR($G11461="FCC",$G11461="Hydrocracker",$G11461="Reformer"),IF(COUNTIFS($D:$D,$D11461,$A:$A,$A11461,$B:$B,$B11461,$G:$G,"CDU",$J:$J,"PLANNED")&gt;0,"tied","standalone"),"")</f>
        <v/>
      </c>
    </row>
    <row r="11462" spans="6:14">
      <c r="F11462" s="6">
        <f>IF($M11462="PADD I","PADD 1",IF($M11462="PADD II","PADD 2",IF($M11462="PADD III","PADD 3",IF($M11462="PADD IV","PADD 4",IF($M11462="PADD V","PADD 5","")))))</f>
        <v/>
      </c>
      <c r="G11462" s="6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  <c r="N11462" s="6">
        <f>IF(OR($G11462="FCC",$G11462="Hydrocracker",$G11462="Reformer"),IF(COUNTIFS($D:$D,$D11462,$A:$A,$A11462,$B:$B,$B11462,$G:$G,"CDU",$J:$J,"PLANNED")&gt;0,"tied","standalone"),"")</f>
        <v/>
      </c>
    </row>
    <row r="11463" spans="6:14">
      <c r="F11463" s="6">
        <f>IF($M11463="PADD I","PADD 1",IF($M11463="PADD II","PADD 2",IF($M11463="PADD III","PADD 3",IF($M11463="PADD IV","PADD 4",IF($M11463="PADD V","PADD 5","")))))</f>
        <v/>
      </c>
      <c r="G11463" s="6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  <c r="N11463" s="6">
        <f>IF(OR($G11463="FCC",$G11463="Hydrocracker",$G11463="Reformer"),IF(COUNTIFS($D:$D,$D11463,$A:$A,$A11463,$B:$B,$B11463,$G:$G,"CDU",$J:$J,"PLANNED")&gt;0,"tied","standalone"),"")</f>
        <v/>
      </c>
    </row>
    <row r="11464" spans="6:14">
      <c r="F11464" s="6">
        <f>IF($M11464="PADD I","PADD 1",IF($M11464="PADD II","PADD 2",IF($M11464="PADD III","PADD 3",IF($M11464="PADD IV","PADD 4",IF($M11464="PADD V","PADD 5","")))))</f>
        <v/>
      </c>
      <c r="G11464" s="6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  <c r="N11464" s="6">
        <f>IF(OR($G11464="FCC",$G11464="Hydrocracker",$G11464="Reformer"),IF(COUNTIFS($D:$D,$D11464,$A:$A,$A11464,$B:$B,$B11464,$G:$G,"CDU",$J:$J,"PLANNED")&gt;0,"tied","standalone"),"")</f>
        <v/>
      </c>
    </row>
    <row r="11465" spans="6:14">
      <c r="F11465" s="6">
        <f>IF($M11465="PADD I","PADD 1",IF($M11465="PADD II","PADD 2",IF($M11465="PADD III","PADD 3",IF($M11465="PADD IV","PADD 4",IF($M11465="PADD V","PADD 5","")))))</f>
        <v/>
      </c>
      <c r="G11465" s="6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  <c r="N11465" s="6">
        <f>IF(OR($G11465="FCC",$G11465="Hydrocracker",$G11465="Reformer"),IF(COUNTIFS($D:$D,$D11465,$A:$A,$A11465,$B:$B,$B11465,$G:$G,"CDU",$J:$J,"PLANNED")&gt;0,"tied","standalone"),"")</f>
        <v/>
      </c>
    </row>
    <row r="11466" spans="6:14">
      <c r="F11466" s="6">
        <f>IF($M11466="PADD I","PADD 1",IF($M11466="PADD II","PADD 2",IF($M11466="PADD III","PADD 3",IF($M11466="PADD IV","PADD 4",IF($M11466="PADD V","PADD 5","")))))</f>
        <v/>
      </c>
      <c r="G11466" s="6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  <c r="N11466" s="6">
        <f>IF(OR($G11466="FCC",$G11466="Hydrocracker",$G11466="Reformer"),IF(COUNTIFS($D:$D,$D11466,$A:$A,$A11466,$B:$B,$B11466,$G:$G,"CDU",$J:$J,"PLANNED")&gt;0,"tied","standalone"),"")</f>
        <v/>
      </c>
    </row>
    <row r="11467" spans="6:14">
      <c r="F11467" s="6">
        <f>IF($M11467="PADD I","PADD 1",IF($M11467="PADD II","PADD 2",IF($M11467="PADD III","PADD 3",IF($M11467="PADD IV","PADD 4",IF($M11467="PADD V","PADD 5","")))))</f>
        <v/>
      </c>
      <c r="G11467" s="6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  <c r="N11467" s="6">
        <f>IF(OR($G11467="FCC",$G11467="Hydrocracker",$G11467="Reformer"),IF(COUNTIFS($D:$D,$D11467,$A:$A,$A11467,$B:$B,$B11467,$G:$G,"CDU",$J:$J,"PLANNED")&gt;0,"tied","standalone"),"")</f>
        <v/>
      </c>
    </row>
    <row r="11468" spans="6:14">
      <c r="F11468" s="6">
        <f>IF($M11468="PADD I","PADD 1",IF($M11468="PADD II","PADD 2",IF($M11468="PADD III","PADD 3",IF($M11468="PADD IV","PADD 4",IF($M11468="PADD V","PADD 5","")))))</f>
        <v/>
      </c>
      <c r="G11468" s="6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  <c r="N11468" s="6">
        <f>IF(OR($G11468="FCC",$G11468="Hydrocracker",$G11468="Reformer"),IF(COUNTIFS($D:$D,$D11468,$A:$A,$A11468,$B:$B,$B11468,$G:$G,"CDU",$J:$J,"PLANNED")&gt;0,"tied","standalone"),"")</f>
        <v/>
      </c>
    </row>
    <row r="11469" spans="6:14">
      <c r="F11469" s="6">
        <f>IF($M11469="PADD I","PADD 1",IF($M11469="PADD II","PADD 2",IF($M11469="PADD III","PADD 3",IF($M11469="PADD IV","PADD 4",IF($M11469="PADD V","PADD 5","")))))</f>
        <v/>
      </c>
      <c r="G11469" s="6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  <c r="N11469" s="6">
        <f>IF(OR($G11469="FCC",$G11469="Hydrocracker",$G11469="Reformer"),IF(COUNTIFS($D:$D,$D11469,$A:$A,$A11469,$B:$B,$B11469,$G:$G,"CDU",$J:$J,"PLANNED")&gt;0,"tied","standalone"),"")</f>
        <v/>
      </c>
    </row>
    <row r="11470" spans="6:14">
      <c r="F11470" s="6">
        <f>IF($M11470="PADD I","PADD 1",IF($M11470="PADD II","PADD 2",IF($M11470="PADD III","PADD 3",IF($M11470="PADD IV","PADD 4",IF($M11470="PADD V","PADD 5","")))))</f>
        <v/>
      </c>
      <c r="G11470" s="6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  <c r="N11470" s="6">
        <f>IF(OR($G11470="FCC",$G11470="Hydrocracker",$G11470="Reformer"),IF(COUNTIFS($D:$D,$D11470,$A:$A,$A11470,$B:$B,$B11470,$G:$G,"CDU",$J:$J,"PLANNED")&gt;0,"tied","standalone"),"")</f>
        <v/>
      </c>
    </row>
    <row r="11471" spans="6:14">
      <c r="F11471" s="6">
        <f>IF($M11471="PADD I","PADD 1",IF($M11471="PADD II","PADD 2",IF($M11471="PADD III","PADD 3",IF($M11471="PADD IV","PADD 4",IF($M11471="PADD V","PADD 5","")))))</f>
        <v/>
      </c>
      <c r="G11471" s="6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  <c r="N11471" s="6">
        <f>IF(OR($G11471="FCC",$G11471="Hydrocracker",$G11471="Reformer"),IF(COUNTIFS($D:$D,$D11471,$A:$A,$A11471,$B:$B,$B11471,$G:$G,"CDU",$J:$J,"PLANNED")&gt;0,"tied","standalone"),"")</f>
        <v/>
      </c>
    </row>
    <row r="11472" spans="6:14">
      <c r="F11472" s="6">
        <f>IF($M11472="PADD I","PADD 1",IF($M11472="PADD II","PADD 2",IF($M11472="PADD III","PADD 3",IF($M11472="PADD IV","PADD 4",IF($M11472="PADD V","PADD 5","")))))</f>
        <v/>
      </c>
      <c r="G11472" s="6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  <c r="N11472" s="6">
        <f>IF(OR($G11472="FCC",$G11472="Hydrocracker",$G11472="Reformer"),IF(COUNTIFS($D:$D,$D11472,$A:$A,$A11472,$B:$B,$B11472,$G:$G,"CDU",$J:$J,"PLANNED")&gt;0,"tied","standalone"),"")</f>
        <v/>
      </c>
    </row>
    <row r="11473" spans="6:14">
      <c r="F11473" s="6">
        <f>IF($M11473="PADD I","PADD 1",IF($M11473="PADD II","PADD 2",IF($M11473="PADD III","PADD 3",IF($M11473="PADD IV","PADD 4",IF($M11473="PADD V","PADD 5","")))))</f>
        <v/>
      </c>
      <c r="G11473" s="6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  <c r="N11473" s="6">
        <f>IF(OR($G11473="FCC",$G11473="Hydrocracker",$G11473="Reformer"),IF(COUNTIFS($D:$D,$D11473,$A:$A,$A11473,$B:$B,$B11473,$G:$G,"CDU",$J:$J,"PLANNED")&gt;0,"tied","standalone"),"")</f>
        <v/>
      </c>
    </row>
    <row r="11474" spans="6:14">
      <c r="F11474" s="6">
        <f>IF($M11474="PADD I","PADD 1",IF($M11474="PADD II","PADD 2",IF($M11474="PADD III","PADD 3",IF($M11474="PADD IV","PADD 4",IF($M11474="PADD V","PADD 5","")))))</f>
        <v/>
      </c>
      <c r="G11474" s="6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  <c r="N11474" s="6">
        <f>IF(OR($G11474="FCC",$G11474="Hydrocracker",$G11474="Reformer"),IF(COUNTIFS($D:$D,$D11474,$A:$A,$A11474,$B:$B,$B11474,$G:$G,"CDU",$J:$J,"PLANNED")&gt;0,"tied","standalone"),"")</f>
        <v/>
      </c>
    </row>
    <row r="11475" spans="6:14">
      <c r="F11475" s="6">
        <f>IF($M11475="PADD I","PADD 1",IF($M11475="PADD II","PADD 2",IF($M11475="PADD III","PADD 3",IF($M11475="PADD IV","PADD 4",IF($M11475="PADD V","PADD 5","")))))</f>
        <v/>
      </c>
      <c r="G11475" s="6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  <c r="N11475" s="6">
        <f>IF(OR($G11475="FCC",$G11475="Hydrocracker",$G11475="Reformer"),IF(COUNTIFS($D:$D,$D11475,$A:$A,$A11475,$B:$B,$B11475,$G:$G,"CDU",$J:$J,"PLANNED")&gt;0,"tied","standalone"),"")</f>
        <v/>
      </c>
    </row>
    <row r="11476" spans="6:14">
      <c r="F11476" s="6">
        <f>IF($M11476="PADD I","PADD 1",IF($M11476="PADD II","PADD 2",IF($M11476="PADD III","PADD 3",IF($M11476="PADD IV","PADD 4",IF($M11476="PADD V","PADD 5","")))))</f>
        <v/>
      </c>
      <c r="G11476" s="6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  <c r="N11476" s="6">
        <f>IF(OR($G11476="FCC",$G11476="Hydrocracker",$G11476="Reformer"),IF(COUNTIFS($D:$D,$D11476,$A:$A,$A11476,$B:$B,$B11476,$G:$G,"CDU",$J:$J,"PLANNED")&gt;0,"tied","standalone"),"")</f>
        <v/>
      </c>
    </row>
    <row r="11477" spans="6:14">
      <c r="F11477" s="6">
        <f>IF($M11477="PADD I","PADD 1",IF($M11477="PADD II","PADD 2",IF($M11477="PADD III","PADD 3",IF($M11477="PADD IV","PADD 4",IF($M11477="PADD V","PADD 5","")))))</f>
        <v/>
      </c>
      <c r="G11477" s="6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  <c r="N11477" s="6">
        <f>IF(OR($G11477="FCC",$G11477="Hydrocracker",$G11477="Reformer"),IF(COUNTIFS($D:$D,$D11477,$A:$A,$A11477,$B:$B,$B11477,$G:$G,"CDU",$J:$J,"PLANNED")&gt;0,"tied","standalone"),"")</f>
        <v/>
      </c>
    </row>
    <row r="11478" spans="6:14">
      <c r="F11478" s="6">
        <f>IF($M11478="PADD I","PADD 1",IF($M11478="PADD II","PADD 2",IF($M11478="PADD III","PADD 3",IF($M11478="PADD IV","PADD 4",IF($M11478="PADD V","PADD 5","")))))</f>
        <v/>
      </c>
      <c r="G11478" s="6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  <c r="N11478" s="6">
        <f>IF(OR($G11478="FCC",$G11478="Hydrocracker",$G11478="Reformer"),IF(COUNTIFS($D:$D,$D11478,$A:$A,$A11478,$B:$B,$B11478,$G:$G,"CDU",$J:$J,"PLANNED")&gt;0,"tied","standalone"),"")</f>
        <v/>
      </c>
    </row>
    <row r="11479" spans="6:14">
      <c r="F11479" s="6">
        <f>IF($M11479="PADD I","PADD 1",IF($M11479="PADD II","PADD 2",IF($M11479="PADD III","PADD 3",IF($M11479="PADD IV","PADD 4",IF($M11479="PADD V","PADD 5","")))))</f>
        <v/>
      </c>
      <c r="G11479" s="6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  <c r="N11479" s="6">
        <f>IF(OR($G11479="FCC",$G11479="Hydrocracker",$G11479="Reformer"),IF(COUNTIFS($D:$D,$D11479,$A:$A,$A11479,$B:$B,$B11479,$G:$G,"CDU",$J:$J,"PLANNED")&gt;0,"tied","standalone"),"")</f>
        <v/>
      </c>
    </row>
    <row r="11480" spans="6:14">
      <c r="F11480" s="6">
        <f>IF($M11480="PADD I","PADD 1",IF($M11480="PADD II","PADD 2",IF($M11480="PADD III","PADD 3",IF($M11480="PADD IV","PADD 4",IF($M11480="PADD V","PADD 5","")))))</f>
        <v/>
      </c>
      <c r="G11480" s="6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  <c r="N11480" s="6">
        <f>IF(OR($G11480="FCC",$G11480="Hydrocracker",$G11480="Reformer"),IF(COUNTIFS($D:$D,$D11480,$A:$A,$A11480,$B:$B,$B11480,$G:$G,"CDU",$J:$J,"PLANNED")&gt;0,"tied","standalone"),"")</f>
        <v/>
      </c>
    </row>
    <row r="11481" spans="6:14">
      <c r="F11481" s="6">
        <f>IF($M11481="PADD I","PADD 1",IF($M11481="PADD II","PADD 2",IF($M11481="PADD III","PADD 3",IF($M11481="PADD IV","PADD 4",IF($M11481="PADD V","PADD 5","")))))</f>
        <v/>
      </c>
      <c r="G11481" s="6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  <c r="N11481" s="6">
        <f>IF(OR($G11481="FCC",$G11481="Hydrocracker",$G11481="Reformer"),IF(COUNTIFS($D:$D,$D11481,$A:$A,$A11481,$B:$B,$B11481,$G:$G,"CDU",$J:$J,"PLANNED")&gt;0,"tied","standalone"),"")</f>
        <v/>
      </c>
    </row>
    <row r="11482" spans="6:14">
      <c r="F11482" s="6">
        <f>IF($M11482="PADD I","PADD 1",IF($M11482="PADD II","PADD 2",IF($M11482="PADD III","PADD 3",IF($M11482="PADD IV","PADD 4",IF($M11482="PADD V","PADD 5","")))))</f>
        <v/>
      </c>
      <c r="G11482" s="6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  <c r="N11482" s="6">
        <f>IF(OR($G11482="FCC",$G11482="Hydrocracker",$G11482="Reformer"),IF(COUNTIFS($D:$D,$D11482,$A:$A,$A11482,$B:$B,$B11482,$G:$G,"CDU",$J:$J,"PLANNED")&gt;0,"tied","standalone"),"")</f>
        <v/>
      </c>
    </row>
    <row r="11483" spans="6:14">
      <c r="F11483" s="6">
        <f>IF($M11483="PADD I","PADD 1",IF($M11483="PADD II","PADD 2",IF($M11483="PADD III","PADD 3",IF($M11483="PADD IV","PADD 4",IF($M11483="PADD V","PADD 5","")))))</f>
        <v/>
      </c>
      <c r="G11483" s="6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  <c r="N11483" s="6">
        <f>IF(OR($G11483="FCC",$G11483="Hydrocracker",$G11483="Reformer"),IF(COUNTIFS($D:$D,$D11483,$A:$A,$A11483,$B:$B,$B11483,$G:$G,"CDU",$J:$J,"PLANNED")&gt;0,"tied","standalone"),"")</f>
        <v/>
      </c>
    </row>
    <row r="11484" spans="6:14">
      <c r="F11484" s="6">
        <f>IF($M11484="PADD I","PADD 1",IF($M11484="PADD II","PADD 2",IF($M11484="PADD III","PADD 3",IF($M11484="PADD IV","PADD 4",IF($M11484="PADD V","PADD 5","")))))</f>
        <v/>
      </c>
      <c r="G11484" s="6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  <c r="N11484" s="6">
        <f>IF(OR($G11484="FCC",$G11484="Hydrocracker",$G11484="Reformer"),IF(COUNTIFS($D:$D,$D11484,$A:$A,$A11484,$B:$B,$B11484,$G:$G,"CDU",$J:$J,"PLANNED")&gt;0,"tied","standalone"),"")</f>
        <v/>
      </c>
    </row>
    <row r="11485" spans="6:14">
      <c r="F11485" s="6">
        <f>IF($M11485="PADD I","PADD 1",IF($M11485="PADD II","PADD 2",IF($M11485="PADD III","PADD 3",IF($M11485="PADD IV","PADD 4",IF($M11485="PADD V","PADD 5","")))))</f>
        <v/>
      </c>
      <c r="G11485" s="6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  <c r="N11485" s="6">
        <f>IF(OR($G11485="FCC",$G11485="Hydrocracker",$G11485="Reformer"),IF(COUNTIFS($D:$D,$D11485,$A:$A,$A11485,$B:$B,$B11485,$G:$G,"CDU",$J:$J,"PLANNED")&gt;0,"tied","standalone"),"")</f>
        <v/>
      </c>
    </row>
    <row r="11486" spans="6:14">
      <c r="F11486" s="6">
        <f>IF($M11486="PADD I","PADD 1",IF($M11486="PADD II","PADD 2",IF($M11486="PADD III","PADD 3",IF($M11486="PADD IV","PADD 4",IF($M11486="PADD V","PADD 5","")))))</f>
        <v/>
      </c>
      <c r="G11486" s="6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  <c r="N11486" s="6">
        <f>IF(OR($G11486="FCC",$G11486="Hydrocracker",$G11486="Reformer"),IF(COUNTIFS($D:$D,$D11486,$A:$A,$A11486,$B:$B,$B11486,$G:$G,"CDU",$J:$J,"PLANNED")&gt;0,"tied","standalone"),"")</f>
        <v/>
      </c>
    </row>
    <row r="11487" spans="6:14">
      <c r="F11487" s="6">
        <f>IF($M11487="PADD I","PADD 1",IF($M11487="PADD II","PADD 2",IF($M11487="PADD III","PADD 3",IF($M11487="PADD IV","PADD 4",IF($M11487="PADD V","PADD 5","")))))</f>
        <v/>
      </c>
      <c r="G11487" s="6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  <c r="N11487" s="6">
        <f>IF(OR($G11487="FCC",$G11487="Hydrocracker",$G11487="Reformer"),IF(COUNTIFS($D:$D,$D11487,$A:$A,$A11487,$B:$B,$B11487,$G:$G,"CDU",$J:$J,"PLANNED")&gt;0,"tied","standalone"),"")</f>
        <v/>
      </c>
    </row>
    <row r="11488" spans="6:14">
      <c r="F11488" s="6">
        <f>IF($M11488="PADD I","PADD 1",IF($M11488="PADD II","PADD 2",IF($M11488="PADD III","PADD 3",IF($M11488="PADD IV","PADD 4",IF($M11488="PADD V","PADD 5","")))))</f>
        <v/>
      </c>
      <c r="G11488" s="6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  <c r="N11488" s="6">
        <f>IF(OR($G11488="FCC",$G11488="Hydrocracker",$G11488="Reformer"),IF(COUNTIFS($D:$D,$D11488,$A:$A,$A11488,$B:$B,$B11488,$G:$G,"CDU",$J:$J,"PLANNED")&gt;0,"tied","standalone"),"")</f>
        <v/>
      </c>
    </row>
    <row r="11489" spans="6:14">
      <c r="F11489" s="6">
        <f>IF($M11489="PADD I","PADD 1",IF($M11489="PADD II","PADD 2",IF($M11489="PADD III","PADD 3",IF($M11489="PADD IV","PADD 4",IF($M11489="PADD V","PADD 5","")))))</f>
        <v/>
      </c>
      <c r="G11489" s="6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  <c r="N11489" s="6">
        <f>IF(OR($G11489="FCC",$G11489="Hydrocracker",$G11489="Reformer"),IF(COUNTIFS($D:$D,$D11489,$A:$A,$A11489,$B:$B,$B11489,$G:$G,"CDU",$J:$J,"PLANNED")&gt;0,"tied","standalone"),"")</f>
        <v/>
      </c>
    </row>
    <row r="11490" spans="6:14">
      <c r="F11490" s="6">
        <f>IF($M11490="PADD I","PADD 1",IF($M11490="PADD II","PADD 2",IF($M11490="PADD III","PADD 3",IF($M11490="PADD IV","PADD 4",IF($M11490="PADD V","PADD 5","")))))</f>
        <v/>
      </c>
      <c r="G11490" s="6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  <c r="N11490" s="6">
        <f>IF(OR($G11490="FCC",$G11490="Hydrocracker",$G11490="Reformer"),IF(COUNTIFS($D:$D,$D11490,$A:$A,$A11490,$B:$B,$B11490,$G:$G,"CDU",$J:$J,"PLANNED")&gt;0,"tied","standalone"),"")</f>
        <v/>
      </c>
    </row>
    <row r="11491" spans="6:14">
      <c r="F11491" s="6">
        <f>IF($M11491="PADD I","PADD 1",IF($M11491="PADD II","PADD 2",IF($M11491="PADD III","PADD 3",IF($M11491="PADD IV","PADD 4",IF($M11491="PADD V","PADD 5","")))))</f>
        <v/>
      </c>
      <c r="G11491" s="6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  <c r="N11491" s="6">
        <f>IF(OR($G11491="FCC",$G11491="Hydrocracker",$G11491="Reformer"),IF(COUNTIFS($D:$D,$D11491,$A:$A,$A11491,$B:$B,$B11491,$G:$G,"CDU",$J:$J,"PLANNED")&gt;0,"tied","standalone"),"")</f>
        <v/>
      </c>
    </row>
    <row r="11492" spans="6:14">
      <c r="F11492" s="6">
        <f>IF($M11492="PADD I","PADD 1",IF($M11492="PADD II","PADD 2",IF($M11492="PADD III","PADD 3",IF($M11492="PADD IV","PADD 4",IF($M11492="PADD V","PADD 5","")))))</f>
        <v/>
      </c>
      <c r="G11492" s="6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  <c r="N11492" s="6">
        <f>IF(OR($G11492="FCC",$G11492="Hydrocracker",$G11492="Reformer"),IF(COUNTIFS($D:$D,$D11492,$A:$A,$A11492,$B:$B,$B11492,$G:$G,"CDU",$J:$J,"PLANNED")&gt;0,"tied","standalone"),"")</f>
        <v/>
      </c>
    </row>
    <row r="11493" spans="6:14">
      <c r="F11493" s="6">
        <f>IF($M11493="PADD I","PADD 1",IF($M11493="PADD II","PADD 2",IF($M11493="PADD III","PADD 3",IF($M11493="PADD IV","PADD 4",IF($M11493="PADD V","PADD 5","")))))</f>
        <v/>
      </c>
      <c r="G11493" s="6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  <c r="N11493" s="6">
        <f>IF(OR($G11493="FCC",$G11493="Hydrocracker",$G11493="Reformer"),IF(COUNTIFS($D:$D,$D11493,$A:$A,$A11493,$B:$B,$B11493,$G:$G,"CDU",$J:$J,"PLANNED")&gt;0,"tied","standalone"),"")</f>
        <v/>
      </c>
    </row>
    <row r="11494" spans="6:14">
      <c r="F11494" s="6">
        <f>IF($M11494="PADD I","PADD 1",IF($M11494="PADD II","PADD 2",IF($M11494="PADD III","PADD 3",IF($M11494="PADD IV","PADD 4",IF($M11494="PADD V","PADD 5","")))))</f>
        <v/>
      </c>
      <c r="G11494" s="6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  <c r="N11494" s="6">
        <f>IF(OR($G11494="FCC",$G11494="Hydrocracker",$G11494="Reformer"),IF(COUNTIFS($D:$D,$D11494,$A:$A,$A11494,$B:$B,$B11494,$G:$G,"CDU",$J:$J,"PLANNED")&gt;0,"tied","standalone"),"")</f>
        <v/>
      </c>
    </row>
    <row r="11495" spans="6:14">
      <c r="F11495" s="6">
        <f>IF($M11495="PADD I","PADD 1",IF($M11495="PADD II","PADD 2",IF($M11495="PADD III","PADD 3",IF($M11495="PADD IV","PADD 4",IF($M11495="PADD V","PADD 5","")))))</f>
        <v/>
      </c>
      <c r="G11495" s="6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  <c r="N11495" s="6">
        <f>IF(OR($G11495="FCC",$G11495="Hydrocracker",$G11495="Reformer"),IF(COUNTIFS($D:$D,$D11495,$A:$A,$A11495,$B:$B,$B11495,$G:$G,"CDU",$J:$J,"PLANNED")&gt;0,"tied","standalone"),"")</f>
        <v/>
      </c>
    </row>
    <row r="11496" spans="6:14">
      <c r="F11496" s="6">
        <f>IF($M11496="PADD I","PADD 1",IF($M11496="PADD II","PADD 2",IF($M11496="PADD III","PADD 3",IF($M11496="PADD IV","PADD 4",IF($M11496="PADD V","PADD 5","")))))</f>
        <v/>
      </c>
      <c r="G11496" s="6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  <c r="N11496" s="6">
        <f>IF(OR($G11496="FCC",$G11496="Hydrocracker",$G11496="Reformer"),IF(COUNTIFS($D:$D,$D11496,$A:$A,$A11496,$B:$B,$B11496,$G:$G,"CDU",$J:$J,"PLANNED")&gt;0,"tied","standalone"),"")</f>
        <v/>
      </c>
    </row>
    <row r="11497" spans="6:14">
      <c r="F11497" s="6">
        <f>IF($M11497="PADD I","PADD 1",IF($M11497="PADD II","PADD 2",IF($M11497="PADD III","PADD 3",IF($M11497="PADD IV","PADD 4",IF($M11497="PADD V","PADD 5","")))))</f>
        <v/>
      </c>
      <c r="G11497" s="6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  <c r="N11497" s="6">
        <f>IF(OR($G11497="FCC",$G11497="Hydrocracker",$G11497="Reformer"),IF(COUNTIFS($D:$D,$D11497,$A:$A,$A11497,$B:$B,$B11497,$G:$G,"CDU",$J:$J,"PLANNED")&gt;0,"tied","standalone"),"")</f>
        <v/>
      </c>
    </row>
    <row r="11498" spans="6:14">
      <c r="F11498" s="6">
        <f>IF($M11498="PADD I","PADD 1",IF($M11498="PADD II","PADD 2",IF($M11498="PADD III","PADD 3",IF($M11498="PADD IV","PADD 4",IF($M11498="PADD V","PADD 5","")))))</f>
        <v/>
      </c>
      <c r="G11498" s="6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  <c r="N11498" s="6">
        <f>IF(OR($G11498="FCC",$G11498="Hydrocracker",$G11498="Reformer"),IF(COUNTIFS($D:$D,$D11498,$A:$A,$A11498,$B:$B,$B11498,$G:$G,"CDU",$J:$J,"PLANNED")&gt;0,"tied","standalone"),"")</f>
        <v/>
      </c>
    </row>
    <row r="11499" spans="6:14">
      <c r="F11499" s="6">
        <f>IF($M11499="PADD I","PADD 1",IF($M11499="PADD II","PADD 2",IF($M11499="PADD III","PADD 3",IF($M11499="PADD IV","PADD 4",IF($M11499="PADD V","PADD 5","")))))</f>
        <v/>
      </c>
      <c r="G11499" s="6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  <c r="N11499" s="6">
        <f>IF(OR($G11499="FCC",$G11499="Hydrocracker",$G11499="Reformer"),IF(COUNTIFS($D:$D,$D11499,$A:$A,$A11499,$B:$B,$B11499,$G:$G,"CDU",$J:$J,"PLANNED")&gt;0,"tied","standalone"),"")</f>
        <v/>
      </c>
    </row>
    <row r="11500" spans="6:14">
      <c r="F11500" s="6">
        <f>IF($M11500="PADD I","PADD 1",IF($M11500="PADD II","PADD 2",IF($M11500="PADD III","PADD 3",IF($M11500="PADD IV","PADD 4",IF($M11500="PADD V","PADD 5","")))))</f>
        <v/>
      </c>
      <c r="G11500" s="6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  <c r="N11500" s="6">
        <f>IF(OR($G11500="FCC",$G11500="Hydrocracker",$G11500="Reformer"),IF(COUNTIFS($D:$D,$D11500,$A:$A,$A11500,$B:$B,$B11500,$G:$G,"CDU",$J:$J,"PLANNED")&gt;0,"tied","standalone"),"")</f>
        <v/>
      </c>
    </row>
    <row r="11501" spans="6:14">
      <c r="F11501" s="6">
        <f>IF($M11501="PADD I","PADD 1",IF($M11501="PADD II","PADD 2",IF($M11501="PADD III","PADD 3",IF($M11501="PADD IV","PADD 4",IF($M11501="PADD V","PADD 5","")))))</f>
        <v/>
      </c>
      <c r="G11501" s="6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  <c r="N11501" s="6">
        <f>IF(OR($G11501="FCC",$G11501="Hydrocracker",$G11501="Reformer"),IF(COUNTIFS($D:$D,$D11501,$A:$A,$A11501,$B:$B,$B11501,$G:$G,"CDU",$J:$J,"PLANNED")&gt;0,"tied","standalone"),"")</f>
        <v/>
      </c>
    </row>
    <row r="11502" spans="6:14">
      <c r="F11502" s="6">
        <f>IF($M11502="PADD I","PADD 1",IF($M11502="PADD II","PADD 2",IF($M11502="PADD III","PADD 3",IF($M11502="PADD IV","PADD 4",IF($M11502="PADD V","PADD 5","")))))</f>
        <v/>
      </c>
      <c r="G11502" s="6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  <c r="N11502" s="6">
        <f>IF(OR($G11502="FCC",$G11502="Hydrocracker",$G11502="Reformer"),IF(COUNTIFS($D:$D,$D11502,$A:$A,$A11502,$B:$B,$B11502,$G:$G,"CDU",$J:$J,"PLANNED")&gt;0,"tied","standalone"),"")</f>
        <v/>
      </c>
    </row>
    <row r="11503" spans="6:14">
      <c r="F11503" s="6">
        <f>IF($M11503="PADD I","PADD 1",IF($M11503="PADD II","PADD 2",IF($M11503="PADD III","PADD 3",IF($M11503="PADD IV","PADD 4",IF($M11503="PADD V","PADD 5","")))))</f>
        <v/>
      </c>
      <c r="G11503" s="6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  <c r="N11503" s="6">
        <f>IF(OR($G11503="FCC",$G11503="Hydrocracker",$G11503="Reformer"),IF(COUNTIFS($D:$D,$D11503,$A:$A,$A11503,$B:$B,$B11503,$G:$G,"CDU",$J:$J,"PLANNED")&gt;0,"tied","standalone"),"")</f>
        <v/>
      </c>
    </row>
    <row r="11504" spans="6:14">
      <c r="F11504" s="6">
        <f>IF($M11504="PADD I","PADD 1",IF($M11504="PADD II","PADD 2",IF($M11504="PADD III","PADD 3",IF($M11504="PADD IV","PADD 4",IF($M11504="PADD V","PADD 5","")))))</f>
        <v/>
      </c>
      <c r="G11504" s="6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  <c r="N11504" s="6">
        <f>IF(OR($G11504="FCC",$G11504="Hydrocracker",$G11504="Reformer"),IF(COUNTIFS($D:$D,$D11504,$A:$A,$A11504,$B:$B,$B11504,$G:$G,"CDU",$J:$J,"PLANNED")&gt;0,"tied","standalone"),"")</f>
        <v/>
      </c>
    </row>
    <row r="11505" spans="6:14">
      <c r="F11505" s="6">
        <f>IF($M11505="PADD I","PADD 1",IF($M11505="PADD II","PADD 2",IF($M11505="PADD III","PADD 3",IF($M11505="PADD IV","PADD 4",IF($M11505="PADD V","PADD 5","")))))</f>
        <v/>
      </c>
      <c r="G11505" s="6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  <c r="N11505" s="6">
        <f>IF(OR($G11505="FCC",$G11505="Hydrocracker",$G11505="Reformer"),IF(COUNTIFS($D:$D,$D11505,$A:$A,$A11505,$B:$B,$B11505,$G:$G,"CDU",$J:$J,"PLANNED")&gt;0,"tied","standalone"),"")</f>
        <v/>
      </c>
    </row>
    <row r="11506" spans="6:14">
      <c r="F11506" s="6">
        <f>IF($M11506="PADD I","PADD 1",IF($M11506="PADD II","PADD 2",IF($M11506="PADD III","PADD 3",IF($M11506="PADD IV","PADD 4",IF($M11506="PADD V","PADD 5","")))))</f>
        <v/>
      </c>
      <c r="G11506" s="6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  <c r="N11506" s="6">
        <f>IF(OR($G11506="FCC",$G11506="Hydrocracker",$G11506="Reformer"),IF(COUNTIFS($D:$D,$D11506,$A:$A,$A11506,$B:$B,$B11506,$G:$G,"CDU",$J:$J,"PLANNED")&gt;0,"tied","standalone"),"")</f>
        <v/>
      </c>
    </row>
    <row r="11507" spans="6:14">
      <c r="F11507" s="6">
        <f>IF($M11507="PADD I","PADD 1",IF($M11507="PADD II","PADD 2",IF($M11507="PADD III","PADD 3",IF($M11507="PADD IV","PADD 4",IF($M11507="PADD V","PADD 5","")))))</f>
        <v/>
      </c>
      <c r="G11507" s="6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  <c r="N11507" s="6">
        <f>IF(OR($G11507="FCC",$G11507="Hydrocracker",$G11507="Reformer"),IF(COUNTIFS($D:$D,$D11507,$A:$A,$A11507,$B:$B,$B11507,$G:$G,"CDU",$J:$J,"PLANNED")&gt;0,"tied","standalone"),"")</f>
        <v/>
      </c>
    </row>
    <row r="11508" spans="6:14">
      <c r="F11508" s="6">
        <f>IF($M11508="PADD I","PADD 1",IF($M11508="PADD II","PADD 2",IF($M11508="PADD III","PADD 3",IF($M11508="PADD IV","PADD 4",IF($M11508="PADD V","PADD 5","")))))</f>
        <v/>
      </c>
      <c r="G11508" s="6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  <c r="N11508" s="6">
        <f>IF(OR($G11508="FCC",$G11508="Hydrocracker",$G11508="Reformer"),IF(COUNTIFS($D:$D,$D11508,$A:$A,$A11508,$B:$B,$B11508,$G:$G,"CDU",$J:$J,"PLANNED")&gt;0,"tied","standalone"),"")</f>
        <v/>
      </c>
    </row>
    <row r="11509" spans="6:14">
      <c r="F11509" s="6">
        <f>IF($M11509="PADD I","PADD 1",IF($M11509="PADD II","PADD 2",IF($M11509="PADD III","PADD 3",IF($M11509="PADD IV","PADD 4",IF($M11509="PADD V","PADD 5","")))))</f>
        <v/>
      </c>
      <c r="G11509" s="6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  <c r="N11509" s="6">
        <f>IF(OR($G11509="FCC",$G11509="Hydrocracker",$G11509="Reformer"),IF(COUNTIFS($D:$D,$D11509,$A:$A,$A11509,$B:$B,$B11509,$G:$G,"CDU",$J:$J,"PLANNED")&gt;0,"tied","standalone"),"")</f>
        <v/>
      </c>
    </row>
    <row r="11510" spans="6:14">
      <c r="F11510" s="6">
        <f>IF($M11510="PADD I","PADD 1",IF($M11510="PADD II","PADD 2",IF($M11510="PADD III","PADD 3",IF($M11510="PADD IV","PADD 4",IF($M11510="PADD V","PADD 5","")))))</f>
        <v/>
      </c>
      <c r="G11510" s="6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  <c r="N11510" s="6">
        <f>IF(OR($G11510="FCC",$G11510="Hydrocracker",$G11510="Reformer"),IF(COUNTIFS($D:$D,$D11510,$A:$A,$A11510,$B:$B,$B11510,$G:$G,"CDU",$J:$J,"PLANNED")&gt;0,"tied","standalone"),"")</f>
        <v/>
      </c>
    </row>
    <row r="11511" spans="6:14">
      <c r="F11511" s="6">
        <f>IF($M11511="PADD I","PADD 1",IF($M11511="PADD II","PADD 2",IF($M11511="PADD III","PADD 3",IF($M11511="PADD IV","PADD 4",IF($M11511="PADD V","PADD 5","")))))</f>
        <v/>
      </c>
      <c r="G11511" s="6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  <c r="N11511" s="6">
        <f>IF(OR($G11511="FCC",$G11511="Hydrocracker",$G11511="Reformer"),IF(COUNTIFS($D:$D,$D11511,$A:$A,$A11511,$B:$B,$B11511,$G:$G,"CDU",$J:$J,"PLANNED")&gt;0,"tied","standalone"),"")</f>
        <v/>
      </c>
    </row>
    <row r="11512" spans="6:14">
      <c r="F11512" s="6">
        <f>IF($M11512="PADD I","PADD 1",IF($M11512="PADD II","PADD 2",IF($M11512="PADD III","PADD 3",IF($M11512="PADD IV","PADD 4",IF($M11512="PADD V","PADD 5","")))))</f>
        <v/>
      </c>
      <c r="G11512" s="6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  <c r="N11512" s="6">
        <f>IF(OR($G11512="FCC",$G11512="Hydrocracker",$G11512="Reformer"),IF(COUNTIFS($D:$D,$D11512,$A:$A,$A11512,$B:$B,$B11512,$G:$G,"CDU",$J:$J,"PLANNED")&gt;0,"tied","standalone"),"")</f>
        <v/>
      </c>
    </row>
    <row r="11513" spans="6:14">
      <c r="F11513" s="6">
        <f>IF($M11513="PADD I","PADD 1",IF($M11513="PADD II","PADD 2",IF($M11513="PADD III","PADD 3",IF($M11513="PADD IV","PADD 4",IF($M11513="PADD V","PADD 5","")))))</f>
        <v/>
      </c>
      <c r="G11513" s="6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  <c r="N11513" s="6">
        <f>IF(OR($G11513="FCC",$G11513="Hydrocracker",$G11513="Reformer"),IF(COUNTIFS($D:$D,$D11513,$A:$A,$A11513,$B:$B,$B11513,$G:$G,"CDU",$J:$J,"PLANNED")&gt;0,"tied","standalone"),"")</f>
        <v/>
      </c>
    </row>
    <row r="11514" spans="6:14">
      <c r="F11514" s="6">
        <f>IF($M11514="PADD I","PADD 1",IF($M11514="PADD II","PADD 2",IF($M11514="PADD III","PADD 3",IF($M11514="PADD IV","PADD 4",IF($M11514="PADD V","PADD 5","")))))</f>
        <v/>
      </c>
      <c r="G11514" s="6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  <c r="N11514" s="6">
        <f>IF(OR($G11514="FCC",$G11514="Hydrocracker",$G11514="Reformer"),IF(COUNTIFS($D:$D,$D11514,$A:$A,$A11514,$B:$B,$B11514,$G:$G,"CDU",$J:$J,"PLANNED")&gt;0,"tied","standalone"),"")</f>
        <v/>
      </c>
    </row>
    <row r="11515" spans="6:14">
      <c r="F11515" s="6">
        <f>IF($M11515="PADD I","PADD 1",IF($M11515="PADD II","PADD 2",IF($M11515="PADD III","PADD 3",IF($M11515="PADD IV","PADD 4",IF($M11515="PADD V","PADD 5","")))))</f>
        <v/>
      </c>
      <c r="G11515" s="6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  <c r="N11515" s="6">
        <f>IF(OR($G11515="FCC",$G11515="Hydrocracker",$G11515="Reformer"),IF(COUNTIFS($D:$D,$D11515,$A:$A,$A11515,$B:$B,$B11515,$G:$G,"CDU",$J:$J,"PLANNED")&gt;0,"tied","standalone"),"")</f>
        <v/>
      </c>
    </row>
    <row r="11516" spans="6:14">
      <c r="F11516" s="6">
        <f>IF($M11516="PADD I","PADD 1",IF($M11516="PADD II","PADD 2",IF($M11516="PADD III","PADD 3",IF($M11516="PADD IV","PADD 4",IF($M11516="PADD V","PADD 5","")))))</f>
        <v/>
      </c>
      <c r="G11516" s="6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  <c r="N11516" s="6">
        <f>IF(OR($G11516="FCC",$G11516="Hydrocracker",$G11516="Reformer"),IF(COUNTIFS($D:$D,$D11516,$A:$A,$A11516,$B:$B,$B11516,$G:$G,"CDU",$J:$J,"PLANNED")&gt;0,"tied","standalone"),"")</f>
        <v/>
      </c>
    </row>
    <row r="11517" spans="6:14">
      <c r="F11517" s="6">
        <f>IF($M11517="PADD I","PADD 1",IF($M11517="PADD II","PADD 2",IF($M11517="PADD III","PADD 3",IF($M11517="PADD IV","PADD 4",IF($M11517="PADD V","PADD 5","")))))</f>
        <v/>
      </c>
      <c r="G11517" s="6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  <c r="N11517" s="6">
        <f>IF(OR($G11517="FCC",$G11517="Hydrocracker",$G11517="Reformer"),IF(COUNTIFS($D:$D,$D11517,$A:$A,$A11517,$B:$B,$B11517,$G:$G,"CDU",$J:$J,"PLANNED")&gt;0,"tied","standalone"),"")</f>
        <v/>
      </c>
    </row>
    <row r="11518" spans="6:14">
      <c r="F11518" s="6">
        <f>IF($M11518="PADD I","PADD 1",IF($M11518="PADD II","PADD 2",IF($M11518="PADD III","PADD 3",IF($M11518="PADD IV","PADD 4",IF($M11518="PADD V","PADD 5","")))))</f>
        <v/>
      </c>
      <c r="G11518" s="6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  <c r="N11518" s="6">
        <f>IF(OR($G11518="FCC",$G11518="Hydrocracker",$G11518="Reformer"),IF(COUNTIFS($D:$D,$D11518,$A:$A,$A11518,$B:$B,$B11518,$G:$G,"CDU",$J:$J,"PLANNED")&gt;0,"tied","standalone"),"")</f>
        <v/>
      </c>
    </row>
    <row r="11519" spans="6:14">
      <c r="F11519" s="6">
        <f>IF($M11519="PADD I","PADD 1",IF($M11519="PADD II","PADD 2",IF($M11519="PADD III","PADD 3",IF($M11519="PADD IV","PADD 4",IF($M11519="PADD V","PADD 5","")))))</f>
        <v/>
      </c>
      <c r="G11519" s="6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  <c r="N11519" s="6">
        <f>IF(OR($G11519="FCC",$G11519="Hydrocracker",$G11519="Reformer"),IF(COUNTIFS($D:$D,$D11519,$A:$A,$A11519,$B:$B,$B11519,$G:$G,"CDU",$J:$J,"PLANNED")&gt;0,"tied","standalone"),"")</f>
        <v/>
      </c>
    </row>
    <row r="11520" spans="6:14">
      <c r="F11520" s="6">
        <f>IF($M11520="PADD I","PADD 1",IF($M11520="PADD II","PADD 2",IF($M11520="PADD III","PADD 3",IF($M11520="PADD IV","PADD 4",IF($M11520="PADD V","PADD 5","")))))</f>
        <v/>
      </c>
      <c r="G11520" s="6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  <c r="N11520" s="6">
        <f>IF(OR($G11520="FCC",$G11520="Hydrocracker",$G11520="Reformer"),IF(COUNTIFS($D:$D,$D11520,$A:$A,$A11520,$B:$B,$B11520,$G:$G,"CDU",$J:$J,"PLANNED")&gt;0,"tied","standalone"),"")</f>
        <v/>
      </c>
    </row>
    <row r="11521" spans="6:14">
      <c r="F11521" s="6">
        <f>IF($M11521="PADD I","PADD 1",IF($M11521="PADD II","PADD 2",IF($M11521="PADD III","PADD 3",IF($M11521="PADD IV","PADD 4",IF($M11521="PADD V","PADD 5","")))))</f>
        <v/>
      </c>
      <c r="G11521" s="6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  <c r="N11521" s="6">
        <f>IF(OR($G11521="FCC",$G11521="Hydrocracker",$G11521="Reformer"),IF(COUNTIFS($D:$D,$D11521,$A:$A,$A11521,$B:$B,$B11521,$G:$G,"CDU",$J:$J,"PLANNED")&gt;0,"tied","standalone"),"")</f>
        <v/>
      </c>
    </row>
    <row r="11522" spans="6:14">
      <c r="F11522" s="6">
        <f>IF($M11522="PADD I","PADD 1",IF($M11522="PADD II","PADD 2",IF($M11522="PADD III","PADD 3",IF($M11522="PADD IV","PADD 4",IF($M11522="PADD V","PADD 5","")))))</f>
        <v/>
      </c>
      <c r="G11522" s="6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  <c r="N11522" s="6">
        <f>IF(OR($G11522="FCC",$G11522="Hydrocracker",$G11522="Reformer"),IF(COUNTIFS($D:$D,$D11522,$A:$A,$A11522,$B:$B,$B11522,$G:$G,"CDU",$J:$J,"PLANNED")&gt;0,"tied","standalone"),"")</f>
        <v/>
      </c>
    </row>
    <row r="11523" spans="6:14">
      <c r="F11523" s="6">
        <f>IF($M11523="PADD I","PADD 1",IF($M11523="PADD II","PADD 2",IF($M11523="PADD III","PADD 3",IF($M11523="PADD IV","PADD 4",IF($M11523="PADD V","PADD 5","")))))</f>
        <v/>
      </c>
      <c r="G11523" s="6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  <c r="N11523" s="6">
        <f>IF(OR($G11523="FCC",$G11523="Hydrocracker",$G11523="Reformer"),IF(COUNTIFS($D:$D,$D11523,$A:$A,$A11523,$B:$B,$B11523,$G:$G,"CDU",$J:$J,"PLANNED")&gt;0,"tied","standalone"),"")</f>
        <v/>
      </c>
    </row>
    <row r="11524" spans="6:14">
      <c r="F11524" s="6">
        <f>IF($M11524="PADD I","PADD 1",IF($M11524="PADD II","PADD 2",IF($M11524="PADD III","PADD 3",IF($M11524="PADD IV","PADD 4",IF($M11524="PADD V","PADD 5","")))))</f>
        <v/>
      </c>
      <c r="G11524" s="6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  <c r="N11524" s="6">
        <f>IF(OR($G11524="FCC",$G11524="Hydrocracker",$G11524="Reformer"),IF(COUNTIFS($D:$D,$D11524,$A:$A,$A11524,$B:$B,$B11524,$G:$G,"CDU",$J:$J,"PLANNED")&gt;0,"tied","standalone"),"")</f>
        <v/>
      </c>
    </row>
    <row r="11525" spans="6:14">
      <c r="F11525" s="6">
        <f>IF($M11525="PADD I","PADD 1",IF($M11525="PADD II","PADD 2",IF($M11525="PADD III","PADD 3",IF($M11525="PADD IV","PADD 4",IF($M11525="PADD V","PADD 5","")))))</f>
        <v/>
      </c>
      <c r="G11525" s="6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  <c r="N11525" s="6">
        <f>IF(OR($G11525="FCC",$G11525="Hydrocracker",$G11525="Reformer"),IF(COUNTIFS($D:$D,$D11525,$A:$A,$A11525,$B:$B,$B11525,$G:$G,"CDU",$J:$J,"PLANNED")&gt;0,"tied","standalone"),"")</f>
        <v/>
      </c>
    </row>
    <row r="11526" spans="6:14">
      <c r="F11526" s="6">
        <f>IF($M11526="PADD I","PADD 1",IF($M11526="PADD II","PADD 2",IF($M11526="PADD III","PADD 3",IF($M11526="PADD IV","PADD 4",IF($M11526="PADD V","PADD 5","")))))</f>
        <v/>
      </c>
      <c r="G11526" s="6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  <c r="N11526" s="6">
        <f>IF(OR($G11526="FCC",$G11526="Hydrocracker",$G11526="Reformer"),IF(COUNTIFS($D:$D,$D11526,$A:$A,$A11526,$B:$B,$B11526,$G:$G,"CDU",$J:$J,"PLANNED")&gt;0,"tied","standalone"),"")</f>
        <v/>
      </c>
    </row>
    <row r="11527" spans="6:14">
      <c r="F11527" s="6">
        <f>IF($M11527="PADD I","PADD 1",IF($M11527="PADD II","PADD 2",IF($M11527="PADD III","PADD 3",IF($M11527="PADD IV","PADD 4",IF($M11527="PADD V","PADD 5","")))))</f>
        <v/>
      </c>
      <c r="G11527" s="6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  <c r="N11527" s="6">
        <f>IF(OR($G11527="FCC",$G11527="Hydrocracker",$G11527="Reformer"),IF(COUNTIFS($D:$D,$D11527,$A:$A,$A11527,$B:$B,$B11527,$G:$G,"CDU",$J:$J,"PLANNED")&gt;0,"tied","standalone"),"")</f>
        <v/>
      </c>
    </row>
    <row r="11528" spans="6:14">
      <c r="F11528" s="6">
        <f>IF($M11528="PADD I","PADD 1",IF($M11528="PADD II","PADD 2",IF($M11528="PADD III","PADD 3",IF($M11528="PADD IV","PADD 4",IF($M11528="PADD V","PADD 5","")))))</f>
        <v/>
      </c>
      <c r="G11528" s="6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  <c r="N11528" s="6">
        <f>IF(OR($G11528="FCC",$G11528="Hydrocracker",$G11528="Reformer"),IF(COUNTIFS($D:$D,$D11528,$A:$A,$A11528,$B:$B,$B11528,$G:$G,"CDU",$J:$J,"PLANNED")&gt;0,"tied","standalone"),"")</f>
        <v/>
      </c>
    </row>
    <row r="11529" spans="6:14">
      <c r="F11529" s="6">
        <f>IF($M11529="PADD I","PADD 1",IF($M11529="PADD II","PADD 2",IF($M11529="PADD III","PADD 3",IF($M11529="PADD IV","PADD 4",IF($M11529="PADD V","PADD 5","")))))</f>
        <v/>
      </c>
      <c r="G11529" s="6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  <c r="N11529" s="6">
        <f>IF(OR($G11529="FCC",$G11529="Hydrocracker",$G11529="Reformer"),IF(COUNTIFS($D:$D,$D11529,$A:$A,$A11529,$B:$B,$B11529,$G:$G,"CDU",$J:$J,"PLANNED")&gt;0,"tied","standalone"),"")</f>
        <v/>
      </c>
    </row>
    <row r="11530" spans="6:14">
      <c r="F11530" s="6">
        <f>IF($M11530="PADD I","PADD 1",IF($M11530="PADD II","PADD 2",IF($M11530="PADD III","PADD 3",IF($M11530="PADD IV","PADD 4",IF($M11530="PADD V","PADD 5","")))))</f>
        <v/>
      </c>
      <c r="G11530" s="6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  <c r="N11530" s="6">
        <f>IF(OR($G11530="FCC",$G11530="Hydrocracker",$G11530="Reformer"),IF(COUNTIFS($D:$D,$D11530,$A:$A,$A11530,$B:$B,$B11530,$G:$G,"CDU",$J:$J,"PLANNED")&gt;0,"tied","standalone"),"")</f>
        <v/>
      </c>
    </row>
    <row r="11531" spans="6:14">
      <c r="F11531" s="6">
        <f>IF($M11531="PADD I","PADD 1",IF($M11531="PADD II","PADD 2",IF($M11531="PADD III","PADD 3",IF($M11531="PADD IV","PADD 4",IF($M11531="PADD V","PADD 5","")))))</f>
        <v/>
      </c>
      <c r="G11531" s="6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  <c r="N11531" s="6">
        <f>IF(OR($G11531="FCC",$G11531="Hydrocracker",$G11531="Reformer"),IF(COUNTIFS($D:$D,$D11531,$A:$A,$A11531,$B:$B,$B11531,$G:$G,"CDU",$J:$J,"PLANNED")&gt;0,"tied","standalone"),"")</f>
        <v/>
      </c>
    </row>
    <row r="11532" spans="6:14">
      <c r="F11532" s="6">
        <f>IF($M11532="PADD I","PADD 1",IF($M11532="PADD II","PADD 2",IF($M11532="PADD III","PADD 3",IF($M11532="PADD IV","PADD 4",IF($M11532="PADD V","PADD 5","")))))</f>
        <v/>
      </c>
      <c r="G11532" s="6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  <c r="N11532" s="6">
        <f>IF(OR($G11532="FCC",$G11532="Hydrocracker",$G11532="Reformer"),IF(COUNTIFS($D:$D,$D11532,$A:$A,$A11532,$B:$B,$B11532,$G:$G,"CDU",$J:$J,"PLANNED")&gt;0,"tied","standalone"),"")</f>
        <v/>
      </c>
    </row>
    <row r="11533" spans="6:14">
      <c r="F11533" s="6">
        <f>IF($M11533="PADD I","PADD 1",IF($M11533="PADD II","PADD 2",IF($M11533="PADD III","PADD 3",IF($M11533="PADD IV","PADD 4",IF($M11533="PADD V","PADD 5","")))))</f>
        <v/>
      </c>
      <c r="G11533" s="6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  <c r="N11533" s="6">
        <f>IF(OR($G11533="FCC",$G11533="Hydrocracker",$G11533="Reformer"),IF(COUNTIFS($D:$D,$D11533,$A:$A,$A11533,$B:$B,$B11533,$G:$G,"CDU",$J:$J,"PLANNED")&gt;0,"tied","standalone"),"")</f>
        <v/>
      </c>
    </row>
    <row r="11534" spans="6:14">
      <c r="F11534" s="6">
        <f>IF($M11534="PADD I","PADD 1",IF($M11534="PADD II","PADD 2",IF($M11534="PADD III","PADD 3",IF($M11534="PADD IV","PADD 4",IF($M11534="PADD V","PADD 5","")))))</f>
        <v/>
      </c>
      <c r="G11534" s="6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  <c r="N11534" s="6">
        <f>IF(OR($G11534="FCC",$G11534="Hydrocracker",$G11534="Reformer"),IF(COUNTIFS($D:$D,$D11534,$A:$A,$A11534,$B:$B,$B11534,$G:$G,"CDU",$J:$J,"PLANNED")&gt;0,"tied","standalone"),"")</f>
        <v/>
      </c>
    </row>
    <row r="11535" spans="6:14">
      <c r="F11535" s="6">
        <f>IF($M11535="PADD I","PADD 1",IF($M11535="PADD II","PADD 2",IF($M11535="PADD III","PADD 3",IF($M11535="PADD IV","PADD 4",IF($M11535="PADD V","PADD 5","")))))</f>
        <v/>
      </c>
      <c r="G11535" s="6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  <c r="N11535" s="6">
        <f>IF(OR($G11535="FCC",$G11535="Hydrocracker",$G11535="Reformer"),IF(COUNTIFS($D:$D,$D11535,$A:$A,$A11535,$B:$B,$B11535,$G:$G,"CDU",$J:$J,"PLANNED")&gt;0,"tied","standalone"),"")</f>
        <v/>
      </c>
    </row>
    <row r="11536" spans="6:14">
      <c r="F11536" s="6">
        <f>IF($M11536="PADD I","PADD 1",IF($M11536="PADD II","PADD 2",IF($M11536="PADD III","PADD 3",IF($M11536="PADD IV","PADD 4",IF($M11536="PADD V","PADD 5","")))))</f>
        <v/>
      </c>
      <c r="G11536" s="6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  <c r="N11536" s="6">
        <f>IF(OR($G11536="FCC",$G11536="Hydrocracker",$G11536="Reformer"),IF(COUNTIFS($D:$D,$D11536,$A:$A,$A11536,$B:$B,$B11536,$G:$G,"CDU",$J:$J,"PLANNED")&gt;0,"tied","standalone"),"")</f>
        <v/>
      </c>
    </row>
    <row r="11537" spans="6:14">
      <c r="F11537" s="6">
        <f>IF($M11537="PADD I","PADD 1",IF($M11537="PADD II","PADD 2",IF($M11537="PADD III","PADD 3",IF($M11537="PADD IV","PADD 4",IF($M11537="PADD V","PADD 5","")))))</f>
        <v/>
      </c>
      <c r="G11537" s="6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  <c r="N11537" s="6">
        <f>IF(OR($G11537="FCC",$G11537="Hydrocracker",$G11537="Reformer"),IF(COUNTIFS($D:$D,$D11537,$A:$A,$A11537,$B:$B,$B11537,$G:$G,"CDU",$J:$J,"PLANNED")&gt;0,"tied","standalone"),"")</f>
        <v/>
      </c>
    </row>
    <row r="11538" spans="6:14">
      <c r="F11538" s="6">
        <f>IF($M11538="PADD I","PADD 1",IF($M11538="PADD II","PADD 2",IF($M11538="PADD III","PADD 3",IF($M11538="PADD IV","PADD 4",IF($M11538="PADD V","PADD 5","")))))</f>
        <v/>
      </c>
      <c r="G11538" s="6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  <c r="N11538" s="6">
        <f>IF(OR($G11538="FCC",$G11538="Hydrocracker",$G11538="Reformer"),IF(COUNTIFS($D:$D,$D11538,$A:$A,$A11538,$B:$B,$B11538,$G:$G,"CDU",$J:$J,"PLANNED")&gt;0,"tied","standalone"),"")</f>
        <v/>
      </c>
    </row>
    <row r="11539" spans="6:14">
      <c r="F11539" s="6">
        <f>IF($M11539="PADD I","PADD 1",IF($M11539="PADD II","PADD 2",IF($M11539="PADD III","PADD 3",IF($M11539="PADD IV","PADD 4",IF($M11539="PADD V","PADD 5","")))))</f>
        <v/>
      </c>
      <c r="G11539" s="6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  <c r="N11539" s="6">
        <f>IF(OR($G11539="FCC",$G11539="Hydrocracker",$G11539="Reformer"),IF(COUNTIFS($D:$D,$D11539,$A:$A,$A11539,$B:$B,$B11539,$G:$G,"CDU",$J:$J,"PLANNED")&gt;0,"tied","standalone"),"")</f>
        <v/>
      </c>
    </row>
    <row r="11540" spans="6:14">
      <c r="F11540" s="6">
        <f>IF($M11540="PADD I","PADD 1",IF($M11540="PADD II","PADD 2",IF($M11540="PADD III","PADD 3",IF($M11540="PADD IV","PADD 4",IF($M11540="PADD V","PADD 5","")))))</f>
        <v/>
      </c>
      <c r="G11540" s="6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  <c r="N11540" s="6">
        <f>IF(OR($G11540="FCC",$G11540="Hydrocracker",$G11540="Reformer"),IF(COUNTIFS($D:$D,$D11540,$A:$A,$A11540,$B:$B,$B11540,$G:$G,"CDU",$J:$J,"PLANNED")&gt;0,"tied","standalone"),"")</f>
        <v/>
      </c>
    </row>
    <row r="11541" spans="6:14">
      <c r="F11541" s="6">
        <f>IF($M11541="PADD I","PADD 1",IF($M11541="PADD II","PADD 2",IF($M11541="PADD III","PADD 3",IF($M11541="PADD IV","PADD 4",IF($M11541="PADD V","PADD 5","")))))</f>
        <v/>
      </c>
      <c r="G11541" s="6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  <c r="N11541" s="6">
        <f>IF(OR($G11541="FCC",$G11541="Hydrocracker",$G11541="Reformer"),IF(COUNTIFS($D:$D,$D11541,$A:$A,$A11541,$B:$B,$B11541,$G:$G,"CDU",$J:$J,"PLANNED")&gt;0,"tied","standalone"),"")</f>
        <v/>
      </c>
    </row>
    <row r="11542" spans="6:14">
      <c r="F11542" s="6">
        <f>IF($M11542="PADD I","PADD 1",IF($M11542="PADD II","PADD 2",IF($M11542="PADD III","PADD 3",IF($M11542="PADD IV","PADD 4",IF($M11542="PADD V","PADD 5","")))))</f>
        <v/>
      </c>
      <c r="G11542" s="6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  <c r="N11542" s="6">
        <f>IF(OR($G11542="FCC",$G11542="Hydrocracker",$G11542="Reformer"),IF(COUNTIFS($D:$D,$D11542,$A:$A,$A11542,$B:$B,$B11542,$G:$G,"CDU",$J:$J,"PLANNED")&gt;0,"tied","standalone"),"")</f>
        <v/>
      </c>
    </row>
    <row r="11543" spans="6:14">
      <c r="F11543" s="6">
        <f>IF($M11543="PADD I","PADD 1",IF($M11543="PADD II","PADD 2",IF($M11543="PADD III","PADD 3",IF($M11543="PADD IV","PADD 4",IF($M11543="PADD V","PADD 5","")))))</f>
        <v/>
      </c>
      <c r="G11543" s="6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  <c r="N11543" s="6">
        <f>IF(OR($G11543="FCC",$G11543="Hydrocracker",$G11543="Reformer"),IF(COUNTIFS($D:$D,$D11543,$A:$A,$A11543,$B:$B,$B11543,$G:$G,"CDU",$J:$J,"PLANNED")&gt;0,"tied","standalone"),"")</f>
        <v/>
      </c>
    </row>
    <row r="11544" spans="6:14">
      <c r="F11544" s="6">
        <f>IF($M11544="PADD I","PADD 1",IF($M11544="PADD II","PADD 2",IF($M11544="PADD III","PADD 3",IF($M11544="PADD IV","PADD 4",IF($M11544="PADD V","PADD 5","")))))</f>
        <v/>
      </c>
      <c r="G11544" s="6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  <c r="N11544" s="6">
        <f>IF(OR($G11544="FCC",$G11544="Hydrocracker",$G11544="Reformer"),IF(COUNTIFS($D:$D,$D11544,$A:$A,$A11544,$B:$B,$B11544,$G:$G,"CDU",$J:$J,"PLANNED")&gt;0,"tied","standalone"),"")</f>
        <v/>
      </c>
    </row>
    <row r="11545" spans="6:14">
      <c r="F11545" s="6">
        <f>IF($M11545="PADD I","PADD 1",IF($M11545="PADD II","PADD 2",IF($M11545="PADD III","PADD 3",IF($M11545="PADD IV","PADD 4",IF($M11545="PADD V","PADD 5","")))))</f>
        <v/>
      </c>
      <c r="G11545" s="6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  <c r="N11545" s="6">
        <f>IF(OR($G11545="FCC",$G11545="Hydrocracker",$G11545="Reformer"),IF(COUNTIFS($D:$D,$D11545,$A:$A,$A11545,$B:$B,$B11545,$G:$G,"CDU",$J:$J,"PLANNED")&gt;0,"tied","standalone"),"")</f>
        <v/>
      </c>
    </row>
    <row r="11546" spans="6:14">
      <c r="F11546" s="6">
        <f>IF($M11546="PADD I","PADD 1",IF($M11546="PADD II","PADD 2",IF($M11546="PADD III","PADD 3",IF($M11546="PADD IV","PADD 4",IF($M11546="PADD V","PADD 5","")))))</f>
        <v/>
      </c>
      <c r="G11546" s="6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  <c r="N11546" s="6">
        <f>IF(OR($G11546="FCC",$G11546="Hydrocracker",$G11546="Reformer"),IF(COUNTIFS($D:$D,$D11546,$A:$A,$A11546,$B:$B,$B11546,$G:$G,"CDU",$J:$J,"PLANNED")&gt;0,"tied","standalone"),"")</f>
        <v/>
      </c>
    </row>
    <row r="11547" spans="6:14">
      <c r="F11547" s="6">
        <f>IF($M11547="PADD I","PADD 1",IF($M11547="PADD II","PADD 2",IF($M11547="PADD III","PADD 3",IF($M11547="PADD IV","PADD 4",IF($M11547="PADD V","PADD 5","")))))</f>
        <v/>
      </c>
      <c r="G11547" s="6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  <c r="N11547" s="6">
        <f>IF(OR($G11547="FCC",$G11547="Hydrocracker",$G11547="Reformer"),IF(COUNTIFS($D:$D,$D11547,$A:$A,$A11547,$B:$B,$B11547,$G:$G,"CDU",$J:$J,"PLANNED")&gt;0,"tied","standalone"),"")</f>
        <v/>
      </c>
    </row>
    <row r="11548" spans="6:14">
      <c r="F11548" s="6">
        <f>IF($M11548="PADD I","PADD 1",IF($M11548="PADD II","PADD 2",IF($M11548="PADD III","PADD 3",IF($M11548="PADD IV","PADD 4",IF($M11548="PADD V","PADD 5","")))))</f>
        <v/>
      </c>
      <c r="G11548" s="6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  <c r="N11548" s="6">
        <f>IF(OR($G11548="FCC",$G11548="Hydrocracker",$G11548="Reformer"),IF(COUNTIFS($D:$D,$D11548,$A:$A,$A11548,$B:$B,$B11548,$G:$G,"CDU",$J:$J,"PLANNED")&gt;0,"tied","standalone"),"")</f>
        <v/>
      </c>
    </row>
    <row r="11549" spans="6:14">
      <c r="F11549" s="6">
        <f>IF($M11549="PADD I","PADD 1",IF($M11549="PADD II","PADD 2",IF($M11549="PADD III","PADD 3",IF($M11549="PADD IV","PADD 4",IF($M11549="PADD V","PADD 5","")))))</f>
        <v/>
      </c>
      <c r="G11549" s="6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  <c r="N11549" s="6">
        <f>IF(OR($G11549="FCC",$G11549="Hydrocracker",$G11549="Reformer"),IF(COUNTIFS($D:$D,$D11549,$A:$A,$A11549,$B:$B,$B11549,$G:$G,"CDU",$J:$J,"PLANNED")&gt;0,"tied","standalone"),"")</f>
        <v/>
      </c>
    </row>
    <row r="11550" spans="6:14">
      <c r="F11550" s="6">
        <f>IF($M11550="PADD I","PADD 1",IF($M11550="PADD II","PADD 2",IF($M11550="PADD III","PADD 3",IF($M11550="PADD IV","PADD 4",IF($M11550="PADD V","PADD 5","")))))</f>
        <v/>
      </c>
      <c r="G11550" s="6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  <c r="N11550" s="6">
        <f>IF(OR($G11550="FCC",$G11550="Hydrocracker",$G11550="Reformer"),IF(COUNTIFS($D:$D,$D11550,$A:$A,$A11550,$B:$B,$B11550,$G:$G,"CDU",$J:$J,"PLANNED")&gt;0,"tied","standalone"),"")</f>
        <v/>
      </c>
    </row>
    <row r="11551" spans="6:14">
      <c r="F11551" s="6">
        <f>IF($M11551="PADD I","PADD 1",IF($M11551="PADD II","PADD 2",IF($M11551="PADD III","PADD 3",IF($M11551="PADD IV","PADD 4",IF($M11551="PADD V","PADD 5","")))))</f>
        <v/>
      </c>
      <c r="G11551" s="6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  <c r="N11551" s="6">
        <f>IF(OR($G11551="FCC",$G11551="Hydrocracker",$G11551="Reformer"),IF(COUNTIFS($D:$D,$D11551,$A:$A,$A11551,$B:$B,$B11551,$G:$G,"CDU",$J:$J,"PLANNED")&gt;0,"tied","standalone"),"")</f>
        <v/>
      </c>
    </row>
    <row r="11552" spans="6:14">
      <c r="F11552" s="6">
        <f>IF($M11552="PADD I","PADD 1",IF($M11552="PADD II","PADD 2",IF($M11552="PADD III","PADD 3",IF($M11552="PADD IV","PADD 4",IF($M11552="PADD V","PADD 5","")))))</f>
        <v/>
      </c>
      <c r="G11552" s="6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  <c r="N11552" s="6">
        <f>IF(OR($G11552="FCC",$G11552="Hydrocracker",$G11552="Reformer"),IF(COUNTIFS($D:$D,$D11552,$A:$A,$A11552,$B:$B,$B11552,$G:$G,"CDU",$J:$J,"PLANNED")&gt;0,"tied","standalone"),"")</f>
        <v/>
      </c>
    </row>
    <row r="11553" spans="6:14">
      <c r="F11553" s="6">
        <f>IF($M11553="PADD I","PADD 1",IF($M11553="PADD II","PADD 2",IF($M11553="PADD III","PADD 3",IF($M11553="PADD IV","PADD 4",IF($M11553="PADD V","PADD 5","")))))</f>
        <v/>
      </c>
      <c r="G11553" s="6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  <c r="N11553" s="6">
        <f>IF(OR($G11553="FCC",$G11553="Hydrocracker",$G11553="Reformer"),IF(COUNTIFS($D:$D,$D11553,$A:$A,$A11553,$B:$B,$B11553,$G:$G,"CDU",$J:$J,"PLANNED")&gt;0,"tied","standalone"),"")</f>
        <v/>
      </c>
    </row>
    <row r="11554" spans="6:14">
      <c r="F11554" s="6">
        <f>IF($M11554="PADD I","PADD 1",IF($M11554="PADD II","PADD 2",IF($M11554="PADD III","PADD 3",IF($M11554="PADD IV","PADD 4",IF($M11554="PADD V","PADD 5","")))))</f>
        <v/>
      </c>
      <c r="G11554" s="6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  <c r="N11554" s="6">
        <f>IF(OR($G11554="FCC",$G11554="Hydrocracker",$G11554="Reformer"),IF(COUNTIFS($D:$D,$D11554,$A:$A,$A11554,$B:$B,$B11554,$G:$G,"CDU",$J:$J,"PLANNED")&gt;0,"tied","standalone"),"")</f>
        <v/>
      </c>
    </row>
    <row r="11555" spans="6:14">
      <c r="F11555" s="6">
        <f>IF($M11555="PADD I","PADD 1",IF($M11555="PADD II","PADD 2",IF($M11555="PADD III","PADD 3",IF($M11555="PADD IV","PADD 4",IF($M11555="PADD V","PADD 5","")))))</f>
        <v/>
      </c>
      <c r="G11555" s="6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  <c r="N11555" s="6">
        <f>IF(OR($G11555="FCC",$G11555="Hydrocracker",$G11555="Reformer"),IF(COUNTIFS($D:$D,$D11555,$A:$A,$A11555,$B:$B,$B11555,$G:$G,"CDU",$J:$J,"PLANNED")&gt;0,"tied","standalone"),"")</f>
        <v/>
      </c>
    </row>
    <row r="11556" spans="6:14">
      <c r="F11556" s="6">
        <f>IF($M11556="PADD I","PADD 1",IF($M11556="PADD II","PADD 2",IF($M11556="PADD III","PADD 3",IF($M11556="PADD IV","PADD 4",IF($M11556="PADD V","PADD 5","")))))</f>
        <v/>
      </c>
      <c r="G11556" s="6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  <c r="N11556" s="6">
        <f>IF(OR($G11556="FCC",$G11556="Hydrocracker",$G11556="Reformer"),IF(COUNTIFS($D:$D,$D11556,$A:$A,$A11556,$B:$B,$B11556,$G:$G,"CDU",$J:$J,"PLANNED")&gt;0,"tied","standalone"),"")</f>
        <v/>
      </c>
    </row>
    <row r="11557" spans="6:14">
      <c r="F11557" s="6">
        <f>IF($M11557="PADD I","PADD 1",IF($M11557="PADD II","PADD 2",IF($M11557="PADD III","PADD 3",IF($M11557="PADD IV","PADD 4",IF($M11557="PADD V","PADD 5","")))))</f>
        <v/>
      </c>
      <c r="G11557" s="6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  <c r="N11557" s="6">
        <f>IF(OR($G11557="FCC",$G11557="Hydrocracker",$G11557="Reformer"),IF(COUNTIFS($D:$D,$D11557,$A:$A,$A11557,$B:$B,$B11557,$G:$G,"CDU",$J:$J,"PLANNED")&gt;0,"tied","standalone"),"")</f>
        <v/>
      </c>
    </row>
    <row r="11558" spans="6:14">
      <c r="F11558" s="6">
        <f>IF($M11558="PADD I","PADD 1",IF($M11558="PADD II","PADD 2",IF($M11558="PADD III","PADD 3",IF($M11558="PADD IV","PADD 4",IF($M11558="PADD V","PADD 5","")))))</f>
        <v/>
      </c>
      <c r="G11558" s="6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  <c r="N11558" s="6">
        <f>IF(OR($G11558="FCC",$G11558="Hydrocracker",$G11558="Reformer"),IF(COUNTIFS($D:$D,$D11558,$A:$A,$A11558,$B:$B,$B11558,$G:$G,"CDU",$J:$J,"PLANNED")&gt;0,"tied","standalone"),"")</f>
        <v/>
      </c>
    </row>
    <row r="11559" spans="6:14">
      <c r="F11559" s="6">
        <f>IF($M11559="PADD I","PADD 1",IF($M11559="PADD II","PADD 2",IF($M11559="PADD III","PADD 3",IF($M11559="PADD IV","PADD 4",IF($M11559="PADD V","PADD 5","")))))</f>
        <v/>
      </c>
      <c r="G11559" s="6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  <c r="N11559" s="6">
        <f>IF(OR($G11559="FCC",$G11559="Hydrocracker",$G11559="Reformer"),IF(COUNTIFS($D:$D,$D11559,$A:$A,$A11559,$B:$B,$B11559,$G:$G,"CDU",$J:$J,"PLANNED")&gt;0,"tied","standalone"),"")</f>
        <v/>
      </c>
    </row>
    <row r="11560" spans="6:14">
      <c r="F11560" s="6">
        <f>IF($M11560="PADD I","PADD 1",IF($M11560="PADD II","PADD 2",IF($M11560="PADD III","PADD 3",IF($M11560="PADD IV","PADD 4",IF($M11560="PADD V","PADD 5","")))))</f>
        <v/>
      </c>
      <c r="G11560" s="6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  <c r="N11560" s="6">
        <f>IF(OR($G11560="FCC",$G11560="Hydrocracker",$G11560="Reformer"),IF(COUNTIFS($D:$D,$D11560,$A:$A,$A11560,$B:$B,$B11560,$G:$G,"CDU",$J:$J,"PLANNED")&gt;0,"tied","standalone"),"")</f>
        <v/>
      </c>
    </row>
    <row r="11561" spans="6:14">
      <c r="F11561" s="6">
        <f>IF($M11561="PADD I","PADD 1",IF($M11561="PADD II","PADD 2",IF($M11561="PADD III","PADD 3",IF($M11561="PADD IV","PADD 4",IF($M11561="PADD V","PADD 5","")))))</f>
        <v/>
      </c>
      <c r="G11561" s="6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  <c r="N11561" s="6">
        <f>IF(OR($G11561="FCC",$G11561="Hydrocracker",$G11561="Reformer"),IF(COUNTIFS($D:$D,$D11561,$A:$A,$A11561,$B:$B,$B11561,$G:$G,"CDU",$J:$J,"PLANNED")&gt;0,"tied","standalone"),"")</f>
        <v/>
      </c>
    </row>
    <row r="11562" spans="6:14">
      <c r="F11562" s="6">
        <f>IF($M11562="PADD I","PADD 1",IF($M11562="PADD II","PADD 2",IF($M11562="PADD III","PADD 3",IF($M11562="PADD IV","PADD 4",IF($M11562="PADD V","PADD 5","")))))</f>
        <v/>
      </c>
      <c r="G11562" s="6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  <c r="N11562" s="6">
        <f>IF(OR($G11562="FCC",$G11562="Hydrocracker",$G11562="Reformer"),IF(COUNTIFS($D:$D,$D11562,$A:$A,$A11562,$B:$B,$B11562,$G:$G,"CDU",$J:$J,"PLANNED")&gt;0,"tied","standalone"),"")</f>
        <v/>
      </c>
    </row>
    <row r="11563" spans="6:14">
      <c r="F11563" s="6">
        <f>IF($M11563="PADD I","PADD 1",IF($M11563="PADD II","PADD 2",IF($M11563="PADD III","PADD 3",IF($M11563="PADD IV","PADD 4",IF($M11563="PADD V","PADD 5","")))))</f>
        <v/>
      </c>
      <c r="G11563" s="6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  <c r="N11563" s="6">
        <f>IF(OR($G11563="FCC",$G11563="Hydrocracker",$G11563="Reformer"),IF(COUNTIFS($D:$D,$D11563,$A:$A,$A11563,$B:$B,$B11563,$G:$G,"CDU",$J:$J,"PLANNED")&gt;0,"tied","standalone"),"")</f>
        <v/>
      </c>
    </row>
    <row r="11564" spans="6:14">
      <c r="F11564" s="6">
        <f>IF($M11564="PADD I","PADD 1",IF($M11564="PADD II","PADD 2",IF($M11564="PADD III","PADD 3",IF($M11564="PADD IV","PADD 4",IF($M11564="PADD V","PADD 5","")))))</f>
        <v/>
      </c>
      <c r="G11564" s="6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  <c r="N11564" s="6">
        <f>IF(OR($G11564="FCC",$G11564="Hydrocracker",$G11564="Reformer"),IF(COUNTIFS($D:$D,$D11564,$A:$A,$A11564,$B:$B,$B11564,$G:$G,"CDU",$J:$J,"PLANNED")&gt;0,"tied","standalone"),"")</f>
        <v/>
      </c>
    </row>
    <row r="11565" spans="6:14">
      <c r="F11565" s="6">
        <f>IF($M11565="PADD I","PADD 1",IF($M11565="PADD II","PADD 2",IF($M11565="PADD III","PADD 3",IF($M11565="PADD IV","PADD 4",IF($M11565="PADD V","PADD 5","")))))</f>
        <v/>
      </c>
      <c r="G11565" s="6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  <c r="N11565" s="6">
        <f>IF(OR($G11565="FCC",$G11565="Hydrocracker",$G11565="Reformer"),IF(COUNTIFS($D:$D,$D11565,$A:$A,$A11565,$B:$B,$B11565,$G:$G,"CDU",$J:$J,"PLANNED")&gt;0,"tied","standalone"),"")</f>
        <v/>
      </c>
    </row>
    <row r="11566" spans="6:14">
      <c r="F11566" s="6">
        <f>IF($M11566="PADD I","PADD 1",IF($M11566="PADD II","PADD 2",IF($M11566="PADD III","PADD 3",IF($M11566="PADD IV","PADD 4",IF($M11566="PADD V","PADD 5","")))))</f>
        <v/>
      </c>
      <c r="G11566" s="6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  <c r="N11566" s="6">
        <f>IF(OR($G11566="FCC",$G11566="Hydrocracker",$G11566="Reformer"),IF(COUNTIFS($D:$D,$D11566,$A:$A,$A11566,$B:$B,$B11566,$G:$G,"CDU",$J:$J,"PLANNED")&gt;0,"tied","standalone"),"")</f>
        <v/>
      </c>
    </row>
    <row r="11567" spans="6:14">
      <c r="F11567" s="6">
        <f>IF($M11567="PADD I","PADD 1",IF($M11567="PADD II","PADD 2",IF($M11567="PADD III","PADD 3",IF($M11567="PADD IV","PADD 4",IF($M11567="PADD V","PADD 5","")))))</f>
        <v/>
      </c>
      <c r="G11567" s="6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  <c r="N11567" s="6">
        <f>IF(OR($G11567="FCC",$G11567="Hydrocracker",$G11567="Reformer"),IF(COUNTIFS($D:$D,$D11567,$A:$A,$A11567,$B:$B,$B11567,$G:$G,"CDU",$J:$J,"PLANNED")&gt;0,"tied","standalone"),"")</f>
        <v/>
      </c>
    </row>
    <row r="11568" spans="6:14">
      <c r="F11568" s="6">
        <f>IF($M11568="PADD I","PADD 1",IF($M11568="PADD II","PADD 2",IF($M11568="PADD III","PADD 3",IF($M11568="PADD IV","PADD 4",IF($M11568="PADD V","PADD 5","")))))</f>
        <v/>
      </c>
      <c r="G11568" s="6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  <c r="N11568" s="6">
        <f>IF(OR($G11568="FCC",$G11568="Hydrocracker",$G11568="Reformer"),IF(COUNTIFS($D:$D,$D11568,$A:$A,$A11568,$B:$B,$B11568,$G:$G,"CDU",$J:$J,"PLANNED")&gt;0,"tied","standalone"),"")</f>
        <v/>
      </c>
    </row>
    <row r="11569" spans="6:14">
      <c r="F11569" s="6">
        <f>IF($M11569="PADD I","PADD 1",IF($M11569="PADD II","PADD 2",IF($M11569="PADD III","PADD 3",IF($M11569="PADD IV","PADD 4",IF($M11569="PADD V","PADD 5","")))))</f>
        <v/>
      </c>
      <c r="G11569" s="6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  <c r="N11569" s="6">
        <f>IF(OR($G11569="FCC",$G11569="Hydrocracker",$G11569="Reformer"),IF(COUNTIFS($D:$D,$D11569,$A:$A,$A11569,$B:$B,$B11569,$G:$G,"CDU",$J:$J,"PLANNED")&gt;0,"tied","standalone"),"")</f>
        <v/>
      </c>
    </row>
    <row r="11570" spans="6:14">
      <c r="F11570" s="6">
        <f>IF($M11570="PADD I","PADD 1",IF($M11570="PADD II","PADD 2",IF($M11570="PADD III","PADD 3",IF($M11570="PADD IV","PADD 4",IF($M11570="PADD V","PADD 5","")))))</f>
        <v/>
      </c>
      <c r="G11570" s="6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  <c r="N11570" s="6">
        <f>IF(OR($G11570="FCC",$G11570="Hydrocracker",$G11570="Reformer"),IF(COUNTIFS($D:$D,$D11570,$A:$A,$A11570,$B:$B,$B11570,$G:$G,"CDU",$J:$J,"PLANNED")&gt;0,"tied","standalone"),"")</f>
        <v/>
      </c>
    </row>
    <row r="11571" spans="6:14">
      <c r="F11571" s="6">
        <f>IF($M11571="PADD I","PADD 1",IF($M11571="PADD II","PADD 2",IF($M11571="PADD III","PADD 3",IF($M11571="PADD IV","PADD 4",IF($M11571="PADD V","PADD 5","")))))</f>
        <v/>
      </c>
      <c r="G11571" s="6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  <c r="N11571" s="6">
        <f>IF(OR($G11571="FCC",$G11571="Hydrocracker",$G11571="Reformer"),IF(COUNTIFS($D:$D,$D11571,$A:$A,$A11571,$B:$B,$B11571,$G:$G,"CDU",$J:$J,"PLANNED")&gt;0,"tied","standalone"),"")</f>
        <v/>
      </c>
    </row>
    <row r="11572" spans="6:14">
      <c r="F11572" s="6">
        <f>IF($M11572="PADD I","PADD 1",IF($M11572="PADD II","PADD 2",IF($M11572="PADD III","PADD 3",IF($M11572="PADD IV","PADD 4",IF($M11572="PADD V","PADD 5","")))))</f>
        <v/>
      </c>
      <c r="G11572" s="6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  <c r="N11572" s="6">
        <f>IF(OR($G11572="FCC",$G11572="Hydrocracker",$G11572="Reformer"),IF(COUNTIFS($D:$D,$D11572,$A:$A,$A11572,$B:$B,$B11572,$G:$G,"CDU",$J:$J,"PLANNED")&gt;0,"tied","standalone"),"")</f>
        <v/>
      </c>
    </row>
    <row r="11573" spans="6:14">
      <c r="F11573" s="6">
        <f>IF($M11573="PADD I","PADD 1",IF($M11573="PADD II","PADD 2",IF($M11573="PADD III","PADD 3",IF($M11573="PADD IV","PADD 4",IF($M11573="PADD V","PADD 5","")))))</f>
        <v/>
      </c>
      <c r="G11573" s="6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  <c r="N11573" s="6">
        <f>IF(OR($G11573="FCC",$G11573="Hydrocracker",$G11573="Reformer"),IF(COUNTIFS($D:$D,$D11573,$A:$A,$A11573,$B:$B,$B11573,$G:$G,"CDU",$J:$J,"PLANNED")&gt;0,"tied","standalone"),"")</f>
        <v/>
      </c>
    </row>
    <row r="11574" spans="6:14">
      <c r="F11574" s="6">
        <f>IF($M11574="PADD I","PADD 1",IF($M11574="PADD II","PADD 2",IF($M11574="PADD III","PADD 3",IF($M11574="PADD IV","PADD 4",IF($M11574="PADD V","PADD 5","")))))</f>
        <v/>
      </c>
      <c r="G11574" s="6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  <c r="N11574" s="6">
        <f>IF(OR($G11574="FCC",$G11574="Hydrocracker",$G11574="Reformer"),IF(COUNTIFS($D:$D,$D11574,$A:$A,$A11574,$B:$B,$B11574,$G:$G,"CDU",$J:$J,"PLANNED")&gt;0,"tied","standalone"),"")</f>
        <v/>
      </c>
    </row>
    <row r="11575" spans="6:14">
      <c r="F11575" s="6">
        <f>IF($M11575="PADD I","PADD 1",IF($M11575="PADD II","PADD 2",IF($M11575="PADD III","PADD 3",IF($M11575="PADD IV","PADD 4",IF($M11575="PADD V","PADD 5","")))))</f>
        <v/>
      </c>
      <c r="G11575" s="6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  <c r="N11575" s="6">
        <f>IF(OR($G11575="FCC",$G11575="Hydrocracker",$G11575="Reformer"),IF(COUNTIFS($D:$D,$D11575,$A:$A,$A11575,$B:$B,$B11575,$G:$G,"CDU",$J:$J,"PLANNED")&gt;0,"tied","standalone"),"")</f>
        <v/>
      </c>
    </row>
    <row r="11576" spans="6:14">
      <c r="F11576" s="6">
        <f>IF($M11576="PADD I","PADD 1",IF($M11576="PADD II","PADD 2",IF($M11576="PADD III","PADD 3",IF($M11576="PADD IV","PADD 4",IF($M11576="PADD V","PADD 5","")))))</f>
        <v/>
      </c>
      <c r="G11576" s="6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  <c r="N11576" s="6">
        <f>IF(OR($G11576="FCC",$G11576="Hydrocracker",$G11576="Reformer"),IF(COUNTIFS($D:$D,$D11576,$A:$A,$A11576,$B:$B,$B11576,$G:$G,"CDU",$J:$J,"PLANNED")&gt;0,"tied","standalone"),"")</f>
        <v/>
      </c>
    </row>
    <row r="11577" spans="6:14">
      <c r="F11577" s="6">
        <f>IF($M11577="PADD I","PADD 1",IF($M11577="PADD II","PADD 2",IF($M11577="PADD III","PADD 3",IF($M11577="PADD IV","PADD 4",IF($M11577="PADD V","PADD 5","")))))</f>
        <v/>
      </c>
      <c r="G11577" s="6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  <c r="N11577" s="6">
        <f>IF(OR($G11577="FCC",$G11577="Hydrocracker",$G11577="Reformer"),IF(COUNTIFS($D:$D,$D11577,$A:$A,$A11577,$B:$B,$B11577,$G:$G,"CDU",$J:$J,"PLANNED")&gt;0,"tied","standalone"),"")</f>
        <v/>
      </c>
    </row>
    <row r="11578" spans="6:14">
      <c r="F11578" s="6">
        <f>IF($M11578="PADD I","PADD 1",IF($M11578="PADD II","PADD 2",IF($M11578="PADD III","PADD 3",IF($M11578="PADD IV","PADD 4",IF($M11578="PADD V","PADD 5","")))))</f>
        <v/>
      </c>
      <c r="G11578" s="6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  <c r="N11578" s="6">
        <f>IF(OR($G11578="FCC",$G11578="Hydrocracker",$G11578="Reformer"),IF(COUNTIFS($D:$D,$D11578,$A:$A,$A11578,$B:$B,$B11578,$G:$G,"CDU",$J:$J,"PLANNED")&gt;0,"tied","standalone"),"")</f>
        <v/>
      </c>
    </row>
    <row r="11579" spans="6:14">
      <c r="F11579" s="6">
        <f>IF($M11579="PADD I","PADD 1",IF($M11579="PADD II","PADD 2",IF($M11579="PADD III","PADD 3",IF($M11579="PADD IV","PADD 4",IF($M11579="PADD V","PADD 5","")))))</f>
        <v/>
      </c>
      <c r="G11579" s="6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  <c r="N11579" s="6">
        <f>IF(OR($G11579="FCC",$G11579="Hydrocracker",$G11579="Reformer"),IF(COUNTIFS($D:$D,$D11579,$A:$A,$A11579,$B:$B,$B11579,$G:$G,"CDU",$J:$J,"PLANNED")&gt;0,"tied","standalone"),"")</f>
        <v/>
      </c>
    </row>
    <row r="11580" spans="6:14">
      <c r="F11580" s="6">
        <f>IF($M11580="PADD I","PADD 1",IF($M11580="PADD II","PADD 2",IF($M11580="PADD III","PADD 3",IF($M11580="PADD IV","PADD 4",IF($M11580="PADD V","PADD 5","")))))</f>
        <v/>
      </c>
      <c r="G11580" s="6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  <c r="N11580" s="6">
        <f>IF(OR($G11580="FCC",$G11580="Hydrocracker",$G11580="Reformer"),IF(COUNTIFS($D:$D,$D11580,$A:$A,$A11580,$B:$B,$B11580,$G:$G,"CDU",$J:$J,"PLANNED")&gt;0,"tied","standalone"),"")</f>
        <v/>
      </c>
    </row>
    <row r="11581" spans="6:14">
      <c r="F11581" s="6">
        <f>IF($M11581="PADD I","PADD 1",IF($M11581="PADD II","PADD 2",IF($M11581="PADD III","PADD 3",IF($M11581="PADD IV","PADD 4",IF($M11581="PADD V","PADD 5","")))))</f>
        <v/>
      </c>
      <c r="G11581" s="6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  <c r="N11581" s="6">
        <f>IF(OR($G11581="FCC",$G11581="Hydrocracker",$G11581="Reformer"),IF(COUNTIFS($D:$D,$D11581,$A:$A,$A11581,$B:$B,$B11581,$G:$G,"CDU",$J:$J,"PLANNED")&gt;0,"tied","standalone"),"")</f>
        <v/>
      </c>
    </row>
    <row r="11582" spans="6:14">
      <c r="F11582" s="6">
        <f>IF($M11582="PADD I","PADD 1",IF($M11582="PADD II","PADD 2",IF($M11582="PADD III","PADD 3",IF($M11582="PADD IV","PADD 4",IF($M11582="PADD V","PADD 5","")))))</f>
        <v/>
      </c>
      <c r="G11582" s="6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  <c r="N11582" s="6">
        <f>IF(OR($G11582="FCC",$G11582="Hydrocracker",$G11582="Reformer"),IF(COUNTIFS($D:$D,$D11582,$A:$A,$A11582,$B:$B,$B11582,$G:$G,"CDU",$J:$J,"PLANNED")&gt;0,"tied","standalone"),"")</f>
        <v/>
      </c>
    </row>
    <row r="11583" spans="6:14">
      <c r="F11583" s="6">
        <f>IF($M11583="PADD I","PADD 1",IF($M11583="PADD II","PADD 2",IF($M11583="PADD III","PADD 3",IF($M11583="PADD IV","PADD 4",IF($M11583="PADD V","PADD 5","")))))</f>
        <v/>
      </c>
      <c r="G11583" s="6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  <c r="N11583" s="6">
        <f>IF(OR($G11583="FCC",$G11583="Hydrocracker",$G11583="Reformer"),IF(COUNTIFS($D:$D,$D11583,$A:$A,$A11583,$B:$B,$B11583,$G:$G,"CDU",$J:$J,"PLANNED")&gt;0,"tied","standalone"),"")</f>
        <v/>
      </c>
    </row>
    <row r="11584" spans="6:14">
      <c r="F11584" s="6">
        <f>IF($M11584="PADD I","PADD 1",IF($M11584="PADD II","PADD 2",IF($M11584="PADD III","PADD 3",IF($M11584="PADD IV","PADD 4",IF($M11584="PADD V","PADD 5","")))))</f>
        <v/>
      </c>
      <c r="G11584" s="6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  <c r="N11584" s="6">
        <f>IF(OR($G11584="FCC",$G11584="Hydrocracker",$G11584="Reformer"),IF(COUNTIFS($D:$D,$D11584,$A:$A,$A11584,$B:$B,$B11584,$G:$G,"CDU",$J:$J,"PLANNED")&gt;0,"tied","standalone"),"")</f>
        <v/>
      </c>
    </row>
    <row r="11585" spans="6:14">
      <c r="F11585" s="6">
        <f>IF($M11585="PADD I","PADD 1",IF($M11585="PADD II","PADD 2",IF($M11585="PADD III","PADD 3",IF($M11585="PADD IV","PADD 4",IF($M11585="PADD V","PADD 5","")))))</f>
        <v/>
      </c>
      <c r="G11585" s="6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  <c r="N11585" s="6">
        <f>IF(OR($G11585="FCC",$G11585="Hydrocracker",$G11585="Reformer"),IF(COUNTIFS($D:$D,$D11585,$A:$A,$A11585,$B:$B,$B11585,$G:$G,"CDU",$J:$J,"PLANNED")&gt;0,"tied","standalone"),"")</f>
        <v/>
      </c>
    </row>
    <row r="11586" spans="6:14">
      <c r="F11586" s="6">
        <f>IF($M11586="PADD I","PADD 1",IF($M11586="PADD II","PADD 2",IF($M11586="PADD III","PADD 3",IF($M11586="PADD IV","PADD 4",IF($M11586="PADD V","PADD 5","")))))</f>
        <v/>
      </c>
      <c r="G11586" s="6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  <c r="N11586" s="6">
        <f>IF(OR($G11586="FCC",$G11586="Hydrocracker",$G11586="Reformer"),IF(COUNTIFS($D:$D,$D11586,$A:$A,$A11586,$B:$B,$B11586,$G:$G,"CDU",$J:$J,"PLANNED")&gt;0,"tied","standalone"),"")</f>
        <v/>
      </c>
    </row>
    <row r="11587" spans="6:14">
      <c r="F11587" s="6">
        <f>IF($M11587="PADD I","PADD 1",IF($M11587="PADD II","PADD 2",IF($M11587="PADD III","PADD 3",IF($M11587="PADD IV","PADD 4",IF($M11587="PADD V","PADD 5","")))))</f>
        <v/>
      </c>
      <c r="G11587" s="6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  <c r="N11587" s="6">
        <f>IF(OR($G11587="FCC",$G11587="Hydrocracker",$G11587="Reformer"),IF(COUNTIFS($D:$D,$D11587,$A:$A,$A11587,$B:$B,$B11587,$G:$G,"CDU",$J:$J,"PLANNED")&gt;0,"tied","standalone"),"")</f>
        <v/>
      </c>
    </row>
    <row r="11588" spans="6:14">
      <c r="F11588" s="6">
        <f>IF($M11588="PADD I","PADD 1",IF($M11588="PADD II","PADD 2",IF($M11588="PADD III","PADD 3",IF($M11588="PADD IV","PADD 4",IF($M11588="PADD V","PADD 5","")))))</f>
        <v/>
      </c>
      <c r="G11588" s="6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  <c r="N11588" s="6">
        <f>IF(OR($G11588="FCC",$G11588="Hydrocracker",$G11588="Reformer"),IF(COUNTIFS($D:$D,$D11588,$A:$A,$A11588,$B:$B,$B11588,$G:$G,"CDU",$J:$J,"PLANNED")&gt;0,"tied","standalone"),"")</f>
        <v/>
      </c>
    </row>
    <row r="11589" spans="6:14">
      <c r="F11589" s="6">
        <f>IF($M11589="PADD I","PADD 1",IF($M11589="PADD II","PADD 2",IF($M11589="PADD III","PADD 3",IF($M11589="PADD IV","PADD 4",IF($M11589="PADD V","PADD 5","")))))</f>
        <v/>
      </c>
      <c r="G11589" s="6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  <c r="N11589" s="6">
        <f>IF(OR($G11589="FCC",$G11589="Hydrocracker",$G11589="Reformer"),IF(COUNTIFS($D:$D,$D11589,$A:$A,$A11589,$B:$B,$B11589,$G:$G,"CDU",$J:$J,"PLANNED")&gt;0,"tied","standalone"),"")</f>
        <v/>
      </c>
    </row>
    <row r="11590" spans="6:14">
      <c r="F11590" s="6">
        <f>IF($M11590="PADD I","PADD 1",IF($M11590="PADD II","PADD 2",IF($M11590="PADD III","PADD 3",IF($M11590="PADD IV","PADD 4",IF($M11590="PADD V","PADD 5","")))))</f>
        <v/>
      </c>
      <c r="G11590" s="6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  <c r="N11590" s="6">
        <f>IF(OR($G11590="FCC",$G11590="Hydrocracker",$G11590="Reformer"),IF(COUNTIFS($D:$D,$D11590,$A:$A,$A11590,$B:$B,$B11590,$G:$G,"CDU",$J:$J,"PLANNED")&gt;0,"tied","standalone"),"")</f>
        <v/>
      </c>
    </row>
    <row r="11591" spans="6:14">
      <c r="F11591" s="6">
        <f>IF($M11591="PADD I","PADD 1",IF($M11591="PADD II","PADD 2",IF($M11591="PADD III","PADD 3",IF($M11591="PADD IV","PADD 4",IF($M11591="PADD V","PADD 5","")))))</f>
        <v/>
      </c>
      <c r="G11591" s="6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  <c r="N11591" s="6">
        <f>IF(OR($G11591="FCC",$G11591="Hydrocracker",$G11591="Reformer"),IF(COUNTIFS($D:$D,$D11591,$A:$A,$A11591,$B:$B,$B11591,$G:$G,"CDU",$J:$J,"PLANNED")&gt;0,"tied","standalone"),"")</f>
        <v/>
      </c>
    </row>
    <row r="11592" spans="6:14">
      <c r="F11592" s="6">
        <f>IF($M11592="PADD I","PADD 1",IF($M11592="PADD II","PADD 2",IF($M11592="PADD III","PADD 3",IF($M11592="PADD IV","PADD 4",IF($M11592="PADD V","PADD 5","")))))</f>
        <v/>
      </c>
      <c r="G11592" s="6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  <c r="N11592" s="6">
        <f>IF(OR($G11592="FCC",$G11592="Hydrocracker",$G11592="Reformer"),IF(COUNTIFS($D:$D,$D11592,$A:$A,$A11592,$B:$B,$B11592,$G:$G,"CDU",$J:$J,"PLANNED")&gt;0,"tied","standalone"),"")</f>
        <v/>
      </c>
    </row>
    <row r="11593" spans="6:14">
      <c r="F11593" s="6">
        <f>IF($M11593="PADD I","PADD 1",IF($M11593="PADD II","PADD 2",IF($M11593="PADD III","PADD 3",IF($M11593="PADD IV","PADD 4",IF($M11593="PADD V","PADD 5","")))))</f>
        <v/>
      </c>
      <c r="G11593" s="6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  <c r="N11593" s="6">
        <f>IF(OR($G11593="FCC",$G11593="Hydrocracker",$G11593="Reformer"),IF(COUNTIFS($D:$D,$D11593,$A:$A,$A11593,$B:$B,$B11593,$G:$G,"CDU",$J:$J,"PLANNED")&gt;0,"tied","standalone"),"")</f>
        <v/>
      </c>
    </row>
    <row r="11594" spans="6:14">
      <c r="F11594" s="6">
        <f>IF($M11594="PADD I","PADD 1",IF($M11594="PADD II","PADD 2",IF($M11594="PADD III","PADD 3",IF($M11594="PADD IV","PADD 4",IF($M11594="PADD V","PADD 5","")))))</f>
        <v/>
      </c>
      <c r="G11594" s="6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  <c r="N11594" s="6">
        <f>IF(OR($G11594="FCC",$G11594="Hydrocracker",$G11594="Reformer"),IF(COUNTIFS($D:$D,$D11594,$A:$A,$A11594,$B:$B,$B11594,$G:$G,"CDU",$J:$J,"PLANNED")&gt;0,"tied","standalone"),"")</f>
        <v/>
      </c>
    </row>
    <row r="11595" spans="6:14">
      <c r="F11595" s="6">
        <f>IF($M11595="PADD I","PADD 1",IF($M11595="PADD II","PADD 2",IF($M11595="PADD III","PADD 3",IF($M11595="PADD IV","PADD 4",IF($M11595="PADD V","PADD 5","")))))</f>
        <v/>
      </c>
      <c r="G11595" s="6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  <c r="N11595" s="6">
        <f>IF(OR($G11595="FCC",$G11595="Hydrocracker",$G11595="Reformer"),IF(COUNTIFS($D:$D,$D11595,$A:$A,$A11595,$B:$B,$B11595,$G:$G,"CDU",$J:$J,"PLANNED")&gt;0,"tied","standalone"),"")</f>
        <v/>
      </c>
    </row>
    <row r="11596" spans="6:14">
      <c r="F11596" s="6">
        <f>IF($M11596="PADD I","PADD 1",IF($M11596="PADD II","PADD 2",IF($M11596="PADD III","PADD 3",IF($M11596="PADD IV","PADD 4",IF($M11596="PADD V","PADD 5","")))))</f>
        <v/>
      </c>
      <c r="G11596" s="6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  <c r="N11596" s="6">
        <f>IF(OR($G11596="FCC",$G11596="Hydrocracker",$G11596="Reformer"),IF(COUNTIFS($D:$D,$D11596,$A:$A,$A11596,$B:$B,$B11596,$G:$G,"CDU",$J:$J,"PLANNED")&gt;0,"tied","standalone"),"")</f>
        <v/>
      </c>
    </row>
    <row r="11597" spans="6:14">
      <c r="F11597" s="6">
        <f>IF($M11597="PADD I","PADD 1",IF($M11597="PADD II","PADD 2",IF($M11597="PADD III","PADD 3",IF($M11597="PADD IV","PADD 4",IF($M11597="PADD V","PADD 5","")))))</f>
        <v/>
      </c>
      <c r="G11597" s="6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  <c r="N11597" s="6">
        <f>IF(OR($G11597="FCC",$G11597="Hydrocracker",$G11597="Reformer"),IF(COUNTIFS($D:$D,$D11597,$A:$A,$A11597,$B:$B,$B11597,$G:$G,"CDU",$J:$J,"PLANNED")&gt;0,"tied","standalone"),"")</f>
        <v/>
      </c>
    </row>
    <row r="11598" spans="6:14">
      <c r="F11598" s="6">
        <f>IF($M11598="PADD I","PADD 1",IF($M11598="PADD II","PADD 2",IF($M11598="PADD III","PADD 3",IF($M11598="PADD IV","PADD 4",IF($M11598="PADD V","PADD 5","")))))</f>
        <v/>
      </c>
      <c r="G11598" s="6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  <c r="N11598" s="6">
        <f>IF(OR($G11598="FCC",$G11598="Hydrocracker",$G11598="Reformer"),IF(COUNTIFS($D:$D,$D11598,$A:$A,$A11598,$B:$B,$B11598,$G:$G,"CDU",$J:$J,"PLANNED")&gt;0,"tied","standalone"),"")</f>
        <v/>
      </c>
    </row>
    <row r="11599" spans="6:14">
      <c r="F11599" s="6">
        <f>IF($M11599="PADD I","PADD 1",IF($M11599="PADD II","PADD 2",IF($M11599="PADD III","PADD 3",IF($M11599="PADD IV","PADD 4",IF($M11599="PADD V","PADD 5","")))))</f>
        <v/>
      </c>
      <c r="G11599" s="6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  <c r="N11599" s="6">
        <f>IF(OR($G11599="FCC",$G11599="Hydrocracker",$G11599="Reformer"),IF(COUNTIFS($D:$D,$D11599,$A:$A,$A11599,$B:$B,$B11599,$G:$G,"CDU",$J:$J,"PLANNED")&gt;0,"tied","standalone"),"")</f>
        <v/>
      </c>
    </row>
    <row r="11600" spans="6:14">
      <c r="F11600" s="6">
        <f>IF($M11600="PADD I","PADD 1",IF($M11600="PADD II","PADD 2",IF($M11600="PADD III","PADD 3",IF($M11600="PADD IV","PADD 4",IF($M11600="PADD V","PADD 5","")))))</f>
        <v/>
      </c>
      <c r="G11600" s="6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  <c r="N11600" s="6">
        <f>IF(OR($G11600="FCC",$G11600="Hydrocracker",$G11600="Reformer"),IF(COUNTIFS($D:$D,$D11600,$A:$A,$A11600,$B:$B,$B11600,$G:$G,"CDU",$J:$J,"PLANNED")&gt;0,"tied","standalone"),"")</f>
        <v/>
      </c>
    </row>
    <row r="11601" spans="6:14">
      <c r="F11601" s="6">
        <f>IF($M11601="PADD I","PADD 1",IF($M11601="PADD II","PADD 2",IF($M11601="PADD III","PADD 3",IF($M11601="PADD IV","PADD 4",IF($M11601="PADD V","PADD 5","")))))</f>
        <v/>
      </c>
      <c r="G11601" s="6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  <c r="N11601" s="6">
        <f>IF(OR($G11601="FCC",$G11601="Hydrocracker",$G11601="Reformer"),IF(COUNTIFS($D:$D,$D11601,$A:$A,$A11601,$B:$B,$B11601,$G:$G,"CDU",$J:$J,"PLANNED")&gt;0,"tied","standalone"),"")</f>
        <v/>
      </c>
    </row>
    <row r="11602" spans="6:14">
      <c r="F11602" s="6">
        <f>IF($M11602="PADD I","PADD 1",IF($M11602="PADD II","PADD 2",IF($M11602="PADD III","PADD 3",IF($M11602="PADD IV","PADD 4",IF($M11602="PADD V","PADD 5","")))))</f>
        <v/>
      </c>
      <c r="G11602" s="6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  <c r="N11602" s="6">
        <f>IF(OR($G11602="FCC",$G11602="Hydrocracker",$G11602="Reformer"),IF(COUNTIFS($D:$D,$D11602,$A:$A,$A11602,$B:$B,$B11602,$G:$G,"CDU",$J:$J,"PLANNED")&gt;0,"tied","standalone"),"")</f>
        <v/>
      </c>
    </row>
    <row r="11603" spans="6:14">
      <c r="F11603" s="6">
        <f>IF($M11603="PADD I","PADD 1",IF($M11603="PADD II","PADD 2",IF($M11603="PADD III","PADD 3",IF($M11603="PADD IV","PADD 4",IF($M11603="PADD V","PADD 5","")))))</f>
        <v/>
      </c>
      <c r="G11603" s="6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  <c r="N11603" s="6">
        <f>IF(OR($G11603="FCC",$G11603="Hydrocracker",$G11603="Reformer"),IF(COUNTIFS($D:$D,$D11603,$A:$A,$A11603,$B:$B,$B11603,$G:$G,"CDU",$J:$J,"PLANNED")&gt;0,"tied","standalone"),"")</f>
        <v/>
      </c>
    </row>
    <row r="11604" spans="6:14">
      <c r="F11604" s="6">
        <f>IF($M11604="PADD I","PADD 1",IF($M11604="PADD II","PADD 2",IF($M11604="PADD III","PADD 3",IF($M11604="PADD IV","PADD 4",IF($M11604="PADD V","PADD 5","")))))</f>
        <v/>
      </c>
      <c r="G11604" s="6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  <c r="N11604" s="6">
        <f>IF(OR($G11604="FCC",$G11604="Hydrocracker",$G11604="Reformer"),IF(COUNTIFS($D:$D,$D11604,$A:$A,$A11604,$B:$B,$B11604,$G:$G,"CDU",$J:$J,"PLANNED")&gt;0,"tied","standalone"),"")</f>
        <v/>
      </c>
    </row>
    <row r="11605" spans="6:14">
      <c r="F11605" s="6">
        <f>IF($M11605="PADD I","PADD 1",IF($M11605="PADD II","PADD 2",IF($M11605="PADD III","PADD 3",IF($M11605="PADD IV","PADD 4",IF($M11605="PADD V","PADD 5","")))))</f>
        <v/>
      </c>
      <c r="G11605" s="6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  <c r="N11605" s="6">
        <f>IF(OR($G11605="FCC",$G11605="Hydrocracker",$G11605="Reformer"),IF(COUNTIFS($D:$D,$D11605,$A:$A,$A11605,$B:$B,$B11605,$G:$G,"CDU",$J:$J,"PLANNED")&gt;0,"tied","standalone"),"")</f>
        <v/>
      </c>
    </row>
    <row r="11606" spans="6:14">
      <c r="F11606" s="6">
        <f>IF($M11606="PADD I","PADD 1",IF($M11606="PADD II","PADD 2",IF($M11606="PADD III","PADD 3",IF($M11606="PADD IV","PADD 4",IF($M11606="PADD V","PADD 5","")))))</f>
        <v/>
      </c>
      <c r="G11606" s="6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  <c r="N11606" s="6">
        <f>IF(OR($G11606="FCC",$G11606="Hydrocracker",$G11606="Reformer"),IF(COUNTIFS($D:$D,$D11606,$A:$A,$A11606,$B:$B,$B11606,$G:$G,"CDU",$J:$J,"PLANNED")&gt;0,"tied","standalone"),"")</f>
        <v/>
      </c>
    </row>
    <row r="11607" spans="6:14">
      <c r="F11607" s="6">
        <f>IF($M11607="PADD I","PADD 1",IF($M11607="PADD II","PADD 2",IF($M11607="PADD III","PADD 3",IF($M11607="PADD IV","PADD 4",IF($M11607="PADD V","PADD 5","")))))</f>
        <v/>
      </c>
      <c r="G11607" s="6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  <c r="N11607" s="6">
        <f>IF(OR($G11607="FCC",$G11607="Hydrocracker",$G11607="Reformer"),IF(COUNTIFS($D:$D,$D11607,$A:$A,$A11607,$B:$B,$B11607,$G:$G,"CDU",$J:$J,"PLANNED")&gt;0,"tied","standalone"),"")</f>
        <v/>
      </c>
    </row>
    <row r="11608" spans="6:14">
      <c r="F11608" s="6">
        <f>IF($M11608="PADD I","PADD 1",IF($M11608="PADD II","PADD 2",IF($M11608="PADD III","PADD 3",IF($M11608="PADD IV","PADD 4",IF($M11608="PADD V","PADD 5","")))))</f>
        <v/>
      </c>
      <c r="G11608" s="6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  <c r="N11608" s="6">
        <f>IF(OR($G11608="FCC",$G11608="Hydrocracker",$G11608="Reformer"),IF(COUNTIFS($D:$D,$D11608,$A:$A,$A11608,$B:$B,$B11608,$G:$G,"CDU",$J:$J,"PLANNED")&gt;0,"tied","standalone"),"")</f>
        <v/>
      </c>
    </row>
    <row r="11609" spans="6:14">
      <c r="F11609" s="6">
        <f>IF($M11609="PADD I","PADD 1",IF($M11609="PADD II","PADD 2",IF($M11609="PADD III","PADD 3",IF($M11609="PADD IV","PADD 4",IF($M11609="PADD V","PADD 5","")))))</f>
        <v/>
      </c>
      <c r="G11609" s="6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  <c r="N11609" s="6">
        <f>IF(OR($G11609="FCC",$G11609="Hydrocracker",$G11609="Reformer"),IF(COUNTIFS($D:$D,$D11609,$A:$A,$A11609,$B:$B,$B11609,$G:$G,"CDU",$J:$J,"PLANNED")&gt;0,"tied","standalone"),"")</f>
        <v/>
      </c>
    </row>
    <row r="11610" spans="6:14">
      <c r="F11610" s="6">
        <f>IF($M11610="PADD I","PADD 1",IF($M11610="PADD II","PADD 2",IF($M11610="PADD III","PADD 3",IF($M11610="PADD IV","PADD 4",IF($M11610="PADD V","PADD 5","")))))</f>
        <v/>
      </c>
      <c r="G11610" s="6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  <c r="N11610" s="6">
        <f>IF(OR($G11610="FCC",$G11610="Hydrocracker",$G11610="Reformer"),IF(COUNTIFS($D:$D,$D11610,$A:$A,$A11610,$B:$B,$B11610,$G:$G,"CDU",$J:$J,"PLANNED")&gt;0,"tied","standalone"),"")</f>
        <v/>
      </c>
    </row>
    <row r="11611" spans="6:14">
      <c r="F11611" s="6">
        <f>IF($M11611="PADD I","PADD 1",IF($M11611="PADD II","PADD 2",IF($M11611="PADD III","PADD 3",IF($M11611="PADD IV","PADD 4",IF($M11611="PADD V","PADD 5","")))))</f>
        <v/>
      </c>
      <c r="G11611" s="6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  <c r="N11611" s="6">
        <f>IF(OR($G11611="FCC",$G11611="Hydrocracker",$G11611="Reformer"),IF(COUNTIFS($D:$D,$D11611,$A:$A,$A11611,$B:$B,$B11611,$G:$G,"CDU",$J:$J,"PLANNED")&gt;0,"tied","standalone"),"")</f>
        <v/>
      </c>
    </row>
    <row r="11612" spans="6:14">
      <c r="F11612" s="6">
        <f>IF($M11612="PADD I","PADD 1",IF($M11612="PADD II","PADD 2",IF($M11612="PADD III","PADD 3",IF($M11612="PADD IV","PADD 4",IF($M11612="PADD V","PADD 5","")))))</f>
        <v/>
      </c>
      <c r="G11612" s="6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  <c r="N11612" s="6">
        <f>IF(OR($G11612="FCC",$G11612="Hydrocracker",$G11612="Reformer"),IF(COUNTIFS($D:$D,$D11612,$A:$A,$A11612,$B:$B,$B11612,$G:$G,"CDU",$J:$J,"PLANNED")&gt;0,"tied","standalone"),"")</f>
        <v/>
      </c>
    </row>
    <row r="11613" spans="6:14">
      <c r="F11613" s="6">
        <f>IF($M11613="PADD I","PADD 1",IF($M11613="PADD II","PADD 2",IF($M11613="PADD III","PADD 3",IF($M11613="PADD IV","PADD 4",IF($M11613="PADD V","PADD 5","")))))</f>
        <v/>
      </c>
      <c r="G11613" s="6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  <c r="N11613" s="6">
        <f>IF(OR($G11613="FCC",$G11613="Hydrocracker",$G11613="Reformer"),IF(COUNTIFS($D:$D,$D11613,$A:$A,$A11613,$B:$B,$B11613,$G:$G,"CDU",$J:$J,"PLANNED")&gt;0,"tied","standalone"),"")</f>
        <v/>
      </c>
    </row>
    <row r="11614" spans="6:14">
      <c r="F11614" s="6">
        <f>IF($M11614="PADD I","PADD 1",IF($M11614="PADD II","PADD 2",IF($M11614="PADD III","PADD 3",IF($M11614="PADD IV","PADD 4",IF($M11614="PADD V","PADD 5","")))))</f>
        <v/>
      </c>
      <c r="G11614" s="6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  <c r="N11614" s="6">
        <f>IF(OR($G11614="FCC",$G11614="Hydrocracker",$G11614="Reformer"),IF(COUNTIFS($D:$D,$D11614,$A:$A,$A11614,$B:$B,$B11614,$G:$G,"CDU",$J:$J,"PLANNED")&gt;0,"tied","standalone"),"")</f>
        <v/>
      </c>
    </row>
    <row r="11615" spans="6:14">
      <c r="F11615" s="6">
        <f>IF($M11615="PADD I","PADD 1",IF($M11615="PADD II","PADD 2",IF($M11615="PADD III","PADD 3",IF($M11615="PADD IV","PADD 4",IF($M11615="PADD V","PADD 5","")))))</f>
        <v/>
      </c>
      <c r="G11615" s="6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  <c r="N11615" s="6">
        <f>IF(OR($G11615="FCC",$G11615="Hydrocracker",$G11615="Reformer"),IF(COUNTIFS($D:$D,$D11615,$A:$A,$A11615,$B:$B,$B11615,$G:$G,"CDU",$J:$J,"PLANNED")&gt;0,"tied","standalone"),"")</f>
        <v/>
      </c>
    </row>
    <row r="11616" spans="6:14">
      <c r="F11616" s="6">
        <f>IF($M11616="PADD I","PADD 1",IF($M11616="PADD II","PADD 2",IF($M11616="PADD III","PADD 3",IF($M11616="PADD IV","PADD 4",IF($M11616="PADD V","PADD 5","")))))</f>
        <v/>
      </c>
      <c r="G11616" s="6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  <c r="N11616" s="6">
        <f>IF(OR($G11616="FCC",$G11616="Hydrocracker",$G11616="Reformer"),IF(COUNTIFS($D:$D,$D11616,$A:$A,$A11616,$B:$B,$B11616,$G:$G,"CDU",$J:$J,"PLANNED")&gt;0,"tied","standalone"),"")</f>
        <v/>
      </c>
    </row>
    <row r="11617" spans="6:14">
      <c r="F11617" s="6">
        <f>IF($M11617="PADD I","PADD 1",IF($M11617="PADD II","PADD 2",IF($M11617="PADD III","PADD 3",IF($M11617="PADD IV","PADD 4",IF($M11617="PADD V","PADD 5","")))))</f>
        <v/>
      </c>
      <c r="G11617" s="6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  <c r="N11617" s="6">
        <f>IF(OR($G11617="FCC",$G11617="Hydrocracker",$G11617="Reformer"),IF(COUNTIFS($D:$D,$D11617,$A:$A,$A11617,$B:$B,$B11617,$G:$G,"CDU",$J:$J,"PLANNED")&gt;0,"tied","standalone"),"")</f>
        <v/>
      </c>
    </row>
    <row r="11618" spans="6:14">
      <c r="F11618" s="6">
        <f>IF($M11618="PADD I","PADD 1",IF($M11618="PADD II","PADD 2",IF($M11618="PADD III","PADD 3",IF($M11618="PADD IV","PADD 4",IF($M11618="PADD V","PADD 5","")))))</f>
        <v/>
      </c>
      <c r="G11618" s="6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  <c r="N11618" s="6">
        <f>IF(OR($G11618="FCC",$G11618="Hydrocracker",$G11618="Reformer"),IF(COUNTIFS($D:$D,$D11618,$A:$A,$A11618,$B:$B,$B11618,$G:$G,"CDU",$J:$J,"PLANNED")&gt;0,"tied","standalone"),"")</f>
        <v/>
      </c>
    </row>
    <row r="11619" spans="6:14">
      <c r="F11619" s="6">
        <f>IF($M11619="PADD I","PADD 1",IF($M11619="PADD II","PADD 2",IF($M11619="PADD III","PADD 3",IF($M11619="PADD IV","PADD 4",IF($M11619="PADD V","PADD 5","")))))</f>
        <v/>
      </c>
      <c r="G11619" s="6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  <c r="N11619" s="6">
        <f>IF(OR($G11619="FCC",$G11619="Hydrocracker",$G11619="Reformer"),IF(COUNTIFS($D:$D,$D11619,$A:$A,$A11619,$B:$B,$B11619,$G:$G,"CDU",$J:$J,"PLANNED")&gt;0,"tied","standalone"),"")</f>
        <v/>
      </c>
    </row>
    <row r="11620" spans="6:14">
      <c r="F11620" s="6">
        <f>IF($M11620="PADD I","PADD 1",IF($M11620="PADD II","PADD 2",IF($M11620="PADD III","PADD 3",IF($M11620="PADD IV","PADD 4",IF($M11620="PADD V","PADD 5","")))))</f>
        <v/>
      </c>
      <c r="G11620" s="6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  <c r="N11620" s="6">
        <f>IF(OR($G11620="FCC",$G11620="Hydrocracker",$G11620="Reformer"),IF(COUNTIFS($D:$D,$D11620,$A:$A,$A11620,$B:$B,$B11620,$G:$G,"CDU",$J:$J,"PLANNED")&gt;0,"tied","standalone"),"")</f>
        <v/>
      </c>
    </row>
    <row r="11621" spans="6:14">
      <c r="F11621" s="6">
        <f>IF($M11621="PADD I","PADD 1",IF($M11621="PADD II","PADD 2",IF($M11621="PADD III","PADD 3",IF($M11621="PADD IV","PADD 4",IF($M11621="PADD V","PADD 5","")))))</f>
        <v/>
      </c>
      <c r="G11621" s="6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  <c r="N11621" s="6">
        <f>IF(OR($G11621="FCC",$G11621="Hydrocracker",$G11621="Reformer"),IF(COUNTIFS($D:$D,$D11621,$A:$A,$A11621,$B:$B,$B11621,$G:$G,"CDU",$J:$J,"PLANNED")&gt;0,"tied","standalone"),"")</f>
        <v/>
      </c>
    </row>
    <row r="11622" spans="6:14">
      <c r="F11622" s="6">
        <f>IF($M11622="PADD I","PADD 1",IF($M11622="PADD II","PADD 2",IF($M11622="PADD III","PADD 3",IF($M11622="PADD IV","PADD 4",IF($M11622="PADD V","PADD 5","")))))</f>
        <v/>
      </c>
      <c r="G11622" s="6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  <c r="N11622" s="6">
        <f>IF(OR($G11622="FCC",$G11622="Hydrocracker",$G11622="Reformer"),IF(COUNTIFS($D:$D,$D11622,$A:$A,$A11622,$B:$B,$B11622,$G:$G,"CDU",$J:$J,"PLANNED")&gt;0,"tied","standalone"),"")</f>
        <v/>
      </c>
    </row>
    <row r="11623" spans="6:14">
      <c r="F11623" s="6">
        <f>IF($M11623="PADD I","PADD 1",IF($M11623="PADD II","PADD 2",IF($M11623="PADD III","PADD 3",IF($M11623="PADD IV","PADD 4",IF($M11623="PADD V","PADD 5","")))))</f>
        <v/>
      </c>
      <c r="G11623" s="6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  <c r="N11623" s="6">
        <f>IF(OR($G11623="FCC",$G11623="Hydrocracker",$G11623="Reformer"),IF(COUNTIFS($D:$D,$D11623,$A:$A,$A11623,$B:$B,$B11623,$G:$G,"CDU",$J:$J,"PLANNED")&gt;0,"tied","standalone"),"")</f>
        <v/>
      </c>
    </row>
    <row r="11624" spans="6:14">
      <c r="F11624" s="6">
        <f>IF($M11624="PADD I","PADD 1",IF($M11624="PADD II","PADD 2",IF($M11624="PADD III","PADD 3",IF($M11624="PADD IV","PADD 4",IF($M11624="PADD V","PADD 5","")))))</f>
        <v/>
      </c>
      <c r="G11624" s="6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  <c r="N11624" s="6">
        <f>IF(OR($G11624="FCC",$G11624="Hydrocracker",$G11624="Reformer"),IF(COUNTIFS($D:$D,$D11624,$A:$A,$A11624,$B:$B,$B11624,$G:$G,"CDU",$J:$J,"PLANNED")&gt;0,"tied","standalone"),"")</f>
        <v/>
      </c>
    </row>
    <row r="11625" spans="6:14">
      <c r="F11625" s="6">
        <f>IF($M11625="PADD I","PADD 1",IF($M11625="PADD II","PADD 2",IF($M11625="PADD III","PADD 3",IF($M11625="PADD IV","PADD 4",IF($M11625="PADD V","PADD 5","")))))</f>
        <v/>
      </c>
      <c r="G11625" s="6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  <c r="N11625" s="6">
        <f>IF(OR($G11625="FCC",$G11625="Hydrocracker",$G11625="Reformer"),IF(COUNTIFS($D:$D,$D11625,$A:$A,$A11625,$B:$B,$B11625,$G:$G,"CDU",$J:$J,"PLANNED")&gt;0,"tied","standalone"),"")</f>
        <v/>
      </c>
    </row>
    <row r="11626" spans="6:14">
      <c r="F11626" s="6">
        <f>IF($M11626="PADD I","PADD 1",IF($M11626="PADD II","PADD 2",IF($M11626="PADD III","PADD 3",IF($M11626="PADD IV","PADD 4",IF($M11626="PADD V","PADD 5","")))))</f>
        <v/>
      </c>
      <c r="G11626" s="6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  <c r="N11626" s="6">
        <f>IF(OR($G11626="FCC",$G11626="Hydrocracker",$G11626="Reformer"),IF(COUNTIFS($D:$D,$D11626,$A:$A,$A11626,$B:$B,$B11626,$G:$G,"CDU",$J:$J,"PLANNED")&gt;0,"tied","standalone"),"")</f>
        <v/>
      </c>
    </row>
    <row r="11627" spans="6:14">
      <c r="F11627" s="6">
        <f>IF($M11627="PADD I","PADD 1",IF($M11627="PADD II","PADD 2",IF($M11627="PADD III","PADD 3",IF($M11627="PADD IV","PADD 4",IF($M11627="PADD V","PADD 5","")))))</f>
        <v/>
      </c>
      <c r="G11627" s="6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  <c r="N11627" s="6">
        <f>IF(OR($G11627="FCC",$G11627="Hydrocracker",$G11627="Reformer"),IF(COUNTIFS($D:$D,$D11627,$A:$A,$A11627,$B:$B,$B11627,$G:$G,"CDU",$J:$J,"PLANNED")&gt;0,"tied","standalone"),"")</f>
        <v/>
      </c>
    </row>
    <row r="11628" spans="6:14">
      <c r="F11628" s="6">
        <f>IF($M11628="PADD I","PADD 1",IF($M11628="PADD II","PADD 2",IF($M11628="PADD III","PADD 3",IF($M11628="PADD IV","PADD 4",IF($M11628="PADD V","PADD 5","")))))</f>
        <v/>
      </c>
      <c r="G11628" s="6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  <c r="N11628" s="6">
        <f>IF(OR($G11628="FCC",$G11628="Hydrocracker",$G11628="Reformer"),IF(COUNTIFS($D:$D,$D11628,$A:$A,$A11628,$B:$B,$B11628,$G:$G,"CDU",$J:$J,"PLANNED")&gt;0,"tied","standalone"),"")</f>
        <v/>
      </c>
    </row>
    <row r="11629" spans="6:14">
      <c r="F11629" s="6">
        <f>IF($M11629="PADD I","PADD 1",IF($M11629="PADD II","PADD 2",IF($M11629="PADD III","PADD 3",IF($M11629="PADD IV","PADD 4",IF($M11629="PADD V","PADD 5","")))))</f>
        <v/>
      </c>
      <c r="G11629" s="6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  <c r="N11629" s="6">
        <f>IF(OR($G11629="FCC",$G11629="Hydrocracker",$G11629="Reformer"),IF(COUNTIFS($D:$D,$D11629,$A:$A,$A11629,$B:$B,$B11629,$G:$G,"CDU",$J:$J,"PLANNED")&gt;0,"tied","standalone"),"")</f>
        <v/>
      </c>
    </row>
    <row r="11630" spans="6:14">
      <c r="F11630" s="6">
        <f>IF($M11630="PADD I","PADD 1",IF($M11630="PADD II","PADD 2",IF($M11630="PADD III","PADD 3",IF($M11630="PADD IV","PADD 4",IF($M11630="PADD V","PADD 5","")))))</f>
        <v/>
      </c>
      <c r="G11630" s="6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  <c r="N11630" s="6">
        <f>IF(OR($G11630="FCC",$G11630="Hydrocracker",$G11630="Reformer"),IF(COUNTIFS($D:$D,$D11630,$A:$A,$A11630,$B:$B,$B11630,$G:$G,"CDU",$J:$J,"PLANNED")&gt;0,"tied","standalone"),"")</f>
        <v/>
      </c>
    </row>
    <row r="11631" spans="6:14">
      <c r="F11631" s="6">
        <f>IF($M11631="PADD I","PADD 1",IF($M11631="PADD II","PADD 2",IF($M11631="PADD III","PADD 3",IF($M11631="PADD IV","PADD 4",IF($M11631="PADD V","PADD 5","")))))</f>
        <v/>
      </c>
      <c r="G11631" s="6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  <c r="N11631" s="6">
        <f>IF(OR($G11631="FCC",$G11631="Hydrocracker",$G11631="Reformer"),IF(COUNTIFS($D:$D,$D11631,$A:$A,$A11631,$B:$B,$B11631,$G:$G,"CDU",$J:$J,"PLANNED")&gt;0,"tied","standalone"),"")</f>
        <v/>
      </c>
    </row>
    <row r="11632" spans="6:14">
      <c r="F11632" s="6">
        <f>IF($M11632="PADD I","PADD 1",IF($M11632="PADD II","PADD 2",IF($M11632="PADD III","PADD 3",IF($M11632="PADD IV","PADD 4",IF($M11632="PADD V","PADD 5","")))))</f>
        <v/>
      </c>
      <c r="G11632" s="6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  <c r="N11632" s="6">
        <f>IF(OR($G11632="FCC",$G11632="Hydrocracker",$G11632="Reformer"),IF(COUNTIFS($D:$D,$D11632,$A:$A,$A11632,$B:$B,$B11632,$G:$G,"CDU",$J:$J,"PLANNED")&gt;0,"tied","standalone"),"")</f>
        <v/>
      </c>
    </row>
    <row r="11633" spans="6:14">
      <c r="F11633" s="6">
        <f>IF($M11633="PADD I","PADD 1",IF($M11633="PADD II","PADD 2",IF($M11633="PADD III","PADD 3",IF($M11633="PADD IV","PADD 4",IF($M11633="PADD V","PADD 5","")))))</f>
        <v/>
      </c>
      <c r="G11633" s="6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  <c r="N11633" s="6">
        <f>IF(OR($G11633="FCC",$G11633="Hydrocracker",$G11633="Reformer"),IF(COUNTIFS($D:$D,$D11633,$A:$A,$A11633,$B:$B,$B11633,$G:$G,"CDU",$J:$J,"PLANNED")&gt;0,"tied","standalone"),"")</f>
        <v/>
      </c>
    </row>
    <row r="11634" spans="6:14">
      <c r="F11634" s="6">
        <f>IF($M11634="PADD I","PADD 1",IF($M11634="PADD II","PADD 2",IF($M11634="PADD III","PADD 3",IF($M11634="PADD IV","PADD 4",IF($M11634="PADD V","PADD 5","")))))</f>
        <v/>
      </c>
      <c r="G11634" s="6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  <c r="N11634" s="6">
        <f>IF(OR($G11634="FCC",$G11634="Hydrocracker",$G11634="Reformer"),IF(COUNTIFS($D:$D,$D11634,$A:$A,$A11634,$B:$B,$B11634,$G:$G,"CDU",$J:$J,"PLANNED")&gt;0,"tied","standalone"),"")</f>
        <v/>
      </c>
    </row>
    <row r="11635" spans="6:14">
      <c r="F11635" s="6">
        <f>IF($M11635="PADD I","PADD 1",IF($M11635="PADD II","PADD 2",IF($M11635="PADD III","PADD 3",IF($M11635="PADD IV","PADD 4",IF($M11635="PADD V","PADD 5","")))))</f>
        <v/>
      </c>
      <c r="G11635" s="6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  <c r="N11635" s="6">
        <f>IF(OR($G11635="FCC",$G11635="Hydrocracker",$G11635="Reformer"),IF(COUNTIFS($D:$D,$D11635,$A:$A,$A11635,$B:$B,$B11635,$G:$G,"CDU",$J:$J,"PLANNED")&gt;0,"tied","standalone"),"")</f>
        <v/>
      </c>
    </row>
    <row r="11636" spans="6:14">
      <c r="F11636" s="6">
        <f>IF($M11636="PADD I","PADD 1",IF($M11636="PADD II","PADD 2",IF($M11636="PADD III","PADD 3",IF($M11636="PADD IV","PADD 4",IF($M11636="PADD V","PADD 5","")))))</f>
        <v/>
      </c>
      <c r="G11636" s="6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  <c r="N11636" s="6">
        <f>IF(OR($G11636="FCC",$G11636="Hydrocracker",$G11636="Reformer"),IF(COUNTIFS($D:$D,$D11636,$A:$A,$A11636,$B:$B,$B11636,$G:$G,"CDU",$J:$J,"PLANNED")&gt;0,"tied","standalone"),"")</f>
        <v/>
      </c>
    </row>
    <row r="11637" spans="6:14">
      <c r="F11637" s="6">
        <f>IF($M11637="PADD I","PADD 1",IF($M11637="PADD II","PADD 2",IF($M11637="PADD III","PADD 3",IF($M11637="PADD IV","PADD 4",IF($M11637="PADD V","PADD 5","")))))</f>
        <v/>
      </c>
      <c r="G11637" s="6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  <c r="N11637" s="6">
        <f>IF(OR($G11637="FCC",$G11637="Hydrocracker",$G11637="Reformer"),IF(COUNTIFS($D:$D,$D11637,$A:$A,$A11637,$B:$B,$B11637,$G:$G,"CDU",$J:$J,"PLANNED")&gt;0,"tied","standalone"),"")</f>
        <v/>
      </c>
    </row>
    <row r="11638" spans="6:14">
      <c r="F11638" s="6">
        <f>IF($M11638="PADD I","PADD 1",IF($M11638="PADD II","PADD 2",IF($M11638="PADD III","PADD 3",IF($M11638="PADD IV","PADD 4",IF($M11638="PADD V","PADD 5","")))))</f>
        <v/>
      </c>
      <c r="G11638" s="6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  <c r="N11638" s="6">
        <f>IF(OR($G11638="FCC",$G11638="Hydrocracker",$G11638="Reformer"),IF(COUNTIFS($D:$D,$D11638,$A:$A,$A11638,$B:$B,$B11638,$G:$G,"CDU",$J:$J,"PLANNED")&gt;0,"tied","standalone"),"")</f>
        <v/>
      </c>
    </row>
    <row r="11639" spans="6:14">
      <c r="F11639" s="6">
        <f>IF($M11639="PADD I","PADD 1",IF($M11639="PADD II","PADD 2",IF($M11639="PADD III","PADD 3",IF($M11639="PADD IV","PADD 4",IF($M11639="PADD V","PADD 5","")))))</f>
        <v/>
      </c>
      <c r="G11639" s="6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  <c r="N11639" s="6">
        <f>IF(OR($G11639="FCC",$G11639="Hydrocracker",$G11639="Reformer"),IF(COUNTIFS($D:$D,$D11639,$A:$A,$A11639,$B:$B,$B11639,$G:$G,"CDU",$J:$J,"PLANNED")&gt;0,"tied","standalone"),"")</f>
        <v/>
      </c>
    </row>
    <row r="11640" spans="6:14">
      <c r="F11640" s="6">
        <f>IF($M11640="PADD I","PADD 1",IF($M11640="PADD II","PADD 2",IF($M11640="PADD III","PADD 3",IF($M11640="PADD IV","PADD 4",IF($M11640="PADD V","PADD 5","")))))</f>
        <v/>
      </c>
      <c r="G11640" s="6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  <c r="N11640" s="6">
        <f>IF(OR($G11640="FCC",$G11640="Hydrocracker",$G11640="Reformer"),IF(COUNTIFS($D:$D,$D11640,$A:$A,$A11640,$B:$B,$B11640,$G:$G,"CDU",$J:$J,"PLANNED")&gt;0,"tied","standalone"),"")</f>
        <v/>
      </c>
    </row>
    <row r="11641" spans="6:14">
      <c r="F11641" s="6">
        <f>IF($M11641="PADD I","PADD 1",IF($M11641="PADD II","PADD 2",IF($M11641="PADD III","PADD 3",IF($M11641="PADD IV","PADD 4",IF($M11641="PADD V","PADD 5","")))))</f>
        <v/>
      </c>
      <c r="G11641" s="6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  <c r="N11641" s="6">
        <f>IF(OR($G11641="FCC",$G11641="Hydrocracker",$G11641="Reformer"),IF(COUNTIFS($D:$D,$D11641,$A:$A,$A11641,$B:$B,$B11641,$G:$G,"CDU",$J:$J,"PLANNED")&gt;0,"tied","standalone"),"")</f>
        <v/>
      </c>
    </row>
    <row r="11642" spans="6:14">
      <c r="F11642" s="6">
        <f>IF($M11642="PADD I","PADD 1",IF($M11642="PADD II","PADD 2",IF($M11642="PADD III","PADD 3",IF($M11642="PADD IV","PADD 4",IF($M11642="PADD V","PADD 5","")))))</f>
        <v/>
      </c>
      <c r="G11642" s="6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  <c r="N11642" s="6">
        <f>IF(OR($G11642="FCC",$G11642="Hydrocracker",$G11642="Reformer"),IF(COUNTIFS($D:$D,$D11642,$A:$A,$A11642,$B:$B,$B11642,$G:$G,"CDU",$J:$J,"PLANNED")&gt;0,"tied","standalone"),"")</f>
        <v/>
      </c>
    </row>
    <row r="11643" spans="6:14">
      <c r="F11643" s="6">
        <f>IF($M11643="PADD I","PADD 1",IF($M11643="PADD II","PADD 2",IF($M11643="PADD III","PADD 3",IF($M11643="PADD IV","PADD 4",IF($M11643="PADD V","PADD 5","")))))</f>
        <v/>
      </c>
      <c r="G11643" s="6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  <c r="N11643" s="6">
        <f>IF(OR($G11643="FCC",$G11643="Hydrocracker",$G11643="Reformer"),IF(COUNTIFS($D:$D,$D11643,$A:$A,$A11643,$B:$B,$B11643,$G:$G,"CDU",$J:$J,"PLANNED")&gt;0,"tied","standalone"),"")</f>
        <v/>
      </c>
    </row>
    <row r="11644" spans="6:14">
      <c r="F11644" s="6">
        <f>IF($M11644="PADD I","PADD 1",IF($M11644="PADD II","PADD 2",IF($M11644="PADD III","PADD 3",IF($M11644="PADD IV","PADD 4",IF($M11644="PADD V","PADD 5","")))))</f>
        <v/>
      </c>
      <c r="G11644" s="6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  <c r="N11644" s="6">
        <f>IF(OR($G11644="FCC",$G11644="Hydrocracker",$G11644="Reformer"),IF(COUNTIFS($D:$D,$D11644,$A:$A,$A11644,$B:$B,$B11644,$G:$G,"CDU",$J:$J,"PLANNED")&gt;0,"tied","standalone"),"")</f>
        <v/>
      </c>
    </row>
    <row r="11645" spans="6:14">
      <c r="F11645" s="6">
        <f>IF($M11645="PADD I","PADD 1",IF($M11645="PADD II","PADD 2",IF($M11645="PADD III","PADD 3",IF($M11645="PADD IV","PADD 4",IF($M11645="PADD V","PADD 5","")))))</f>
        <v/>
      </c>
      <c r="G11645" s="6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  <c r="N11645" s="6">
        <f>IF(OR($G11645="FCC",$G11645="Hydrocracker",$G11645="Reformer"),IF(COUNTIFS($D:$D,$D11645,$A:$A,$A11645,$B:$B,$B11645,$G:$G,"CDU",$J:$J,"PLANNED")&gt;0,"tied","standalone"),"")</f>
        <v/>
      </c>
    </row>
    <row r="11646" spans="6:14">
      <c r="F11646" s="6">
        <f>IF($M11646="PADD I","PADD 1",IF($M11646="PADD II","PADD 2",IF($M11646="PADD III","PADD 3",IF($M11646="PADD IV","PADD 4",IF($M11646="PADD V","PADD 5","")))))</f>
        <v/>
      </c>
      <c r="G11646" s="6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  <c r="N11646" s="6">
        <f>IF(OR($G11646="FCC",$G11646="Hydrocracker",$G11646="Reformer"),IF(COUNTIFS($D:$D,$D11646,$A:$A,$A11646,$B:$B,$B11646,$G:$G,"CDU",$J:$J,"PLANNED")&gt;0,"tied","standalone"),"")</f>
        <v/>
      </c>
    </row>
    <row r="11647" spans="6:14">
      <c r="F11647" s="6">
        <f>IF($M11647="PADD I","PADD 1",IF($M11647="PADD II","PADD 2",IF($M11647="PADD III","PADD 3",IF($M11647="PADD IV","PADD 4",IF($M11647="PADD V","PADD 5","")))))</f>
        <v/>
      </c>
      <c r="G11647" s="6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  <c r="N11647" s="6">
        <f>IF(OR($G11647="FCC",$G11647="Hydrocracker",$G11647="Reformer"),IF(COUNTIFS($D:$D,$D11647,$A:$A,$A11647,$B:$B,$B11647,$G:$G,"CDU",$J:$J,"PLANNED")&gt;0,"tied","standalone"),"")</f>
        <v/>
      </c>
    </row>
    <row r="11648" spans="6:14">
      <c r="F11648" s="6">
        <f>IF($M11648="PADD I","PADD 1",IF($M11648="PADD II","PADD 2",IF($M11648="PADD III","PADD 3",IF($M11648="PADD IV","PADD 4",IF($M11648="PADD V","PADD 5","")))))</f>
        <v/>
      </c>
      <c r="G11648" s="6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  <c r="N11648" s="6">
        <f>IF(OR($G11648="FCC",$G11648="Hydrocracker",$G11648="Reformer"),IF(COUNTIFS($D:$D,$D11648,$A:$A,$A11648,$B:$B,$B11648,$G:$G,"CDU",$J:$J,"PLANNED")&gt;0,"tied","standalone"),"")</f>
        <v/>
      </c>
    </row>
    <row r="11649" spans="6:14">
      <c r="F11649" s="6">
        <f>IF($M11649="PADD I","PADD 1",IF($M11649="PADD II","PADD 2",IF($M11649="PADD III","PADD 3",IF($M11649="PADD IV","PADD 4",IF($M11649="PADD V","PADD 5","")))))</f>
        <v/>
      </c>
      <c r="G11649" s="6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  <c r="N11649" s="6">
        <f>IF(OR($G11649="FCC",$G11649="Hydrocracker",$G11649="Reformer"),IF(COUNTIFS($D:$D,$D11649,$A:$A,$A11649,$B:$B,$B11649,$G:$G,"CDU",$J:$J,"PLANNED")&gt;0,"tied","standalone"),"")</f>
        <v/>
      </c>
    </row>
    <row r="11650" spans="6:14">
      <c r="F11650" s="6">
        <f>IF($M11650="PADD I","PADD 1",IF($M11650="PADD II","PADD 2",IF($M11650="PADD III","PADD 3",IF($M11650="PADD IV","PADD 4",IF($M11650="PADD V","PADD 5","")))))</f>
        <v/>
      </c>
      <c r="G11650" s="6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  <c r="N11650" s="6">
        <f>IF(OR($G11650="FCC",$G11650="Hydrocracker",$G11650="Reformer"),IF(COUNTIFS($D:$D,$D11650,$A:$A,$A11650,$B:$B,$B11650,$G:$G,"CDU",$J:$J,"PLANNED")&gt;0,"tied","standalone"),"")</f>
        <v/>
      </c>
    </row>
    <row r="11651" spans="6:14">
      <c r="F11651" s="6">
        <f>IF($M11651="PADD I","PADD 1",IF($M11651="PADD II","PADD 2",IF($M11651="PADD III","PADD 3",IF($M11651="PADD IV","PADD 4",IF($M11651="PADD V","PADD 5","")))))</f>
        <v/>
      </c>
      <c r="G11651" s="6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  <c r="N11651" s="6">
        <f>IF(OR($G11651="FCC",$G11651="Hydrocracker",$G11651="Reformer"),IF(COUNTIFS($D:$D,$D11651,$A:$A,$A11651,$B:$B,$B11651,$G:$G,"CDU",$J:$J,"PLANNED")&gt;0,"tied","standalone"),"")</f>
        <v/>
      </c>
    </row>
    <row r="11652" spans="6:14">
      <c r="F11652" s="6">
        <f>IF($M11652="PADD I","PADD 1",IF($M11652="PADD II","PADD 2",IF($M11652="PADD III","PADD 3",IF($M11652="PADD IV","PADD 4",IF($M11652="PADD V","PADD 5","")))))</f>
        <v/>
      </c>
      <c r="G11652" s="6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  <c r="N11652" s="6">
        <f>IF(OR($G11652="FCC",$G11652="Hydrocracker",$G11652="Reformer"),IF(COUNTIFS($D:$D,$D11652,$A:$A,$A11652,$B:$B,$B11652,$G:$G,"CDU",$J:$J,"PLANNED")&gt;0,"tied","standalone"),"")</f>
        <v/>
      </c>
    </row>
    <row r="11653" spans="6:14">
      <c r="F11653" s="6">
        <f>IF($M11653="PADD I","PADD 1",IF($M11653="PADD II","PADD 2",IF($M11653="PADD III","PADD 3",IF($M11653="PADD IV","PADD 4",IF($M11653="PADD V","PADD 5","")))))</f>
        <v/>
      </c>
      <c r="G11653" s="6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  <c r="N11653" s="6">
        <f>IF(OR($G11653="FCC",$G11653="Hydrocracker",$G11653="Reformer"),IF(COUNTIFS($D:$D,$D11653,$A:$A,$A11653,$B:$B,$B11653,$G:$G,"CDU",$J:$J,"PLANNED")&gt;0,"tied","standalone"),"")</f>
        <v/>
      </c>
    </row>
    <row r="11654" spans="6:14">
      <c r="F11654" s="6">
        <f>IF($M11654="PADD I","PADD 1",IF($M11654="PADD II","PADD 2",IF($M11654="PADD III","PADD 3",IF($M11654="PADD IV","PADD 4",IF($M11654="PADD V","PADD 5","")))))</f>
        <v/>
      </c>
      <c r="G11654" s="6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  <c r="N11654" s="6">
        <f>IF(OR($G11654="FCC",$G11654="Hydrocracker",$G11654="Reformer"),IF(COUNTIFS($D:$D,$D11654,$A:$A,$A11654,$B:$B,$B11654,$G:$G,"CDU",$J:$J,"PLANNED")&gt;0,"tied","standalone"),"")</f>
        <v/>
      </c>
    </row>
    <row r="11655" spans="6:14">
      <c r="F11655" s="6">
        <f>IF($M11655="PADD I","PADD 1",IF($M11655="PADD II","PADD 2",IF($M11655="PADD III","PADD 3",IF($M11655="PADD IV","PADD 4",IF($M11655="PADD V","PADD 5","")))))</f>
        <v/>
      </c>
      <c r="G11655" s="6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  <c r="N11655" s="6">
        <f>IF(OR($G11655="FCC",$G11655="Hydrocracker",$G11655="Reformer"),IF(COUNTIFS($D:$D,$D11655,$A:$A,$A11655,$B:$B,$B11655,$G:$G,"CDU",$J:$J,"PLANNED")&gt;0,"tied","standalone"),"")</f>
        <v/>
      </c>
    </row>
    <row r="11656" spans="6:14">
      <c r="F11656" s="6">
        <f>IF($M11656="PADD I","PADD 1",IF($M11656="PADD II","PADD 2",IF($M11656="PADD III","PADD 3",IF($M11656="PADD IV","PADD 4",IF($M11656="PADD V","PADD 5","")))))</f>
        <v/>
      </c>
      <c r="G11656" s="6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  <c r="N11656" s="6">
        <f>IF(OR($G11656="FCC",$G11656="Hydrocracker",$G11656="Reformer"),IF(COUNTIFS($D:$D,$D11656,$A:$A,$A11656,$B:$B,$B11656,$G:$G,"CDU",$J:$J,"PLANNED")&gt;0,"tied","standalone"),"")</f>
        <v/>
      </c>
    </row>
    <row r="11657" spans="6:14">
      <c r="F11657" s="6">
        <f>IF($M11657="PADD I","PADD 1",IF($M11657="PADD II","PADD 2",IF($M11657="PADD III","PADD 3",IF($M11657="PADD IV","PADD 4",IF($M11657="PADD V","PADD 5","")))))</f>
        <v/>
      </c>
      <c r="G11657" s="6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  <c r="N11657" s="6">
        <f>IF(OR($G11657="FCC",$G11657="Hydrocracker",$G11657="Reformer"),IF(COUNTIFS($D:$D,$D11657,$A:$A,$A11657,$B:$B,$B11657,$G:$G,"CDU",$J:$J,"PLANNED")&gt;0,"tied","standalone"),"")</f>
        <v/>
      </c>
    </row>
    <row r="11658" spans="6:14">
      <c r="F11658" s="6">
        <f>IF($M11658="PADD I","PADD 1",IF($M11658="PADD II","PADD 2",IF($M11658="PADD III","PADD 3",IF($M11658="PADD IV","PADD 4",IF($M11658="PADD V","PADD 5","")))))</f>
        <v/>
      </c>
      <c r="G11658" s="6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  <c r="N11658" s="6">
        <f>IF(OR($G11658="FCC",$G11658="Hydrocracker",$G11658="Reformer"),IF(COUNTIFS($D:$D,$D11658,$A:$A,$A11658,$B:$B,$B11658,$G:$G,"CDU",$J:$J,"PLANNED")&gt;0,"tied","standalone"),"")</f>
        <v/>
      </c>
    </row>
    <row r="11659" spans="6:14">
      <c r="F11659" s="6">
        <f>IF($M11659="PADD I","PADD 1",IF($M11659="PADD II","PADD 2",IF($M11659="PADD III","PADD 3",IF($M11659="PADD IV","PADD 4",IF($M11659="PADD V","PADD 5","")))))</f>
        <v/>
      </c>
      <c r="G11659" s="6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  <c r="N11659" s="6">
        <f>IF(OR($G11659="FCC",$G11659="Hydrocracker",$G11659="Reformer"),IF(COUNTIFS($D:$D,$D11659,$A:$A,$A11659,$B:$B,$B11659,$G:$G,"CDU",$J:$J,"PLANNED")&gt;0,"tied","standalone"),"")</f>
        <v/>
      </c>
    </row>
    <row r="11660" spans="6:14">
      <c r="F11660" s="6">
        <f>IF($M11660="PADD I","PADD 1",IF($M11660="PADD II","PADD 2",IF($M11660="PADD III","PADD 3",IF($M11660="PADD IV","PADD 4",IF($M11660="PADD V","PADD 5","")))))</f>
        <v/>
      </c>
      <c r="G11660" s="6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  <c r="N11660" s="6">
        <f>IF(OR($G11660="FCC",$G11660="Hydrocracker",$G11660="Reformer"),IF(COUNTIFS($D:$D,$D11660,$A:$A,$A11660,$B:$B,$B11660,$G:$G,"CDU",$J:$J,"PLANNED")&gt;0,"tied","standalone"),"")</f>
        <v/>
      </c>
    </row>
    <row r="11661" spans="6:14">
      <c r="F11661" s="6">
        <f>IF($M11661="PADD I","PADD 1",IF($M11661="PADD II","PADD 2",IF($M11661="PADD III","PADD 3",IF($M11661="PADD IV","PADD 4",IF($M11661="PADD V","PADD 5","")))))</f>
        <v/>
      </c>
      <c r="G11661" s="6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  <c r="N11661" s="6">
        <f>IF(OR($G11661="FCC",$G11661="Hydrocracker",$G11661="Reformer"),IF(COUNTIFS($D:$D,$D11661,$A:$A,$A11661,$B:$B,$B11661,$G:$G,"CDU",$J:$J,"PLANNED")&gt;0,"tied","standalone"),"")</f>
        <v/>
      </c>
    </row>
    <row r="11662" spans="6:14">
      <c r="F11662" s="6">
        <f>IF($M11662="PADD I","PADD 1",IF($M11662="PADD II","PADD 2",IF($M11662="PADD III","PADD 3",IF($M11662="PADD IV","PADD 4",IF($M11662="PADD V","PADD 5","")))))</f>
        <v/>
      </c>
      <c r="G11662" s="6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  <c r="N11662" s="6">
        <f>IF(OR($G11662="FCC",$G11662="Hydrocracker",$G11662="Reformer"),IF(COUNTIFS($D:$D,$D11662,$A:$A,$A11662,$B:$B,$B11662,$G:$G,"CDU",$J:$J,"PLANNED")&gt;0,"tied","standalone"),"")</f>
        <v/>
      </c>
    </row>
    <row r="11663" spans="6:14">
      <c r="F11663" s="6">
        <f>IF($M11663="PADD I","PADD 1",IF($M11663="PADD II","PADD 2",IF($M11663="PADD III","PADD 3",IF($M11663="PADD IV","PADD 4",IF($M11663="PADD V","PADD 5","")))))</f>
        <v/>
      </c>
      <c r="G11663" s="6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  <c r="N11663" s="6">
        <f>IF(OR($G11663="FCC",$G11663="Hydrocracker",$G11663="Reformer"),IF(COUNTIFS($D:$D,$D11663,$A:$A,$A11663,$B:$B,$B11663,$G:$G,"CDU",$J:$J,"PLANNED")&gt;0,"tied","standalone"),"")</f>
        <v/>
      </c>
    </row>
    <row r="11664" spans="6:14">
      <c r="F11664" s="6">
        <f>IF($M11664="PADD I","PADD 1",IF($M11664="PADD II","PADD 2",IF($M11664="PADD III","PADD 3",IF($M11664="PADD IV","PADD 4",IF($M11664="PADD V","PADD 5","")))))</f>
        <v/>
      </c>
      <c r="G11664" s="6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  <c r="N11664" s="6">
        <f>IF(OR($G11664="FCC",$G11664="Hydrocracker",$G11664="Reformer"),IF(COUNTIFS($D:$D,$D11664,$A:$A,$A11664,$B:$B,$B11664,$G:$G,"CDU",$J:$J,"PLANNED")&gt;0,"tied","standalone"),"")</f>
        <v/>
      </c>
    </row>
    <row r="11665" spans="6:14">
      <c r="F11665" s="6">
        <f>IF($M11665="PADD I","PADD 1",IF($M11665="PADD II","PADD 2",IF($M11665="PADD III","PADD 3",IF($M11665="PADD IV","PADD 4",IF($M11665="PADD V","PADD 5","")))))</f>
        <v/>
      </c>
      <c r="G11665" s="6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  <c r="N11665" s="6">
        <f>IF(OR($G11665="FCC",$G11665="Hydrocracker",$G11665="Reformer"),IF(COUNTIFS($D:$D,$D11665,$A:$A,$A11665,$B:$B,$B11665,$G:$G,"CDU",$J:$J,"PLANNED")&gt;0,"tied","standalone"),"")</f>
        <v/>
      </c>
    </row>
    <row r="11666" spans="6:14">
      <c r="F11666" s="6">
        <f>IF($M11666="PADD I","PADD 1",IF($M11666="PADD II","PADD 2",IF($M11666="PADD III","PADD 3",IF($M11666="PADD IV","PADD 4",IF($M11666="PADD V","PADD 5","")))))</f>
        <v/>
      </c>
      <c r="G11666" s="6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  <c r="N11666" s="6">
        <f>IF(OR($G11666="FCC",$G11666="Hydrocracker",$G11666="Reformer"),IF(COUNTIFS($D:$D,$D11666,$A:$A,$A11666,$B:$B,$B11666,$G:$G,"CDU",$J:$J,"PLANNED")&gt;0,"tied","standalone"),"")</f>
        <v/>
      </c>
    </row>
    <row r="11667" spans="6:14">
      <c r="F11667" s="6">
        <f>IF($M11667="PADD I","PADD 1",IF($M11667="PADD II","PADD 2",IF($M11667="PADD III","PADD 3",IF($M11667="PADD IV","PADD 4",IF($M11667="PADD V","PADD 5","")))))</f>
        <v/>
      </c>
      <c r="G11667" s="6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  <c r="N11667" s="6">
        <f>IF(OR($G11667="FCC",$G11667="Hydrocracker",$G11667="Reformer"),IF(COUNTIFS($D:$D,$D11667,$A:$A,$A11667,$B:$B,$B11667,$G:$G,"CDU",$J:$J,"PLANNED")&gt;0,"tied","standalone"),"")</f>
        <v/>
      </c>
    </row>
    <row r="11668" spans="6:14">
      <c r="F11668" s="6">
        <f>IF($M11668="PADD I","PADD 1",IF($M11668="PADD II","PADD 2",IF($M11668="PADD III","PADD 3",IF($M11668="PADD IV","PADD 4",IF($M11668="PADD V","PADD 5","")))))</f>
        <v/>
      </c>
      <c r="G11668" s="6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  <c r="N11668" s="6">
        <f>IF(OR($G11668="FCC",$G11668="Hydrocracker",$G11668="Reformer"),IF(COUNTIFS($D:$D,$D11668,$A:$A,$A11668,$B:$B,$B11668,$G:$G,"CDU",$J:$J,"PLANNED")&gt;0,"tied","standalone"),"")</f>
        <v/>
      </c>
    </row>
    <row r="11669" spans="6:14">
      <c r="F11669" s="6">
        <f>IF($M11669="PADD I","PADD 1",IF($M11669="PADD II","PADD 2",IF($M11669="PADD III","PADD 3",IF($M11669="PADD IV","PADD 4",IF($M11669="PADD V","PADD 5","")))))</f>
        <v/>
      </c>
      <c r="G11669" s="6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  <c r="N11669" s="6">
        <f>IF(OR($G11669="FCC",$G11669="Hydrocracker",$G11669="Reformer"),IF(COUNTIFS($D:$D,$D11669,$A:$A,$A11669,$B:$B,$B11669,$G:$G,"CDU",$J:$J,"PLANNED")&gt;0,"tied","standalone"),"")</f>
        <v/>
      </c>
    </row>
    <row r="11670" spans="6:14">
      <c r="F11670" s="6">
        <f>IF($M11670="PADD I","PADD 1",IF($M11670="PADD II","PADD 2",IF($M11670="PADD III","PADD 3",IF($M11670="PADD IV","PADD 4",IF($M11670="PADD V","PADD 5","")))))</f>
        <v/>
      </c>
      <c r="G11670" s="6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  <c r="N11670" s="6">
        <f>IF(OR($G11670="FCC",$G11670="Hydrocracker",$G11670="Reformer"),IF(COUNTIFS($D:$D,$D11670,$A:$A,$A11670,$B:$B,$B11670,$G:$G,"CDU",$J:$J,"PLANNED")&gt;0,"tied","standalone"),"")</f>
        <v/>
      </c>
    </row>
    <row r="11671" spans="6:14">
      <c r="F11671" s="6">
        <f>IF($M11671="PADD I","PADD 1",IF($M11671="PADD II","PADD 2",IF($M11671="PADD III","PADD 3",IF($M11671="PADD IV","PADD 4",IF($M11671="PADD V","PADD 5","")))))</f>
        <v/>
      </c>
      <c r="G11671" s="6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  <c r="N11671" s="6">
        <f>IF(OR($G11671="FCC",$G11671="Hydrocracker",$G11671="Reformer"),IF(COUNTIFS($D:$D,$D11671,$A:$A,$A11671,$B:$B,$B11671,$G:$G,"CDU",$J:$J,"PLANNED")&gt;0,"tied","standalone"),"")</f>
        <v/>
      </c>
    </row>
    <row r="11672" spans="6:14">
      <c r="F11672" s="6">
        <f>IF($M11672="PADD I","PADD 1",IF($M11672="PADD II","PADD 2",IF($M11672="PADD III","PADD 3",IF($M11672="PADD IV","PADD 4",IF($M11672="PADD V","PADD 5","")))))</f>
        <v/>
      </c>
      <c r="G11672" s="6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  <c r="N11672" s="6">
        <f>IF(OR($G11672="FCC",$G11672="Hydrocracker",$G11672="Reformer"),IF(COUNTIFS($D:$D,$D11672,$A:$A,$A11672,$B:$B,$B11672,$G:$G,"CDU",$J:$J,"PLANNED")&gt;0,"tied","standalone"),"")</f>
        <v/>
      </c>
    </row>
    <row r="11673" spans="6:14">
      <c r="F11673" s="6">
        <f>IF($M11673="PADD I","PADD 1",IF($M11673="PADD II","PADD 2",IF($M11673="PADD III","PADD 3",IF($M11673="PADD IV","PADD 4",IF($M11673="PADD V","PADD 5","")))))</f>
        <v/>
      </c>
      <c r="G11673" s="6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  <c r="N11673" s="6">
        <f>IF(OR($G11673="FCC",$G11673="Hydrocracker",$G11673="Reformer"),IF(COUNTIFS($D:$D,$D11673,$A:$A,$A11673,$B:$B,$B11673,$G:$G,"CDU",$J:$J,"PLANNED")&gt;0,"tied","standalone"),"")</f>
        <v/>
      </c>
    </row>
    <row r="11674" spans="6:14">
      <c r="F11674" s="6">
        <f>IF($M11674="PADD I","PADD 1",IF($M11674="PADD II","PADD 2",IF($M11674="PADD III","PADD 3",IF($M11674="PADD IV","PADD 4",IF($M11674="PADD V","PADD 5","")))))</f>
        <v/>
      </c>
      <c r="G11674" s="6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  <c r="N11674" s="6">
        <f>IF(OR($G11674="FCC",$G11674="Hydrocracker",$G11674="Reformer"),IF(COUNTIFS($D:$D,$D11674,$A:$A,$A11674,$B:$B,$B11674,$G:$G,"CDU",$J:$J,"PLANNED")&gt;0,"tied","standalone"),"")</f>
        <v/>
      </c>
    </row>
    <row r="11675" spans="6:14">
      <c r="F11675" s="6">
        <f>IF($M11675="PADD I","PADD 1",IF($M11675="PADD II","PADD 2",IF($M11675="PADD III","PADD 3",IF($M11675="PADD IV","PADD 4",IF($M11675="PADD V","PADD 5","")))))</f>
        <v/>
      </c>
      <c r="G11675" s="6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  <c r="N11675" s="6">
        <f>IF(OR($G11675="FCC",$G11675="Hydrocracker",$G11675="Reformer"),IF(COUNTIFS($D:$D,$D11675,$A:$A,$A11675,$B:$B,$B11675,$G:$G,"CDU",$J:$J,"PLANNED")&gt;0,"tied","standalone"),"")</f>
        <v/>
      </c>
    </row>
    <row r="11676" spans="6:14">
      <c r="F11676" s="6">
        <f>IF($M11676="PADD I","PADD 1",IF($M11676="PADD II","PADD 2",IF($M11676="PADD III","PADD 3",IF($M11676="PADD IV","PADD 4",IF($M11676="PADD V","PADD 5","")))))</f>
        <v/>
      </c>
      <c r="G11676" s="6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  <c r="N11676" s="6">
        <f>IF(OR($G11676="FCC",$G11676="Hydrocracker",$G11676="Reformer"),IF(COUNTIFS($D:$D,$D11676,$A:$A,$A11676,$B:$B,$B11676,$G:$G,"CDU",$J:$J,"PLANNED")&gt;0,"tied","standalone"),"")</f>
        <v/>
      </c>
    </row>
    <row r="11677" spans="6:14">
      <c r="F11677" s="6">
        <f>IF($M11677="PADD I","PADD 1",IF($M11677="PADD II","PADD 2",IF($M11677="PADD III","PADD 3",IF($M11677="PADD IV","PADD 4",IF($M11677="PADD V","PADD 5","")))))</f>
        <v/>
      </c>
      <c r="G11677" s="6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  <c r="N11677" s="6">
        <f>IF(OR($G11677="FCC",$G11677="Hydrocracker",$G11677="Reformer"),IF(COUNTIFS($D:$D,$D11677,$A:$A,$A11677,$B:$B,$B11677,$G:$G,"CDU",$J:$J,"PLANNED")&gt;0,"tied","standalone"),"")</f>
        <v/>
      </c>
    </row>
    <row r="11678" spans="6:14">
      <c r="F11678" s="6">
        <f>IF($M11678="PADD I","PADD 1",IF($M11678="PADD II","PADD 2",IF($M11678="PADD III","PADD 3",IF($M11678="PADD IV","PADD 4",IF($M11678="PADD V","PADD 5","")))))</f>
        <v/>
      </c>
      <c r="G11678" s="6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  <c r="N11678" s="6">
        <f>IF(OR($G11678="FCC",$G11678="Hydrocracker",$G11678="Reformer"),IF(COUNTIFS($D:$D,$D11678,$A:$A,$A11678,$B:$B,$B11678,$G:$G,"CDU",$J:$J,"PLANNED")&gt;0,"tied","standalone"),"")</f>
        <v/>
      </c>
    </row>
    <row r="11679" spans="6:14">
      <c r="F11679" s="6">
        <f>IF($M11679="PADD I","PADD 1",IF($M11679="PADD II","PADD 2",IF($M11679="PADD III","PADD 3",IF($M11679="PADD IV","PADD 4",IF($M11679="PADD V","PADD 5","")))))</f>
        <v/>
      </c>
      <c r="G11679" s="6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  <c r="N11679" s="6">
        <f>IF(OR($G11679="FCC",$G11679="Hydrocracker",$G11679="Reformer"),IF(COUNTIFS($D:$D,$D11679,$A:$A,$A11679,$B:$B,$B11679,$G:$G,"CDU",$J:$J,"PLANNED")&gt;0,"tied","standalone"),"")</f>
        <v/>
      </c>
    </row>
    <row r="11680" spans="6:14">
      <c r="F11680" s="6">
        <f>IF($M11680="PADD I","PADD 1",IF($M11680="PADD II","PADD 2",IF($M11680="PADD III","PADD 3",IF($M11680="PADD IV","PADD 4",IF($M11680="PADD V","PADD 5","")))))</f>
        <v/>
      </c>
      <c r="G11680" s="6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  <c r="N11680" s="6">
        <f>IF(OR($G11680="FCC",$G11680="Hydrocracker",$G11680="Reformer"),IF(COUNTIFS($D:$D,$D11680,$A:$A,$A11680,$B:$B,$B11680,$G:$G,"CDU",$J:$J,"PLANNED")&gt;0,"tied","standalone"),"")</f>
        <v/>
      </c>
    </row>
    <row r="11681" spans="6:14">
      <c r="F11681" s="6">
        <f>IF($M11681="PADD I","PADD 1",IF($M11681="PADD II","PADD 2",IF($M11681="PADD III","PADD 3",IF($M11681="PADD IV","PADD 4",IF($M11681="PADD V","PADD 5","")))))</f>
        <v/>
      </c>
      <c r="G11681" s="6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  <c r="N11681" s="6">
        <f>IF(OR($G11681="FCC",$G11681="Hydrocracker",$G11681="Reformer"),IF(COUNTIFS($D:$D,$D11681,$A:$A,$A11681,$B:$B,$B11681,$G:$G,"CDU",$J:$J,"PLANNED")&gt;0,"tied","standalone"),"")</f>
        <v/>
      </c>
    </row>
    <row r="11682" spans="6:14">
      <c r="F11682" s="6">
        <f>IF($M11682="PADD I","PADD 1",IF($M11682="PADD II","PADD 2",IF($M11682="PADD III","PADD 3",IF($M11682="PADD IV","PADD 4",IF($M11682="PADD V","PADD 5","")))))</f>
        <v/>
      </c>
      <c r="G11682" s="6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  <c r="N11682" s="6">
        <f>IF(OR($G11682="FCC",$G11682="Hydrocracker",$G11682="Reformer"),IF(COUNTIFS($D:$D,$D11682,$A:$A,$A11682,$B:$B,$B11682,$G:$G,"CDU",$J:$J,"PLANNED")&gt;0,"tied","standalone"),"")</f>
        <v/>
      </c>
    </row>
    <row r="11683" spans="6:14">
      <c r="F11683" s="6">
        <f>IF($M11683="PADD I","PADD 1",IF($M11683="PADD II","PADD 2",IF($M11683="PADD III","PADD 3",IF($M11683="PADD IV","PADD 4",IF($M11683="PADD V","PADD 5","")))))</f>
        <v/>
      </c>
      <c r="G11683" s="6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  <c r="N11683" s="6">
        <f>IF(OR($G11683="FCC",$G11683="Hydrocracker",$G11683="Reformer"),IF(COUNTIFS($D:$D,$D11683,$A:$A,$A11683,$B:$B,$B11683,$G:$G,"CDU",$J:$J,"PLANNED")&gt;0,"tied","standalone"),"")</f>
        <v/>
      </c>
    </row>
    <row r="11684" spans="6:14">
      <c r="F11684" s="6">
        <f>IF($M11684="PADD I","PADD 1",IF($M11684="PADD II","PADD 2",IF($M11684="PADD III","PADD 3",IF($M11684="PADD IV","PADD 4",IF($M11684="PADD V","PADD 5","")))))</f>
        <v/>
      </c>
      <c r="G11684" s="6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  <c r="N11684" s="6">
        <f>IF(OR($G11684="FCC",$G11684="Hydrocracker",$G11684="Reformer"),IF(COUNTIFS($D:$D,$D11684,$A:$A,$A11684,$B:$B,$B11684,$G:$G,"CDU",$J:$J,"PLANNED")&gt;0,"tied","standalone"),"")</f>
        <v/>
      </c>
    </row>
    <row r="11685" spans="6:14">
      <c r="F11685" s="6">
        <f>IF($M11685="PADD I","PADD 1",IF($M11685="PADD II","PADD 2",IF($M11685="PADD III","PADD 3",IF($M11685="PADD IV","PADD 4",IF($M11685="PADD V","PADD 5","")))))</f>
        <v/>
      </c>
      <c r="G11685" s="6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  <c r="N11685" s="6">
        <f>IF(OR($G11685="FCC",$G11685="Hydrocracker",$G11685="Reformer"),IF(COUNTIFS($D:$D,$D11685,$A:$A,$A11685,$B:$B,$B11685,$G:$G,"CDU",$J:$J,"PLANNED")&gt;0,"tied","standalone"),"")</f>
        <v/>
      </c>
    </row>
    <row r="11686" spans="6:14">
      <c r="F11686" s="6">
        <f>IF($M11686="PADD I","PADD 1",IF($M11686="PADD II","PADD 2",IF($M11686="PADD III","PADD 3",IF($M11686="PADD IV","PADD 4",IF($M11686="PADD V","PADD 5","")))))</f>
        <v/>
      </c>
      <c r="G11686" s="6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  <c r="N11686" s="6">
        <f>IF(OR($G11686="FCC",$G11686="Hydrocracker",$G11686="Reformer"),IF(COUNTIFS($D:$D,$D11686,$A:$A,$A11686,$B:$B,$B11686,$G:$G,"CDU",$J:$J,"PLANNED")&gt;0,"tied","standalone"),"")</f>
        <v/>
      </c>
    </row>
    <row r="11687" spans="6:14">
      <c r="F11687" s="6">
        <f>IF($M11687="PADD I","PADD 1",IF($M11687="PADD II","PADD 2",IF($M11687="PADD III","PADD 3",IF($M11687="PADD IV","PADD 4",IF($M11687="PADD V","PADD 5","")))))</f>
        <v/>
      </c>
      <c r="G11687" s="6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  <c r="N11687" s="6">
        <f>IF(OR($G11687="FCC",$G11687="Hydrocracker",$G11687="Reformer"),IF(COUNTIFS($D:$D,$D11687,$A:$A,$A11687,$B:$B,$B11687,$G:$G,"CDU",$J:$J,"PLANNED")&gt;0,"tied","standalone"),"")</f>
        <v/>
      </c>
    </row>
    <row r="11688" spans="6:14">
      <c r="F11688" s="6">
        <f>IF($M11688="PADD I","PADD 1",IF($M11688="PADD II","PADD 2",IF($M11688="PADD III","PADD 3",IF($M11688="PADD IV","PADD 4",IF($M11688="PADD V","PADD 5","")))))</f>
        <v/>
      </c>
      <c r="G11688" s="6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  <c r="N11688" s="6">
        <f>IF(OR($G11688="FCC",$G11688="Hydrocracker",$G11688="Reformer"),IF(COUNTIFS($D:$D,$D11688,$A:$A,$A11688,$B:$B,$B11688,$G:$G,"CDU",$J:$J,"PLANNED")&gt;0,"tied","standalone"),"")</f>
        <v/>
      </c>
    </row>
    <row r="11689" spans="6:14">
      <c r="F11689" s="6">
        <f>IF($M11689="PADD I","PADD 1",IF($M11689="PADD II","PADD 2",IF($M11689="PADD III","PADD 3",IF($M11689="PADD IV","PADD 4",IF($M11689="PADD V","PADD 5","")))))</f>
        <v/>
      </c>
      <c r="G11689" s="6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  <c r="N11689" s="6">
        <f>IF(OR($G11689="FCC",$G11689="Hydrocracker",$G11689="Reformer"),IF(COUNTIFS($D:$D,$D11689,$A:$A,$A11689,$B:$B,$B11689,$G:$G,"CDU",$J:$J,"PLANNED")&gt;0,"tied","standalone"),"")</f>
        <v/>
      </c>
    </row>
    <row r="11690" spans="6:14">
      <c r="F11690" s="6">
        <f>IF($M11690="PADD I","PADD 1",IF($M11690="PADD II","PADD 2",IF($M11690="PADD III","PADD 3",IF($M11690="PADD IV","PADD 4",IF($M11690="PADD V","PADD 5","")))))</f>
        <v/>
      </c>
      <c r="G11690" s="6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  <c r="N11690" s="6">
        <f>IF(OR($G11690="FCC",$G11690="Hydrocracker",$G11690="Reformer"),IF(COUNTIFS($D:$D,$D11690,$A:$A,$A11690,$B:$B,$B11690,$G:$G,"CDU",$J:$J,"PLANNED")&gt;0,"tied","standalone"),"")</f>
        <v/>
      </c>
    </row>
    <row r="11691" spans="6:14">
      <c r="F11691" s="6">
        <f>IF($M11691="PADD I","PADD 1",IF($M11691="PADD II","PADD 2",IF($M11691="PADD III","PADD 3",IF($M11691="PADD IV","PADD 4",IF($M11691="PADD V","PADD 5","")))))</f>
        <v/>
      </c>
      <c r="G11691" s="6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  <c r="N11691" s="6">
        <f>IF(OR($G11691="FCC",$G11691="Hydrocracker",$G11691="Reformer"),IF(COUNTIFS($D:$D,$D11691,$A:$A,$A11691,$B:$B,$B11691,$G:$G,"CDU",$J:$J,"PLANNED")&gt;0,"tied","standalone"),"")</f>
        <v/>
      </c>
    </row>
    <row r="11692" spans="6:14">
      <c r="F11692" s="6">
        <f>IF($M11692="PADD I","PADD 1",IF($M11692="PADD II","PADD 2",IF($M11692="PADD III","PADD 3",IF($M11692="PADD IV","PADD 4",IF($M11692="PADD V","PADD 5","")))))</f>
        <v/>
      </c>
      <c r="G11692" s="6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  <c r="N11692" s="6">
        <f>IF(OR($G11692="FCC",$G11692="Hydrocracker",$G11692="Reformer"),IF(COUNTIFS($D:$D,$D11692,$A:$A,$A11692,$B:$B,$B11692,$G:$G,"CDU",$J:$J,"PLANNED")&gt;0,"tied","standalone"),"")</f>
        <v/>
      </c>
    </row>
    <row r="11693" spans="6:14">
      <c r="F11693" s="6">
        <f>IF($M11693="PADD I","PADD 1",IF($M11693="PADD II","PADD 2",IF($M11693="PADD III","PADD 3",IF($M11693="PADD IV","PADD 4",IF($M11693="PADD V","PADD 5","")))))</f>
        <v/>
      </c>
      <c r="G11693" s="6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  <c r="N11693" s="6">
        <f>IF(OR($G11693="FCC",$G11693="Hydrocracker",$G11693="Reformer"),IF(COUNTIFS($D:$D,$D11693,$A:$A,$A11693,$B:$B,$B11693,$G:$G,"CDU",$J:$J,"PLANNED")&gt;0,"tied","standalone"),"")</f>
        <v/>
      </c>
    </row>
    <row r="11694" spans="6:14">
      <c r="F11694" s="6">
        <f>IF($M11694="PADD I","PADD 1",IF($M11694="PADD II","PADD 2",IF($M11694="PADD III","PADD 3",IF($M11694="PADD IV","PADD 4",IF($M11694="PADD V","PADD 5","")))))</f>
        <v/>
      </c>
      <c r="G11694" s="6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  <c r="N11694" s="6">
        <f>IF(OR($G11694="FCC",$G11694="Hydrocracker",$G11694="Reformer"),IF(COUNTIFS($D:$D,$D11694,$A:$A,$A11694,$B:$B,$B11694,$G:$G,"CDU",$J:$J,"PLANNED")&gt;0,"tied","standalone"),"")</f>
        <v/>
      </c>
    </row>
    <row r="11695" spans="6:14">
      <c r="F11695" s="6">
        <f>IF($M11695="PADD I","PADD 1",IF($M11695="PADD II","PADD 2",IF($M11695="PADD III","PADD 3",IF($M11695="PADD IV","PADD 4",IF($M11695="PADD V","PADD 5","")))))</f>
        <v/>
      </c>
      <c r="G11695" s="6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  <c r="N11695" s="6">
        <f>IF(OR($G11695="FCC",$G11695="Hydrocracker",$G11695="Reformer"),IF(COUNTIFS($D:$D,$D11695,$A:$A,$A11695,$B:$B,$B11695,$G:$G,"CDU",$J:$J,"PLANNED")&gt;0,"tied","standalone"),"")</f>
        <v/>
      </c>
    </row>
    <row r="11696" spans="6:14">
      <c r="F11696" s="6">
        <f>IF($M11696="PADD I","PADD 1",IF($M11696="PADD II","PADD 2",IF($M11696="PADD III","PADD 3",IF($M11696="PADD IV","PADD 4",IF($M11696="PADD V","PADD 5","")))))</f>
        <v/>
      </c>
      <c r="G11696" s="6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  <c r="N11696" s="6">
        <f>IF(OR($G11696="FCC",$G11696="Hydrocracker",$G11696="Reformer"),IF(COUNTIFS($D:$D,$D11696,$A:$A,$A11696,$B:$B,$B11696,$G:$G,"CDU",$J:$J,"PLANNED")&gt;0,"tied","standalone"),"")</f>
        <v/>
      </c>
    </row>
    <row r="11697" spans="6:14">
      <c r="F11697" s="6">
        <f>IF($M11697="PADD I","PADD 1",IF($M11697="PADD II","PADD 2",IF($M11697="PADD III","PADD 3",IF($M11697="PADD IV","PADD 4",IF($M11697="PADD V","PADD 5","")))))</f>
        <v/>
      </c>
      <c r="G11697" s="6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  <c r="N11697" s="6">
        <f>IF(OR($G11697="FCC",$G11697="Hydrocracker",$G11697="Reformer"),IF(COUNTIFS($D:$D,$D11697,$A:$A,$A11697,$B:$B,$B11697,$G:$G,"CDU",$J:$J,"PLANNED")&gt;0,"tied","standalone"),"")</f>
        <v/>
      </c>
    </row>
    <row r="11698" spans="6:14">
      <c r="F11698" s="6">
        <f>IF($M11698="PADD I","PADD 1",IF($M11698="PADD II","PADD 2",IF($M11698="PADD III","PADD 3",IF($M11698="PADD IV","PADD 4",IF($M11698="PADD V","PADD 5","")))))</f>
        <v/>
      </c>
      <c r="G11698" s="6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  <c r="N11698" s="6">
        <f>IF(OR($G11698="FCC",$G11698="Hydrocracker",$G11698="Reformer"),IF(COUNTIFS($D:$D,$D11698,$A:$A,$A11698,$B:$B,$B11698,$G:$G,"CDU",$J:$J,"PLANNED")&gt;0,"tied","standalone"),"")</f>
        <v/>
      </c>
    </row>
    <row r="11699" spans="6:14">
      <c r="F11699" s="6">
        <f>IF($M11699="PADD I","PADD 1",IF($M11699="PADD II","PADD 2",IF($M11699="PADD III","PADD 3",IF($M11699="PADD IV","PADD 4",IF($M11699="PADD V","PADD 5","")))))</f>
        <v/>
      </c>
      <c r="G11699" s="6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  <c r="N11699" s="6">
        <f>IF(OR($G11699="FCC",$G11699="Hydrocracker",$G11699="Reformer"),IF(COUNTIFS($D:$D,$D11699,$A:$A,$A11699,$B:$B,$B11699,$G:$G,"CDU",$J:$J,"PLANNED")&gt;0,"tied","standalone"),"")</f>
        <v/>
      </c>
    </row>
    <row r="11700" spans="6:14">
      <c r="F11700" s="6">
        <f>IF($M11700="PADD I","PADD 1",IF($M11700="PADD II","PADD 2",IF($M11700="PADD III","PADD 3",IF($M11700="PADD IV","PADD 4",IF($M11700="PADD V","PADD 5","")))))</f>
        <v/>
      </c>
      <c r="G11700" s="6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  <c r="N11700" s="6">
        <f>IF(OR($G11700="FCC",$G11700="Hydrocracker",$G11700="Reformer"),IF(COUNTIFS($D:$D,$D11700,$A:$A,$A11700,$B:$B,$B11700,$G:$G,"CDU",$J:$J,"PLANNED")&gt;0,"tied","standalone"),"")</f>
        <v/>
      </c>
    </row>
    <row r="11701" spans="6:14">
      <c r="F11701" s="6">
        <f>IF($M11701="PADD I","PADD 1",IF($M11701="PADD II","PADD 2",IF($M11701="PADD III","PADD 3",IF($M11701="PADD IV","PADD 4",IF($M11701="PADD V","PADD 5","")))))</f>
        <v/>
      </c>
      <c r="G11701" s="6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  <c r="N11701" s="6">
        <f>IF(OR($G11701="FCC",$G11701="Hydrocracker",$G11701="Reformer"),IF(COUNTIFS($D:$D,$D11701,$A:$A,$A11701,$B:$B,$B11701,$G:$G,"CDU",$J:$J,"PLANNED")&gt;0,"tied","standalone"),"")</f>
        <v/>
      </c>
    </row>
    <row r="11702" spans="6:14">
      <c r="F11702" s="6">
        <f>IF($M11702="PADD I","PADD 1",IF($M11702="PADD II","PADD 2",IF($M11702="PADD III","PADD 3",IF($M11702="PADD IV","PADD 4",IF($M11702="PADD V","PADD 5","")))))</f>
        <v/>
      </c>
      <c r="G11702" s="6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  <c r="N11702" s="6">
        <f>IF(OR($G11702="FCC",$G11702="Hydrocracker",$G11702="Reformer"),IF(COUNTIFS($D:$D,$D11702,$A:$A,$A11702,$B:$B,$B11702,$G:$G,"CDU",$J:$J,"PLANNED")&gt;0,"tied","standalone"),"")</f>
        <v/>
      </c>
    </row>
    <row r="11703" spans="6:14">
      <c r="F11703" s="6">
        <f>IF($M11703="PADD I","PADD 1",IF($M11703="PADD II","PADD 2",IF($M11703="PADD III","PADD 3",IF($M11703="PADD IV","PADD 4",IF($M11703="PADD V","PADD 5","")))))</f>
        <v/>
      </c>
      <c r="G11703" s="6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  <c r="N11703" s="6">
        <f>IF(OR($G11703="FCC",$G11703="Hydrocracker",$G11703="Reformer"),IF(COUNTIFS($D:$D,$D11703,$A:$A,$A11703,$B:$B,$B11703,$G:$G,"CDU",$J:$J,"PLANNED")&gt;0,"tied","standalone"),"")</f>
        <v/>
      </c>
    </row>
    <row r="11704" spans="6:14">
      <c r="F11704" s="6">
        <f>IF($M11704="PADD I","PADD 1",IF($M11704="PADD II","PADD 2",IF($M11704="PADD III","PADD 3",IF($M11704="PADD IV","PADD 4",IF($M11704="PADD V","PADD 5","")))))</f>
        <v/>
      </c>
      <c r="G11704" s="6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  <c r="N11704" s="6">
        <f>IF(OR($G11704="FCC",$G11704="Hydrocracker",$G11704="Reformer"),IF(COUNTIFS($D:$D,$D11704,$A:$A,$A11704,$B:$B,$B11704,$G:$G,"CDU",$J:$J,"PLANNED")&gt;0,"tied","standalone"),"")</f>
        <v/>
      </c>
    </row>
    <row r="11705" spans="6:14">
      <c r="F11705" s="6">
        <f>IF($M11705="PADD I","PADD 1",IF($M11705="PADD II","PADD 2",IF($M11705="PADD III","PADD 3",IF($M11705="PADD IV","PADD 4",IF($M11705="PADD V","PADD 5","")))))</f>
        <v/>
      </c>
      <c r="G11705" s="6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  <c r="N11705" s="6">
        <f>IF(OR($G11705="FCC",$G11705="Hydrocracker",$G11705="Reformer"),IF(COUNTIFS($D:$D,$D11705,$A:$A,$A11705,$B:$B,$B11705,$G:$G,"CDU",$J:$J,"PLANNED")&gt;0,"tied","standalone"),"")</f>
        <v/>
      </c>
    </row>
    <row r="11706" spans="6:14">
      <c r="F11706" s="6">
        <f>IF($M11706="PADD I","PADD 1",IF($M11706="PADD II","PADD 2",IF($M11706="PADD III","PADD 3",IF($M11706="PADD IV","PADD 4",IF($M11706="PADD V","PADD 5","")))))</f>
        <v/>
      </c>
      <c r="G11706" s="6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  <c r="N11706" s="6">
        <f>IF(OR($G11706="FCC",$G11706="Hydrocracker",$G11706="Reformer"),IF(COUNTIFS($D:$D,$D11706,$A:$A,$A11706,$B:$B,$B11706,$G:$G,"CDU",$J:$J,"PLANNED")&gt;0,"tied","standalone"),"")</f>
        <v/>
      </c>
    </row>
    <row r="11707" spans="6:14">
      <c r="F11707" s="6">
        <f>IF($M11707="PADD I","PADD 1",IF($M11707="PADD II","PADD 2",IF($M11707="PADD III","PADD 3",IF($M11707="PADD IV","PADD 4",IF($M11707="PADD V","PADD 5","")))))</f>
        <v/>
      </c>
      <c r="G11707" s="6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  <c r="N11707" s="6">
        <f>IF(OR($G11707="FCC",$G11707="Hydrocracker",$G11707="Reformer"),IF(COUNTIFS($D:$D,$D11707,$A:$A,$A11707,$B:$B,$B11707,$G:$G,"CDU",$J:$J,"PLANNED")&gt;0,"tied","standalone"),"")</f>
        <v/>
      </c>
    </row>
    <row r="11708" spans="6:14">
      <c r="F11708" s="6">
        <f>IF($M11708="PADD I","PADD 1",IF($M11708="PADD II","PADD 2",IF($M11708="PADD III","PADD 3",IF($M11708="PADD IV","PADD 4",IF($M11708="PADD V","PADD 5","")))))</f>
        <v/>
      </c>
      <c r="G11708" s="6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  <c r="N11708" s="6">
        <f>IF(OR($G11708="FCC",$G11708="Hydrocracker",$G11708="Reformer"),IF(COUNTIFS($D:$D,$D11708,$A:$A,$A11708,$B:$B,$B11708,$G:$G,"CDU",$J:$J,"PLANNED")&gt;0,"tied","standalone"),"")</f>
        <v/>
      </c>
    </row>
    <row r="11709" spans="6:14">
      <c r="F11709" s="6">
        <f>IF($M11709="PADD I","PADD 1",IF($M11709="PADD II","PADD 2",IF($M11709="PADD III","PADD 3",IF($M11709="PADD IV","PADD 4",IF($M11709="PADD V","PADD 5","")))))</f>
        <v/>
      </c>
      <c r="G11709" s="6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  <c r="N11709" s="6">
        <f>IF(OR($G11709="FCC",$G11709="Hydrocracker",$G11709="Reformer"),IF(COUNTIFS($D:$D,$D11709,$A:$A,$A11709,$B:$B,$B11709,$G:$G,"CDU",$J:$J,"PLANNED")&gt;0,"tied","standalone"),"")</f>
        <v/>
      </c>
    </row>
    <row r="11710" spans="6:14">
      <c r="F11710" s="6">
        <f>IF($M11710="PADD I","PADD 1",IF($M11710="PADD II","PADD 2",IF($M11710="PADD III","PADD 3",IF($M11710="PADD IV","PADD 4",IF($M11710="PADD V","PADD 5","")))))</f>
        <v/>
      </c>
      <c r="G11710" s="6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  <c r="N11710" s="6">
        <f>IF(OR($G11710="FCC",$G11710="Hydrocracker",$G11710="Reformer"),IF(COUNTIFS($D:$D,$D11710,$A:$A,$A11710,$B:$B,$B11710,$G:$G,"CDU",$J:$J,"PLANNED")&gt;0,"tied","standalone"),"")</f>
        <v/>
      </c>
    </row>
    <row r="11711" spans="6:14">
      <c r="F11711" s="6">
        <f>IF($M11711="PADD I","PADD 1",IF($M11711="PADD II","PADD 2",IF($M11711="PADD III","PADD 3",IF($M11711="PADD IV","PADD 4",IF($M11711="PADD V","PADD 5","")))))</f>
        <v/>
      </c>
      <c r="G11711" s="6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  <c r="N11711" s="6">
        <f>IF(OR($G11711="FCC",$G11711="Hydrocracker",$G11711="Reformer"),IF(COUNTIFS($D:$D,$D11711,$A:$A,$A11711,$B:$B,$B11711,$G:$G,"CDU",$J:$J,"PLANNED")&gt;0,"tied","standalone"),"")</f>
        <v/>
      </c>
    </row>
    <row r="11712" spans="6:14">
      <c r="F11712" s="6">
        <f>IF($M11712="PADD I","PADD 1",IF($M11712="PADD II","PADD 2",IF($M11712="PADD III","PADD 3",IF($M11712="PADD IV","PADD 4",IF($M11712="PADD V","PADD 5","")))))</f>
        <v/>
      </c>
      <c r="G11712" s="6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  <c r="N11712" s="6">
        <f>IF(OR($G11712="FCC",$G11712="Hydrocracker",$G11712="Reformer"),IF(COUNTIFS($D:$D,$D11712,$A:$A,$A11712,$B:$B,$B11712,$G:$G,"CDU",$J:$J,"PLANNED")&gt;0,"tied","standalone"),"")</f>
        <v/>
      </c>
    </row>
    <row r="11713" spans="6:14">
      <c r="F11713" s="6">
        <f>IF($M11713="PADD I","PADD 1",IF($M11713="PADD II","PADD 2",IF($M11713="PADD III","PADD 3",IF($M11713="PADD IV","PADD 4",IF($M11713="PADD V","PADD 5","")))))</f>
        <v/>
      </c>
      <c r="G11713" s="6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  <c r="N11713" s="6">
        <f>IF(OR($G11713="FCC",$G11713="Hydrocracker",$G11713="Reformer"),IF(COUNTIFS($D:$D,$D11713,$A:$A,$A11713,$B:$B,$B11713,$G:$G,"CDU",$J:$J,"PLANNED")&gt;0,"tied","standalone"),"")</f>
        <v/>
      </c>
    </row>
    <row r="11714" spans="6:14">
      <c r="F11714" s="6">
        <f>IF($M11714="PADD I","PADD 1",IF($M11714="PADD II","PADD 2",IF($M11714="PADD III","PADD 3",IF($M11714="PADD IV","PADD 4",IF($M11714="PADD V","PADD 5","")))))</f>
        <v/>
      </c>
      <c r="G11714" s="6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  <c r="N11714" s="6">
        <f>IF(OR($G11714="FCC",$G11714="Hydrocracker",$G11714="Reformer"),IF(COUNTIFS($D:$D,$D11714,$A:$A,$A11714,$B:$B,$B11714,$G:$G,"CDU",$J:$J,"PLANNED")&gt;0,"tied","standalone"),"")</f>
        <v/>
      </c>
    </row>
    <row r="11715" spans="6:14">
      <c r="F11715" s="6">
        <f>IF($M11715="PADD I","PADD 1",IF($M11715="PADD II","PADD 2",IF($M11715="PADD III","PADD 3",IF($M11715="PADD IV","PADD 4",IF($M11715="PADD V","PADD 5","")))))</f>
        <v/>
      </c>
      <c r="G11715" s="6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  <c r="N11715" s="6">
        <f>IF(OR($G11715="FCC",$G11715="Hydrocracker",$G11715="Reformer"),IF(COUNTIFS($D:$D,$D11715,$A:$A,$A11715,$B:$B,$B11715,$G:$G,"CDU",$J:$J,"PLANNED")&gt;0,"tied","standalone"),"")</f>
        <v/>
      </c>
    </row>
    <row r="11716" spans="6:14">
      <c r="F11716" s="6">
        <f>IF($M11716="PADD I","PADD 1",IF($M11716="PADD II","PADD 2",IF($M11716="PADD III","PADD 3",IF($M11716="PADD IV","PADD 4",IF($M11716="PADD V","PADD 5","")))))</f>
        <v/>
      </c>
      <c r="G11716" s="6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  <c r="N11716" s="6">
        <f>IF(OR($G11716="FCC",$G11716="Hydrocracker",$G11716="Reformer"),IF(COUNTIFS($D:$D,$D11716,$A:$A,$A11716,$B:$B,$B11716,$G:$G,"CDU",$J:$J,"PLANNED")&gt;0,"tied","standalone"),"")</f>
        <v/>
      </c>
    </row>
    <row r="11717" spans="6:14">
      <c r="F11717" s="6">
        <f>IF($M11717="PADD I","PADD 1",IF($M11717="PADD II","PADD 2",IF($M11717="PADD III","PADD 3",IF($M11717="PADD IV","PADD 4",IF($M11717="PADD V","PADD 5","")))))</f>
        <v/>
      </c>
      <c r="G11717" s="6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  <c r="N11717" s="6">
        <f>IF(OR($G11717="FCC",$G11717="Hydrocracker",$G11717="Reformer"),IF(COUNTIFS($D:$D,$D11717,$A:$A,$A11717,$B:$B,$B11717,$G:$G,"CDU",$J:$J,"PLANNED")&gt;0,"tied","standalone"),"")</f>
        <v/>
      </c>
    </row>
    <row r="11718" spans="6:14">
      <c r="F11718" s="6">
        <f>IF($M11718="PADD I","PADD 1",IF($M11718="PADD II","PADD 2",IF($M11718="PADD III","PADD 3",IF($M11718="PADD IV","PADD 4",IF($M11718="PADD V","PADD 5","")))))</f>
        <v/>
      </c>
      <c r="G11718" s="6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  <c r="N11718" s="6">
        <f>IF(OR($G11718="FCC",$G11718="Hydrocracker",$G11718="Reformer"),IF(COUNTIFS($D:$D,$D11718,$A:$A,$A11718,$B:$B,$B11718,$G:$G,"CDU",$J:$J,"PLANNED")&gt;0,"tied","standalone"),"")</f>
        <v/>
      </c>
    </row>
    <row r="11719" spans="6:14">
      <c r="F11719" s="6">
        <f>IF($M11719="PADD I","PADD 1",IF($M11719="PADD II","PADD 2",IF($M11719="PADD III","PADD 3",IF($M11719="PADD IV","PADD 4",IF($M11719="PADD V","PADD 5","")))))</f>
        <v/>
      </c>
      <c r="G11719" s="6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  <c r="N11719" s="6">
        <f>IF(OR($G11719="FCC",$G11719="Hydrocracker",$G11719="Reformer"),IF(COUNTIFS($D:$D,$D11719,$A:$A,$A11719,$B:$B,$B11719,$G:$G,"CDU",$J:$J,"PLANNED")&gt;0,"tied","standalone"),"")</f>
        <v/>
      </c>
    </row>
    <row r="11720" spans="6:14">
      <c r="F11720" s="6">
        <f>IF($M11720="PADD I","PADD 1",IF($M11720="PADD II","PADD 2",IF($M11720="PADD III","PADD 3",IF($M11720="PADD IV","PADD 4",IF($M11720="PADD V","PADD 5","")))))</f>
        <v/>
      </c>
      <c r="G11720" s="6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  <c r="N11720" s="6">
        <f>IF(OR($G11720="FCC",$G11720="Hydrocracker",$G11720="Reformer"),IF(COUNTIFS($D:$D,$D11720,$A:$A,$A11720,$B:$B,$B11720,$G:$G,"CDU",$J:$J,"PLANNED")&gt;0,"tied","standalone"),"")</f>
        <v/>
      </c>
    </row>
    <row r="11721" spans="6:14">
      <c r="F11721" s="6">
        <f>IF($M11721="PADD I","PADD 1",IF($M11721="PADD II","PADD 2",IF($M11721="PADD III","PADD 3",IF($M11721="PADD IV","PADD 4",IF($M11721="PADD V","PADD 5","")))))</f>
        <v/>
      </c>
      <c r="G11721" s="6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  <c r="N11721" s="6">
        <f>IF(OR($G11721="FCC",$G11721="Hydrocracker",$G11721="Reformer"),IF(COUNTIFS($D:$D,$D11721,$A:$A,$A11721,$B:$B,$B11721,$G:$G,"CDU",$J:$J,"PLANNED")&gt;0,"tied","standalone"),"")</f>
        <v/>
      </c>
    </row>
    <row r="11722" spans="6:14">
      <c r="F11722" s="6">
        <f>IF($M11722="PADD I","PADD 1",IF($M11722="PADD II","PADD 2",IF($M11722="PADD III","PADD 3",IF($M11722="PADD IV","PADD 4",IF($M11722="PADD V","PADD 5","")))))</f>
        <v/>
      </c>
      <c r="G11722" s="6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  <c r="N11722" s="6">
        <f>IF(OR($G11722="FCC",$G11722="Hydrocracker",$G11722="Reformer"),IF(COUNTIFS($D:$D,$D11722,$A:$A,$A11722,$B:$B,$B11722,$G:$G,"CDU",$J:$J,"PLANNED")&gt;0,"tied","standalone"),"")</f>
        <v/>
      </c>
    </row>
    <row r="11723" spans="6:14">
      <c r="F11723" s="6">
        <f>IF($M11723="PADD I","PADD 1",IF($M11723="PADD II","PADD 2",IF($M11723="PADD III","PADD 3",IF($M11723="PADD IV","PADD 4",IF($M11723="PADD V","PADD 5","")))))</f>
        <v/>
      </c>
      <c r="G11723" s="6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  <c r="N11723" s="6">
        <f>IF(OR($G11723="FCC",$G11723="Hydrocracker",$G11723="Reformer"),IF(COUNTIFS($D:$D,$D11723,$A:$A,$A11723,$B:$B,$B11723,$G:$G,"CDU",$J:$J,"PLANNED")&gt;0,"tied","standalone"),"")</f>
        <v/>
      </c>
    </row>
    <row r="11724" spans="6:14">
      <c r="F11724" s="6">
        <f>IF($M11724="PADD I","PADD 1",IF($M11724="PADD II","PADD 2",IF($M11724="PADD III","PADD 3",IF($M11724="PADD IV","PADD 4",IF($M11724="PADD V","PADD 5","")))))</f>
        <v/>
      </c>
      <c r="G11724" s="6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  <c r="N11724" s="6">
        <f>IF(OR($G11724="FCC",$G11724="Hydrocracker",$G11724="Reformer"),IF(COUNTIFS($D:$D,$D11724,$A:$A,$A11724,$B:$B,$B11724,$G:$G,"CDU",$J:$J,"PLANNED")&gt;0,"tied","standalone"),"")</f>
        <v/>
      </c>
    </row>
    <row r="11725" spans="6:14">
      <c r="F11725" s="6">
        <f>IF($M11725="PADD I","PADD 1",IF($M11725="PADD II","PADD 2",IF($M11725="PADD III","PADD 3",IF($M11725="PADD IV","PADD 4",IF($M11725="PADD V","PADD 5","")))))</f>
        <v/>
      </c>
      <c r="G11725" s="6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  <c r="N11725" s="6">
        <f>IF(OR($G11725="FCC",$G11725="Hydrocracker",$G11725="Reformer"),IF(COUNTIFS($D:$D,$D11725,$A:$A,$A11725,$B:$B,$B11725,$G:$G,"CDU",$J:$J,"PLANNED")&gt;0,"tied","standalone"),"")</f>
        <v/>
      </c>
    </row>
    <row r="11726" spans="6:14">
      <c r="F11726" s="6">
        <f>IF($M11726="PADD I","PADD 1",IF($M11726="PADD II","PADD 2",IF($M11726="PADD III","PADD 3",IF($M11726="PADD IV","PADD 4",IF($M11726="PADD V","PADD 5","")))))</f>
        <v/>
      </c>
      <c r="G11726" s="6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  <c r="N11726" s="6">
        <f>IF(OR($G11726="FCC",$G11726="Hydrocracker",$G11726="Reformer"),IF(COUNTIFS($D:$D,$D11726,$A:$A,$A11726,$B:$B,$B11726,$G:$G,"CDU",$J:$J,"PLANNED")&gt;0,"tied","standalone"),"")</f>
        <v/>
      </c>
    </row>
    <row r="11727" spans="6:14">
      <c r="F11727" s="6">
        <f>IF($M11727="PADD I","PADD 1",IF($M11727="PADD II","PADD 2",IF($M11727="PADD III","PADD 3",IF($M11727="PADD IV","PADD 4",IF($M11727="PADD V","PADD 5","")))))</f>
        <v/>
      </c>
      <c r="G11727" s="6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  <c r="N11727" s="6">
        <f>IF(OR($G11727="FCC",$G11727="Hydrocracker",$G11727="Reformer"),IF(COUNTIFS($D:$D,$D11727,$A:$A,$A11727,$B:$B,$B11727,$G:$G,"CDU",$J:$J,"PLANNED")&gt;0,"tied","standalone"),"")</f>
        <v/>
      </c>
    </row>
    <row r="11728" spans="6:14">
      <c r="F11728" s="6">
        <f>IF($M11728="PADD I","PADD 1",IF($M11728="PADD II","PADD 2",IF($M11728="PADD III","PADD 3",IF($M11728="PADD IV","PADD 4",IF($M11728="PADD V","PADD 5","")))))</f>
        <v/>
      </c>
      <c r="G11728" s="6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  <c r="N11728" s="6">
        <f>IF(OR($G11728="FCC",$G11728="Hydrocracker",$G11728="Reformer"),IF(COUNTIFS($D:$D,$D11728,$A:$A,$A11728,$B:$B,$B11728,$G:$G,"CDU",$J:$J,"PLANNED")&gt;0,"tied","standalone"),"")</f>
        <v/>
      </c>
    </row>
    <row r="11729" spans="6:14">
      <c r="F11729" s="6">
        <f>IF($M11729="PADD I","PADD 1",IF($M11729="PADD II","PADD 2",IF($M11729="PADD III","PADD 3",IF($M11729="PADD IV","PADD 4",IF($M11729="PADD V","PADD 5","")))))</f>
        <v/>
      </c>
      <c r="G11729" s="6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  <c r="N11729" s="6">
        <f>IF(OR($G11729="FCC",$G11729="Hydrocracker",$G11729="Reformer"),IF(COUNTIFS($D:$D,$D11729,$A:$A,$A11729,$B:$B,$B11729,$G:$G,"CDU",$J:$J,"PLANNED")&gt;0,"tied","standalone"),"")</f>
        <v/>
      </c>
    </row>
    <row r="11730" spans="6:14">
      <c r="F11730" s="6">
        <f>IF($M11730="PADD I","PADD 1",IF($M11730="PADD II","PADD 2",IF($M11730="PADD III","PADD 3",IF($M11730="PADD IV","PADD 4",IF($M11730="PADD V","PADD 5","")))))</f>
        <v/>
      </c>
      <c r="G11730" s="6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  <c r="N11730" s="6">
        <f>IF(OR($G11730="FCC",$G11730="Hydrocracker",$G11730="Reformer"),IF(COUNTIFS($D:$D,$D11730,$A:$A,$A11730,$B:$B,$B11730,$G:$G,"CDU",$J:$J,"PLANNED")&gt;0,"tied","standalone"),"")</f>
        <v/>
      </c>
    </row>
    <row r="11731" spans="6:14">
      <c r="F11731" s="6">
        <f>IF($M11731="PADD I","PADD 1",IF($M11731="PADD II","PADD 2",IF($M11731="PADD III","PADD 3",IF($M11731="PADD IV","PADD 4",IF($M11731="PADD V","PADD 5","")))))</f>
        <v/>
      </c>
      <c r="G11731" s="6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  <c r="N11731" s="6">
        <f>IF(OR($G11731="FCC",$G11731="Hydrocracker",$G11731="Reformer"),IF(COUNTIFS($D:$D,$D11731,$A:$A,$A11731,$B:$B,$B11731,$G:$G,"CDU",$J:$J,"PLANNED")&gt;0,"tied","standalone"),"")</f>
        <v/>
      </c>
    </row>
    <row r="11732" spans="6:14">
      <c r="F11732" s="6">
        <f>IF($M11732="PADD I","PADD 1",IF($M11732="PADD II","PADD 2",IF($M11732="PADD III","PADD 3",IF($M11732="PADD IV","PADD 4",IF($M11732="PADD V","PADD 5","")))))</f>
        <v/>
      </c>
      <c r="G11732" s="6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  <c r="N11732" s="6">
        <f>IF(OR($G11732="FCC",$G11732="Hydrocracker",$G11732="Reformer"),IF(COUNTIFS($D:$D,$D11732,$A:$A,$A11732,$B:$B,$B11732,$G:$G,"CDU",$J:$J,"PLANNED")&gt;0,"tied","standalone"),"")</f>
        <v/>
      </c>
    </row>
    <row r="11733" spans="6:14">
      <c r="F11733" s="6">
        <f>IF($M11733="PADD I","PADD 1",IF($M11733="PADD II","PADD 2",IF($M11733="PADD III","PADD 3",IF($M11733="PADD IV","PADD 4",IF($M11733="PADD V","PADD 5","")))))</f>
        <v/>
      </c>
      <c r="G11733" s="6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  <c r="N11733" s="6">
        <f>IF(OR($G11733="FCC",$G11733="Hydrocracker",$G11733="Reformer"),IF(COUNTIFS($D:$D,$D11733,$A:$A,$A11733,$B:$B,$B11733,$G:$G,"CDU",$J:$J,"PLANNED")&gt;0,"tied","standalone"),"")</f>
        <v/>
      </c>
    </row>
    <row r="11734" spans="6:14">
      <c r="F11734" s="6">
        <f>IF($M11734="PADD I","PADD 1",IF($M11734="PADD II","PADD 2",IF($M11734="PADD III","PADD 3",IF($M11734="PADD IV","PADD 4",IF($M11734="PADD V","PADD 5","")))))</f>
        <v/>
      </c>
      <c r="G11734" s="6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  <c r="N11734" s="6">
        <f>IF(OR($G11734="FCC",$G11734="Hydrocracker",$G11734="Reformer"),IF(COUNTIFS($D:$D,$D11734,$A:$A,$A11734,$B:$B,$B11734,$G:$G,"CDU",$J:$J,"PLANNED")&gt;0,"tied","standalone"),"")</f>
        <v/>
      </c>
    </row>
    <row r="11735" spans="6:14">
      <c r="F11735" s="6">
        <f>IF($M11735="PADD I","PADD 1",IF($M11735="PADD II","PADD 2",IF($M11735="PADD III","PADD 3",IF($M11735="PADD IV","PADD 4",IF($M11735="PADD V","PADD 5","")))))</f>
        <v/>
      </c>
      <c r="G11735" s="6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  <c r="N11735" s="6">
        <f>IF(OR($G11735="FCC",$G11735="Hydrocracker",$G11735="Reformer"),IF(COUNTIFS($D:$D,$D11735,$A:$A,$A11735,$B:$B,$B11735,$G:$G,"CDU",$J:$J,"PLANNED")&gt;0,"tied","standalone"),"")</f>
        <v/>
      </c>
    </row>
    <row r="11736" spans="6:14">
      <c r="F11736" s="6">
        <f>IF($M11736="PADD I","PADD 1",IF($M11736="PADD II","PADD 2",IF($M11736="PADD III","PADD 3",IF($M11736="PADD IV","PADD 4",IF($M11736="PADD V","PADD 5","")))))</f>
        <v/>
      </c>
      <c r="G11736" s="6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  <c r="N11736" s="6">
        <f>IF(OR($G11736="FCC",$G11736="Hydrocracker",$G11736="Reformer"),IF(COUNTIFS($D:$D,$D11736,$A:$A,$A11736,$B:$B,$B11736,$G:$G,"CDU",$J:$J,"PLANNED")&gt;0,"tied","standalone"),"")</f>
        <v/>
      </c>
    </row>
    <row r="11737" spans="6:14">
      <c r="F11737" s="6">
        <f>IF($M11737="PADD I","PADD 1",IF($M11737="PADD II","PADD 2",IF($M11737="PADD III","PADD 3",IF($M11737="PADD IV","PADD 4",IF($M11737="PADD V","PADD 5","")))))</f>
        <v/>
      </c>
      <c r="G11737" s="6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  <c r="N11737" s="6">
        <f>IF(OR($G11737="FCC",$G11737="Hydrocracker",$G11737="Reformer"),IF(COUNTIFS($D:$D,$D11737,$A:$A,$A11737,$B:$B,$B11737,$G:$G,"CDU",$J:$J,"PLANNED")&gt;0,"tied","standalone"),"")</f>
        <v/>
      </c>
    </row>
    <row r="11738" spans="6:14">
      <c r="F11738" s="6">
        <f>IF($M11738="PADD I","PADD 1",IF($M11738="PADD II","PADD 2",IF($M11738="PADD III","PADD 3",IF($M11738="PADD IV","PADD 4",IF($M11738="PADD V","PADD 5","")))))</f>
        <v/>
      </c>
      <c r="G11738" s="6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  <c r="N11738" s="6">
        <f>IF(OR($G11738="FCC",$G11738="Hydrocracker",$G11738="Reformer"),IF(COUNTIFS($D:$D,$D11738,$A:$A,$A11738,$B:$B,$B11738,$G:$G,"CDU",$J:$J,"PLANNED")&gt;0,"tied","standalone"),"")</f>
        <v/>
      </c>
    </row>
    <row r="11739" spans="6:14">
      <c r="F11739" s="6">
        <f>IF($M11739="PADD I","PADD 1",IF($M11739="PADD II","PADD 2",IF($M11739="PADD III","PADD 3",IF($M11739="PADD IV","PADD 4",IF($M11739="PADD V","PADD 5","")))))</f>
        <v/>
      </c>
      <c r="G11739" s="6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  <c r="N11739" s="6">
        <f>IF(OR($G11739="FCC",$G11739="Hydrocracker",$G11739="Reformer"),IF(COUNTIFS($D:$D,$D11739,$A:$A,$A11739,$B:$B,$B11739,$G:$G,"CDU",$J:$J,"PLANNED")&gt;0,"tied","standalone"),"")</f>
        <v/>
      </c>
    </row>
    <row r="11740" spans="6:14">
      <c r="F11740" s="6">
        <f>IF($M11740="PADD I","PADD 1",IF($M11740="PADD II","PADD 2",IF($M11740="PADD III","PADD 3",IF($M11740="PADD IV","PADD 4",IF($M11740="PADD V","PADD 5","")))))</f>
        <v/>
      </c>
      <c r="G11740" s="6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  <c r="N11740" s="6">
        <f>IF(OR($G11740="FCC",$G11740="Hydrocracker",$G11740="Reformer"),IF(COUNTIFS($D:$D,$D11740,$A:$A,$A11740,$B:$B,$B11740,$G:$G,"CDU",$J:$J,"PLANNED")&gt;0,"tied","standalone"),"")</f>
        <v/>
      </c>
    </row>
    <row r="11741" spans="6:14">
      <c r="F11741" s="6">
        <f>IF($M11741="PADD I","PADD 1",IF($M11741="PADD II","PADD 2",IF($M11741="PADD III","PADD 3",IF($M11741="PADD IV","PADD 4",IF($M11741="PADD V","PADD 5","")))))</f>
        <v/>
      </c>
      <c r="G11741" s="6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  <c r="N11741" s="6">
        <f>IF(OR($G11741="FCC",$G11741="Hydrocracker",$G11741="Reformer"),IF(COUNTIFS($D:$D,$D11741,$A:$A,$A11741,$B:$B,$B11741,$G:$G,"CDU",$J:$J,"PLANNED")&gt;0,"tied","standalone"),"")</f>
        <v/>
      </c>
    </row>
    <row r="11742" spans="6:14">
      <c r="F11742" s="6">
        <f>IF($M11742="PADD I","PADD 1",IF($M11742="PADD II","PADD 2",IF($M11742="PADD III","PADD 3",IF($M11742="PADD IV","PADD 4",IF($M11742="PADD V","PADD 5","")))))</f>
        <v/>
      </c>
      <c r="G11742" s="6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  <c r="N11742" s="6">
        <f>IF(OR($G11742="FCC",$G11742="Hydrocracker",$G11742="Reformer"),IF(COUNTIFS($D:$D,$D11742,$A:$A,$A11742,$B:$B,$B11742,$G:$G,"CDU",$J:$J,"PLANNED")&gt;0,"tied","standalone"),"")</f>
        <v/>
      </c>
    </row>
    <row r="11743" spans="6:14">
      <c r="F11743" s="6">
        <f>IF($M11743="PADD I","PADD 1",IF($M11743="PADD II","PADD 2",IF($M11743="PADD III","PADD 3",IF($M11743="PADD IV","PADD 4",IF($M11743="PADD V","PADD 5","")))))</f>
        <v/>
      </c>
      <c r="G11743" s="6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  <c r="N11743" s="6">
        <f>IF(OR($G11743="FCC",$G11743="Hydrocracker",$G11743="Reformer"),IF(COUNTIFS($D:$D,$D11743,$A:$A,$A11743,$B:$B,$B11743,$G:$G,"CDU",$J:$J,"PLANNED")&gt;0,"tied","standalone"),"")</f>
        <v/>
      </c>
    </row>
    <row r="11744" spans="6:14">
      <c r="F11744" s="6">
        <f>IF($M11744="PADD I","PADD 1",IF($M11744="PADD II","PADD 2",IF($M11744="PADD III","PADD 3",IF($M11744="PADD IV","PADD 4",IF($M11744="PADD V","PADD 5","")))))</f>
        <v/>
      </c>
      <c r="G11744" s="6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  <c r="N11744" s="6">
        <f>IF(OR($G11744="FCC",$G11744="Hydrocracker",$G11744="Reformer"),IF(COUNTIFS($D:$D,$D11744,$A:$A,$A11744,$B:$B,$B11744,$G:$G,"CDU",$J:$J,"PLANNED")&gt;0,"tied","standalone"),"")</f>
        <v/>
      </c>
    </row>
    <row r="11745" spans="6:14">
      <c r="F11745" s="6">
        <f>IF($M11745="PADD I","PADD 1",IF($M11745="PADD II","PADD 2",IF($M11745="PADD III","PADD 3",IF($M11745="PADD IV","PADD 4",IF($M11745="PADD V","PADD 5","")))))</f>
        <v/>
      </c>
      <c r="G11745" s="6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  <c r="N11745" s="6">
        <f>IF(OR($G11745="FCC",$G11745="Hydrocracker",$G11745="Reformer"),IF(COUNTIFS($D:$D,$D11745,$A:$A,$A11745,$B:$B,$B11745,$G:$G,"CDU",$J:$J,"PLANNED")&gt;0,"tied","standalone"),"")</f>
        <v/>
      </c>
    </row>
    <row r="11746" spans="6:14">
      <c r="F11746" s="6">
        <f>IF($M11746="PADD I","PADD 1",IF($M11746="PADD II","PADD 2",IF($M11746="PADD III","PADD 3",IF($M11746="PADD IV","PADD 4",IF($M11746="PADD V","PADD 5","")))))</f>
        <v/>
      </c>
      <c r="G11746" s="6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  <c r="N11746" s="6">
        <f>IF(OR($G11746="FCC",$G11746="Hydrocracker",$G11746="Reformer"),IF(COUNTIFS($D:$D,$D11746,$A:$A,$A11746,$B:$B,$B11746,$G:$G,"CDU",$J:$J,"PLANNED")&gt;0,"tied","standalone"),"")</f>
        <v/>
      </c>
    </row>
    <row r="11747" spans="6:14">
      <c r="F11747" s="6">
        <f>IF($M11747="PADD I","PADD 1",IF($M11747="PADD II","PADD 2",IF($M11747="PADD III","PADD 3",IF($M11747="PADD IV","PADD 4",IF($M11747="PADD V","PADD 5","")))))</f>
        <v/>
      </c>
      <c r="G11747" s="6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  <c r="N11747" s="6">
        <f>IF(OR($G11747="FCC",$G11747="Hydrocracker",$G11747="Reformer"),IF(COUNTIFS($D:$D,$D11747,$A:$A,$A11747,$B:$B,$B11747,$G:$G,"CDU",$J:$J,"PLANNED")&gt;0,"tied","standalone"),"")</f>
        <v/>
      </c>
    </row>
    <row r="11748" spans="6:14">
      <c r="F11748" s="6">
        <f>IF($M11748="PADD I","PADD 1",IF($M11748="PADD II","PADD 2",IF($M11748="PADD III","PADD 3",IF($M11748="PADD IV","PADD 4",IF($M11748="PADD V","PADD 5","")))))</f>
        <v/>
      </c>
      <c r="G11748" s="6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  <c r="N11748" s="6">
        <f>IF(OR($G11748="FCC",$G11748="Hydrocracker",$G11748="Reformer"),IF(COUNTIFS($D:$D,$D11748,$A:$A,$A11748,$B:$B,$B11748,$G:$G,"CDU",$J:$J,"PLANNED")&gt;0,"tied","standalone"),"")</f>
        <v/>
      </c>
    </row>
    <row r="11749" spans="6:14">
      <c r="F11749" s="6">
        <f>IF($M11749="PADD I","PADD 1",IF($M11749="PADD II","PADD 2",IF($M11749="PADD III","PADD 3",IF($M11749="PADD IV","PADD 4",IF($M11749="PADD V","PADD 5","")))))</f>
        <v/>
      </c>
      <c r="G11749" s="6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  <c r="N11749" s="6">
        <f>IF(OR($G11749="FCC",$G11749="Hydrocracker",$G11749="Reformer"),IF(COUNTIFS($D:$D,$D11749,$A:$A,$A11749,$B:$B,$B11749,$G:$G,"CDU",$J:$J,"PLANNED")&gt;0,"tied","standalone"),"")</f>
        <v/>
      </c>
    </row>
    <row r="11750" spans="6:14">
      <c r="F11750" s="6">
        <f>IF($M11750="PADD I","PADD 1",IF($M11750="PADD II","PADD 2",IF($M11750="PADD III","PADD 3",IF($M11750="PADD IV","PADD 4",IF($M11750="PADD V","PADD 5","")))))</f>
        <v/>
      </c>
      <c r="G11750" s="6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  <c r="N11750" s="6">
        <f>IF(OR($G11750="FCC",$G11750="Hydrocracker",$G11750="Reformer"),IF(COUNTIFS($D:$D,$D11750,$A:$A,$A11750,$B:$B,$B11750,$G:$G,"CDU",$J:$J,"PLANNED")&gt;0,"tied","standalone"),"")</f>
        <v/>
      </c>
    </row>
    <row r="11751" spans="6:14">
      <c r="F11751" s="6">
        <f>IF($M11751="PADD I","PADD 1",IF($M11751="PADD II","PADD 2",IF($M11751="PADD III","PADD 3",IF($M11751="PADD IV","PADD 4",IF($M11751="PADD V","PADD 5","")))))</f>
        <v/>
      </c>
      <c r="G11751" s="6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  <c r="N11751" s="6">
        <f>IF(OR($G11751="FCC",$G11751="Hydrocracker",$G11751="Reformer"),IF(COUNTIFS($D:$D,$D11751,$A:$A,$A11751,$B:$B,$B11751,$G:$G,"CDU",$J:$J,"PLANNED")&gt;0,"tied","standalone"),"")</f>
        <v/>
      </c>
    </row>
    <row r="11752" spans="6:14">
      <c r="F11752" s="6">
        <f>IF($M11752="PADD I","PADD 1",IF($M11752="PADD II","PADD 2",IF($M11752="PADD III","PADD 3",IF($M11752="PADD IV","PADD 4",IF($M11752="PADD V","PADD 5","")))))</f>
        <v/>
      </c>
      <c r="G11752" s="6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  <c r="N11752" s="6">
        <f>IF(OR($G11752="FCC",$G11752="Hydrocracker",$G11752="Reformer"),IF(COUNTIFS($D:$D,$D11752,$A:$A,$A11752,$B:$B,$B11752,$G:$G,"CDU",$J:$J,"PLANNED")&gt;0,"tied","standalone"),"")</f>
        <v/>
      </c>
    </row>
    <row r="11753" spans="6:14">
      <c r="F11753" s="6">
        <f>IF($M11753="PADD I","PADD 1",IF($M11753="PADD II","PADD 2",IF($M11753="PADD III","PADD 3",IF($M11753="PADD IV","PADD 4",IF($M11753="PADD V","PADD 5","")))))</f>
        <v/>
      </c>
      <c r="G11753" s="6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  <c r="N11753" s="6">
        <f>IF(OR($G11753="FCC",$G11753="Hydrocracker",$G11753="Reformer"),IF(COUNTIFS($D:$D,$D11753,$A:$A,$A11753,$B:$B,$B11753,$G:$G,"CDU",$J:$J,"PLANNED")&gt;0,"tied","standalone"),"")</f>
        <v/>
      </c>
    </row>
    <row r="11754" spans="6:14">
      <c r="F11754" s="6">
        <f>IF($M11754="PADD I","PADD 1",IF($M11754="PADD II","PADD 2",IF($M11754="PADD III","PADD 3",IF($M11754="PADD IV","PADD 4",IF($M11754="PADD V","PADD 5","")))))</f>
        <v/>
      </c>
      <c r="G11754" s="6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  <c r="N11754" s="6">
        <f>IF(OR($G11754="FCC",$G11754="Hydrocracker",$G11754="Reformer"),IF(COUNTIFS($D:$D,$D11754,$A:$A,$A11754,$B:$B,$B11754,$G:$G,"CDU",$J:$J,"PLANNED")&gt;0,"tied","standalone"),"")</f>
        <v/>
      </c>
    </row>
    <row r="11755" spans="6:14">
      <c r="F11755" s="6">
        <f>IF($M11755="PADD I","PADD 1",IF($M11755="PADD II","PADD 2",IF($M11755="PADD III","PADD 3",IF($M11755="PADD IV","PADD 4",IF($M11755="PADD V","PADD 5","")))))</f>
        <v/>
      </c>
      <c r="G11755" s="6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  <c r="N11755" s="6">
        <f>IF(OR($G11755="FCC",$G11755="Hydrocracker",$G11755="Reformer"),IF(COUNTIFS($D:$D,$D11755,$A:$A,$A11755,$B:$B,$B11755,$G:$G,"CDU",$J:$J,"PLANNED")&gt;0,"tied","standalone"),"")</f>
        <v/>
      </c>
    </row>
    <row r="11756" spans="6:14">
      <c r="F11756" s="6">
        <f>IF($M11756="PADD I","PADD 1",IF($M11756="PADD II","PADD 2",IF($M11756="PADD III","PADD 3",IF($M11756="PADD IV","PADD 4",IF($M11756="PADD V","PADD 5","")))))</f>
        <v/>
      </c>
      <c r="G11756" s="6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  <c r="N11756" s="6">
        <f>IF(OR($G11756="FCC",$G11756="Hydrocracker",$G11756="Reformer"),IF(COUNTIFS($D:$D,$D11756,$A:$A,$A11756,$B:$B,$B11756,$G:$G,"CDU",$J:$J,"PLANNED")&gt;0,"tied","standalone"),"")</f>
        <v/>
      </c>
    </row>
    <row r="11757" spans="6:14">
      <c r="F11757" s="6">
        <f>IF($M11757="PADD I","PADD 1",IF($M11757="PADD II","PADD 2",IF($M11757="PADD III","PADD 3",IF($M11757="PADD IV","PADD 4",IF($M11757="PADD V","PADD 5","")))))</f>
        <v/>
      </c>
      <c r="G11757" s="6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  <c r="N11757" s="6">
        <f>IF(OR($G11757="FCC",$G11757="Hydrocracker",$G11757="Reformer"),IF(COUNTIFS($D:$D,$D11757,$A:$A,$A11757,$B:$B,$B11757,$G:$G,"CDU",$J:$J,"PLANNED")&gt;0,"tied","standalone"),"")</f>
        <v/>
      </c>
    </row>
    <row r="11758" spans="6:14">
      <c r="F11758" s="6">
        <f>IF($M11758="PADD I","PADD 1",IF($M11758="PADD II","PADD 2",IF($M11758="PADD III","PADD 3",IF($M11758="PADD IV","PADD 4",IF($M11758="PADD V","PADD 5","")))))</f>
        <v/>
      </c>
      <c r="G11758" s="6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  <c r="N11758" s="6">
        <f>IF(OR($G11758="FCC",$G11758="Hydrocracker",$G11758="Reformer"),IF(COUNTIFS($D:$D,$D11758,$A:$A,$A11758,$B:$B,$B11758,$G:$G,"CDU",$J:$J,"PLANNED")&gt;0,"tied","standalone"),"")</f>
        <v/>
      </c>
    </row>
    <row r="11759" spans="6:14">
      <c r="F11759" s="6">
        <f>IF($M11759="PADD I","PADD 1",IF($M11759="PADD II","PADD 2",IF($M11759="PADD III","PADD 3",IF($M11759="PADD IV","PADD 4",IF($M11759="PADD V","PADD 5","")))))</f>
        <v/>
      </c>
      <c r="G11759" s="6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  <c r="N11759" s="6">
        <f>IF(OR($G11759="FCC",$G11759="Hydrocracker",$G11759="Reformer"),IF(COUNTIFS($D:$D,$D11759,$A:$A,$A11759,$B:$B,$B11759,$G:$G,"CDU",$J:$J,"PLANNED")&gt;0,"tied","standalone"),"")</f>
        <v/>
      </c>
    </row>
    <row r="11760" spans="6:14">
      <c r="F11760" s="6">
        <f>IF($M11760="PADD I","PADD 1",IF($M11760="PADD II","PADD 2",IF($M11760="PADD III","PADD 3",IF($M11760="PADD IV","PADD 4",IF($M11760="PADD V","PADD 5","")))))</f>
        <v/>
      </c>
      <c r="G11760" s="6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  <c r="N11760" s="6">
        <f>IF(OR($G11760="FCC",$G11760="Hydrocracker",$G11760="Reformer"),IF(COUNTIFS($D:$D,$D11760,$A:$A,$A11760,$B:$B,$B11760,$G:$G,"CDU",$J:$J,"PLANNED")&gt;0,"tied","standalone"),"")</f>
        <v/>
      </c>
    </row>
    <row r="11761" spans="6:14">
      <c r="F11761" s="6">
        <f>IF($M11761="PADD I","PADD 1",IF($M11761="PADD II","PADD 2",IF($M11761="PADD III","PADD 3",IF($M11761="PADD IV","PADD 4",IF($M11761="PADD V","PADD 5","")))))</f>
        <v/>
      </c>
      <c r="G11761" s="6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  <c r="N11761" s="6">
        <f>IF(OR($G11761="FCC",$G11761="Hydrocracker",$G11761="Reformer"),IF(COUNTIFS($D:$D,$D11761,$A:$A,$A11761,$B:$B,$B11761,$G:$G,"CDU",$J:$J,"PLANNED")&gt;0,"tied","standalone"),"")</f>
        <v/>
      </c>
    </row>
    <row r="11762" spans="6:14">
      <c r="F11762" s="6">
        <f>IF($M11762="PADD I","PADD 1",IF($M11762="PADD II","PADD 2",IF($M11762="PADD III","PADD 3",IF($M11762="PADD IV","PADD 4",IF($M11762="PADD V","PADD 5","")))))</f>
        <v/>
      </c>
      <c r="G11762" s="6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  <c r="N11762" s="6">
        <f>IF(OR($G11762="FCC",$G11762="Hydrocracker",$G11762="Reformer"),IF(COUNTIFS($D:$D,$D11762,$A:$A,$A11762,$B:$B,$B11762,$G:$G,"CDU",$J:$J,"PLANNED")&gt;0,"tied","standalone"),"")</f>
        <v/>
      </c>
    </row>
    <row r="11763" spans="6:14">
      <c r="F11763" s="6">
        <f>IF($M11763="PADD I","PADD 1",IF($M11763="PADD II","PADD 2",IF($M11763="PADD III","PADD 3",IF($M11763="PADD IV","PADD 4",IF($M11763="PADD V","PADD 5","")))))</f>
        <v/>
      </c>
      <c r="G11763" s="6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  <c r="N11763" s="6">
        <f>IF(OR($G11763="FCC",$G11763="Hydrocracker",$G11763="Reformer"),IF(COUNTIFS($D:$D,$D11763,$A:$A,$A11763,$B:$B,$B11763,$G:$G,"CDU",$J:$J,"PLANNED")&gt;0,"tied","standalone"),"")</f>
        <v/>
      </c>
    </row>
    <row r="11764" spans="6:14">
      <c r="F11764" s="6">
        <f>IF($M11764="PADD I","PADD 1",IF($M11764="PADD II","PADD 2",IF($M11764="PADD III","PADD 3",IF($M11764="PADD IV","PADD 4",IF($M11764="PADD V","PADD 5","")))))</f>
        <v/>
      </c>
      <c r="G11764" s="6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  <c r="N11764" s="6">
        <f>IF(OR($G11764="FCC",$G11764="Hydrocracker",$G11764="Reformer"),IF(COUNTIFS($D:$D,$D11764,$A:$A,$A11764,$B:$B,$B11764,$G:$G,"CDU",$J:$J,"PLANNED")&gt;0,"tied","standalone"),"")</f>
        <v/>
      </c>
    </row>
    <row r="11765" spans="6:14">
      <c r="F11765" s="6">
        <f>IF($M11765="PADD I","PADD 1",IF($M11765="PADD II","PADD 2",IF($M11765="PADD III","PADD 3",IF($M11765="PADD IV","PADD 4",IF($M11765="PADD V","PADD 5","")))))</f>
        <v/>
      </c>
      <c r="G11765" s="6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  <c r="N11765" s="6">
        <f>IF(OR($G11765="FCC",$G11765="Hydrocracker",$G11765="Reformer"),IF(COUNTIFS($D:$D,$D11765,$A:$A,$A11765,$B:$B,$B11765,$G:$G,"CDU",$J:$J,"PLANNED")&gt;0,"tied","standalone"),"")</f>
        <v/>
      </c>
    </row>
    <row r="11766" spans="6:14">
      <c r="F11766" s="6">
        <f>IF($M11766="PADD I","PADD 1",IF($M11766="PADD II","PADD 2",IF($M11766="PADD III","PADD 3",IF($M11766="PADD IV","PADD 4",IF($M11766="PADD V","PADD 5","")))))</f>
        <v/>
      </c>
      <c r="G11766" s="6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  <c r="N11766" s="6">
        <f>IF(OR($G11766="FCC",$G11766="Hydrocracker",$G11766="Reformer"),IF(COUNTIFS($D:$D,$D11766,$A:$A,$A11766,$B:$B,$B11766,$G:$G,"CDU",$J:$J,"PLANNED")&gt;0,"tied","standalone"),"")</f>
        <v/>
      </c>
    </row>
    <row r="11767" spans="6:14">
      <c r="F11767" s="6">
        <f>IF($M11767="PADD I","PADD 1",IF($M11767="PADD II","PADD 2",IF($M11767="PADD III","PADD 3",IF($M11767="PADD IV","PADD 4",IF($M11767="PADD V","PADD 5","")))))</f>
        <v/>
      </c>
      <c r="G11767" s="6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  <c r="N11767" s="6">
        <f>IF(OR($G11767="FCC",$G11767="Hydrocracker",$G11767="Reformer"),IF(COUNTIFS($D:$D,$D11767,$A:$A,$A11767,$B:$B,$B11767,$G:$G,"CDU",$J:$J,"PLANNED")&gt;0,"tied","standalone"),"")</f>
        <v/>
      </c>
    </row>
    <row r="11768" spans="6:14">
      <c r="F11768" s="6">
        <f>IF($M11768="PADD I","PADD 1",IF($M11768="PADD II","PADD 2",IF($M11768="PADD III","PADD 3",IF($M11768="PADD IV","PADD 4",IF($M11768="PADD V","PADD 5","")))))</f>
        <v/>
      </c>
      <c r="G11768" s="6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  <c r="N11768" s="6">
        <f>IF(OR($G11768="FCC",$G11768="Hydrocracker",$G11768="Reformer"),IF(COUNTIFS($D:$D,$D11768,$A:$A,$A11768,$B:$B,$B11768,$G:$G,"CDU",$J:$J,"PLANNED")&gt;0,"tied","standalone"),"")</f>
        <v/>
      </c>
    </row>
    <row r="11769" spans="6:14">
      <c r="F11769" s="6">
        <f>IF($M11769="PADD I","PADD 1",IF($M11769="PADD II","PADD 2",IF($M11769="PADD III","PADD 3",IF($M11769="PADD IV","PADD 4",IF($M11769="PADD V","PADD 5","")))))</f>
        <v/>
      </c>
      <c r="G11769" s="6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  <c r="N11769" s="6">
        <f>IF(OR($G11769="FCC",$G11769="Hydrocracker",$G11769="Reformer"),IF(COUNTIFS($D:$D,$D11769,$A:$A,$A11769,$B:$B,$B11769,$G:$G,"CDU",$J:$J,"PLANNED")&gt;0,"tied","standalone"),"")</f>
        <v/>
      </c>
    </row>
    <row r="11770" spans="6:14">
      <c r="F11770" s="6">
        <f>IF($M11770="PADD I","PADD 1",IF($M11770="PADD II","PADD 2",IF($M11770="PADD III","PADD 3",IF($M11770="PADD IV","PADD 4",IF($M11770="PADD V","PADD 5","")))))</f>
        <v/>
      </c>
      <c r="G11770" s="6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  <c r="N11770" s="6">
        <f>IF(OR($G11770="FCC",$G11770="Hydrocracker",$G11770="Reformer"),IF(COUNTIFS($D:$D,$D11770,$A:$A,$A11770,$B:$B,$B11770,$G:$G,"CDU",$J:$J,"PLANNED")&gt;0,"tied","standalone"),"")</f>
        <v/>
      </c>
    </row>
    <row r="11771" spans="6:14">
      <c r="F11771" s="6">
        <f>IF($M11771="PADD I","PADD 1",IF($M11771="PADD II","PADD 2",IF($M11771="PADD III","PADD 3",IF($M11771="PADD IV","PADD 4",IF($M11771="PADD V","PADD 5","")))))</f>
        <v/>
      </c>
      <c r="G11771" s="6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  <c r="N11771" s="6">
        <f>IF(OR($G11771="FCC",$G11771="Hydrocracker",$G11771="Reformer"),IF(COUNTIFS($D:$D,$D11771,$A:$A,$A11771,$B:$B,$B11771,$G:$G,"CDU",$J:$J,"PLANNED")&gt;0,"tied","standalone"),"")</f>
        <v/>
      </c>
    </row>
    <row r="11772" spans="6:14">
      <c r="F11772" s="6">
        <f>IF($M11772="PADD I","PADD 1",IF($M11772="PADD II","PADD 2",IF($M11772="PADD III","PADD 3",IF($M11772="PADD IV","PADD 4",IF($M11772="PADD V","PADD 5","")))))</f>
        <v/>
      </c>
      <c r="G11772" s="6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  <c r="N11772" s="6">
        <f>IF(OR($G11772="FCC",$G11772="Hydrocracker",$G11772="Reformer"),IF(COUNTIFS($D:$D,$D11772,$A:$A,$A11772,$B:$B,$B11772,$G:$G,"CDU",$J:$J,"PLANNED")&gt;0,"tied","standalone"),"")</f>
        <v/>
      </c>
    </row>
    <row r="11773" spans="6:14">
      <c r="F11773" s="6">
        <f>IF($M11773="PADD I","PADD 1",IF($M11773="PADD II","PADD 2",IF($M11773="PADD III","PADD 3",IF($M11773="PADD IV","PADD 4",IF($M11773="PADD V","PADD 5","")))))</f>
        <v/>
      </c>
      <c r="G11773" s="6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  <c r="N11773" s="6">
        <f>IF(OR($G11773="FCC",$G11773="Hydrocracker",$G11773="Reformer"),IF(COUNTIFS($D:$D,$D11773,$A:$A,$A11773,$B:$B,$B11773,$G:$G,"CDU",$J:$J,"PLANNED")&gt;0,"tied","standalone"),"")</f>
        <v/>
      </c>
    </row>
    <row r="11774" spans="6:14">
      <c r="F11774" s="6">
        <f>IF($M11774="PADD I","PADD 1",IF($M11774="PADD II","PADD 2",IF($M11774="PADD III","PADD 3",IF($M11774="PADD IV","PADD 4",IF($M11774="PADD V","PADD 5","")))))</f>
        <v/>
      </c>
      <c r="G11774" s="6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  <c r="N11774" s="6">
        <f>IF(OR($G11774="FCC",$G11774="Hydrocracker",$G11774="Reformer"),IF(COUNTIFS($D:$D,$D11774,$A:$A,$A11774,$B:$B,$B11774,$G:$G,"CDU",$J:$J,"PLANNED")&gt;0,"tied","standalone"),"")</f>
        <v/>
      </c>
    </row>
    <row r="11775" spans="6:14">
      <c r="F11775" s="6">
        <f>IF($M11775="PADD I","PADD 1",IF($M11775="PADD II","PADD 2",IF($M11775="PADD III","PADD 3",IF($M11775="PADD IV","PADD 4",IF($M11775="PADD V","PADD 5","")))))</f>
        <v/>
      </c>
      <c r="G11775" s="6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  <c r="N11775" s="6">
        <f>IF(OR($G11775="FCC",$G11775="Hydrocracker",$G11775="Reformer"),IF(COUNTIFS($D:$D,$D11775,$A:$A,$A11775,$B:$B,$B11775,$G:$G,"CDU",$J:$J,"PLANNED")&gt;0,"tied","standalone"),"")</f>
        <v/>
      </c>
    </row>
    <row r="11776" spans="6:14">
      <c r="F11776" s="6">
        <f>IF($M11776="PADD I","PADD 1",IF($M11776="PADD II","PADD 2",IF($M11776="PADD III","PADD 3",IF($M11776="PADD IV","PADD 4",IF($M11776="PADD V","PADD 5","")))))</f>
        <v/>
      </c>
      <c r="G11776" s="6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  <c r="N11776" s="6">
        <f>IF(OR($G11776="FCC",$G11776="Hydrocracker",$G11776="Reformer"),IF(COUNTIFS($D:$D,$D11776,$A:$A,$A11776,$B:$B,$B11776,$G:$G,"CDU",$J:$J,"PLANNED")&gt;0,"tied","standalone"),"")</f>
        <v/>
      </c>
    </row>
    <row r="11777" spans="6:14">
      <c r="F11777" s="6">
        <f>IF($M11777="PADD I","PADD 1",IF($M11777="PADD II","PADD 2",IF($M11777="PADD III","PADD 3",IF($M11777="PADD IV","PADD 4",IF($M11777="PADD V","PADD 5","")))))</f>
        <v/>
      </c>
      <c r="G11777" s="6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  <c r="N11777" s="6">
        <f>IF(OR($G11777="FCC",$G11777="Hydrocracker",$G11777="Reformer"),IF(COUNTIFS($D:$D,$D11777,$A:$A,$A11777,$B:$B,$B11777,$G:$G,"CDU",$J:$J,"PLANNED")&gt;0,"tied","standalone"),"")</f>
        <v/>
      </c>
    </row>
    <row r="11778" spans="6:14">
      <c r="F11778" s="6">
        <f>IF($M11778="PADD I","PADD 1",IF($M11778="PADD II","PADD 2",IF($M11778="PADD III","PADD 3",IF($M11778="PADD IV","PADD 4",IF($M11778="PADD V","PADD 5","")))))</f>
        <v/>
      </c>
      <c r="G11778" s="6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  <c r="N11778" s="6">
        <f>IF(OR($G11778="FCC",$G11778="Hydrocracker",$G11778="Reformer"),IF(COUNTIFS($D:$D,$D11778,$A:$A,$A11778,$B:$B,$B11778,$G:$G,"CDU",$J:$J,"PLANNED")&gt;0,"tied","standalone"),"")</f>
        <v/>
      </c>
    </row>
    <row r="11779" spans="6:14">
      <c r="F11779" s="6">
        <f>IF($M11779="PADD I","PADD 1",IF($M11779="PADD II","PADD 2",IF($M11779="PADD III","PADD 3",IF($M11779="PADD IV","PADD 4",IF($M11779="PADD V","PADD 5","")))))</f>
        <v/>
      </c>
      <c r="G11779" s="6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  <c r="N11779" s="6">
        <f>IF(OR($G11779="FCC",$G11779="Hydrocracker",$G11779="Reformer"),IF(COUNTIFS($D:$D,$D11779,$A:$A,$A11779,$B:$B,$B11779,$G:$G,"CDU",$J:$J,"PLANNED")&gt;0,"tied","standalone"),"")</f>
        <v/>
      </c>
    </row>
    <row r="11780" spans="6:14">
      <c r="F11780" s="6">
        <f>IF($M11780="PADD I","PADD 1",IF($M11780="PADD II","PADD 2",IF($M11780="PADD III","PADD 3",IF($M11780="PADD IV","PADD 4",IF($M11780="PADD V","PADD 5","")))))</f>
        <v/>
      </c>
      <c r="G11780" s="6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  <c r="N11780" s="6">
        <f>IF(OR($G11780="FCC",$G11780="Hydrocracker",$G11780="Reformer"),IF(COUNTIFS($D:$D,$D11780,$A:$A,$A11780,$B:$B,$B11780,$G:$G,"CDU",$J:$J,"PLANNED")&gt;0,"tied","standalone"),"")</f>
        <v/>
      </c>
    </row>
    <row r="11781" spans="6:14">
      <c r="F11781" s="6">
        <f>IF($M11781="PADD I","PADD 1",IF($M11781="PADD II","PADD 2",IF($M11781="PADD III","PADD 3",IF($M11781="PADD IV","PADD 4",IF($M11781="PADD V","PADD 5","")))))</f>
        <v/>
      </c>
      <c r="G11781" s="6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  <c r="N11781" s="6">
        <f>IF(OR($G11781="FCC",$G11781="Hydrocracker",$G11781="Reformer"),IF(COUNTIFS($D:$D,$D11781,$A:$A,$A11781,$B:$B,$B11781,$G:$G,"CDU",$J:$J,"PLANNED")&gt;0,"tied","standalone"),"")</f>
        <v/>
      </c>
    </row>
    <row r="11782" spans="6:14">
      <c r="F11782" s="6">
        <f>IF($M11782="PADD I","PADD 1",IF($M11782="PADD II","PADD 2",IF($M11782="PADD III","PADD 3",IF($M11782="PADD IV","PADD 4",IF($M11782="PADD V","PADD 5","")))))</f>
        <v/>
      </c>
      <c r="G11782" s="6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  <c r="N11782" s="6">
        <f>IF(OR($G11782="FCC",$G11782="Hydrocracker",$G11782="Reformer"),IF(COUNTIFS($D:$D,$D11782,$A:$A,$A11782,$B:$B,$B11782,$G:$G,"CDU",$J:$J,"PLANNED")&gt;0,"tied","standalone"),"")</f>
        <v/>
      </c>
    </row>
    <row r="11783" spans="6:14">
      <c r="F11783" s="6">
        <f>IF($M11783="PADD I","PADD 1",IF($M11783="PADD II","PADD 2",IF($M11783="PADD III","PADD 3",IF($M11783="PADD IV","PADD 4",IF($M11783="PADD V","PADD 5","")))))</f>
        <v/>
      </c>
      <c r="G11783" s="6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  <c r="N11783" s="6">
        <f>IF(OR($G11783="FCC",$G11783="Hydrocracker",$G11783="Reformer"),IF(COUNTIFS($D:$D,$D11783,$A:$A,$A11783,$B:$B,$B11783,$G:$G,"CDU",$J:$J,"PLANNED")&gt;0,"tied","standalone"),"")</f>
        <v/>
      </c>
    </row>
    <row r="11784" spans="6:14">
      <c r="F11784" s="6">
        <f>IF($M11784="PADD I","PADD 1",IF($M11784="PADD II","PADD 2",IF($M11784="PADD III","PADD 3",IF($M11784="PADD IV","PADD 4",IF($M11784="PADD V","PADD 5","")))))</f>
        <v/>
      </c>
      <c r="G11784" s="6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  <c r="N11784" s="6">
        <f>IF(OR($G11784="FCC",$G11784="Hydrocracker",$G11784="Reformer"),IF(COUNTIFS($D:$D,$D11784,$A:$A,$A11784,$B:$B,$B11784,$G:$G,"CDU",$J:$J,"PLANNED")&gt;0,"tied","standalone"),"")</f>
        <v/>
      </c>
    </row>
    <row r="11785" spans="6:14">
      <c r="F11785" s="6">
        <f>IF($M11785="PADD I","PADD 1",IF($M11785="PADD II","PADD 2",IF($M11785="PADD III","PADD 3",IF($M11785="PADD IV","PADD 4",IF($M11785="PADD V","PADD 5","")))))</f>
        <v/>
      </c>
      <c r="G11785" s="6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  <c r="N11785" s="6">
        <f>IF(OR($G11785="FCC",$G11785="Hydrocracker",$G11785="Reformer"),IF(COUNTIFS($D:$D,$D11785,$A:$A,$A11785,$B:$B,$B11785,$G:$G,"CDU",$J:$J,"PLANNED")&gt;0,"tied","standalone"),"")</f>
        <v/>
      </c>
    </row>
    <row r="11786" spans="6:14">
      <c r="F11786" s="6">
        <f>IF($M11786="PADD I","PADD 1",IF($M11786="PADD II","PADD 2",IF($M11786="PADD III","PADD 3",IF($M11786="PADD IV","PADD 4",IF($M11786="PADD V","PADD 5","")))))</f>
        <v/>
      </c>
      <c r="G11786" s="6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  <c r="N11786" s="6">
        <f>IF(OR($G11786="FCC",$G11786="Hydrocracker",$G11786="Reformer"),IF(COUNTIFS($D:$D,$D11786,$A:$A,$A11786,$B:$B,$B11786,$G:$G,"CDU",$J:$J,"PLANNED")&gt;0,"tied","standalone"),"")</f>
        <v/>
      </c>
    </row>
    <row r="11787" spans="6:14">
      <c r="F11787" s="6">
        <f>IF($M11787="PADD I","PADD 1",IF($M11787="PADD II","PADD 2",IF($M11787="PADD III","PADD 3",IF($M11787="PADD IV","PADD 4",IF($M11787="PADD V","PADD 5","")))))</f>
        <v/>
      </c>
      <c r="G11787" s="6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  <c r="N11787" s="6">
        <f>IF(OR($G11787="FCC",$G11787="Hydrocracker",$G11787="Reformer"),IF(COUNTIFS($D:$D,$D11787,$A:$A,$A11787,$B:$B,$B11787,$G:$G,"CDU",$J:$J,"PLANNED")&gt;0,"tied","standalone"),"")</f>
        <v/>
      </c>
    </row>
    <row r="11788" spans="6:14">
      <c r="F11788" s="6">
        <f>IF($M11788="PADD I","PADD 1",IF($M11788="PADD II","PADD 2",IF($M11788="PADD III","PADD 3",IF($M11788="PADD IV","PADD 4",IF($M11788="PADD V","PADD 5","")))))</f>
        <v/>
      </c>
      <c r="G11788" s="6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  <c r="N11788" s="6">
        <f>IF(OR($G11788="FCC",$G11788="Hydrocracker",$G11788="Reformer"),IF(COUNTIFS($D:$D,$D11788,$A:$A,$A11788,$B:$B,$B11788,$G:$G,"CDU",$J:$J,"PLANNED")&gt;0,"tied","standalone"),"")</f>
        <v/>
      </c>
    </row>
    <row r="11789" spans="6:14">
      <c r="F11789" s="6">
        <f>IF($M11789="PADD I","PADD 1",IF($M11789="PADD II","PADD 2",IF($M11789="PADD III","PADD 3",IF($M11789="PADD IV","PADD 4",IF($M11789="PADD V","PADD 5","")))))</f>
        <v/>
      </c>
      <c r="G11789" s="6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  <c r="N11789" s="6">
        <f>IF(OR($G11789="FCC",$G11789="Hydrocracker",$G11789="Reformer"),IF(COUNTIFS($D:$D,$D11789,$A:$A,$A11789,$B:$B,$B11789,$G:$G,"CDU",$J:$J,"PLANNED")&gt;0,"tied","standalone"),"")</f>
        <v/>
      </c>
    </row>
    <row r="11790" spans="6:14">
      <c r="F11790" s="6">
        <f>IF($M11790="PADD I","PADD 1",IF($M11790="PADD II","PADD 2",IF($M11790="PADD III","PADD 3",IF($M11790="PADD IV","PADD 4",IF($M11790="PADD V","PADD 5","")))))</f>
        <v/>
      </c>
      <c r="G11790" s="6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  <c r="N11790" s="6">
        <f>IF(OR($G11790="FCC",$G11790="Hydrocracker",$G11790="Reformer"),IF(COUNTIFS($D:$D,$D11790,$A:$A,$A11790,$B:$B,$B11790,$G:$G,"CDU",$J:$J,"PLANNED")&gt;0,"tied","standalone"),"")</f>
        <v/>
      </c>
    </row>
    <row r="11791" spans="6:14">
      <c r="F11791" s="6">
        <f>IF($M11791="PADD I","PADD 1",IF($M11791="PADD II","PADD 2",IF($M11791="PADD III","PADD 3",IF($M11791="PADD IV","PADD 4",IF($M11791="PADD V","PADD 5","")))))</f>
        <v/>
      </c>
      <c r="G11791" s="6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  <c r="N11791" s="6">
        <f>IF(OR($G11791="FCC",$G11791="Hydrocracker",$G11791="Reformer"),IF(COUNTIFS($D:$D,$D11791,$A:$A,$A11791,$B:$B,$B11791,$G:$G,"CDU",$J:$J,"PLANNED")&gt;0,"tied","standalone"),"")</f>
        <v/>
      </c>
    </row>
    <row r="11792" spans="6:14">
      <c r="F11792" s="6">
        <f>IF($M11792="PADD I","PADD 1",IF($M11792="PADD II","PADD 2",IF($M11792="PADD III","PADD 3",IF($M11792="PADD IV","PADD 4",IF($M11792="PADD V","PADD 5","")))))</f>
        <v/>
      </c>
      <c r="G11792" s="6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  <c r="N11792" s="6">
        <f>IF(OR($G11792="FCC",$G11792="Hydrocracker",$G11792="Reformer"),IF(COUNTIFS($D:$D,$D11792,$A:$A,$A11792,$B:$B,$B11792,$G:$G,"CDU",$J:$J,"PLANNED")&gt;0,"tied","standalone"),"")</f>
        <v/>
      </c>
    </row>
    <row r="11793" spans="6:14">
      <c r="F11793" s="6">
        <f>IF($M11793="PADD I","PADD 1",IF($M11793="PADD II","PADD 2",IF($M11793="PADD III","PADD 3",IF($M11793="PADD IV","PADD 4",IF($M11793="PADD V","PADD 5","")))))</f>
        <v/>
      </c>
      <c r="G11793" s="6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  <c r="N11793" s="6">
        <f>IF(OR($G11793="FCC",$G11793="Hydrocracker",$G11793="Reformer"),IF(COUNTIFS($D:$D,$D11793,$A:$A,$A11793,$B:$B,$B11793,$G:$G,"CDU",$J:$J,"PLANNED")&gt;0,"tied","standalone"),"")</f>
        <v/>
      </c>
    </row>
    <row r="11794" spans="6:14">
      <c r="F11794" s="6">
        <f>IF($M11794="PADD I","PADD 1",IF($M11794="PADD II","PADD 2",IF($M11794="PADD III","PADD 3",IF($M11794="PADD IV","PADD 4",IF($M11794="PADD V","PADD 5","")))))</f>
        <v/>
      </c>
      <c r="G11794" s="6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  <c r="N11794" s="6">
        <f>IF(OR($G11794="FCC",$G11794="Hydrocracker",$G11794="Reformer"),IF(COUNTIFS($D:$D,$D11794,$A:$A,$A11794,$B:$B,$B11794,$G:$G,"CDU",$J:$J,"PLANNED")&gt;0,"tied","standalone"),"")</f>
        <v/>
      </c>
    </row>
    <row r="11795" spans="6:14">
      <c r="F11795" s="6">
        <f>IF($M11795="PADD I","PADD 1",IF($M11795="PADD II","PADD 2",IF($M11795="PADD III","PADD 3",IF($M11795="PADD IV","PADD 4",IF($M11795="PADD V","PADD 5","")))))</f>
        <v/>
      </c>
      <c r="G11795" s="6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  <c r="N11795" s="6">
        <f>IF(OR($G11795="FCC",$G11795="Hydrocracker",$G11795="Reformer"),IF(COUNTIFS($D:$D,$D11795,$A:$A,$A11795,$B:$B,$B11795,$G:$G,"CDU",$J:$J,"PLANNED")&gt;0,"tied","standalone"),"")</f>
        <v/>
      </c>
    </row>
    <row r="11796" spans="6:14">
      <c r="F11796" s="6">
        <f>IF($M11796="PADD I","PADD 1",IF($M11796="PADD II","PADD 2",IF($M11796="PADD III","PADD 3",IF($M11796="PADD IV","PADD 4",IF($M11796="PADD V","PADD 5","")))))</f>
        <v/>
      </c>
      <c r="G11796" s="6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  <c r="N11796" s="6">
        <f>IF(OR($G11796="FCC",$G11796="Hydrocracker",$G11796="Reformer"),IF(COUNTIFS($D:$D,$D11796,$A:$A,$A11796,$B:$B,$B11796,$G:$G,"CDU",$J:$J,"PLANNED")&gt;0,"tied","standalone"),"")</f>
        <v/>
      </c>
    </row>
    <row r="11797" spans="6:14">
      <c r="F11797" s="6">
        <f>IF($M11797="PADD I","PADD 1",IF($M11797="PADD II","PADD 2",IF($M11797="PADD III","PADD 3",IF($M11797="PADD IV","PADD 4",IF($M11797="PADD V","PADD 5","")))))</f>
        <v/>
      </c>
      <c r="G11797" s="6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  <c r="N11797" s="6">
        <f>IF(OR($G11797="FCC",$G11797="Hydrocracker",$G11797="Reformer"),IF(COUNTIFS($D:$D,$D11797,$A:$A,$A11797,$B:$B,$B11797,$G:$G,"CDU",$J:$J,"PLANNED")&gt;0,"tied","standalone"),"")</f>
        <v/>
      </c>
    </row>
    <row r="11798" spans="6:14">
      <c r="F11798" s="6">
        <f>IF($M11798="PADD I","PADD 1",IF($M11798="PADD II","PADD 2",IF($M11798="PADD III","PADD 3",IF($M11798="PADD IV","PADD 4",IF($M11798="PADD V","PADD 5","")))))</f>
        <v/>
      </c>
      <c r="G11798" s="6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  <c r="N11798" s="6">
        <f>IF(OR($G11798="FCC",$G11798="Hydrocracker",$G11798="Reformer"),IF(COUNTIFS($D:$D,$D11798,$A:$A,$A11798,$B:$B,$B11798,$G:$G,"CDU",$J:$J,"PLANNED")&gt;0,"tied","standalone"),"")</f>
        <v/>
      </c>
    </row>
    <row r="11799" spans="6:14">
      <c r="F11799" s="6">
        <f>IF($M11799="PADD I","PADD 1",IF($M11799="PADD II","PADD 2",IF($M11799="PADD III","PADD 3",IF($M11799="PADD IV","PADD 4",IF($M11799="PADD V","PADD 5","")))))</f>
        <v/>
      </c>
      <c r="G11799" s="6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  <c r="N11799" s="6">
        <f>IF(OR($G11799="FCC",$G11799="Hydrocracker",$G11799="Reformer"),IF(COUNTIFS($D:$D,$D11799,$A:$A,$A11799,$B:$B,$B11799,$G:$G,"CDU",$J:$J,"PLANNED")&gt;0,"tied","standalone"),"")</f>
        <v/>
      </c>
    </row>
    <row r="11800" spans="6:14">
      <c r="F11800" s="6">
        <f>IF($M11800="PADD I","PADD 1",IF($M11800="PADD II","PADD 2",IF($M11800="PADD III","PADD 3",IF($M11800="PADD IV","PADD 4",IF($M11800="PADD V","PADD 5","")))))</f>
        <v/>
      </c>
      <c r="G11800" s="6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  <c r="N11800" s="6">
        <f>IF(OR($G11800="FCC",$G11800="Hydrocracker",$G11800="Reformer"),IF(COUNTIFS($D:$D,$D11800,$A:$A,$A11800,$B:$B,$B11800,$G:$G,"CDU",$J:$J,"PLANNED")&gt;0,"tied","standalone"),"")</f>
        <v/>
      </c>
    </row>
    <row r="11801" spans="6:14">
      <c r="F11801" s="6">
        <f>IF($M11801="PADD I","PADD 1",IF($M11801="PADD II","PADD 2",IF($M11801="PADD III","PADD 3",IF($M11801="PADD IV","PADD 4",IF($M11801="PADD V","PADD 5","")))))</f>
        <v/>
      </c>
      <c r="G11801" s="6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  <c r="N11801" s="6">
        <f>IF(OR($G11801="FCC",$G11801="Hydrocracker",$G11801="Reformer"),IF(COUNTIFS($D:$D,$D11801,$A:$A,$A11801,$B:$B,$B11801,$G:$G,"CDU",$J:$J,"PLANNED")&gt;0,"tied","standalone"),"")</f>
        <v/>
      </c>
    </row>
    <row r="11802" spans="6:14">
      <c r="F11802" s="6">
        <f>IF($M11802="PADD I","PADD 1",IF($M11802="PADD II","PADD 2",IF($M11802="PADD III","PADD 3",IF($M11802="PADD IV","PADD 4",IF($M11802="PADD V","PADD 5","")))))</f>
        <v/>
      </c>
      <c r="G11802" s="6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  <c r="N11802" s="6">
        <f>IF(OR($G11802="FCC",$G11802="Hydrocracker",$G11802="Reformer"),IF(COUNTIFS($D:$D,$D11802,$A:$A,$A11802,$B:$B,$B11802,$G:$G,"CDU",$J:$J,"PLANNED")&gt;0,"tied","standalone"),"")</f>
        <v/>
      </c>
    </row>
    <row r="11803" spans="6:14">
      <c r="F11803" s="6">
        <f>IF($M11803="PADD I","PADD 1",IF($M11803="PADD II","PADD 2",IF($M11803="PADD III","PADD 3",IF($M11803="PADD IV","PADD 4",IF($M11803="PADD V","PADD 5","")))))</f>
        <v/>
      </c>
      <c r="G11803" s="6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  <c r="N11803" s="6">
        <f>IF(OR($G11803="FCC",$G11803="Hydrocracker",$G11803="Reformer"),IF(COUNTIFS($D:$D,$D11803,$A:$A,$A11803,$B:$B,$B11803,$G:$G,"CDU",$J:$J,"PLANNED")&gt;0,"tied","standalone"),"")</f>
        <v/>
      </c>
    </row>
    <row r="11804" spans="6:14">
      <c r="F11804" s="6">
        <f>IF($M11804="PADD I","PADD 1",IF($M11804="PADD II","PADD 2",IF($M11804="PADD III","PADD 3",IF($M11804="PADD IV","PADD 4",IF($M11804="PADD V","PADD 5","")))))</f>
        <v/>
      </c>
      <c r="G11804" s="6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  <c r="N11804" s="6">
        <f>IF(OR($G11804="FCC",$G11804="Hydrocracker",$G11804="Reformer"),IF(COUNTIFS($D:$D,$D11804,$A:$A,$A11804,$B:$B,$B11804,$G:$G,"CDU",$J:$J,"PLANNED")&gt;0,"tied","standalone"),"")</f>
        <v/>
      </c>
    </row>
    <row r="11805" spans="6:14">
      <c r="F11805" s="6">
        <f>IF($M11805="PADD I","PADD 1",IF($M11805="PADD II","PADD 2",IF($M11805="PADD III","PADD 3",IF($M11805="PADD IV","PADD 4",IF($M11805="PADD V","PADD 5","")))))</f>
        <v/>
      </c>
      <c r="G11805" s="6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  <c r="N11805" s="6">
        <f>IF(OR($G11805="FCC",$G11805="Hydrocracker",$G11805="Reformer"),IF(COUNTIFS($D:$D,$D11805,$A:$A,$A11805,$B:$B,$B11805,$G:$G,"CDU",$J:$J,"PLANNED")&gt;0,"tied","standalone"),"")</f>
        <v/>
      </c>
    </row>
    <row r="11806" spans="6:14">
      <c r="F11806" s="6">
        <f>IF($M11806="PADD I","PADD 1",IF($M11806="PADD II","PADD 2",IF($M11806="PADD III","PADD 3",IF($M11806="PADD IV","PADD 4",IF($M11806="PADD V","PADD 5","")))))</f>
        <v/>
      </c>
      <c r="G11806" s="6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  <c r="N11806" s="6">
        <f>IF(OR($G11806="FCC",$G11806="Hydrocracker",$G11806="Reformer"),IF(COUNTIFS($D:$D,$D11806,$A:$A,$A11806,$B:$B,$B11806,$G:$G,"CDU",$J:$J,"PLANNED")&gt;0,"tied","standalone"),"")</f>
        <v/>
      </c>
    </row>
    <row r="11807" spans="6:14">
      <c r="F11807" s="6">
        <f>IF($M11807="PADD I","PADD 1",IF($M11807="PADD II","PADD 2",IF($M11807="PADD III","PADD 3",IF($M11807="PADD IV","PADD 4",IF($M11807="PADD V","PADD 5","")))))</f>
        <v/>
      </c>
      <c r="G11807" s="6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  <c r="N11807" s="6">
        <f>IF(OR($G11807="FCC",$G11807="Hydrocracker",$G11807="Reformer"),IF(COUNTIFS($D:$D,$D11807,$A:$A,$A11807,$B:$B,$B11807,$G:$G,"CDU",$J:$J,"PLANNED")&gt;0,"tied","standalone"),"")</f>
        <v/>
      </c>
    </row>
    <row r="11808" spans="6:14">
      <c r="F11808" s="6">
        <f>IF($M11808="PADD I","PADD 1",IF($M11808="PADD II","PADD 2",IF($M11808="PADD III","PADD 3",IF($M11808="PADD IV","PADD 4",IF($M11808="PADD V","PADD 5","")))))</f>
        <v/>
      </c>
      <c r="G11808" s="6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  <c r="N11808" s="6">
        <f>IF(OR($G11808="FCC",$G11808="Hydrocracker",$G11808="Reformer"),IF(COUNTIFS($D:$D,$D11808,$A:$A,$A11808,$B:$B,$B11808,$G:$G,"CDU",$J:$J,"PLANNED")&gt;0,"tied","standalone"),"")</f>
        <v/>
      </c>
    </row>
    <row r="11809" spans="6:14">
      <c r="F11809" s="6">
        <f>IF($M11809="PADD I","PADD 1",IF($M11809="PADD II","PADD 2",IF($M11809="PADD III","PADD 3",IF($M11809="PADD IV","PADD 4",IF($M11809="PADD V","PADD 5","")))))</f>
        <v/>
      </c>
      <c r="G11809" s="6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  <c r="N11809" s="6">
        <f>IF(OR($G11809="FCC",$G11809="Hydrocracker",$G11809="Reformer"),IF(COUNTIFS($D:$D,$D11809,$A:$A,$A11809,$B:$B,$B11809,$G:$G,"CDU",$J:$J,"PLANNED")&gt;0,"tied","standalone"),"")</f>
        <v/>
      </c>
    </row>
    <row r="11810" spans="6:14">
      <c r="F11810" s="6">
        <f>IF($M11810="PADD I","PADD 1",IF($M11810="PADD II","PADD 2",IF($M11810="PADD III","PADD 3",IF($M11810="PADD IV","PADD 4",IF($M11810="PADD V","PADD 5","")))))</f>
        <v/>
      </c>
      <c r="G11810" s="6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  <c r="N11810" s="6">
        <f>IF(OR($G11810="FCC",$G11810="Hydrocracker",$G11810="Reformer"),IF(COUNTIFS($D:$D,$D11810,$A:$A,$A11810,$B:$B,$B11810,$G:$G,"CDU",$J:$J,"PLANNED")&gt;0,"tied","standalone"),"")</f>
        <v/>
      </c>
    </row>
    <row r="11811" spans="6:14">
      <c r="F11811" s="6">
        <f>IF($M11811="PADD I","PADD 1",IF($M11811="PADD II","PADD 2",IF($M11811="PADD III","PADD 3",IF($M11811="PADD IV","PADD 4",IF($M11811="PADD V","PADD 5","")))))</f>
        <v/>
      </c>
      <c r="G11811" s="6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  <c r="N11811" s="6">
        <f>IF(OR($G11811="FCC",$G11811="Hydrocracker",$G11811="Reformer"),IF(COUNTIFS($D:$D,$D11811,$A:$A,$A11811,$B:$B,$B11811,$G:$G,"CDU",$J:$J,"PLANNED")&gt;0,"tied","standalone"),"")</f>
        <v/>
      </c>
    </row>
    <row r="11812" spans="6:14">
      <c r="F11812" s="6">
        <f>IF($M11812="PADD I","PADD 1",IF($M11812="PADD II","PADD 2",IF($M11812="PADD III","PADD 3",IF($M11812="PADD IV","PADD 4",IF($M11812="PADD V","PADD 5","")))))</f>
        <v/>
      </c>
      <c r="G11812" s="6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  <c r="N11812" s="6">
        <f>IF(OR($G11812="FCC",$G11812="Hydrocracker",$G11812="Reformer"),IF(COUNTIFS($D:$D,$D11812,$A:$A,$A11812,$B:$B,$B11812,$G:$G,"CDU",$J:$J,"PLANNED")&gt;0,"tied","standalone"),"")</f>
        <v/>
      </c>
    </row>
    <row r="11813" spans="6:14">
      <c r="F11813" s="6">
        <f>IF($M11813="PADD I","PADD 1",IF($M11813="PADD II","PADD 2",IF($M11813="PADD III","PADD 3",IF($M11813="PADD IV","PADD 4",IF($M11813="PADD V","PADD 5","")))))</f>
        <v/>
      </c>
      <c r="G11813" s="6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  <c r="N11813" s="6">
        <f>IF(OR($G11813="FCC",$G11813="Hydrocracker",$G11813="Reformer"),IF(COUNTIFS($D:$D,$D11813,$A:$A,$A11813,$B:$B,$B11813,$G:$G,"CDU",$J:$J,"PLANNED")&gt;0,"tied","standalone"),"")</f>
        <v/>
      </c>
    </row>
    <row r="11814" spans="6:14">
      <c r="F11814" s="6">
        <f>IF($M11814="PADD I","PADD 1",IF($M11814="PADD II","PADD 2",IF($M11814="PADD III","PADD 3",IF($M11814="PADD IV","PADD 4",IF($M11814="PADD V","PADD 5","")))))</f>
        <v/>
      </c>
      <c r="G11814" s="6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  <c r="N11814" s="6">
        <f>IF(OR($G11814="FCC",$G11814="Hydrocracker",$G11814="Reformer"),IF(COUNTIFS($D:$D,$D11814,$A:$A,$A11814,$B:$B,$B11814,$G:$G,"CDU",$J:$J,"PLANNED")&gt;0,"tied","standalone"),"")</f>
        <v/>
      </c>
    </row>
    <row r="11815" spans="6:14">
      <c r="F11815" s="6">
        <f>IF($M11815="PADD I","PADD 1",IF($M11815="PADD II","PADD 2",IF($M11815="PADD III","PADD 3",IF($M11815="PADD IV","PADD 4",IF($M11815="PADD V","PADD 5","")))))</f>
        <v/>
      </c>
      <c r="G11815" s="6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  <c r="N11815" s="6">
        <f>IF(OR($G11815="FCC",$G11815="Hydrocracker",$G11815="Reformer"),IF(COUNTIFS($D:$D,$D11815,$A:$A,$A11815,$B:$B,$B11815,$G:$G,"CDU",$J:$J,"PLANNED")&gt;0,"tied","standalone"),"")</f>
        <v/>
      </c>
    </row>
    <row r="11816" spans="6:14">
      <c r="F11816" s="6">
        <f>IF($M11816="PADD I","PADD 1",IF($M11816="PADD II","PADD 2",IF($M11816="PADD III","PADD 3",IF($M11816="PADD IV","PADD 4",IF($M11816="PADD V","PADD 5","")))))</f>
        <v/>
      </c>
      <c r="G11816" s="6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  <c r="N11816" s="6">
        <f>IF(OR($G11816="FCC",$G11816="Hydrocracker",$G11816="Reformer"),IF(COUNTIFS($D:$D,$D11816,$A:$A,$A11816,$B:$B,$B11816,$G:$G,"CDU",$J:$J,"PLANNED")&gt;0,"tied","standalone"),"")</f>
        <v/>
      </c>
    </row>
    <row r="11817" spans="6:14">
      <c r="F11817" s="6">
        <f>IF($M11817="PADD I","PADD 1",IF($M11817="PADD II","PADD 2",IF($M11817="PADD III","PADD 3",IF($M11817="PADD IV","PADD 4",IF($M11817="PADD V","PADD 5","")))))</f>
        <v/>
      </c>
      <c r="G11817" s="6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  <c r="N11817" s="6">
        <f>IF(OR($G11817="FCC",$G11817="Hydrocracker",$G11817="Reformer"),IF(COUNTIFS($D:$D,$D11817,$A:$A,$A11817,$B:$B,$B11817,$G:$G,"CDU",$J:$J,"PLANNED")&gt;0,"tied","standalone"),"")</f>
        <v/>
      </c>
    </row>
    <row r="11818" spans="6:14">
      <c r="F11818" s="6">
        <f>IF($M11818="PADD I","PADD 1",IF($M11818="PADD II","PADD 2",IF($M11818="PADD III","PADD 3",IF($M11818="PADD IV","PADD 4",IF($M11818="PADD V","PADD 5","")))))</f>
        <v/>
      </c>
      <c r="G11818" s="6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  <c r="N11818" s="6">
        <f>IF(OR($G11818="FCC",$G11818="Hydrocracker",$G11818="Reformer"),IF(COUNTIFS($D:$D,$D11818,$A:$A,$A11818,$B:$B,$B11818,$G:$G,"CDU",$J:$J,"PLANNED")&gt;0,"tied","standalone"),"")</f>
        <v/>
      </c>
    </row>
    <row r="11819" spans="6:14">
      <c r="F11819" s="6">
        <f>IF($M11819="PADD I","PADD 1",IF($M11819="PADD II","PADD 2",IF($M11819="PADD III","PADD 3",IF($M11819="PADD IV","PADD 4",IF($M11819="PADD V","PADD 5","")))))</f>
        <v/>
      </c>
      <c r="G11819" s="6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  <c r="N11819" s="6">
        <f>IF(OR($G11819="FCC",$G11819="Hydrocracker",$G11819="Reformer"),IF(COUNTIFS($D:$D,$D11819,$A:$A,$A11819,$B:$B,$B11819,$G:$G,"CDU",$J:$J,"PLANNED")&gt;0,"tied","standalone"),"")</f>
        <v/>
      </c>
    </row>
    <row r="11820" spans="6:14">
      <c r="F11820" s="6">
        <f>IF($M11820="PADD I","PADD 1",IF($M11820="PADD II","PADD 2",IF($M11820="PADD III","PADD 3",IF($M11820="PADD IV","PADD 4",IF($M11820="PADD V","PADD 5","")))))</f>
        <v/>
      </c>
      <c r="G11820" s="6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  <c r="N11820" s="6">
        <f>IF(OR($G11820="FCC",$G11820="Hydrocracker",$G11820="Reformer"),IF(COUNTIFS($D:$D,$D11820,$A:$A,$A11820,$B:$B,$B11820,$G:$G,"CDU",$J:$J,"PLANNED")&gt;0,"tied","standalone"),"")</f>
        <v/>
      </c>
    </row>
    <row r="11821" spans="6:14">
      <c r="F11821" s="6">
        <f>IF($M11821="PADD I","PADD 1",IF($M11821="PADD II","PADD 2",IF($M11821="PADD III","PADD 3",IF($M11821="PADD IV","PADD 4",IF($M11821="PADD V","PADD 5","")))))</f>
        <v/>
      </c>
      <c r="G11821" s="6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  <c r="N11821" s="6">
        <f>IF(OR($G11821="FCC",$G11821="Hydrocracker",$G11821="Reformer"),IF(COUNTIFS($D:$D,$D11821,$A:$A,$A11821,$B:$B,$B11821,$G:$G,"CDU",$J:$J,"PLANNED")&gt;0,"tied","standalone"),"")</f>
        <v/>
      </c>
    </row>
    <row r="11822" spans="6:14">
      <c r="F11822" s="6">
        <f>IF($M11822="PADD I","PADD 1",IF($M11822="PADD II","PADD 2",IF($M11822="PADD III","PADD 3",IF($M11822="PADD IV","PADD 4",IF($M11822="PADD V","PADD 5","")))))</f>
        <v/>
      </c>
      <c r="G11822" s="6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  <c r="N11822" s="6">
        <f>IF(OR($G11822="FCC",$G11822="Hydrocracker",$G11822="Reformer"),IF(COUNTIFS($D:$D,$D11822,$A:$A,$A11822,$B:$B,$B11822,$G:$G,"CDU",$J:$J,"PLANNED")&gt;0,"tied","standalone"),"")</f>
        <v/>
      </c>
    </row>
    <row r="11823" spans="6:14">
      <c r="F11823" s="6">
        <f>IF($M11823="PADD I","PADD 1",IF($M11823="PADD II","PADD 2",IF($M11823="PADD III","PADD 3",IF($M11823="PADD IV","PADD 4",IF($M11823="PADD V","PADD 5","")))))</f>
        <v/>
      </c>
      <c r="G11823" s="6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  <c r="N11823" s="6">
        <f>IF(OR($G11823="FCC",$G11823="Hydrocracker",$G11823="Reformer"),IF(COUNTIFS($D:$D,$D11823,$A:$A,$A11823,$B:$B,$B11823,$G:$G,"CDU",$J:$J,"PLANNED")&gt;0,"tied","standalone"),"")</f>
        <v/>
      </c>
    </row>
    <row r="11824" spans="6:14">
      <c r="F11824" s="6">
        <f>IF($M11824="PADD I","PADD 1",IF($M11824="PADD II","PADD 2",IF($M11824="PADD III","PADD 3",IF($M11824="PADD IV","PADD 4",IF($M11824="PADD V","PADD 5","")))))</f>
        <v/>
      </c>
      <c r="G11824" s="6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  <c r="N11824" s="6">
        <f>IF(OR($G11824="FCC",$G11824="Hydrocracker",$G11824="Reformer"),IF(COUNTIFS($D:$D,$D11824,$A:$A,$A11824,$B:$B,$B11824,$G:$G,"CDU",$J:$J,"PLANNED")&gt;0,"tied","standalone"),"")</f>
        <v/>
      </c>
    </row>
    <row r="11825" spans="6:14">
      <c r="F11825" s="6">
        <f>IF($M11825="PADD I","PADD 1",IF($M11825="PADD II","PADD 2",IF($M11825="PADD III","PADD 3",IF($M11825="PADD IV","PADD 4",IF($M11825="PADD V","PADD 5","")))))</f>
        <v/>
      </c>
      <c r="G11825" s="6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  <c r="N11825" s="6">
        <f>IF(OR($G11825="FCC",$G11825="Hydrocracker",$G11825="Reformer"),IF(COUNTIFS($D:$D,$D11825,$A:$A,$A11825,$B:$B,$B11825,$G:$G,"CDU",$J:$J,"PLANNED")&gt;0,"tied","standalone"),"")</f>
        <v/>
      </c>
    </row>
    <row r="11826" spans="6:14">
      <c r="F11826" s="6">
        <f>IF($M11826="PADD I","PADD 1",IF($M11826="PADD II","PADD 2",IF($M11826="PADD III","PADD 3",IF($M11826="PADD IV","PADD 4",IF($M11826="PADD V","PADD 5","")))))</f>
        <v/>
      </c>
      <c r="G11826" s="6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  <c r="N11826" s="6">
        <f>IF(OR($G11826="FCC",$G11826="Hydrocracker",$G11826="Reformer"),IF(COUNTIFS($D:$D,$D11826,$A:$A,$A11826,$B:$B,$B11826,$G:$G,"CDU",$J:$J,"PLANNED")&gt;0,"tied","standalone"),"")</f>
        <v/>
      </c>
    </row>
    <row r="11827" spans="6:14">
      <c r="F11827" s="6">
        <f>IF($M11827="PADD I","PADD 1",IF($M11827="PADD II","PADD 2",IF($M11827="PADD III","PADD 3",IF($M11827="PADD IV","PADD 4",IF($M11827="PADD V","PADD 5","")))))</f>
        <v/>
      </c>
      <c r="G11827" s="6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  <c r="N11827" s="6">
        <f>IF(OR($G11827="FCC",$G11827="Hydrocracker",$G11827="Reformer"),IF(COUNTIFS($D:$D,$D11827,$A:$A,$A11827,$B:$B,$B11827,$G:$G,"CDU",$J:$J,"PLANNED")&gt;0,"tied","standalone"),"")</f>
        <v/>
      </c>
    </row>
    <row r="11828" spans="6:14">
      <c r="F11828" s="6">
        <f>IF($M11828="PADD I","PADD 1",IF($M11828="PADD II","PADD 2",IF($M11828="PADD III","PADD 3",IF($M11828="PADD IV","PADD 4",IF($M11828="PADD V","PADD 5","")))))</f>
        <v/>
      </c>
      <c r="G11828" s="6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  <c r="N11828" s="6">
        <f>IF(OR($G11828="FCC",$G11828="Hydrocracker",$G11828="Reformer"),IF(COUNTIFS($D:$D,$D11828,$A:$A,$A11828,$B:$B,$B11828,$G:$G,"CDU",$J:$J,"PLANNED")&gt;0,"tied","standalone"),"")</f>
        <v/>
      </c>
    </row>
    <row r="11829" spans="6:14">
      <c r="F11829" s="6">
        <f>IF($M11829="PADD I","PADD 1",IF($M11829="PADD II","PADD 2",IF($M11829="PADD III","PADD 3",IF($M11829="PADD IV","PADD 4",IF($M11829="PADD V","PADD 5","")))))</f>
        <v/>
      </c>
      <c r="G11829" s="6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  <c r="N11829" s="6">
        <f>IF(OR($G11829="FCC",$G11829="Hydrocracker",$G11829="Reformer"),IF(COUNTIFS($D:$D,$D11829,$A:$A,$A11829,$B:$B,$B11829,$G:$G,"CDU",$J:$J,"PLANNED")&gt;0,"tied","standalone"),"")</f>
        <v/>
      </c>
    </row>
    <row r="11830" spans="6:14">
      <c r="F11830" s="6">
        <f>IF($M11830="PADD I","PADD 1",IF($M11830="PADD II","PADD 2",IF($M11830="PADD III","PADD 3",IF($M11830="PADD IV","PADD 4",IF($M11830="PADD V","PADD 5","")))))</f>
        <v/>
      </c>
      <c r="G11830" s="6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  <c r="N11830" s="6">
        <f>IF(OR($G11830="FCC",$G11830="Hydrocracker",$G11830="Reformer"),IF(COUNTIFS($D:$D,$D11830,$A:$A,$A11830,$B:$B,$B11830,$G:$G,"CDU",$J:$J,"PLANNED")&gt;0,"tied","standalone"),"")</f>
        <v/>
      </c>
    </row>
    <row r="11831" spans="6:14">
      <c r="F11831" s="6">
        <f>IF($M11831="PADD I","PADD 1",IF($M11831="PADD II","PADD 2",IF($M11831="PADD III","PADD 3",IF($M11831="PADD IV","PADD 4",IF($M11831="PADD V","PADD 5","")))))</f>
        <v/>
      </c>
      <c r="G11831" s="6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  <c r="N11831" s="6">
        <f>IF(OR($G11831="FCC",$G11831="Hydrocracker",$G11831="Reformer"),IF(COUNTIFS($D:$D,$D11831,$A:$A,$A11831,$B:$B,$B11831,$G:$G,"CDU",$J:$J,"PLANNED")&gt;0,"tied","standalone"),"")</f>
        <v/>
      </c>
    </row>
    <row r="11832" spans="6:14">
      <c r="F11832" s="6">
        <f>IF($M11832="PADD I","PADD 1",IF($M11832="PADD II","PADD 2",IF($M11832="PADD III","PADD 3",IF($M11832="PADD IV","PADD 4",IF($M11832="PADD V","PADD 5","")))))</f>
        <v/>
      </c>
      <c r="G11832" s="6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  <c r="N11832" s="6">
        <f>IF(OR($G11832="FCC",$G11832="Hydrocracker",$G11832="Reformer"),IF(COUNTIFS($D:$D,$D11832,$A:$A,$A11832,$B:$B,$B11832,$G:$G,"CDU",$J:$J,"PLANNED")&gt;0,"tied","standalone"),"")</f>
        <v/>
      </c>
    </row>
    <row r="11833" spans="6:14">
      <c r="F11833" s="6">
        <f>IF($M11833="PADD I","PADD 1",IF($M11833="PADD II","PADD 2",IF($M11833="PADD III","PADD 3",IF($M11833="PADD IV","PADD 4",IF($M11833="PADD V","PADD 5","")))))</f>
        <v/>
      </c>
      <c r="G11833" s="6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  <c r="N11833" s="6">
        <f>IF(OR($G11833="FCC",$G11833="Hydrocracker",$G11833="Reformer"),IF(COUNTIFS($D:$D,$D11833,$A:$A,$A11833,$B:$B,$B11833,$G:$G,"CDU",$J:$J,"PLANNED")&gt;0,"tied","standalone"),"")</f>
        <v/>
      </c>
    </row>
    <row r="11834" spans="6:14">
      <c r="F11834" s="6">
        <f>IF($M11834="PADD I","PADD 1",IF($M11834="PADD II","PADD 2",IF($M11834="PADD III","PADD 3",IF($M11834="PADD IV","PADD 4",IF($M11834="PADD V","PADD 5","")))))</f>
        <v/>
      </c>
      <c r="G11834" s="6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  <c r="N11834" s="6">
        <f>IF(OR($G11834="FCC",$G11834="Hydrocracker",$G11834="Reformer"),IF(COUNTIFS($D:$D,$D11834,$A:$A,$A11834,$B:$B,$B11834,$G:$G,"CDU",$J:$J,"PLANNED")&gt;0,"tied","standalone"),"")</f>
        <v/>
      </c>
    </row>
    <row r="11835" spans="6:14">
      <c r="F11835" s="6">
        <f>IF($M11835="PADD I","PADD 1",IF($M11835="PADD II","PADD 2",IF($M11835="PADD III","PADD 3",IF($M11835="PADD IV","PADD 4",IF($M11835="PADD V","PADD 5","")))))</f>
        <v/>
      </c>
      <c r="G11835" s="6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  <c r="N11835" s="6">
        <f>IF(OR($G11835="FCC",$G11835="Hydrocracker",$G11835="Reformer"),IF(COUNTIFS($D:$D,$D11835,$A:$A,$A11835,$B:$B,$B11835,$G:$G,"CDU",$J:$J,"PLANNED")&gt;0,"tied","standalone"),"")</f>
        <v/>
      </c>
    </row>
    <row r="11836" spans="6:14">
      <c r="F11836" s="6">
        <f>IF($M11836="PADD I","PADD 1",IF($M11836="PADD II","PADD 2",IF($M11836="PADD III","PADD 3",IF($M11836="PADD IV","PADD 4",IF($M11836="PADD V","PADD 5","")))))</f>
        <v/>
      </c>
      <c r="G11836" s="6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  <c r="N11836" s="6">
        <f>IF(OR($G11836="FCC",$G11836="Hydrocracker",$G11836="Reformer"),IF(COUNTIFS($D:$D,$D11836,$A:$A,$A11836,$B:$B,$B11836,$G:$G,"CDU",$J:$J,"PLANNED")&gt;0,"tied","standalone"),"")</f>
        <v/>
      </c>
    </row>
    <row r="11837" spans="6:14">
      <c r="F11837" s="6">
        <f>IF($M11837="PADD I","PADD 1",IF($M11837="PADD II","PADD 2",IF($M11837="PADD III","PADD 3",IF($M11837="PADD IV","PADD 4",IF($M11837="PADD V","PADD 5","")))))</f>
        <v/>
      </c>
      <c r="G11837" s="6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  <c r="N11837" s="6">
        <f>IF(OR($G11837="FCC",$G11837="Hydrocracker",$G11837="Reformer"),IF(COUNTIFS($D:$D,$D11837,$A:$A,$A11837,$B:$B,$B11837,$G:$G,"CDU",$J:$J,"PLANNED")&gt;0,"tied","standalone"),"")</f>
        <v/>
      </c>
    </row>
    <row r="11838" spans="6:14">
      <c r="F11838" s="6">
        <f>IF($M11838="PADD I","PADD 1",IF($M11838="PADD II","PADD 2",IF($M11838="PADD III","PADD 3",IF($M11838="PADD IV","PADD 4",IF($M11838="PADD V","PADD 5","")))))</f>
        <v/>
      </c>
      <c r="G11838" s="6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  <c r="N11838" s="6">
        <f>IF(OR($G11838="FCC",$G11838="Hydrocracker",$G11838="Reformer"),IF(COUNTIFS($D:$D,$D11838,$A:$A,$A11838,$B:$B,$B11838,$G:$G,"CDU",$J:$J,"PLANNED")&gt;0,"tied","standalone"),"")</f>
        <v/>
      </c>
    </row>
    <row r="11839" spans="6:14">
      <c r="F11839" s="6">
        <f>IF($M11839="PADD I","PADD 1",IF($M11839="PADD II","PADD 2",IF($M11839="PADD III","PADD 3",IF($M11839="PADD IV","PADD 4",IF($M11839="PADD V","PADD 5","")))))</f>
        <v/>
      </c>
      <c r="G11839" s="6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  <c r="N11839" s="6">
        <f>IF(OR($G11839="FCC",$G11839="Hydrocracker",$G11839="Reformer"),IF(COUNTIFS($D:$D,$D11839,$A:$A,$A11839,$B:$B,$B11839,$G:$G,"CDU",$J:$J,"PLANNED")&gt;0,"tied","standalone"),"")</f>
        <v/>
      </c>
    </row>
    <row r="11840" spans="6:14">
      <c r="F11840" s="6">
        <f>IF($M11840="PADD I","PADD 1",IF($M11840="PADD II","PADD 2",IF($M11840="PADD III","PADD 3",IF($M11840="PADD IV","PADD 4",IF($M11840="PADD V","PADD 5","")))))</f>
        <v/>
      </c>
      <c r="G11840" s="6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  <c r="N11840" s="6">
        <f>IF(OR($G11840="FCC",$G11840="Hydrocracker",$G11840="Reformer"),IF(COUNTIFS($D:$D,$D11840,$A:$A,$A11840,$B:$B,$B11840,$G:$G,"CDU",$J:$J,"PLANNED")&gt;0,"tied","standalone"),"")</f>
        <v/>
      </c>
    </row>
    <row r="11841" spans="6:14">
      <c r="F11841" s="6">
        <f>IF($M11841="PADD I","PADD 1",IF($M11841="PADD II","PADD 2",IF($M11841="PADD III","PADD 3",IF($M11841="PADD IV","PADD 4",IF($M11841="PADD V","PADD 5","")))))</f>
        <v/>
      </c>
      <c r="G11841" s="6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  <c r="N11841" s="6">
        <f>IF(OR($G11841="FCC",$G11841="Hydrocracker",$G11841="Reformer"),IF(COUNTIFS($D:$D,$D11841,$A:$A,$A11841,$B:$B,$B11841,$G:$G,"CDU",$J:$J,"PLANNED")&gt;0,"tied","standalone"),"")</f>
        <v/>
      </c>
    </row>
    <row r="11842" spans="6:14">
      <c r="F11842" s="6">
        <f>IF($M11842="PADD I","PADD 1",IF($M11842="PADD II","PADD 2",IF($M11842="PADD III","PADD 3",IF($M11842="PADD IV","PADD 4",IF($M11842="PADD V","PADD 5","")))))</f>
        <v/>
      </c>
      <c r="G11842" s="6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  <c r="N11842" s="6">
        <f>IF(OR($G11842="FCC",$G11842="Hydrocracker",$G11842="Reformer"),IF(COUNTIFS($D:$D,$D11842,$A:$A,$A11842,$B:$B,$B11842,$G:$G,"CDU",$J:$J,"PLANNED")&gt;0,"tied","standalone"),"")</f>
        <v/>
      </c>
    </row>
    <row r="11843" spans="6:14">
      <c r="F11843" s="6">
        <f>IF($M11843="PADD I","PADD 1",IF($M11843="PADD II","PADD 2",IF($M11843="PADD III","PADD 3",IF($M11843="PADD IV","PADD 4",IF($M11843="PADD V","PADD 5","")))))</f>
        <v/>
      </c>
      <c r="G11843" s="6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  <c r="N11843" s="6">
        <f>IF(OR($G11843="FCC",$G11843="Hydrocracker",$G11843="Reformer"),IF(COUNTIFS($D:$D,$D11843,$A:$A,$A11843,$B:$B,$B11843,$G:$G,"CDU",$J:$J,"PLANNED")&gt;0,"tied","standalone"),"")</f>
        <v/>
      </c>
    </row>
    <row r="11844" spans="6:14">
      <c r="F11844" s="6">
        <f>IF($M11844="PADD I","PADD 1",IF($M11844="PADD II","PADD 2",IF($M11844="PADD III","PADD 3",IF($M11844="PADD IV","PADD 4",IF($M11844="PADD V","PADD 5","")))))</f>
        <v/>
      </c>
      <c r="G11844" s="6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  <c r="N11844" s="6">
        <f>IF(OR($G11844="FCC",$G11844="Hydrocracker",$G11844="Reformer"),IF(COUNTIFS($D:$D,$D11844,$A:$A,$A11844,$B:$B,$B11844,$G:$G,"CDU",$J:$J,"PLANNED")&gt;0,"tied","standalone"),"")</f>
        <v/>
      </c>
    </row>
    <row r="11845" spans="6:14">
      <c r="F11845" s="6">
        <f>IF($M11845="PADD I","PADD 1",IF($M11845="PADD II","PADD 2",IF($M11845="PADD III","PADD 3",IF($M11845="PADD IV","PADD 4",IF($M11845="PADD V","PADD 5","")))))</f>
        <v/>
      </c>
      <c r="G11845" s="6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  <c r="N11845" s="6">
        <f>IF(OR($G11845="FCC",$G11845="Hydrocracker",$G11845="Reformer"),IF(COUNTIFS($D:$D,$D11845,$A:$A,$A11845,$B:$B,$B11845,$G:$G,"CDU",$J:$J,"PLANNED")&gt;0,"tied","standalone"),"")</f>
        <v/>
      </c>
    </row>
    <row r="11846" spans="6:14">
      <c r="F11846" s="6">
        <f>IF($M11846="PADD I","PADD 1",IF($M11846="PADD II","PADD 2",IF($M11846="PADD III","PADD 3",IF($M11846="PADD IV","PADD 4",IF($M11846="PADD V","PADD 5","")))))</f>
        <v/>
      </c>
      <c r="G11846" s="6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  <c r="N11846" s="6">
        <f>IF(OR($G11846="FCC",$G11846="Hydrocracker",$G11846="Reformer"),IF(COUNTIFS($D:$D,$D11846,$A:$A,$A11846,$B:$B,$B11846,$G:$G,"CDU",$J:$J,"PLANNED")&gt;0,"tied","standalone"),"")</f>
        <v/>
      </c>
    </row>
    <row r="11847" spans="6:14">
      <c r="F11847" s="6">
        <f>IF($M11847="PADD I","PADD 1",IF($M11847="PADD II","PADD 2",IF($M11847="PADD III","PADD 3",IF($M11847="PADD IV","PADD 4",IF($M11847="PADD V","PADD 5","")))))</f>
        <v/>
      </c>
      <c r="G11847" s="6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  <c r="N11847" s="6">
        <f>IF(OR($G11847="FCC",$G11847="Hydrocracker",$G11847="Reformer"),IF(COUNTIFS($D:$D,$D11847,$A:$A,$A11847,$B:$B,$B11847,$G:$G,"CDU",$J:$J,"PLANNED")&gt;0,"tied","standalone"),"")</f>
        <v/>
      </c>
    </row>
    <row r="11848" spans="6:14">
      <c r="F11848" s="6">
        <f>IF($M11848="PADD I","PADD 1",IF($M11848="PADD II","PADD 2",IF($M11848="PADD III","PADD 3",IF($M11848="PADD IV","PADD 4",IF($M11848="PADD V","PADD 5","")))))</f>
        <v/>
      </c>
      <c r="G11848" s="6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  <c r="N11848" s="6">
        <f>IF(OR($G11848="FCC",$G11848="Hydrocracker",$G11848="Reformer"),IF(COUNTIFS($D:$D,$D11848,$A:$A,$A11848,$B:$B,$B11848,$G:$G,"CDU",$J:$J,"PLANNED")&gt;0,"tied","standalone"),"")</f>
        <v/>
      </c>
    </row>
    <row r="11849" spans="6:14">
      <c r="F11849" s="6">
        <f>IF($M11849="PADD I","PADD 1",IF($M11849="PADD II","PADD 2",IF($M11849="PADD III","PADD 3",IF($M11849="PADD IV","PADD 4",IF($M11849="PADD V","PADD 5","")))))</f>
        <v/>
      </c>
      <c r="G11849" s="6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  <c r="N11849" s="6">
        <f>IF(OR($G11849="FCC",$G11849="Hydrocracker",$G11849="Reformer"),IF(COUNTIFS($D:$D,$D11849,$A:$A,$A11849,$B:$B,$B11849,$G:$G,"CDU",$J:$J,"PLANNED")&gt;0,"tied","standalone"),"")</f>
        <v/>
      </c>
    </row>
    <row r="11850" spans="6:14">
      <c r="F11850" s="6">
        <f>IF($M11850="PADD I","PADD 1",IF($M11850="PADD II","PADD 2",IF($M11850="PADD III","PADD 3",IF($M11850="PADD IV","PADD 4",IF($M11850="PADD V","PADD 5","")))))</f>
        <v/>
      </c>
      <c r="G11850" s="6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  <c r="N11850" s="6">
        <f>IF(OR($G11850="FCC",$G11850="Hydrocracker",$G11850="Reformer"),IF(COUNTIFS($D:$D,$D11850,$A:$A,$A11850,$B:$B,$B11850,$G:$G,"CDU",$J:$J,"PLANNED")&gt;0,"tied","standalone"),"")</f>
        <v/>
      </c>
    </row>
    <row r="11851" spans="6:14">
      <c r="F11851" s="6">
        <f>IF($M11851="PADD I","PADD 1",IF($M11851="PADD II","PADD 2",IF($M11851="PADD III","PADD 3",IF($M11851="PADD IV","PADD 4",IF($M11851="PADD V","PADD 5","")))))</f>
        <v/>
      </c>
      <c r="G11851" s="6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  <c r="N11851" s="6">
        <f>IF(OR($G11851="FCC",$G11851="Hydrocracker",$G11851="Reformer"),IF(COUNTIFS($D:$D,$D11851,$A:$A,$A11851,$B:$B,$B11851,$G:$G,"CDU",$J:$J,"PLANNED")&gt;0,"tied","standalone"),"")</f>
        <v/>
      </c>
    </row>
    <row r="11852" spans="6:14">
      <c r="F11852" s="6">
        <f>IF($M11852="PADD I","PADD 1",IF($M11852="PADD II","PADD 2",IF($M11852="PADD III","PADD 3",IF($M11852="PADD IV","PADD 4",IF($M11852="PADD V","PADD 5","")))))</f>
        <v/>
      </c>
      <c r="G11852" s="6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  <c r="N11852" s="6">
        <f>IF(OR($G11852="FCC",$G11852="Hydrocracker",$G11852="Reformer"),IF(COUNTIFS($D:$D,$D11852,$A:$A,$A11852,$B:$B,$B11852,$G:$G,"CDU",$J:$J,"PLANNED")&gt;0,"tied","standalone"),"")</f>
        <v/>
      </c>
    </row>
    <row r="11853" spans="6:14">
      <c r="F11853" s="6">
        <f>IF($M11853="PADD I","PADD 1",IF($M11853="PADD II","PADD 2",IF($M11853="PADD III","PADD 3",IF($M11853="PADD IV","PADD 4",IF($M11853="PADD V","PADD 5","")))))</f>
        <v/>
      </c>
      <c r="G11853" s="6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  <c r="N11853" s="6">
        <f>IF(OR($G11853="FCC",$G11853="Hydrocracker",$G11853="Reformer"),IF(COUNTIFS($D:$D,$D11853,$A:$A,$A11853,$B:$B,$B11853,$G:$G,"CDU",$J:$J,"PLANNED")&gt;0,"tied","standalone"),"")</f>
        <v/>
      </c>
    </row>
    <row r="11854" spans="6:14">
      <c r="F11854" s="6">
        <f>IF($M11854="PADD I","PADD 1",IF($M11854="PADD II","PADD 2",IF($M11854="PADD III","PADD 3",IF($M11854="PADD IV","PADD 4",IF($M11854="PADD V","PADD 5","")))))</f>
        <v/>
      </c>
      <c r="G11854" s="6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  <c r="N11854" s="6">
        <f>IF(OR($G11854="FCC",$G11854="Hydrocracker",$G11854="Reformer"),IF(COUNTIFS($D:$D,$D11854,$A:$A,$A11854,$B:$B,$B11854,$G:$G,"CDU",$J:$J,"PLANNED")&gt;0,"tied","standalone"),"")</f>
        <v/>
      </c>
    </row>
    <row r="11855" spans="6:14">
      <c r="F11855" s="6">
        <f>IF($M11855="PADD I","PADD 1",IF($M11855="PADD II","PADD 2",IF($M11855="PADD III","PADD 3",IF($M11855="PADD IV","PADD 4",IF($M11855="PADD V","PADD 5","")))))</f>
        <v/>
      </c>
      <c r="G11855" s="6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  <c r="N11855" s="6">
        <f>IF(OR($G11855="FCC",$G11855="Hydrocracker",$G11855="Reformer"),IF(COUNTIFS($D:$D,$D11855,$A:$A,$A11855,$B:$B,$B11855,$G:$G,"CDU",$J:$J,"PLANNED")&gt;0,"tied","standalone"),"")</f>
        <v/>
      </c>
    </row>
    <row r="11856" spans="6:14">
      <c r="F11856" s="6">
        <f>IF($M11856="PADD I","PADD 1",IF($M11856="PADD II","PADD 2",IF($M11856="PADD III","PADD 3",IF($M11856="PADD IV","PADD 4",IF($M11856="PADD V","PADD 5","")))))</f>
        <v/>
      </c>
      <c r="G11856" s="6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  <c r="N11856" s="6">
        <f>IF(OR($G11856="FCC",$G11856="Hydrocracker",$G11856="Reformer"),IF(COUNTIFS($D:$D,$D11856,$A:$A,$A11856,$B:$B,$B11856,$G:$G,"CDU",$J:$J,"PLANNED")&gt;0,"tied","standalone"),"")</f>
        <v/>
      </c>
    </row>
    <row r="11857" spans="6:14">
      <c r="F11857" s="6">
        <f>IF($M11857="PADD I","PADD 1",IF($M11857="PADD II","PADD 2",IF($M11857="PADD III","PADD 3",IF($M11857="PADD IV","PADD 4",IF($M11857="PADD V","PADD 5","")))))</f>
        <v/>
      </c>
      <c r="G11857" s="6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  <c r="N11857" s="6">
        <f>IF(OR($G11857="FCC",$G11857="Hydrocracker",$G11857="Reformer"),IF(COUNTIFS($D:$D,$D11857,$A:$A,$A11857,$B:$B,$B11857,$G:$G,"CDU",$J:$J,"PLANNED")&gt;0,"tied","standalone"),"")</f>
        <v/>
      </c>
    </row>
    <row r="11858" spans="6:14">
      <c r="F11858" s="6">
        <f>IF($M11858="PADD I","PADD 1",IF($M11858="PADD II","PADD 2",IF($M11858="PADD III","PADD 3",IF($M11858="PADD IV","PADD 4",IF($M11858="PADD V","PADD 5","")))))</f>
        <v/>
      </c>
      <c r="G11858" s="6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  <c r="N11858" s="6">
        <f>IF(OR($G11858="FCC",$G11858="Hydrocracker",$G11858="Reformer"),IF(COUNTIFS($D:$D,$D11858,$A:$A,$A11858,$B:$B,$B11858,$G:$G,"CDU",$J:$J,"PLANNED")&gt;0,"tied","standalone"),"")</f>
        <v/>
      </c>
    </row>
    <row r="11859" spans="6:14">
      <c r="F11859" s="6">
        <f>IF($M11859="PADD I","PADD 1",IF($M11859="PADD II","PADD 2",IF($M11859="PADD III","PADD 3",IF($M11859="PADD IV","PADD 4",IF($M11859="PADD V","PADD 5","")))))</f>
        <v/>
      </c>
      <c r="G11859" s="6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  <c r="N11859" s="6">
        <f>IF(OR($G11859="FCC",$G11859="Hydrocracker",$G11859="Reformer"),IF(COUNTIFS($D:$D,$D11859,$A:$A,$A11859,$B:$B,$B11859,$G:$G,"CDU",$J:$J,"PLANNED")&gt;0,"tied","standalone"),"")</f>
        <v/>
      </c>
    </row>
    <row r="11860" spans="6:14">
      <c r="F11860" s="6">
        <f>IF($M11860="PADD I","PADD 1",IF($M11860="PADD II","PADD 2",IF($M11860="PADD III","PADD 3",IF($M11860="PADD IV","PADD 4",IF($M11860="PADD V","PADD 5","")))))</f>
        <v/>
      </c>
      <c r="G11860" s="6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  <c r="N11860" s="6">
        <f>IF(OR($G11860="FCC",$G11860="Hydrocracker",$G11860="Reformer"),IF(COUNTIFS($D:$D,$D11860,$A:$A,$A11860,$B:$B,$B11860,$G:$G,"CDU",$J:$J,"PLANNED")&gt;0,"tied","standalone"),"")</f>
        <v/>
      </c>
    </row>
    <row r="11861" spans="6:14">
      <c r="F11861" s="6">
        <f>IF($M11861="PADD I","PADD 1",IF($M11861="PADD II","PADD 2",IF($M11861="PADD III","PADD 3",IF($M11861="PADD IV","PADD 4",IF($M11861="PADD V","PADD 5","")))))</f>
        <v/>
      </c>
      <c r="G11861" s="6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  <c r="N11861" s="6">
        <f>IF(OR($G11861="FCC",$G11861="Hydrocracker",$G11861="Reformer"),IF(COUNTIFS($D:$D,$D11861,$A:$A,$A11861,$B:$B,$B11861,$G:$G,"CDU",$J:$J,"PLANNED")&gt;0,"tied","standalone"),"")</f>
        <v/>
      </c>
    </row>
    <row r="11862" spans="6:14">
      <c r="F11862" s="6">
        <f>IF($M11862="PADD I","PADD 1",IF($M11862="PADD II","PADD 2",IF($M11862="PADD III","PADD 3",IF($M11862="PADD IV","PADD 4",IF($M11862="PADD V","PADD 5","")))))</f>
        <v/>
      </c>
      <c r="G11862" s="6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  <c r="N11862" s="6">
        <f>IF(OR($G11862="FCC",$G11862="Hydrocracker",$G11862="Reformer"),IF(COUNTIFS($D:$D,$D11862,$A:$A,$A11862,$B:$B,$B11862,$G:$G,"CDU",$J:$J,"PLANNED")&gt;0,"tied","standalone"),"")</f>
        <v/>
      </c>
    </row>
    <row r="11863" spans="6:14">
      <c r="F11863" s="6">
        <f>IF($M11863="PADD I","PADD 1",IF($M11863="PADD II","PADD 2",IF($M11863="PADD III","PADD 3",IF($M11863="PADD IV","PADD 4",IF($M11863="PADD V","PADD 5","")))))</f>
        <v/>
      </c>
      <c r="G11863" s="6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  <c r="N11863" s="6">
        <f>IF(OR($G11863="FCC",$G11863="Hydrocracker",$G11863="Reformer"),IF(COUNTIFS($D:$D,$D11863,$A:$A,$A11863,$B:$B,$B11863,$G:$G,"CDU",$J:$J,"PLANNED")&gt;0,"tied","standalone"),"")</f>
        <v/>
      </c>
    </row>
    <row r="11864" spans="6:14">
      <c r="F11864" s="6">
        <f>IF($M11864="PADD I","PADD 1",IF($M11864="PADD II","PADD 2",IF($M11864="PADD III","PADD 3",IF($M11864="PADD IV","PADD 4",IF($M11864="PADD V","PADD 5","")))))</f>
        <v/>
      </c>
      <c r="G11864" s="6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  <c r="N11864" s="6">
        <f>IF(OR($G11864="FCC",$G11864="Hydrocracker",$G11864="Reformer"),IF(COUNTIFS($D:$D,$D11864,$A:$A,$A11864,$B:$B,$B11864,$G:$G,"CDU",$J:$J,"PLANNED")&gt;0,"tied","standalone"),"")</f>
        <v/>
      </c>
    </row>
    <row r="11865" spans="6:14">
      <c r="F11865" s="6">
        <f>IF($M11865="PADD I","PADD 1",IF($M11865="PADD II","PADD 2",IF($M11865="PADD III","PADD 3",IF($M11865="PADD IV","PADD 4",IF($M11865="PADD V","PADD 5","")))))</f>
        <v/>
      </c>
      <c r="G11865" s="6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  <c r="N11865" s="6">
        <f>IF(OR($G11865="FCC",$G11865="Hydrocracker",$G11865="Reformer"),IF(COUNTIFS($D:$D,$D11865,$A:$A,$A11865,$B:$B,$B11865,$G:$G,"CDU",$J:$J,"PLANNED")&gt;0,"tied","standalone"),"")</f>
        <v/>
      </c>
    </row>
    <row r="11866" spans="6:14">
      <c r="F11866" s="6">
        <f>IF($M11866="PADD I","PADD 1",IF($M11866="PADD II","PADD 2",IF($M11866="PADD III","PADD 3",IF($M11866="PADD IV","PADD 4",IF($M11866="PADD V","PADD 5","")))))</f>
        <v/>
      </c>
      <c r="G11866" s="6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  <c r="N11866" s="6">
        <f>IF(OR($G11866="FCC",$G11866="Hydrocracker",$G11866="Reformer"),IF(COUNTIFS($D:$D,$D11866,$A:$A,$A11866,$B:$B,$B11866,$G:$G,"CDU",$J:$J,"PLANNED")&gt;0,"tied","standalone"),"")</f>
        <v/>
      </c>
    </row>
    <row r="11867" spans="6:14">
      <c r="F11867" s="6">
        <f>IF($M11867="PADD I","PADD 1",IF($M11867="PADD II","PADD 2",IF($M11867="PADD III","PADD 3",IF($M11867="PADD IV","PADD 4",IF($M11867="PADD V","PADD 5","")))))</f>
        <v/>
      </c>
      <c r="G11867" s="6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  <c r="N11867" s="6">
        <f>IF(OR($G11867="FCC",$G11867="Hydrocracker",$G11867="Reformer"),IF(COUNTIFS($D:$D,$D11867,$A:$A,$A11867,$B:$B,$B11867,$G:$G,"CDU",$J:$J,"PLANNED")&gt;0,"tied","standalone"),"")</f>
        <v/>
      </c>
    </row>
    <row r="11868" spans="6:14">
      <c r="F11868" s="6">
        <f>IF($M11868="PADD I","PADD 1",IF($M11868="PADD II","PADD 2",IF($M11868="PADD III","PADD 3",IF($M11868="PADD IV","PADD 4",IF($M11868="PADD V","PADD 5","")))))</f>
        <v/>
      </c>
      <c r="G11868" s="6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  <c r="N11868" s="6">
        <f>IF(OR($G11868="FCC",$G11868="Hydrocracker",$G11868="Reformer"),IF(COUNTIFS($D:$D,$D11868,$A:$A,$A11868,$B:$B,$B11868,$G:$G,"CDU",$J:$J,"PLANNED")&gt;0,"tied","standalone"),"")</f>
        <v/>
      </c>
    </row>
    <row r="11869" spans="6:14">
      <c r="F11869" s="6">
        <f>IF($M11869="PADD I","PADD 1",IF($M11869="PADD II","PADD 2",IF($M11869="PADD III","PADD 3",IF($M11869="PADD IV","PADD 4",IF($M11869="PADD V","PADD 5","")))))</f>
        <v/>
      </c>
      <c r="G11869" s="6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  <c r="N11869" s="6">
        <f>IF(OR($G11869="FCC",$G11869="Hydrocracker",$G11869="Reformer"),IF(COUNTIFS($D:$D,$D11869,$A:$A,$A11869,$B:$B,$B11869,$G:$G,"CDU",$J:$J,"PLANNED")&gt;0,"tied","standalone"),"")</f>
        <v/>
      </c>
    </row>
    <row r="11870" spans="6:14">
      <c r="F11870" s="6">
        <f>IF($M11870="PADD I","PADD 1",IF($M11870="PADD II","PADD 2",IF($M11870="PADD III","PADD 3",IF($M11870="PADD IV","PADD 4",IF($M11870="PADD V","PADD 5","")))))</f>
        <v/>
      </c>
      <c r="G11870" s="6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  <c r="N11870" s="6">
        <f>IF(OR($G11870="FCC",$G11870="Hydrocracker",$G11870="Reformer"),IF(COUNTIFS($D:$D,$D11870,$A:$A,$A11870,$B:$B,$B11870,$G:$G,"CDU",$J:$J,"PLANNED")&gt;0,"tied","standalone"),"")</f>
        <v/>
      </c>
    </row>
    <row r="11871" spans="6:14">
      <c r="F11871" s="6">
        <f>IF($M11871="PADD I","PADD 1",IF($M11871="PADD II","PADD 2",IF($M11871="PADD III","PADD 3",IF($M11871="PADD IV","PADD 4",IF($M11871="PADD V","PADD 5","")))))</f>
        <v/>
      </c>
      <c r="G11871" s="6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  <c r="N11871" s="6">
        <f>IF(OR($G11871="FCC",$G11871="Hydrocracker",$G11871="Reformer"),IF(COUNTIFS($D:$D,$D11871,$A:$A,$A11871,$B:$B,$B11871,$G:$G,"CDU",$J:$J,"PLANNED")&gt;0,"tied","standalone"),"")</f>
        <v/>
      </c>
    </row>
    <row r="11872" spans="6:14">
      <c r="F11872" s="6">
        <f>IF($M11872="PADD I","PADD 1",IF($M11872="PADD II","PADD 2",IF($M11872="PADD III","PADD 3",IF($M11872="PADD IV","PADD 4",IF($M11872="PADD V","PADD 5","")))))</f>
        <v/>
      </c>
      <c r="G11872" s="6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  <c r="N11872" s="6">
        <f>IF(OR($G11872="FCC",$G11872="Hydrocracker",$G11872="Reformer"),IF(COUNTIFS($D:$D,$D11872,$A:$A,$A11872,$B:$B,$B11872,$G:$G,"CDU",$J:$J,"PLANNED")&gt;0,"tied","standalone"),"")</f>
        <v/>
      </c>
    </row>
    <row r="11873" spans="6:14">
      <c r="F11873" s="6">
        <f>IF($M11873="PADD I","PADD 1",IF($M11873="PADD II","PADD 2",IF($M11873="PADD III","PADD 3",IF($M11873="PADD IV","PADD 4",IF($M11873="PADD V","PADD 5","")))))</f>
        <v/>
      </c>
      <c r="G11873" s="6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  <c r="N11873" s="6">
        <f>IF(OR($G11873="FCC",$G11873="Hydrocracker",$G11873="Reformer"),IF(COUNTIFS($D:$D,$D11873,$A:$A,$A11873,$B:$B,$B11873,$G:$G,"CDU",$J:$J,"PLANNED")&gt;0,"tied","standalone"),"")</f>
        <v/>
      </c>
    </row>
    <row r="11874" spans="6:14">
      <c r="F11874" s="6">
        <f>IF($M11874="PADD I","PADD 1",IF($M11874="PADD II","PADD 2",IF($M11874="PADD III","PADD 3",IF($M11874="PADD IV","PADD 4",IF($M11874="PADD V","PADD 5","")))))</f>
        <v/>
      </c>
      <c r="G11874" s="6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  <c r="N11874" s="6">
        <f>IF(OR($G11874="FCC",$G11874="Hydrocracker",$G11874="Reformer"),IF(COUNTIFS($D:$D,$D11874,$A:$A,$A11874,$B:$B,$B11874,$G:$G,"CDU",$J:$J,"PLANNED")&gt;0,"tied","standalone"),"")</f>
        <v/>
      </c>
    </row>
    <row r="11875" spans="6:14">
      <c r="F11875" s="6">
        <f>IF($M11875="PADD I","PADD 1",IF($M11875="PADD II","PADD 2",IF($M11875="PADD III","PADD 3",IF($M11875="PADD IV","PADD 4",IF($M11875="PADD V","PADD 5","")))))</f>
        <v/>
      </c>
      <c r="G11875" s="6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  <c r="N11875" s="6">
        <f>IF(OR($G11875="FCC",$G11875="Hydrocracker",$G11875="Reformer"),IF(COUNTIFS($D:$D,$D11875,$A:$A,$A11875,$B:$B,$B11875,$G:$G,"CDU",$J:$J,"PLANNED")&gt;0,"tied","standalone"),"")</f>
        <v/>
      </c>
    </row>
    <row r="11876" spans="6:14">
      <c r="F11876" s="6">
        <f>IF($M11876="PADD I","PADD 1",IF($M11876="PADD II","PADD 2",IF($M11876="PADD III","PADD 3",IF($M11876="PADD IV","PADD 4",IF($M11876="PADD V","PADD 5","")))))</f>
        <v/>
      </c>
      <c r="G11876" s="6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  <c r="N11876" s="6">
        <f>IF(OR($G11876="FCC",$G11876="Hydrocracker",$G11876="Reformer"),IF(COUNTIFS($D:$D,$D11876,$A:$A,$A11876,$B:$B,$B11876,$G:$G,"CDU",$J:$J,"PLANNED")&gt;0,"tied","standalone"),"")</f>
        <v/>
      </c>
    </row>
    <row r="11877" spans="6:14">
      <c r="F11877" s="6">
        <f>IF($M11877="PADD I","PADD 1",IF($M11877="PADD II","PADD 2",IF($M11877="PADD III","PADD 3",IF($M11877="PADD IV","PADD 4",IF($M11877="PADD V","PADD 5","")))))</f>
        <v/>
      </c>
      <c r="G11877" s="6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  <c r="N11877" s="6">
        <f>IF(OR($G11877="FCC",$G11877="Hydrocracker",$G11877="Reformer"),IF(COUNTIFS($D:$D,$D11877,$A:$A,$A11877,$B:$B,$B11877,$G:$G,"CDU",$J:$J,"PLANNED")&gt;0,"tied","standalone"),"")</f>
        <v/>
      </c>
    </row>
    <row r="11878" spans="6:14">
      <c r="F11878" s="6">
        <f>IF($M11878="PADD I","PADD 1",IF($M11878="PADD II","PADD 2",IF($M11878="PADD III","PADD 3",IF($M11878="PADD IV","PADD 4",IF($M11878="PADD V","PADD 5","")))))</f>
        <v/>
      </c>
      <c r="G11878" s="6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  <c r="N11878" s="6">
        <f>IF(OR($G11878="FCC",$G11878="Hydrocracker",$G11878="Reformer"),IF(COUNTIFS($D:$D,$D11878,$A:$A,$A11878,$B:$B,$B11878,$G:$G,"CDU",$J:$J,"PLANNED")&gt;0,"tied","standalone"),"")</f>
        <v/>
      </c>
    </row>
    <row r="11879" spans="6:14">
      <c r="F11879" s="6">
        <f>IF($M11879="PADD I","PADD 1",IF($M11879="PADD II","PADD 2",IF($M11879="PADD III","PADD 3",IF($M11879="PADD IV","PADD 4",IF($M11879="PADD V","PADD 5","")))))</f>
        <v/>
      </c>
      <c r="G11879" s="6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  <c r="N11879" s="6">
        <f>IF(OR($G11879="FCC",$G11879="Hydrocracker",$G11879="Reformer"),IF(COUNTIFS($D:$D,$D11879,$A:$A,$A11879,$B:$B,$B11879,$G:$G,"CDU",$J:$J,"PLANNED")&gt;0,"tied","standalone"),"")</f>
        <v/>
      </c>
    </row>
    <row r="11880" spans="6:14">
      <c r="F11880" s="6">
        <f>IF($M11880="PADD I","PADD 1",IF($M11880="PADD II","PADD 2",IF($M11880="PADD III","PADD 3",IF($M11880="PADD IV","PADD 4",IF($M11880="PADD V","PADD 5","")))))</f>
        <v/>
      </c>
      <c r="G11880" s="6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  <c r="N11880" s="6">
        <f>IF(OR($G11880="FCC",$G11880="Hydrocracker",$G11880="Reformer"),IF(COUNTIFS($D:$D,$D11880,$A:$A,$A11880,$B:$B,$B11880,$G:$G,"CDU",$J:$J,"PLANNED")&gt;0,"tied","standalone"),"")</f>
        <v/>
      </c>
    </row>
    <row r="11881" spans="6:14">
      <c r="F11881" s="6">
        <f>IF($M11881="PADD I","PADD 1",IF($M11881="PADD II","PADD 2",IF($M11881="PADD III","PADD 3",IF($M11881="PADD IV","PADD 4",IF($M11881="PADD V","PADD 5","")))))</f>
        <v/>
      </c>
      <c r="G11881" s="6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  <c r="N11881" s="6">
        <f>IF(OR($G11881="FCC",$G11881="Hydrocracker",$G11881="Reformer"),IF(COUNTIFS($D:$D,$D11881,$A:$A,$A11881,$B:$B,$B11881,$G:$G,"CDU",$J:$J,"PLANNED")&gt;0,"tied","standalone"),"")</f>
        <v/>
      </c>
    </row>
    <row r="11882" spans="6:14">
      <c r="F11882" s="6">
        <f>IF($M11882="PADD I","PADD 1",IF($M11882="PADD II","PADD 2",IF($M11882="PADD III","PADD 3",IF($M11882="PADD IV","PADD 4",IF($M11882="PADD V","PADD 5","")))))</f>
        <v/>
      </c>
      <c r="G11882" s="6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  <c r="N11882" s="6">
        <f>IF(OR($G11882="FCC",$G11882="Hydrocracker",$G11882="Reformer"),IF(COUNTIFS($D:$D,$D11882,$A:$A,$A11882,$B:$B,$B11882,$G:$G,"CDU",$J:$J,"PLANNED")&gt;0,"tied","standalone"),"")</f>
        <v/>
      </c>
    </row>
    <row r="11883" spans="6:14">
      <c r="F11883" s="6">
        <f>IF($M11883="PADD I","PADD 1",IF($M11883="PADD II","PADD 2",IF($M11883="PADD III","PADD 3",IF($M11883="PADD IV","PADD 4",IF($M11883="PADD V","PADD 5","")))))</f>
        <v/>
      </c>
      <c r="G11883" s="6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  <c r="N11883" s="6">
        <f>IF(OR($G11883="FCC",$G11883="Hydrocracker",$G11883="Reformer"),IF(COUNTIFS($D:$D,$D11883,$A:$A,$A11883,$B:$B,$B11883,$G:$G,"CDU",$J:$J,"PLANNED")&gt;0,"tied","standalone"),"")</f>
        <v/>
      </c>
    </row>
    <row r="11884" spans="6:14">
      <c r="F11884" s="6">
        <f>IF($M11884="PADD I","PADD 1",IF($M11884="PADD II","PADD 2",IF($M11884="PADD III","PADD 3",IF($M11884="PADD IV","PADD 4",IF($M11884="PADD V","PADD 5","")))))</f>
        <v/>
      </c>
      <c r="G11884" s="6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  <c r="N11884" s="6">
        <f>IF(OR($G11884="FCC",$G11884="Hydrocracker",$G11884="Reformer"),IF(COUNTIFS($D:$D,$D11884,$A:$A,$A11884,$B:$B,$B11884,$G:$G,"CDU",$J:$J,"PLANNED")&gt;0,"tied","standalone"),"")</f>
        <v/>
      </c>
    </row>
    <row r="11885" spans="6:14">
      <c r="F11885" s="6">
        <f>IF($M11885="PADD I","PADD 1",IF($M11885="PADD II","PADD 2",IF($M11885="PADD III","PADD 3",IF($M11885="PADD IV","PADD 4",IF($M11885="PADD V","PADD 5","")))))</f>
        <v/>
      </c>
      <c r="G11885" s="6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  <c r="N11885" s="6">
        <f>IF(OR($G11885="FCC",$G11885="Hydrocracker",$G11885="Reformer"),IF(COUNTIFS($D:$D,$D11885,$A:$A,$A11885,$B:$B,$B11885,$G:$G,"CDU",$J:$J,"PLANNED")&gt;0,"tied","standalone"),"")</f>
        <v/>
      </c>
    </row>
    <row r="11886" spans="6:14">
      <c r="F11886" s="6">
        <f>IF($M11886="PADD I","PADD 1",IF($M11886="PADD II","PADD 2",IF($M11886="PADD III","PADD 3",IF($M11886="PADD IV","PADD 4",IF($M11886="PADD V","PADD 5","")))))</f>
        <v/>
      </c>
      <c r="G11886" s="6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  <c r="N11886" s="6">
        <f>IF(OR($G11886="FCC",$G11886="Hydrocracker",$G11886="Reformer"),IF(COUNTIFS($D:$D,$D11886,$A:$A,$A11886,$B:$B,$B11886,$G:$G,"CDU",$J:$J,"PLANNED")&gt;0,"tied","standalone"),"")</f>
        <v/>
      </c>
    </row>
    <row r="11887" spans="6:14">
      <c r="F11887" s="6">
        <f>IF($M11887="PADD I","PADD 1",IF($M11887="PADD II","PADD 2",IF($M11887="PADD III","PADD 3",IF($M11887="PADD IV","PADD 4",IF($M11887="PADD V","PADD 5","")))))</f>
        <v/>
      </c>
      <c r="G11887" s="6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  <c r="N11887" s="6">
        <f>IF(OR($G11887="FCC",$G11887="Hydrocracker",$G11887="Reformer"),IF(COUNTIFS($D:$D,$D11887,$A:$A,$A11887,$B:$B,$B11887,$G:$G,"CDU",$J:$J,"PLANNED")&gt;0,"tied","standalone"),"")</f>
        <v/>
      </c>
    </row>
    <row r="11888" spans="6:14">
      <c r="F11888" s="6">
        <f>IF($M11888="PADD I","PADD 1",IF($M11888="PADD II","PADD 2",IF($M11888="PADD III","PADD 3",IF($M11888="PADD IV","PADD 4",IF($M11888="PADD V","PADD 5","")))))</f>
        <v/>
      </c>
      <c r="G11888" s="6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  <c r="N11888" s="6">
        <f>IF(OR($G11888="FCC",$G11888="Hydrocracker",$G11888="Reformer"),IF(COUNTIFS($D:$D,$D11888,$A:$A,$A11888,$B:$B,$B11888,$G:$G,"CDU",$J:$J,"PLANNED")&gt;0,"tied","standalone"),"")</f>
        <v/>
      </c>
    </row>
    <row r="11889" spans="6:14">
      <c r="F11889" s="6">
        <f>IF($M11889="PADD I","PADD 1",IF($M11889="PADD II","PADD 2",IF($M11889="PADD III","PADD 3",IF($M11889="PADD IV","PADD 4",IF($M11889="PADD V","PADD 5","")))))</f>
        <v/>
      </c>
      <c r="G11889" s="6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  <c r="N11889" s="6">
        <f>IF(OR($G11889="FCC",$G11889="Hydrocracker",$G11889="Reformer"),IF(COUNTIFS($D:$D,$D11889,$A:$A,$A11889,$B:$B,$B11889,$G:$G,"CDU",$J:$J,"PLANNED")&gt;0,"tied","standalone"),"")</f>
        <v/>
      </c>
    </row>
    <row r="11890" spans="6:14">
      <c r="F11890" s="6">
        <f>IF($M11890="PADD I","PADD 1",IF($M11890="PADD II","PADD 2",IF($M11890="PADD III","PADD 3",IF($M11890="PADD IV","PADD 4",IF($M11890="PADD V","PADD 5","")))))</f>
        <v/>
      </c>
      <c r="G11890" s="6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  <c r="N11890" s="6">
        <f>IF(OR($G11890="FCC",$G11890="Hydrocracker",$G11890="Reformer"),IF(COUNTIFS($D:$D,$D11890,$A:$A,$A11890,$B:$B,$B11890,$G:$G,"CDU",$J:$J,"PLANNED")&gt;0,"tied","standalone"),"")</f>
        <v/>
      </c>
    </row>
    <row r="11891" spans="6:14">
      <c r="F11891" s="6">
        <f>IF($M11891="PADD I","PADD 1",IF($M11891="PADD II","PADD 2",IF($M11891="PADD III","PADD 3",IF($M11891="PADD IV","PADD 4",IF($M11891="PADD V","PADD 5","")))))</f>
        <v/>
      </c>
      <c r="G11891" s="6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  <c r="N11891" s="6">
        <f>IF(OR($G11891="FCC",$G11891="Hydrocracker",$G11891="Reformer"),IF(COUNTIFS($D:$D,$D11891,$A:$A,$A11891,$B:$B,$B11891,$G:$G,"CDU",$J:$J,"PLANNED")&gt;0,"tied","standalone"),"")</f>
        <v/>
      </c>
    </row>
    <row r="11892" spans="6:14">
      <c r="F11892" s="6">
        <f>IF($M11892="PADD I","PADD 1",IF($M11892="PADD II","PADD 2",IF($M11892="PADD III","PADD 3",IF($M11892="PADD IV","PADD 4",IF($M11892="PADD V","PADD 5","")))))</f>
        <v/>
      </c>
      <c r="G11892" s="6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  <c r="N11892" s="6">
        <f>IF(OR($G11892="FCC",$G11892="Hydrocracker",$G11892="Reformer"),IF(COUNTIFS($D:$D,$D11892,$A:$A,$A11892,$B:$B,$B11892,$G:$G,"CDU",$J:$J,"PLANNED")&gt;0,"tied","standalone"),"")</f>
        <v/>
      </c>
    </row>
    <row r="11893" spans="6:14">
      <c r="F11893" s="6">
        <f>IF($M11893="PADD I","PADD 1",IF($M11893="PADD II","PADD 2",IF($M11893="PADD III","PADD 3",IF($M11893="PADD IV","PADD 4",IF($M11893="PADD V","PADD 5","")))))</f>
        <v/>
      </c>
      <c r="G11893" s="6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  <c r="N11893" s="6">
        <f>IF(OR($G11893="FCC",$G11893="Hydrocracker",$G11893="Reformer"),IF(COUNTIFS($D:$D,$D11893,$A:$A,$A11893,$B:$B,$B11893,$G:$G,"CDU",$J:$J,"PLANNED")&gt;0,"tied","standalone"),"")</f>
        <v/>
      </c>
    </row>
    <row r="11894" spans="6:14">
      <c r="F11894" s="6">
        <f>IF($M11894="PADD I","PADD 1",IF($M11894="PADD II","PADD 2",IF($M11894="PADD III","PADD 3",IF($M11894="PADD IV","PADD 4",IF($M11894="PADD V","PADD 5","")))))</f>
        <v/>
      </c>
      <c r="G11894" s="6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  <c r="N11894" s="6">
        <f>IF(OR($G11894="FCC",$G11894="Hydrocracker",$G11894="Reformer"),IF(COUNTIFS($D:$D,$D11894,$A:$A,$A11894,$B:$B,$B11894,$G:$G,"CDU",$J:$J,"PLANNED")&gt;0,"tied","standalone"),"")</f>
        <v/>
      </c>
    </row>
    <row r="11895" spans="6:14">
      <c r="F11895" s="6">
        <f>IF($M11895="PADD I","PADD 1",IF($M11895="PADD II","PADD 2",IF($M11895="PADD III","PADD 3",IF($M11895="PADD IV","PADD 4",IF($M11895="PADD V","PADD 5","")))))</f>
        <v/>
      </c>
      <c r="G11895" s="6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  <c r="N11895" s="6">
        <f>IF(OR($G11895="FCC",$G11895="Hydrocracker",$G11895="Reformer"),IF(COUNTIFS($D:$D,$D11895,$A:$A,$A11895,$B:$B,$B11895,$G:$G,"CDU",$J:$J,"PLANNED")&gt;0,"tied","standalone"),"")</f>
        <v/>
      </c>
    </row>
    <row r="11896" spans="6:14">
      <c r="F11896" s="6">
        <f>IF($M11896="PADD I","PADD 1",IF($M11896="PADD II","PADD 2",IF($M11896="PADD III","PADD 3",IF($M11896="PADD IV","PADD 4",IF($M11896="PADD V","PADD 5","")))))</f>
        <v/>
      </c>
      <c r="G11896" s="6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  <c r="N11896" s="6">
        <f>IF(OR($G11896="FCC",$G11896="Hydrocracker",$G11896="Reformer"),IF(COUNTIFS($D:$D,$D11896,$A:$A,$A11896,$B:$B,$B11896,$G:$G,"CDU",$J:$J,"PLANNED")&gt;0,"tied","standalone"),"")</f>
        <v/>
      </c>
    </row>
    <row r="11897" spans="6:14">
      <c r="F11897" s="6">
        <f>IF($M11897="PADD I","PADD 1",IF($M11897="PADD II","PADD 2",IF($M11897="PADD III","PADD 3",IF($M11897="PADD IV","PADD 4",IF($M11897="PADD V","PADD 5","")))))</f>
        <v/>
      </c>
      <c r="G11897" s="6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  <c r="N11897" s="6">
        <f>IF(OR($G11897="FCC",$G11897="Hydrocracker",$G11897="Reformer"),IF(COUNTIFS($D:$D,$D11897,$A:$A,$A11897,$B:$B,$B11897,$G:$G,"CDU",$J:$J,"PLANNED")&gt;0,"tied","standalone"),"")</f>
        <v/>
      </c>
    </row>
    <row r="11898" spans="6:14">
      <c r="F11898" s="6">
        <f>IF($M11898="PADD I","PADD 1",IF($M11898="PADD II","PADD 2",IF($M11898="PADD III","PADD 3",IF($M11898="PADD IV","PADD 4",IF($M11898="PADD V","PADD 5","")))))</f>
        <v/>
      </c>
      <c r="G11898" s="6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  <c r="N11898" s="6">
        <f>IF(OR($G11898="FCC",$G11898="Hydrocracker",$G11898="Reformer"),IF(COUNTIFS($D:$D,$D11898,$A:$A,$A11898,$B:$B,$B11898,$G:$G,"CDU",$J:$J,"PLANNED")&gt;0,"tied","standalone"),"")</f>
        <v/>
      </c>
    </row>
    <row r="11899" spans="6:14">
      <c r="F11899" s="6">
        <f>IF($M11899="PADD I","PADD 1",IF($M11899="PADD II","PADD 2",IF($M11899="PADD III","PADD 3",IF($M11899="PADD IV","PADD 4",IF($M11899="PADD V","PADD 5","")))))</f>
        <v/>
      </c>
      <c r="G11899" s="6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  <c r="N11899" s="6">
        <f>IF(OR($G11899="FCC",$G11899="Hydrocracker",$G11899="Reformer"),IF(COUNTIFS($D:$D,$D11899,$A:$A,$A11899,$B:$B,$B11899,$G:$G,"CDU",$J:$J,"PLANNED")&gt;0,"tied","standalone"),"")</f>
        <v/>
      </c>
    </row>
    <row r="11900" spans="6:14">
      <c r="F11900" s="6">
        <f>IF($M11900="PADD I","PADD 1",IF($M11900="PADD II","PADD 2",IF($M11900="PADD III","PADD 3",IF($M11900="PADD IV","PADD 4",IF($M11900="PADD V","PADD 5","")))))</f>
        <v/>
      </c>
      <c r="G11900" s="6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  <c r="N11900" s="6">
        <f>IF(OR($G11900="FCC",$G11900="Hydrocracker",$G11900="Reformer"),IF(COUNTIFS($D:$D,$D11900,$A:$A,$A11900,$B:$B,$B11900,$G:$G,"CDU",$J:$J,"PLANNED")&gt;0,"tied","standalone"),"")</f>
        <v/>
      </c>
    </row>
    <row r="11901" spans="6:14">
      <c r="F11901" s="6">
        <f>IF($M11901="PADD I","PADD 1",IF($M11901="PADD II","PADD 2",IF($M11901="PADD III","PADD 3",IF($M11901="PADD IV","PADD 4",IF($M11901="PADD V","PADD 5","")))))</f>
        <v/>
      </c>
      <c r="G11901" s="6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  <c r="N11901" s="6">
        <f>IF(OR($G11901="FCC",$G11901="Hydrocracker",$G11901="Reformer"),IF(COUNTIFS($D:$D,$D11901,$A:$A,$A11901,$B:$B,$B11901,$G:$G,"CDU",$J:$J,"PLANNED")&gt;0,"tied","standalone"),"")</f>
        <v/>
      </c>
    </row>
    <row r="11902" spans="6:14">
      <c r="F11902" s="6">
        <f>IF($M11902="PADD I","PADD 1",IF($M11902="PADD II","PADD 2",IF($M11902="PADD III","PADD 3",IF($M11902="PADD IV","PADD 4",IF($M11902="PADD V","PADD 5","")))))</f>
        <v/>
      </c>
      <c r="G11902" s="6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  <c r="N11902" s="6">
        <f>IF(OR($G11902="FCC",$G11902="Hydrocracker",$G11902="Reformer"),IF(COUNTIFS($D:$D,$D11902,$A:$A,$A11902,$B:$B,$B11902,$G:$G,"CDU",$J:$J,"PLANNED")&gt;0,"tied","standalone"),"")</f>
        <v/>
      </c>
    </row>
    <row r="11903" spans="6:14">
      <c r="F11903" s="6">
        <f>IF($M11903="PADD I","PADD 1",IF($M11903="PADD II","PADD 2",IF($M11903="PADD III","PADD 3",IF($M11903="PADD IV","PADD 4",IF($M11903="PADD V","PADD 5","")))))</f>
        <v/>
      </c>
      <c r="G11903" s="6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  <c r="N11903" s="6">
        <f>IF(OR($G11903="FCC",$G11903="Hydrocracker",$G11903="Reformer"),IF(COUNTIFS($D:$D,$D11903,$A:$A,$A11903,$B:$B,$B11903,$G:$G,"CDU",$J:$J,"PLANNED")&gt;0,"tied","standalone"),"")</f>
        <v/>
      </c>
    </row>
    <row r="11904" spans="6:14">
      <c r="F11904" s="6">
        <f>IF($M11904="PADD I","PADD 1",IF($M11904="PADD II","PADD 2",IF($M11904="PADD III","PADD 3",IF($M11904="PADD IV","PADD 4",IF($M11904="PADD V","PADD 5","")))))</f>
        <v/>
      </c>
      <c r="G11904" s="6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  <c r="N11904" s="6">
        <f>IF(OR($G11904="FCC",$G11904="Hydrocracker",$G11904="Reformer"),IF(COUNTIFS($D:$D,$D11904,$A:$A,$A11904,$B:$B,$B11904,$G:$G,"CDU",$J:$J,"PLANNED")&gt;0,"tied","standalone"),"")</f>
        <v/>
      </c>
    </row>
    <row r="11905" spans="6:14">
      <c r="F11905" s="6">
        <f>IF($M11905="PADD I","PADD 1",IF($M11905="PADD II","PADD 2",IF($M11905="PADD III","PADD 3",IF($M11905="PADD IV","PADD 4",IF($M11905="PADD V","PADD 5","")))))</f>
        <v/>
      </c>
      <c r="G11905" s="6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  <c r="N11905" s="6">
        <f>IF(OR($G11905="FCC",$G11905="Hydrocracker",$G11905="Reformer"),IF(COUNTIFS($D:$D,$D11905,$A:$A,$A11905,$B:$B,$B11905,$G:$G,"CDU",$J:$J,"PLANNED")&gt;0,"tied","standalone"),"")</f>
        <v/>
      </c>
    </row>
    <row r="11906" spans="6:14">
      <c r="F11906" s="6">
        <f>IF($M11906="PADD I","PADD 1",IF($M11906="PADD II","PADD 2",IF($M11906="PADD III","PADD 3",IF($M11906="PADD IV","PADD 4",IF($M11906="PADD V","PADD 5","")))))</f>
        <v/>
      </c>
      <c r="G11906" s="6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  <c r="N11906" s="6">
        <f>IF(OR($G11906="FCC",$G11906="Hydrocracker",$G11906="Reformer"),IF(COUNTIFS($D:$D,$D11906,$A:$A,$A11906,$B:$B,$B11906,$G:$G,"CDU",$J:$J,"PLANNED")&gt;0,"tied","standalone"),"")</f>
        <v/>
      </c>
    </row>
    <row r="11907" spans="6:14">
      <c r="F11907" s="6">
        <f>IF($M11907="PADD I","PADD 1",IF($M11907="PADD II","PADD 2",IF($M11907="PADD III","PADD 3",IF($M11907="PADD IV","PADD 4",IF($M11907="PADD V","PADD 5","")))))</f>
        <v/>
      </c>
      <c r="G11907" s="6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  <c r="N11907" s="6">
        <f>IF(OR($G11907="FCC",$G11907="Hydrocracker",$G11907="Reformer"),IF(COUNTIFS($D:$D,$D11907,$A:$A,$A11907,$B:$B,$B11907,$G:$G,"CDU",$J:$J,"PLANNED")&gt;0,"tied","standalone"),"")</f>
        <v/>
      </c>
    </row>
    <row r="11908" spans="6:14">
      <c r="F11908" s="6">
        <f>IF($M11908="PADD I","PADD 1",IF($M11908="PADD II","PADD 2",IF($M11908="PADD III","PADD 3",IF($M11908="PADD IV","PADD 4",IF($M11908="PADD V","PADD 5","")))))</f>
        <v/>
      </c>
      <c r="G11908" s="6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  <c r="N11908" s="6">
        <f>IF(OR($G11908="FCC",$G11908="Hydrocracker",$G11908="Reformer"),IF(COUNTIFS($D:$D,$D11908,$A:$A,$A11908,$B:$B,$B11908,$G:$G,"CDU",$J:$J,"PLANNED")&gt;0,"tied","standalone"),"")</f>
        <v/>
      </c>
    </row>
    <row r="11909" spans="6:14">
      <c r="F11909" s="6">
        <f>IF($M11909="PADD I","PADD 1",IF($M11909="PADD II","PADD 2",IF($M11909="PADD III","PADD 3",IF($M11909="PADD IV","PADD 4",IF($M11909="PADD V","PADD 5","")))))</f>
        <v/>
      </c>
      <c r="G11909" s="6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  <c r="N11909" s="6">
        <f>IF(OR($G11909="FCC",$G11909="Hydrocracker",$G11909="Reformer"),IF(COUNTIFS($D:$D,$D11909,$A:$A,$A11909,$B:$B,$B11909,$G:$G,"CDU",$J:$J,"PLANNED")&gt;0,"tied","standalone"),"")</f>
        <v/>
      </c>
    </row>
    <row r="11910" spans="6:14">
      <c r="F11910" s="6">
        <f>IF($M11910="PADD I","PADD 1",IF($M11910="PADD II","PADD 2",IF($M11910="PADD III","PADD 3",IF($M11910="PADD IV","PADD 4",IF($M11910="PADD V","PADD 5","")))))</f>
        <v/>
      </c>
      <c r="G11910" s="6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  <c r="N11910" s="6">
        <f>IF(OR($G11910="FCC",$G11910="Hydrocracker",$G11910="Reformer"),IF(COUNTIFS($D:$D,$D11910,$A:$A,$A11910,$B:$B,$B11910,$G:$G,"CDU",$J:$J,"PLANNED")&gt;0,"tied","standalone"),"")</f>
        <v/>
      </c>
    </row>
    <row r="11911" spans="6:14">
      <c r="F11911" s="6">
        <f>IF($M11911="PADD I","PADD 1",IF($M11911="PADD II","PADD 2",IF($M11911="PADD III","PADD 3",IF($M11911="PADD IV","PADD 4",IF($M11911="PADD V","PADD 5","")))))</f>
        <v/>
      </c>
      <c r="G11911" s="6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  <c r="N11911" s="6">
        <f>IF(OR($G11911="FCC",$G11911="Hydrocracker",$G11911="Reformer"),IF(COUNTIFS($D:$D,$D11911,$A:$A,$A11911,$B:$B,$B11911,$G:$G,"CDU",$J:$J,"PLANNED")&gt;0,"tied","standalone"),"")</f>
        <v/>
      </c>
    </row>
    <row r="11912" spans="6:14">
      <c r="F11912" s="6">
        <f>IF($M11912="PADD I","PADD 1",IF($M11912="PADD II","PADD 2",IF($M11912="PADD III","PADD 3",IF($M11912="PADD IV","PADD 4",IF($M11912="PADD V","PADD 5","")))))</f>
        <v/>
      </c>
      <c r="G11912" s="6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  <c r="N11912" s="6">
        <f>IF(OR($G11912="FCC",$G11912="Hydrocracker",$G11912="Reformer"),IF(COUNTIFS($D:$D,$D11912,$A:$A,$A11912,$B:$B,$B11912,$G:$G,"CDU",$J:$J,"PLANNED")&gt;0,"tied","standalone"),"")</f>
        <v/>
      </c>
    </row>
    <row r="11913" spans="6:14">
      <c r="F11913" s="6">
        <f>IF($M11913="PADD I","PADD 1",IF($M11913="PADD II","PADD 2",IF($M11913="PADD III","PADD 3",IF($M11913="PADD IV","PADD 4",IF($M11913="PADD V","PADD 5","")))))</f>
        <v/>
      </c>
      <c r="G11913" s="6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  <c r="N11913" s="6">
        <f>IF(OR($G11913="FCC",$G11913="Hydrocracker",$G11913="Reformer"),IF(COUNTIFS($D:$D,$D11913,$A:$A,$A11913,$B:$B,$B11913,$G:$G,"CDU",$J:$J,"PLANNED")&gt;0,"tied","standalone"),"")</f>
        <v/>
      </c>
    </row>
    <row r="11914" spans="6:14">
      <c r="F11914" s="6">
        <f>IF($M11914="PADD I","PADD 1",IF($M11914="PADD II","PADD 2",IF($M11914="PADD III","PADD 3",IF($M11914="PADD IV","PADD 4",IF($M11914="PADD V","PADD 5","")))))</f>
        <v/>
      </c>
      <c r="G11914" s="6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  <c r="N11914" s="6">
        <f>IF(OR($G11914="FCC",$G11914="Hydrocracker",$G11914="Reformer"),IF(COUNTIFS($D:$D,$D11914,$A:$A,$A11914,$B:$B,$B11914,$G:$G,"CDU",$J:$J,"PLANNED")&gt;0,"tied","standalone"),"")</f>
        <v/>
      </c>
    </row>
    <row r="11915" spans="6:14">
      <c r="F11915" s="6">
        <f>IF($M11915="PADD I","PADD 1",IF($M11915="PADD II","PADD 2",IF($M11915="PADD III","PADD 3",IF($M11915="PADD IV","PADD 4",IF($M11915="PADD V","PADD 5","")))))</f>
        <v/>
      </c>
      <c r="G11915" s="6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  <c r="N11915" s="6">
        <f>IF(OR($G11915="FCC",$G11915="Hydrocracker",$G11915="Reformer"),IF(COUNTIFS($D:$D,$D11915,$A:$A,$A11915,$B:$B,$B11915,$G:$G,"CDU",$J:$J,"PLANNED")&gt;0,"tied","standalone"),"")</f>
        <v/>
      </c>
    </row>
    <row r="11916" spans="6:14">
      <c r="F11916" s="6">
        <f>IF($M11916="PADD I","PADD 1",IF($M11916="PADD II","PADD 2",IF($M11916="PADD III","PADD 3",IF($M11916="PADD IV","PADD 4",IF($M11916="PADD V","PADD 5","")))))</f>
        <v/>
      </c>
      <c r="G11916" s="6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  <c r="N11916" s="6">
        <f>IF(OR($G11916="FCC",$G11916="Hydrocracker",$G11916="Reformer"),IF(COUNTIFS($D:$D,$D11916,$A:$A,$A11916,$B:$B,$B11916,$G:$G,"CDU",$J:$J,"PLANNED")&gt;0,"tied","standalone"),"")</f>
        <v/>
      </c>
    </row>
    <row r="11917" spans="6:14">
      <c r="F11917" s="6">
        <f>IF($M11917="PADD I","PADD 1",IF($M11917="PADD II","PADD 2",IF($M11917="PADD III","PADD 3",IF($M11917="PADD IV","PADD 4",IF($M11917="PADD V","PADD 5","")))))</f>
        <v/>
      </c>
      <c r="G11917" s="6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  <c r="N11917" s="6">
        <f>IF(OR($G11917="FCC",$G11917="Hydrocracker",$G11917="Reformer"),IF(COUNTIFS($D:$D,$D11917,$A:$A,$A11917,$B:$B,$B11917,$G:$G,"CDU",$J:$J,"PLANNED")&gt;0,"tied","standalone"),"")</f>
        <v/>
      </c>
    </row>
    <row r="11918" spans="6:14">
      <c r="F11918" s="6">
        <f>IF($M11918="PADD I","PADD 1",IF($M11918="PADD II","PADD 2",IF($M11918="PADD III","PADD 3",IF($M11918="PADD IV","PADD 4",IF($M11918="PADD V","PADD 5","")))))</f>
        <v/>
      </c>
      <c r="G11918" s="6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  <c r="N11918" s="6">
        <f>IF(OR($G11918="FCC",$G11918="Hydrocracker",$G11918="Reformer"),IF(COUNTIFS($D:$D,$D11918,$A:$A,$A11918,$B:$B,$B11918,$G:$G,"CDU",$J:$J,"PLANNED")&gt;0,"tied","standalone"),"")</f>
        <v/>
      </c>
    </row>
    <row r="11919" spans="6:14">
      <c r="F11919" s="6">
        <f>IF($M11919="PADD I","PADD 1",IF($M11919="PADD II","PADD 2",IF($M11919="PADD III","PADD 3",IF($M11919="PADD IV","PADD 4",IF($M11919="PADD V","PADD 5","")))))</f>
        <v/>
      </c>
      <c r="G11919" s="6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  <c r="N11919" s="6">
        <f>IF(OR($G11919="FCC",$G11919="Hydrocracker",$G11919="Reformer"),IF(COUNTIFS($D:$D,$D11919,$A:$A,$A11919,$B:$B,$B11919,$G:$G,"CDU",$J:$J,"PLANNED")&gt;0,"tied","standalone"),"")</f>
        <v/>
      </c>
    </row>
    <row r="11920" spans="6:14">
      <c r="F11920" s="6">
        <f>IF($M11920="PADD I","PADD 1",IF($M11920="PADD II","PADD 2",IF($M11920="PADD III","PADD 3",IF($M11920="PADD IV","PADD 4",IF($M11920="PADD V","PADD 5","")))))</f>
        <v/>
      </c>
      <c r="G11920" s="6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  <c r="N11920" s="6">
        <f>IF(OR($G11920="FCC",$G11920="Hydrocracker",$G11920="Reformer"),IF(COUNTIFS($D:$D,$D11920,$A:$A,$A11920,$B:$B,$B11920,$G:$G,"CDU",$J:$J,"PLANNED")&gt;0,"tied","standalone"),"")</f>
        <v/>
      </c>
    </row>
    <row r="11921" spans="6:14">
      <c r="F11921" s="6">
        <f>IF($M11921="PADD I","PADD 1",IF($M11921="PADD II","PADD 2",IF($M11921="PADD III","PADD 3",IF($M11921="PADD IV","PADD 4",IF($M11921="PADD V","PADD 5","")))))</f>
        <v/>
      </c>
      <c r="G11921" s="6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  <c r="N11921" s="6">
        <f>IF(OR($G11921="FCC",$G11921="Hydrocracker",$G11921="Reformer"),IF(COUNTIFS($D:$D,$D11921,$A:$A,$A11921,$B:$B,$B11921,$G:$G,"CDU",$J:$J,"PLANNED")&gt;0,"tied","standalone"),"")</f>
        <v/>
      </c>
    </row>
    <row r="11922" spans="6:14">
      <c r="F11922" s="6">
        <f>IF($M11922="PADD I","PADD 1",IF($M11922="PADD II","PADD 2",IF($M11922="PADD III","PADD 3",IF($M11922="PADD IV","PADD 4",IF($M11922="PADD V","PADD 5","")))))</f>
        <v/>
      </c>
      <c r="G11922" s="6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  <c r="N11922" s="6">
        <f>IF(OR($G11922="FCC",$G11922="Hydrocracker",$G11922="Reformer"),IF(COUNTIFS($D:$D,$D11922,$A:$A,$A11922,$B:$B,$B11922,$G:$G,"CDU",$J:$J,"PLANNED")&gt;0,"tied","standalone"),"")</f>
        <v/>
      </c>
    </row>
    <row r="11923" spans="6:14">
      <c r="F11923" s="6">
        <f>IF($M11923="PADD I","PADD 1",IF($M11923="PADD II","PADD 2",IF($M11923="PADD III","PADD 3",IF($M11923="PADD IV","PADD 4",IF($M11923="PADD V","PADD 5","")))))</f>
        <v/>
      </c>
      <c r="G11923" s="6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  <c r="N11923" s="6">
        <f>IF(OR($G11923="FCC",$G11923="Hydrocracker",$G11923="Reformer"),IF(COUNTIFS($D:$D,$D11923,$A:$A,$A11923,$B:$B,$B11923,$G:$G,"CDU",$J:$J,"PLANNED")&gt;0,"tied","standalone"),"")</f>
        <v/>
      </c>
    </row>
    <row r="11924" spans="6:14">
      <c r="F11924" s="6">
        <f>IF($M11924="PADD I","PADD 1",IF($M11924="PADD II","PADD 2",IF($M11924="PADD III","PADD 3",IF($M11924="PADD IV","PADD 4",IF($M11924="PADD V","PADD 5","")))))</f>
        <v/>
      </c>
      <c r="G11924" s="6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  <c r="N11924" s="6">
        <f>IF(OR($G11924="FCC",$G11924="Hydrocracker",$G11924="Reformer"),IF(COUNTIFS($D:$D,$D11924,$A:$A,$A11924,$B:$B,$B11924,$G:$G,"CDU",$J:$J,"PLANNED")&gt;0,"tied","standalone"),"")</f>
        <v/>
      </c>
    </row>
    <row r="11925" spans="6:14">
      <c r="F11925" s="6">
        <f>IF($M11925="PADD I","PADD 1",IF($M11925="PADD II","PADD 2",IF($M11925="PADD III","PADD 3",IF($M11925="PADD IV","PADD 4",IF($M11925="PADD V","PADD 5","")))))</f>
        <v/>
      </c>
      <c r="G11925" s="6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  <c r="N11925" s="6">
        <f>IF(OR($G11925="FCC",$G11925="Hydrocracker",$G11925="Reformer"),IF(COUNTIFS($D:$D,$D11925,$A:$A,$A11925,$B:$B,$B11925,$G:$G,"CDU",$J:$J,"PLANNED")&gt;0,"tied","standalone"),"")</f>
        <v/>
      </c>
    </row>
    <row r="11926" spans="6:14">
      <c r="F11926" s="6">
        <f>IF($M11926="PADD I","PADD 1",IF($M11926="PADD II","PADD 2",IF($M11926="PADD III","PADD 3",IF($M11926="PADD IV","PADD 4",IF($M11926="PADD V","PADD 5","")))))</f>
        <v/>
      </c>
      <c r="G11926" s="6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  <c r="N11926" s="6">
        <f>IF(OR($G11926="FCC",$G11926="Hydrocracker",$G11926="Reformer"),IF(COUNTIFS($D:$D,$D11926,$A:$A,$A11926,$B:$B,$B11926,$G:$G,"CDU",$J:$J,"PLANNED")&gt;0,"tied","standalone"),"")</f>
        <v/>
      </c>
    </row>
    <row r="11927" spans="6:14">
      <c r="F11927" s="6">
        <f>IF($M11927="PADD I","PADD 1",IF($M11927="PADD II","PADD 2",IF($M11927="PADD III","PADD 3",IF($M11927="PADD IV","PADD 4",IF($M11927="PADD V","PADD 5","")))))</f>
        <v/>
      </c>
      <c r="G11927" s="6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  <c r="N11927" s="6">
        <f>IF(OR($G11927="FCC",$G11927="Hydrocracker",$G11927="Reformer"),IF(COUNTIFS($D:$D,$D11927,$A:$A,$A11927,$B:$B,$B11927,$G:$G,"CDU",$J:$J,"PLANNED")&gt;0,"tied","standalone"),"")</f>
        <v/>
      </c>
    </row>
    <row r="11928" spans="6:14">
      <c r="F11928" s="6">
        <f>IF($M11928="PADD I","PADD 1",IF($M11928="PADD II","PADD 2",IF($M11928="PADD III","PADD 3",IF($M11928="PADD IV","PADD 4",IF($M11928="PADD V","PADD 5","")))))</f>
        <v/>
      </c>
      <c r="G11928" s="6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  <c r="N11928" s="6">
        <f>IF(OR($G11928="FCC",$G11928="Hydrocracker",$G11928="Reformer"),IF(COUNTIFS($D:$D,$D11928,$A:$A,$A11928,$B:$B,$B11928,$G:$G,"CDU",$J:$J,"PLANNED")&gt;0,"tied","standalone"),"")</f>
        <v/>
      </c>
    </row>
    <row r="11929" spans="6:14">
      <c r="F11929" s="6">
        <f>IF($M11929="PADD I","PADD 1",IF($M11929="PADD II","PADD 2",IF($M11929="PADD III","PADD 3",IF($M11929="PADD IV","PADD 4",IF($M11929="PADD V","PADD 5","")))))</f>
        <v/>
      </c>
      <c r="G11929" s="6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  <c r="N11929" s="6">
        <f>IF(OR($G11929="FCC",$G11929="Hydrocracker",$G11929="Reformer"),IF(COUNTIFS($D:$D,$D11929,$A:$A,$A11929,$B:$B,$B11929,$G:$G,"CDU",$J:$J,"PLANNED")&gt;0,"tied","standalone"),"")</f>
        <v/>
      </c>
    </row>
    <row r="11930" spans="6:14">
      <c r="F11930" s="6">
        <f>IF($M11930="PADD I","PADD 1",IF($M11930="PADD II","PADD 2",IF($M11930="PADD III","PADD 3",IF($M11930="PADD IV","PADD 4",IF($M11930="PADD V","PADD 5","")))))</f>
        <v/>
      </c>
      <c r="G11930" s="6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  <c r="N11930" s="6">
        <f>IF(OR($G11930="FCC",$G11930="Hydrocracker",$G11930="Reformer"),IF(COUNTIFS($D:$D,$D11930,$A:$A,$A11930,$B:$B,$B11930,$G:$G,"CDU",$J:$J,"PLANNED")&gt;0,"tied","standalone"),"")</f>
        <v/>
      </c>
    </row>
    <row r="11931" spans="6:14">
      <c r="F11931" s="6">
        <f>IF($M11931="PADD I","PADD 1",IF($M11931="PADD II","PADD 2",IF($M11931="PADD III","PADD 3",IF($M11931="PADD IV","PADD 4",IF($M11931="PADD V","PADD 5","")))))</f>
        <v/>
      </c>
      <c r="G11931" s="6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  <c r="N11931" s="6">
        <f>IF(OR($G11931="FCC",$G11931="Hydrocracker",$G11931="Reformer"),IF(COUNTIFS($D:$D,$D11931,$A:$A,$A11931,$B:$B,$B11931,$G:$G,"CDU",$J:$J,"PLANNED")&gt;0,"tied","standalone"),"")</f>
        <v/>
      </c>
    </row>
    <row r="11932" spans="6:14">
      <c r="F11932" s="6">
        <f>IF($M11932="PADD I","PADD 1",IF($M11932="PADD II","PADD 2",IF($M11932="PADD III","PADD 3",IF($M11932="PADD IV","PADD 4",IF($M11932="PADD V","PADD 5","")))))</f>
        <v/>
      </c>
      <c r="G11932" s="6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  <c r="N11932" s="6">
        <f>IF(OR($G11932="FCC",$G11932="Hydrocracker",$G11932="Reformer"),IF(COUNTIFS($D:$D,$D11932,$A:$A,$A11932,$B:$B,$B11932,$G:$G,"CDU",$J:$J,"PLANNED")&gt;0,"tied","standalone"),"")</f>
        <v/>
      </c>
    </row>
    <row r="11933" spans="6:14">
      <c r="F11933" s="6">
        <f>IF($M11933="PADD I","PADD 1",IF($M11933="PADD II","PADD 2",IF($M11933="PADD III","PADD 3",IF($M11933="PADD IV","PADD 4",IF($M11933="PADD V","PADD 5","")))))</f>
        <v/>
      </c>
      <c r="G11933" s="6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  <c r="N11933" s="6">
        <f>IF(OR($G11933="FCC",$G11933="Hydrocracker",$G11933="Reformer"),IF(COUNTIFS($D:$D,$D11933,$A:$A,$A11933,$B:$B,$B11933,$G:$G,"CDU",$J:$J,"PLANNED")&gt;0,"tied","standalone"),"")</f>
        <v/>
      </c>
    </row>
    <row r="11934" spans="6:14">
      <c r="F11934" s="6">
        <f>IF($M11934="PADD I","PADD 1",IF($M11934="PADD II","PADD 2",IF($M11934="PADD III","PADD 3",IF($M11934="PADD IV","PADD 4",IF($M11934="PADD V","PADD 5","")))))</f>
        <v/>
      </c>
      <c r="G11934" s="6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  <c r="N11934" s="6">
        <f>IF(OR($G11934="FCC",$G11934="Hydrocracker",$G11934="Reformer"),IF(COUNTIFS($D:$D,$D11934,$A:$A,$A11934,$B:$B,$B11934,$G:$G,"CDU",$J:$J,"PLANNED")&gt;0,"tied","standalone"),"")</f>
        <v/>
      </c>
    </row>
    <row r="11935" spans="6:14">
      <c r="F11935" s="6">
        <f>IF($M11935="PADD I","PADD 1",IF($M11935="PADD II","PADD 2",IF($M11935="PADD III","PADD 3",IF($M11935="PADD IV","PADD 4",IF($M11935="PADD V","PADD 5","")))))</f>
        <v/>
      </c>
      <c r="G11935" s="6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  <c r="N11935" s="6">
        <f>IF(OR($G11935="FCC",$G11935="Hydrocracker",$G11935="Reformer"),IF(COUNTIFS($D:$D,$D11935,$A:$A,$A11935,$B:$B,$B11935,$G:$G,"CDU",$J:$J,"PLANNED")&gt;0,"tied","standalone"),"")</f>
        <v/>
      </c>
    </row>
    <row r="11936" spans="6:14">
      <c r="F11936" s="6">
        <f>IF($M11936="PADD I","PADD 1",IF($M11936="PADD II","PADD 2",IF($M11936="PADD III","PADD 3",IF($M11936="PADD IV","PADD 4",IF($M11936="PADD V","PADD 5","")))))</f>
        <v/>
      </c>
      <c r="G11936" s="6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  <c r="N11936" s="6">
        <f>IF(OR($G11936="FCC",$G11936="Hydrocracker",$G11936="Reformer"),IF(COUNTIFS($D:$D,$D11936,$A:$A,$A11936,$B:$B,$B11936,$G:$G,"CDU",$J:$J,"PLANNED")&gt;0,"tied","standalone"),"")</f>
        <v/>
      </c>
    </row>
    <row r="11937" spans="6:14">
      <c r="F11937" s="6">
        <f>IF($M11937="PADD I","PADD 1",IF($M11937="PADD II","PADD 2",IF($M11937="PADD III","PADD 3",IF($M11937="PADD IV","PADD 4",IF($M11937="PADD V","PADD 5","")))))</f>
        <v/>
      </c>
      <c r="G11937" s="6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  <c r="N11937" s="6">
        <f>IF(OR($G11937="FCC",$G11937="Hydrocracker",$G11937="Reformer"),IF(COUNTIFS($D:$D,$D11937,$A:$A,$A11937,$B:$B,$B11937,$G:$G,"CDU",$J:$J,"PLANNED")&gt;0,"tied","standalone"),"")</f>
        <v/>
      </c>
    </row>
    <row r="11938" spans="6:14">
      <c r="F11938" s="6">
        <f>IF($M11938="PADD I","PADD 1",IF($M11938="PADD II","PADD 2",IF($M11938="PADD III","PADD 3",IF($M11938="PADD IV","PADD 4",IF($M11938="PADD V","PADD 5","")))))</f>
        <v/>
      </c>
      <c r="G11938" s="6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  <c r="N11938" s="6">
        <f>IF(OR($G11938="FCC",$G11938="Hydrocracker",$G11938="Reformer"),IF(COUNTIFS($D:$D,$D11938,$A:$A,$A11938,$B:$B,$B11938,$G:$G,"CDU",$J:$J,"PLANNED")&gt;0,"tied","standalone"),"")</f>
        <v/>
      </c>
    </row>
    <row r="11939" spans="6:14">
      <c r="F11939" s="6">
        <f>IF($M11939="PADD I","PADD 1",IF($M11939="PADD II","PADD 2",IF($M11939="PADD III","PADD 3",IF($M11939="PADD IV","PADD 4",IF($M11939="PADD V","PADD 5","")))))</f>
        <v/>
      </c>
      <c r="G11939" s="6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  <c r="N11939" s="6">
        <f>IF(OR($G11939="FCC",$G11939="Hydrocracker",$G11939="Reformer"),IF(COUNTIFS($D:$D,$D11939,$A:$A,$A11939,$B:$B,$B11939,$G:$G,"CDU",$J:$J,"PLANNED")&gt;0,"tied","standalone"),"")</f>
        <v/>
      </c>
    </row>
    <row r="11940" spans="6:14">
      <c r="F11940" s="6">
        <f>IF($M11940="PADD I","PADD 1",IF($M11940="PADD II","PADD 2",IF($M11940="PADD III","PADD 3",IF($M11940="PADD IV","PADD 4",IF($M11940="PADD V","PADD 5","")))))</f>
        <v/>
      </c>
      <c r="G11940" s="6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  <c r="N11940" s="6">
        <f>IF(OR($G11940="FCC",$G11940="Hydrocracker",$G11940="Reformer"),IF(COUNTIFS($D:$D,$D11940,$A:$A,$A11940,$B:$B,$B11940,$G:$G,"CDU",$J:$J,"PLANNED")&gt;0,"tied","standalone"),"")</f>
        <v/>
      </c>
    </row>
    <row r="11941" spans="6:14">
      <c r="F11941" s="6">
        <f>IF($M11941="PADD I","PADD 1",IF($M11941="PADD II","PADD 2",IF($M11941="PADD III","PADD 3",IF($M11941="PADD IV","PADD 4",IF($M11941="PADD V","PADD 5","")))))</f>
        <v/>
      </c>
      <c r="G11941" s="6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  <c r="N11941" s="6">
        <f>IF(OR($G11941="FCC",$G11941="Hydrocracker",$G11941="Reformer"),IF(COUNTIFS($D:$D,$D11941,$A:$A,$A11941,$B:$B,$B11941,$G:$G,"CDU",$J:$J,"PLANNED")&gt;0,"tied","standalone"),"")</f>
        <v/>
      </c>
    </row>
    <row r="11942" spans="6:14">
      <c r="F11942" s="6">
        <f>IF($M11942="PADD I","PADD 1",IF($M11942="PADD II","PADD 2",IF($M11942="PADD III","PADD 3",IF($M11942="PADD IV","PADD 4",IF($M11942="PADD V","PADD 5","")))))</f>
        <v/>
      </c>
      <c r="G11942" s="6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  <c r="N11942" s="6">
        <f>IF(OR($G11942="FCC",$G11942="Hydrocracker",$G11942="Reformer"),IF(COUNTIFS($D:$D,$D11942,$A:$A,$A11942,$B:$B,$B11942,$G:$G,"CDU",$J:$J,"PLANNED")&gt;0,"tied","standalone"),"")</f>
        <v/>
      </c>
    </row>
    <row r="11943" spans="6:14">
      <c r="F11943" s="6">
        <f>IF($M11943="PADD I","PADD 1",IF($M11943="PADD II","PADD 2",IF($M11943="PADD III","PADD 3",IF($M11943="PADD IV","PADD 4",IF($M11943="PADD V","PADD 5","")))))</f>
        <v/>
      </c>
      <c r="G11943" s="6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  <c r="N11943" s="6">
        <f>IF(OR($G11943="FCC",$G11943="Hydrocracker",$G11943="Reformer"),IF(COUNTIFS($D:$D,$D11943,$A:$A,$A11943,$B:$B,$B11943,$G:$G,"CDU",$J:$J,"PLANNED")&gt;0,"tied","standalone"),"")</f>
        <v/>
      </c>
    </row>
    <row r="11944" spans="6:14">
      <c r="F11944" s="6">
        <f>IF($M11944="PADD I","PADD 1",IF($M11944="PADD II","PADD 2",IF($M11944="PADD III","PADD 3",IF($M11944="PADD IV","PADD 4",IF($M11944="PADD V","PADD 5","")))))</f>
        <v/>
      </c>
      <c r="G11944" s="6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  <c r="N11944" s="6">
        <f>IF(OR($G11944="FCC",$G11944="Hydrocracker",$G11944="Reformer"),IF(COUNTIFS($D:$D,$D11944,$A:$A,$A11944,$B:$B,$B11944,$G:$G,"CDU",$J:$J,"PLANNED")&gt;0,"tied","standalone"),"")</f>
        <v/>
      </c>
    </row>
    <row r="11945" spans="6:14">
      <c r="F11945" s="6">
        <f>IF($M11945="PADD I","PADD 1",IF($M11945="PADD II","PADD 2",IF($M11945="PADD III","PADD 3",IF($M11945="PADD IV","PADD 4",IF($M11945="PADD V","PADD 5","")))))</f>
        <v/>
      </c>
      <c r="G11945" s="6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  <c r="N11945" s="6">
        <f>IF(OR($G11945="FCC",$G11945="Hydrocracker",$G11945="Reformer"),IF(COUNTIFS($D:$D,$D11945,$A:$A,$A11945,$B:$B,$B11945,$G:$G,"CDU",$J:$J,"PLANNED")&gt;0,"tied","standalone"),"")</f>
        <v/>
      </c>
    </row>
    <row r="11946" spans="6:14">
      <c r="F11946" s="6">
        <f>IF($M11946="PADD I","PADD 1",IF($M11946="PADD II","PADD 2",IF($M11946="PADD III","PADD 3",IF($M11946="PADD IV","PADD 4",IF($M11946="PADD V","PADD 5","")))))</f>
        <v/>
      </c>
      <c r="G11946" s="6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  <c r="N11946" s="6">
        <f>IF(OR($G11946="FCC",$G11946="Hydrocracker",$G11946="Reformer"),IF(COUNTIFS($D:$D,$D11946,$A:$A,$A11946,$B:$B,$B11946,$G:$G,"CDU",$J:$J,"PLANNED")&gt;0,"tied","standalone"),"")</f>
        <v/>
      </c>
    </row>
    <row r="11947" spans="6:14">
      <c r="F11947" s="6">
        <f>IF($M11947="PADD I","PADD 1",IF($M11947="PADD II","PADD 2",IF($M11947="PADD III","PADD 3",IF($M11947="PADD IV","PADD 4",IF($M11947="PADD V","PADD 5","")))))</f>
        <v/>
      </c>
      <c r="G11947" s="6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  <c r="N11947" s="6">
        <f>IF(OR($G11947="FCC",$G11947="Hydrocracker",$G11947="Reformer"),IF(COUNTIFS($D:$D,$D11947,$A:$A,$A11947,$B:$B,$B11947,$G:$G,"CDU",$J:$J,"PLANNED")&gt;0,"tied","standalone"),"")</f>
        <v/>
      </c>
    </row>
    <row r="11948" spans="6:14">
      <c r="F11948" s="6">
        <f>IF($M11948="PADD I","PADD 1",IF($M11948="PADD II","PADD 2",IF($M11948="PADD III","PADD 3",IF($M11948="PADD IV","PADD 4",IF($M11948="PADD V","PADD 5","")))))</f>
        <v/>
      </c>
      <c r="G11948" s="6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  <c r="N11948" s="6">
        <f>IF(OR($G11948="FCC",$G11948="Hydrocracker",$G11948="Reformer"),IF(COUNTIFS($D:$D,$D11948,$A:$A,$A11948,$B:$B,$B11948,$G:$G,"CDU",$J:$J,"PLANNED")&gt;0,"tied","standalone"),"")</f>
        <v/>
      </c>
    </row>
    <row r="11949" spans="6:14">
      <c r="F11949" s="6">
        <f>IF($M11949="PADD I","PADD 1",IF($M11949="PADD II","PADD 2",IF($M11949="PADD III","PADD 3",IF($M11949="PADD IV","PADD 4",IF($M11949="PADD V","PADD 5","")))))</f>
        <v/>
      </c>
      <c r="G11949" s="6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  <c r="N11949" s="6">
        <f>IF(OR($G11949="FCC",$G11949="Hydrocracker",$G11949="Reformer"),IF(COUNTIFS($D:$D,$D11949,$A:$A,$A11949,$B:$B,$B11949,$G:$G,"CDU",$J:$J,"PLANNED")&gt;0,"tied","standalone"),"")</f>
        <v/>
      </c>
    </row>
    <row r="11950" spans="6:14">
      <c r="F11950" s="6">
        <f>IF($M11950="PADD I","PADD 1",IF($M11950="PADD II","PADD 2",IF($M11950="PADD III","PADD 3",IF($M11950="PADD IV","PADD 4",IF($M11950="PADD V","PADD 5","")))))</f>
        <v/>
      </c>
      <c r="G11950" s="6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  <c r="N11950" s="6">
        <f>IF(OR($G11950="FCC",$G11950="Hydrocracker",$G11950="Reformer"),IF(COUNTIFS($D:$D,$D11950,$A:$A,$A11950,$B:$B,$B11950,$G:$G,"CDU",$J:$J,"PLANNED")&gt;0,"tied","standalone"),"")</f>
        <v/>
      </c>
    </row>
    <row r="11951" spans="6:14">
      <c r="F11951" s="6">
        <f>IF($M11951="PADD I","PADD 1",IF($M11951="PADD II","PADD 2",IF($M11951="PADD III","PADD 3",IF($M11951="PADD IV","PADD 4",IF($M11951="PADD V","PADD 5","")))))</f>
        <v/>
      </c>
      <c r="G11951" s="6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  <c r="N11951" s="6">
        <f>IF(OR($G11951="FCC",$G11951="Hydrocracker",$G11951="Reformer"),IF(COUNTIFS($D:$D,$D11951,$A:$A,$A11951,$B:$B,$B11951,$G:$G,"CDU",$J:$J,"PLANNED")&gt;0,"tied","standalone"),"")</f>
        <v/>
      </c>
    </row>
    <row r="11952" spans="6:14">
      <c r="F11952" s="6">
        <f>IF($M11952="PADD I","PADD 1",IF($M11952="PADD II","PADD 2",IF($M11952="PADD III","PADD 3",IF($M11952="PADD IV","PADD 4",IF($M11952="PADD V","PADD 5","")))))</f>
        <v/>
      </c>
      <c r="G11952" s="6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  <c r="N11952" s="6">
        <f>IF(OR($G11952="FCC",$G11952="Hydrocracker",$G11952="Reformer"),IF(COUNTIFS($D:$D,$D11952,$A:$A,$A11952,$B:$B,$B11952,$G:$G,"CDU",$J:$J,"PLANNED")&gt;0,"tied","standalone"),"")</f>
        <v/>
      </c>
    </row>
    <row r="11953" spans="6:14">
      <c r="F11953" s="6">
        <f>IF($M11953="PADD I","PADD 1",IF($M11953="PADD II","PADD 2",IF($M11953="PADD III","PADD 3",IF($M11953="PADD IV","PADD 4",IF($M11953="PADD V","PADD 5","")))))</f>
        <v/>
      </c>
      <c r="G11953" s="6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  <c r="N11953" s="6">
        <f>IF(OR($G11953="FCC",$G11953="Hydrocracker",$G11953="Reformer"),IF(COUNTIFS($D:$D,$D11953,$A:$A,$A11953,$B:$B,$B11953,$G:$G,"CDU",$J:$J,"PLANNED")&gt;0,"tied","standalone"),"")</f>
        <v/>
      </c>
    </row>
    <row r="11954" spans="6:14">
      <c r="F11954" s="6">
        <f>IF($M11954="PADD I","PADD 1",IF($M11954="PADD II","PADD 2",IF($M11954="PADD III","PADD 3",IF($M11954="PADD IV","PADD 4",IF($M11954="PADD V","PADD 5","")))))</f>
        <v/>
      </c>
      <c r="G11954" s="6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  <c r="N11954" s="6">
        <f>IF(OR($G11954="FCC",$G11954="Hydrocracker",$G11954="Reformer"),IF(COUNTIFS($D:$D,$D11954,$A:$A,$A11954,$B:$B,$B11954,$G:$G,"CDU",$J:$J,"PLANNED")&gt;0,"tied","standalone"),"")</f>
        <v/>
      </c>
    </row>
    <row r="11955" spans="6:14">
      <c r="F11955" s="6">
        <f>IF($M11955="PADD I","PADD 1",IF($M11955="PADD II","PADD 2",IF($M11955="PADD III","PADD 3",IF($M11955="PADD IV","PADD 4",IF($M11955="PADD V","PADD 5","")))))</f>
        <v/>
      </c>
      <c r="G11955" s="6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  <c r="N11955" s="6">
        <f>IF(OR($G11955="FCC",$G11955="Hydrocracker",$G11955="Reformer"),IF(COUNTIFS($D:$D,$D11955,$A:$A,$A11955,$B:$B,$B11955,$G:$G,"CDU",$J:$J,"PLANNED")&gt;0,"tied","standalone"),"")</f>
        <v/>
      </c>
    </row>
    <row r="11956" spans="6:14">
      <c r="F11956" s="6">
        <f>IF($M11956="PADD I","PADD 1",IF($M11956="PADD II","PADD 2",IF($M11956="PADD III","PADD 3",IF($M11956="PADD IV","PADD 4",IF($M11956="PADD V","PADD 5","")))))</f>
        <v/>
      </c>
      <c r="G11956" s="6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  <c r="N11956" s="6">
        <f>IF(OR($G11956="FCC",$G11956="Hydrocracker",$G11956="Reformer"),IF(COUNTIFS($D:$D,$D11956,$A:$A,$A11956,$B:$B,$B11956,$G:$G,"CDU",$J:$J,"PLANNED")&gt;0,"tied","standalone"),"")</f>
        <v/>
      </c>
    </row>
    <row r="11957" spans="6:14">
      <c r="F11957" s="6">
        <f>IF($M11957="PADD I","PADD 1",IF($M11957="PADD II","PADD 2",IF($M11957="PADD III","PADD 3",IF($M11957="PADD IV","PADD 4",IF($M11957="PADD V","PADD 5","")))))</f>
        <v/>
      </c>
      <c r="G11957" s="6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  <c r="N11957" s="6">
        <f>IF(OR($G11957="FCC",$G11957="Hydrocracker",$G11957="Reformer"),IF(COUNTIFS($D:$D,$D11957,$A:$A,$A11957,$B:$B,$B11957,$G:$G,"CDU",$J:$J,"PLANNED")&gt;0,"tied","standalone"),"")</f>
        <v/>
      </c>
    </row>
    <row r="11958" spans="6:14">
      <c r="F11958" s="6">
        <f>IF($M11958="PADD I","PADD 1",IF($M11958="PADD II","PADD 2",IF($M11958="PADD III","PADD 3",IF($M11958="PADD IV","PADD 4",IF($M11958="PADD V","PADD 5","")))))</f>
        <v/>
      </c>
      <c r="G11958" s="6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  <c r="N11958" s="6">
        <f>IF(OR($G11958="FCC",$G11958="Hydrocracker",$G11958="Reformer"),IF(COUNTIFS($D:$D,$D11958,$A:$A,$A11958,$B:$B,$B11958,$G:$G,"CDU",$J:$J,"PLANNED")&gt;0,"tied","standalone"),"")</f>
        <v/>
      </c>
    </row>
    <row r="11959" spans="6:14">
      <c r="F11959" s="6">
        <f>IF($M11959="PADD I","PADD 1",IF($M11959="PADD II","PADD 2",IF($M11959="PADD III","PADD 3",IF($M11959="PADD IV","PADD 4",IF($M11959="PADD V","PADD 5","")))))</f>
        <v/>
      </c>
      <c r="G11959" s="6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  <c r="N11959" s="6">
        <f>IF(OR($G11959="FCC",$G11959="Hydrocracker",$G11959="Reformer"),IF(COUNTIFS($D:$D,$D11959,$A:$A,$A11959,$B:$B,$B11959,$G:$G,"CDU",$J:$J,"PLANNED")&gt;0,"tied","standalone"),"")</f>
        <v/>
      </c>
    </row>
    <row r="11960" spans="6:14">
      <c r="F11960" s="6">
        <f>IF($M11960="PADD I","PADD 1",IF($M11960="PADD II","PADD 2",IF($M11960="PADD III","PADD 3",IF($M11960="PADD IV","PADD 4",IF($M11960="PADD V","PADD 5","")))))</f>
        <v/>
      </c>
      <c r="G11960" s="6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  <c r="N11960" s="6">
        <f>IF(OR($G11960="FCC",$G11960="Hydrocracker",$G11960="Reformer"),IF(COUNTIFS($D:$D,$D11960,$A:$A,$A11960,$B:$B,$B11960,$G:$G,"CDU",$J:$J,"PLANNED")&gt;0,"tied","standalone"),"")</f>
        <v/>
      </c>
    </row>
    <row r="11961" spans="6:14">
      <c r="F11961" s="6">
        <f>IF($M11961="PADD I","PADD 1",IF($M11961="PADD II","PADD 2",IF($M11961="PADD III","PADD 3",IF($M11961="PADD IV","PADD 4",IF($M11961="PADD V","PADD 5","")))))</f>
        <v/>
      </c>
      <c r="G11961" s="6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  <c r="N11961" s="6">
        <f>IF(OR($G11961="FCC",$G11961="Hydrocracker",$G11961="Reformer"),IF(COUNTIFS($D:$D,$D11961,$A:$A,$A11961,$B:$B,$B11961,$G:$G,"CDU",$J:$J,"PLANNED")&gt;0,"tied","standalone"),"")</f>
        <v/>
      </c>
    </row>
    <row r="11962" spans="6:14">
      <c r="F11962" s="6">
        <f>IF($M11962="PADD I","PADD 1",IF($M11962="PADD II","PADD 2",IF($M11962="PADD III","PADD 3",IF($M11962="PADD IV","PADD 4",IF($M11962="PADD V","PADD 5","")))))</f>
        <v/>
      </c>
      <c r="G11962" s="6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  <c r="N11962" s="6">
        <f>IF(OR($G11962="FCC",$G11962="Hydrocracker",$G11962="Reformer"),IF(COUNTIFS($D:$D,$D11962,$A:$A,$A11962,$B:$B,$B11962,$G:$G,"CDU",$J:$J,"PLANNED")&gt;0,"tied","standalone"),"")</f>
        <v/>
      </c>
    </row>
    <row r="11963" spans="6:14">
      <c r="F11963" s="6">
        <f>IF($M11963="PADD I","PADD 1",IF($M11963="PADD II","PADD 2",IF($M11963="PADD III","PADD 3",IF($M11963="PADD IV","PADD 4",IF($M11963="PADD V","PADD 5","")))))</f>
        <v/>
      </c>
      <c r="G11963" s="6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  <c r="N11963" s="6">
        <f>IF(OR($G11963="FCC",$G11963="Hydrocracker",$G11963="Reformer"),IF(COUNTIFS($D:$D,$D11963,$A:$A,$A11963,$B:$B,$B11963,$G:$G,"CDU",$J:$J,"PLANNED")&gt;0,"tied","standalone"),"")</f>
        <v/>
      </c>
    </row>
    <row r="11964" spans="6:14">
      <c r="F11964" s="6">
        <f>IF($M11964="PADD I","PADD 1",IF($M11964="PADD II","PADD 2",IF($M11964="PADD III","PADD 3",IF($M11964="PADD IV","PADD 4",IF($M11964="PADD V","PADD 5","")))))</f>
        <v/>
      </c>
      <c r="G11964" s="6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  <c r="N11964" s="6">
        <f>IF(OR($G11964="FCC",$G11964="Hydrocracker",$G11964="Reformer"),IF(COUNTIFS($D:$D,$D11964,$A:$A,$A11964,$B:$B,$B11964,$G:$G,"CDU",$J:$J,"PLANNED")&gt;0,"tied","standalone"),"")</f>
        <v/>
      </c>
    </row>
    <row r="11965" spans="6:14">
      <c r="F11965" s="6">
        <f>IF($M11965="PADD I","PADD 1",IF($M11965="PADD II","PADD 2",IF($M11965="PADD III","PADD 3",IF($M11965="PADD IV","PADD 4",IF($M11965="PADD V","PADD 5","")))))</f>
        <v/>
      </c>
      <c r="G11965" s="6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  <c r="N11965" s="6">
        <f>IF(OR($G11965="FCC",$G11965="Hydrocracker",$G11965="Reformer"),IF(COUNTIFS($D:$D,$D11965,$A:$A,$A11965,$B:$B,$B11965,$G:$G,"CDU",$J:$J,"PLANNED")&gt;0,"tied","standalone"),"")</f>
        <v/>
      </c>
    </row>
    <row r="11966" spans="6:14">
      <c r="F11966" s="6">
        <f>IF($M11966="PADD I","PADD 1",IF($M11966="PADD II","PADD 2",IF($M11966="PADD III","PADD 3",IF($M11966="PADD IV","PADD 4",IF($M11966="PADD V","PADD 5","")))))</f>
        <v/>
      </c>
      <c r="G11966" s="6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  <c r="N11966" s="6">
        <f>IF(OR($G11966="FCC",$G11966="Hydrocracker",$G11966="Reformer"),IF(COUNTIFS($D:$D,$D11966,$A:$A,$A11966,$B:$B,$B11966,$G:$G,"CDU",$J:$J,"PLANNED")&gt;0,"tied","standalone"),"")</f>
        <v/>
      </c>
    </row>
    <row r="11967" spans="6:14">
      <c r="F11967" s="6">
        <f>IF($M11967="PADD I","PADD 1",IF($M11967="PADD II","PADD 2",IF($M11967="PADD III","PADD 3",IF($M11967="PADD IV","PADD 4",IF($M11967="PADD V","PADD 5","")))))</f>
        <v/>
      </c>
      <c r="G11967" s="6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  <c r="N11967" s="6">
        <f>IF(OR($G11967="FCC",$G11967="Hydrocracker",$G11967="Reformer"),IF(COUNTIFS($D:$D,$D11967,$A:$A,$A11967,$B:$B,$B11967,$G:$G,"CDU",$J:$J,"PLANNED")&gt;0,"tied","standalone"),"")</f>
        <v/>
      </c>
    </row>
    <row r="11968" spans="6:14">
      <c r="F11968" s="6">
        <f>IF($M11968="PADD I","PADD 1",IF($M11968="PADD II","PADD 2",IF($M11968="PADD III","PADD 3",IF($M11968="PADD IV","PADD 4",IF($M11968="PADD V","PADD 5","")))))</f>
        <v/>
      </c>
      <c r="G11968" s="6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  <c r="N11968" s="6">
        <f>IF(OR($G11968="FCC",$G11968="Hydrocracker",$G11968="Reformer"),IF(COUNTIFS($D:$D,$D11968,$A:$A,$A11968,$B:$B,$B11968,$G:$G,"CDU",$J:$J,"PLANNED")&gt;0,"tied","standalone"),"")</f>
        <v/>
      </c>
    </row>
    <row r="11969" spans="6:14">
      <c r="F11969" s="6">
        <f>IF($M11969="PADD I","PADD 1",IF($M11969="PADD II","PADD 2",IF($M11969="PADD III","PADD 3",IF($M11969="PADD IV","PADD 4",IF($M11969="PADD V","PADD 5","")))))</f>
        <v/>
      </c>
      <c r="G11969" s="6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  <c r="N11969" s="6">
        <f>IF(OR($G11969="FCC",$G11969="Hydrocracker",$G11969="Reformer"),IF(COUNTIFS($D:$D,$D11969,$A:$A,$A11969,$B:$B,$B11969,$G:$G,"CDU",$J:$J,"PLANNED")&gt;0,"tied","standalone"),"")</f>
        <v/>
      </c>
    </row>
    <row r="11970" spans="6:14">
      <c r="F11970" s="6">
        <f>IF($M11970="PADD I","PADD 1",IF($M11970="PADD II","PADD 2",IF($M11970="PADD III","PADD 3",IF($M11970="PADD IV","PADD 4",IF($M11970="PADD V","PADD 5","")))))</f>
        <v/>
      </c>
      <c r="G11970" s="6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  <c r="N11970" s="6">
        <f>IF(OR($G11970="FCC",$G11970="Hydrocracker",$G11970="Reformer"),IF(COUNTIFS($D:$D,$D11970,$A:$A,$A11970,$B:$B,$B11970,$G:$G,"CDU",$J:$J,"PLANNED")&gt;0,"tied","standalone"),"")</f>
        <v/>
      </c>
    </row>
    <row r="11971" spans="6:14">
      <c r="F11971" s="6">
        <f>IF($M11971="PADD I","PADD 1",IF($M11971="PADD II","PADD 2",IF($M11971="PADD III","PADD 3",IF($M11971="PADD IV","PADD 4",IF($M11971="PADD V","PADD 5","")))))</f>
        <v/>
      </c>
      <c r="G11971" s="6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  <c r="N11971" s="6">
        <f>IF(OR($G11971="FCC",$G11971="Hydrocracker",$G11971="Reformer"),IF(COUNTIFS($D:$D,$D11971,$A:$A,$A11971,$B:$B,$B11971,$G:$G,"CDU",$J:$J,"PLANNED")&gt;0,"tied","standalone"),"")</f>
        <v/>
      </c>
    </row>
    <row r="11972" spans="6:14">
      <c r="F11972" s="6">
        <f>IF($M11972="PADD I","PADD 1",IF($M11972="PADD II","PADD 2",IF($M11972="PADD III","PADD 3",IF($M11972="PADD IV","PADD 4",IF($M11972="PADD V","PADD 5","")))))</f>
        <v/>
      </c>
      <c r="G11972" s="6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  <c r="N11972" s="6">
        <f>IF(OR($G11972="FCC",$G11972="Hydrocracker",$G11972="Reformer"),IF(COUNTIFS($D:$D,$D11972,$A:$A,$A11972,$B:$B,$B11972,$G:$G,"CDU",$J:$J,"PLANNED")&gt;0,"tied","standalone"),"")</f>
        <v/>
      </c>
    </row>
    <row r="11973" spans="6:14">
      <c r="F11973" s="6">
        <f>IF($M11973="PADD I","PADD 1",IF($M11973="PADD II","PADD 2",IF($M11973="PADD III","PADD 3",IF($M11973="PADD IV","PADD 4",IF($M11973="PADD V","PADD 5","")))))</f>
        <v/>
      </c>
      <c r="G11973" s="6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  <c r="N11973" s="6">
        <f>IF(OR($G11973="FCC",$G11973="Hydrocracker",$G11973="Reformer"),IF(COUNTIFS($D:$D,$D11973,$A:$A,$A11973,$B:$B,$B11973,$G:$G,"CDU",$J:$J,"PLANNED")&gt;0,"tied","standalone"),"")</f>
        <v/>
      </c>
    </row>
    <row r="11974" spans="6:14">
      <c r="F11974" s="6">
        <f>IF($M11974="PADD I","PADD 1",IF($M11974="PADD II","PADD 2",IF($M11974="PADD III","PADD 3",IF($M11974="PADD IV","PADD 4",IF($M11974="PADD V","PADD 5","")))))</f>
        <v/>
      </c>
      <c r="G11974" s="6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  <c r="N11974" s="6">
        <f>IF(OR($G11974="FCC",$G11974="Hydrocracker",$G11974="Reformer"),IF(COUNTIFS($D:$D,$D11974,$A:$A,$A11974,$B:$B,$B11974,$G:$G,"CDU",$J:$J,"PLANNED")&gt;0,"tied","standalone"),"")</f>
        <v/>
      </c>
    </row>
    <row r="11975" spans="6:14">
      <c r="F11975" s="6">
        <f>IF($M11975="PADD I","PADD 1",IF($M11975="PADD II","PADD 2",IF($M11975="PADD III","PADD 3",IF($M11975="PADD IV","PADD 4",IF($M11975="PADD V","PADD 5","")))))</f>
        <v/>
      </c>
      <c r="G11975" s="6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  <c r="N11975" s="6">
        <f>IF(OR($G11975="FCC",$G11975="Hydrocracker",$G11975="Reformer"),IF(COUNTIFS($D:$D,$D11975,$A:$A,$A11975,$B:$B,$B11975,$G:$G,"CDU",$J:$J,"PLANNED")&gt;0,"tied","standalone"),"")</f>
        <v/>
      </c>
    </row>
    <row r="11976" spans="6:14">
      <c r="F11976" s="6">
        <f>IF($M11976="PADD I","PADD 1",IF($M11976="PADD II","PADD 2",IF($M11976="PADD III","PADD 3",IF($M11976="PADD IV","PADD 4",IF($M11976="PADD V","PADD 5","")))))</f>
        <v/>
      </c>
      <c r="G11976" s="6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  <c r="N11976" s="6">
        <f>IF(OR($G11976="FCC",$G11976="Hydrocracker",$G11976="Reformer"),IF(COUNTIFS($D:$D,$D11976,$A:$A,$A11976,$B:$B,$B11976,$G:$G,"CDU",$J:$J,"PLANNED")&gt;0,"tied","standalone"),"")</f>
        <v/>
      </c>
    </row>
    <row r="11977" spans="6:14">
      <c r="F11977" s="6">
        <f>IF($M11977="PADD I","PADD 1",IF($M11977="PADD II","PADD 2",IF($M11977="PADD III","PADD 3",IF($M11977="PADD IV","PADD 4",IF($M11977="PADD V","PADD 5","")))))</f>
        <v/>
      </c>
      <c r="G11977" s="6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  <c r="N11977" s="6">
        <f>IF(OR($G11977="FCC",$G11977="Hydrocracker",$G11977="Reformer"),IF(COUNTIFS($D:$D,$D11977,$A:$A,$A11977,$B:$B,$B11977,$G:$G,"CDU",$J:$J,"PLANNED")&gt;0,"tied","standalone"),"")</f>
        <v/>
      </c>
    </row>
    <row r="11978" spans="6:14">
      <c r="F11978" s="6">
        <f>IF($M11978="PADD I","PADD 1",IF($M11978="PADD II","PADD 2",IF($M11978="PADD III","PADD 3",IF($M11978="PADD IV","PADD 4",IF($M11978="PADD V","PADD 5","")))))</f>
        <v/>
      </c>
      <c r="G11978" s="6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  <c r="N11978" s="6">
        <f>IF(OR($G11978="FCC",$G11978="Hydrocracker",$G11978="Reformer"),IF(COUNTIFS($D:$D,$D11978,$A:$A,$A11978,$B:$B,$B11978,$G:$G,"CDU",$J:$J,"PLANNED")&gt;0,"tied","standalone"),"")</f>
        <v/>
      </c>
    </row>
    <row r="11979" spans="6:14">
      <c r="F11979" s="6">
        <f>IF($M11979="PADD I","PADD 1",IF($M11979="PADD II","PADD 2",IF($M11979="PADD III","PADD 3",IF($M11979="PADD IV","PADD 4",IF($M11979="PADD V","PADD 5","")))))</f>
        <v/>
      </c>
      <c r="G11979" s="6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  <c r="N11979" s="6">
        <f>IF(OR($G11979="FCC",$G11979="Hydrocracker",$G11979="Reformer"),IF(COUNTIFS($D:$D,$D11979,$A:$A,$A11979,$B:$B,$B11979,$G:$G,"CDU",$J:$J,"PLANNED")&gt;0,"tied","standalone"),"")</f>
        <v/>
      </c>
    </row>
    <row r="11980" spans="6:14">
      <c r="F11980" s="6">
        <f>IF($M11980="PADD I","PADD 1",IF($M11980="PADD II","PADD 2",IF($M11980="PADD III","PADD 3",IF($M11980="PADD IV","PADD 4",IF($M11980="PADD V","PADD 5","")))))</f>
        <v/>
      </c>
      <c r="G11980" s="6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  <c r="N11980" s="6">
        <f>IF(OR($G11980="FCC",$G11980="Hydrocracker",$G11980="Reformer"),IF(COUNTIFS($D:$D,$D11980,$A:$A,$A11980,$B:$B,$B11980,$G:$G,"CDU",$J:$J,"PLANNED")&gt;0,"tied","standalone"),"")</f>
        <v/>
      </c>
    </row>
    <row r="11981" spans="6:14">
      <c r="F11981" s="6">
        <f>IF($M11981="PADD I","PADD 1",IF($M11981="PADD II","PADD 2",IF($M11981="PADD III","PADD 3",IF($M11981="PADD IV","PADD 4",IF($M11981="PADD V","PADD 5","")))))</f>
        <v/>
      </c>
      <c r="G11981" s="6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  <c r="N11981" s="6">
        <f>IF(OR($G11981="FCC",$G11981="Hydrocracker",$G11981="Reformer"),IF(COUNTIFS($D:$D,$D11981,$A:$A,$A11981,$B:$B,$B11981,$G:$G,"CDU",$J:$J,"PLANNED")&gt;0,"tied","standalone"),"")</f>
        <v/>
      </c>
    </row>
    <row r="11982" spans="6:14">
      <c r="F11982" s="6">
        <f>IF($M11982="PADD I","PADD 1",IF($M11982="PADD II","PADD 2",IF($M11982="PADD III","PADD 3",IF($M11982="PADD IV","PADD 4",IF($M11982="PADD V","PADD 5","")))))</f>
        <v/>
      </c>
      <c r="G11982" s="6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  <c r="N11982" s="6">
        <f>IF(OR($G11982="FCC",$G11982="Hydrocracker",$G11982="Reformer"),IF(COUNTIFS($D:$D,$D11982,$A:$A,$A11982,$B:$B,$B11982,$G:$G,"CDU",$J:$J,"PLANNED")&gt;0,"tied","standalone"),"")</f>
        <v/>
      </c>
    </row>
    <row r="11983" spans="6:14">
      <c r="F11983" s="6">
        <f>IF($M11983="PADD I","PADD 1",IF($M11983="PADD II","PADD 2",IF($M11983="PADD III","PADD 3",IF($M11983="PADD IV","PADD 4",IF($M11983="PADD V","PADD 5","")))))</f>
        <v/>
      </c>
      <c r="G11983" s="6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  <c r="N11983" s="6">
        <f>IF(OR($G11983="FCC",$G11983="Hydrocracker",$G11983="Reformer"),IF(COUNTIFS($D:$D,$D11983,$A:$A,$A11983,$B:$B,$B11983,$G:$G,"CDU",$J:$J,"PLANNED")&gt;0,"tied","standalone"),"")</f>
        <v/>
      </c>
    </row>
    <row r="11984" spans="6:14">
      <c r="F11984" s="6">
        <f>IF($M11984="PADD I","PADD 1",IF($M11984="PADD II","PADD 2",IF($M11984="PADD III","PADD 3",IF($M11984="PADD IV","PADD 4",IF($M11984="PADD V","PADD 5","")))))</f>
        <v/>
      </c>
      <c r="G11984" s="6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  <c r="N11984" s="6">
        <f>IF(OR($G11984="FCC",$G11984="Hydrocracker",$G11984="Reformer"),IF(COUNTIFS($D:$D,$D11984,$A:$A,$A11984,$B:$B,$B11984,$G:$G,"CDU",$J:$J,"PLANNED")&gt;0,"tied","standalone"),"")</f>
        <v/>
      </c>
    </row>
    <row r="11985" spans="6:14">
      <c r="F11985" s="6">
        <f>IF($M11985="PADD I","PADD 1",IF($M11985="PADD II","PADD 2",IF($M11985="PADD III","PADD 3",IF($M11985="PADD IV","PADD 4",IF($M11985="PADD V","PADD 5","")))))</f>
        <v/>
      </c>
      <c r="G11985" s="6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  <c r="N11985" s="6">
        <f>IF(OR($G11985="FCC",$G11985="Hydrocracker",$G11985="Reformer"),IF(COUNTIFS($D:$D,$D11985,$A:$A,$A11985,$B:$B,$B11985,$G:$G,"CDU",$J:$J,"PLANNED")&gt;0,"tied","standalone"),"")</f>
        <v/>
      </c>
    </row>
    <row r="11986" spans="6:14">
      <c r="F11986" s="6">
        <f>IF($M11986="PADD I","PADD 1",IF($M11986="PADD II","PADD 2",IF($M11986="PADD III","PADD 3",IF($M11986="PADD IV","PADD 4",IF($M11986="PADD V","PADD 5","")))))</f>
        <v/>
      </c>
      <c r="G11986" s="6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  <c r="N11986" s="6">
        <f>IF(OR($G11986="FCC",$G11986="Hydrocracker",$G11986="Reformer"),IF(COUNTIFS($D:$D,$D11986,$A:$A,$A11986,$B:$B,$B11986,$G:$G,"CDU",$J:$J,"PLANNED")&gt;0,"tied","standalone"),"")</f>
        <v/>
      </c>
    </row>
    <row r="11987" spans="6:14">
      <c r="F11987" s="6">
        <f>IF($M11987="PADD I","PADD 1",IF($M11987="PADD II","PADD 2",IF($M11987="PADD III","PADD 3",IF($M11987="PADD IV","PADD 4",IF($M11987="PADD V","PADD 5","")))))</f>
        <v/>
      </c>
      <c r="G11987" s="6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  <c r="N11987" s="6">
        <f>IF(OR($G11987="FCC",$G11987="Hydrocracker",$G11987="Reformer"),IF(COUNTIFS($D:$D,$D11987,$A:$A,$A11987,$B:$B,$B11987,$G:$G,"CDU",$J:$J,"PLANNED")&gt;0,"tied","standalone"),"")</f>
        <v/>
      </c>
    </row>
    <row r="11988" spans="6:14">
      <c r="F11988" s="6">
        <f>IF($M11988="PADD I","PADD 1",IF($M11988="PADD II","PADD 2",IF($M11988="PADD III","PADD 3",IF($M11988="PADD IV","PADD 4",IF($M11988="PADD V","PADD 5","")))))</f>
        <v/>
      </c>
      <c r="G11988" s="6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  <c r="N11988" s="6">
        <f>IF(OR($G11988="FCC",$G11988="Hydrocracker",$G11988="Reformer"),IF(COUNTIFS($D:$D,$D11988,$A:$A,$A11988,$B:$B,$B11988,$G:$G,"CDU",$J:$J,"PLANNED")&gt;0,"tied","standalone"),"")</f>
        <v/>
      </c>
    </row>
    <row r="11989" spans="6:14">
      <c r="F11989" s="6">
        <f>IF($M11989="PADD I","PADD 1",IF($M11989="PADD II","PADD 2",IF($M11989="PADD III","PADD 3",IF($M11989="PADD IV","PADD 4",IF($M11989="PADD V","PADD 5","")))))</f>
        <v/>
      </c>
      <c r="G11989" s="6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  <c r="N11989" s="6">
        <f>IF(OR($G11989="FCC",$G11989="Hydrocracker",$G11989="Reformer"),IF(COUNTIFS($D:$D,$D11989,$A:$A,$A11989,$B:$B,$B11989,$G:$G,"CDU",$J:$J,"PLANNED")&gt;0,"tied","standalone"),"")</f>
        <v/>
      </c>
    </row>
    <row r="11990" spans="6:14">
      <c r="F11990" s="6">
        <f>IF($M11990="PADD I","PADD 1",IF($M11990="PADD II","PADD 2",IF($M11990="PADD III","PADD 3",IF($M11990="PADD IV","PADD 4",IF($M11990="PADD V","PADD 5","")))))</f>
        <v/>
      </c>
      <c r="G11990" s="6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  <c r="N11990" s="6">
        <f>IF(OR($G11990="FCC",$G11990="Hydrocracker",$G11990="Reformer"),IF(COUNTIFS($D:$D,$D11990,$A:$A,$A11990,$B:$B,$B11990,$G:$G,"CDU",$J:$J,"PLANNED")&gt;0,"tied","standalone"),"")</f>
        <v/>
      </c>
    </row>
    <row r="11991" spans="6:14">
      <c r="F11991" s="6">
        <f>IF($M11991="PADD I","PADD 1",IF($M11991="PADD II","PADD 2",IF($M11991="PADD III","PADD 3",IF($M11991="PADD IV","PADD 4",IF($M11991="PADD V","PADD 5","")))))</f>
        <v/>
      </c>
      <c r="G11991" s="6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  <c r="N11991" s="6">
        <f>IF(OR($G11991="FCC",$G11991="Hydrocracker",$G11991="Reformer"),IF(COUNTIFS($D:$D,$D11991,$A:$A,$A11991,$B:$B,$B11991,$G:$G,"CDU",$J:$J,"PLANNED")&gt;0,"tied","standalone"),"")</f>
        <v/>
      </c>
    </row>
    <row r="11992" spans="6:14">
      <c r="F11992" s="6">
        <f>IF($M11992="PADD I","PADD 1",IF($M11992="PADD II","PADD 2",IF($M11992="PADD III","PADD 3",IF($M11992="PADD IV","PADD 4",IF($M11992="PADD V","PADD 5","")))))</f>
        <v/>
      </c>
      <c r="G11992" s="6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  <c r="N11992" s="6">
        <f>IF(OR($G11992="FCC",$G11992="Hydrocracker",$G11992="Reformer"),IF(COUNTIFS($D:$D,$D11992,$A:$A,$A11992,$B:$B,$B11992,$G:$G,"CDU",$J:$J,"PLANNED")&gt;0,"tied","standalone"),"")</f>
        <v/>
      </c>
    </row>
    <row r="11993" spans="6:14">
      <c r="F11993" s="6">
        <f>IF($M11993="PADD I","PADD 1",IF($M11993="PADD II","PADD 2",IF($M11993="PADD III","PADD 3",IF($M11993="PADD IV","PADD 4",IF($M11993="PADD V","PADD 5","")))))</f>
        <v/>
      </c>
      <c r="G11993" s="6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  <c r="N11993" s="6">
        <f>IF(OR($G11993="FCC",$G11993="Hydrocracker",$G11993="Reformer"),IF(COUNTIFS($D:$D,$D11993,$A:$A,$A11993,$B:$B,$B11993,$G:$G,"CDU",$J:$J,"PLANNED")&gt;0,"tied","standalone"),"")</f>
        <v/>
      </c>
    </row>
    <row r="11994" spans="6:14">
      <c r="F11994" s="6">
        <f>IF($M11994="PADD I","PADD 1",IF($M11994="PADD II","PADD 2",IF($M11994="PADD III","PADD 3",IF($M11994="PADD IV","PADD 4",IF($M11994="PADD V","PADD 5","")))))</f>
        <v/>
      </c>
      <c r="G11994" s="6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  <c r="N11994" s="6">
        <f>IF(OR($G11994="FCC",$G11994="Hydrocracker",$G11994="Reformer"),IF(COUNTIFS($D:$D,$D11994,$A:$A,$A11994,$B:$B,$B11994,$G:$G,"CDU",$J:$J,"PLANNED")&gt;0,"tied","standalone"),"")</f>
        <v/>
      </c>
    </row>
    <row r="11995" spans="6:14">
      <c r="F11995" s="6">
        <f>IF($M11995="PADD I","PADD 1",IF($M11995="PADD II","PADD 2",IF($M11995="PADD III","PADD 3",IF($M11995="PADD IV","PADD 4",IF($M11995="PADD V","PADD 5","")))))</f>
        <v/>
      </c>
      <c r="G11995" s="6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  <c r="N11995" s="6">
        <f>IF(OR($G11995="FCC",$G11995="Hydrocracker",$G11995="Reformer"),IF(COUNTIFS($D:$D,$D11995,$A:$A,$A11995,$B:$B,$B11995,$G:$G,"CDU",$J:$J,"PLANNED")&gt;0,"tied","standalone"),"")</f>
        <v/>
      </c>
    </row>
    <row r="11996" spans="6:14">
      <c r="F11996" s="6">
        <f>IF($M11996="PADD I","PADD 1",IF($M11996="PADD II","PADD 2",IF($M11996="PADD III","PADD 3",IF($M11996="PADD IV","PADD 4",IF($M11996="PADD V","PADD 5","")))))</f>
        <v/>
      </c>
      <c r="G11996" s="6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  <c r="N11996" s="6">
        <f>IF(OR($G11996="FCC",$G11996="Hydrocracker",$G11996="Reformer"),IF(COUNTIFS($D:$D,$D11996,$A:$A,$A11996,$B:$B,$B11996,$G:$G,"CDU",$J:$J,"PLANNED")&gt;0,"tied","standalone"),"")</f>
        <v/>
      </c>
    </row>
    <row r="11997" spans="6:14">
      <c r="F11997" s="6">
        <f>IF($M11997="PADD I","PADD 1",IF($M11997="PADD II","PADD 2",IF($M11997="PADD III","PADD 3",IF($M11997="PADD IV","PADD 4",IF($M11997="PADD V","PADD 5","")))))</f>
        <v/>
      </c>
      <c r="G11997" s="6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  <c r="N11997" s="6">
        <f>IF(OR($G11997="FCC",$G11997="Hydrocracker",$G11997="Reformer"),IF(COUNTIFS($D:$D,$D11997,$A:$A,$A11997,$B:$B,$B11997,$G:$G,"CDU",$J:$J,"PLANNED")&gt;0,"tied","standalone"),"")</f>
        <v/>
      </c>
    </row>
    <row r="11998" spans="6:14">
      <c r="F11998" s="6">
        <f>IF($M11998="PADD I","PADD 1",IF($M11998="PADD II","PADD 2",IF($M11998="PADD III","PADD 3",IF($M11998="PADD IV","PADD 4",IF($M11998="PADD V","PADD 5","")))))</f>
        <v/>
      </c>
      <c r="G11998" s="6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  <c r="N11998" s="6">
        <f>IF(OR($G11998="FCC",$G11998="Hydrocracker",$G11998="Reformer"),IF(COUNTIFS($D:$D,$D11998,$A:$A,$A11998,$B:$B,$B11998,$G:$G,"CDU",$J:$J,"PLANNED")&gt;0,"tied","standalone"),"")</f>
        <v/>
      </c>
    </row>
    <row r="11999" spans="6:14">
      <c r="F11999" s="6">
        <f>IF($M11999="PADD I","PADD 1",IF($M11999="PADD II","PADD 2",IF($M11999="PADD III","PADD 3",IF($M11999="PADD IV","PADD 4",IF($M11999="PADD V","PADD 5","")))))</f>
        <v/>
      </c>
      <c r="G11999" s="6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  <c r="N11999" s="6">
        <f>IF(OR($G11999="FCC",$G11999="Hydrocracker",$G11999="Reformer"),IF(COUNTIFS($D:$D,$D11999,$A:$A,$A11999,$B:$B,$B11999,$G:$G,"CDU",$J:$J,"PLANNED")&gt;0,"tied","standalone"),"")</f>
        <v/>
      </c>
    </row>
    <row r="12000" spans="6:14">
      <c r="F12000" s="6">
        <f>IF($M12000="PADD I","PADD 1",IF($M12000="PADD II","PADD 2",IF($M12000="PADD III","PADD 3",IF($M12000="PADD IV","PADD 4",IF($M12000="PADD V","PADD 5","")))))</f>
        <v/>
      </c>
      <c r="G12000" s="6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  <c r="N12000" s="6">
        <f>IF(OR($G12000="FCC",$G12000="Hydrocracker",$G12000="Reformer"),IF(COUNTIFS($D:$D,$D12000,$A:$A,$A12000,$B:$B,$B12000,$G:$G,"CDU",$J:$J,"PLANNED")&gt;0,"tied","standalone"),"")</f>
        <v/>
      </c>
    </row>
    <row r="12001" spans="6:14">
      <c r="F12001" s="6">
        <f>IF($M12001="PADD I","PADD 1",IF($M12001="PADD II","PADD 2",IF($M12001="PADD III","PADD 3",IF($M12001="PADD IV","PADD 4",IF($M12001="PADD V","PADD 5","")))))</f>
        <v/>
      </c>
      <c r="G12001" s="6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  <c r="N12001" s="6">
        <f>IF(OR($G12001="FCC",$G12001="Hydrocracker",$G12001="Reformer"),IF(COUNTIFS($D:$D,$D12001,$A:$A,$A12001,$B:$B,$B12001,$G:$G,"CDU",$J:$J,"PLANNED")&gt;0,"tied","standalone"),"")</f>
        <v/>
      </c>
    </row>
    <row r="12002" spans="6:14">
      <c r="F12002" s="6">
        <f>IF($M12002="PADD I","PADD 1",IF($M12002="PADD II","PADD 2",IF($M12002="PADD III","PADD 3",IF($M12002="PADD IV","PADD 4",IF($M12002="PADD V","PADD 5","")))))</f>
        <v/>
      </c>
      <c r="G12002" s="6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  <c r="N12002" s="6">
        <f>IF(OR($G12002="FCC",$G12002="Hydrocracker",$G12002="Reformer"),IF(COUNTIFS($D:$D,$D12002,$A:$A,$A12002,$B:$B,$B12002,$G:$G,"CDU",$J:$J,"PLANNED")&gt;0,"tied","standalone"),"")</f>
        <v/>
      </c>
    </row>
    <row r="12003" spans="6:14">
      <c r="F12003" s="6">
        <f>IF($M12003="PADD I","PADD 1",IF($M12003="PADD II","PADD 2",IF($M12003="PADD III","PADD 3",IF($M12003="PADD IV","PADD 4",IF($M12003="PADD V","PADD 5","")))))</f>
        <v/>
      </c>
      <c r="G12003" s="6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  <c r="N12003" s="6">
        <f>IF(OR($G12003="FCC",$G12003="Hydrocracker",$G12003="Reformer"),IF(COUNTIFS($D:$D,$D12003,$A:$A,$A12003,$B:$B,$B12003,$G:$G,"CDU",$J:$J,"PLANNED")&gt;0,"tied","standalone"),"")</f>
        <v/>
      </c>
    </row>
    <row r="12004" spans="6:14">
      <c r="F12004" s="6">
        <f>IF($M12004="PADD I","PADD 1",IF($M12004="PADD II","PADD 2",IF($M12004="PADD III","PADD 3",IF($M12004="PADD IV","PADD 4",IF($M12004="PADD V","PADD 5","")))))</f>
        <v/>
      </c>
      <c r="G12004" s="6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  <c r="N12004" s="6">
        <f>IF(OR($G12004="FCC",$G12004="Hydrocracker",$G12004="Reformer"),IF(COUNTIFS($D:$D,$D12004,$A:$A,$A12004,$B:$B,$B12004,$G:$G,"CDU",$J:$J,"PLANNED")&gt;0,"tied","standalone"),"")</f>
        <v/>
      </c>
    </row>
    <row r="12005" spans="6:14">
      <c r="F12005" s="6">
        <f>IF($M12005="PADD I","PADD 1",IF($M12005="PADD II","PADD 2",IF($M12005="PADD III","PADD 3",IF($M12005="PADD IV","PADD 4",IF($M12005="PADD V","PADD 5","")))))</f>
        <v/>
      </c>
      <c r="G12005" s="6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  <c r="N12005" s="6">
        <f>IF(OR($G12005="FCC",$G12005="Hydrocracker",$G12005="Reformer"),IF(COUNTIFS($D:$D,$D12005,$A:$A,$A12005,$B:$B,$B12005,$G:$G,"CDU",$J:$J,"PLANNED")&gt;0,"tied","standalone"),"")</f>
        <v/>
      </c>
    </row>
    <row r="12006" spans="6:14">
      <c r="F12006" s="6">
        <f>IF($M12006="PADD I","PADD 1",IF($M12006="PADD II","PADD 2",IF($M12006="PADD III","PADD 3",IF($M12006="PADD IV","PADD 4",IF($M12006="PADD V","PADD 5","")))))</f>
        <v/>
      </c>
      <c r="G12006" s="6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  <c r="N12006" s="6">
        <f>IF(OR($G12006="FCC",$G12006="Hydrocracker",$G12006="Reformer"),IF(COUNTIFS($D:$D,$D12006,$A:$A,$A12006,$B:$B,$B12006,$G:$G,"CDU",$J:$J,"PLANNED")&gt;0,"tied","standalone"),"")</f>
        <v/>
      </c>
    </row>
    <row r="12007" spans="6:14">
      <c r="F12007" s="6">
        <f>IF($M12007="PADD I","PADD 1",IF($M12007="PADD II","PADD 2",IF($M12007="PADD III","PADD 3",IF($M12007="PADD IV","PADD 4",IF($M12007="PADD V","PADD 5","")))))</f>
        <v/>
      </c>
      <c r="G12007" s="6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  <c r="N12007" s="6">
        <f>IF(OR($G12007="FCC",$G12007="Hydrocracker",$G12007="Reformer"),IF(COUNTIFS($D:$D,$D12007,$A:$A,$A12007,$B:$B,$B12007,$G:$G,"CDU",$J:$J,"PLANNED")&gt;0,"tied","standalone"),"")</f>
        <v/>
      </c>
    </row>
    <row r="12008" spans="6:14">
      <c r="F12008" s="6">
        <f>IF($M12008="PADD I","PADD 1",IF($M12008="PADD II","PADD 2",IF($M12008="PADD III","PADD 3",IF($M12008="PADD IV","PADD 4",IF($M12008="PADD V","PADD 5","")))))</f>
        <v/>
      </c>
      <c r="G12008" s="6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  <c r="N12008" s="6">
        <f>IF(OR($G12008="FCC",$G12008="Hydrocracker",$G12008="Reformer"),IF(COUNTIFS($D:$D,$D12008,$A:$A,$A12008,$B:$B,$B12008,$G:$G,"CDU",$J:$J,"PLANNED")&gt;0,"tied","standalone"),"")</f>
        <v/>
      </c>
    </row>
    <row r="12009" spans="6:14">
      <c r="F12009" s="6">
        <f>IF($M12009="PADD I","PADD 1",IF($M12009="PADD II","PADD 2",IF($M12009="PADD III","PADD 3",IF($M12009="PADD IV","PADD 4",IF($M12009="PADD V","PADD 5","")))))</f>
        <v/>
      </c>
      <c r="G12009" s="6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  <c r="N12009" s="6">
        <f>IF(OR($G12009="FCC",$G12009="Hydrocracker",$G12009="Reformer"),IF(COUNTIFS($D:$D,$D12009,$A:$A,$A12009,$B:$B,$B12009,$G:$G,"CDU",$J:$J,"PLANNED")&gt;0,"tied","standalone"),"")</f>
        <v/>
      </c>
    </row>
    <row r="12010" spans="6:14">
      <c r="F12010" s="6">
        <f>IF($M12010="PADD I","PADD 1",IF($M12010="PADD II","PADD 2",IF($M12010="PADD III","PADD 3",IF($M12010="PADD IV","PADD 4",IF($M12010="PADD V","PADD 5","")))))</f>
        <v/>
      </c>
      <c r="G12010" s="6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  <c r="N12010" s="6">
        <f>IF(OR($G12010="FCC",$G12010="Hydrocracker",$G12010="Reformer"),IF(COUNTIFS($D:$D,$D12010,$A:$A,$A12010,$B:$B,$B12010,$G:$G,"CDU",$J:$J,"PLANNED")&gt;0,"tied","standalone"),"")</f>
        <v/>
      </c>
    </row>
    <row r="12011" spans="6:14">
      <c r="F12011" s="6">
        <f>IF($M12011="PADD I","PADD 1",IF($M12011="PADD II","PADD 2",IF($M12011="PADD III","PADD 3",IF($M12011="PADD IV","PADD 4",IF($M12011="PADD V","PADD 5","")))))</f>
        <v/>
      </c>
      <c r="G12011" s="6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  <c r="N12011" s="6">
        <f>IF(OR($G12011="FCC",$G12011="Hydrocracker",$G12011="Reformer"),IF(COUNTIFS($D:$D,$D12011,$A:$A,$A12011,$B:$B,$B12011,$G:$G,"CDU",$J:$J,"PLANNED")&gt;0,"tied","standalone"),"")</f>
        <v/>
      </c>
    </row>
    <row r="12012" spans="6:14">
      <c r="F12012" s="6">
        <f>IF($M12012="PADD I","PADD 1",IF($M12012="PADD II","PADD 2",IF($M12012="PADD III","PADD 3",IF($M12012="PADD IV","PADD 4",IF($M12012="PADD V","PADD 5","")))))</f>
        <v/>
      </c>
      <c r="G12012" s="6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  <c r="N12012" s="6">
        <f>IF(OR($G12012="FCC",$G12012="Hydrocracker",$G12012="Reformer"),IF(COUNTIFS($D:$D,$D12012,$A:$A,$A12012,$B:$B,$B12012,$G:$G,"CDU",$J:$J,"PLANNED")&gt;0,"tied","standalone"),"")</f>
        <v/>
      </c>
    </row>
    <row r="12013" spans="6:14">
      <c r="F12013" s="6">
        <f>IF($M12013="PADD I","PADD 1",IF($M12013="PADD II","PADD 2",IF($M12013="PADD III","PADD 3",IF($M12013="PADD IV","PADD 4",IF($M12013="PADD V","PADD 5","")))))</f>
        <v/>
      </c>
      <c r="G12013" s="6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  <c r="N12013" s="6">
        <f>IF(OR($G12013="FCC",$G12013="Hydrocracker",$G12013="Reformer"),IF(COUNTIFS($D:$D,$D12013,$A:$A,$A12013,$B:$B,$B12013,$G:$G,"CDU",$J:$J,"PLANNED")&gt;0,"tied","standalone"),"")</f>
        <v/>
      </c>
    </row>
    <row r="12014" spans="6:14">
      <c r="F12014" s="6">
        <f>IF($M12014="PADD I","PADD 1",IF($M12014="PADD II","PADD 2",IF($M12014="PADD III","PADD 3",IF($M12014="PADD IV","PADD 4",IF($M12014="PADD V","PADD 5","")))))</f>
        <v/>
      </c>
      <c r="G12014" s="6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  <c r="N12014" s="6">
        <f>IF(OR($G12014="FCC",$G12014="Hydrocracker",$G12014="Reformer"),IF(COUNTIFS($D:$D,$D12014,$A:$A,$A12014,$B:$B,$B12014,$G:$G,"CDU",$J:$J,"PLANNED")&gt;0,"tied","standalone"),"")</f>
        <v/>
      </c>
    </row>
    <row r="12015" spans="6:14">
      <c r="F12015" s="6">
        <f>IF($M12015="PADD I","PADD 1",IF($M12015="PADD II","PADD 2",IF($M12015="PADD III","PADD 3",IF($M12015="PADD IV","PADD 4",IF($M12015="PADD V","PADD 5","")))))</f>
        <v/>
      </c>
      <c r="G12015" s="6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  <c r="N12015" s="6">
        <f>IF(OR($G12015="FCC",$G12015="Hydrocracker",$G12015="Reformer"),IF(COUNTIFS($D:$D,$D12015,$A:$A,$A12015,$B:$B,$B12015,$G:$G,"CDU",$J:$J,"PLANNED")&gt;0,"tied","standalone"),"")</f>
        <v/>
      </c>
    </row>
    <row r="12016" spans="6:14">
      <c r="F12016" s="6">
        <f>IF($M12016="PADD I","PADD 1",IF($M12016="PADD II","PADD 2",IF($M12016="PADD III","PADD 3",IF($M12016="PADD IV","PADD 4",IF($M12016="PADD V","PADD 5","")))))</f>
        <v/>
      </c>
      <c r="G12016" s="6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  <c r="N12016" s="6">
        <f>IF(OR($G12016="FCC",$G12016="Hydrocracker",$G12016="Reformer"),IF(COUNTIFS($D:$D,$D12016,$A:$A,$A12016,$B:$B,$B12016,$G:$G,"CDU",$J:$J,"PLANNED")&gt;0,"tied","standalone"),"")</f>
        <v/>
      </c>
    </row>
    <row r="12017" spans="6:14">
      <c r="F12017" s="6">
        <f>IF($M12017="PADD I","PADD 1",IF($M12017="PADD II","PADD 2",IF($M12017="PADD III","PADD 3",IF($M12017="PADD IV","PADD 4",IF($M12017="PADD V","PADD 5","")))))</f>
        <v/>
      </c>
      <c r="G12017" s="6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  <c r="N12017" s="6">
        <f>IF(OR($G12017="FCC",$G12017="Hydrocracker",$G12017="Reformer"),IF(COUNTIFS($D:$D,$D12017,$A:$A,$A12017,$B:$B,$B12017,$G:$G,"CDU",$J:$J,"PLANNED")&gt;0,"tied","standalone"),"")</f>
        <v/>
      </c>
    </row>
    <row r="12018" spans="6:14">
      <c r="F12018" s="6">
        <f>IF($M12018="PADD I","PADD 1",IF($M12018="PADD II","PADD 2",IF($M12018="PADD III","PADD 3",IF($M12018="PADD IV","PADD 4",IF($M12018="PADD V","PADD 5","")))))</f>
        <v/>
      </c>
      <c r="G12018" s="6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  <c r="N12018" s="6">
        <f>IF(OR($G12018="FCC",$G12018="Hydrocracker",$G12018="Reformer"),IF(COUNTIFS($D:$D,$D12018,$A:$A,$A12018,$B:$B,$B12018,$G:$G,"CDU",$J:$J,"PLANNED")&gt;0,"tied","standalone"),"")</f>
        <v/>
      </c>
    </row>
    <row r="12019" spans="6:14">
      <c r="F12019" s="6">
        <f>IF($M12019="PADD I","PADD 1",IF($M12019="PADD II","PADD 2",IF($M12019="PADD III","PADD 3",IF($M12019="PADD IV","PADD 4",IF($M12019="PADD V","PADD 5","")))))</f>
        <v/>
      </c>
      <c r="G12019" s="6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  <c r="N12019" s="6">
        <f>IF(OR($G12019="FCC",$G12019="Hydrocracker",$G12019="Reformer"),IF(COUNTIFS($D:$D,$D12019,$A:$A,$A12019,$B:$B,$B12019,$G:$G,"CDU",$J:$J,"PLANNED")&gt;0,"tied","standalone"),"")</f>
        <v/>
      </c>
    </row>
    <row r="12020" spans="6:14">
      <c r="F12020" s="6">
        <f>IF($M12020="PADD I","PADD 1",IF($M12020="PADD II","PADD 2",IF($M12020="PADD III","PADD 3",IF($M12020="PADD IV","PADD 4",IF($M12020="PADD V","PADD 5","")))))</f>
        <v/>
      </c>
      <c r="G12020" s="6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  <c r="N12020" s="6">
        <f>IF(OR($G12020="FCC",$G12020="Hydrocracker",$G12020="Reformer"),IF(COUNTIFS($D:$D,$D12020,$A:$A,$A12020,$B:$B,$B12020,$G:$G,"CDU",$J:$J,"PLANNED")&gt;0,"tied","standalone"),"")</f>
        <v/>
      </c>
    </row>
    <row r="12021" spans="6:14">
      <c r="F12021" s="6">
        <f>IF($M12021="PADD I","PADD 1",IF($M12021="PADD II","PADD 2",IF($M12021="PADD III","PADD 3",IF($M12021="PADD IV","PADD 4",IF($M12021="PADD V","PADD 5","")))))</f>
        <v/>
      </c>
      <c r="G12021" s="6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  <c r="N12021" s="6">
        <f>IF(OR($G12021="FCC",$G12021="Hydrocracker",$G12021="Reformer"),IF(COUNTIFS($D:$D,$D12021,$A:$A,$A12021,$B:$B,$B12021,$G:$G,"CDU",$J:$J,"PLANNED")&gt;0,"tied","standalone"),"")</f>
        <v/>
      </c>
    </row>
    <row r="12022" spans="6:14">
      <c r="F12022" s="6">
        <f>IF($M12022="PADD I","PADD 1",IF($M12022="PADD II","PADD 2",IF($M12022="PADD III","PADD 3",IF($M12022="PADD IV","PADD 4",IF($M12022="PADD V","PADD 5","")))))</f>
        <v/>
      </c>
      <c r="G12022" s="6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  <c r="N12022" s="6">
        <f>IF(OR($G12022="FCC",$G12022="Hydrocracker",$G12022="Reformer"),IF(COUNTIFS($D:$D,$D12022,$A:$A,$A12022,$B:$B,$B12022,$G:$G,"CDU",$J:$J,"PLANNED")&gt;0,"tied","standalone"),"")</f>
        <v/>
      </c>
    </row>
    <row r="12023" spans="6:14">
      <c r="F12023" s="6">
        <f>IF($M12023="PADD I","PADD 1",IF($M12023="PADD II","PADD 2",IF($M12023="PADD III","PADD 3",IF($M12023="PADD IV","PADD 4",IF($M12023="PADD V","PADD 5","")))))</f>
        <v/>
      </c>
      <c r="G12023" s="6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  <c r="N12023" s="6">
        <f>IF(OR($G12023="FCC",$G12023="Hydrocracker",$G12023="Reformer"),IF(COUNTIFS($D:$D,$D12023,$A:$A,$A12023,$B:$B,$B12023,$G:$G,"CDU",$J:$J,"PLANNED")&gt;0,"tied","standalone"),"")</f>
        <v/>
      </c>
    </row>
    <row r="12024" spans="6:14">
      <c r="F12024" s="6">
        <f>IF($M12024="PADD I","PADD 1",IF($M12024="PADD II","PADD 2",IF($M12024="PADD III","PADD 3",IF($M12024="PADD IV","PADD 4",IF($M12024="PADD V","PADD 5","")))))</f>
        <v/>
      </c>
      <c r="G12024" s="6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  <c r="N12024" s="6">
        <f>IF(OR($G12024="FCC",$G12024="Hydrocracker",$G12024="Reformer"),IF(COUNTIFS($D:$D,$D12024,$A:$A,$A12024,$B:$B,$B12024,$G:$G,"CDU",$J:$J,"PLANNED")&gt;0,"tied","standalone"),"")</f>
        <v/>
      </c>
    </row>
    <row r="12025" spans="6:14">
      <c r="F12025" s="6">
        <f>IF($M12025="PADD I","PADD 1",IF($M12025="PADD II","PADD 2",IF($M12025="PADD III","PADD 3",IF($M12025="PADD IV","PADD 4",IF($M12025="PADD V","PADD 5","")))))</f>
        <v/>
      </c>
      <c r="G12025" s="6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  <c r="N12025" s="6">
        <f>IF(OR($G12025="FCC",$G12025="Hydrocracker",$G12025="Reformer"),IF(COUNTIFS($D:$D,$D12025,$A:$A,$A12025,$B:$B,$B12025,$G:$G,"CDU",$J:$J,"PLANNED")&gt;0,"tied","standalone"),"")</f>
        <v/>
      </c>
    </row>
    <row r="12026" spans="6:14">
      <c r="F12026" s="6">
        <f>IF($M12026="PADD I","PADD 1",IF($M12026="PADD II","PADD 2",IF($M12026="PADD III","PADD 3",IF($M12026="PADD IV","PADD 4",IF($M12026="PADD V","PADD 5","")))))</f>
        <v/>
      </c>
      <c r="G12026" s="6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  <c r="N12026" s="6">
        <f>IF(OR($G12026="FCC",$G12026="Hydrocracker",$G12026="Reformer"),IF(COUNTIFS($D:$D,$D12026,$A:$A,$A12026,$B:$B,$B12026,$G:$G,"CDU",$J:$J,"PLANNED")&gt;0,"tied","standalone"),"")</f>
        <v/>
      </c>
    </row>
    <row r="12027" spans="6:14">
      <c r="F12027" s="6">
        <f>IF($M12027="PADD I","PADD 1",IF($M12027="PADD II","PADD 2",IF($M12027="PADD III","PADD 3",IF($M12027="PADD IV","PADD 4",IF($M12027="PADD V","PADD 5","")))))</f>
        <v/>
      </c>
      <c r="G12027" s="6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  <c r="N12027" s="6">
        <f>IF(OR($G12027="FCC",$G12027="Hydrocracker",$G12027="Reformer"),IF(COUNTIFS($D:$D,$D12027,$A:$A,$A12027,$B:$B,$B12027,$G:$G,"CDU",$J:$J,"PLANNED")&gt;0,"tied","standalone"),"")</f>
        <v/>
      </c>
    </row>
    <row r="12028" spans="6:14">
      <c r="F12028" s="6">
        <f>IF($M12028="PADD I","PADD 1",IF($M12028="PADD II","PADD 2",IF($M12028="PADD III","PADD 3",IF($M12028="PADD IV","PADD 4",IF($M12028="PADD V","PADD 5","")))))</f>
        <v/>
      </c>
      <c r="G12028" s="6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  <c r="N12028" s="6">
        <f>IF(OR($G12028="FCC",$G12028="Hydrocracker",$G12028="Reformer"),IF(COUNTIFS($D:$D,$D12028,$A:$A,$A12028,$B:$B,$B12028,$G:$G,"CDU",$J:$J,"PLANNED")&gt;0,"tied","standalone"),"")</f>
        <v/>
      </c>
    </row>
    <row r="12029" spans="6:14">
      <c r="F12029" s="6">
        <f>IF($M12029="PADD I","PADD 1",IF($M12029="PADD II","PADD 2",IF($M12029="PADD III","PADD 3",IF($M12029="PADD IV","PADD 4",IF($M12029="PADD V","PADD 5","")))))</f>
        <v/>
      </c>
      <c r="G12029" s="6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  <c r="N12029" s="6">
        <f>IF(OR($G12029="FCC",$G12029="Hydrocracker",$G12029="Reformer"),IF(COUNTIFS($D:$D,$D12029,$A:$A,$A12029,$B:$B,$B12029,$G:$G,"CDU",$J:$J,"PLANNED")&gt;0,"tied","standalone"),"")</f>
        <v/>
      </c>
    </row>
    <row r="12030" spans="6:14">
      <c r="F12030" s="6">
        <f>IF($M12030="PADD I","PADD 1",IF($M12030="PADD II","PADD 2",IF($M12030="PADD III","PADD 3",IF($M12030="PADD IV","PADD 4",IF($M12030="PADD V","PADD 5","")))))</f>
        <v/>
      </c>
      <c r="G12030" s="6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  <c r="N12030" s="6">
        <f>IF(OR($G12030="FCC",$G12030="Hydrocracker",$G12030="Reformer"),IF(COUNTIFS($D:$D,$D12030,$A:$A,$A12030,$B:$B,$B12030,$G:$G,"CDU",$J:$J,"PLANNED")&gt;0,"tied","standalone"),"")</f>
        <v/>
      </c>
    </row>
    <row r="12031" spans="6:14">
      <c r="F12031" s="6">
        <f>IF($M12031="PADD I","PADD 1",IF($M12031="PADD II","PADD 2",IF($M12031="PADD III","PADD 3",IF($M12031="PADD IV","PADD 4",IF($M12031="PADD V","PADD 5","")))))</f>
        <v/>
      </c>
      <c r="G12031" s="6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  <c r="N12031" s="6">
        <f>IF(OR($G12031="FCC",$G12031="Hydrocracker",$G12031="Reformer"),IF(COUNTIFS($D:$D,$D12031,$A:$A,$A12031,$B:$B,$B12031,$G:$G,"CDU",$J:$J,"PLANNED")&gt;0,"tied","standalone"),"")</f>
        <v/>
      </c>
    </row>
    <row r="12032" spans="6:14">
      <c r="F12032" s="6">
        <f>IF($M12032="PADD I","PADD 1",IF($M12032="PADD II","PADD 2",IF($M12032="PADD III","PADD 3",IF($M12032="PADD IV","PADD 4",IF($M12032="PADD V","PADD 5","")))))</f>
        <v/>
      </c>
      <c r="G12032" s="6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  <c r="N12032" s="6">
        <f>IF(OR($G12032="FCC",$G12032="Hydrocracker",$G12032="Reformer"),IF(COUNTIFS($D:$D,$D12032,$A:$A,$A12032,$B:$B,$B12032,$G:$G,"CDU",$J:$J,"PLANNED")&gt;0,"tied","standalone"),"")</f>
        <v/>
      </c>
    </row>
    <row r="12033" spans="6:14">
      <c r="F12033" s="6">
        <f>IF($M12033="PADD I","PADD 1",IF($M12033="PADD II","PADD 2",IF($M12033="PADD III","PADD 3",IF($M12033="PADD IV","PADD 4",IF($M12033="PADD V","PADD 5","")))))</f>
        <v/>
      </c>
      <c r="G12033" s="6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  <c r="N12033" s="6">
        <f>IF(OR($G12033="FCC",$G12033="Hydrocracker",$G12033="Reformer"),IF(COUNTIFS($D:$D,$D12033,$A:$A,$A12033,$B:$B,$B12033,$G:$G,"CDU",$J:$J,"PLANNED")&gt;0,"tied","standalone"),"")</f>
        <v/>
      </c>
    </row>
    <row r="12034" spans="6:14">
      <c r="F12034" s="6">
        <f>IF($M12034="PADD I","PADD 1",IF($M12034="PADD II","PADD 2",IF($M12034="PADD III","PADD 3",IF($M12034="PADD IV","PADD 4",IF($M12034="PADD V","PADD 5","")))))</f>
        <v/>
      </c>
      <c r="G12034" s="6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  <c r="N12034" s="6">
        <f>IF(OR($G12034="FCC",$G12034="Hydrocracker",$G12034="Reformer"),IF(COUNTIFS($D:$D,$D12034,$A:$A,$A12034,$B:$B,$B12034,$G:$G,"CDU",$J:$J,"PLANNED")&gt;0,"tied","standalone"),"")</f>
        <v/>
      </c>
    </row>
    <row r="12035" spans="6:14">
      <c r="F12035" s="6">
        <f>IF($M12035="PADD I","PADD 1",IF($M12035="PADD II","PADD 2",IF($M12035="PADD III","PADD 3",IF($M12035="PADD IV","PADD 4",IF($M12035="PADD V","PADD 5","")))))</f>
        <v/>
      </c>
      <c r="G12035" s="6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  <c r="N12035" s="6">
        <f>IF(OR($G12035="FCC",$G12035="Hydrocracker",$G12035="Reformer"),IF(COUNTIFS($D:$D,$D12035,$A:$A,$A12035,$B:$B,$B12035,$G:$G,"CDU",$J:$J,"PLANNED")&gt;0,"tied","standalone"),"")</f>
        <v/>
      </c>
    </row>
    <row r="12036" spans="6:14">
      <c r="F12036" s="6">
        <f>IF($M12036="PADD I","PADD 1",IF($M12036="PADD II","PADD 2",IF($M12036="PADD III","PADD 3",IF($M12036="PADD IV","PADD 4",IF($M12036="PADD V","PADD 5","")))))</f>
        <v/>
      </c>
      <c r="G12036" s="6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  <c r="N12036" s="6">
        <f>IF(OR($G12036="FCC",$G12036="Hydrocracker",$G12036="Reformer"),IF(COUNTIFS($D:$D,$D12036,$A:$A,$A12036,$B:$B,$B12036,$G:$G,"CDU",$J:$J,"PLANNED")&gt;0,"tied","standalone"),"")</f>
        <v/>
      </c>
    </row>
    <row r="12037" spans="6:14">
      <c r="F12037" s="6">
        <f>IF($M12037="PADD I","PADD 1",IF($M12037="PADD II","PADD 2",IF($M12037="PADD III","PADD 3",IF($M12037="PADD IV","PADD 4",IF($M12037="PADD V","PADD 5","")))))</f>
        <v/>
      </c>
      <c r="G12037" s="6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  <c r="N12037" s="6">
        <f>IF(OR($G12037="FCC",$G12037="Hydrocracker",$G12037="Reformer"),IF(COUNTIFS($D:$D,$D12037,$A:$A,$A12037,$B:$B,$B12037,$G:$G,"CDU",$J:$J,"PLANNED")&gt;0,"tied","standalone"),"")</f>
        <v/>
      </c>
    </row>
    <row r="12038" spans="6:14">
      <c r="F12038" s="6">
        <f>IF($M12038="PADD I","PADD 1",IF($M12038="PADD II","PADD 2",IF($M12038="PADD III","PADD 3",IF($M12038="PADD IV","PADD 4",IF($M12038="PADD V","PADD 5","")))))</f>
        <v/>
      </c>
      <c r="G12038" s="6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  <c r="N12038" s="6">
        <f>IF(OR($G12038="FCC",$G12038="Hydrocracker",$G12038="Reformer"),IF(COUNTIFS($D:$D,$D12038,$A:$A,$A12038,$B:$B,$B12038,$G:$G,"CDU",$J:$J,"PLANNED")&gt;0,"tied","standalone"),"")</f>
        <v/>
      </c>
    </row>
    <row r="12039" spans="6:14">
      <c r="F12039" s="6">
        <f>IF($M12039="PADD I","PADD 1",IF($M12039="PADD II","PADD 2",IF($M12039="PADD III","PADD 3",IF($M12039="PADD IV","PADD 4",IF($M12039="PADD V","PADD 5","")))))</f>
        <v/>
      </c>
      <c r="G12039" s="6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  <c r="N12039" s="6">
        <f>IF(OR($G12039="FCC",$G12039="Hydrocracker",$G12039="Reformer"),IF(COUNTIFS($D:$D,$D12039,$A:$A,$A12039,$B:$B,$B12039,$G:$G,"CDU",$J:$J,"PLANNED")&gt;0,"tied","standalone"),"")</f>
        <v/>
      </c>
    </row>
    <row r="12040" spans="6:14">
      <c r="F12040" s="6">
        <f>IF($M12040="PADD I","PADD 1",IF($M12040="PADD II","PADD 2",IF($M12040="PADD III","PADD 3",IF($M12040="PADD IV","PADD 4",IF($M12040="PADD V","PADD 5","")))))</f>
        <v/>
      </c>
      <c r="G12040" s="6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  <c r="N12040" s="6">
        <f>IF(OR($G12040="FCC",$G12040="Hydrocracker",$G12040="Reformer"),IF(COUNTIFS($D:$D,$D12040,$A:$A,$A12040,$B:$B,$B12040,$G:$G,"CDU",$J:$J,"PLANNED")&gt;0,"tied","standalone"),"")</f>
        <v/>
      </c>
    </row>
    <row r="12041" spans="6:14">
      <c r="F12041" s="6">
        <f>IF($M12041="PADD I","PADD 1",IF($M12041="PADD II","PADD 2",IF($M12041="PADD III","PADD 3",IF($M12041="PADD IV","PADD 4",IF($M12041="PADD V","PADD 5","")))))</f>
        <v/>
      </c>
      <c r="G12041" s="6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  <c r="N12041" s="6">
        <f>IF(OR($G12041="FCC",$G12041="Hydrocracker",$G12041="Reformer"),IF(COUNTIFS($D:$D,$D12041,$A:$A,$A12041,$B:$B,$B12041,$G:$G,"CDU",$J:$J,"PLANNED")&gt;0,"tied","standalone"),"")</f>
        <v/>
      </c>
    </row>
    <row r="12042" spans="6:14">
      <c r="F12042" s="6">
        <f>IF($M12042="PADD I","PADD 1",IF($M12042="PADD II","PADD 2",IF($M12042="PADD III","PADD 3",IF($M12042="PADD IV","PADD 4",IF($M12042="PADD V","PADD 5","")))))</f>
        <v/>
      </c>
      <c r="G12042" s="6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  <c r="N12042" s="6">
        <f>IF(OR($G12042="FCC",$G12042="Hydrocracker",$G12042="Reformer"),IF(COUNTIFS($D:$D,$D12042,$A:$A,$A12042,$B:$B,$B12042,$G:$G,"CDU",$J:$J,"PLANNED")&gt;0,"tied","standalone"),"")</f>
        <v/>
      </c>
    </row>
    <row r="12043" spans="6:14">
      <c r="F12043" s="6">
        <f>IF($M12043="PADD I","PADD 1",IF($M12043="PADD II","PADD 2",IF($M12043="PADD III","PADD 3",IF($M12043="PADD IV","PADD 4",IF($M12043="PADD V","PADD 5","")))))</f>
        <v/>
      </c>
      <c r="G12043" s="6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  <c r="N12043" s="6">
        <f>IF(OR($G12043="FCC",$G12043="Hydrocracker",$G12043="Reformer"),IF(COUNTIFS($D:$D,$D12043,$A:$A,$A12043,$B:$B,$B12043,$G:$G,"CDU",$J:$J,"PLANNED")&gt;0,"tied","standalone"),"")</f>
        <v/>
      </c>
    </row>
    <row r="12044" spans="6:14">
      <c r="F12044" s="6">
        <f>IF($M12044="PADD I","PADD 1",IF($M12044="PADD II","PADD 2",IF($M12044="PADD III","PADD 3",IF($M12044="PADD IV","PADD 4",IF($M12044="PADD V","PADD 5","")))))</f>
        <v/>
      </c>
      <c r="G12044" s="6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  <c r="N12044" s="6">
        <f>IF(OR($G12044="FCC",$G12044="Hydrocracker",$G12044="Reformer"),IF(COUNTIFS($D:$D,$D12044,$A:$A,$A12044,$B:$B,$B12044,$G:$G,"CDU",$J:$J,"PLANNED")&gt;0,"tied","standalone"),"")</f>
        <v/>
      </c>
    </row>
    <row r="12045" spans="6:14">
      <c r="F12045" s="6">
        <f>IF($M12045="PADD I","PADD 1",IF($M12045="PADD II","PADD 2",IF($M12045="PADD III","PADD 3",IF($M12045="PADD IV","PADD 4",IF($M12045="PADD V","PADD 5","")))))</f>
        <v/>
      </c>
      <c r="G12045" s="6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  <c r="N12045" s="6">
        <f>IF(OR($G12045="FCC",$G12045="Hydrocracker",$G12045="Reformer"),IF(COUNTIFS($D:$D,$D12045,$A:$A,$A12045,$B:$B,$B12045,$G:$G,"CDU",$J:$J,"PLANNED")&gt;0,"tied","standalone"),"")</f>
        <v/>
      </c>
    </row>
    <row r="12046" spans="6:14">
      <c r="F12046" s="6">
        <f>IF($M12046="PADD I","PADD 1",IF($M12046="PADD II","PADD 2",IF($M12046="PADD III","PADD 3",IF($M12046="PADD IV","PADD 4",IF($M12046="PADD V","PADD 5","")))))</f>
        <v/>
      </c>
      <c r="G12046" s="6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  <c r="N12046" s="6">
        <f>IF(OR($G12046="FCC",$G12046="Hydrocracker",$G12046="Reformer"),IF(COUNTIFS($D:$D,$D12046,$A:$A,$A12046,$B:$B,$B12046,$G:$G,"CDU",$J:$J,"PLANNED")&gt;0,"tied","standalone"),"")</f>
        <v/>
      </c>
    </row>
    <row r="12047" spans="6:14">
      <c r="F12047" s="6">
        <f>IF($M12047="PADD I","PADD 1",IF($M12047="PADD II","PADD 2",IF($M12047="PADD III","PADD 3",IF($M12047="PADD IV","PADD 4",IF($M12047="PADD V","PADD 5","")))))</f>
        <v/>
      </c>
      <c r="G12047" s="6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  <c r="N12047" s="6">
        <f>IF(OR($G12047="FCC",$G12047="Hydrocracker",$G12047="Reformer"),IF(COUNTIFS($D:$D,$D12047,$A:$A,$A12047,$B:$B,$B12047,$G:$G,"CDU",$J:$J,"PLANNED")&gt;0,"tied","standalone"),"")</f>
        <v/>
      </c>
    </row>
    <row r="12048" spans="6:14">
      <c r="F12048" s="6">
        <f>IF($M12048="PADD I","PADD 1",IF($M12048="PADD II","PADD 2",IF($M12048="PADD III","PADD 3",IF($M12048="PADD IV","PADD 4",IF($M12048="PADD V","PADD 5","")))))</f>
        <v/>
      </c>
      <c r="G12048" s="6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  <c r="N12048" s="6">
        <f>IF(OR($G12048="FCC",$G12048="Hydrocracker",$G12048="Reformer"),IF(COUNTIFS($D:$D,$D12048,$A:$A,$A12048,$B:$B,$B12048,$G:$G,"CDU",$J:$J,"PLANNED")&gt;0,"tied","standalone"),"")</f>
        <v/>
      </c>
    </row>
    <row r="12049" spans="6:14">
      <c r="F12049" s="6">
        <f>IF($M12049="PADD I","PADD 1",IF($M12049="PADD II","PADD 2",IF($M12049="PADD III","PADD 3",IF($M12049="PADD IV","PADD 4",IF($M12049="PADD V","PADD 5","")))))</f>
        <v/>
      </c>
      <c r="G12049" s="6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  <c r="N12049" s="6">
        <f>IF(OR($G12049="FCC",$G12049="Hydrocracker",$G12049="Reformer"),IF(COUNTIFS($D:$D,$D12049,$A:$A,$A12049,$B:$B,$B12049,$G:$G,"CDU",$J:$J,"PLANNED")&gt;0,"tied","standalone"),"")</f>
        <v/>
      </c>
    </row>
    <row r="12050" spans="6:14">
      <c r="F12050" s="6">
        <f>IF($M12050="PADD I","PADD 1",IF($M12050="PADD II","PADD 2",IF($M12050="PADD III","PADD 3",IF($M12050="PADD IV","PADD 4",IF($M12050="PADD V","PADD 5","")))))</f>
        <v/>
      </c>
      <c r="G12050" s="6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  <c r="N12050" s="6">
        <f>IF(OR($G12050="FCC",$G12050="Hydrocracker",$G12050="Reformer"),IF(COUNTIFS($D:$D,$D12050,$A:$A,$A12050,$B:$B,$B12050,$G:$G,"CDU",$J:$J,"PLANNED")&gt;0,"tied","standalone"),"")</f>
        <v/>
      </c>
    </row>
    <row r="12051" spans="6:14">
      <c r="F12051" s="6">
        <f>IF($M12051="PADD I","PADD 1",IF($M12051="PADD II","PADD 2",IF($M12051="PADD III","PADD 3",IF($M12051="PADD IV","PADD 4",IF($M12051="PADD V","PADD 5","")))))</f>
        <v/>
      </c>
      <c r="G12051" s="6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  <c r="N12051" s="6">
        <f>IF(OR($G12051="FCC",$G12051="Hydrocracker",$G12051="Reformer"),IF(COUNTIFS($D:$D,$D12051,$A:$A,$A12051,$B:$B,$B12051,$G:$G,"CDU",$J:$J,"PLANNED")&gt;0,"tied","standalone"),"")</f>
        <v/>
      </c>
    </row>
    <row r="12052" spans="6:14">
      <c r="F12052" s="6">
        <f>IF($M12052="PADD I","PADD 1",IF($M12052="PADD II","PADD 2",IF($M12052="PADD III","PADD 3",IF($M12052="PADD IV","PADD 4",IF($M12052="PADD V","PADD 5","")))))</f>
        <v/>
      </c>
      <c r="G12052" s="6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  <c r="N12052" s="6">
        <f>IF(OR($G12052="FCC",$G12052="Hydrocracker",$G12052="Reformer"),IF(COUNTIFS($D:$D,$D12052,$A:$A,$A12052,$B:$B,$B12052,$G:$G,"CDU",$J:$J,"PLANNED")&gt;0,"tied","standalone"),"")</f>
        <v/>
      </c>
    </row>
    <row r="12053" spans="6:14">
      <c r="F12053" s="6">
        <f>IF($M12053="PADD I","PADD 1",IF($M12053="PADD II","PADD 2",IF($M12053="PADD III","PADD 3",IF($M12053="PADD IV","PADD 4",IF($M12053="PADD V","PADD 5","")))))</f>
        <v/>
      </c>
      <c r="G12053" s="6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  <c r="N12053" s="6">
        <f>IF(OR($G12053="FCC",$G12053="Hydrocracker",$G12053="Reformer"),IF(COUNTIFS($D:$D,$D12053,$A:$A,$A12053,$B:$B,$B12053,$G:$G,"CDU",$J:$J,"PLANNED")&gt;0,"tied","standalone"),"")</f>
        <v/>
      </c>
    </row>
    <row r="12054" spans="6:14">
      <c r="F12054" s="6">
        <f>IF($M12054="PADD I","PADD 1",IF($M12054="PADD II","PADD 2",IF($M12054="PADD III","PADD 3",IF($M12054="PADD IV","PADD 4",IF($M12054="PADD V","PADD 5","")))))</f>
        <v/>
      </c>
      <c r="G12054" s="6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  <c r="N12054" s="6">
        <f>IF(OR($G12054="FCC",$G12054="Hydrocracker",$G12054="Reformer"),IF(COUNTIFS($D:$D,$D12054,$A:$A,$A12054,$B:$B,$B12054,$G:$G,"CDU",$J:$J,"PLANNED")&gt;0,"tied","standalone"),"")</f>
        <v/>
      </c>
    </row>
    <row r="12055" spans="6:14">
      <c r="F12055" s="6">
        <f>IF($M12055="PADD I","PADD 1",IF($M12055="PADD II","PADD 2",IF($M12055="PADD III","PADD 3",IF($M12055="PADD IV","PADD 4",IF($M12055="PADD V","PADD 5","")))))</f>
        <v/>
      </c>
      <c r="G12055" s="6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  <c r="N12055" s="6">
        <f>IF(OR($G12055="FCC",$G12055="Hydrocracker",$G12055="Reformer"),IF(COUNTIFS($D:$D,$D12055,$A:$A,$A12055,$B:$B,$B12055,$G:$G,"CDU",$J:$J,"PLANNED")&gt;0,"tied","standalone"),"")</f>
        <v/>
      </c>
    </row>
    <row r="12056" spans="6:14">
      <c r="F12056" s="6">
        <f>IF($M12056="PADD I","PADD 1",IF($M12056="PADD II","PADD 2",IF($M12056="PADD III","PADD 3",IF($M12056="PADD IV","PADD 4",IF($M12056="PADD V","PADD 5","")))))</f>
        <v/>
      </c>
      <c r="G12056" s="6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  <c r="N12056" s="6">
        <f>IF(OR($G12056="FCC",$G12056="Hydrocracker",$G12056="Reformer"),IF(COUNTIFS($D:$D,$D12056,$A:$A,$A12056,$B:$B,$B12056,$G:$G,"CDU",$J:$J,"PLANNED")&gt;0,"tied","standalone"),"")</f>
        <v/>
      </c>
    </row>
    <row r="12057" spans="6:14">
      <c r="F12057" s="6">
        <f>IF($M12057="PADD I","PADD 1",IF($M12057="PADD II","PADD 2",IF($M12057="PADD III","PADD 3",IF($M12057="PADD IV","PADD 4",IF($M12057="PADD V","PADD 5","")))))</f>
        <v/>
      </c>
      <c r="G12057" s="6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  <c r="N12057" s="6">
        <f>IF(OR($G12057="FCC",$G12057="Hydrocracker",$G12057="Reformer"),IF(COUNTIFS($D:$D,$D12057,$A:$A,$A12057,$B:$B,$B12057,$G:$G,"CDU",$J:$J,"PLANNED")&gt;0,"tied","standalone"),"")</f>
        <v/>
      </c>
    </row>
    <row r="12058" spans="6:14">
      <c r="F12058" s="6">
        <f>IF($M12058="PADD I","PADD 1",IF($M12058="PADD II","PADD 2",IF($M12058="PADD III","PADD 3",IF($M12058="PADD IV","PADD 4",IF($M12058="PADD V","PADD 5","")))))</f>
        <v/>
      </c>
      <c r="G12058" s="6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  <c r="N12058" s="6">
        <f>IF(OR($G12058="FCC",$G12058="Hydrocracker",$G12058="Reformer"),IF(COUNTIFS($D:$D,$D12058,$A:$A,$A12058,$B:$B,$B12058,$G:$G,"CDU",$J:$J,"PLANNED")&gt;0,"tied","standalone"),"")</f>
        <v/>
      </c>
    </row>
    <row r="12059" spans="6:14">
      <c r="F12059" s="6">
        <f>IF($M12059="PADD I","PADD 1",IF($M12059="PADD II","PADD 2",IF($M12059="PADD III","PADD 3",IF($M12059="PADD IV","PADD 4",IF($M12059="PADD V","PADD 5","")))))</f>
        <v/>
      </c>
      <c r="G12059" s="6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  <c r="N12059" s="6">
        <f>IF(OR($G12059="FCC",$G12059="Hydrocracker",$G12059="Reformer"),IF(COUNTIFS($D:$D,$D12059,$A:$A,$A12059,$B:$B,$B12059,$G:$G,"CDU",$J:$J,"PLANNED")&gt;0,"tied","standalone"),"")</f>
        <v/>
      </c>
    </row>
    <row r="12060" spans="6:14">
      <c r="F12060" s="6">
        <f>IF($M12060="PADD I","PADD 1",IF($M12060="PADD II","PADD 2",IF($M12060="PADD III","PADD 3",IF($M12060="PADD IV","PADD 4",IF($M12060="PADD V","PADD 5","")))))</f>
        <v/>
      </c>
      <c r="G12060" s="6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  <c r="N12060" s="6">
        <f>IF(OR($G12060="FCC",$G12060="Hydrocracker",$G12060="Reformer"),IF(COUNTIFS($D:$D,$D12060,$A:$A,$A12060,$B:$B,$B12060,$G:$G,"CDU",$J:$J,"PLANNED")&gt;0,"tied","standalone"),"")</f>
        <v/>
      </c>
    </row>
    <row r="12061" spans="6:14">
      <c r="F12061" s="6">
        <f>IF($M12061="PADD I","PADD 1",IF($M12061="PADD II","PADD 2",IF($M12061="PADD III","PADD 3",IF($M12061="PADD IV","PADD 4",IF($M12061="PADD V","PADD 5","")))))</f>
        <v/>
      </c>
      <c r="G12061" s="6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  <c r="N12061" s="6">
        <f>IF(OR($G12061="FCC",$G12061="Hydrocracker",$G12061="Reformer"),IF(COUNTIFS($D:$D,$D12061,$A:$A,$A12061,$B:$B,$B12061,$G:$G,"CDU",$J:$J,"PLANNED")&gt;0,"tied","standalone"),"")</f>
        <v/>
      </c>
    </row>
    <row r="12062" spans="6:14">
      <c r="F12062" s="6">
        <f>IF($M12062="PADD I","PADD 1",IF($M12062="PADD II","PADD 2",IF($M12062="PADD III","PADD 3",IF($M12062="PADD IV","PADD 4",IF($M12062="PADD V","PADD 5","")))))</f>
        <v/>
      </c>
      <c r="G12062" s="6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  <c r="N12062" s="6">
        <f>IF(OR($G12062="FCC",$G12062="Hydrocracker",$G12062="Reformer"),IF(COUNTIFS($D:$D,$D12062,$A:$A,$A12062,$B:$B,$B12062,$G:$G,"CDU",$J:$J,"PLANNED")&gt;0,"tied","standalone"),"")</f>
        <v/>
      </c>
    </row>
    <row r="12063" spans="6:14">
      <c r="F12063" s="6">
        <f>IF($M12063="PADD I","PADD 1",IF($M12063="PADD II","PADD 2",IF($M12063="PADD III","PADD 3",IF($M12063="PADD IV","PADD 4",IF($M12063="PADD V","PADD 5","")))))</f>
        <v/>
      </c>
      <c r="G12063" s="6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  <c r="N12063" s="6">
        <f>IF(OR($G12063="FCC",$G12063="Hydrocracker",$G12063="Reformer"),IF(COUNTIFS($D:$D,$D12063,$A:$A,$A12063,$B:$B,$B12063,$G:$G,"CDU",$J:$J,"PLANNED")&gt;0,"tied","standalone"),"")</f>
        <v/>
      </c>
    </row>
    <row r="12064" spans="6:14">
      <c r="F12064" s="6">
        <f>IF($M12064="PADD I","PADD 1",IF($M12064="PADD II","PADD 2",IF($M12064="PADD III","PADD 3",IF($M12064="PADD IV","PADD 4",IF($M12064="PADD V","PADD 5","")))))</f>
        <v/>
      </c>
      <c r="G12064" s="6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  <c r="N12064" s="6">
        <f>IF(OR($G12064="FCC",$G12064="Hydrocracker",$G12064="Reformer"),IF(COUNTIFS($D:$D,$D12064,$A:$A,$A12064,$B:$B,$B12064,$G:$G,"CDU",$J:$J,"PLANNED")&gt;0,"tied","standalone"),"")</f>
        <v/>
      </c>
    </row>
    <row r="12065" spans="6:14">
      <c r="F12065" s="6">
        <f>IF($M12065="PADD I","PADD 1",IF($M12065="PADD II","PADD 2",IF($M12065="PADD III","PADD 3",IF($M12065="PADD IV","PADD 4",IF($M12065="PADD V","PADD 5","")))))</f>
        <v/>
      </c>
      <c r="G12065" s="6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  <c r="N12065" s="6">
        <f>IF(OR($G12065="FCC",$G12065="Hydrocracker",$G12065="Reformer"),IF(COUNTIFS($D:$D,$D12065,$A:$A,$A12065,$B:$B,$B12065,$G:$G,"CDU",$J:$J,"PLANNED")&gt;0,"tied","standalone"),"")</f>
        <v/>
      </c>
    </row>
    <row r="12066" spans="6:14">
      <c r="F12066" s="6">
        <f>IF($M12066="PADD I","PADD 1",IF($M12066="PADD II","PADD 2",IF($M12066="PADD III","PADD 3",IF($M12066="PADD IV","PADD 4",IF($M12066="PADD V","PADD 5","")))))</f>
        <v/>
      </c>
      <c r="G12066" s="6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  <c r="N12066" s="6">
        <f>IF(OR($G12066="FCC",$G12066="Hydrocracker",$G12066="Reformer"),IF(COUNTIFS($D:$D,$D12066,$A:$A,$A12066,$B:$B,$B12066,$G:$G,"CDU",$J:$J,"PLANNED")&gt;0,"tied","standalone"),"")</f>
        <v/>
      </c>
    </row>
    <row r="12067" spans="6:14">
      <c r="F12067" s="6">
        <f>IF($M12067="PADD I","PADD 1",IF($M12067="PADD II","PADD 2",IF($M12067="PADD III","PADD 3",IF($M12067="PADD IV","PADD 4",IF($M12067="PADD V","PADD 5","")))))</f>
        <v/>
      </c>
      <c r="G12067" s="6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  <c r="N12067" s="6">
        <f>IF(OR($G12067="FCC",$G12067="Hydrocracker",$G12067="Reformer"),IF(COUNTIFS($D:$D,$D12067,$A:$A,$A12067,$B:$B,$B12067,$G:$G,"CDU",$J:$J,"PLANNED")&gt;0,"tied","standalone"),"")</f>
        <v/>
      </c>
    </row>
    <row r="12068" spans="6:14">
      <c r="F12068" s="6">
        <f>IF($M12068="PADD I","PADD 1",IF($M12068="PADD II","PADD 2",IF($M12068="PADD III","PADD 3",IF($M12068="PADD IV","PADD 4",IF($M12068="PADD V","PADD 5","")))))</f>
        <v/>
      </c>
      <c r="G12068" s="6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  <c r="N12068" s="6">
        <f>IF(OR($G12068="FCC",$G12068="Hydrocracker",$G12068="Reformer"),IF(COUNTIFS($D:$D,$D12068,$A:$A,$A12068,$B:$B,$B12068,$G:$G,"CDU",$J:$J,"PLANNED")&gt;0,"tied","standalone"),"")</f>
        <v/>
      </c>
    </row>
    <row r="12069" spans="6:14">
      <c r="F12069" s="6">
        <f>IF($M12069="PADD I","PADD 1",IF($M12069="PADD II","PADD 2",IF($M12069="PADD III","PADD 3",IF($M12069="PADD IV","PADD 4",IF($M12069="PADD V","PADD 5","")))))</f>
        <v/>
      </c>
      <c r="G12069" s="6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  <c r="N12069" s="6">
        <f>IF(OR($G12069="FCC",$G12069="Hydrocracker",$G12069="Reformer"),IF(COUNTIFS($D:$D,$D12069,$A:$A,$A12069,$B:$B,$B12069,$G:$G,"CDU",$J:$J,"PLANNED")&gt;0,"tied","standalone"),"")</f>
        <v/>
      </c>
    </row>
    <row r="12070" spans="6:14">
      <c r="F12070" s="6">
        <f>IF($M12070="PADD I","PADD 1",IF($M12070="PADD II","PADD 2",IF($M12070="PADD III","PADD 3",IF($M12070="PADD IV","PADD 4",IF($M12070="PADD V","PADD 5","")))))</f>
        <v/>
      </c>
      <c r="G12070" s="6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  <c r="N12070" s="6">
        <f>IF(OR($G12070="FCC",$G12070="Hydrocracker",$G12070="Reformer"),IF(COUNTIFS($D:$D,$D12070,$A:$A,$A12070,$B:$B,$B12070,$G:$G,"CDU",$J:$J,"PLANNED")&gt;0,"tied","standalone"),"")</f>
        <v/>
      </c>
    </row>
    <row r="12071" spans="6:14">
      <c r="F12071" s="6">
        <f>IF($M12071="PADD I","PADD 1",IF($M12071="PADD II","PADD 2",IF($M12071="PADD III","PADD 3",IF($M12071="PADD IV","PADD 4",IF($M12071="PADD V","PADD 5","")))))</f>
        <v/>
      </c>
      <c r="G12071" s="6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  <c r="N12071" s="6">
        <f>IF(OR($G12071="FCC",$G12071="Hydrocracker",$G12071="Reformer"),IF(COUNTIFS($D:$D,$D12071,$A:$A,$A12071,$B:$B,$B12071,$G:$G,"CDU",$J:$J,"PLANNED")&gt;0,"tied","standalone"),"")</f>
        <v/>
      </c>
    </row>
    <row r="12072" spans="6:14">
      <c r="F12072" s="6">
        <f>IF($M12072="PADD I","PADD 1",IF($M12072="PADD II","PADD 2",IF($M12072="PADD III","PADD 3",IF($M12072="PADD IV","PADD 4",IF($M12072="PADD V","PADD 5","")))))</f>
        <v/>
      </c>
      <c r="G12072" s="6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  <c r="N12072" s="6">
        <f>IF(OR($G12072="FCC",$G12072="Hydrocracker",$G12072="Reformer"),IF(COUNTIFS($D:$D,$D12072,$A:$A,$A12072,$B:$B,$B12072,$G:$G,"CDU",$J:$J,"PLANNED")&gt;0,"tied","standalone"),"")</f>
        <v/>
      </c>
    </row>
    <row r="12073" spans="6:14">
      <c r="F12073" s="6">
        <f>IF($M12073="PADD I","PADD 1",IF($M12073="PADD II","PADD 2",IF($M12073="PADD III","PADD 3",IF($M12073="PADD IV","PADD 4",IF($M12073="PADD V","PADD 5","")))))</f>
        <v/>
      </c>
      <c r="G12073" s="6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  <c r="N12073" s="6">
        <f>IF(OR($G12073="FCC",$G12073="Hydrocracker",$G12073="Reformer"),IF(COUNTIFS($D:$D,$D12073,$A:$A,$A12073,$B:$B,$B12073,$G:$G,"CDU",$J:$J,"PLANNED")&gt;0,"tied","standalone"),"")</f>
        <v/>
      </c>
    </row>
    <row r="12074" spans="6:14">
      <c r="F12074" s="6">
        <f>IF($M12074="PADD I","PADD 1",IF($M12074="PADD II","PADD 2",IF($M12074="PADD III","PADD 3",IF($M12074="PADD IV","PADD 4",IF($M12074="PADD V","PADD 5","")))))</f>
        <v/>
      </c>
      <c r="G12074" s="6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  <c r="N12074" s="6">
        <f>IF(OR($G12074="FCC",$G12074="Hydrocracker",$G12074="Reformer"),IF(COUNTIFS($D:$D,$D12074,$A:$A,$A12074,$B:$B,$B12074,$G:$G,"CDU",$J:$J,"PLANNED")&gt;0,"tied","standalone"),"")</f>
        <v/>
      </c>
    </row>
    <row r="12075" spans="6:14">
      <c r="F12075" s="6">
        <f>IF($M12075="PADD I","PADD 1",IF($M12075="PADD II","PADD 2",IF($M12075="PADD III","PADD 3",IF($M12075="PADD IV","PADD 4",IF($M12075="PADD V","PADD 5","")))))</f>
        <v/>
      </c>
      <c r="G12075" s="6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  <c r="N12075" s="6">
        <f>IF(OR($G12075="FCC",$G12075="Hydrocracker",$G12075="Reformer"),IF(COUNTIFS($D:$D,$D12075,$A:$A,$A12075,$B:$B,$B12075,$G:$G,"CDU",$J:$J,"PLANNED")&gt;0,"tied","standalone"),"")</f>
        <v/>
      </c>
    </row>
    <row r="12076" spans="6:14">
      <c r="F12076" s="6">
        <f>IF($M12076="PADD I","PADD 1",IF($M12076="PADD II","PADD 2",IF($M12076="PADD III","PADD 3",IF($M12076="PADD IV","PADD 4",IF($M12076="PADD V","PADD 5","")))))</f>
        <v/>
      </c>
      <c r="G12076" s="6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  <c r="N12076" s="6">
        <f>IF(OR($G12076="FCC",$G12076="Hydrocracker",$G12076="Reformer"),IF(COUNTIFS($D:$D,$D12076,$A:$A,$A12076,$B:$B,$B12076,$G:$G,"CDU",$J:$J,"PLANNED")&gt;0,"tied","standalone"),"")</f>
        <v/>
      </c>
    </row>
    <row r="12077" spans="6:14">
      <c r="F12077" s="6">
        <f>IF($M12077="PADD I","PADD 1",IF($M12077="PADD II","PADD 2",IF($M12077="PADD III","PADD 3",IF($M12077="PADD IV","PADD 4",IF($M12077="PADD V","PADD 5","")))))</f>
        <v/>
      </c>
      <c r="G12077" s="6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  <c r="N12077" s="6">
        <f>IF(OR($G12077="FCC",$G12077="Hydrocracker",$G12077="Reformer"),IF(COUNTIFS($D:$D,$D12077,$A:$A,$A12077,$B:$B,$B12077,$G:$G,"CDU",$J:$J,"PLANNED")&gt;0,"tied","standalone"),"")</f>
        <v/>
      </c>
    </row>
    <row r="12078" spans="6:14">
      <c r="F12078" s="6">
        <f>IF($M12078="PADD I","PADD 1",IF($M12078="PADD II","PADD 2",IF($M12078="PADD III","PADD 3",IF($M12078="PADD IV","PADD 4",IF($M12078="PADD V","PADD 5","")))))</f>
        <v/>
      </c>
      <c r="G12078" s="6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  <c r="N12078" s="6">
        <f>IF(OR($G12078="FCC",$G12078="Hydrocracker",$G12078="Reformer"),IF(COUNTIFS($D:$D,$D12078,$A:$A,$A12078,$B:$B,$B12078,$G:$G,"CDU",$J:$J,"PLANNED")&gt;0,"tied","standalone"),"")</f>
        <v/>
      </c>
    </row>
    <row r="12079" spans="6:14">
      <c r="F12079" s="6">
        <f>IF($M12079="PADD I","PADD 1",IF($M12079="PADD II","PADD 2",IF($M12079="PADD III","PADD 3",IF($M12079="PADD IV","PADD 4",IF($M12079="PADD V","PADD 5","")))))</f>
        <v/>
      </c>
      <c r="G12079" s="6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  <c r="N12079" s="6">
        <f>IF(OR($G12079="FCC",$G12079="Hydrocracker",$G12079="Reformer"),IF(COUNTIFS($D:$D,$D12079,$A:$A,$A12079,$B:$B,$B12079,$G:$G,"CDU",$J:$J,"PLANNED")&gt;0,"tied","standalone"),"")</f>
        <v/>
      </c>
    </row>
    <row r="12080" spans="6:14">
      <c r="F12080" s="6">
        <f>IF($M12080="PADD I","PADD 1",IF($M12080="PADD II","PADD 2",IF($M12080="PADD III","PADD 3",IF($M12080="PADD IV","PADD 4",IF($M12080="PADD V","PADD 5","")))))</f>
        <v/>
      </c>
      <c r="G12080" s="6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  <c r="N12080" s="6">
        <f>IF(OR($G12080="FCC",$G12080="Hydrocracker",$G12080="Reformer"),IF(COUNTIFS($D:$D,$D12080,$A:$A,$A12080,$B:$B,$B12080,$G:$G,"CDU",$J:$J,"PLANNED")&gt;0,"tied","standalone"),"")</f>
        <v/>
      </c>
    </row>
    <row r="12081" spans="6:14">
      <c r="F12081" s="6">
        <f>IF($M12081="PADD I","PADD 1",IF($M12081="PADD II","PADD 2",IF($M12081="PADD III","PADD 3",IF($M12081="PADD IV","PADD 4",IF($M12081="PADD V","PADD 5","")))))</f>
        <v/>
      </c>
      <c r="G12081" s="6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  <c r="N12081" s="6">
        <f>IF(OR($G12081="FCC",$G12081="Hydrocracker",$G12081="Reformer"),IF(COUNTIFS($D:$D,$D12081,$A:$A,$A12081,$B:$B,$B12081,$G:$G,"CDU",$J:$J,"PLANNED")&gt;0,"tied","standalone"),"")</f>
        <v/>
      </c>
    </row>
    <row r="12082" spans="6:14">
      <c r="F12082" s="6">
        <f>IF($M12082="PADD I","PADD 1",IF($M12082="PADD II","PADD 2",IF($M12082="PADD III","PADD 3",IF($M12082="PADD IV","PADD 4",IF($M12082="PADD V","PADD 5","")))))</f>
        <v/>
      </c>
      <c r="G12082" s="6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  <c r="N12082" s="6">
        <f>IF(OR($G12082="FCC",$G12082="Hydrocracker",$G12082="Reformer"),IF(COUNTIFS($D:$D,$D12082,$A:$A,$A12082,$B:$B,$B12082,$G:$G,"CDU",$J:$J,"PLANNED")&gt;0,"tied","standalone"),"")</f>
        <v/>
      </c>
    </row>
    <row r="12083" spans="6:14">
      <c r="F12083" s="6">
        <f>IF($M12083="PADD I","PADD 1",IF($M12083="PADD II","PADD 2",IF($M12083="PADD III","PADD 3",IF($M12083="PADD IV","PADD 4",IF($M12083="PADD V","PADD 5","")))))</f>
        <v/>
      </c>
      <c r="G12083" s="6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  <c r="N12083" s="6">
        <f>IF(OR($G12083="FCC",$G12083="Hydrocracker",$G12083="Reformer"),IF(COUNTIFS($D:$D,$D12083,$A:$A,$A12083,$B:$B,$B12083,$G:$G,"CDU",$J:$J,"PLANNED")&gt;0,"tied","standalone"),"")</f>
        <v/>
      </c>
    </row>
    <row r="12084" spans="6:14">
      <c r="F12084" s="6">
        <f>IF($M12084="PADD I","PADD 1",IF($M12084="PADD II","PADD 2",IF($M12084="PADD III","PADD 3",IF($M12084="PADD IV","PADD 4",IF($M12084="PADD V","PADD 5","")))))</f>
        <v/>
      </c>
      <c r="G12084" s="6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  <c r="N12084" s="6">
        <f>IF(OR($G12084="FCC",$G12084="Hydrocracker",$G12084="Reformer"),IF(COUNTIFS($D:$D,$D12084,$A:$A,$A12084,$B:$B,$B12084,$G:$G,"CDU",$J:$J,"PLANNED")&gt;0,"tied","standalone"),"")</f>
        <v/>
      </c>
    </row>
    <row r="12085" spans="6:14">
      <c r="F12085" s="6">
        <f>IF($M12085="PADD I","PADD 1",IF($M12085="PADD II","PADD 2",IF($M12085="PADD III","PADD 3",IF($M12085="PADD IV","PADD 4",IF($M12085="PADD V","PADD 5","")))))</f>
        <v/>
      </c>
      <c r="G12085" s="6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  <c r="N12085" s="6">
        <f>IF(OR($G12085="FCC",$G12085="Hydrocracker",$G12085="Reformer"),IF(COUNTIFS($D:$D,$D12085,$A:$A,$A12085,$B:$B,$B12085,$G:$G,"CDU",$J:$J,"PLANNED")&gt;0,"tied","standalone"),"")</f>
        <v/>
      </c>
    </row>
    <row r="12086" spans="6:14">
      <c r="F12086" s="6">
        <f>IF($M12086="PADD I","PADD 1",IF($M12086="PADD II","PADD 2",IF($M12086="PADD III","PADD 3",IF($M12086="PADD IV","PADD 4",IF($M12086="PADD V","PADD 5","")))))</f>
        <v/>
      </c>
      <c r="G12086" s="6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  <c r="N12086" s="6">
        <f>IF(OR($G12086="FCC",$G12086="Hydrocracker",$G12086="Reformer"),IF(COUNTIFS($D:$D,$D12086,$A:$A,$A12086,$B:$B,$B12086,$G:$G,"CDU",$J:$J,"PLANNED")&gt;0,"tied","standalone"),"")</f>
        <v/>
      </c>
    </row>
    <row r="12087" spans="6:14">
      <c r="F12087" s="6">
        <f>IF($M12087="PADD I","PADD 1",IF($M12087="PADD II","PADD 2",IF($M12087="PADD III","PADD 3",IF($M12087="PADD IV","PADD 4",IF($M12087="PADD V","PADD 5","")))))</f>
        <v/>
      </c>
      <c r="G12087" s="6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  <c r="N12087" s="6">
        <f>IF(OR($G12087="FCC",$G12087="Hydrocracker",$G12087="Reformer"),IF(COUNTIFS($D:$D,$D12087,$A:$A,$A12087,$B:$B,$B12087,$G:$G,"CDU",$J:$J,"PLANNED")&gt;0,"tied","standalone"),"")</f>
        <v/>
      </c>
    </row>
    <row r="12088" spans="6:14">
      <c r="F12088" s="6">
        <f>IF($M12088="PADD I","PADD 1",IF($M12088="PADD II","PADD 2",IF($M12088="PADD III","PADD 3",IF($M12088="PADD IV","PADD 4",IF($M12088="PADD V","PADD 5","")))))</f>
        <v/>
      </c>
      <c r="G12088" s="6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  <c r="N12088" s="6">
        <f>IF(OR($G12088="FCC",$G12088="Hydrocracker",$G12088="Reformer"),IF(COUNTIFS($D:$D,$D12088,$A:$A,$A12088,$B:$B,$B12088,$G:$G,"CDU",$J:$J,"PLANNED")&gt;0,"tied","standalone"),"")</f>
        <v/>
      </c>
    </row>
    <row r="12089" spans="6:14">
      <c r="F12089" s="6">
        <f>IF($M12089="PADD I","PADD 1",IF($M12089="PADD II","PADD 2",IF($M12089="PADD III","PADD 3",IF($M12089="PADD IV","PADD 4",IF($M12089="PADD V","PADD 5","")))))</f>
        <v/>
      </c>
      <c r="G12089" s="6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  <c r="N12089" s="6">
        <f>IF(OR($G12089="FCC",$G12089="Hydrocracker",$G12089="Reformer"),IF(COUNTIFS($D:$D,$D12089,$A:$A,$A12089,$B:$B,$B12089,$G:$G,"CDU",$J:$J,"PLANNED")&gt;0,"tied","standalone"),"")</f>
        <v/>
      </c>
    </row>
    <row r="12090" spans="6:14">
      <c r="F12090" s="6">
        <f>IF($M12090="PADD I","PADD 1",IF($M12090="PADD II","PADD 2",IF($M12090="PADD III","PADD 3",IF($M12090="PADD IV","PADD 4",IF($M12090="PADD V","PADD 5","")))))</f>
        <v/>
      </c>
      <c r="G12090" s="6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  <c r="N12090" s="6">
        <f>IF(OR($G12090="FCC",$G12090="Hydrocracker",$G12090="Reformer"),IF(COUNTIFS($D:$D,$D12090,$A:$A,$A12090,$B:$B,$B12090,$G:$G,"CDU",$J:$J,"PLANNED")&gt;0,"tied","standalone"),"")</f>
        <v/>
      </c>
    </row>
    <row r="12091" spans="6:14">
      <c r="F12091" s="6">
        <f>IF($M12091="PADD I","PADD 1",IF($M12091="PADD II","PADD 2",IF($M12091="PADD III","PADD 3",IF($M12091="PADD IV","PADD 4",IF($M12091="PADD V","PADD 5","")))))</f>
        <v/>
      </c>
      <c r="G12091" s="6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  <c r="N12091" s="6">
        <f>IF(OR($G12091="FCC",$G12091="Hydrocracker",$G12091="Reformer"),IF(COUNTIFS($D:$D,$D12091,$A:$A,$A12091,$B:$B,$B12091,$G:$G,"CDU",$J:$J,"PLANNED")&gt;0,"tied","standalone"),"")</f>
        <v/>
      </c>
    </row>
    <row r="12092" spans="6:14">
      <c r="F12092" s="6">
        <f>IF($M12092="PADD I","PADD 1",IF($M12092="PADD II","PADD 2",IF($M12092="PADD III","PADD 3",IF($M12092="PADD IV","PADD 4",IF($M12092="PADD V","PADD 5","")))))</f>
        <v/>
      </c>
      <c r="G12092" s="6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  <c r="N12092" s="6">
        <f>IF(OR($G12092="FCC",$G12092="Hydrocracker",$G12092="Reformer"),IF(COUNTIFS($D:$D,$D12092,$A:$A,$A12092,$B:$B,$B12092,$G:$G,"CDU",$J:$J,"PLANNED")&gt;0,"tied","standalone"),"")</f>
        <v/>
      </c>
    </row>
    <row r="12093" spans="6:14">
      <c r="F12093" s="6">
        <f>IF($M12093="PADD I","PADD 1",IF($M12093="PADD II","PADD 2",IF($M12093="PADD III","PADD 3",IF($M12093="PADD IV","PADD 4",IF($M12093="PADD V","PADD 5","")))))</f>
        <v/>
      </c>
      <c r="G12093" s="6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  <c r="N12093" s="6">
        <f>IF(OR($G12093="FCC",$G12093="Hydrocracker",$G12093="Reformer"),IF(COUNTIFS($D:$D,$D12093,$A:$A,$A12093,$B:$B,$B12093,$G:$G,"CDU",$J:$J,"PLANNED")&gt;0,"tied","standalone"),"")</f>
        <v/>
      </c>
    </row>
    <row r="12094" spans="6:14">
      <c r="F12094" s="6">
        <f>IF($M12094="PADD I","PADD 1",IF($M12094="PADD II","PADD 2",IF($M12094="PADD III","PADD 3",IF($M12094="PADD IV","PADD 4",IF($M12094="PADD V","PADD 5","")))))</f>
        <v/>
      </c>
      <c r="G12094" s="6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  <c r="N12094" s="6">
        <f>IF(OR($G12094="FCC",$G12094="Hydrocracker",$G12094="Reformer"),IF(COUNTIFS($D:$D,$D12094,$A:$A,$A12094,$B:$B,$B12094,$G:$G,"CDU",$J:$J,"PLANNED")&gt;0,"tied","standalone"),"")</f>
        <v/>
      </c>
    </row>
    <row r="12095" spans="6:14">
      <c r="F12095" s="6">
        <f>IF($M12095="PADD I","PADD 1",IF($M12095="PADD II","PADD 2",IF($M12095="PADD III","PADD 3",IF($M12095="PADD IV","PADD 4",IF($M12095="PADD V","PADD 5","")))))</f>
        <v/>
      </c>
      <c r="G12095" s="6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  <c r="N12095" s="6">
        <f>IF(OR($G12095="FCC",$G12095="Hydrocracker",$G12095="Reformer"),IF(COUNTIFS($D:$D,$D12095,$A:$A,$A12095,$B:$B,$B12095,$G:$G,"CDU",$J:$J,"PLANNED")&gt;0,"tied","standalone"),"")</f>
        <v/>
      </c>
    </row>
    <row r="12096" spans="6:14">
      <c r="F12096" s="6">
        <f>IF($M12096="PADD I","PADD 1",IF($M12096="PADD II","PADD 2",IF($M12096="PADD III","PADD 3",IF($M12096="PADD IV","PADD 4",IF($M12096="PADD V","PADD 5","")))))</f>
        <v/>
      </c>
      <c r="G12096" s="6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  <c r="N12096" s="6">
        <f>IF(OR($G12096="FCC",$G12096="Hydrocracker",$G12096="Reformer"),IF(COUNTIFS($D:$D,$D12096,$A:$A,$A12096,$B:$B,$B12096,$G:$G,"CDU",$J:$J,"PLANNED")&gt;0,"tied","standalone"),"")</f>
        <v/>
      </c>
    </row>
    <row r="12097" spans="6:14">
      <c r="F12097" s="6">
        <f>IF($M12097="PADD I","PADD 1",IF($M12097="PADD II","PADD 2",IF($M12097="PADD III","PADD 3",IF($M12097="PADD IV","PADD 4",IF($M12097="PADD V","PADD 5","")))))</f>
        <v/>
      </c>
      <c r="G12097" s="6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  <c r="N12097" s="6">
        <f>IF(OR($G12097="FCC",$G12097="Hydrocracker",$G12097="Reformer"),IF(COUNTIFS($D:$D,$D12097,$A:$A,$A12097,$B:$B,$B12097,$G:$G,"CDU",$J:$J,"PLANNED")&gt;0,"tied","standalone"),"")</f>
        <v/>
      </c>
    </row>
    <row r="12098" spans="6:14">
      <c r="F12098" s="6">
        <f>IF($M12098="PADD I","PADD 1",IF($M12098="PADD II","PADD 2",IF($M12098="PADD III","PADD 3",IF($M12098="PADD IV","PADD 4",IF($M12098="PADD V","PADD 5","")))))</f>
        <v/>
      </c>
      <c r="G12098" s="6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  <c r="N12098" s="6">
        <f>IF(OR($G12098="FCC",$G12098="Hydrocracker",$G12098="Reformer"),IF(COUNTIFS($D:$D,$D12098,$A:$A,$A12098,$B:$B,$B12098,$G:$G,"CDU",$J:$J,"PLANNED")&gt;0,"tied","standalone"),"")</f>
        <v/>
      </c>
    </row>
    <row r="12099" spans="6:14">
      <c r="F12099" s="6">
        <f>IF($M12099="PADD I","PADD 1",IF($M12099="PADD II","PADD 2",IF($M12099="PADD III","PADD 3",IF($M12099="PADD IV","PADD 4",IF($M12099="PADD V","PADD 5","")))))</f>
        <v/>
      </c>
      <c r="G12099" s="6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  <c r="N12099" s="6">
        <f>IF(OR($G12099="FCC",$G12099="Hydrocracker",$G12099="Reformer"),IF(COUNTIFS($D:$D,$D12099,$A:$A,$A12099,$B:$B,$B12099,$G:$G,"CDU",$J:$J,"PLANNED")&gt;0,"tied","standalone"),"")</f>
        <v/>
      </c>
    </row>
    <row r="12100" spans="6:14">
      <c r="F12100" s="6">
        <f>IF($M12100="PADD I","PADD 1",IF($M12100="PADD II","PADD 2",IF($M12100="PADD III","PADD 3",IF($M12100="PADD IV","PADD 4",IF($M12100="PADD V","PADD 5","")))))</f>
        <v/>
      </c>
      <c r="G12100" s="6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  <c r="N12100" s="6">
        <f>IF(OR($G12100="FCC",$G12100="Hydrocracker",$G12100="Reformer"),IF(COUNTIFS($D:$D,$D12100,$A:$A,$A12100,$B:$B,$B12100,$G:$G,"CDU",$J:$J,"PLANNED")&gt;0,"tied","standalone"),"")</f>
        <v/>
      </c>
    </row>
    <row r="12101" spans="6:14">
      <c r="F12101" s="6">
        <f>IF($M12101="PADD I","PADD 1",IF($M12101="PADD II","PADD 2",IF($M12101="PADD III","PADD 3",IF($M12101="PADD IV","PADD 4",IF($M12101="PADD V","PADD 5","")))))</f>
        <v/>
      </c>
      <c r="G12101" s="6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  <c r="N12101" s="6">
        <f>IF(OR($G12101="FCC",$G12101="Hydrocracker",$G12101="Reformer"),IF(COUNTIFS($D:$D,$D12101,$A:$A,$A12101,$B:$B,$B12101,$G:$G,"CDU",$J:$J,"PLANNED")&gt;0,"tied","standalone"),"")</f>
        <v/>
      </c>
    </row>
    <row r="12102" spans="6:14">
      <c r="F12102" s="6">
        <f>IF($M12102="PADD I","PADD 1",IF($M12102="PADD II","PADD 2",IF($M12102="PADD III","PADD 3",IF($M12102="PADD IV","PADD 4",IF($M12102="PADD V","PADD 5","")))))</f>
        <v/>
      </c>
      <c r="G12102" s="6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  <c r="N12102" s="6">
        <f>IF(OR($G12102="FCC",$G12102="Hydrocracker",$G12102="Reformer"),IF(COUNTIFS($D:$D,$D12102,$A:$A,$A12102,$B:$B,$B12102,$G:$G,"CDU",$J:$J,"PLANNED")&gt;0,"tied","standalone"),"")</f>
        <v/>
      </c>
    </row>
    <row r="12103" spans="6:14">
      <c r="F12103" s="6">
        <f>IF($M12103="PADD I","PADD 1",IF($M12103="PADD II","PADD 2",IF($M12103="PADD III","PADD 3",IF($M12103="PADD IV","PADD 4",IF($M12103="PADD V","PADD 5","")))))</f>
        <v/>
      </c>
      <c r="G12103" s="6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  <c r="N12103" s="6">
        <f>IF(OR($G12103="FCC",$G12103="Hydrocracker",$G12103="Reformer"),IF(COUNTIFS($D:$D,$D12103,$A:$A,$A12103,$B:$B,$B12103,$G:$G,"CDU",$J:$J,"PLANNED")&gt;0,"tied","standalone"),"")</f>
        <v/>
      </c>
    </row>
    <row r="12104" spans="6:14">
      <c r="F12104" s="6">
        <f>IF($M12104="PADD I","PADD 1",IF($M12104="PADD II","PADD 2",IF($M12104="PADD III","PADD 3",IF($M12104="PADD IV","PADD 4",IF($M12104="PADD V","PADD 5","")))))</f>
        <v/>
      </c>
      <c r="G12104" s="6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  <c r="N12104" s="6">
        <f>IF(OR($G12104="FCC",$G12104="Hydrocracker",$G12104="Reformer"),IF(COUNTIFS($D:$D,$D12104,$A:$A,$A12104,$B:$B,$B12104,$G:$G,"CDU",$J:$J,"PLANNED")&gt;0,"tied","standalone"),"")</f>
        <v/>
      </c>
    </row>
    <row r="12105" spans="6:14">
      <c r="F12105" s="6">
        <f>IF($M12105="PADD I","PADD 1",IF($M12105="PADD II","PADD 2",IF($M12105="PADD III","PADD 3",IF($M12105="PADD IV","PADD 4",IF($M12105="PADD V","PADD 5","")))))</f>
        <v/>
      </c>
      <c r="G12105" s="6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  <c r="N12105" s="6">
        <f>IF(OR($G12105="FCC",$G12105="Hydrocracker",$G12105="Reformer"),IF(COUNTIFS($D:$D,$D12105,$A:$A,$A12105,$B:$B,$B12105,$G:$G,"CDU",$J:$J,"PLANNED")&gt;0,"tied","standalone"),"")</f>
        <v/>
      </c>
    </row>
    <row r="12106" spans="6:14">
      <c r="F12106" s="6">
        <f>IF($M12106="PADD I","PADD 1",IF($M12106="PADD II","PADD 2",IF($M12106="PADD III","PADD 3",IF($M12106="PADD IV","PADD 4",IF($M12106="PADD V","PADD 5","")))))</f>
        <v/>
      </c>
      <c r="G12106" s="6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  <c r="N12106" s="6">
        <f>IF(OR($G12106="FCC",$G12106="Hydrocracker",$G12106="Reformer"),IF(COUNTIFS($D:$D,$D12106,$A:$A,$A12106,$B:$B,$B12106,$G:$G,"CDU",$J:$J,"PLANNED")&gt;0,"tied","standalone"),"")</f>
        <v/>
      </c>
    </row>
    <row r="12107" spans="6:14">
      <c r="F12107" s="6">
        <f>IF($M12107="PADD I","PADD 1",IF($M12107="PADD II","PADD 2",IF($M12107="PADD III","PADD 3",IF($M12107="PADD IV","PADD 4",IF($M12107="PADD V","PADD 5","")))))</f>
        <v/>
      </c>
      <c r="G12107" s="6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  <c r="N12107" s="6">
        <f>IF(OR($G12107="FCC",$G12107="Hydrocracker",$G12107="Reformer"),IF(COUNTIFS($D:$D,$D12107,$A:$A,$A12107,$B:$B,$B12107,$G:$G,"CDU",$J:$J,"PLANNED")&gt;0,"tied","standalone"),"")</f>
        <v/>
      </c>
    </row>
    <row r="12108" spans="6:14">
      <c r="F12108" s="6">
        <f>IF($M12108="PADD I","PADD 1",IF($M12108="PADD II","PADD 2",IF($M12108="PADD III","PADD 3",IF($M12108="PADD IV","PADD 4",IF($M12108="PADD V","PADD 5","")))))</f>
        <v/>
      </c>
      <c r="G12108" s="6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  <c r="N12108" s="6">
        <f>IF(OR($G12108="FCC",$G12108="Hydrocracker",$G12108="Reformer"),IF(COUNTIFS($D:$D,$D12108,$A:$A,$A12108,$B:$B,$B12108,$G:$G,"CDU",$J:$J,"PLANNED")&gt;0,"tied","standalone"),"")</f>
        <v/>
      </c>
    </row>
    <row r="12109" spans="6:14">
      <c r="F12109" s="6">
        <f>IF($M12109="PADD I","PADD 1",IF($M12109="PADD II","PADD 2",IF($M12109="PADD III","PADD 3",IF($M12109="PADD IV","PADD 4",IF($M12109="PADD V","PADD 5","")))))</f>
        <v/>
      </c>
      <c r="G12109" s="6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  <c r="N12109" s="6">
        <f>IF(OR($G12109="FCC",$G12109="Hydrocracker",$G12109="Reformer"),IF(COUNTIFS($D:$D,$D12109,$A:$A,$A12109,$B:$B,$B12109,$G:$G,"CDU",$J:$J,"PLANNED")&gt;0,"tied","standalone"),"")</f>
        <v/>
      </c>
    </row>
    <row r="12110" spans="6:14">
      <c r="F12110" s="6">
        <f>IF($M12110="PADD I","PADD 1",IF($M12110="PADD II","PADD 2",IF($M12110="PADD III","PADD 3",IF($M12110="PADD IV","PADD 4",IF($M12110="PADD V","PADD 5","")))))</f>
        <v/>
      </c>
      <c r="G12110" s="6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  <c r="N12110" s="6">
        <f>IF(OR($G12110="FCC",$G12110="Hydrocracker",$G12110="Reformer"),IF(COUNTIFS($D:$D,$D12110,$A:$A,$A12110,$B:$B,$B12110,$G:$G,"CDU",$J:$J,"PLANNED")&gt;0,"tied","standalone"),"")</f>
        <v/>
      </c>
    </row>
    <row r="12111" spans="6:14">
      <c r="F12111" s="6">
        <f>IF($M12111="PADD I","PADD 1",IF($M12111="PADD II","PADD 2",IF($M12111="PADD III","PADD 3",IF($M12111="PADD IV","PADD 4",IF($M12111="PADD V","PADD 5","")))))</f>
        <v/>
      </c>
      <c r="G12111" s="6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  <c r="N12111" s="6">
        <f>IF(OR($G12111="FCC",$G12111="Hydrocracker",$G12111="Reformer"),IF(COUNTIFS($D:$D,$D12111,$A:$A,$A12111,$B:$B,$B12111,$G:$G,"CDU",$J:$J,"PLANNED")&gt;0,"tied","standalone"),"")</f>
        <v/>
      </c>
    </row>
    <row r="12112" spans="6:14">
      <c r="F12112" s="6">
        <f>IF($M12112="PADD I","PADD 1",IF($M12112="PADD II","PADD 2",IF($M12112="PADD III","PADD 3",IF($M12112="PADD IV","PADD 4",IF($M12112="PADD V","PADD 5","")))))</f>
        <v/>
      </c>
      <c r="G12112" s="6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  <c r="N12112" s="6">
        <f>IF(OR($G12112="FCC",$G12112="Hydrocracker",$G12112="Reformer"),IF(COUNTIFS($D:$D,$D12112,$A:$A,$A12112,$B:$B,$B12112,$G:$G,"CDU",$J:$J,"PLANNED")&gt;0,"tied","standalone"),"")</f>
        <v/>
      </c>
    </row>
    <row r="12113" spans="6:14">
      <c r="F12113" s="6">
        <f>IF($M12113="PADD I","PADD 1",IF($M12113="PADD II","PADD 2",IF($M12113="PADD III","PADD 3",IF($M12113="PADD IV","PADD 4",IF($M12113="PADD V","PADD 5","")))))</f>
        <v/>
      </c>
      <c r="G12113" s="6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  <c r="N12113" s="6">
        <f>IF(OR($G12113="FCC",$G12113="Hydrocracker",$G12113="Reformer"),IF(COUNTIFS($D:$D,$D12113,$A:$A,$A12113,$B:$B,$B12113,$G:$G,"CDU",$J:$J,"PLANNED")&gt;0,"tied","standalone"),"")</f>
        <v/>
      </c>
    </row>
    <row r="12114" spans="6:14">
      <c r="F12114" s="6">
        <f>IF($M12114="PADD I","PADD 1",IF($M12114="PADD II","PADD 2",IF($M12114="PADD III","PADD 3",IF($M12114="PADD IV","PADD 4",IF($M12114="PADD V","PADD 5","")))))</f>
        <v/>
      </c>
      <c r="G12114" s="6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  <c r="N12114" s="6">
        <f>IF(OR($G12114="FCC",$G12114="Hydrocracker",$G12114="Reformer"),IF(COUNTIFS($D:$D,$D12114,$A:$A,$A12114,$B:$B,$B12114,$G:$G,"CDU",$J:$J,"PLANNED")&gt;0,"tied","standalone"),"")</f>
        <v/>
      </c>
    </row>
    <row r="12115" spans="6:14">
      <c r="F12115" s="6">
        <f>IF($M12115="PADD I","PADD 1",IF($M12115="PADD II","PADD 2",IF($M12115="PADD III","PADD 3",IF($M12115="PADD IV","PADD 4",IF($M12115="PADD V","PADD 5","")))))</f>
        <v/>
      </c>
      <c r="G12115" s="6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  <c r="N12115" s="6">
        <f>IF(OR($G12115="FCC",$G12115="Hydrocracker",$G12115="Reformer"),IF(COUNTIFS($D:$D,$D12115,$A:$A,$A12115,$B:$B,$B12115,$G:$G,"CDU",$J:$J,"PLANNED")&gt;0,"tied","standalone"),"")</f>
        <v/>
      </c>
    </row>
    <row r="12116" spans="6:14">
      <c r="F12116" s="6">
        <f>IF($M12116="PADD I","PADD 1",IF($M12116="PADD II","PADD 2",IF($M12116="PADD III","PADD 3",IF($M12116="PADD IV","PADD 4",IF($M12116="PADD V","PADD 5","")))))</f>
        <v/>
      </c>
      <c r="G12116" s="6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  <c r="N12116" s="6">
        <f>IF(OR($G12116="FCC",$G12116="Hydrocracker",$G12116="Reformer"),IF(COUNTIFS($D:$D,$D12116,$A:$A,$A12116,$B:$B,$B12116,$G:$G,"CDU",$J:$J,"PLANNED")&gt;0,"tied","standalone"),"")</f>
        <v/>
      </c>
    </row>
    <row r="12117" spans="6:14">
      <c r="F12117" s="6">
        <f>IF($M12117="PADD I","PADD 1",IF($M12117="PADD II","PADD 2",IF($M12117="PADD III","PADD 3",IF($M12117="PADD IV","PADD 4",IF($M12117="PADD V","PADD 5","")))))</f>
        <v/>
      </c>
      <c r="G12117" s="6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  <c r="N12117" s="6">
        <f>IF(OR($G12117="FCC",$G12117="Hydrocracker",$G12117="Reformer"),IF(COUNTIFS($D:$D,$D12117,$A:$A,$A12117,$B:$B,$B12117,$G:$G,"CDU",$J:$J,"PLANNED")&gt;0,"tied","standalone"),"")</f>
        <v/>
      </c>
    </row>
    <row r="12118" spans="6:14">
      <c r="F12118" s="6">
        <f>IF($M12118="PADD I","PADD 1",IF($M12118="PADD II","PADD 2",IF($M12118="PADD III","PADD 3",IF($M12118="PADD IV","PADD 4",IF($M12118="PADD V","PADD 5","")))))</f>
        <v/>
      </c>
      <c r="G12118" s="6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  <c r="N12118" s="6">
        <f>IF(OR($G12118="FCC",$G12118="Hydrocracker",$G12118="Reformer"),IF(COUNTIFS($D:$D,$D12118,$A:$A,$A12118,$B:$B,$B12118,$G:$G,"CDU",$J:$J,"PLANNED")&gt;0,"tied","standalone"),"")</f>
        <v/>
      </c>
    </row>
    <row r="12119" spans="6:14">
      <c r="F12119" s="6">
        <f>IF($M12119="PADD I","PADD 1",IF($M12119="PADD II","PADD 2",IF($M12119="PADD III","PADD 3",IF($M12119="PADD IV","PADD 4",IF($M12119="PADD V","PADD 5","")))))</f>
        <v/>
      </c>
      <c r="G12119" s="6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  <c r="N12119" s="6">
        <f>IF(OR($G12119="FCC",$G12119="Hydrocracker",$G12119="Reformer"),IF(COUNTIFS($D:$D,$D12119,$A:$A,$A12119,$B:$B,$B12119,$G:$G,"CDU",$J:$J,"PLANNED")&gt;0,"tied","standalone"),"")</f>
        <v/>
      </c>
    </row>
    <row r="12120" spans="6:14">
      <c r="F12120" s="6">
        <f>IF($M12120="PADD I","PADD 1",IF($M12120="PADD II","PADD 2",IF($M12120="PADD III","PADD 3",IF($M12120="PADD IV","PADD 4",IF($M12120="PADD V","PADD 5","")))))</f>
        <v/>
      </c>
      <c r="G12120" s="6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  <c r="N12120" s="6">
        <f>IF(OR($G12120="FCC",$G12120="Hydrocracker",$G12120="Reformer"),IF(COUNTIFS($D:$D,$D12120,$A:$A,$A12120,$B:$B,$B12120,$G:$G,"CDU",$J:$J,"PLANNED")&gt;0,"tied","standalone"),"")</f>
        <v/>
      </c>
    </row>
    <row r="12121" spans="6:14">
      <c r="F12121" s="6">
        <f>IF($M12121="PADD I","PADD 1",IF($M12121="PADD II","PADD 2",IF($M12121="PADD III","PADD 3",IF($M12121="PADD IV","PADD 4",IF($M12121="PADD V","PADD 5","")))))</f>
        <v/>
      </c>
      <c r="G12121" s="6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  <c r="N12121" s="6">
        <f>IF(OR($G12121="FCC",$G12121="Hydrocracker",$G12121="Reformer"),IF(COUNTIFS($D:$D,$D12121,$A:$A,$A12121,$B:$B,$B12121,$G:$G,"CDU",$J:$J,"PLANNED")&gt;0,"tied","standalone"),"")</f>
        <v/>
      </c>
    </row>
    <row r="12122" spans="6:14">
      <c r="F12122" s="6">
        <f>IF($M12122="PADD I","PADD 1",IF($M12122="PADD II","PADD 2",IF($M12122="PADD III","PADD 3",IF($M12122="PADD IV","PADD 4",IF($M12122="PADD V","PADD 5","")))))</f>
        <v/>
      </c>
      <c r="G12122" s="6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  <c r="N12122" s="6">
        <f>IF(OR($G12122="FCC",$G12122="Hydrocracker",$G12122="Reformer"),IF(COUNTIFS($D:$D,$D12122,$A:$A,$A12122,$B:$B,$B12122,$G:$G,"CDU",$J:$J,"PLANNED")&gt;0,"tied","standalone"),"")</f>
        <v/>
      </c>
    </row>
    <row r="12123" spans="6:14">
      <c r="F12123" s="6">
        <f>IF($M12123="PADD I","PADD 1",IF($M12123="PADD II","PADD 2",IF($M12123="PADD III","PADD 3",IF($M12123="PADD IV","PADD 4",IF($M12123="PADD V","PADD 5","")))))</f>
        <v/>
      </c>
      <c r="G12123" s="6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  <c r="N12123" s="6">
        <f>IF(OR($G12123="FCC",$G12123="Hydrocracker",$G12123="Reformer"),IF(COUNTIFS($D:$D,$D12123,$A:$A,$A12123,$B:$B,$B12123,$G:$G,"CDU",$J:$J,"PLANNED")&gt;0,"tied","standalone"),"")</f>
        <v/>
      </c>
    </row>
    <row r="12124" spans="6:14">
      <c r="F12124" s="6">
        <f>IF($M12124="PADD I","PADD 1",IF($M12124="PADD II","PADD 2",IF($M12124="PADD III","PADD 3",IF($M12124="PADD IV","PADD 4",IF($M12124="PADD V","PADD 5","")))))</f>
        <v/>
      </c>
      <c r="G12124" s="6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  <c r="N12124" s="6">
        <f>IF(OR($G12124="FCC",$G12124="Hydrocracker",$G12124="Reformer"),IF(COUNTIFS($D:$D,$D12124,$A:$A,$A12124,$B:$B,$B12124,$G:$G,"CDU",$J:$J,"PLANNED")&gt;0,"tied","standalone"),"")</f>
        <v/>
      </c>
    </row>
    <row r="12125" spans="6:14">
      <c r="F12125" s="6">
        <f>IF($M12125="PADD I","PADD 1",IF($M12125="PADD II","PADD 2",IF($M12125="PADD III","PADD 3",IF($M12125="PADD IV","PADD 4",IF($M12125="PADD V","PADD 5","")))))</f>
        <v/>
      </c>
      <c r="G12125" s="6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  <c r="N12125" s="6">
        <f>IF(OR($G12125="FCC",$G12125="Hydrocracker",$G12125="Reformer"),IF(COUNTIFS($D:$D,$D12125,$A:$A,$A12125,$B:$B,$B12125,$G:$G,"CDU",$J:$J,"PLANNED")&gt;0,"tied","standalone"),"")</f>
        <v/>
      </c>
    </row>
    <row r="12126" spans="6:14">
      <c r="F12126" s="6">
        <f>IF($M12126="PADD I","PADD 1",IF($M12126="PADD II","PADD 2",IF($M12126="PADD III","PADD 3",IF($M12126="PADD IV","PADD 4",IF($M12126="PADD V","PADD 5","")))))</f>
        <v/>
      </c>
      <c r="G12126" s="6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  <c r="N12126" s="6">
        <f>IF(OR($G12126="FCC",$G12126="Hydrocracker",$G12126="Reformer"),IF(COUNTIFS($D:$D,$D12126,$A:$A,$A12126,$B:$B,$B12126,$G:$G,"CDU",$J:$J,"PLANNED")&gt;0,"tied","standalone"),"")</f>
        <v/>
      </c>
    </row>
    <row r="12127" spans="6:14">
      <c r="F12127" s="6">
        <f>IF($M12127="PADD I","PADD 1",IF($M12127="PADD II","PADD 2",IF($M12127="PADD III","PADD 3",IF($M12127="PADD IV","PADD 4",IF($M12127="PADD V","PADD 5","")))))</f>
        <v/>
      </c>
      <c r="G12127" s="6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  <c r="N12127" s="6">
        <f>IF(OR($G12127="FCC",$G12127="Hydrocracker",$G12127="Reformer"),IF(COUNTIFS($D:$D,$D12127,$A:$A,$A12127,$B:$B,$B12127,$G:$G,"CDU",$J:$J,"PLANNED")&gt;0,"tied","standalone"),"")</f>
        <v/>
      </c>
    </row>
    <row r="12128" spans="6:14">
      <c r="F12128" s="6">
        <f>IF($M12128="PADD I","PADD 1",IF($M12128="PADD II","PADD 2",IF($M12128="PADD III","PADD 3",IF($M12128="PADD IV","PADD 4",IF($M12128="PADD V","PADD 5","")))))</f>
        <v/>
      </c>
      <c r="G12128" s="6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  <c r="N12128" s="6">
        <f>IF(OR($G12128="FCC",$G12128="Hydrocracker",$G12128="Reformer"),IF(COUNTIFS($D:$D,$D12128,$A:$A,$A12128,$B:$B,$B12128,$G:$G,"CDU",$J:$J,"PLANNED")&gt;0,"tied","standalone"),"")</f>
        <v/>
      </c>
    </row>
    <row r="12129" spans="6:14">
      <c r="F12129" s="6">
        <f>IF($M12129="PADD I","PADD 1",IF($M12129="PADD II","PADD 2",IF($M12129="PADD III","PADD 3",IF($M12129="PADD IV","PADD 4",IF($M12129="PADD V","PADD 5","")))))</f>
        <v/>
      </c>
      <c r="G12129" s="6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  <c r="N12129" s="6">
        <f>IF(OR($G12129="FCC",$G12129="Hydrocracker",$G12129="Reformer"),IF(COUNTIFS($D:$D,$D12129,$A:$A,$A12129,$B:$B,$B12129,$G:$G,"CDU",$J:$J,"PLANNED")&gt;0,"tied","standalone"),"")</f>
        <v/>
      </c>
    </row>
    <row r="12130" spans="6:14">
      <c r="F12130" s="6">
        <f>IF($M12130="PADD I","PADD 1",IF($M12130="PADD II","PADD 2",IF($M12130="PADD III","PADD 3",IF($M12130="PADD IV","PADD 4",IF($M12130="PADD V","PADD 5","")))))</f>
        <v/>
      </c>
      <c r="G12130" s="6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  <c r="N12130" s="6">
        <f>IF(OR($G12130="FCC",$G12130="Hydrocracker",$G12130="Reformer"),IF(COUNTIFS($D:$D,$D12130,$A:$A,$A12130,$B:$B,$B12130,$G:$G,"CDU",$J:$J,"PLANNED")&gt;0,"tied","standalone"),"")</f>
        <v/>
      </c>
    </row>
    <row r="12131" spans="6:14">
      <c r="F12131" s="6">
        <f>IF($M12131="PADD I","PADD 1",IF($M12131="PADD II","PADD 2",IF($M12131="PADD III","PADD 3",IF($M12131="PADD IV","PADD 4",IF($M12131="PADD V","PADD 5","")))))</f>
        <v/>
      </c>
      <c r="G12131" s="6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  <c r="N12131" s="6">
        <f>IF(OR($G12131="FCC",$G12131="Hydrocracker",$G12131="Reformer"),IF(COUNTIFS($D:$D,$D12131,$A:$A,$A12131,$B:$B,$B12131,$G:$G,"CDU",$J:$J,"PLANNED")&gt;0,"tied","standalone"),"")</f>
        <v/>
      </c>
    </row>
    <row r="12132" spans="6:14">
      <c r="F12132" s="6">
        <f>IF($M12132="PADD I","PADD 1",IF($M12132="PADD II","PADD 2",IF($M12132="PADD III","PADD 3",IF($M12132="PADD IV","PADD 4",IF($M12132="PADD V","PADD 5","")))))</f>
        <v/>
      </c>
      <c r="G12132" s="6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  <c r="N12132" s="6">
        <f>IF(OR($G12132="FCC",$G12132="Hydrocracker",$G12132="Reformer"),IF(COUNTIFS($D:$D,$D12132,$A:$A,$A12132,$B:$B,$B12132,$G:$G,"CDU",$J:$J,"PLANNED")&gt;0,"tied","standalone"),"")</f>
        <v/>
      </c>
    </row>
    <row r="12133" spans="6:14">
      <c r="F12133" s="6">
        <f>IF($M12133="PADD I","PADD 1",IF($M12133="PADD II","PADD 2",IF($M12133="PADD III","PADD 3",IF($M12133="PADD IV","PADD 4",IF($M12133="PADD V","PADD 5","")))))</f>
        <v/>
      </c>
      <c r="G12133" s="6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  <c r="N12133" s="6">
        <f>IF(OR($G12133="FCC",$G12133="Hydrocracker",$G12133="Reformer"),IF(COUNTIFS($D:$D,$D12133,$A:$A,$A12133,$B:$B,$B12133,$G:$G,"CDU",$J:$J,"PLANNED")&gt;0,"tied","standalone"),"")</f>
        <v/>
      </c>
    </row>
    <row r="12134" spans="6:14">
      <c r="F12134" s="6">
        <f>IF($M12134="PADD I","PADD 1",IF($M12134="PADD II","PADD 2",IF($M12134="PADD III","PADD 3",IF($M12134="PADD IV","PADD 4",IF($M12134="PADD V","PADD 5","")))))</f>
        <v/>
      </c>
      <c r="G12134" s="6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  <c r="N12134" s="6">
        <f>IF(OR($G12134="FCC",$G12134="Hydrocracker",$G12134="Reformer"),IF(COUNTIFS($D:$D,$D12134,$A:$A,$A12134,$B:$B,$B12134,$G:$G,"CDU",$J:$J,"PLANNED")&gt;0,"tied","standalone"),"")</f>
        <v/>
      </c>
    </row>
    <row r="12135" spans="6:14">
      <c r="F12135" s="6">
        <f>IF($M12135="PADD I","PADD 1",IF($M12135="PADD II","PADD 2",IF($M12135="PADD III","PADD 3",IF($M12135="PADD IV","PADD 4",IF($M12135="PADD V","PADD 5","")))))</f>
        <v/>
      </c>
      <c r="G12135" s="6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  <c r="N12135" s="6">
        <f>IF(OR($G12135="FCC",$G12135="Hydrocracker",$G12135="Reformer"),IF(COUNTIFS($D:$D,$D12135,$A:$A,$A12135,$B:$B,$B12135,$G:$G,"CDU",$J:$J,"PLANNED")&gt;0,"tied","standalone"),"")</f>
        <v/>
      </c>
    </row>
    <row r="12136" spans="6:14">
      <c r="F12136" s="6">
        <f>IF($M12136="PADD I","PADD 1",IF($M12136="PADD II","PADD 2",IF($M12136="PADD III","PADD 3",IF($M12136="PADD IV","PADD 4",IF($M12136="PADD V","PADD 5","")))))</f>
        <v/>
      </c>
      <c r="G12136" s="6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  <c r="N12136" s="6">
        <f>IF(OR($G12136="FCC",$G12136="Hydrocracker",$G12136="Reformer"),IF(COUNTIFS($D:$D,$D12136,$A:$A,$A12136,$B:$B,$B12136,$G:$G,"CDU",$J:$J,"PLANNED")&gt;0,"tied","standalone"),"")</f>
        <v/>
      </c>
    </row>
    <row r="12137" spans="6:14">
      <c r="F12137" s="6">
        <f>IF($M12137="PADD I","PADD 1",IF($M12137="PADD II","PADD 2",IF($M12137="PADD III","PADD 3",IF($M12137="PADD IV","PADD 4",IF($M12137="PADD V","PADD 5","")))))</f>
        <v/>
      </c>
      <c r="G12137" s="6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  <c r="N12137" s="6">
        <f>IF(OR($G12137="FCC",$G12137="Hydrocracker",$G12137="Reformer"),IF(COUNTIFS($D:$D,$D12137,$A:$A,$A12137,$B:$B,$B12137,$G:$G,"CDU",$J:$J,"PLANNED")&gt;0,"tied","standalone"),"")</f>
        <v/>
      </c>
    </row>
    <row r="12138" spans="6:14">
      <c r="F12138" s="6">
        <f>IF($M12138="PADD I","PADD 1",IF($M12138="PADD II","PADD 2",IF($M12138="PADD III","PADD 3",IF($M12138="PADD IV","PADD 4",IF($M12138="PADD V","PADD 5","")))))</f>
        <v/>
      </c>
      <c r="G12138" s="6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  <c r="N12138" s="6">
        <f>IF(OR($G12138="FCC",$G12138="Hydrocracker",$G12138="Reformer"),IF(COUNTIFS($D:$D,$D12138,$A:$A,$A12138,$B:$B,$B12138,$G:$G,"CDU",$J:$J,"PLANNED")&gt;0,"tied","standalone"),"")</f>
        <v/>
      </c>
    </row>
    <row r="12139" spans="6:14">
      <c r="F12139" s="6">
        <f>IF($M12139="PADD I","PADD 1",IF($M12139="PADD II","PADD 2",IF($M12139="PADD III","PADD 3",IF($M12139="PADD IV","PADD 4",IF($M12139="PADD V","PADD 5","")))))</f>
        <v/>
      </c>
      <c r="G12139" s="6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  <c r="N12139" s="6">
        <f>IF(OR($G12139="FCC",$G12139="Hydrocracker",$G12139="Reformer"),IF(COUNTIFS($D:$D,$D12139,$A:$A,$A12139,$B:$B,$B12139,$G:$G,"CDU",$J:$J,"PLANNED")&gt;0,"tied","standalone"),"")</f>
        <v/>
      </c>
    </row>
    <row r="12140" spans="6:14">
      <c r="F12140" s="6">
        <f>IF($M12140="PADD I","PADD 1",IF($M12140="PADD II","PADD 2",IF($M12140="PADD III","PADD 3",IF($M12140="PADD IV","PADD 4",IF($M12140="PADD V","PADD 5","")))))</f>
        <v/>
      </c>
      <c r="G12140" s="6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  <c r="N12140" s="6">
        <f>IF(OR($G12140="FCC",$G12140="Hydrocracker",$G12140="Reformer"),IF(COUNTIFS($D:$D,$D12140,$A:$A,$A12140,$B:$B,$B12140,$G:$G,"CDU",$J:$J,"PLANNED")&gt;0,"tied","standalone"),"")</f>
        <v/>
      </c>
    </row>
    <row r="12141" spans="6:14">
      <c r="F12141" s="6">
        <f>IF($M12141="PADD I","PADD 1",IF($M12141="PADD II","PADD 2",IF($M12141="PADD III","PADD 3",IF($M12141="PADD IV","PADD 4",IF($M12141="PADD V","PADD 5","")))))</f>
        <v/>
      </c>
      <c r="G12141" s="6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  <c r="N12141" s="6">
        <f>IF(OR($G12141="FCC",$G12141="Hydrocracker",$G12141="Reformer"),IF(COUNTIFS($D:$D,$D12141,$A:$A,$A12141,$B:$B,$B12141,$G:$G,"CDU",$J:$J,"PLANNED")&gt;0,"tied","standalone"),"")</f>
        <v/>
      </c>
    </row>
    <row r="12142" spans="6:14">
      <c r="F12142" s="6">
        <f>IF($M12142="PADD I","PADD 1",IF($M12142="PADD II","PADD 2",IF($M12142="PADD III","PADD 3",IF($M12142="PADD IV","PADD 4",IF($M12142="PADD V","PADD 5","")))))</f>
        <v/>
      </c>
      <c r="G12142" s="6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  <c r="N12142" s="6">
        <f>IF(OR($G12142="FCC",$G12142="Hydrocracker",$G12142="Reformer"),IF(COUNTIFS($D:$D,$D12142,$A:$A,$A12142,$B:$B,$B12142,$G:$G,"CDU",$J:$J,"PLANNED")&gt;0,"tied","standalone"),"")</f>
        <v/>
      </c>
    </row>
    <row r="12143" spans="6:14">
      <c r="F12143" s="6">
        <f>IF($M12143="PADD I","PADD 1",IF($M12143="PADD II","PADD 2",IF($M12143="PADD III","PADD 3",IF($M12143="PADD IV","PADD 4",IF($M12143="PADD V","PADD 5","")))))</f>
        <v/>
      </c>
      <c r="G12143" s="6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  <c r="N12143" s="6">
        <f>IF(OR($G12143="FCC",$G12143="Hydrocracker",$G12143="Reformer"),IF(COUNTIFS($D:$D,$D12143,$A:$A,$A12143,$B:$B,$B12143,$G:$G,"CDU",$J:$J,"PLANNED")&gt;0,"tied","standalone"),"")</f>
        <v/>
      </c>
    </row>
    <row r="12144" spans="6:14">
      <c r="F12144" s="6">
        <f>IF($M12144="PADD I","PADD 1",IF($M12144="PADD II","PADD 2",IF($M12144="PADD III","PADD 3",IF($M12144="PADD IV","PADD 4",IF($M12144="PADD V","PADD 5","")))))</f>
        <v/>
      </c>
      <c r="G12144" s="6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  <c r="N12144" s="6">
        <f>IF(OR($G12144="FCC",$G12144="Hydrocracker",$G12144="Reformer"),IF(COUNTIFS($D:$D,$D12144,$A:$A,$A12144,$B:$B,$B12144,$G:$G,"CDU",$J:$J,"PLANNED")&gt;0,"tied","standalone"),"")</f>
        <v/>
      </c>
    </row>
    <row r="12145" spans="6:14">
      <c r="F12145" s="6">
        <f>IF($M12145="PADD I","PADD 1",IF($M12145="PADD II","PADD 2",IF($M12145="PADD III","PADD 3",IF($M12145="PADD IV","PADD 4",IF($M12145="PADD V","PADD 5","")))))</f>
        <v/>
      </c>
      <c r="G12145" s="6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  <c r="N12145" s="6">
        <f>IF(OR($G12145="FCC",$G12145="Hydrocracker",$G12145="Reformer"),IF(COUNTIFS($D:$D,$D12145,$A:$A,$A12145,$B:$B,$B12145,$G:$G,"CDU",$J:$J,"PLANNED")&gt;0,"tied","standalone"),"")</f>
        <v/>
      </c>
    </row>
    <row r="12146" spans="6:14">
      <c r="F12146" s="6">
        <f>IF($M12146="PADD I","PADD 1",IF($M12146="PADD II","PADD 2",IF($M12146="PADD III","PADD 3",IF($M12146="PADD IV","PADD 4",IF($M12146="PADD V","PADD 5","")))))</f>
        <v/>
      </c>
      <c r="G12146" s="6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  <c r="N12146" s="6">
        <f>IF(OR($G12146="FCC",$G12146="Hydrocracker",$G12146="Reformer"),IF(COUNTIFS($D:$D,$D12146,$A:$A,$A12146,$B:$B,$B12146,$G:$G,"CDU",$J:$J,"PLANNED")&gt;0,"tied","standalone"),"")</f>
        <v/>
      </c>
    </row>
    <row r="12147" spans="6:14">
      <c r="F12147" s="6">
        <f>IF($M12147="PADD I","PADD 1",IF($M12147="PADD II","PADD 2",IF($M12147="PADD III","PADD 3",IF($M12147="PADD IV","PADD 4",IF($M12147="PADD V","PADD 5","")))))</f>
        <v/>
      </c>
      <c r="G12147" s="6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  <c r="N12147" s="6">
        <f>IF(OR($G12147="FCC",$G12147="Hydrocracker",$G12147="Reformer"),IF(COUNTIFS($D:$D,$D12147,$A:$A,$A12147,$B:$B,$B12147,$G:$G,"CDU",$J:$J,"PLANNED")&gt;0,"tied","standalone"),"")</f>
        <v/>
      </c>
    </row>
    <row r="12148" spans="6:14">
      <c r="F12148" s="6">
        <f>IF($M12148="PADD I","PADD 1",IF($M12148="PADD II","PADD 2",IF($M12148="PADD III","PADD 3",IF($M12148="PADD IV","PADD 4",IF($M12148="PADD V","PADD 5","")))))</f>
        <v/>
      </c>
      <c r="G12148" s="6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  <c r="N12148" s="6">
        <f>IF(OR($G12148="FCC",$G12148="Hydrocracker",$G12148="Reformer"),IF(COUNTIFS($D:$D,$D12148,$A:$A,$A12148,$B:$B,$B12148,$G:$G,"CDU",$J:$J,"PLANNED")&gt;0,"tied","standalone"),"")</f>
        <v/>
      </c>
    </row>
    <row r="12149" spans="6:14">
      <c r="F12149" s="6">
        <f>IF($M12149="PADD I","PADD 1",IF($M12149="PADD II","PADD 2",IF($M12149="PADD III","PADD 3",IF($M12149="PADD IV","PADD 4",IF($M12149="PADD V","PADD 5","")))))</f>
        <v/>
      </c>
      <c r="G12149" s="6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  <c r="N12149" s="6">
        <f>IF(OR($G12149="FCC",$G12149="Hydrocracker",$G12149="Reformer"),IF(COUNTIFS($D:$D,$D12149,$A:$A,$A12149,$B:$B,$B12149,$G:$G,"CDU",$J:$J,"PLANNED")&gt;0,"tied","standalone"),"")</f>
        <v/>
      </c>
    </row>
    <row r="12150" spans="6:14">
      <c r="F12150" s="6">
        <f>IF($M12150="PADD I","PADD 1",IF($M12150="PADD II","PADD 2",IF($M12150="PADD III","PADD 3",IF($M12150="PADD IV","PADD 4",IF($M12150="PADD V","PADD 5","")))))</f>
        <v/>
      </c>
      <c r="G12150" s="6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  <c r="N12150" s="6">
        <f>IF(OR($G12150="FCC",$G12150="Hydrocracker",$G12150="Reformer"),IF(COUNTIFS($D:$D,$D12150,$A:$A,$A12150,$B:$B,$B12150,$G:$G,"CDU",$J:$J,"PLANNED")&gt;0,"tied","standalone"),"")</f>
        <v/>
      </c>
    </row>
    <row r="12151" spans="6:14">
      <c r="F12151" s="6">
        <f>IF($M12151="PADD I","PADD 1",IF($M12151="PADD II","PADD 2",IF($M12151="PADD III","PADD 3",IF($M12151="PADD IV","PADD 4",IF($M12151="PADD V","PADD 5","")))))</f>
        <v/>
      </c>
      <c r="G12151" s="6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  <c r="N12151" s="6">
        <f>IF(OR($G12151="FCC",$G12151="Hydrocracker",$G12151="Reformer"),IF(COUNTIFS($D:$D,$D12151,$A:$A,$A12151,$B:$B,$B12151,$G:$G,"CDU",$J:$J,"PLANNED")&gt;0,"tied","standalone"),"")</f>
        <v/>
      </c>
    </row>
    <row r="12152" spans="6:14">
      <c r="F12152" s="6">
        <f>IF($M12152="PADD I","PADD 1",IF($M12152="PADD II","PADD 2",IF($M12152="PADD III","PADD 3",IF($M12152="PADD IV","PADD 4",IF($M12152="PADD V","PADD 5","")))))</f>
        <v/>
      </c>
      <c r="G12152" s="6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  <c r="N12152" s="6">
        <f>IF(OR($G12152="FCC",$G12152="Hydrocracker",$G12152="Reformer"),IF(COUNTIFS($D:$D,$D12152,$A:$A,$A12152,$B:$B,$B12152,$G:$G,"CDU",$J:$J,"PLANNED")&gt;0,"tied","standalone"),"")</f>
        <v/>
      </c>
    </row>
    <row r="12153" spans="6:14">
      <c r="F12153" s="6">
        <f>IF($M12153="PADD I","PADD 1",IF($M12153="PADD II","PADD 2",IF($M12153="PADD III","PADD 3",IF($M12153="PADD IV","PADD 4",IF($M12153="PADD V","PADD 5","")))))</f>
        <v/>
      </c>
      <c r="G12153" s="6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  <c r="N12153" s="6">
        <f>IF(OR($G12153="FCC",$G12153="Hydrocracker",$G12153="Reformer"),IF(COUNTIFS($D:$D,$D12153,$A:$A,$A12153,$B:$B,$B12153,$G:$G,"CDU",$J:$J,"PLANNED")&gt;0,"tied","standalone"),"")</f>
        <v/>
      </c>
    </row>
    <row r="12154" spans="6:14">
      <c r="F12154" s="6">
        <f>IF($M12154="PADD I","PADD 1",IF($M12154="PADD II","PADD 2",IF($M12154="PADD III","PADD 3",IF($M12154="PADD IV","PADD 4",IF($M12154="PADD V","PADD 5","")))))</f>
        <v/>
      </c>
      <c r="G12154" s="6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  <c r="N12154" s="6">
        <f>IF(OR($G12154="FCC",$G12154="Hydrocracker",$G12154="Reformer"),IF(COUNTIFS($D:$D,$D12154,$A:$A,$A12154,$B:$B,$B12154,$G:$G,"CDU",$J:$J,"PLANNED")&gt;0,"tied","standalone"),"")</f>
        <v/>
      </c>
    </row>
    <row r="12155" spans="6:14">
      <c r="F12155" s="6">
        <f>IF($M12155="PADD I","PADD 1",IF($M12155="PADD II","PADD 2",IF($M12155="PADD III","PADD 3",IF($M12155="PADD IV","PADD 4",IF($M12155="PADD V","PADD 5","")))))</f>
        <v/>
      </c>
      <c r="G12155" s="6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  <c r="N12155" s="6">
        <f>IF(OR($G12155="FCC",$G12155="Hydrocracker",$G12155="Reformer"),IF(COUNTIFS($D:$D,$D12155,$A:$A,$A12155,$B:$B,$B12155,$G:$G,"CDU",$J:$J,"PLANNED")&gt;0,"tied","standalone"),"")</f>
        <v/>
      </c>
    </row>
    <row r="12156" spans="6:14">
      <c r="F12156" s="6">
        <f>IF($M12156="PADD I","PADD 1",IF($M12156="PADD II","PADD 2",IF($M12156="PADD III","PADD 3",IF($M12156="PADD IV","PADD 4",IF($M12156="PADD V","PADD 5","")))))</f>
        <v/>
      </c>
      <c r="G12156" s="6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  <c r="N12156" s="6">
        <f>IF(OR($G12156="FCC",$G12156="Hydrocracker",$G12156="Reformer"),IF(COUNTIFS($D:$D,$D12156,$A:$A,$A12156,$B:$B,$B12156,$G:$G,"CDU",$J:$J,"PLANNED")&gt;0,"tied","standalone"),"")</f>
        <v/>
      </c>
    </row>
    <row r="12157" spans="6:14">
      <c r="F12157" s="6">
        <f>IF($M12157="PADD I","PADD 1",IF($M12157="PADD II","PADD 2",IF($M12157="PADD III","PADD 3",IF($M12157="PADD IV","PADD 4",IF($M12157="PADD V","PADD 5","")))))</f>
        <v/>
      </c>
      <c r="G12157" s="6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  <c r="N12157" s="6">
        <f>IF(OR($G12157="FCC",$G12157="Hydrocracker",$G12157="Reformer"),IF(COUNTIFS($D:$D,$D12157,$A:$A,$A12157,$B:$B,$B12157,$G:$G,"CDU",$J:$J,"PLANNED")&gt;0,"tied","standalone"),"")</f>
        <v/>
      </c>
    </row>
    <row r="12158" spans="6:14">
      <c r="F12158" s="6">
        <f>IF($M12158="PADD I","PADD 1",IF($M12158="PADD II","PADD 2",IF($M12158="PADD III","PADD 3",IF($M12158="PADD IV","PADD 4",IF($M12158="PADD V","PADD 5","")))))</f>
        <v/>
      </c>
      <c r="G12158" s="6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  <c r="N12158" s="6">
        <f>IF(OR($G12158="FCC",$G12158="Hydrocracker",$G12158="Reformer"),IF(COUNTIFS($D:$D,$D12158,$A:$A,$A12158,$B:$B,$B12158,$G:$G,"CDU",$J:$J,"PLANNED")&gt;0,"tied","standalone"),"")</f>
        <v/>
      </c>
    </row>
    <row r="12159" spans="6:14">
      <c r="F12159" s="6">
        <f>IF($M12159="PADD I","PADD 1",IF($M12159="PADD II","PADD 2",IF($M12159="PADD III","PADD 3",IF($M12159="PADD IV","PADD 4",IF($M12159="PADD V","PADD 5","")))))</f>
        <v/>
      </c>
      <c r="G12159" s="6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  <c r="N12159" s="6">
        <f>IF(OR($G12159="FCC",$G12159="Hydrocracker",$G12159="Reformer"),IF(COUNTIFS($D:$D,$D12159,$A:$A,$A12159,$B:$B,$B12159,$G:$G,"CDU",$J:$J,"PLANNED")&gt;0,"tied","standalone"),"")</f>
        <v/>
      </c>
    </row>
    <row r="12160" spans="6:14">
      <c r="F12160" s="6">
        <f>IF($M12160="PADD I","PADD 1",IF($M12160="PADD II","PADD 2",IF($M12160="PADD III","PADD 3",IF($M12160="PADD IV","PADD 4",IF($M12160="PADD V","PADD 5","")))))</f>
        <v/>
      </c>
      <c r="G12160" s="6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  <c r="N12160" s="6">
        <f>IF(OR($G12160="FCC",$G12160="Hydrocracker",$G12160="Reformer"),IF(COUNTIFS($D:$D,$D12160,$A:$A,$A12160,$B:$B,$B12160,$G:$G,"CDU",$J:$J,"PLANNED")&gt;0,"tied","standalone"),"")</f>
        <v/>
      </c>
    </row>
    <row r="12161" spans="6:14">
      <c r="F12161" s="6">
        <f>IF($M12161="PADD I","PADD 1",IF($M12161="PADD II","PADD 2",IF($M12161="PADD III","PADD 3",IF($M12161="PADD IV","PADD 4",IF($M12161="PADD V","PADD 5","")))))</f>
        <v/>
      </c>
      <c r="G12161" s="6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  <c r="N12161" s="6">
        <f>IF(OR($G12161="FCC",$G12161="Hydrocracker",$G12161="Reformer"),IF(COUNTIFS($D:$D,$D12161,$A:$A,$A12161,$B:$B,$B12161,$G:$G,"CDU",$J:$J,"PLANNED")&gt;0,"tied","standalone"),"")</f>
        <v/>
      </c>
    </row>
    <row r="12162" spans="6:14">
      <c r="F12162" s="6">
        <f>IF($M12162="PADD I","PADD 1",IF($M12162="PADD II","PADD 2",IF($M12162="PADD III","PADD 3",IF($M12162="PADD IV","PADD 4",IF($M12162="PADD V","PADD 5","")))))</f>
        <v/>
      </c>
      <c r="G12162" s="6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  <c r="N12162" s="6">
        <f>IF(OR($G12162="FCC",$G12162="Hydrocracker",$G12162="Reformer"),IF(COUNTIFS($D:$D,$D12162,$A:$A,$A12162,$B:$B,$B12162,$G:$G,"CDU",$J:$J,"PLANNED")&gt;0,"tied","standalone"),"")</f>
        <v/>
      </c>
    </row>
    <row r="12163" spans="6:14">
      <c r="F12163" s="6">
        <f>IF($M12163="PADD I","PADD 1",IF($M12163="PADD II","PADD 2",IF($M12163="PADD III","PADD 3",IF($M12163="PADD IV","PADD 4",IF($M12163="PADD V","PADD 5","")))))</f>
        <v/>
      </c>
      <c r="G12163" s="6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  <c r="N12163" s="6">
        <f>IF(OR($G12163="FCC",$G12163="Hydrocracker",$G12163="Reformer"),IF(COUNTIFS($D:$D,$D12163,$A:$A,$A12163,$B:$B,$B12163,$G:$G,"CDU",$J:$J,"PLANNED")&gt;0,"tied","standalone"),"")</f>
        <v/>
      </c>
    </row>
    <row r="12164" spans="6:14">
      <c r="F12164" s="6">
        <f>IF($M12164="PADD I","PADD 1",IF($M12164="PADD II","PADD 2",IF($M12164="PADD III","PADD 3",IF($M12164="PADD IV","PADD 4",IF($M12164="PADD V","PADD 5","")))))</f>
        <v/>
      </c>
      <c r="G12164" s="6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  <c r="N12164" s="6">
        <f>IF(OR($G12164="FCC",$G12164="Hydrocracker",$G12164="Reformer"),IF(COUNTIFS($D:$D,$D12164,$A:$A,$A12164,$B:$B,$B12164,$G:$G,"CDU",$J:$J,"PLANNED")&gt;0,"tied","standalone"),"")</f>
        <v/>
      </c>
    </row>
    <row r="12165" spans="6:14">
      <c r="F12165" s="6">
        <f>IF($M12165="PADD I","PADD 1",IF($M12165="PADD II","PADD 2",IF($M12165="PADD III","PADD 3",IF($M12165="PADD IV","PADD 4",IF($M12165="PADD V","PADD 5","")))))</f>
        <v/>
      </c>
      <c r="G12165" s="6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  <c r="N12165" s="6">
        <f>IF(OR($G12165="FCC",$G12165="Hydrocracker",$G12165="Reformer"),IF(COUNTIFS($D:$D,$D12165,$A:$A,$A12165,$B:$B,$B12165,$G:$G,"CDU",$J:$J,"PLANNED")&gt;0,"tied","standalone"),"")</f>
        <v/>
      </c>
    </row>
    <row r="12166" spans="6:14">
      <c r="F12166" s="6">
        <f>IF($M12166="PADD I","PADD 1",IF($M12166="PADD II","PADD 2",IF($M12166="PADD III","PADD 3",IF($M12166="PADD IV","PADD 4",IF($M12166="PADD V","PADD 5","")))))</f>
        <v/>
      </c>
      <c r="G12166" s="6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  <c r="N12166" s="6">
        <f>IF(OR($G12166="FCC",$G12166="Hydrocracker",$G12166="Reformer"),IF(COUNTIFS($D:$D,$D12166,$A:$A,$A12166,$B:$B,$B12166,$G:$G,"CDU",$J:$J,"PLANNED")&gt;0,"tied","standalone"),"")</f>
        <v/>
      </c>
    </row>
    <row r="12167" spans="6:14">
      <c r="F12167" s="6">
        <f>IF($M12167="PADD I","PADD 1",IF($M12167="PADD II","PADD 2",IF($M12167="PADD III","PADD 3",IF($M12167="PADD IV","PADD 4",IF($M12167="PADD V","PADD 5","")))))</f>
        <v/>
      </c>
      <c r="G12167" s="6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  <c r="N12167" s="6">
        <f>IF(OR($G12167="FCC",$G12167="Hydrocracker",$G12167="Reformer"),IF(COUNTIFS($D:$D,$D12167,$A:$A,$A12167,$B:$B,$B12167,$G:$G,"CDU",$J:$J,"PLANNED")&gt;0,"tied","standalone"),"")</f>
        <v/>
      </c>
    </row>
    <row r="12168" spans="6:14">
      <c r="F12168" s="6">
        <f>IF($M12168="PADD I","PADD 1",IF($M12168="PADD II","PADD 2",IF($M12168="PADD III","PADD 3",IF($M12168="PADD IV","PADD 4",IF($M12168="PADD V","PADD 5","")))))</f>
        <v/>
      </c>
      <c r="G12168" s="6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  <c r="N12168" s="6">
        <f>IF(OR($G12168="FCC",$G12168="Hydrocracker",$G12168="Reformer"),IF(COUNTIFS($D:$D,$D12168,$A:$A,$A12168,$B:$B,$B12168,$G:$G,"CDU",$J:$J,"PLANNED")&gt;0,"tied","standalone"),"")</f>
        <v/>
      </c>
    </row>
    <row r="12169" spans="6:14">
      <c r="F12169" s="6">
        <f>IF($M12169="PADD I","PADD 1",IF($M12169="PADD II","PADD 2",IF($M12169="PADD III","PADD 3",IF($M12169="PADD IV","PADD 4",IF($M12169="PADD V","PADD 5","")))))</f>
        <v/>
      </c>
      <c r="G12169" s="6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  <c r="N12169" s="6">
        <f>IF(OR($G12169="FCC",$G12169="Hydrocracker",$G12169="Reformer"),IF(COUNTIFS($D:$D,$D12169,$A:$A,$A12169,$B:$B,$B12169,$G:$G,"CDU",$J:$J,"PLANNED")&gt;0,"tied","standalone"),"")</f>
        <v/>
      </c>
    </row>
    <row r="12170" spans="6:14">
      <c r="F12170" s="6">
        <f>IF($M12170="PADD I","PADD 1",IF($M12170="PADD II","PADD 2",IF($M12170="PADD III","PADD 3",IF($M12170="PADD IV","PADD 4",IF($M12170="PADD V","PADD 5","")))))</f>
        <v/>
      </c>
      <c r="G12170" s="6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  <c r="N12170" s="6">
        <f>IF(OR($G12170="FCC",$G12170="Hydrocracker",$G12170="Reformer"),IF(COUNTIFS($D:$D,$D12170,$A:$A,$A12170,$B:$B,$B12170,$G:$G,"CDU",$J:$J,"PLANNED")&gt;0,"tied","standalone"),"")</f>
        <v/>
      </c>
    </row>
    <row r="12171" spans="6:14">
      <c r="F12171" s="6">
        <f>IF($M12171="PADD I","PADD 1",IF($M12171="PADD II","PADD 2",IF($M12171="PADD III","PADD 3",IF($M12171="PADD IV","PADD 4",IF($M12171="PADD V","PADD 5","")))))</f>
        <v/>
      </c>
      <c r="G12171" s="6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  <c r="N12171" s="6">
        <f>IF(OR($G12171="FCC",$G12171="Hydrocracker",$G12171="Reformer"),IF(COUNTIFS($D:$D,$D12171,$A:$A,$A12171,$B:$B,$B12171,$G:$G,"CDU",$J:$J,"PLANNED")&gt;0,"tied","standalone"),"")</f>
        <v/>
      </c>
    </row>
    <row r="12172" spans="6:14">
      <c r="F12172" s="6">
        <f>IF($M12172="PADD I","PADD 1",IF($M12172="PADD II","PADD 2",IF($M12172="PADD III","PADD 3",IF($M12172="PADD IV","PADD 4",IF($M12172="PADD V","PADD 5","")))))</f>
        <v/>
      </c>
      <c r="G12172" s="6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  <c r="N12172" s="6">
        <f>IF(OR($G12172="FCC",$G12172="Hydrocracker",$G12172="Reformer"),IF(COUNTIFS($D:$D,$D12172,$A:$A,$A12172,$B:$B,$B12172,$G:$G,"CDU",$J:$J,"PLANNED")&gt;0,"tied","standalone"),"")</f>
        <v/>
      </c>
    </row>
    <row r="12173" spans="6:14">
      <c r="F12173" s="6">
        <f>IF($M12173="PADD I","PADD 1",IF($M12173="PADD II","PADD 2",IF($M12173="PADD III","PADD 3",IF($M12173="PADD IV","PADD 4",IF($M12173="PADD V","PADD 5","")))))</f>
        <v/>
      </c>
      <c r="G12173" s="6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  <c r="N12173" s="6">
        <f>IF(OR($G12173="FCC",$G12173="Hydrocracker",$G12173="Reformer"),IF(COUNTIFS($D:$D,$D12173,$A:$A,$A12173,$B:$B,$B12173,$G:$G,"CDU",$J:$J,"PLANNED")&gt;0,"tied","standalone"),"")</f>
        <v/>
      </c>
    </row>
    <row r="12174" spans="6:14">
      <c r="F12174" s="6">
        <f>IF($M12174="PADD I","PADD 1",IF($M12174="PADD II","PADD 2",IF($M12174="PADD III","PADD 3",IF($M12174="PADD IV","PADD 4",IF($M12174="PADD V","PADD 5","")))))</f>
        <v/>
      </c>
      <c r="G12174" s="6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  <c r="N12174" s="6">
        <f>IF(OR($G12174="FCC",$G12174="Hydrocracker",$G12174="Reformer"),IF(COUNTIFS($D:$D,$D12174,$A:$A,$A12174,$B:$B,$B12174,$G:$G,"CDU",$J:$J,"PLANNED")&gt;0,"tied","standalone"),"")</f>
        <v/>
      </c>
    </row>
    <row r="12175" spans="6:14">
      <c r="F12175" s="6">
        <f>IF($M12175="PADD I","PADD 1",IF($M12175="PADD II","PADD 2",IF($M12175="PADD III","PADD 3",IF($M12175="PADD IV","PADD 4",IF($M12175="PADD V","PADD 5","")))))</f>
        <v/>
      </c>
      <c r="G12175" s="6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  <c r="N12175" s="6">
        <f>IF(OR($G12175="FCC",$G12175="Hydrocracker",$G12175="Reformer"),IF(COUNTIFS($D:$D,$D12175,$A:$A,$A12175,$B:$B,$B12175,$G:$G,"CDU",$J:$J,"PLANNED")&gt;0,"tied","standalone"),"")</f>
        <v/>
      </c>
    </row>
    <row r="12176" spans="6:14">
      <c r="F12176" s="6">
        <f>IF($M12176="PADD I","PADD 1",IF($M12176="PADD II","PADD 2",IF($M12176="PADD III","PADD 3",IF($M12176="PADD IV","PADD 4",IF($M12176="PADD V","PADD 5","")))))</f>
        <v/>
      </c>
      <c r="G12176" s="6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  <c r="N12176" s="6">
        <f>IF(OR($G12176="FCC",$G12176="Hydrocracker",$G12176="Reformer"),IF(COUNTIFS($D:$D,$D12176,$A:$A,$A12176,$B:$B,$B12176,$G:$G,"CDU",$J:$J,"PLANNED")&gt;0,"tied","standalone"),"")</f>
        <v/>
      </c>
    </row>
    <row r="12177" spans="6:14">
      <c r="F12177" s="6">
        <f>IF($M12177="PADD I","PADD 1",IF($M12177="PADD II","PADD 2",IF($M12177="PADD III","PADD 3",IF($M12177="PADD IV","PADD 4",IF($M12177="PADD V","PADD 5","")))))</f>
        <v/>
      </c>
      <c r="G12177" s="6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  <c r="N12177" s="6">
        <f>IF(OR($G12177="FCC",$G12177="Hydrocracker",$G12177="Reformer"),IF(COUNTIFS($D:$D,$D12177,$A:$A,$A12177,$B:$B,$B12177,$G:$G,"CDU",$J:$J,"PLANNED")&gt;0,"tied","standalone"),"")</f>
        <v/>
      </c>
    </row>
    <row r="12178" spans="6:14">
      <c r="F12178" s="6">
        <f>IF($M12178="PADD I","PADD 1",IF($M12178="PADD II","PADD 2",IF($M12178="PADD III","PADD 3",IF($M12178="PADD IV","PADD 4",IF($M12178="PADD V","PADD 5","")))))</f>
        <v/>
      </c>
      <c r="G12178" s="6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  <c r="N12178" s="6">
        <f>IF(OR($G12178="FCC",$G12178="Hydrocracker",$G12178="Reformer"),IF(COUNTIFS($D:$D,$D12178,$A:$A,$A12178,$B:$B,$B12178,$G:$G,"CDU",$J:$J,"PLANNED")&gt;0,"tied","standalone"),"")</f>
        <v/>
      </c>
    </row>
    <row r="12179" spans="6:14">
      <c r="F12179" s="6">
        <f>IF($M12179="PADD I","PADD 1",IF($M12179="PADD II","PADD 2",IF($M12179="PADD III","PADD 3",IF($M12179="PADD IV","PADD 4",IF($M12179="PADD V","PADD 5","")))))</f>
        <v/>
      </c>
      <c r="G12179" s="6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  <c r="N12179" s="6">
        <f>IF(OR($G12179="FCC",$G12179="Hydrocracker",$G12179="Reformer"),IF(COUNTIFS($D:$D,$D12179,$A:$A,$A12179,$B:$B,$B12179,$G:$G,"CDU",$J:$J,"PLANNED")&gt;0,"tied","standalone"),"")</f>
        <v/>
      </c>
    </row>
    <row r="12180" spans="6:14">
      <c r="F12180" s="6">
        <f>IF($M12180="PADD I","PADD 1",IF($M12180="PADD II","PADD 2",IF($M12180="PADD III","PADD 3",IF($M12180="PADD IV","PADD 4",IF($M12180="PADD V","PADD 5","")))))</f>
        <v/>
      </c>
      <c r="G12180" s="6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  <c r="N12180" s="6">
        <f>IF(OR($G12180="FCC",$G12180="Hydrocracker",$G12180="Reformer"),IF(COUNTIFS($D:$D,$D12180,$A:$A,$A12180,$B:$B,$B12180,$G:$G,"CDU",$J:$J,"PLANNED")&gt;0,"tied","standalone"),"")</f>
        <v/>
      </c>
    </row>
    <row r="12181" spans="6:14">
      <c r="F12181" s="6">
        <f>IF($M12181="PADD I","PADD 1",IF($M12181="PADD II","PADD 2",IF($M12181="PADD III","PADD 3",IF($M12181="PADD IV","PADD 4",IF($M12181="PADD V","PADD 5","")))))</f>
        <v/>
      </c>
      <c r="G12181" s="6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  <c r="N12181" s="6">
        <f>IF(OR($G12181="FCC",$G12181="Hydrocracker",$G12181="Reformer"),IF(COUNTIFS($D:$D,$D12181,$A:$A,$A12181,$B:$B,$B12181,$G:$G,"CDU",$J:$J,"PLANNED")&gt;0,"tied","standalone"),"")</f>
        <v/>
      </c>
    </row>
    <row r="12182" spans="6:14">
      <c r="F12182" s="6">
        <f>IF($M12182="PADD I","PADD 1",IF($M12182="PADD II","PADD 2",IF($M12182="PADD III","PADD 3",IF($M12182="PADD IV","PADD 4",IF($M12182="PADD V","PADD 5","")))))</f>
        <v/>
      </c>
      <c r="G12182" s="6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  <c r="N12182" s="6">
        <f>IF(OR($G12182="FCC",$G12182="Hydrocracker",$G12182="Reformer"),IF(COUNTIFS($D:$D,$D12182,$A:$A,$A12182,$B:$B,$B12182,$G:$G,"CDU",$J:$J,"PLANNED")&gt;0,"tied","standalone"),"")</f>
        <v/>
      </c>
    </row>
    <row r="12183" spans="6:14">
      <c r="F12183" s="6">
        <f>IF($M12183="PADD I","PADD 1",IF($M12183="PADD II","PADD 2",IF($M12183="PADD III","PADD 3",IF($M12183="PADD IV","PADD 4",IF($M12183="PADD V","PADD 5","")))))</f>
        <v/>
      </c>
      <c r="G12183" s="6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  <c r="N12183" s="6">
        <f>IF(OR($G12183="FCC",$G12183="Hydrocracker",$G12183="Reformer"),IF(COUNTIFS($D:$D,$D12183,$A:$A,$A12183,$B:$B,$B12183,$G:$G,"CDU",$J:$J,"PLANNED")&gt;0,"tied","standalone"),"")</f>
        <v/>
      </c>
    </row>
    <row r="12184" spans="6:14">
      <c r="F12184" s="6">
        <f>IF($M12184="PADD I","PADD 1",IF($M12184="PADD II","PADD 2",IF($M12184="PADD III","PADD 3",IF($M12184="PADD IV","PADD 4",IF($M12184="PADD V","PADD 5","")))))</f>
        <v/>
      </c>
      <c r="G12184" s="6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  <c r="N12184" s="6">
        <f>IF(OR($G12184="FCC",$G12184="Hydrocracker",$G12184="Reformer"),IF(COUNTIFS($D:$D,$D12184,$A:$A,$A12184,$B:$B,$B12184,$G:$G,"CDU",$J:$J,"PLANNED")&gt;0,"tied","standalone"),"")</f>
        <v/>
      </c>
    </row>
    <row r="12185" spans="6:14">
      <c r="F12185" s="6">
        <f>IF($M12185="PADD I","PADD 1",IF($M12185="PADD II","PADD 2",IF($M12185="PADD III","PADD 3",IF($M12185="PADD IV","PADD 4",IF($M12185="PADD V","PADD 5","")))))</f>
        <v/>
      </c>
      <c r="G12185" s="6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  <c r="N12185" s="6">
        <f>IF(OR($G12185="FCC",$G12185="Hydrocracker",$G12185="Reformer"),IF(COUNTIFS($D:$D,$D12185,$A:$A,$A12185,$B:$B,$B12185,$G:$G,"CDU",$J:$J,"PLANNED")&gt;0,"tied","standalone"),"")</f>
        <v/>
      </c>
    </row>
    <row r="12186" spans="6:14">
      <c r="F12186" s="6">
        <f>IF($M12186="PADD I","PADD 1",IF($M12186="PADD II","PADD 2",IF($M12186="PADD III","PADD 3",IF($M12186="PADD IV","PADD 4",IF($M12186="PADD V","PADD 5","")))))</f>
        <v/>
      </c>
      <c r="G12186" s="6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  <c r="N12186" s="6">
        <f>IF(OR($G12186="FCC",$G12186="Hydrocracker",$G12186="Reformer"),IF(COUNTIFS($D:$D,$D12186,$A:$A,$A12186,$B:$B,$B12186,$G:$G,"CDU",$J:$J,"PLANNED")&gt;0,"tied","standalone"),"")</f>
        <v/>
      </c>
    </row>
    <row r="12187" spans="6:14">
      <c r="F12187" s="6">
        <f>IF($M12187="PADD I","PADD 1",IF($M12187="PADD II","PADD 2",IF($M12187="PADD III","PADD 3",IF($M12187="PADD IV","PADD 4",IF($M12187="PADD V","PADD 5","")))))</f>
        <v/>
      </c>
      <c r="G12187" s="6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  <c r="N12187" s="6">
        <f>IF(OR($G12187="FCC",$G12187="Hydrocracker",$G12187="Reformer"),IF(COUNTIFS($D:$D,$D12187,$A:$A,$A12187,$B:$B,$B12187,$G:$G,"CDU",$J:$J,"PLANNED")&gt;0,"tied","standalone"),"")</f>
        <v/>
      </c>
    </row>
    <row r="12188" spans="6:14">
      <c r="F12188" s="6">
        <f>IF($M12188="PADD I","PADD 1",IF($M12188="PADD II","PADD 2",IF($M12188="PADD III","PADD 3",IF($M12188="PADD IV","PADD 4",IF($M12188="PADD V","PADD 5","")))))</f>
        <v/>
      </c>
      <c r="G12188" s="6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  <c r="N12188" s="6">
        <f>IF(OR($G12188="FCC",$G12188="Hydrocracker",$G12188="Reformer"),IF(COUNTIFS($D:$D,$D12188,$A:$A,$A12188,$B:$B,$B12188,$G:$G,"CDU",$J:$J,"PLANNED")&gt;0,"tied","standalone"),"")</f>
        <v/>
      </c>
    </row>
    <row r="12189" spans="6:14">
      <c r="F12189" s="6">
        <f>IF($M12189="PADD I","PADD 1",IF($M12189="PADD II","PADD 2",IF($M12189="PADD III","PADD 3",IF($M12189="PADD IV","PADD 4",IF($M12189="PADD V","PADD 5","")))))</f>
        <v/>
      </c>
      <c r="G12189" s="6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  <c r="N12189" s="6">
        <f>IF(OR($G12189="FCC",$G12189="Hydrocracker",$G12189="Reformer"),IF(COUNTIFS($D:$D,$D12189,$A:$A,$A12189,$B:$B,$B12189,$G:$G,"CDU",$J:$J,"PLANNED")&gt;0,"tied","standalone"),"")</f>
        <v/>
      </c>
    </row>
    <row r="12190" spans="6:14">
      <c r="F12190" s="6">
        <f>IF($M12190="PADD I","PADD 1",IF($M12190="PADD II","PADD 2",IF($M12190="PADD III","PADD 3",IF($M12190="PADD IV","PADD 4",IF($M12190="PADD V","PADD 5","")))))</f>
        <v/>
      </c>
      <c r="G12190" s="6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  <c r="N12190" s="6">
        <f>IF(OR($G12190="FCC",$G12190="Hydrocracker",$G12190="Reformer"),IF(COUNTIFS($D:$D,$D12190,$A:$A,$A12190,$B:$B,$B12190,$G:$G,"CDU",$J:$J,"PLANNED")&gt;0,"tied","standalone"),"")</f>
        <v/>
      </c>
    </row>
    <row r="12191" spans="6:14">
      <c r="F12191" s="6">
        <f>IF($M12191="PADD I","PADD 1",IF($M12191="PADD II","PADD 2",IF($M12191="PADD III","PADD 3",IF($M12191="PADD IV","PADD 4",IF($M12191="PADD V","PADD 5","")))))</f>
        <v/>
      </c>
      <c r="G12191" s="6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  <c r="N12191" s="6">
        <f>IF(OR($G12191="FCC",$G12191="Hydrocracker",$G12191="Reformer"),IF(COUNTIFS($D:$D,$D12191,$A:$A,$A12191,$B:$B,$B12191,$G:$G,"CDU",$J:$J,"PLANNED")&gt;0,"tied","standalone"),"")</f>
        <v/>
      </c>
    </row>
    <row r="12192" spans="6:14">
      <c r="F12192" s="6">
        <f>IF($M12192="PADD I","PADD 1",IF($M12192="PADD II","PADD 2",IF($M12192="PADD III","PADD 3",IF($M12192="PADD IV","PADD 4",IF($M12192="PADD V","PADD 5","")))))</f>
        <v/>
      </c>
      <c r="G12192" s="6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  <c r="N12192" s="6">
        <f>IF(OR($G12192="FCC",$G12192="Hydrocracker",$G12192="Reformer"),IF(COUNTIFS($D:$D,$D12192,$A:$A,$A12192,$B:$B,$B12192,$G:$G,"CDU",$J:$J,"PLANNED")&gt;0,"tied","standalone"),"")</f>
        <v/>
      </c>
    </row>
    <row r="12193" spans="6:14">
      <c r="F12193" s="6">
        <f>IF($M12193="PADD I","PADD 1",IF($M12193="PADD II","PADD 2",IF($M12193="PADD III","PADD 3",IF($M12193="PADD IV","PADD 4",IF($M12193="PADD V","PADD 5","")))))</f>
        <v/>
      </c>
      <c r="G12193" s="6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  <c r="N12193" s="6">
        <f>IF(OR($G12193="FCC",$G12193="Hydrocracker",$G12193="Reformer"),IF(COUNTIFS($D:$D,$D12193,$A:$A,$A12193,$B:$B,$B12193,$G:$G,"CDU",$J:$J,"PLANNED")&gt;0,"tied","standalone"),"")</f>
        <v/>
      </c>
    </row>
    <row r="12194" spans="6:14">
      <c r="F12194" s="6">
        <f>IF($M12194="PADD I","PADD 1",IF($M12194="PADD II","PADD 2",IF($M12194="PADD III","PADD 3",IF($M12194="PADD IV","PADD 4",IF($M12194="PADD V","PADD 5","")))))</f>
        <v/>
      </c>
      <c r="G12194" s="6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  <c r="N12194" s="6">
        <f>IF(OR($G12194="FCC",$G12194="Hydrocracker",$G12194="Reformer"),IF(COUNTIFS($D:$D,$D12194,$A:$A,$A12194,$B:$B,$B12194,$G:$G,"CDU",$J:$J,"PLANNED")&gt;0,"tied","standalone"),"")</f>
        <v/>
      </c>
    </row>
    <row r="12195" spans="6:14">
      <c r="F12195" s="6">
        <f>IF($M12195="PADD I","PADD 1",IF($M12195="PADD II","PADD 2",IF($M12195="PADD III","PADD 3",IF($M12195="PADD IV","PADD 4",IF($M12195="PADD V","PADD 5","")))))</f>
        <v/>
      </c>
      <c r="G12195" s="6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  <c r="N12195" s="6">
        <f>IF(OR($G12195="FCC",$G12195="Hydrocracker",$G12195="Reformer"),IF(COUNTIFS($D:$D,$D12195,$A:$A,$A12195,$B:$B,$B12195,$G:$G,"CDU",$J:$J,"PLANNED")&gt;0,"tied","standalone"),"")</f>
        <v/>
      </c>
    </row>
    <row r="12196" spans="6:14">
      <c r="F12196" s="6">
        <f>IF($M12196="PADD I","PADD 1",IF($M12196="PADD II","PADD 2",IF($M12196="PADD III","PADD 3",IF($M12196="PADD IV","PADD 4",IF($M12196="PADD V","PADD 5","")))))</f>
        <v/>
      </c>
      <c r="G12196" s="6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  <c r="N12196" s="6">
        <f>IF(OR($G12196="FCC",$G12196="Hydrocracker",$G12196="Reformer"),IF(COUNTIFS($D:$D,$D12196,$A:$A,$A12196,$B:$B,$B12196,$G:$G,"CDU",$J:$J,"PLANNED")&gt;0,"tied","standalone"),"")</f>
        <v/>
      </c>
    </row>
    <row r="12197" spans="6:14">
      <c r="F12197" s="6">
        <f>IF($M12197="PADD I","PADD 1",IF($M12197="PADD II","PADD 2",IF($M12197="PADD III","PADD 3",IF($M12197="PADD IV","PADD 4",IF($M12197="PADD V","PADD 5","")))))</f>
        <v/>
      </c>
      <c r="G12197" s="6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  <c r="N12197" s="6">
        <f>IF(OR($G12197="FCC",$G12197="Hydrocracker",$G12197="Reformer"),IF(COUNTIFS($D:$D,$D12197,$A:$A,$A12197,$B:$B,$B12197,$G:$G,"CDU",$J:$J,"PLANNED")&gt;0,"tied","standalone"),"")</f>
        <v/>
      </c>
    </row>
    <row r="12198" spans="6:14">
      <c r="F12198" s="6">
        <f>IF($M12198="PADD I","PADD 1",IF($M12198="PADD II","PADD 2",IF($M12198="PADD III","PADD 3",IF($M12198="PADD IV","PADD 4",IF($M12198="PADD V","PADD 5","")))))</f>
        <v/>
      </c>
      <c r="G12198" s="6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  <c r="N12198" s="6">
        <f>IF(OR($G12198="FCC",$G12198="Hydrocracker",$G12198="Reformer"),IF(COUNTIFS($D:$D,$D12198,$A:$A,$A12198,$B:$B,$B12198,$G:$G,"CDU",$J:$J,"PLANNED")&gt;0,"tied","standalone"),"")</f>
        <v/>
      </c>
    </row>
    <row r="12199" spans="6:14">
      <c r="F12199" s="6">
        <f>IF($M12199="PADD I","PADD 1",IF($M12199="PADD II","PADD 2",IF($M12199="PADD III","PADD 3",IF($M12199="PADD IV","PADD 4",IF($M12199="PADD V","PADD 5","")))))</f>
        <v/>
      </c>
      <c r="G12199" s="6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  <c r="N12199" s="6">
        <f>IF(OR($G12199="FCC",$G12199="Hydrocracker",$G12199="Reformer"),IF(COUNTIFS($D:$D,$D12199,$A:$A,$A12199,$B:$B,$B12199,$G:$G,"CDU",$J:$J,"PLANNED")&gt;0,"tied","standalone"),"")</f>
        <v/>
      </c>
    </row>
    <row r="12200" spans="6:14">
      <c r="F12200" s="6">
        <f>IF($M12200="PADD I","PADD 1",IF($M12200="PADD II","PADD 2",IF($M12200="PADD III","PADD 3",IF($M12200="PADD IV","PADD 4",IF($M12200="PADD V","PADD 5","")))))</f>
        <v/>
      </c>
      <c r="G12200" s="6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  <c r="N12200" s="6">
        <f>IF(OR($G12200="FCC",$G12200="Hydrocracker",$G12200="Reformer"),IF(COUNTIFS($D:$D,$D12200,$A:$A,$A12200,$B:$B,$B12200,$G:$G,"CDU",$J:$J,"PLANNED")&gt;0,"tied","standalone"),"")</f>
        <v/>
      </c>
    </row>
    <row r="12201" spans="6:14">
      <c r="F12201" s="6">
        <f>IF($M12201="PADD I","PADD 1",IF($M12201="PADD II","PADD 2",IF($M12201="PADD III","PADD 3",IF($M12201="PADD IV","PADD 4",IF($M12201="PADD V","PADD 5","")))))</f>
        <v/>
      </c>
      <c r="G12201" s="6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  <c r="N12201" s="6">
        <f>IF(OR($G12201="FCC",$G12201="Hydrocracker",$G12201="Reformer"),IF(COUNTIFS($D:$D,$D12201,$A:$A,$A12201,$B:$B,$B12201,$G:$G,"CDU",$J:$J,"PLANNED")&gt;0,"tied","standalone"),"")</f>
        <v/>
      </c>
    </row>
    <row r="12202" spans="6:14">
      <c r="F12202" s="6">
        <f>IF($M12202="PADD I","PADD 1",IF($M12202="PADD II","PADD 2",IF($M12202="PADD III","PADD 3",IF($M12202="PADD IV","PADD 4",IF($M12202="PADD V","PADD 5","")))))</f>
        <v/>
      </c>
      <c r="G12202" s="6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  <c r="N12202" s="6">
        <f>IF(OR($G12202="FCC",$G12202="Hydrocracker",$G12202="Reformer"),IF(COUNTIFS($D:$D,$D12202,$A:$A,$A12202,$B:$B,$B12202,$G:$G,"CDU",$J:$J,"PLANNED")&gt;0,"tied","standalone"),"")</f>
        <v/>
      </c>
    </row>
    <row r="12203" spans="6:14">
      <c r="F12203" s="6">
        <f>IF($M12203="PADD I","PADD 1",IF($M12203="PADD II","PADD 2",IF($M12203="PADD III","PADD 3",IF($M12203="PADD IV","PADD 4",IF($M12203="PADD V","PADD 5","")))))</f>
        <v/>
      </c>
      <c r="G12203" s="6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  <c r="N12203" s="6">
        <f>IF(OR($G12203="FCC",$G12203="Hydrocracker",$G12203="Reformer"),IF(COUNTIFS($D:$D,$D12203,$A:$A,$A12203,$B:$B,$B12203,$G:$G,"CDU",$J:$J,"PLANNED")&gt;0,"tied","standalone"),"")</f>
        <v/>
      </c>
    </row>
    <row r="12204" spans="6:14">
      <c r="F12204" s="6">
        <f>IF($M12204="PADD I","PADD 1",IF($M12204="PADD II","PADD 2",IF($M12204="PADD III","PADD 3",IF($M12204="PADD IV","PADD 4",IF($M12204="PADD V","PADD 5","")))))</f>
        <v/>
      </c>
      <c r="G12204" s="6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  <c r="N12204" s="6">
        <f>IF(OR($G12204="FCC",$G12204="Hydrocracker",$G12204="Reformer"),IF(COUNTIFS($D:$D,$D12204,$A:$A,$A12204,$B:$B,$B12204,$G:$G,"CDU",$J:$J,"PLANNED")&gt;0,"tied","standalone"),"")</f>
        <v/>
      </c>
    </row>
    <row r="12205" spans="6:14">
      <c r="F12205" s="6">
        <f>IF($M12205="PADD I","PADD 1",IF($M12205="PADD II","PADD 2",IF($M12205="PADD III","PADD 3",IF($M12205="PADD IV","PADD 4",IF($M12205="PADD V","PADD 5","")))))</f>
        <v/>
      </c>
      <c r="G12205" s="6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  <c r="N12205" s="6">
        <f>IF(OR($G12205="FCC",$G12205="Hydrocracker",$G12205="Reformer"),IF(COUNTIFS($D:$D,$D12205,$A:$A,$A12205,$B:$B,$B12205,$G:$G,"CDU",$J:$J,"PLANNED")&gt;0,"tied","standalone"),"")</f>
        <v/>
      </c>
    </row>
    <row r="12206" spans="6:14">
      <c r="F12206" s="6">
        <f>IF($M12206="PADD I","PADD 1",IF($M12206="PADD II","PADD 2",IF($M12206="PADD III","PADD 3",IF($M12206="PADD IV","PADD 4",IF($M12206="PADD V","PADD 5","")))))</f>
        <v/>
      </c>
      <c r="G12206" s="6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  <c r="N12206" s="6">
        <f>IF(OR($G12206="FCC",$G12206="Hydrocracker",$G12206="Reformer"),IF(COUNTIFS($D:$D,$D12206,$A:$A,$A12206,$B:$B,$B12206,$G:$G,"CDU",$J:$J,"PLANNED")&gt;0,"tied","standalone"),"")</f>
        <v/>
      </c>
    </row>
    <row r="12207" spans="6:14">
      <c r="F12207" s="6">
        <f>IF($M12207="PADD I","PADD 1",IF($M12207="PADD II","PADD 2",IF($M12207="PADD III","PADD 3",IF($M12207="PADD IV","PADD 4",IF($M12207="PADD V","PADD 5","")))))</f>
        <v/>
      </c>
      <c r="G12207" s="6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  <c r="N12207" s="6">
        <f>IF(OR($G12207="FCC",$G12207="Hydrocracker",$G12207="Reformer"),IF(COUNTIFS($D:$D,$D12207,$A:$A,$A12207,$B:$B,$B12207,$G:$G,"CDU",$J:$J,"PLANNED")&gt;0,"tied","standalone"),"")</f>
        <v/>
      </c>
    </row>
    <row r="12208" spans="6:14">
      <c r="F12208" s="6">
        <f>IF($M12208="PADD I","PADD 1",IF($M12208="PADD II","PADD 2",IF($M12208="PADD III","PADD 3",IF($M12208="PADD IV","PADD 4",IF($M12208="PADD V","PADD 5","")))))</f>
        <v/>
      </c>
      <c r="G12208" s="6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  <c r="N12208" s="6">
        <f>IF(OR($G12208="FCC",$G12208="Hydrocracker",$G12208="Reformer"),IF(COUNTIFS($D:$D,$D12208,$A:$A,$A12208,$B:$B,$B12208,$G:$G,"CDU",$J:$J,"PLANNED")&gt;0,"tied","standalone"),"")</f>
        <v/>
      </c>
    </row>
    <row r="12209" spans="6:14">
      <c r="F12209" s="6">
        <f>IF($M12209="PADD I","PADD 1",IF($M12209="PADD II","PADD 2",IF($M12209="PADD III","PADD 3",IF($M12209="PADD IV","PADD 4",IF($M12209="PADD V","PADD 5","")))))</f>
        <v/>
      </c>
      <c r="G12209" s="6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  <c r="N12209" s="6">
        <f>IF(OR($G12209="FCC",$G12209="Hydrocracker",$G12209="Reformer"),IF(COUNTIFS($D:$D,$D12209,$A:$A,$A12209,$B:$B,$B12209,$G:$G,"CDU",$J:$J,"PLANNED")&gt;0,"tied","standalone"),"")</f>
        <v/>
      </c>
    </row>
    <row r="12210" spans="6:14">
      <c r="F12210" s="6">
        <f>IF($M12210="PADD I","PADD 1",IF($M12210="PADD II","PADD 2",IF($M12210="PADD III","PADD 3",IF($M12210="PADD IV","PADD 4",IF($M12210="PADD V","PADD 5","")))))</f>
        <v/>
      </c>
      <c r="G12210" s="6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  <c r="N12210" s="6">
        <f>IF(OR($G12210="FCC",$G12210="Hydrocracker",$G12210="Reformer"),IF(COUNTIFS($D:$D,$D12210,$A:$A,$A12210,$B:$B,$B12210,$G:$G,"CDU",$J:$J,"PLANNED")&gt;0,"tied","standalone"),"")</f>
        <v/>
      </c>
    </row>
    <row r="12211" spans="6:14">
      <c r="F12211" s="6">
        <f>IF($M12211="PADD I","PADD 1",IF($M12211="PADD II","PADD 2",IF($M12211="PADD III","PADD 3",IF($M12211="PADD IV","PADD 4",IF($M12211="PADD V","PADD 5","")))))</f>
        <v/>
      </c>
      <c r="G12211" s="6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  <c r="N12211" s="6">
        <f>IF(OR($G12211="FCC",$G12211="Hydrocracker",$G12211="Reformer"),IF(COUNTIFS($D:$D,$D12211,$A:$A,$A12211,$B:$B,$B12211,$G:$G,"CDU",$J:$J,"PLANNED")&gt;0,"tied","standalone"),"")</f>
        <v/>
      </c>
    </row>
    <row r="12212" spans="6:14">
      <c r="F12212" s="6">
        <f>IF($M12212="PADD I","PADD 1",IF($M12212="PADD II","PADD 2",IF($M12212="PADD III","PADD 3",IF($M12212="PADD IV","PADD 4",IF($M12212="PADD V","PADD 5","")))))</f>
        <v/>
      </c>
      <c r="G12212" s="6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  <c r="N12212" s="6">
        <f>IF(OR($G12212="FCC",$G12212="Hydrocracker",$G12212="Reformer"),IF(COUNTIFS($D:$D,$D12212,$A:$A,$A12212,$B:$B,$B12212,$G:$G,"CDU",$J:$J,"PLANNED")&gt;0,"tied","standalone"),"")</f>
        <v/>
      </c>
    </row>
    <row r="12213" spans="6:14">
      <c r="F12213" s="6">
        <f>IF($M12213="PADD I","PADD 1",IF($M12213="PADD II","PADD 2",IF($M12213="PADD III","PADD 3",IF($M12213="PADD IV","PADD 4",IF($M12213="PADD V","PADD 5","")))))</f>
        <v/>
      </c>
      <c r="G12213" s="6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  <c r="N12213" s="6">
        <f>IF(OR($G12213="FCC",$G12213="Hydrocracker",$G12213="Reformer"),IF(COUNTIFS($D:$D,$D12213,$A:$A,$A12213,$B:$B,$B12213,$G:$G,"CDU",$J:$J,"PLANNED")&gt;0,"tied","standalone"),"")</f>
        <v/>
      </c>
    </row>
    <row r="12214" spans="6:14">
      <c r="F12214" s="6">
        <f>IF($M12214="PADD I","PADD 1",IF($M12214="PADD II","PADD 2",IF($M12214="PADD III","PADD 3",IF($M12214="PADD IV","PADD 4",IF($M12214="PADD V","PADD 5","")))))</f>
        <v/>
      </c>
      <c r="G12214" s="6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  <c r="N12214" s="6">
        <f>IF(OR($G12214="FCC",$G12214="Hydrocracker",$G12214="Reformer"),IF(COUNTIFS($D:$D,$D12214,$A:$A,$A12214,$B:$B,$B12214,$G:$G,"CDU",$J:$J,"PLANNED")&gt;0,"tied","standalone"),"")</f>
        <v/>
      </c>
    </row>
    <row r="12215" spans="6:14">
      <c r="F12215" s="6">
        <f>IF($M12215="PADD I","PADD 1",IF($M12215="PADD II","PADD 2",IF($M12215="PADD III","PADD 3",IF($M12215="PADD IV","PADD 4",IF($M12215="PADD V","PADD 5","")))))</f>
        <v/>
      </c>
      <c r="G12215" s="6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  <c r="N12215" s="6">
        <f>IF(OR($G12215="FCC",$G12215="Hydrocracker",$G12215="Reformer"),IF(COUNTIFS($D:$D,$D12215,$A:$A,$A12215,$B:$B,$B12215,$G:$G,"CDU",$J:$J,"PLANNED")&gt;0,"tied","standalone"),"")</f>
        <v/>
      </c>
    </row>
    <row r="12216" spans="6:14">
      <c r="F12216" s="6">
        <f>IF($M12216="PADD I","PADD 1",IF($M12216="PADD II","PADD 2",IF($M12216="PADD III","PADD 3",IF($M12216="PADD IV","PADD 4",IF($M12216="PADD V","PADD 5","")))))</f>
        <v/>
      </c>
      <c r="G12216" s="6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  <c r="N12216" s="6">
        <f>IF(OR($G12216="FCC",$G12216="Hydrocracker",$G12216="Reformer"),IF(COUNTIFS($D:$D,$D12216,$A:$A,$A12216,$B:$B,$B12216,$G:$G,"CDU",$J:$J,"PLANNED")&gt;0,"tied","standalone"),"")</f>
        <v/>
      </c>
    </row>
    <row r="12217" spans="6:14">
      <c r="F12217" s="6">
        <f>IF($M12217="PADD I","PADD 1",IF($M12217="PADD II","PADD 2",IF($M12217="PADD III","PADD 3",IF($M12217="PADD IV","PADD 4",IF($M12217="PADD V","PADD 5","")))))</f>
        <v/>
      </c>
      <c r="G12217" s="6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  <c r="N12217" s="6">
        <f>IF(OR($G12217="FCC",$G12217="Hydrocracker",$G12217="Reformer"),IF(COUNTIFS($D:$D,$D12217,$A:$A,$A12217,$B:$B,$B12217,$G:$G,"CDU",$J:$J,"PLANNED")&gt;0,"tied","standalone"),"")</f>
        <v/>
      </c>
    </row>
    <row r="12218" spans="6:14">
      <c r="F12218" s="6">
        <f>IF($M12218="PADD I","PADD 1",IF($M12218="PADD II","PADD 2",IF($M12218="PADD III","PADD 3",IF($M12218="PADD IV","PADD 4",IF($M12218="PADD V","PADD 5","")))))</f>
        <v/>
      </c>
      <c r="G12218" s="6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  <c r="N12218" s="6">
        <f>IF(OR($G12218="FCC",$G12218="Hydrocracker",$G12218="Reformer"),IF(COUNTIFS($D:$D,$D12218,$A:$A,$A12218,$B:$B,$B12218,$G:$G,"CDU",$J:$J,"PLANNED")&gt;0,"tied","standalone"),"")</f>
        <v/>
      </c>
    </row>
    <row r="12219" spans="6:14">
      <c r="F12219" s="6">
        <f>IF($M12219="PADD I","PADD 1",IF($M12219="PADD II","PADD 2",IF($M12219="PADD III","PADD 3",IF($M12219="PADD IV","PADD 4",IF($M12219="PADD V","PADD 5","")))))</f>
        <v/>
      </c>
      <c r="G12219" s="6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  <c r="N12219" s="6">
        <f>IF(OR($G12219="FCC",$G12219="Hydrocracker",$G12219="Reformer"),IF(COUNTIFS($D:$D,$D12219,$A:$A,$A12219,$B:$B,$B12219,$G:$G,"CDU",$J:$J,"PLANNED")&gt;0,"tied","standalone"),"")</f>
        <v/>
      </c>
    </row>
    <row r="12220" spans="6:14">
      <c r="F12220" s="6">
        <f>IF($M12220="PADD I","PADD 1",IF($M12220="PADD II","PADD 2",IF($M12220="PADD III","PADD 3",IF($M12220="PADD IV","PADD 4",IF($M12220="PADD V","PADD 5","")))))</f>
        <v/>
      </c>
      <c r="G12220" s="6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  <c r="N12220" s="6">
        <f>IF(OR($G12220="FCC",$G12220="Hydrocracker",$G12220="Reformer"),IF(COUNTIFS($D:$D,$D12220,$A:$A,$A12220,$B:$B,$B12220,$G:$G,"CDU",$J:$J,"PLANNED")&gt;0,"tied","standalone"),"")</f>
        <v/>
      </c>
    </row>
    <row r="12221" spans="6:14">
      <c r="F12221" s="6">
        <f>IF($M12221="PADD I","PADD 1",IF($M12221="PADD II","PADD 2",IF($M12221="PADD III","PADD 3",IF($M12221="PADD IV","PADD 4",IF($M12221="PADD V","PADD 5","")))))</f>
        <v/>
      </c>
      <c r="G12221" s="6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  <c r="N12221" s="6">
        <f>IF(OR($G12221="FCC",$G12221="Hydrocracker",$G12221="Reformer"),IF(COUNTIFS($D:$D,$D12221,$A:$A,$A12221,$B:$B,$B12221,$G:$G,"CDU",$J:$J,"PLANNED")&gt;0,"tied","standalone"),"")</f>
        <v/>
      </c>
    </row>
    <row r="12222" spans="6:14">
      <c r="F12222" s="6">
        <f>IF($M12222="PADD I","PADD 1",IF($M12222="PADD II","PADD 2",IF($M12222="PADD III","PADD 3",IF($M12222="PADD IV","PADD 4",IF($M12222="PADD V","PADD 5","")))))</f>
        <v/>
      </c>
      <c r="G12222" s="6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  <c r="N12222" s="6">
        <f>IF(OR($G12222="FCC",$G12222="Hydrocracker",$G12222="Reformer"),IF(COUNTIFS($D:$D,$D12222,$A:$A,$A12222,$B:$B,$B12222,$G:$G,"CDU",$J:$J,"PLANNED")&gt;0,"tied","standalone"),"")</f>
        <v/>
      </c>
    </row>
    <row r="12223" spans="6:14">
      <c r="F12223" s="6">
        <f>IF($M12223="PADD I","PADD 1",IF($M12223="PADD II","PADD 2",IF($M12223="PADD III","PADD 3",IF($M12223="PADD IV","PADD 4",IF($M12223="PADD V","PADD 5","")))))</f>
        <v/>
      </c>
      <c r="G12223" s="6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  <c r="N12223" s="6">
        <f>IF(OR($G12223="FCC",$G12223="Hydrocracker",$G12223="Reformer"),IF(COUNTIFS($D:$D,$D12223,$A:$A,$A12223,$B:$B,$B12223,$G:$G,"CDU",$J:$J,"PLANNED")&gt;0,"tied","standalone"),"")</f>
        <v/>
      </c>
    </row>
    <row r="12224" spans="6:14">
      <c r="F12224" s="6">
        <f>IF($M12224="PADD I","PADD 1",IF($M12224="PADD II","PADD 2",IF($M12224="PADD III","PADD 3",IF($M12224="PADD IV","PADD 4",IF($M12224="PADD V","PADD 5","")))))</f>
        <v/>
      </c>
      <c r="G12224" s="6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  <c r="N12224" s="6">
        <f>IF(OR($G12224="FCC",$G12224="Hydrocracker",$G12224="Reformer"),IF(COUNTIFS($D:$D,$D12224,$A:$A,$A12224,$B:$B,$B12224,$G:$G,"CDU",$J:$J,"PLANNED")&gt;0,"tied","standalone"),"")</f>
        <v/>
      </c>
    </row>
    <row r="12225" spans="6:14">
      <c r="F12225" s="6">
        <f>IF($M12225="PADD I","PADD 1",IF($M12225="PADD II","PADD 2",IF($M12225="PADD III","PADD 3",IF($M12225="PADD IV","PADD 4",IF($M12225="PADD V","PADD 5","")))))</f>
        <v/>
      </c>
      <c r="G12225" s="6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  <c r="N12225" s="6">
        <f>IF(OR($G12225="FCC",$G12225="Hydrocracker",$G12225="Reformer"),IF(COUNTIFS($D:$D,$D12225,$A:$A,$A12225,$B:$B,$B12225,$G:$G,"CDU",$J:$J,"PLANNED")&gt;0,"tied","standalone"),"")</f>
        <v/>
      </c>
    </row>
    <row r="12226" spans="6:14">
      <c r="F12226" s="6">
        <f>IF($M12226="PADD I","PADD 1",IF($M12226="PADD II","PADD 2",IF($M12226="PADD III","PADD 3",IF($M12226="PADD IV","PADD 4",IF($M12226="PADD V","PADD 5","")))))</f>
        <v/>
      </c>
      <c r="G12226" s="6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  <c r="N12226" s="6">
        <f>IF(OR($G12226="FCC",$G12226="Hydrocracker",$G12226="Reformer"),IF(COUNTIFS($D:$D,$D12226,$A:$A,$A12226,$B:$B,$B12226,$G:$G,"CDU",$J:$J,"PLANNED")&gt;0,"tied","standalone"),"")</f>
        <v/>
      </c>
    </row>
    <row r="12227" spans="6:14">
      <c r="F12227" s="6">
        <f>IF($M12227="PADD I","PADD 1",IF($M12227="PADD II","PADD 2",IF($M12227="PADD III","PADD 3",IF($M12227="PADD IV","PADD 4",IF($M12227="PADD V","PADD 5","")))))</f>
        <v/>
      </c>
      <c r="G12227" s="6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  <c r="N12227" s="6">
        <f>IF(OR($G12227="FCC",$G12227="Hydrocracker",$G12227="Reformer"),IF(COUNTIFS($D:$D,$D12227,$A:$A,$A12227,$B:$B,$B12227,$G:$G,"CDU",$J:$J,"PLANNED")&gt;0,"tied","standalone"),"")</f>
        <v/>
      </c>
    </row>
    <row r="12228" spans="6:14">
      <c r="F12228" s="6">
        <f>IF($M12228="PADD I","PADD 1",IF($M12228="PADD II","PADD 2",IF($M12228="PADD III","PADD 3",IF($M12228="PADD IV","PADD 4",IF($M12228="PADD V","PADD 5","")))))</f>
        <v/>
      </c>
      <c r="G12228" s="6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  <c r="N12228" s="6">
        <f>IF(OR($G12228="FCC",$G12228="Hydrocracker",$G12228="Reformer"),IF(COUNTIFS($D:$D,$D12228,$A:$A,$A12228,$B:$B,$B12228,$G:$G,"CDU",$J:$J,"PLANNED")&gt;0,"tied","standalone"),"")</f>
        <v/>
      </c>
    </row>
    <row r="12229" spans="6:14">
      <c r="F12229" s="6">
        <f>IF($M12229="PADD I","PADD 1",IF($M12229="PADD II","PADD 2",IF($M12229="PADD III","PADD 3",IF($M12229="PADD IV","PADD 4",IF($M12229="PADD V","PADD 5","")))))</f>
        <v/>
      </c>
      <c r="G12229" s="6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  <c r="N12229" s="6">
        <f>IF(OR($G12229="FCC",$G12229="Hydrocracker",$G12229="Reformer"),IF(COUNTIFS($D:$D,$D12229,$A:$A,$A12229,$B:$B,$B12229,$G:$G,"CDU",$J:$J,"PLANNED")&gt;0,"tied","standalone"),"")</f>
        <v/>
      </c>
    </row>
    <row r="12230" spans="6:14">
      <c r="F12230" s="6">
        <f>IF($M12230="PADD I","PADD 1",IF($M12230="PADD II","PADD 2",IF($M12230="PADD III","PADD 3",IF($M12230="PADD IV","PADD 4",IF($M12230="PADD V","PADD 5","")))))</f>
        <v/>
      </c>
      <c r="G12230" s="6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  <c r="N12230" s="6">
        <f>IF(OR($G12230="FCC",$G12230="Hydrocracker",$G12230="Reformer"),IF(COUNTIFS($D:$D,$D12230,$A:$A,$A12230,$B:$B,$B12230,$G:$G,"CDU",$J:$J,"PLANNED")&gt;0,"tied","standalone"),"")</f>
        <v/>
      </c>
    </row>
    <row r="12231" spans="6:14">
      <c r="F12231" s="6">
        <f>IF($M12231="PADD I","PADD 1",IF($M12231="PADD II","PADD 2",IF($M12231="PADD III","PADD 3",IF($M12231="PADD IV","PADD 4",IF($M12231="PADD V","PADD 5","")))))</f>
        <v/>
      </c>
      <c r="G12231" s="6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  <c r="N12231" s="6">
        <f>IF(OR($G12231="FCC",$G12231="Hydrocracker",$G12231="Reformer"),IF(COUNTIFS($D:$D,$D12231,$A:$A,$A12231,$B:$B,$B12231,$G:$G,"CDU",$J:$J,"PLANNED")&gt;0,"tied","standalone"),"")</f>
        <v/>
      </c>
    </row>
    <row r="12232" spans="6:14">
      <c r="F12232" s="6">
        <f>IF($M12232="PADD I","PADD 1",IF($M12232="PADD II","PADD 2",IF($M12232="PADD III","PADD 3",IF($M12232="PADD IV","PADD 4",IF($M12232="PADD V","PADD 5","")))))</f>
        <v/>
      </c>
      <c r="G12232" s="6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  <c r="N12232" s="6">
        <f>IF(OR($G12232="FCC",$G12232="Hydrocracker",$G12232="Reformer"),IF(COUNTIFS($D:$D,$D12232,$A:$A,$A12232,$B:$B,$B12232,$G:$G,"CDU",$J:$J,"PLANNED")&gt;0,"tied","standalone"),"")</f>
        <v/>
      </c>
    </row>
    <row r="12233" spans="6:14">
      <c r="F12233" s="6">
        <f>IF($M12233="PADD I","PADD 1",IF($M12233="PADD II","PADD 2",IF($M12233="PADD III","PADD 3",IF($M12233="PADD IV","PADD 4",IF($M12233="PADD V","PADD 5","")))))</f>
        <v/>
      </c>
      <c r="G12233" s="6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  <c r="N12233" s="6">
        <f>IF(OR($G12233="FCC",$G12233="Hydrocracker",$G12233="Reformer"),IF(COUNTIFS($D:$D,$D12233,$A:$A,$A12233,$B:$B,$B12233,$G:$G,"CDU",$J:$J,"PLANNED")&gt;0,"tied","standalone"),"")</f>
        <v/>
      </c>
    </row>
    <row r="12234" spans="6:14">
      <c r="F12234" s="6">
        <f>IF($M12234="PADD I","PADD 1",IF($M12234="PADD II","PADD 2",IF($M12234="PADD III","PADD 3",IF($M12234="PADD IV","PADD 4",IF($M12234="PADD V","PADD 5","")))))</f>
        <v/>
      </c>
      <c r="G12234" s="6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  <c r="N12234" s="6">
        <f>IF(OR($G12234="FCC",$G12234="Hydrocracker",$G12234="Reformer"),IF(COUNTIFS($D:$D,$D12234,$A:$A,$A12234,$B:$B,$B12234,$G:$G,"CDU",$J:$J,"PLANNED")&gt;0,"tied","standalone"),"")</f>
        <v/>
      </c>
    </row>
    <row r="12235" spans="6:14">
      <c r="F12235" s="6">
        <f>IF($M12235="PADD I","PADD 1",IF($M12235="PADD II","PADD 2",IF($M12235="PADD III","PADD 3",IF($M12235="PADD IV","PADD 4",IF($M12235="PADD V","PADD 5","")))))</f>
        <v/>
      </c>
      <c r="G12235" s="6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  <c r="N12235" s="6">
        <f>IF(OR($G12235="FCC",$G12235="Hydrocracker",$G12235="Reformer"),IF(COUNTIFS($D:$D,$D12235,$A:$A,$A12235,$B:$B,$B12235,$G:$G,"CDU",$J:$J,"PLANNED")&gt;0,"tied","standalone"),"")</f>
        <v/>
      </c>
    </row>
    <row r="12236" spans="6:14">
      <c r="F12236" s="6">
        <f>IF($M12236="PADD I","PADD 1",IF($M12236="PADD II","PADD 2",IF($M12236="PADD III","PADD 3",IF($M12236="PADD IV","PADD 4",IF($M12236="PADD V","PADD 5","")))))</f>
        <v/>
      </c>
      <c r="G12236" s="6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  <c r="N12236" s="6">
        <f>IF(OR($G12236="FCC",$G12236="Hydrocracker",$G12236="Reformer"),IF(COUNTIFS($D:$D,$D12236,$A:$A,$A12236,$B:$B,$B12236,$G:$G,"CDU",$J:$J,"PLANNED")&gt;0,"tied","standalone"),"")</f>
        <v/>
      </c>
    </row>
    <row r="12237" spans="6:14">
      <c r="F12237" s="6">
        <f>IF($M12237="PADD I","PADD 1",IF($M12237="PADD II","PADD 2",IF($M12237="PADD III","PADD 3",IF($M12237="PADD IV","PADD 4",IF($M12237="PADD V","PADD 5","")))))</f>
        <v/>
      </c>
      <c r="G12237" s="6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  <c r="N12237" s="6">
        <f>IF(OR($G12237="FCC",$G12237="Hydrocracker",$G12237="Reformer"),IF(COUNTIFS($D:$D,$D12237,$A:$A,$A12237,$B:$B,$B12237,$G:$G,"CDU",$J:$J,"PLANNED")&gt;0,"tied","standalone"),"")</f>
        <v/>
      </c>
    </row>
    <row r="12238" spans="6:14">
      <c r="F12238" s="6">
        <f>IF($M12238="PADD I","PADD 1",IF($M12238="PADD II","PADD 2",IF($M12238="PADD III","PADD 3",IF($M12238="PADD IV","PADD 4",IF($M12238="PADD V","PADD 5","")))))</f>
        <v/>
      </c>
      <c r="G12238" s="6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  <c r="N12238" s="6">
        <f>IF(OR($G12238="FCC",$G12238="Hydrocracker",$G12238="Reformer"),IF(COUNTIFS($D:$D,$D12238,$A:$A,$A12238,$B:$B,$B12238,$G:$G,"CDU",$J:$J,"PLANNED")&gt;0,"tied","standalone"),"")</f>
        <v/>
      </c>
    </row>
    <row r="12239" spans="6:14">
      <c r="F12239" s="6">
        <f>IF($M12239="PADD I","PADD 1",IF($M12239="PADD II","PADD 2",IF($M12239="PADD III","PADD 3",IF($M12239="PADD IV","PADD 4",IF($M12239="PADD V","PADD 5","")))))</f>
        <v/>
      </c>
      <c r="G12239" s="6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  <c r="N12239" s="6">
        <f>IF(OR($G12239="FCC",$G12239="Hydrocracker",$G12239="Reformer"),IF(COUNTIFS($D:$D,$D12239,$A:$A,$A12239,$B:$B,$B12239,$G:$G,"CDU",$J:$J,"PLANNED")&gt;0,"tied","standalone"),"")</f>
        <v/>
      </c>
    </row>
    <row r="12240" spans="6:14">
      <c r="F12240" s="6">
        <f>IF($M12240="PADD I","PADD 1",IF($M12240="PADD II","PADD 2",IF($M12240="PADD III","PADD 3",IF($M12240="PADD IV","PADD 4",IF($M12240="PADD V","PADD 5","")))))</f>
        <v/>
      </c>
      <c r="G12240" s="6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  <c r="N12240" s="6">
        <f>IF(OR($G12240="FCC",$G12240="Hydrocracker",$G12240="Reformer"),IF(COUNTIFS($D:$D,$D12240,$A:$A,$A12240,$B:$B,$B12240,$G:$G,"CDU",$J:$J,"PLANNED")&gt;0,"tied","standalone"),"")</f>
        <v/>
      </c>
    </row>
    <row r="12241" spans="6:14">
      <c r="F12241" s="6">
        <f>IF($M12241="PADD I","PADD 1",IF($M12241="PADD II","PADD 2",IF($M12241="PADD III","PADD 3",IF($M12241="PADD IV","PADD 4",IF($M12241="PADD V","PADD 5","")))))</f>
        <v/>
      </c>
      <c r="G12241" s="6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  <c r="N12241" s="6">
        <f>IF(OR($G12241="FCC",$G12241="Hydrocracker",$G12241="Reformer"),IF(COUNTIFS($D:$D,$D12241,$A:$A,$A12241,$B:$B,$B12241,$G:$G,"CDU",$J:$J,"PLANNED")&gt;0,"tied","standalone"),"")</f>
        <v/>
      </c>
    </row>
    <row r="12242" spans="6:14">
      <c r="F12242" s="6">
        <f>IF($M12242="PADD I","PADD 1",IF($M12242="PADD II","PADD 2",IF($M12242="PADD III","PADD 3",IF($M12242="PADD IV","PADD 4",IF($M12242="PADD V","PADD 5","")))))</f>
        <v/>
      </c>
      <c r="G12242" s="6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  <c r="N12242" s="6">
        <f>IF(OR($G12242="FCC",$G12242="Hydrocracker",$G12242="Reformer"),IF(COUNTIFS($D:$D,$D12242,$A:$A,$A12242,$B:$B,$B12242,$G:$G,"CDU",$J:$J,"PLANNED")&gt;0,"tied","standalone"),"")</f>
        <v/>
      </c>
    </row>
    <row r="12243" spans="6:14">
      <c r="F12243" s="6">
        <f>IF($M12243="PADD I","PADD 1",IF($M12243="PADD II","PADD 2",IF($M12243="PADD III","PADD 3",IF($M12243="PADD IV","PADD 4",IF($M12243="PADD V","PADD 5","")))))</f>
        <v/>
      </c>
      <c r="G12243" s="6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  <c r="N12243" s="6">
        <f>IF(OR($G12243="FCC",$G12243="Hydrocracker",$G12243="Reformer"),IF(COUNTIFS($D:$D,$D12243,$A:$A,$A12243,$B:$B,$B12243,$G:$G,"CDU",$J:$J,"PLANNED")&gt;0,"tied","standalone"),"")</f>
        <v/>
      </c>
    </row>
    <row r="12244" spans="6:14">
      <c r="F12244" s="6">
        <f>IF($M12244="PADD I","PADD 1",IF($M12244="PADD II","PADD 2",IF($M12244="PADD III","PADD 3",IF($M12244="PADD IV","PADD 4",IF($M12244="PADD V","PADD 5","")))))</f>
        <v/>
      </c>
      <c r="G12244" s="6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  <c r="N12244" s="6">
        <f>IF(OR($G12244="FCC",$G12244="Hydrocracker",$G12244="Reformer"),IF(COUNTIFS($D:$D,$D12244,$A:$A,$A12244,$B:$B,$B12244,$G:$G,"CDU",$J:$J,"PLANNED")&gt;0,"tied","standalone"),"")</f>
        <v/>
      </c>
    </row>
    <row r="12245" spans="6:14">
      <c r="F12245" s="6">
        <f>IF($M12245="PADD I","PADD 1",IF($M12245="PADD II","PADD 2",IF($M12245="PADD III","PADD 3",IF($M12245="PADD IV","PADD 4",IF($M12245="PADD V","PADD 5","")))))</f>
        <v/>
      </c>
      <c r="G12245" s="6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  <c r="N12245" s="6">
        <f>IF(OR($G12245="FCC",$G12245="Hydrocracker",$G12245="Reformer"),IF(COUNTIFS($D:$D,$D12245,$A:$A,$A12245,$B:$B,$B12245,$G:$G,"CDU",$J:$J,"PLANNED")&gt;0,"tied","standalone"),"")</f>
        <v/>
      </c>
    </row>
    <row r="12246" spans="6:14">
      <c r="F12246" s="6">
        <f>IF($M12246="PADD I","PADD 1",IF($M12246="PADD II","PADD 2",IF($M12246="PADD III","PADD 3",IF($M12246="PADD IV","PADD 4",IF($M12246="PADD V","PADD 5","")))))</f>
        <v/>
      </c>
      <c r="G12246" s="6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  <c r="N12246" s="6">
        <f>IF(OR($G12246="FCC",$G12246="Hydrocracker",$G12246="Reformer"),IF(COUNTIFS($D:$D,$D12246,$A:$A,$A12246,$B:$B,$B12246,$G:$G,"CDU",$J:$J,"PLANNED")&gt;0,"tied","standalone"),"")</f>
        <v/>
      </c>
    </row>
    <row r="12247" spans="6:14">
      <c r="F12247" s="6">
        <f>IF($M12247="PADD I","PADD 1",IF($M12247="PADD II","PADD 2",IF($M12247="PADD III","PADD 3",IF($M12247="PADD IV","PADD 4",IF($M12247="PADD V","PADD 5","")))))</f>
        <v/>
      </c>
      <c r="G12247" s="6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  <c r="N12247" s="6">
        <f>IF(OR($G12247="FCC",$G12247="Hydrocracker",$G12247="Reformer"),IF(COUNTIFS($D:$D,$D12247,$A:$A,$A12247,$B:$B,$B12247,$G:$G,"CDU",$J:$J,"PLANNED")&gt;0,"tied","standalone"),"")</f>
        <v/>
      </c>
    </row>
    <row r="12248" spans="6:14">
      <c r="F12248" s="6">
        <f>IF($M12248="PADD I","PADD 1",IF($M12248="PADD II","PADD 2",IF($M12248="PADD III","PADD 3",IF($M12248="PADD IV","PADD 4",IF($M12248="PADD V","PADD 5","")))))</f>
        <v/>
      </c>
      <c r="G12248" s="6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  <c r="N12248" s="6">
        <f>IF(OR($G12248="FCC",$G12248="Hydrocracker",$G12248="Reformer"),IF(COUNTIFS($D:$D,$D12248,$A:$A,$A12248,$B:$B,$B12248,$G:$G,"CDU",$J:$J,"PLANNED")&gt;0,"tied","standalone"),"")</f>
        <v/>
      </c>
    </row>
    <row r="12249" spans="6:14">
      <c r="F12249" s="6">
        <f>IF($M12249="PADD I","PADD 1",IF($M12249="PADD II","PADD 2",IF($M12249="PADD III","PADD 3",IF($M12249="PADD IV","PADD 4",IF($M12249="PADD V","PADD 5","")))))</f>
        <v/>
      </c>
      <c r="G12249" s="6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  <c r="N12249" s="6">
        <f>IF(OR($G12249="FCC",$G12249="Hydrocracker",$G12249="Reformer"),IF(COUNTIFS($D:$D,$D12249,$A:$A,$A12249,$B:$B,$B12249,$G:$G,"CDU",$J:$J,"PLANNED")&gt;0,"tied","standalone"),"")</f>
        <v/>
      </c>
    </row>
    <row r="12250" spans="6:14">
      <c r="F12250" s="6">
        <f>IF($M12250="PADD I","PADD 1",IF($M12250="PADD II","PADD 2",IF($M12250="PADD III","PADD 3",IF($M12250="PADD IV","PADD 4",IF($M12250="PADD V","PADD 5","")))))</f>
        <v/>
      </c>
      <c r="G12250" s="6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  <c r="N12250" s="6">
        <f>IF(OR($G12250="FCC",$G12250="Hydrocracker",$G12250="Reformer"),IF(COUNTIFS($D:$D,$D12250,$A:$A,$A12250,$B:$B,$B12250,$G:$G,"CDU",$J:$J,"PLANNED")&gt;0,"tied","standalone"),"")</f>
        <v/>
      </c>
    </row>
    <row r="12251" spans="6:14">
      <c r="F12251" s="6">
        <f>IF($M12251="PADD I","PADD 1",IF($M12251="PADD II","PADD 2",IF($M12251="PADD III","PADD 3",IF($M12251="PADD IV","PADD 4",IF($M12251="PADD V","PADD 5","")))))</f>
        <v/>
      </c>
      <c r="G12251" s="6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  <c r="N12251" s="6">
        <f>IF(OR($G12251="FCC",$G12251="Hydrocracker",$G12251="Reformer"),IF(COUNTIFS($D:$D,$D12251,$A:$A,$A12251,$B:$B,$B12251,$G:$G,"CDU",$J:$J,"PLANNED")&gt;0,"tied","standalone"),"")</f>
        <v/>
      </c>
    </row>
    <row r="12252" spans="6:14">
      <c r="F12252" s="6">
        <f>IF($M12252="PADD I","PADD 1",IF($M12252="PADD II","PADD 2",IF($M12252="PADD III","PADD 3",IF($M12252="PADD IV","PADD 4",IF($M12252="PADD V","PADD 5","")))))</f>
        <v/>
      </c>
      <c r="G12252" s="6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  <c r="N12252" s="6">
        <f>IF(OR($G12252="FCC",$G12252="Hydrocracker",$G12252="Reformer"),IF(COUNTIFS($D:$D,$D12252,$A:$A,$A12252,$B:$B,$B12252,$G:$G,"CDU",$J:$J,"PLANNED")&gt;0,"tied","standalone"),"")</f>
        <v/>
      </c>
    </row>
    <row r="12253" spans="6:14">
      <c r="F12253" s="6">
        <f>IF($M12253="PADD I","PADD 1",IF($M12253="PADD II","PADD 2",IF($M12253="PADD III","PADD 3",IF($M12253="PADD IV","PADD 4",IF($M12253="PADD V","PADD 5","")))))</f>
        <v/>
      </c>
      <c r="G12253" s="6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  <c r="N12253" s="6">
        <f>IF(OR($G12253="FCC",$G12253="Hydrocracker",$G12253="Reformer"),IF(COUNTIFS($D:$D,$D12253,$A:$A,$A12253,$B:$B,$B12253,$G:$G,"CDU",$J:$J,"PLANNED")&gt;0,"tied","standalone"),"")</f>
        <v/>
      </c>
    </row>
    <row r="12254" spans="6:14">
      <c r="F12254" s="6">
        <f>IF($M12254="PADD I","PADD 1",IF($M12254="PADD II","PADD 2",IF($M12254="PADD III","PADD 3",IF($M12254="PADD IV","PADD 4",IF($M12254="PADD V","PADD 5","")))))</f>
        <v/>
      </c>
      <c r="G12254" s="6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  <c r="N12254" s="6">
        <f>IF(OR($G12254="FCC",$G12254="Hydrocracker",$G12254="Reformer"),IF(COUNTIFS($D:$D,$D12254,$A:$A,$A12254,$B:$B,$B12254,$G:$G,"CDU",$J:$J,"PLANNED")&gt;0,"tied","standalone"),"")</f>
        <v/>
      </c>
    </row>
    <row r="12255" spans="6:14">
      <c r="F12255" s="6">
        <f>IF($M12255="PADD I","PADD 1",IF($M12255="PADD II","PADD 2",IF($M12255="PADD III","PADD 3",IF($M12255="PADD IV","PADD 4",IF($M12255="PADD V","PADD 5","")))))</f>
        <v/>
      </c>
      <c r="G12255" s="6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  <c r="N12255" s="6">
        <f>IF(OR($G12255="FCC",$G12255="Hydrocracker",$G12255="Reformer"),IF(COUNTIFS($D:$D,$D12255,$A:$A,$A12255,$B:$B,$B12255,$G:$G,"CDU",$J:$J,"PLANNED")&gt;0,"tied","standalone"),"")</f>
        <v/>
      </c>
    </row>
    <row r="12256" spans="6:14">
      <c r="F12256" s="6">
        <f>IF($M12256="PADD I","PADD 1",IF($M12256="PADD II","PADD 2",IF($M12256="PADD III","PADD 3",IF($M12256="PADD IV","PADD 4",IF($M12256="PADD V","PADD 5","")))))</f>
        <v/>
      </c>
      <c r="G12256" s="6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  <c r="N12256" s="6">
        <f>IF(OR($G12256="FCC",$G12256="Hydrocracker",$G12256="Reformer"),IF(COUNTIFS($D:$D,$D12256,$A:$A,$A12256,$B:$B,$B12256,$G:$G,"CDU",$J:$J,"PLANNED")&gt;0,"tied","standalone"),"")</f>
        <v/>
      </c>
    </row>
    <row r="12257" spans="6:14">
      <c r="F12257" s="6">
        <f>IF($M12257="PADD I","PADD 1",IF($M12257="PADD II","PADD 2",IF($M12257="PADD III","PADD 3",IF($M12257="PADD IV","PADD 4",IF($M12257="PADD V","PADD 5","")))))</f>
        <v/>
      </c>
      <c r="G12257" s="6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  <c r="N12257" s="6">
        <f>IF(OR($G12257="FCC",$G12257="Hydrocracker",$G12257="Reformer"),IF(COUNTIFS($D:$D,$D12257,$A:$A,$A12257,$B:$B,$B12257,$G:$G,"CDU",$J:$J,"PLANNED")&gt;0,"tied","standalone"),"")</f>
        <v/>
      </c>
    </row>
    <row r="12258" spans="6:14">
      <c r="F12258" s="6">
        <f>IF($M12258="PADD I","PADD 1",IF($M12258="PADD II","PADD 2",IF($M12258="PADD III","PADD 3",IF($M12258="PADD IV","PADD 4",IF($M12258="PADD V","PADD 5","")))))</f>
        <v/>
      </c>
      <c r="G12258" s="6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  <c r="N12258" s="6">
        <f>IF(OR($G12258="FCC",$G12258="Hydrocracker",$G12258="Reformer"),IF(COUNTIFS($D:$D,$D12258,$A:$A,$A12258,$B:$B,$B12258,$G:$G,"CDU",$J:$J,"PLANNED")&gt;0,"tied","standalone"),"")</f>
        <v/>
      </c>
    </row>
    <row r="12259" spans="6:14">
      <c r="F12259" s="6">
        <f>IF($M12259="PADD I","PADD 1",IF($M12259="PADD II","PADD 2",IF($M12259="PADD III","PADD 3",IF($M12259="PADD IV","PADD 4",IF($M12259="PADD V","PADD 5","")))))</f>
        <v/>
      </c>
      <c r="G12259" s="6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  <c r="N12259" s="6">
        <f>IF(OR($G12259="FCC",$G12259="Hydrocracker",$G12259="Reformer"),IF(COUNTIFS($D:$D,$D12259,$A:$A,$A12259,$B:$B,$B12259,$G:$G,"CDU",$J:$J,"PLANNED")&gt;0,"tied","standalone"),"")</f>
        <v/>
      </c>
    </row>
    <row r="12260" spans="6:14">
      <c r="F12260" s="6">
        <f>IF($M12260="PADD I","PADD 1",IF($M12260="PADD II","PADD 2",IF($M12260="PADD III","PADD 3",IF($M12260="PADD IV","PADD 4",IF($M12260="PADD V","PADD 5","")))))</f>
        <v/>
      </c>
      <c r="G12260" s="6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  <c r="N12260" s="6">
        <f>IF(OR($G12260="FCC",$G12260="Hydrocracker",$G12260="Reformer"),IF(COUNTIFS($D:$D,$D12260,$A:$A,$A12260,$B:$B,$B12260,$G:$G,"CDU",$J:$J,"PLANNED")&gt;0,"tied","standalone"),"")</f>
        <v/>
      </c>
    </row>
    <row r="12261" spans="6:14">
      <c r="F12261" s="6">
        <f>IF($M12261="PADD I","PADD 1",IF($M12261="PADD II","PADD 2",IF($M12261="PADD III","PADD 3",IF($M12261="PADD IV","PADD 4",IF($M12261="PADD V","PADD 5","")))))</f>
        <v/>
      </c>
      <c r="G12261" s="6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  <c r="N12261" s="6">
        <f>IF(OR($G12261="FCC",$G12261="Hydrocracker",$G12261="Reformer"),IF(COUNTIFS($D:$D,$D12261,$A:$A,$A12261,$B:$B,$B12261,$G:$G,"CDU",$J:$J,"PLANNED")&gt;0,"tied","standalone"),"")</f>
        <v/>
      </c>
    </row>
    <row r="12262" spans="6:14">
      <c r="F12262" s="6">
        <f>IF($M12262="PADD I","PADD 1",IF($M12262="PADD II","PADD 2",IF($M12262="PADD III","PADD 3",IF($M12262="PADD IV","PADD 4",IF($M12262="PADD V","PADD 5","")))))</f>
        <v/>
      </c>
      <c r="G12262" s="6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  <c r="N12262" s="6">
        <f>IF(OR($G12262="FCC",$G12262="Hydrocracker",$G12262="Reformer"),IF(COUNTIFS($D:$D,$D12262,$A:$A,$A12262,$B:$B,$B12262,$G:$G,"CDU",$J:$J,"PLANNED")&gt;0,"tied","standalone"),"")</f>
        <v/>
      </c>
    </row>
    <row r="12263" spans="6:14">
      <c r="F12263" s="6">
        <f>IF($M12263="PADD I","PADD 1",IF($M12263="PADD II","PADD 2",IF($M12263="PADD III","PADD 3",IF($M12263="PADD IV","PADD 4",IF($M12263="PADD V","PADD 5","")))))</f>
        <v/>
      </c>
      <c r="G12263" s="6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  <c r="N12263" s="6">
        <f>IF(OR($G12263="FCC",$G12263="Hydrocracker",$G12263="Reformer"),IF(COUNTIFS($D:$D,$D12263,$A:$A,$A12263,$B:$B,$B12263,$G:$G,"CDU",$J:$J,"PLANNED")&gt;0,"tied","standalone"),"")</f>
        <v/>
      </c>
    </row>
    <row r="12264" spans="6:14">
      <c r="F12264" s="6">
        <f>IF($M12264="PADD I","PADD 1",IF($M12264="PADD II","PADD 2",IF($M12264="PADD III","PADD 3",IF($M12264="PADD IV","PADD 4",IF($M12264="PADD V","PADD 5","")))))</f>
        <v/>
      </c>
      <c r="G12264" s="6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  <c r="N12264" s="6">
        <f>IF(OR($G12264="FCC",$G12264="Hydrocracker",$G12264="Reformer"),IF(COUNTIFS($D:$D,$D12264,$A:$A,$A12264,$B:$B,$B12264,$G:$G,"CDU",$J:$J,"PLANNED")&gt;0,"tied","standalone"),"")</f>
        <v/>
      </c>
    </row>
    <row r="12265" spans="6:14">
      <c r="F12265" s="6">
        <f>IF($M12265="PADD I","PADD 1",IF($M12265="PADD II","PADD 2",IF($M12265="PADD III","PADD 3",IF($M12265="PADD IV","PADD 4",IF($M12265="PADD V","PADD 5","")))))</f>
        <v/>
      </c>
      <c r="G12265" s="6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  <c r="N12265" s="6">
        <f>IF(OR($G12265="FCC",$G12265="Hydrocracker",$G12265="Reformer"),IF(COUNTIFS($D:$D,$D12265,$A:$A,$A12265,$B:$B,$B12265,$G:$G,"CDU",$J:$J,"PLANNED")&gt;0,"tied","standalone"),"")</f>
        <v/>
      </c>
    </row>
    <row r="12266" spans="6:14">
      <c r="F12266" s="6">
        <f>IF($M12266="PADD I","PADD 1",IF($M12266="PADD II","PADD 2",IF($M12266="PADD III","PADD 3",IF($M12266="PADD IV","PADD 4",IF($M12266="PADD V","PADD 5","")))))</f>
        <v/>
      </c>
      <c r="G12266" s="6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  <c r="N12266" s="6">
        <f>IF(OR($G12266="FCC",$G12266="Hydrocracker",$G12266="Reformer"),IF(COUNTIFS($D:$D,$D12266,$A:$A,$A12266,$B:$B,$B12266,$G:$G,"CDU",$J:$J,"PLANNED")&gt;0,"tied","standalone"),"")</f>
        <v/>
      </c>
    </row>
    <row r="12267" spans="6:14">
      <c r="F12267" s="6">
        <f>IF($M12267="PADD I","PADD 1",IF($M12267="PADD II","PADD 2",IF($M12267="PADD III","PADD 3",IF($M12267="PADD IV","PADD 4",IF($M12267="PADD V","PADD 5","")))))</f>
        <v/>
      </c>
      <c r="G12267" s="6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  <c r="N12267" s="6">
        <f>IF(OR($G12267="FCC",$G12267="Hydrocracker",$G12267="Reformer"),IF(COUNTIFS($D:$D,$D12267,$A:$A,$A12267,$B:$B,$B12267,$G:$G,"CDU",$J:$J,"PLANNED")&gt;0,"tied","standalone"),"")</f>
        <v/>
      </c>
    </row>
    <row r="12268" spans="6:14">
      <c r="F12268" s="6">
        <f>IF($M12268="PADD I","PADD 1",IF($M12268="PADD II","PADD 2",IF($M12268="PADD III","PADD 3",IF($M12268="PADD IV","PADD 4",IF($M12268="PADD V","PADD 5","")))))</f>
        <v/>
      </c>
      <c r="G12268" s="6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  <c r="N12268" s="6">
        <f>IF(OR($G12268="FCC",$G12268="Hydrocracker",$G12268="Reformer"),IF(COUNTIFS($D:$D,$D12268,$A:$A,$A12268,$B:$B,$B12268,$G:$G,"CDU",$J:$J,"PLANNED")&gt;0,"tied","standalone"),"")</f>
        <v/>
      </c>
    </row>
    <row r="12269" spans="6:14">
      <c r="F12269" s="6">
        <f>IF($M12269="PADD I","PADD 1",IF($M12269="PADD II","PADD 2",IF($M12269="PADD III","PADD 3",IF($M12269="PADD IV","PADD 4",IF($M12269="PADD V","PADD 5","")))))</f>
        <v/>
      </c>
      <c r="G12269" s="6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  <c r="N12269" s="6">
        <f>IF(OR($G12269="FCC",$G12269="Hydrocracker",$G12269="Reformer"),IF(COUNTIFS($D:$D,$D12269,$A:$A,$A12269,$B:$B,$B12269,$G:$G,"CDU",$J:$J,"PLANNED")&gt;0,"tied","standalone"),"")</f>
        <v/>
      </c>
    </row>
    <row r="12270" spans="6:14">
      <c r="F12270" s="6">
        <f>IF($M12270="PADD I","PADD 1",IF($M12270="PADD II","PADD 2",IF($M12270="PADD III","PADD 3",IF($M12270="PADD IV","PADD 4",IF($M12270="PADD V","PADD 5","")))))</f>
        <v/>
      </c>
      <c r="G12270" s="6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  <c r="N12270" s="6">
        <f>IF(OR($G12270="FCC",$G12270="Hydrocracker",$G12270="Reformer"),IF(COUNTIFS($D:$D,$D12270,$A:$A,$A12270,$B:$B,$B12270,$G:$G,"CDU",$J:$J,"PLANNED")&gt;0,"tied","standalone"),"")</f>
        <v/>
      </c>
    </row>
    <row r="12271" spans="6:14">
      <c r="F12271" s="6">
        <f>IF($M12271="PADD I","PADD 1",IF($M12271="PADD II","PADD 2",IF($M12271="PADD III","PADD 3",IF($M12271="PADD IV","PADD 4",IF($M12271="PADD V","PADD 5","")))))</f>
        <v/>
      </c>
      <c r="G12271" s="6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  <c r="N12271" s="6">
        <f>IF(OR($G12271="FCC",$G12271="Hydrocracker",$G12271="Reformer"),IF(COUNTIFS($D:$D,$D12271,$A:$A,$A12271,$B:$B,$B12271,$G:$G,"CDU",$J:$J,"PLANNED")&gt;0,"tied","standalone"),"")</f>
        <v/>
      </c>
    </row>
    <row r="12272" spans="6:14">
      <c r="F12272" s="6">
        <f>IF($M12272="PADD I","PADD 1",IF($M12272="PADD II","PADD 2",IF($M12272="PADD III","PADD 3",IF($M12272="PADD IV","PADD 4",IF($M12272="PADD V","PADD 5","")))))</f>
        <v/>
      </c>
      <c r="G12272" s="6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  <c r="N12272" s="6">
        <f>IF(OR($G12272="FCC",$G12272="Hydrocracker",$G12272="Reformer"),IF(COUNTIFS($D:$D,$D12272,$A:$A,$A12272,$B:$B,$B12272,$G:$G,"CDU",$J:$J,"PLANNED")&gt;0,"tied","standalone"),"")</f>
        <v/>
      </c>
    </row>
    <row r="12273" spans="6:14">
      <c r="F12273" s="6">
        <f>IF($M12273="PADD I","PADD 1",IF($M12273="PADD II","PADD 2",IF($M12273="PADD III","PADD 3",IF($M12273="PADD IV","PADD 4",IF($M12273="PADD V","PADD 5","")))))</f>
        <v/>
      </c>
      <c r="G12273" s="6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  <c r="N12273" s="6">
        <f>IF(OR($G12273="FCC",$G12273="Hydrocracker",$G12273="Reformer"),IF(COUNTIFS($D:$D,$D12273,$A:$A,$A12273,$B:$B,$B12273,$G:$G,"CDU",$J:$J,"PLANNED")&gt;0,"tied","standalone"),"")</f>
        <v/>
      </c>
    </row>
    <row r="12274" spans="6:14">
      <c r="F12274" s="6">
        <f>IF($M12274="PADD I","PADD 1",IF($M12274="PADD II","PADD 2",IF($M12274="PADD III","PADD 3",IF($M12274="PADD IV","PADD 4",IF($M12274="PADD V","PADD 5","")))))</f>
        <v/>
      </c>
      <c r="G12274" s="6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  <c r="N12274" s="6">
        <f>IF(OR($G12274="FCC",$G12274="Hydrocracker",$G12274="Reformer"),IF(COUNTIFS($D:$D,$D12274,$A:$A,$A12274,$B:$B,$B12274,$G:$G,"CDU",$J:$J,"PLANNED")&gt;0,"tied","standalone"),"")</f>
        <v/>
      </c>
    </row>
    <row r="12275" spans="6:14">
      <c r="F12275" s="6">
        <f>IF($M12275="PADD I","PADD 1",IF($M12275="PADD II","PADD 2",IF($M12275="PADD III","PADD 3",IF($M12275="PADD IV","PADD 4",IF($M12275="PADD V","PADD 5","")))))</f>
        <v/>
      </c>
      <c r="G12275" s="6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  <c r="N12275" s="6">
        <f>IF(OR($G12275="FCC",$G12275="Hydrocracker",$G12275="Reformer"),IF(COUNTIFS($D:$D,$D12275,$A:$A,$A12275,$B:$B,$B12275,$G:$G,"CDU",$J:$J,"PLANNED")&gt;0,"tied","standalone"),"")</f>
        <v/>
      </c>
    </row>
    <row r="12276" spans="6:14">
      <c r="F12276" s="6">
        <f>IF($M12276="PADD I","PADD 1",IF($M12276="PADD II","PADD 2",IF($M12276="PADD III","PADD 3",IF($M12276="PADD IV","PADD 4",IF($M12276="PADD V","PADD 5","")))))</f>
        <v/>
      </c>
      <c r="G12276" s="6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  <c r="N12276" s="6">
        <f>IF(OR($G12276="FCC",$G12276="Hydrocracker",$G12276="Reformer"),IF(COUNTIFS($D:$D,$D12276,$A:$A,$A12276,$B:$B,$B12276,$G:$G,"CDU",$J:$J,"PLANNED")&gt;0,"tied","standalone"),"")</f>
        <v/>
      </c>
    </row>
    <row r="12277" spans="6:14">
      <c r="F12277" s="6">
        <f>IF($M12277="PADD I","PADD 1",IF($M12277="PADD II","PADD 2",IF($M12277="PADD III","PADD 3",IF($M12277="PADD IV","PADD 4",IF($M12277="PADD V","PADD 5","")))))</f>
        <v/>
      </c>
      <c r="G12277" s="6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  <c r="N12277" s="6">
        <f>IF(OR($G12277="FCC",$G12277="Hydrocracker",$G12277="Reformer"),IF(COUNTIFS($D:$D,$D12277,$A:$A,$A12277,$B:$B,$B12277,$G:$G,"CDU",$J:$J,"PLANNED")&gt;0,"tied","standalone"),"")</f>
        <v/>
      </c>
    </row>
    <row r="12278" spans="6:14">
      <c r="F12278" s="6">
        <f>IF($M12278="PADD I","PADD 1",IF($M12278="PADD II","PADD 2",IF($M12278="PADD III","PADD 3",IF($M12278="PADD IV","PADD 4",IF($M12278="PADD V","PADD 5","")))))</f>
        <v/>
      </c>
      <c r="G12278" s="6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  <c r="N12278" s="6">
        <f>IF(OR($G12278="FCC",$G12278="Hydrocracker",$G12278="Reformer"),IF(COUNTIFS($D:$D,$D12278,$A:$A,$A12278,$B:$B,$B12278,$G:$G,"CDU",$J:$J,"PLANNED")&gt;0,"tied","standalone"),"")</f>
        <v/>
      </c>
    </row>
    <row r="12279" spans="6:14">
      <c r="F12279" s="6">
        <f>IF($M12279="PADD I","PADD 1",IF($M12279="PADD II","PADD 2",IF($M12279="PADD III","PADD 3",IF($M12279="PADD IV","PADD 4",IF($M12279="PADD V","PADD 5","")))))</f>
        <v/>
      </c>
      <c r="G12279" s="6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  <c r="N12279" s="6">
        <f>IF(OR($G12279="FCC",$G12279="Hydrocracker",$G12279="Reformer"),IF(COUNTIFS($D:$D,$D12279,$A:$A,$A12279,$B:$B,$B12279,$G:$G,"CDU",$J:$J,"PLANNED")&gt;0,"tied","standalone"),"")</f>
        <v/>
      </c>
    </row>
    <row r="12280" spans="6:14">
      <c r="F12280" s="6">
        <f>IF($M12280="PADD I","PADD 1",IF($M12280="PADD II","PADD 2",IF($M12280="PADD III","PADD 3",IF($M12280="PADD IV","PADD 4",IF($M12280="PADD V","PADD 5","")))))</f>
        <v/>
      </c>
      <c r="G12280" s="6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  <c r="N12280" s="6">
        <f>IF(OR($G12280="FCC",$G12280="Hydrocracker",$G12280="Reformer"),IF(COUNTIFS($D:$D,$D12280,$A:$A,$A12280,$B:$B,$B12280,$G:$G,"CDU",$J:$J,"PLANNED")&gt;0,"tied","standalone"),"")</f>
        <v/>
      </c>
    </row>
    <row r="12281" spans="6:14">
      <c r="F12281" s="6">
        <f>IF($M12281="PADD I","PADD 1",IF($M12281="PADD II","PADD 2",IF($M12281="PADD III","PADD 3",IF($M12281="PADD IV","PADD 4",IF($M12281="PADD V","PADD 5","")))))</f>
        <v/>
      </c>
      <c r="G12281" s="6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  <c r="N12281" s="6">
        <f>IF(OR($G12281="FCC",$G12281="Hydrocracker",$G12281="Reformer"),IF(COUNTIFS($D:$D,$D12281,$A:$A,$A12281,$B:$B,$B12281,$G:$G,"CDU",$J:$J,"PLANNED")&gt;0,"tied","standalone"),"")</f>
        <v/>
      </c>
    </row>
    <row r="12282" spans="6:14">
      <c r="F12282" s="6">
        <f>IF($M12282="PADD I","PADD 1",IF($M12282="PADD II","PADD 2",IF($M12282="PADD III","PADD 3",IF($M12282="PADD IV","PADD 4",IF($M12282="PADD V","PADD 5","")))))</f>
        <v/>
      </c>
      <c r="G12282" s="6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  <c r="N12282" s="6">
        <f>IF(OR($G12282="FCC",$G12282="Hydrocracker",$G12282="Reformer"),IF(COUNTIFS($D:$D,$D12282,$A:$A,$A12282,$B:$B,$B12282,$G:$G,"CDU",$J:$J,"PLANNED")&gt;0,"tied","standalone"),"")</f>
        <v/>
      </c>
    </row>
    <row r="12283" spans="6:14">
      <c r="F12283" s="6">
        <f>IF($M12283="PADD I","PADD 1",IF($M12283="PADD II","PADD 2",IF($M12283="PADD III","PADD 3",IF($M12283="PADD IV","PADD 4",IF($M12283="PADD V","PADD 5","")))))</f>
        <v/>
      </c>
      <c r="G12283" s="6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  <c r="N12283" s="6">
        <f>IF(OR($G12283="FCC",$G12283="Hydrocracker",$G12283="Reformer"),IF(COUNTIFS($D:$D,$D12283,$A:$A,$A12283,$B:$B,$B12283,$G:$G,"CDU",$J:$J,"PLANNED")&gt;0,"tied","standalone"),"")</f>
        <v/>
      </c>
    </row>
    <row r="12284" spans="6:14">
      <c r="F12284" s="6">
        <f>IF($M12284="PADD I","PADD 1",IF($M12284="PADD II","PADD 2",IF($M12284="PADD III","PADD 3",IF($M12284="PADD IV","PADD 4",IF($M12284="PADD V","PADD 5","")))))</f>
        <v/>
      </c>
      <c r="G12284" s="6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  <c r="N12284" s="6">
        <f>IF(OR($G12284="FCC",$G12284="Hydrocracker",$G12284="Reformer"),IF(COUNTIFS($D:$D,$D12284,$A:$A,$A12284,$B:$B,$B12284,$G:$G,"CDU",$J:$J,"PLANNED")&gt;0,"tied","standalone"),"")</f>
        <v/>
      </c>
    </row>
    <row r="12285" spans="6:14">
      <c r="F12285" s="6">
        <f>IF($M12285="PADD I","PADD 1",IF($M12285="PADD II","PADD 2",IF($M12285="PADD III","PADD 3",IF($M12285="PADD IV","PADD 4",IF($M12285="PADD V","PADD 5","")))))</f>
        <v/>
      </c>
      <c r="G12285" s="6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  <c r="N12285" s="6">
        <f>IF(OR($G12285="FCC",$G12285="Hydrocracker",$G12285="Reformer"),IF(COUNTIFS($D:$D,$D12285,$A:$A,$A12285,$B:$B,$B12285,$G:$G,"CDU",$J:$J,"PLANNED")&gt;0,"tied","standalone"),"")</f>
        <v/>
      </c>
    </row>
    <row r="12286" spans="6:14">
      <c r="F12286" s="6">
        <f>IF($M12286="PADD I","PADD 1",IF($M12286="PADD II","PADD 2",IF($M12286="PADD III","PADD 3",IF($M12286="PADD IV","PADD 4",IF($M12286="PADD V","PADD 5","")))))</f>
        <v/>
      </c>
      <c r="G12286" s="6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  <c r="N12286" s="6">
        <f>IF(OR($G12286="FCC",$G12286="Hydrocracker",$G12286="Reformer"),IF(COUNTIFS($D:$D,$D12286,$A:$A,$A12286,$B:$B,$B12286,$G:$G,"CDU",$J:$J,"PLANNED")&gt;0,"tied","standalone"),"")</f>
        <v/>
      </c>
    </row>
    <row r="12287" spans="6:14">
      <c r="F12287" s="6">
        <f>IF($M12287="PADD I","PADD 1",IF($M12287="PADD II","PADD 2",IF($M12287="PADD III","PADD 3",IF($M12287="PADD IV","PADD 4",IF($M12287="PADD V","PADD 5","")))))</f>
        <v/>
      </c>
      <c r="G12287" s="6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  <c r="N12287" s="6">
        <f>IF(OR($G12287="FCC",$G12287="Hydrocracker",$G12287="Reformer"),IF(COUNTIFS($D:$D,$D12287,$A:$A,$A12287,$B:$B,$B12287,$G:$G,"CDU",$J:$J,"PLANNED")&gt;0,"tied","standalone"),"")</f>
        <v/>
      </c>
    </row>
    <row r="12288" spans="6:14">
      <c r="F12288" s="6">
        <f>IF($M12288="PADD I","PADD 1",IF($M12288="PADD II","PADD 2",IF($M12288="PADD III","PADD 3",IF($M12288="PADD IV","PADD 4",IF($M12288="PADD V","PADD 5","")))))</f>
        <v/>
      </c>
      <c r="G12288" s="6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  <c r="N12288" s="6">
        <f>IF(OR($G12288="FCC",$G12288="Hydrocracker",$G12288="Reformer"),IF(COUNTIFS($D:$D,$D12288,$A:$A,$A12288,$B:$B,$B12288,$G:$G,"CDU",$J:$J,"PLANNED")&gt;0,"tied","standalone"),"")</f>
        <v/>
      </c>
    </row>
    <row r="12289" spans="6:14">
      <c r="F12289" s="6">
        <f>IF($M12289="PADD I","PADD 1",IF($M12289="PADD II","PADD 2",IF($M12289="PADD III","PADD 3",IF($M12289="PADD IV","PADD 4",IF($M12289="PADD V","PADD 5","")))))</f>
        <v/>
      </c>
      <c r="G12289" s="6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  <c r="N12289" s="6">
        <f>IF(OR($G12289="FCC",$G12289="Hydrocracker",$G12289="Reformer"),IF(COUNTIFS($D:$D,$D12289,$A:$A,$A12289,$B:$B,$B12289,$G:$G,"CDU",$J:$J,"PLANNED")&gt;0,"tied","standalone"),"")</f>
        <v/>
      </c>
    </row>
    <row r="12290" spans="6:14">
      <c r="F12290" s="6">
        <f>IF($M12290="PADD I","PADD 1",IF($M12290="PADD II","PADD 2",IF($M12290="PADD III","PADD 3",IF($M12290="PADD IV","PADD 4",IF($M12290="PADD V","PADD 5","")))))</f>
        <v/>
      </c>
      <c r="G12290" s="6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  <c r="N12290" s="6">
        <f>IF(OR($G12290="FCC",$G12290="Hydrocracker",$G12290="Reformer"),IF(COUNTIFS($D:$D,$D12290,$A:$A,$A12290,$B:$B,$B12290,$G:$G,"CDU",$J:$J,"PLANNED")&gt;0,"tied","standalone"),"")</f>
        <v/>
      </c>
    </row>
    <row r="12291" spans="6:14">
      <c r="F12291" s="6">
        <f>IF($M12291="PADD I","PADD 1",IF($M12291="PADD II","PADD 2",IF($M12291="PADD III","PADD 3",IF($M12291="PADD IV","PADD 4",IF($M12291="PADD V","PADD 5","")))))</f>
        <v/>
      </c>
      <c r="G12291" s="6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  <c r="N12291" s="6">
        <f>IF(OR($G12291="FCC",$G12291="Hydrocracker",$G12291="Reformer"),IF(COUNTIFS($D:$D,$D12291,$A:$A,$A12291,$B:$B,$B12291,$G:$G,"CDU",$J:$J,"PLANNED")&gt;0,"tied","standalone"),"")</f>
        <v/>
      </c>
    </row>
    <row r="12292" spans="6:14">
      <c r="F12292" s="6">
        <f>IF($M12292="PADD I","PADD 1",IF($M12292="PADD II","PADD 2",IF($M12292="PADD III","PADD 3",IF($M12292="PADD IV","PADD 4",IF($M12292="PADD V","PADD 5","")))))</f>
        <v/>
      </c>
      <c r="G12292" s="6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  <c r="N12292" s="6">
        <f>IF(OR($G12292="FCC",$G12292="Hydrocracker",$G12292="Reformer"),IF(COUNTIFS($D:$D,$D12292,$A:$A,$A12292,$B:$B,$B12292,$G:$G,"CDU",$J:$J,"PLANNED")&gt;0,"tied","standalone"),"")</f>
        <v/>
      </c>
    </row>
    <row r="12293" spans="6:14">
      <c r="F12293" s="6">
        <f>IF($M12293="PADD I","PADD 1",IF($M12293="PADD II","PADD 2",IF($M12293="PADD III","PADD 3",IF($M12293="PADD IV","PADD 4",IF($M12293="PADD V","PADD 5","")))))</f>
        <v/>
      </c>
      <c r="G12293" s="6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  <c r="N12293" s="6">
        <f>IF(OR($G12293="FCC",$G12293="Hydrocracker",$G12293="Reformer"),IF(COUNTIFS($D:$D,$D12293,$A:$A,$A12293,$B:$B,$B12293,$G:$G,"CDU",$J:$J,"PLANNED")&gt;0,"tied","standalone"),"")</f>
        <v/>
      </c>
    </row>
    <row r="12294" spans="6:14">
      <c r="F12294" s="6">
        <f>IF($M12294="PADD I","PADD 1",IF($M12294="PADD II","PADD 2",IF($M12294="PADD III","PADD 3",IF($M12294="PADD IV","PADD 4",IF($M12294="PADD V","PADD 5","")))))</f>
        <v/>
      </c>
      <c r="G12294" s="6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  <c r="N12294" s="6">
        <f>IF(OR($G12294="FCC",$G12294="Hydrocracker",$G12294="Reformer"),IF(COUNTIFS($D:$D,$D12294,$A:$A,$A12294,$B:$B,$B12294,$G:$G,"CDU",$J:$J,"PLANNED")&gt;0,"tied","standalone"),"")</f>
        <v/>
      </c>
    </row>
    <row r="12295" spans="6:14">
      <c r="F12295" s="6">
        <f>IF($M12295="PADD I","PADD 1",IF($M12295="PADD II","PADD 2",IF($M12295="PADD III","PADD 3",IF($M12295="PADD IV","PADD 4",IF($M12295="PADD V","PADD 5","")))))</f>
        <v/>
      </c>
      <c r="G12295" s="6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  <c r="N12295" s="6">
        <f>IF(OR($G12295="FCC",$G12295="Hydrocracker",$G12295="Reformer"),IF(COUNTIFS($D:$D,$D12295,$A:$A,$A12295,$B:$B,$B12295,$G:$G,"CDU",$J:$J,"PLANNED")&gt;0,"tied","standalone"),"")</f>
        <v/>
      </c>
    </row>
    <row r="12296" spans="6:14">
      <c r="F12296" s="6">
        <f>IF($M12296="PADD I","PADD 1",IF($M12296="PADD II","PADD 2",IF($M12296="PADD III","PADD 3",IF($M12296="PADD IV","PADD 4",IF($M12296="PADD V","PADD 5","")))))</f>
        <v/>
      </c>
      <c r="G12296" s="6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  <c r="N12296" s="6">
        <f>IF(OR($G12296="FCC",$G12296="Hydrocracker",$G12296="Reformer"),IF(COUNTIFS($D:$D,$D12296,$A:$A,$A12296,$B:$B,$B12296,$G:$G,"CDU",$J:$J,"PLANNED")&gt;0,"tied","standalone"),"")</f>
        <v/>
      </c>
    </row>
    <row r="12297" spans="6:14">
      <c r="F12297" s="6">
        <f>IF($M12297="PADD I","PADD 1",IF($M12297="PADD II","PADD 2",IF($M12297="PADD III","PADD 3",IF($M12297="PADD IV","PADD 4",IF($M12297="PADD V","PADD 5","")))))</f>
        <v/>
      </c>
      <c r="G12297" s="6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  <c r="N12297" s="6">
        <f>IF(OR($G12297="FCC",$G12297="Hydrocracker",$G12297="Reformer"),IF(COUNTIFS($D:$D,$D12297,$A:$A,$A12297,$B:$B,$B12297,$G:$G,"CDU",$J:$J,"PLANNED")&gt;0,"tied","standalone"),"")</f>
        <v/>
      </c>
    </row>
    <row r="12298" spans="6:14">
      <c r="F12298" s="6">
        <f>IF($M12298="PADD I","PADD 1",IF($M12298="PADD II","PADD 2",IF($M12298="PADD III","PADD 3",IF($M12298="PADD IV","PADD 4",IF($M12298="PADD V","PADD 5","")))))</f>
        <v/>
      </c>
      <c r="G12298" s="6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  <c r="N12298" s="6">
        <f>IF(OR($G12298="FCC",$G12298="Hydrocracker",$G12298="Reformer"),IF(COUNTIFS($D:$D,$D12298,$A:$A,$A12298,$B:$B,$B12298,$G:$G,"CDU",$J:$J,"PLANNED")&gt;0,"tied","standalone"),"")</f>
        <v/>
      </c>
    </row>
    <row r="12299" spans="6:14">
      <c r="F12299" s="6">
        <f>IF($M12299="PADD I","PADD 1",IF($M12299="PADD II","PADD 2",IF($M12299="PADD III","PADD 3",IF($M12299="PADD IV","PADD 4",IF($M12299="PADD V","PADD 5","")))))</f>
        <v/>
      </c>
      <c r="G12299" s="6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  <c r="N12299" s="6">
        <f>IF(OR($G12299="FCC",$G12299="Hydrocracker",$G12299="Reformer"),IF(COUNTIFS($D:$D,$D12299,$A:$A,$A12299,$B:$B,$B12299,$G:$G,"CDU",$J:$J,"PLANNED")&gt;0,"tied","standalone"),"")</f>
        <v/>
      </c>
    </row>
    <row r="12300" spans="6:14">
      <c r="F12300" s="6">
        <f>IF($M12300="PADD I","PADD 1",IF($M12300="PADD II","PADD 2",IF($M12300="PADD III","PADD 3",IF($M12300="PADD IV","PADD 4",IF($M12300="PADD V","PADD 5","")))))</f>
        <v/>
      </c>
      <c r="G12300" s="6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  <c r="N12300" s="6">
        <f>IF(OR($G12300="FCC",$G12300="Hydrocracker",$G12300="Reformer"),IF(COUNTIFS($D:$D,$D12300,$A:$A,$A12300,$B:$B,$B12300,$G:$G,"CDU",$J:$J,"PLANNED")&gt;0,"tied","standalone"),"")</f>
        <v/>
      </c>
    </row>
    <row r="12301" spans="6:14">
      <c r="F12301" s="6">
        <f>IF($M12301="PADD I","PADD 1",IF($M12301="PADD II","PADD 2",IF($M12301="PADD III","PADD 3",IF($M12301="PADD IV","PADD 4",IF($M12301="PADD V","PADD 5","")))))</f>
        <v/>
      </c>
      <c r="G12301" s="6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  <c r="N12301" s="6">
        <f>IF(OR($G12301="FCC",$G12301="Hydrocracker",$G12301="Reformer"),IF(COUNTIFS($D:$D,$D12301,$A:$A,$A12301,$B:$B,$B12301,$G:$G,"CDU",$J:$J,"PLANNED")&gt;0,"tied","standalone"),"")</f>
        <v/>
      </c>
    </row>
    <row r="12302" spans="6:14">
      <c r="F12302" s="6">
        <f>IF($M12302="PADD I","PADD 1",IF($M12302="PADD II","PADD 2",IF($M12302="PADD III","PADD 3",IF($M12302="PADD IV","PADD 4",IF($M12302="PADD V","PADD 5","")))))</f>
        <v/>
      </c>
      <c r="G12302" s="6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  <c r="N12302" s="6">
        <f>IF(OR($G12302="FCC",$G12302="Hydrocracker",$G12302="Reformer"),IF(COUNTIFS($D:$D,$D12302,$A:$A,$A12302,$B:$B,$B12302,$G:$G,"CDU",$J:$J,"PLANNED")&gt;0,"tied","standalone"),"")</f>
        <v/>
      </c>
    </row>
    <row r="12303" spans="6:14">
      <c r="F12303" s="6">
        <f>IF($M12303="PADD I","PADD 1",IF($M12303="PADD II","PADD 2",IF($M12303="PADD III","PADD 3",IF($M12303="PADD IV","PADD 4",IF($M12303="PADD V","PADD 5","")))))</f>
        <v/>
      </c>
      <c r="G12303" s="6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  <c r="N12303" s="6">
        <f>IF(OR($G12303="FCC",$G12303="Hydrocracker",$G12303="Reformer"),IF(COUNTIFS($D:$D,$D12303,$A:$A,$A12303,$B:$B,$B12303,$G:$G,"CDU",$J:$J,"PLANNED")&gt;0,"tied","standalone"),"")</f>
        <v/>
      </c>
    </row>
    <row r="12304" spans="6:14">
      <c r="F12304" s="6">
        <f>IF($M12304="PADD I","PADD 1",IF($M12304="PADD II","PADD 2",IF($M12304="PADD III","PADD 3",IF($M12304="PADD IV","PADD 4",IF($M12304="PADD V","PADD 5","")))))</f>
        <v/>
      </c>
      <c r="G12304" s="6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  <c r="N12304" s="6">
        <f>IF(OR($G12304="FCC",$G12304="Hydrocracker",$G12304="Reformer"),IF(COUNTIFS($D:$D,$D12304,$A:$A,$A12304,$B:$B,$B12304,$G:$G,"CDU",$J:$J,"PLANNED")&gt;0,"tied","standalone"),"")</f>
        <v/>
      </c>
    </row>
    <row r="12305" spans="6:14">
      <c r="F12305" s="6">
        <f>IF($M12305="PADD I","PADD 1",IF($M12305="PADD II","PADD 2",IF($M12305="PADD III","PADD 3",IF($M12305="PADD IV","PADD 4",IF($M12305="PADD V","PADD 5","")))))</f>
        <v/>
      </c>
      <c r="G12305" s="6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  <c r="N12305" s="6">
        <f>IF(OR($G12305="FCC",$G12305="Hydrocracker",$G12305="Reformer"),IF(COUNTIFS($D:$D,$D12305,$A:$A,$A12305,$B:$B,$B12305,$G:$G,"CDU",$J:$J,"PLANNED")&gt;0,"tied","standalone"),"")</f>
        <v/>
      </c>
    </row>
    <row r="12306" spans="6:14">
      <c r="F12306" s="6">
        <f>IF($M12306="PADD I","PADD 1",IF($M12306="PADD II","PADD 2",IF($M12306="PADD III","PADD 3",IF($M12306="PADD IV","PADD 4",IF($M12306="PADD V","PADD 5","")))))</f>
        <v/>
      </c>
      <c r="G12306" s="6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  <c r="N12306" s="6">
        <f>IF(OR($G12306="FCC",$G12306="Hydrocracker",$G12306="Reformer"),IF(COUNTIFS($D:$D,$D12306,$A:$A,$A12306,$B:$B,$B12306,$G:$G,"CDU",$J:$J,"PLANNED")&gt;0,"tied","standalone"),"")</f>
        <v/>
      </c>
    </row>
    <row r="12307" spans="6:14">
      <c r="F12307" s="6">
        <f>IF($M12307="PADD I","PADD 1",IF($M12307="PADD II","PADD 2",IF($M12307="PADD III","PADD 3",IF($M12307="PADD IV","PADD 4",IF($M12307="PADD V","PADD 5","")))))</f>
        <v/>
      </c>
      <c r="G12307" s="6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  <c r="N12307" s="6">
        <f>IF(OR($G12307="FCC",$G12307="Hydrocracker",$G12307="Reformer"),IF(COUNTIFS($D:$D,$D12307,$A:$A,$A12307,$B:$B,$B12307,$G:$G,"CDU",$J:$J,"PLANNED")&gt;0,"tied","standalone"),"")</f>
        <v/>
      </c>
    </row>
    <row r="12308" spans="6:14">
      <c r="F12308" s="6">
        <f>IF($M12308="PADD I","PADD 1",IF($M12308="PADD II","PADD 2",IF($M12308="PADD III","PADD 3",IF($M12308="PADD IV","PADD 4",IF($M12308="PADD V","PADD 5","")))))</f>
        <v/>
      </c>
      <c r="G12308" s="6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  <c r="N12308" s="6">
        <f>IF(OR($G12308="FCC",$G12308="Hydrocracker",$G12308="Reformer"),IF(COUNTIFS($D:$D,$D12308,$A:$A,$A12308,$B:$B,$B12308,$G:$G,"CDU",$J:$J,"PLANNED")&gt;0,"tied","standalone"),"")</f>
        <v/>
      </c>
    </row>
    <row r="12309" spans="6:14">
      <c r="F12309" s="6">
        <f>IF($M12309="PADD I","PADD 1",IF($M12309="PADD II","PADD 2",IF($M12309="PADD III","PADD 3",IF($M12309="PADD IV","PADD 4",IF($M12309="PADD V","PADD 5","")))))</f>
        <v/>
      </c>
      <c r="G12309" s="6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  <c r="N12309" s="6">
        <f>IF(OR($G12309="FCC",$G12309="Hydrocracker",$G12309="Reformer"),IF(COUNTIFS($D:$D,$D12309,$A:$A,$A12309,$B:$B,$B12309,$G:$G,"CDU",$J:$J,"PLANNED")&gt;0,"tied","standalone"),"")</f>
        <v/>
      </c>
    </row>
    <row r="12310" spans="6:14">
      <c r="F12310" s="6">
        <f>IF($M12310="PADD I","PADD 1",IF($M12310="PADD II","PADD 2",IF($M12310="PADD III","PADD 3",IF($M12310="PADD IV","PADD 4",IF($M12310="PADD V","PADD 5","")))))</f>
        <v/>
      </c>
      <c r="G12310" s="6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  <c r="N12310" s="6">
        <f>IF(OR($G12310="FCC",$G12310="Hydrocracker",$G12310="Reformer"),IF(COUNTIFS($D:$D,$D12310,$A:$A,$A12310,$B:$B,$B12310,$G:$G,"CDU",$J:$J,"PLANNED")&gt;0,"tied","standalone"),"")</f>
        <v/>
      </c>
    </row>
    <row r="12311" spans="6:14">
      <c r="F12311" s="6">
        <f>IF($M12311="PADD I","PADD 1",IF($M12311="PADD II","PADD 2",IF($M12311="PADD III","PADD 3",IF($M12311="PADD IV","PADD 4",IF($M12311="PADD V","PADD 5","")))))</f>
        <v/>
      </c>
      <c r="G12311" s="6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  <c r="N12311" s="6">
        <f>IF(OR($G12311="FCC",$G12311="Hydrocracker",$G12311="Reformer"),IF(COUNTIFS($D:$D,$D12311,$A:$A,$A12311,$B:$B,$B12311,$G:$G,"CDU",$J:$J,"PLANNED")&gt;0,"tied","standalone"),"")</f>
        <v/>
      </c>
    </row>
    <row r="12312" spans="6:14">
      <c r="F12312" s="6">
        <f>IF($M12312="PADD I","PADD 1",IF($M12312="PADD II","PADD 2",IF($M12312="PADD III","PADD 3",IF($M12312="PADD IV","PADD 4",IF($M12312="PADD V","PADD 5","")))))</f>
        <v/>
      </c>
      <c r="G12312" s="6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  <c r="N12312" s="6">
        <f>IF(OR($G12312="FCC",$G12312="Hydrocracker",$G12312="Reformer"),IF(COUNTIFS($D:$D,$D12312,$A:$A,$A12312,$B:$B,$B12312,$G:$G,"CDU",$J:$J,"PLANNED")&gt;0,"tied","standalone"),"")</f>
        <v/>
      </c>
    </row>
    <row r="12313" spans="6:14">
      <c r="F12313" s="6">
        <f>IF($M12313="PADD I","PADD 1",IF($M12313="PADD II","PADD 2",IF($M12313="PADD III","PADD 3",IF($M12313="PADD IV","PADD 4",IF($M12313="PADD V","PADD 5","")))))</f>
        <v/>
      </c>
      <c r="G12313" s="6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  <c r="N12313" s="6">
        <f>IF(OR($G12313="FCC",$G12313="Hydrocracker",$G12313="Reformer"),IF(COUNTIFS($D:$D,$D12313,$A:$A,$A12313,$B:$B,$B12313,$G:$G,"CDU",$J:$J,"PLANNED")&gt;0,"tied","standalone"),"")</f>
        <v/>
      </c>
    </row>
    <row r="12314" spans="6:14">
      <c r="F12314" s="6">
        <f>IF($M12314="PADD I","PADD 1",IF($M12314="PADD II","PADD 2",IF($M12314="PADD III","PADD 3",IF($M12314="PADD IV","PADD 4",IF($M12314="PADD V","PADD 5","")))))</f>
        <v/>
      </c>
      <c r="G12314" s="6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  <c r="N12314" s="6">
        <f>IF(OR($G12314="FCC",$G12314="Hydrocracker",$G12314="Reformer"),IF(COUNTIFS($D:$D,$D12314,$A:$A,$A12314,$B:$B,$B12314,$G:$G,"CDU",$J:$J,"PLANNED")&gt;0,"tied","standalone"),"")</f>
        <v/>
      </c>
    </row>
    <row r="12315" spans="6:14">
      <c r="F12315" s="6">
        <f>IF($M12315="PADD I","PADD 1",IF($M12315="PADD II","PADD 2",IF($M12315="PADD III","PADD 3",IF($M12315="PADD IV","PADD 4",IF($M12315="PADD V","PADD 5","")))))</f>
        <v/>
      </c>
      <c r="G12315" s="6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  <c r="N12315" s="6">
        <f>IF(OR($G12315="FCC",$G12315="Hydrocracker",$G12315="Reformer"),IF(COUNTIFS($D:$D,$D12315,$A:$A,$A12315,$B:$B,$B12315,$G:$G,"CDU",$J:$J,"PLANNED")&gt;0,"tied","standalone"),"")</f>
        <v/>
      </c>
    </row>
    <row r="12316" spans="6:14">
      <c r="F12316" s="6">
        <f>IF($M12316="PADD I","PADD 1",IF($M12316="PADD II","PADD 2",IF($M12316="PADD III","PADD 3",IF($M12316="PADD IV","PADD 4",IF($M12316="PADD V","PADD 5","")))))</f>
        <v/>
      </c>
      <c r="G12316" s="6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  <c r="N12316" s="6">
        <f>IF(OR($G12316="FCC",$G12316="Hydrocracker",$G12316="Reformer"),IF(COUNTIFS($D:$D,$D12316,$A:$A,$A12316,$B:$B,$B12316,$G:$G,"CDU",$J:$J,"PLANNED")&gt;0,"tied","standalone"),"")</f>
        <v/>
      </c>
    </row>
    <row r="12317" spans="6:14">
      <c r="F12317" s="6">
        <f>IF($M12317="PADD I","PADD 1",IF($M12317="PADD II","PADD 2",IF($M12317="PADD III","PADD 3",IF($M12317="PADD IV","PADD 4",IF($M12317="PADD V","PADD 5","")))))</f>
        <v/>
      </c>
      <c r="G12317" s="6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  <c r="N12317" s="6">
        <f>IF(OR($G12317="FCC",$G12317="Hydrocracker",$G12317="Reformer"),IF(COUNTIFS($D:$D,$D12317,$A:$A,$A12317,$B:$B,$B12317,$G:$G,"CDU",$J:$J,"PLANNED")&gt;0,"tied","standalone"),"")</f>
        <v/>
      </c>
    </row>
    <row r="12318" spans="6:14">
      <c r="F12318" s="6">
        <f>IF($M12318="PADD I","PADD 1",IF($M12318="PADD II","PADD 2",IF($M12318="PADD III","PADD 3",IF($M12318="PADD IV","PADD 4",IF($M12318="PADD V","PADD 5","")))))</f>
        <v/>
      </c>
      <c r="G12318" s="6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  <c r="N12318" s="6">
        <f>IF(OR($G12318="FCC",$G12318="Hydrocracker",$G12318="Reformer"),IF(COUNTIFS($D:$D,$D12318,$A:$A,$A12318,$B:$B,$B12318,$G:$G,"CDU",$J:$J,"PLANNED")&gt;0,"tied","standalone"),"")</f>
        <v/>
      </c>
    </row>
    <row r="12319" spans="6:14">
      <c r="F12319" s="6">
        <f>IF($M12319="PADD I","PADD 1",IF($M12319="PADD II","PADD 2",IF($M12319="PADD III","PADD 3",IF($M12319="PADD IV","PADD 4",IF($M12319="PADD V","PADD 5","")))))</f>
        <v/>
      </c>
      <c r="G12319" s="6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  <c r="N12319" s="6">
        <f>IF(OR($G12319="FCC",$G12319="Hydrocracker",$G12319="Reformer"),IF(COUNTIFS($D:$D,$D12319,$A:$A,$A12319,$B:$B,$B12319,$G:$G,"CDU",$J:$J,"PLANNED")&gt;0,"tied","standalone"),"")</f>
        <v/>
      </c>
    </row>
    <row r="12320" spans="6:14">
      <c r="F12320" s="6">
        <f>IF($M12320="PADD I","PADD 1",IF($M12320="PADD II","PADD 2",IF($M12320="PADD III","PADD 3",IF($M12320="PADD IV","PADD 4",IF($M12320="PADD V","PADD 5","")))))</f>
        <v/>
      </c>
      <c r="G12320" s="6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  <c r="N12320" s="6">
        <f>IF(OR($G12320="FCC",$G12320="Hydrocracker",$G12320="Reformer"),IF(COUNTIFS($D:$D,$D12320,$A:$A,$A12320,$B:$B,$B12320,$G:$G,"CDU",$J:$J,"PLANNED")&gt;0,"tied","standalone"),"")</f>
        <v/>
      </c>
    </row>
    <row r="12321" spans="6:14">
      <c r="F12321" s="6">
        <f>IF($M12321="PADD I","PADD 1",IF($M12321="PADD II","PADD 2",IF($M12321="PADD III","PADD 3",IF($M12321="PADD IV","PADD 4",IF($M12321="PADD V","PADD 5","")))))</f>
        <v/>
      </c>
      <c r="G12321" s="6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  <c r="N12321" s="6">
        <f>IF(OR($G12321="FCC",$G12321="Hydrocracker",$G12321="Reformer"),IF(COUNTIFS($D:$D,$D12321,$A:$A,$A12321,$B:$B,$B12321,$G:$G,"CDU",$J:$J,"PLANNED")&gt;0,"tied","standalone"),"")</f>
        <v/>
      </c>
    </row>
    <row r="12322" spans="6:14">
      <c r="F12322" s="6">
        <f>IF($M12322="PADD I","PADD 1",IF($M12322="PADD II","PADD 2",IF($M12322="PADD III","PADD 3",IF($M12322="PADD IV","PADD 4",IF($M12322="PADD V","PADD 5","")))))</f>
        <v/>
      </c>
      <c r="G12322" s="6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  <c r="N12322" s="6">
        <f>IF(OR($G12322="FCC",$G12322="Hydrocracker",$G12322="Reformer"),IF(COUNTIFS($D:$D,$D12322,$A:$A,$A12322,$B:$B,$B12322,$G:$G,"CDU",$J:$J,"PLANNED")&gt;0,"tied","standalone"),"")</f>
        <v/>
      </c>
    </row>
    <row r="12323" spans="6:14">
      <c r="F12323" s="6">
        <f>IF($M12323="PADD I","PADD 1",IF($M12323="PADD II","PADD 2",IF($M12323="PADD III","PADD 3",IF($M12323="PADD IV","PADD 4",IF($M12323="PADD V","PADD 5","")))))</f>
        <v/>
      </c>
      <c r="G12323" s="6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  <c r="N12323" s="6">
        <f>IF(OR($G12323="FCC",$G12323="Hydrocracker",$G12323="Reformer"),IF(COUNTIFS($D:$D,$D12323,$A:$A,$A12323,$B:$B,$B12323,$G:$G,"CDU",$J:$J,"PLANNED")&gt;0,"tied","standalone"),"")</f>
        <v/>
      </c>
    </row>
    <row r="12324" spans="6:14">
      <c r="F12324" s="6">
        <f>IF($M12324="PADD I","PADD 1",IF($M12324="PADD II","PADD 2",IF($M12324="PADD III","PADD 3",IF($M12324="PADD IV","PADD 4",IF($M12324="PADD V","PADD 5","")))))</f>
        <v/>
      </c>
      <c r="G12324" s="6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  <c r="N12324" s="6">
        <f>IF(OR($G12324="FCC",$G12324="Hydrocracker",$G12324="Reformer"),IF(COUNTIFS($D:$D,$D12324,$A:$A,$A12324,$B:$B,$B12324,$G:$G,"CDU",$J:$J,"PLANNED")&gt;0,"tied","standalone"),"")</f>
        <v/>
      </c>
    </row>
    <row r="12325" spans="6:14">
      <c r="F12325" s="6">
        <f>IF($M12325="PADD I","PADD 1",IF($M12325="PADD II","PADD 2",IF($M12325="PADD III","PADD 3",IF($M12325="PADD IV","PADD 4",IF($M12325="PADD V","PADD 5","")))))</f>
        <v/>
      </c>
      <c r="G12325" s="6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  <c r="N12325" s="6">
        <f>IF(OR($G12325="FCC",$G12325="Hydrocracker",$G12325="Reformer"),IF(COUNTIFS($D:$D,$D12325,$A:$A,$A12325,$B:$B,$B12325,$G:$G,"CDU",$J:$J,"PLANNED")&gt;0,"tied","standalone"),"")</f>
        <v/>
      </c>
    </row>
    <row r="12326" spans="6:14">
      <c r="F12326" s="6">
        <f>IF($M12326="PADD I","PADD 1",IF($M12326="PADD II","PADD 2",IF($M12326="PADD III","PADD 3",IF($M12326="PADD IV","PADD 4",IF($M12326="PADD V","PADD 5","")))))</f>
        <v/>
      </c>
      <c r="G12326" s="6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  <c r="N12326" s="6">
        <f>IF(OR($G12326="FCC",$G12326="Hydrocracker",$G12326="Reformer"),IF(COUNTIFS($D:$D,$D12326,$A:$A,$A12326,$B:$B,$B12326,$G:$G,"CDU",$J:$J,"PLANNED")&gt;0,"tied","standalone"),"")</f>
        <v/>
      </c>
    </row>
    <row r="12327" spans="6:14">
      <c r="F12327" s="6">
        <f>IF($M12327="PADD I","PADD 1",IF($M12327="PADD II","PADD 2",IF($M12327="PADD III","PADD 3",IF($M12327="PADD IV","PADD 4",IF($M12327="PADD V","PADD 5","")))))</f>
        <v/>
      </c>
      <c r="G12327" s="6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  <c r="N12327" s="6">
        <f>IF(OR($G12327="FCC",$G12327="Hydrocracker",$G12327="Reformer"),IF(COUNTIFS($D:$D,$D12327,$A:$A,$A12327,$B:$B,$B12327,$G:$G,"CDU",$J:$J,"PLANNED")&gt;0,"tied","standalone"),"")</f>
        <v/>
      </c>
    </row>
    <row r="12328" spans="6:14">
      <c r="F12328" s="6">
        <f>IF($M12328="PADD I","PADD 1",IF($M12328="PADD II","PADD 2",IF($M12328="PADD III","PADD 3",IF($M12328="PADD IV","PADD 4",IF($M12328="PADD V","PADD 5","")))))</f>
        <v/>
      </c>
      <c r="G12328" s="6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  <c r="N12328" s="6">
        <f>IF(OR($G12328="FCC",$G12328="Hydrocracker",$G12328="Reformer"),IF(COUNTIFS($D:$D,$D12328,$A:$A,$A12328,$B:$B,$B12328,$G:$G,"CDU",$J:$J,"PLANNED")&gt;0,"tied","standalone"),"")</f>
        <v/>
      </c>
    </row>
    <row r="12329" spans="6:14">
      <c r="F12329" s="6">
        <f>IF($M12329="PADD I","PADD 1",IF($M12329="PADD II","PADD 2",IF($M12329="PADD III","PADD 3",IF($M12329="PADD IV","PADD 4",IF($M12329="PADD V","PADD 5","")))))</f>
        <v/>
      </c>
      <c r="G12329" s="6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  <c r="N12329" s="6">
        <f>IF(OR($G12329="FCC",$G12329="Hydrocracker",$G12329="Reformer"),IF(COUNTIFS($D:$D,$D12329,$A:$A,$A12329,$B:$B,$B12329,$G:$G,"CDU",$J:$J,"PLANNED")&gt;0,"tied","standalone"),"")</f>
        <v/>
      </c>
    </row>
    <row r="12330" spans="6:14">
      <c r="F12330" s="6">
        <f>IF($M12330="PADD I","PADD 1",IF($M12330="PADD II","PADD 2",IF($M12330="PADD III","PADD 3",IF($M12330="PADD IV","PADD 4",IF($M12330="PADD V","PADD 5","")))))</f>
        <v/>
      </c>
      <c r="G12330" s="6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  <c r="N12330" s="6">
        <f>IF(OR($G12330="FCC",$G12330="Hydrocracker",$G12330="Reformer"),IF(COUNTIFS($D:$D,$D12330,$A:$A,$A12330,$B:$B,$B12330,$G:$G,"CDU",$J:$J,"PLANNED")&gt;0,"tied","standalone"),"")</f>
        <v/>
      </c>
    </row>
    <row r="12331" spans="6:14">
      <c r="F12331" s="6">
        <f>IF($M12331="PADD I","PADD 1",IF($M12331="PADD II","PADD 2",IF($M12331="PADD III","PADD 3",IF($M12331="PADD IV","PADD 4",IF($M12331="PADD V","PADD 5","")))))</f>
        <v/>
      </c>
      <c r="G12331" s="6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  <c r="N12331" s="6">
        <f>IF(OR($G12331="FCC",$G12331="Hydrocracker",$G12331="Reformer"),IF(COUNTIFS($D:$D,$D12331,$A:$A,$A12331,$B:$B,$B12331,$G:$G,"CDU",$J:$J,"PLANNED")&gt;0,"tied","standalone"),"")</f>
        <v/>
      </c>
    </row>
    <row r="12332" spans="6:14">
      <c r="F12332" s="6">
        <f>IF($M12332="PADD I","PADD 1",IF($M12332="PADD II","PADD 2",IF($M12332="PADD III","PADD 3",IF($M12332="PADD IV","PADD 4",IF($M12332="PADD V","PADD 5","")))))</f>
        <v/>
      </c>
      <c r="G12332" s="6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  <c r="N12332" s="6">
        <f>IF(OR($G12332="FCC",$G12332="Hydrocracker",$G12332="Reformer"),IF(COUNTIFS($D:$D,$D12332,$A:$A,$A12332,$B:$B,$B12332,$G:$G,"CDU",$J:$J,"PLANNED")&gt;0,"tied","standalone"),"")</f>
        <v/>
      </c>
    </row>
    <row r="12333" spans="6:14">
      <c r="F12333" s="6">
        <f>IF($M12333="PADD I","PADD 1",IF($M12333="PADD II","PADD 2",IF($M12333="PADD III","PADD 3",IF($M12333="PADD IV","PADD 4",IF($M12333="PADD V","PADD 5","")))))</f>
        <v/>
      </c>
      <c r="G12333" s="6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  <c r="N12333" s="6">
        <f>IF(OR($G12333="FCC",$G12333="Hydrocracker",$G12333="Reformer"),IF(COUNTIFS($D:$D,$D12333,$A:$A,$A12333,$B:$B,$B12333,$G:$G,"CDU",$J:$J,"PLANNED")&gt;0,"tied","standalone"),"")</f>
        <v/>
      </c>
    </row>
    <row r="12334" spans="6:14">
      <c r="F12334" s="6">
        <f>IF($M12334="PADD I","PADD 1",IF($M12334="PADD II","PADD 2",IF($M12334="PADD III","PADD 3",IF($M12334="PADD IV","PADD 4",IF($M12334="PADD V","PADD 5","")))))</f>
        <v/>
      </c>
      <c r="G12334" s="6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  <c r="N12334" s="6">
        <f>IF(OR($G12334="FCC",$G12334="Hydrocracker",$G12334="Reformer"),IF(COUNTIFS($D:$D,$D12334,$A:$A,$A12334,$B:$B,$B12334,$G:$G,"CDU",$J:$J,"PLANNED")&gt;0,"tied","standalone"),"")</f>
        <v/>
      </c>
    </row>
    <row r="12335" spans="6:14">
      <c r="F12335" s="6">
        <f>IF($M12335="PADD I","PADD 1",IF($M12335="PADD II","PADD 2",IF($M12335="PADD III","PADD 3",IF($M12335="PADD IV","PADD 4",IF($M12335="PADD V","PADD 5","")))))</f>
        <v/>
      </c>
      <c r="G12335" s="6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  <c r="N12335" s="6">
        <f>IF(OR($G12335="FCC",$G12335="Hydrocracker",$G12335="Reformer"),IF(COUNTIFS($D:$D,$D12335,$A:$A,$A12335,$B:$B,$B12335,$G:$G,"CDU",$J:$J,"PLANNED")&gt;0,"tied","standalone"),"")</f>
        <v/>
      </c>
    </row>
    <row r="12336" spans="6:14">
      <c r="F12336" s="6">
        <f>IF($M12336="PADD I","PADD 1",IF($M12336="PADD II","PADD 2",IF($M12336="PADD III","PADD 3",IF($M12336="PADD IV","PADD 4",IF($M12336="PADD V","PADD 5","")))))</f>
        <v/>
      </c>
      <c r="G12336" s="6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  <c r="N12336" s="6">
        <f>IF(OR($G12336="FCC",$G12336="Hydrocracker",$G12336="Reformer"),IF(COUNTIFS($D:$D,$D12336,$A:$A,$A12336,$B:$B,$B12336,$G:$G,"CDU",$J:$J,"PLANNED")&gt;0,"tied","standalone"),"")</f>
        <v/>
      </c>
    </row>
    <row r="12337" spans="6:14">
      <c r="F12337" s="6">
        <f>IF($M12337="PADD I","PADD 1",IF($M12337="PADD II","PADD 2",IF($M12337="PADD III","PADD 3",IF($M12337="PADD IV","PADD 4",IF($M12337="PADD V","PADD 5","")))))</f>
        <v/>
      </c>
      <c r="G12337" s="6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  <c r="N12337" s="6">
        <f>IF(OR($G12337="FCC",$G12337="Hydrocracker",$G12337="Reformer"),IF(COUNTIFS($D:$D,$D12337,$A:$A,$A12337,$B:$B,$B12337,$G:$G,"CDU",$J:$J,"PLANNED")&gt;0,"tied","standalone"),"")</f>
        <v/>
      </c>
    </row>
    <row r="12338" spans="6:14">
      <c r="F12338" s="6">
        <f>IF($M12338="PADD I","PADD 1",IF($M12338="PADD II","PADD 2",IF($M12338="PADD III","PADD 3",IF($M12338="PADD IV","PADD 4",IF($M12338="PADD V","PADD 5","")))))</f>
        <v/>
      </c>
      <c r="G12338" s="6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  <c r="N12338" s="6">
        <f>IF(OR($G12338="FCC",$G12338="Hydrocracker",$G12338="Reformer"),IF(COUNTIFS($D:$D,$D12338,$A:$A,$A12338,$B:$B,$B12338,$G:$G,"CDU",$J:$J,"PLANNED")&gt;0,"tied","standalone"),"")</f>
        <v/>
      </c>
    </row>
    <row r="12339" spans="6:14">
      <c r="F12339" s="6">
        <f>IF($M12339="PADD I","PADD 1",IF($M12339="PADD II","PADD 2",IF($M12339="PADD III","PADD 3",IF($M12339="PADD IV","PADD 4",IF($M12339="PADD V","PADD 5","")))))</f>
        <v/>
      </c>
      <c r="G12339" s="6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  <c r="N12339" s="6">
        <f>IF(OR($G12339="FCC",$G12339="Hydrocracker",$G12339="Reformer"),IF(COUNTIFS($D:$D,$D12339,$A:$A,$A12339,$B:$B,$B12339,$G:$G,"CDU",$J:$J,"PLANNED")&gt;0,"tied","standalone"),"")</f>
        <v/>
      </c>
    </row>
    <row r="12340" spans="6:14">
      <c r="F12340" s="6">
        <f>IF($M12340="PADD I","PADD 1",IF($M12340="PADD II","PADD 2",IF($M12340="PADD III","PADD 3",IF($M12340="PADD IV","PADD 4",IF($M12340="PADD V","PADD 5","")))))</f>
        <v/>
      </c>
      <c r="G12340" s="6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  <c r="N12340" s="6">
        <f>IF(OR($G12340="FCC",$G12340="Hydrocracker",$G12340="Reformer"),IF(COUNTIFS($D:$D,$D12340,$A:$A,$A12340,$B:$B,$B12340,$G:$G,"CDU",$J:$J,"PLANNED")&gt;0,"tied","standalone"),"")</f>
        <v/>
      </c>
    </row>
    <row r="12341" spans="6:14">
      <c r="F12341" s="6">
        <f>IF($M12341="PADD I","PADD 1",IF($M12341="PADD II","PADD 2",IF($M12341="PADD III","PADD 3",IF($M12341="PADD IV","PADD 4",IF($M12341="PADD V","PADD 5","")))))</f>
        <v/>
      </c>
      <c r="G12341" s="6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  <c r="N12341" s="6">
        <f>IF(OR($G12341="FCC",$G12341="Hydrocracker",$G12341="Reformer"),IF(COUNTIFS($D:$D,$D12341,$A:$A,$A12341,$B:$B,$B12341,$G:$G,"CDU",$J:$J,"PLANNED")&gt;0,"tied","standalone"),"")</f>
        <v/>
      </c>
    </row>
    <row r="12342" spans="6:14">
      <c r="F12342" s="6">
        <f>IF($M12342="PADD I","PADD 1",IF($M12342="PADD II","PADD 2",IF($M12342="PADD III","PADD 3",IF($M12342="PADD IV","PADD 4",IF($M12342="PADD V","PADD 5","")))))</f>
        <v/>
      </c>
      <c r="G12342" s="6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  <c r="N12342" s="6">
        <f>IF(OR($G12342="FCC",$G12342="Hydrocracker",$G12342="Reformer"),IF(COUNTIFS($D:$D,$D12342,$A:$A,$A12342,$B:$B,$B12342,$G:$G,"CDU",$J:$J,"PLANNED")&gt;0,"tied","standalone"),"")</f>
        <v/>
      </c>
    </row>
    <row r="12343" spans="6:14">
      <c r="F12343" s="6">
        <f>IF($M12343="PADD I","PADD 1",IF($M12343="PADD II","PADD 2",IF($M12343="PADD III","PADD 3",IF($M12343="PADD IV","PADD 4",IF($M12343="PADD V","PADD 5","")))))</f>
        <v/>
      </c>
      <c r="G12343" s="6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  <c r="N12343" s="6">
        <f>IF(OR($G12343="FCC",$G12343="Hydrocracker",$G12343="Reformer"),IF(COUNTIFS($D:$D,$D12343,$A:$A,$A12343,$B:$B,$B12343,$G:$G,"CDU",$J:$J,"PLANNED")&gt;0,"tied","standalone"),"")</f>
        <v/>
      </c>
    </row>
    <row r="12344" spans="6:14">
      <c r="F12344" s="6">
        <f>IF($M12344="PADD I","PADD 1",IF($M12344="PADD II","PADD 2",IF($M12344="PADD III","PADD 3",IF($M12344="PADD IV","PADD 4",IF($M12344="PADD V","PADD 5","")))))</f>
        <v/>
      </c>
      <c r="G12344" s="6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  <c r="N12344" s="6">
        <f>IF(OR($G12344="FCC",$G12344="Hydrocracker",$G12344="Reformer"),IF(COUNTIFS($D:$D,$D12344,$A:$A,$A12344,$B:$B,$B12344,$G:$G,"CDU",$J:$J,"PLANNED")&gt;0,"tied","standalone"),"")</f>
        <v/>
      </c>
    </row>
    <row r="12345" spans="6:14">
      <c r="F12345" s="6">
        <f>IF($M12345="PADD I","PADD 1",IF($M12345="PADD II","PADD 2",IF($M12345="PADD III","PADD 3",IF($M12345="PADD IV","PADD 4",IF($M12345="PADD V","PADD 5","")))))</f>
        <v/>
      </c>
      <c r="G12345" s="6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  <c r="N12345" s="6">
        <f>IF(OR($G12345="FCC",$G12345="Hydrocracker",$G12345="Reformer"),IF(COUNTIFS($D:$D,$D12345,$A:$A,$A12345,$B:$B,$B12345,$G:$G,"CDU",$J:$J,"PLANNED")&gt;0,"tied","standalone"),"")</f>
        <v/>
      </c>
    </row>
    <row r="12346" spans="6:14">
      <c r="F12346" s="6">
        <f>IF($M12346="PADD I","PADD 1",IF($M12346="PADD II","PADD 2",IF($M12346="PADD III","PADD 3",IF($M12346="PADD IV","PADD 4",IF($M12346="PADD V","PADD 5","")))))</f>
        <v/>
      </c>
      <c r="G12346" s="6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  <c r="N12346" s="6">
        <f>IF(OR($G12346="FCC",$G12346="Hydrocracker",$G12346="Reformer"),IF(COUNTIFS($D:$D,$D12346,$A:$A,$A12346,$B:$B,$B12346,$G:$G,"CDU",$J:$J,"PLANNED")&gt;0,"tied","standalone"),"")</f>
        <v/>
      </c>
    </row>
    <row r="12347" spans="6:14">
      <c r="F12347" s="6">
        <f>IF($M12347="PADD I","PADD 1",IF($M12347="PADD II","PADD 2",IF($M12347="PADD III","PADD 3",IF($M12347="PADD IV","PADD 4",IF($M12347="PADD V","PADD 5","")))))</f>
        <v/>
      </c>
      <c r="G12347" s="6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  <c r="N12347" s="6">
        <f>IF(OR($G12347="FCC",$G12347="Hydrocracker",$G12347="Reformer"),IF(COUNTIFS($D:$D,$D12347,$A:$A,$A12347,$B:$B,$B12347,$G:$G,"CDU",$J:$J,"PLANNED")&gt;0,"tied","standalone"),"")</f>
        <v/>
      </c>
    </row>
    <row r="12348" spans="6:14">
      <c r="F12348" s="6">
        <f>IF($M12348="PADD I","PADD 1",IF($M12348="PADD II","PADD 2",IF($M12348="PADD III","PADD 3",IF($M12348="PADD IV","PADD 4",IF($M12348="PADD V","PADD 5","")))))</f>
        <v/>
      </c>
      <c r="G12348" s="6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  <c r="N12348" s="6">
        <f>IF(OR($G12348="FCC",$G12348="Hydrocracker",$G12348="Reformer"),IF(COUNTIFS($D:$D,$D12348,$A:$A,$A12348,$B:$B,$B12348,$G:$G,"CDU",$J:$J,"PLANNED")&gt;0,"tied","standalone"),"")</f>
        <v/>
      </c>
    </row>
    <row r="12349" spans="6:14">
      <c r="F12349" s="6">
        <f>IF($M12349="PADD I","PADD 1",IF($M12349="PADD II","PADD 2",IF($M12349="PADD III","PADD 3",IF($M12349="PADD IV","PADD 4",IF($M12349="PADD V","PADD 5","")))))</f>
        <v/>
      </c>
      <c r="G12349" s="6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  <c r="N12349" s="6">
        <f>IF(OR($G12349="FCC",$G12349="Hydrocracker",$G12349="Reformer"),IF(COUNTIFS($D:$D,$D12349,$A:$A,$A12349,$B:$B,$B12349,$G:$G,"CDU",$J:$J,"PLANNED")&gt;0,"tied","standalone"),"")</f>
        <v/>
      </c>
    </row>
    <row r="12350" spans="6:14">
      <c r="F12350" s="6">
        <f>IF($M12350="PADD I","PADD 1",IF($M12350="PADD II","PADD 2",IF($M12350="PADD III","PADD 3",IF($M12350="PADD IV","PADD 4",IF($M12350="PADD V","PADD 5","")))))</f>
        <v/>
      </c>
      <c r="G12350" s="6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  <c r="N12350" s="6">
        <f>IF(OR($G12350="FCC",$G12350="Hydrocracker",$G12350="Reformer"),IF(COUNTIFS($D:$D,$D12350,$A:$A,$A12350,$B:$B,$B12350,$G:$G,"CDU",$J:$J,"PLANNED")&gt;0,"tied","standalone"),"")</f>
        <v/>
      </c>
    </row>
    <row r="12351" spans="6:14">
      <c r="F12351" s="6">
        <f>IF($M12351="PADD I","PADD 1",IF($M12351="PADD II","PADD 2",IF($M12351="PADD III","PADD 3",IF($M12351="PADD IV","PADD 4",IF($M12351="PADD V","PADD 5","")))))</f>
        <v/>
      </c>
      <c r="G12351" s="6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  <c r="N12351" s="6">
        <f>IF(OR($G12351="FCC",$G12351="Hydrocracker",$G12351="Reformer"),IF(COUNTIFS($D:$D,$D12351,$A:$A,$A12351,$B:$B,$B12351,$G:$G,"CDU",$J:$J,"PLANNED")&gt;0,"tied","standalone"),"")</f>
        <v/>
      </c>
    </row>
    <row r="12352" spans="6:14">
      <c r="F12352" s="6">
        <f>IF($M12352="PADD I","PADD 1",IF($M12352="PADD II","PADD 2",IF($M12352="PADD III","PADD 3",IF($M12352="PADD IV","PADD 4",IF($M12352="PADD V","PADD 5","")))))</f>
        <v/>
      </c>
      <c r="G12352" s="6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  <c r="N12352" s="6">
        <f>IF(OR($G12352="FCC",$G12352="Hydrocracker",$G12352="Reformer"),IF(COUNTIFS($D:$D,$D12352,$A:$A,$A12352,$B:$B,$B12352,$G:$G,"CDU",$J:$J,"PLANNED")&gt;0,"tied","standalone"),"")</f>
        <v/>
      </c>
    </row>
    <row r="12353" spans="6:14">
      <c r="F12353" s="6">
        <f>IF($M12353="PADD I","PADD 1",IF($M12353="PADD II","PADD 2",IF($M12353="PADD III","PADD 3",IF($M12353="PADD IV","PADD 4",IF($M12353="PADD V","PADD 5","")))))</f>
        <v/>
      </c>
      <c r="G12353" s="6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  <c r="N12353" s="6">
        <f>IF(OR($G12353="FCC",$G12353="Hydrocracker",$G12353="Reformer"),IF(COUNTIFS($D:$D,$D12353,$A:$A,$A12353,$B:$B,$B12353,$G:$G,"CDU",$J:$J,"PLANNED")&gt;0,"tied","standalone"),"")</f>
        <v/>
      </c>
    </row>
    <row r="12354" spans="6:14">
      <c r="F12354" s="6">
        <f>IF($M12354="PADD I","PADD 1",IF($M12354="PADD II","PADD 2",IF($M12354="PADD III","PADD 3",IF($M12354="PADD IV","PADD 4",IF($M12354="PADD V","PADD 5","")))))</f>
        <v/>
      </c>
      <c r="G12354" s="6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  <c r="N12354" s="6">
        <f>IF(OR($G12354="FCC",$G12354="Hydrocracker",$G12354="Reformer"),IF(COUNTIFS($D:$D,$D12354,$A:$A,$A12354,$B:$B,$B12354,$G:$G,"CDU",$J:$J,"PLANNED")&gt;0,"tied","standalone"),"")</f>
        <v/>
      </c>
    </row>
    <row r="12355" spans="6:14">
      <c r="F12355" s="6">
        <f>IF($M12355="PADD I","PADD 1",IF($M12355="PADD II","PADD 2",IF($M12355="PADD III","PADD 3",IF($M12355="PADD IV","PADD 4",IF($M12355="PADD V","PADD 5","")))))</f>
        <v/>
      </c>
      <c r="G12355" s="6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  <c r="N12355" s="6">
        <f>IF(OR($G12355="FCC",$G12355="Hydrocracker",$G12355="Reformer"),IF(COUNTIFS($D:$D,$D12355,$A:$A,$A12355,$B:$B,$B12355,$G:$G,"CDU",$J:$J,"PLANNED")&gt;0,"tied","standalone"),"")</f>
        <v/>
      </c>
    </row>
    <row r="12356" spans="6:14">
      <c r="F12356" s="6">
        <f>IF($M12356="PADD I","PADD 1",IF($M12356="PADD II","PADD 2",IF($M12356="PADD III","PADD 3",IF($M12356="PADD IV","PADD 4",IF($M12356="PADD V","PADD 5","")))))</f>
        <v/>
      </c>
      <c r="G12356" s="6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  <c r="N12356" s="6">
        <f>IF(OR($G12356="FCC",$G12356="Hydrocracker",$G12356="Reformer"),IF(COUNTIFS($D:$D,$D12356,$A:$A,$A12356,$B:$B,$B12356,$G:$G,"CDU",$J:$J,"PLANNED")&gt;0,"tied","standalone"),"")</f>
        <v/>
      </c>
    </row>
    <row r="12357" spans="6:14">
      <c r="F12357" s="6">
        <f>IF($M12357="PADD I","PADD 1",IF($M12357="PADD II","PADD 2",IF($M12357="PADD III","PADD 3",IF($M12357="PADD IV","PADD 4",IF($M12357="PADD V","PADD 5","")))))</f>
        <v/>
      </c>
      <c r="G12357" s="6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  <c r="N12357" s="6">
        <f>IF(OR($G12357="FCC",$G12357="Hydrocracker",$G12357="Reformer"),IF(COUNTIFS($D:$D,$D12357,$A:$A,$A12357,$B:$B,$B12357,$G:$G,"CDU",$J:$J,"PLANNED")&gt;0,"tied","standalone"),"")</f>
        <v/>
      </c>
    </row>
    <row r="12358" spans="6:14">
      <c r="F12358" s="6">
        <f>IF($M12358="PADD I","PADD 1",IF($M12358="PADD II","PADD 2",IF($M12358="PADD III","PADD 3",IF($M12358="PADD IV","PADD 4",IF($M12358="PADD V","PADD 5","")))))</f>
        <v/>
      </c>
      <c r="G12358" s="6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  <c r="N12358" s="6">
        <f>IF(OR($G12358="FCC",$G12358="Hydrocracker",$G12358="Reformer"),IF(COUNTIFS($D:$D,$D12358,$A:$A,$A12358,$B:$B,$B12358,$G:$G,"CDU",$J:$J,"PLANNED")&gt;0,"tied","standalone"),"")</f>
        <v/>
      </c>
    </row>
    <row r="12359" spans="6:14">
      <c r="F12359" s="6">
        <f>IF($M12359="PADD I","PADD 1",IF($M12359="PADD II","PADD 2",IF($M12359="PADD III","PADD 3",IF($M12359="PADD IV","PADD 4",IF($M12359="PADD V","PADD 5","")))))</f>
        <v/>
      </c>
      <c r="G12359" s="6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  <c r="N12359" s="6">
        <f>IF(OR($G12359="FCC",$G12359="Hydrocracker",$G12359="Reformer"),IF(COUNTIFS($D:$D,$D12359,$A:$A,$A12359,$B:$B,$B12359,$G:$G,"CDU",$J:$J,"PLANNED")&gt;0,"tied","standalone"),"")</f>
        <v/>
      </c>
    </row>
    <row r="12360" spans="6:14">
      <c r="F12360" s="6">
        <f>IF($M12360="PADD I","PADD 1",IF($M12360="PADD II","PADD 2",IF($M12360="PADD III","PADD 3",IF($M12360="PADD IV","PADD 4",IF($M12360="PADD V","PADD 5","")))))</f>
        <v/>
      </c>
      <c r="G12360" s="6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  <c r="N12360" s="6">
        <f>IF(OR($G12360="FCC",$G12360="Hydrocracker",$G12360="Reformer"),IF(COUNTIFS($D:$D,$D12360,$A:$A,$A12360,$B:$B,$B12360,$G:$G,"CDU",$J:$J,"PLANNED")&gt;0,"tied","standalone"),"")</f>
        <v/>
      </c>
    </row>
    <row r="12361" spans="6:14">
      <c r="F12361" s="6">
        <f>IF($M12361="PADD I","PADD 1",IF($M12361="PADD II","PADD 2",IF($M12361="PADD III","PADD 3",IF($M12361="PADD IV","PADD 4",IF($M12361="PADD V","PADD 5","")))))</f>
        <v/>
      </c>
      <c r="G12361" s="6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  <c r="N12361" s="6">
        <f>IF(OR($G12361="FCC",$G12361="Hydrocracker",$G12361="Reformer"),IF(COUNTIFS($D:$D,$D12361,$A:$A,$A12361,$B:$B,$B12361,$G:$G,"CDU",$J:$J,"PLANNED")&gt;0,"tied","standalone"),"")</f>
        <v/>
      </c>
    </row>
    <row r="12362" spans="6:14">
      <c r="F12362" s="6">
        <f>IF($M12362="PADD I","PADD 1",IF($M12362="PADD II","PADD 2",IF($M12362="PADD III","PADD 3",IF($M12362="PADD IV","PADD 4",IF($M12362="PADD V","PADD 5","")))))</f>
        <v/>
      </c>
      <c r="G12362" s="6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  <c r="N12362" s="6">
        <f>IF(OR($G12362="FCC",$G12362="Hydrocracker",$G12362="Reformer"),IF(COUNTIFS($D:$D,$D12362,$A:$A,$A12362,$B:$B,$B12362,$G:$G,"CDU",$J:$J,"PLANNED")&gt;0,"tied","standalone"),"")</f>
        <v/>
      </c>
    </row>
    <row r="12363" spans="6:14">
      <c r="F12363" s="6">
        <f>IF($M12363="PADD I","PADD 1",IF($M12363="PADD II","PADD 2",IF($M12363="PADD III","PADD 3",IF($M12363="PADD IV","PADD 4",IF($M12363="PADD V","PADD 5","")))))</f>
        <v/>
      </c>
      <c r="G12363" s="6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  <c r="N12363" s="6">
        <f>IF(OR($G12363="FCC",$G12363="Hydrocracker",$G12363="Reformer"),IF(COUNTIFS($D:$D,$D12363,$A:$A,$A12363,$B:$B,$B12363,$G:$G,"CDU",$J:$J,"PLANNED")&gt;0,"tied","standalone"),"")</f>
        <v/>
      </c>
    </row>
    <row r="12364" spans="6:14">
      <c r="F12364" s="6">
        <f>IF($M12364="PADD I","PADD 1",IF($M12364="PADD II","PADD 2",IF($M12364="PADD III","PADD 3",IF($M12364="PADD IV","PADD 4",IF($M12364="PADD V","PADD 5","")))))</f>
        <v/>
      </c>
      <c r="G12364" s="6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  <c r="N12364" s="6">
        <f>IF(OR($G12364="FCC",$G12364="Hydrocracker",$G12364="Reformer"),IF(COUNTIFS($D:$D,$D12364,$A:$A,$A12364,$B:$B,$B12364,$G:$G,"CDU",$J:$J,"PLANNED")&gt;0,"tied","standalone"),"")</f>
        <v/>
      </c>
    </row>
    <row r="12365" spans="6:14">
      <c r="F12365" s="6">
        <f>IF($M12365="PADD I","PADD 1",IF($M12365="PADD II","PADD 2",IF($M12365="PADD III","PADD 3",IF($M12365="PADD IV","PADD 4",IF($M12365="PADD V","PADD 5","")))))</f>
        <v/>
      </c>
      <c r="G12365" s="6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  <c r="N12365" s="6">
        <f>IF(OR($G12365="FCC",$G12365="Hydrocracker",$G12365="Reformer"),IF(COUNTIFS($D:$D,$D12365,$A:$A,$A12365,$B:$B,$B12365,$G:$G,"CDU",$J:$J,"PLANNED")&gt;0,"tied","standalone"),"")</f>
        <v/>
      </c>
    </row>
    <row r="12366" spans="6:14">
      <c r="F12366" s="6">
        <f>IF($M12366="PADD I","PADD 1",IF($M12366="PADD II","PADD 2",IF($M12366="PADD III","PADD 3",IF($M12366="PADD IV","PADD 4",IF($M12366="PADD V","PADD 5","")))))</f>
        <v/>
      </c>
      <c r="G12366" s="6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  <c r="N12366" s="6">
        <f>IF(OR($G12366="FCC",$G12366="Hydrocracker",$G12366="Reformer"),IF(COUNTIFS($D:$D,$D12366,$A:$A,$A12366,$B:$B,$B12366,$G:$G,"CDU",$J:$J,"PLANNED")&gt;0,"tied","standalone"),"")</f>
        <v/>
      </c>
    </row>
    <row r="12367" spans="6:14">
      <c r="F12367" s="6">
        <f>IF($M12367="PADD I","PADD 1",IF($M12367="PADD II","PADD 2",IF($M12367="PADD III","PADD 3",IF($M12367="PADD IV","PADD 4",IF($M12367="PADD V","PADD 5","")))))</f>
        <v/>
      </c>
      <c r="G12367" s="6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  <c r="N12367" s="6">
        <f>IF(OR($G12367="FCC",$G12367="Hydrocracker",$G12367="Reformer"),IF(COUNTIFS($D:$D,$D12367,$A:$A,$A12367,$B:$B,$B12367,$G:$G,"CDU",$J:$J,"PLANNED")&gt;0,"tied","standalone"),"")</f>
        <v/>
      </c>
    </row>
    <row r="12368" spans="6:14">
      <c r="F12368" s="6">
        <f>IF($M12368="PADD I","PADD 1",IF($M12368="PADD II","PADD 2",IF($M12368="PADD III","PADD 3",IF($M12368="PADD IV","PADD 4",IF($M12368="PADD V","PADD 5","")))))</f>
        <v/>
      </c>
      <c r="G12368" s="6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  <c r="N12368" s="6">
        <f>IF(OR($G12368="FCC",$G12368="Hydrocracker",$G12368="Reformer"),IF(COUNTIFS($D:$D,$D12368,$A:$A,$A12368,$B:$B,$B12368,$G:$G,"CDU",$J:$J,"PLANNED")&gt;0,"tied","standalone"),"")</f>
        <v/>
      </c>
    </row>
    <row r="12369" spans="6:14">
      <c r="F12369" s="6">
        <f>IF($M12369="PADD I","PADD 1",IF($M12369="PADD II","PADD 2",IF($M12369="PADD III","PADD 3",IF($M12369="PADD IV","PADD 4",IF($M12369="PADD V","PADD 5","")))))</f>
        <v/>
      </c>
      <c r="G12369" s="6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  <c r="N12369" s="6">
        <f>IF(OR($G12369="FCC",$G12369="Hydrocracker",$G12369="Reformer"),IF(COUNTIFS($D:$D,$D12369,$A:$A,$A12369,$B:$B,$B12369,$G:$G,"CDU",$J:$J,"PLANNED")&gt;0,"tied","standalone"),"")</f>
        <v/>
      </c>
    </row>
    <row r="12370" spans="6:14">
      <c r="F12370" s="6">
        <f>IF($M12370="PADD I","PADD 1",IF($M12370="PADD II","PADD 2",IF($M12370="PADD III","PADD 3",IF($M12370="PADD IV","PADD 4",IF($M12370="PADD V","PADD 5","")))))</f>
        <v/>
      </c>
      <c r="G12370" s="6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  <c r="N12370" s="6">
        <f>IF(OR($G12370="FCC",$G12370="Hydrocracker",$G12370="Reformer"),IF(COUNTIFS($D:$D,$D12370,$A:$A,$A12370,$B:$B,$B12370,$G:$G,"CDU",$J:$J,"PLANNED")&gt;0,"tied","standalone"),"")</f>
        <v/>
      </c>
    </row>
    <row r="12371" spans="6:14">
      <c r="F12371" s="6">
        <f>IF($M12371="PADD I","PADD 1",IF($M12371="PADD II","PADD 2",IF($M12371="PADD III","PADD 3",IF($M12371="PADD IV","PADD 4",IF($M12371="PADD V","PADD 5","")))))</f>
        <v/>
      </c>
      <c r="G12371" s="6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  <c r="N12371" s="6">
        <f>IF(OR($G12371="FCC",$G12371="Hydrocracker",$G12371="Reformer"),IF(COUNTIFS($D:$D,$D12371,$A:$A,$A12371,$B:$B,$B12371,$G:$G,"CDU",$J:$J,"PLANNED")&gt;0,"tied","standalone"),"")</f>
        <v/>
      </c>
    </row>
    <row r="12372" spans="6:14">
      <c r="F12372" s="6">
        <f>IF($M12372="PADD I","PADD 1",IF($M12372="PADD II","PADD 2",IF($M12372="PADD III","PADD 3",IF($M12372="PADD IV","PADD 4",IF($M12372="PADD V","PADD 5","")))))</f>
        <v/>
      </c>
      <c r="G12372" s="6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  <c r="N12372" s="6">
        <f>IF(OR($G12372="FCC",$G12372="Hydrocracker",$G12372="Reformer"),IF(COUNTIFS($D:$D,$D12372,$A:$A,$A12372,$B:$B,$B12372,$G:$G,"CDU",$J:$J,"PLANNED")&gt;0,"tied","standalone"),"")</f>
        <v/>
      </c>
    </row>
    <row r="12373" spans="6:14">
      <c r="F12373" s="6">
        <f>IF($M12373="PADD I","PADD 1",IF($M12373="PADD II","PADD 2",IF($M12373="PADD III","PADD 3",IF($M12373="PADD IV","PADD 4",IF($M12373="PADD V","PADD 5","")))))</f>
        <v/>
      </c>
      <c r="G12373" s="6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  <c r="N12373" s="6">
        <f>IF(OR($G12373="FCC",$G12373="Hydrocracker",$G12373="Reformer"),IF(COUNTIFS($D:$D,$D12373,$A:$A,$A12373,$B:$B,$B12373,$G:$G,"CDU",$J:$J,"PLANNED")&gt;0,"tied","standalone"),"")</f>
        <v/>
      </c>
    </row>
    <row r="12374" spans="6:14">
      <c r="F12374" s="6">
        <f>IF($M12374="PADD I","PADD 1",IF($M12374="PADD II","PADD 2",IF($M12374="PADD III","PADD 3",IF($M12374="PADD IV","PADD 4",IF($M12374="PADD V","PADD 5","")))))</f>
        <v/>
      </c>
      <c r="G12374" s="6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  <c r="N12374" s="6">
        <f>IF(OR($G12374="FCC",$G12374="Hydrocracker",$G12374="Reformer"),IF(COUNTIFS($D:$D,$D12374,$A:$A,$A12374,$B:$B,$B12374,$G:$G,"CDU",$J:$J,"PLANNED")&gt;0,"tied","standalone"),"")</f>
        <v/>
      </c>
    </row>
    <row r="12375" spans="6:14">
      <c r="F12375" s="6">
        <f>IF($M12375="PADD I","PADD 1",IF($M12375="PADD II","PADD 2",IF($M12375="PADD III","PADD 3",IF($M12375="PADD IV","PADD 4",IF($M12375="PADD V","PADD 5","")))))</f>
        <v/>
      </c>
      <c r="G12375" s="6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  <c r="N12375" s="6">
        <f>IF(OR($G12375="FCC",$G12375="Hydrocracker",$G12375="Reformer"),IF(COUNTIFS($D:$D,$D12375,$A:$A,$A12375,$B:$B,$B12375,$G:$G,"CDU",$J:$J,"PLANNED")&gt;0,"tied","standalone"),"")</f>
        <v/>
      </c>
    </row>
    <row r="12376" spans="6:14">
      <c r="F12376" s="6">
        <f>IF($M12376="PADD I","PADD 1",IF($M12376="PADD II","PADD 2",IF($M12376="PADD III","PADD 3",IF($M12376="PADD IV","PADD 4",IF($M12376="PADD V","PADD 5","")))))</f>
        <v/>
      </c>
      <c r="G12376" s="6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  <c r="N12376" s="6">
        <f>IF(OR($G12376="FCC",$G12376="Hydrocracker",$G12376="Reformer"),IF(COUNTIFS($D:$D,$D12376,$A:$A,$A12376,$B:$B,$B12376,$G:$G,"CDU",$J:$J,"PLANNED")&gt;0,"tied","standalone"),"")</f>
        <v/>
      </c>
    </row>
    <row r="12377" spans="6:14">
      <c r="F12377" s="6">
        <f>IF($M12377="PADD I","PADD 1",IF($M12377="PADD II","PADD 2",IF($M12377="PADD III","PADD 3",IF($M12377="PADD IV","PADD 4",IF($M12377="PADD V","PADD 5","")))))</f>
        <v/>
      </c>
      <c r="G12377" s="6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  <c r="N12377" s="6">
        <f>IF(OR($G12377="FCC",$G12377="Hydrocracker",$G12377="Reformer"),IF(COUNTIFS($D:$D,$D12377,$A:$A,$A12377,$B:$B,$B12377,$G:$G,"CDU",$J:$J,"PLANNED")&gt;0,"tied","standalone"),"")</f>
        <v/>
      </c>
    </row>
    <row r="12378" spans="6:14">
      <c r="F12378" s="6">
        <f>IF($M12378="PADD I","PADD 1",IF($M12378="PADD II","PADD 2",IF($M12378="PADD III","PADD 3",IF($M12378="PADD IV","PADD 4",IF($M12378="PADD V","PADD 5","")))))</f>
        <v/>
      </c>
      <c r="G12378" s="6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  <c r="N12378" s="6">
        <f>IF(OR($G12378="FCC",$G12378="Hydrocracker",$G12378="Reformer"),IF(COUNTIFS($D:$D,$D12378,$A:$A,$A12378,$B:$B,$B12378,$G:$G,"CDU",$J:$J,"PLANNED")&gt;0,"tied","standalone"),"")</f>
        <v/>
      </c>
    </row>
    <row r="12379" spans="6:14">
      <c r="F12379" s="6">
        <f>IF($M12379="PADD I","PADD 1",IF($M12379="PADD II","PADD 2",IF($M12379="PADD III","PADD 3",IF($M12379="PADD IV","PADD 4",IF($M12379="PADD V","PADD 5","")))))</f>
        <v/>
      </c>
      <c r="G12379" s="6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  <c r="N12379" s="6">
        <f>IF(OR($G12379="FCC",$G12379="Hydrocracker",$G12379="Reformer"),IF(COUNTIFS($D:$D,$D12379,$A:$A,$A12379,$B:$B,$B12379,$G:$G,"CDU",$J:$J,"PLANNED")&gt;0,"tied","standalone"),"")</f>
        <v/>
      </c>
    </row>
    <row r="12380" spans="6:14">
      <c r="F12380" s="6">
        <f>IF($M12380="PADD I","PADD 1",IF($M12380="PADD II","PADD 2",IF($M12380="PADD III","PADD 3",IF($M12380="PADD IV","PADD 4",IF($M12380="PADD V","PADD 5","")))))</f>
        <v/>
      </c>
      <c r="G12380" s="6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  <c r="N12380" s="6">
        <f>IF(OR($G12380="FCC",$G12380="Hydrocracker",$G12380="Reformer"),IF(COUNTIFS($D:$D,$D12380,$A:$A,$A12380,$B:$B,$B12380,$G:$G,"CDU",$J:$J,"PLANNED")&gt;0,"tied","standalone"),"")</f>
        <v/>
      </c>
    </row>
    <row r="12381" spans="6:14">
      <c r="F12381" s="6">
        <f>IF($M12381="PADD I","PADD 1",IF($M12381="PADD II","PADD 2",IF($M12381="PADD III","PADD 3",IF($M12381="PADD IV","PADD 4",IF($M12381="PADD V","PADD 5","")))))</f>
        <v/>
      </c>
      <c r="G12381" s="6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  <c r="N12381" s="6">
        <f>IF(OR($G12381="FCC",$G12381="Hydrocracker",$G12381="Reformer"),IF(COUNTIFS($D:$D,$D12381,$A:$A,$A12381,$B:$B,$B12381,$G:$G,"CDU",$J:$J,"PLANNED")&gt;0,"tied","standalone"),"")</f>
        <v/>
      </c>
    </row>
    <row r="12382" spans="6:14">
      <c r="F12382" s="6">
        <f>IF($M12382="PADD I","PADD 1",IF($M12382="PADD II","PADD 2",IF($M12382="PADD III","PADD 3",IF($M12382="PADD IV","PADD 4",IF($M12382="PADD V","PADD 5","")))))</f>
        <v/>
      </c>
      <c r="G12382" s="6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  <c r="N12382" s="6">
        <f>IF(OR($G12382="FCC",$G12382="Hydrocracker",$G12382="Reformer"),IF(COUNTIFS($D:$D,$D12382,$A:$A,$A12382,$B:$B,$B12382,$G:$G,"CDU",$J:$J,"PLANNED")&gt;0,"tied","standalone"),"")</f>
        <v/>
      </c>
    </row>
    <row r="12383" spans="6:14">
      <c r="F12383" s="6">
        <f>IF($M12383="PADD I","PADD 1",IF($M12383="PADD II","PADD 2",IF($M12383="PADD III","PADD 3",IF($M12383="PADD IV","PADD 4",IF($M12383="PADD V","PADD 5","")))))</f>
        <v/>
      </c>
      <c r="G12383" s="6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  <c r="N12383" s="6">
        <f>IF(OR($G12383="FCC",$G12383="Hydrocracker",$G12383="Reformer"),IF(COUNTIFS($D:$D,$D12383,$A:$A,$A12383,$B:$B,$B12383,$G:$G,"CDU",$J:$J,"PLANNED")&gt;0,"tied","standalone"),"")</f>
        <v/>
      </c>
    </row>
    <row r="12384" spans="6:14">
      <c r="F12384" s="6">
        <f>IF($M12384="PADD I","PADD 1",IF($M12384="PADD II","PADD 2",IF($M12384="PADD III","PADD 3",IF($M12384="PADD IV","PADD 4",IF($M12384="PADD V","PADD 5","")))))</f>
        <v/>
      </c>
      <c r="G12384" s="6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  <c r="N12384" s="6">
        <f>IF(OR($G12384="FCC",$G12384="Hydrocracker",$G12384="Reformer"),IF(COUNTIFS($D:$D,$D12384,$A:$A,$A12384,$B:$B,$B12384,$G:$G,"CDU",$J:$J,"PLANNED")&gt;0,"tied","standalone"),"")</f>
        <v/>
      </c>
    </row>
    <row r="12385" spans="6:14">
      <c r="F12385" s="6">
        <f>IF($M12385="PADD I","PADD 1",IF($M12385="PADD II","PADD 2",IF($M12385="PADD III","PADD 3",IF($M12385="PADD IV","PADD 4",IF($M12385="PADD V","PADD 5","")))))</f>
        <v/>
      </c>
      <c r="G12385" s="6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  <c r="N12385" s="6">
        <f>IF(OR($G12385="FCC",$G12385="Hydrocracker",$G12385="Reformer"),IF(COUNTIFS($D:$D,$D12385,$A:$A,$A12385,$B:$B,$B12385,$G:$G,"CDU",$J:$J,"PLANNED")&gt;0,"tied","standalone"),"")</f>
        <v/>
      </c>
    </row>
    <row r="12386" spans="6:14">
      <c r="F12386" s="6">
        <f>IF($M12386="PADD I","PADD 1",IF($M12386="PADD II","PADD 2",IF($M12386="PADD III","PADD 3",IF($M12386="PADD IV","PADD 4",IF($M12386="PADD V","PADD 5","")))))</f>
        <v/>
      </c>
      <c r="G12386" s="6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  <c r="N12386" s="6">
        <f>IF(OR($G12386="FCC",$G12386="Hydrocracker",$G12386="Reformer"),IF(COUNTIFS($D:$D,$D12386,$A:$A,$A12386,$B:$B,$B12386,$G:$G,"CDU",$J:$J,"PLANNED")&gt;0,"tied","standalone"),"")</f>
        <v/>
      </c>
    </row>
    <row r="12387" spans="6:14">
      <c r="F12387" s="6">
        <f>IF($M12387="PADD I","PADD 1",IF($M12387="PADD II","PADD 2",IF($M12387="PADD III","PADD 3",IF($M12387="PADD IV","PADD 4",IF($M12387="PADD V","PADD 5","")))))</f>
        <v/>
      </c>
      <c r="G12387" s="6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  <c r="N12387" s="6">
        <f>IF(OR($G12387="FCC",$G12387="Hydrocracker",$G12387="Reformer"),IF(COUNTIFS($D:$D,$D12387,$A:$A,$A12387,$B:$B,$B12387,$G:$G,"CDU",$J:$J,"PLANNED")&gt;0,"tied","standalone"),"")</f>
        <v/>
      </c>
    </row>
    <row r="12388" spans="6:14">
      <c r="F12388" s="6">
        <f>IF($M12388="PADD I","PADD 1",IF($M12388="PADD II","PADD 2",IF($M12388="PADD III","PADD 3",IF($M12388="PADD IV","PADD 4",IF($M12388="PADD V","PADD 5","")))))</f>
        <v/>
      </c>
      <c r="G12388" s="6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  <c r="N12388" s="6">
        <f>IF(OR($G12388="FCC",$G12388="Hydrocracker",$G12388="Reformer"),IF(COUNTIFS($D:$D,$D12388,$A:$A,$A12388,$B:$B,$B12388,$G:$G,"CDU",$J:$J,"PLANNED")&gt;0,"tied","standalone"),"")</f>
        <v/>
      </c>
    </row>
    <row r="12389" spans="6:14">
      <c r="F12389" s="6">
        <f>IF($M12389="PADD I","PADD 1",IF($M12389="PADD II","PADD 2",IF($M12389="PADD III","PADD 3",IF($M12389="PADD IV","PADD 4",IF($M12389="PADD V","PADD 5","")))))</f>
        <v/>
      </c>
      <c r="G12389" s="6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  <c r="N12389" s="6">
        <f>IF(OR($G12389="FCC",$G12389="Hydrocracker",$G12389="Reformer"),IF(COUNTIFS($D:$D,$D12389,$A:$A,$A12389,$B:$B,$B12389,$G:$G,"CDU",$J:$J,"PLANNED")&gt;0,"tied","standalone"),"")</f>
        <v/>
      </c>
    </row>
    <row r="12390" spans="6:14">
      <c r="F12390" s="6">
        <f>IF($M12390="PADD I","PADD 1",IF($M12390="PADD II","PADD 2",IF($M12390="PADD III","PADD 3",IF($M12390="PADD IV","PADD 4",IF($M12390="PADD V","PADD 5","")))))</f>
        <v/>
      </c>
      <c r="G12390" s="6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  <c r="N12390" s="6">
        <f>IF(OR($G12390="FCC",$G12390="Hydrocracker",$G12390="Reformer"),IF(COUNTIFS($D:$D,$D12390,$A:$A,$A12390,$B:$B,$B12390,$G:$G,"CDU",$J:$J,"PLANNED")&gt;0,"tied","standalone"),"")</f>
        <v/>
      </c>
    </row>
    <row r="12391" spans="6:14">
      <c r="F12391" s="6">
        <f>IF($M12391="PADD I","PADD 1",IF($M12391="PADD II","PADD 2",IF($M12391="PADD III","PADD 3",IF($M12391="PADD IV","PADD 4",IF($M12391="PADD V","PADD 5","")))))</f>
        <v/>
      </c>
      <c r="G12391" s="6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  <c r="N12391" s="6">
        <f>IF(OR($G12391="FCC",$G12391="Hydrocracker",$G12391="Reformer"),IF(COUNTIFS($D:$D,$D12391,$A:$A,$A12391,$B:$B,$B12391,$G:$G,"CDU",$J:$J,"PLANNED")&gt;0,"tied","standalone"),"")</f>
        <v/>
      </c>
    </row>
    <row r="12392" spans="6:14">
      <c r="F12392" s="6">
        <f>IF($M12392="PADD I","PADD 1",IF($M12392="PADD II","PADD 2",IF($M12392="PADD III","PADD 3",IF($M12392="PADD IV","PADD 4",IF($M12392="PADD V","PADD 5","")))))</f>
        <v/>
      </c>
      <c r="G12392" s="6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  <c r="N12392" s="6">
        <f>IF(OR($G12392="FCC",$G12392="Hydrocracker",$G12392="Reformer"),IF(COUNTIFS($D:$D,$D12392,$A:$A,$A12392,$B:$B,$B12392,$G:$G,"CDU",$J:$J,"PLANNED")&gt;0,"tied","standalone"),"")</f>
        <v/>
      </c>
    </row>
    <row r="12393" spans="6:14">
      <c r="F12393" s="6">
        <f>IF($M12393="PADD I","PADD 1",IF($M12393="PADD II","PADD 2",IF($M12393="PADD III","PADD 3",IF($M12393="PADD IV","PADD 4",IF($M12393="PADD V","PADD 5","")))))</f>
        <v/>
      </c>
      <c r="G12393" s="6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  <c r="N12393" s="6">
        <f>IF(OR($G12393="FCC",$G12393="Hydrocracker",$G12393="Reformer"),IF(COUNTIFS($D:$D,$D12393,$A:$A,$A12393,$B:$B,$B12393,$G:$G,"CDU",$J:$J,"PLANNED")&gt;0,"tied","standalone"),"")</f>
        <v/>
      </c>
    </row>
    <row r="12394" spans="6:14">
      <c r="F12394" s="6">
        <f>IF($M12394="PADD I","PADD 1",IF($M12394="PADD II","PADD 2",IF($M12394="PADD III","PADD 3",IF($M12394="PADD IV","PADD 4",IF($M12394="PADD V","PADD 5","")))))</f>
        <v/>
      </c>
      <c r="G12394" s="6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  <c r="N12394" s="6">
        <f>IF(OR($G12394="FCC",$G12394="Hydrocracker",$G12394="Reformer"),IF(COUNTIFS($D:$D,$D12394,$A:$A,$A12394,$B:$B,$B12394,$G:$G,"CDU",$J:$J,"PLANNED")&gt;0,"tied","standalone"),"")</f>
        <v/>
      </c>
    </row>
    <row r="12395" spans="6:14">
      <c r="F12395" s="6">
        <f>IF($M12395="PADD I","PADD 1",IF($M12395="PADD II","PADD 2",IF($M12395="PADD III","PADD 3",IF($M12395="PADD IV","PADD 4",IF($M12395="PADD V","PADD 5","")))))</f>
        <v/>
      </c>
      <c r="G12395" s="6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  <c r="N12395" s="6">
        <f>IF(OR($G12395="FCC",$G12395="Hydrocracker",$G12395="Reformer"),IF(COUNTIFS($D:$D,$D12395,$A:$A,$A12395,$B:$B,$B12395,$G:$G,"CDU",$J:$J,"PLANNED")&gt;0,"tied","standalone"),"")</f>
        <v/>
      </c>
    </row>
    <row r="12396" spans="6:14">
      <c r="F12396" s="6">
        <f>IF($M12396="PADD I","PADD 1",IF($M12396="PADD II","PADD 2",IF($M12396="PADD III","PADD 3",IF($M12396="PADD IV","PADD 4",IF($M12396="PADD V","PADD 5","")))))</f>
        <v/>
      </c>
      <c r="G12396" s="6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  <c r="N12396" s="6">
        <f>IF(OR($G12396="FCC",$G12396="Hydrocracker",$G12396="Reformer"),IF(COUNTIFS($D:$D,$D12396,$A:$A,$A12396,$B:$B,$B12396,$G:$G,"CDU",$J:$J,"PLANNED")&gt;0,"tied","standalone"),"")</f>
        <v/>
      </c>
    </row>
    <row r="12397" spans="6:14">
      <c r="F12397" s="6">
        <f>IF($M12397="PADD I","PADD 1",IF($M12397="PADD II","PADD 2",IF($M12397="PADD III","PADD 3",IF($M12397="PADD IV","PADD 4",IF($M12397="PADD V","PADD 5","")))))</f>
        <v/>
      </c>
      <c r="G12397" s="6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  <c r="N12397" s="6">
        <f>IF(OR($G12397="FCC",$G12397="Hydrocracker",$G12397="Reformer"),IF(COUNTIFS($D:$D,$D12397,$A:$A,$A12397,$B:$B,$B12397,$G:$G,"CDU",$J:$J,"PLANNED")&gt;0,"tied","standalone"),"")</f>
        <v/>
      </c>
    </row>
    <row r="12398" spans="6:14">
      <c r="F12398" s="6">
        <f>IF($M12398="PADD I","PADD 1",IF($M12398="PADD II","PADD 2",IF($M12398="PADD III","PADD 3",IF($M12398="PADD IV","PADD 4",IF($M12398="PADD V","PADD 5","")))))</f>
        <v/>
      </c>
      <c r="G12398" s="6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  <c r="N12398" s="6">
        <f>IF(OR($G12398="FCC",$G12398="Hydrocracker",$G12398="Reformer"),IF(COUNTIFS($D:$D,$D12398,$A:$A,$A12398,$B:$B,$B12398,$G:$G,"CDU",$J:$J,"PLANNED")&gt;0,"tied","standalone"),"")</f>
        <v/>
      </c>
    </row>
    <row r="12399" spans="6:14">
      <c r="F12399" s="6">
        <f>IF($M12399="PADD I","PADD 1",IF($M12399="PADD II","PADD 2",IF($M12399="PADD III","PADD 3",IF($M12399="PADD IV","PADD 4",IF($M12399="PADD V","PADD 5","")))))</f>
        <v/>
      </c>
      <c r="G12399" s="6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  <c r="N12399" s="6">
        <f>IF(OR($G12399="FCC",$G12399="Hydrocracker",$G12399="Reformer"),IF(COUNTIFS($D:$D,$D12399,$A:$A,$A12399,$B:$B,$B12399,$G:$G,"CDU",$J:$J,"PLANNED")&gt;0,"tied","standalone"),"")</f>
        <v/>
      </c>
    </row>
    <row r="12400" spans="6:14">
      <c r="F12400" s="6">
        <f>IF($M12400="PADD I","PADD 1",IF($M12400="PADD II","PADD 2",IF($M12400="PADD III","PADD 3",IF($M12400="PADD IV","PADD 4",IF($M12400="PADD V","PADD 5","")))))</f>
        <v/>
      </c>
      <c r="G12400" s="6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  <c r="N12400" s="6">
        <f>IF(OR($G12400="FCC",$G12400="Hydrocracker",$G12400="Reformer"),IF(COUNTIFS($D:$D,$D12400,$A:$A,$A12400,$B:$B,$B12400,$G:$G,"CDU",$J:$J,"PLANNED")&gt;0,"tied","standalone"),"")</f>
        <v/>
      </c>
    </row>
    <row r="12401" spans="6:14">
      <c r="F12401" s="6">
        <f>IF($M12401="PADD I","PADD 1",IF($M12401="PADD II","PADD 2",IF($M12401="PADD III","PADD 3",IF($M12401="PADD IV","PADD 4",IF($M12401="PADD V","PADD 5","")))))</f>
        <v/>
      </c>
      <c r="G12401" s="6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  <c r="N12401" s="6">
        <f>IF(OR($G12401="FCC",$G12401="Hydrocracker",$G12401="Reformer"),IF(COUNTIFS($D:$D,$D12401,$A:$A,$A12401,$B:$B,$B12401,$G:$G,"CDU",$J:$J,"PLANNED")&gt;0,"tied","standalone"),"")</f>
        <v/>
      </c>
    </row>
    <row r="12402" spans="6:14">
      <c r="F12402" s="6">
        <f>IF($M12402="PADD I","PADD 1",IF($M12402="PADD II","PADD 2",IF($M12402="PADD III","PADD 3",IF($M12402="PADD IV","PADD 4",IF($M12402="PADD V","PADD 5","")))))</f>
        <v/>
      </c>
      <c r="G12402" s="6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  <c r="N12402" s="6">
        <f>IF(OR($G12402="FCC",$G12402="Hydrocracker",$G12402="Reformer"),IF(COUNTIFS($D:$D,$D12402,$A:$A,$A12402,$B:$B,$B12402,$G:$G,"CDU",$J:$J,"PLANNED")&gt;0,"tied","standalone"),"")</f>
        <v/>
      </c>
    </row>
    <row r="12403" spans="6:14">
      <c r="F12403" s="6">
        <f>IF($M12403="PADD I","PADD 1",IF($M12403="PADD II","PADD 2",IF($M12403="PADD III","PADD 3",IF($M12403="PADD IV","PADD 4",IF($M12403="PADD V","PADD 5","")))))</f>
        <v/>
      </c>
      <c r="G12403" s="6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  <c r="N12403" s="6">
        <f>IF(OR($G12403="FCC",$G12403="Hydrocracker",$G12403="Reformer"),IF(COUNTIFS($D:$D,$D12403,$A:$A,$A12403,$B:$B,$B12403,$G:$G,"CDU",$J:$J,"PLANNED")&gt;0,"tied","standalone"),"")</f>
        <v/>
      </c>
    </row>
    <row r="12404" spans="6:14">
      <c r="F12404" s="6">
        <f>IF($M12404="PADD I","PADD 1",IF($M12404="PADD II","PADD 2",IF($M12404="PADD III","PADD 3",IF($M12404="PADD IV","PADD 4",IF($M12404="PADD V","PADD 5","")))))</f>
        <v/>
      </c>
      <c r="G12404" s="6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  <c r="N12404" s="6">
        <f>IF(OR($G12404="FCC",$G12404="Hydrocracker",$G12404="Reformer"),IF(COUNTIFS($D:$D,$D12404,$A:$A,$A12404,$B:$B,$B12404,$G:$G,"CDU",$J:$J,"PLANNED")&gt;0,"tied","standalone"),"")</f>
        <v/>
      </c>
    </row>
    <row r="12405" spans="6:14">
      <c r="F12405" s="6">
        <f>IF($M12405="PADD I","PADD 1",IF($M12405="PADD II","PADD 2",IF($M12405="PADD III","PADD 3",IF($M12405="PADD IV","PADD 4",IF($M12405="PADD V","PADD 5","")))))</f>
        <v/>
      </c>
      <c r="G12405" s="6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  <c r="N12405" s="6">
        <f>IF(OR($G12405="FCC",$G12405="Hydrocracker",$G12405="Reformer"),IF(COUNTIFS($D:$D,$D12405,$A:$A,$A12405,$B:$B,$B12405,$G:$G,"CDU",$J:$J,"PLANNED")&gt;0,"tied","standalone"),"")</f>
        <v/>
      </c>
    </row>
    <row r="12406" spans="6:14">
      <c r="F12406" s="6">
        <f>IF($M12406="PADD I","PADD 1",IF($M12406="PADD II","PADD 2",IF($M12406="PADD III","PADD 3",IF($M12406="PADD IV","PADD 4",IF($M12406="PADD V","PADD 5","")))))</f>
        <v/>
      </c>
      <c r="G12406" s="6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  <c r="N12406" s="6">
        <f>IF(OR($G12406="FCC",$G12406="Hydrocracker",$G12406="Reformer"),IF(COUNTIFS($D:$D,$D12406,$A:$A,$A12406,$B:$B,$B12406,$G:$G,"CDU",$J:$J,"PLANNED")&gt;0,"tied","standalone"),"")</f>
        <v/>
      </c>
    </row>
    <row r="12407" spans="6:14">
      <c r="F12407" s="6">
        <f>IF($M12407="PADD I","PADD 1",IF($M12407="PADD II","PADD 2",IF($M12407="PADD III","PADD 3",IF($M12407="PADD IV","PADD 4",IF($M12407="PADD V","PADD 5","")))))</f>
        <v/>
      </c>
      <c r="G12407" s="6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  <c r="N12407" s="6">
        <f>IF(OR($G12407="FCC",$G12407="Hydrocracker",$G12407="Reformer"),IF(COUNTIFS($D:$D,$D12407,$A:$A,$A12407,$B:$B,$B12407,$G:$G,"CDU",$J:$J,"PLANNED")&gt;0,"tied","standalone"),"")</f>
        <v/>
      </c>
    </row>
    <row r="12408" spans="6:14">
      <c r="F12408" s="6">
        <f>IF($M12408="PADD I","PADD 1",IF($M12408="PADD II","PADD 2",IF($M12408="PADD III","PADD 3",IF($M12408="PADD IV","PADD 4",IF($M12408="PADD V","PADD 5","")))))</f>
        <v/>
      </c>
      <c r="G12408" s="6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  <c r="N12408" s="6">
        <f>IF(OR($G12408="FCC",$G12408="Hydrocracker",$G12408="Reformer"),IF(COUNTIFS($D:$D,$D12408,$A:$A,$A12408,$B:$B,$B12408,$G:$G,"CDU",$J:$J,"PLANNED")&gt;0,"tied","standalone"),"")</f>
        <v/>
      </c>
    </row>
    <row r="12409" spans="6:14">
      <c r="F12409" s="6">
        <f>IF($M12409="PADD I","PADD 1",IF($M12409="PADD II","PADD 2",IF($M12409="PADD III","PADD 3",IF($M12409="PADD IV","PADD 4",IF($M12409="PADD V","PADD 5","")))))</f>
        <v/>
      </c>
      <c r="G12409" s="6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  <c r="N12409" s="6">
        <f>IF(OR($G12409="FCC",$G12409="Hydrocracker",$G12409="Reformer"),IF(COUNTIFS($D:$D,$D12409,$A:$A,$A12409,$B:$B,$B12409,$G:$G,"CDU",$J:$J,"PLANNED")&gt;0,"tied","standalone"),"")</f>
        <v/>
      </c>
    </row>
    <row r="12410" spans="6:14">
      <c r="F12410" s="6">
        <f>IF($M12410="PADD I","PADD 1",IF($M12410="PADD II","PADD 2",IF($M12410="PADD III","PADD 3",IF($M12410="PADD IV","PADD 4",IF($M12410="PADD V","PADD 5","")))))</f>
        <v/>
      </c>
      <c r="G12410" s="6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  <c r="N12410" s="6">
        <f>IF(OR($G12410="FCC",$G12410="Hydrocracker",$G12410="Reformer"),IF(COUNTIFS($D:$D,$D12410,$A:$A,$A12410,$B:$B,$B12410,$G:$G,"CDU",$J:$J,"PLANNED")&gt;0,"tied","standalone"),"")</f>
        <v/>
      </c>
    </row>
    <row r="12411" spans="6:14">
      <c r="F12411" s="6">
        <f>IF($M12411="PADD I","PADD 1",IF($M12411="PADD II","PADD 2",IF($M12411="PADD III","PADD 3",IF($M12411="PADD IV","PADD 4",IF($M12411="PADD V","PADD 5","")))))</f>
        <v/>
      </c>
      <c r="G12411" s="6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  <c r="N12411" s="6">
        <f>IF(OR($G12411="FCC",$G12411="Hydrocracker",$G12411="Reformer"),IF(COUNTIFS($D:$D,$D12411,$A:$A,$A12411,$B:$B,$B12411,$G:$G,"CDU",$J:$J,"PLANNED")&gt;0,"tied","standalone"),"")</f>
        <v/>
      </c>
    </row>
    <row r="12412" spans="6:14">
      <c r="F12412" s="6">
        <f>IF($M12412="PADD I","PADD 1",IF($M12412="PADD II","PADD 2",IF($M12412="PADD III","PADD 3",IF($M12412="PADD IV","PADD 4",IF($M12412="PADD V","PADD 5","")))))</f>
        <v/>
      </c>
      <c r="G12412" s="6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  <c r="N12412" s="6">
        <f>IF(OR($G12412="FCC",$G12412="Hydrocracker",$G12412="Reformer"),IF(COUNTIFS($D:$D,$D12412,$A:$A,$A12412,$B:$B,$B12412,$G:$G,"CDU",$J:$J,"PLANNED")&gt;0,"tied","standalone"),"")</f>
        <v/>
      </c>
    </row>
    <row r="12413" spans="6:14">
      <c r="F12413" s="6">
        <f>IF($M12413="PADD I","PADD 1",IF($M12413="PADD II","PADD 2",IF($M12413="PADD III","PADD 3",IF($M12413="PADD IV","PADD 4",IF($M12413="PADD V","PADD 5","")))))</f>
        <v/>
      </c>
      <c r="G12413" s="6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  <c r="N12413" s="6">
        <f>IF(OR($G12413="FCC",$G12413="Hydrocracker",$G12413="Reformer"),IF(COUNTIFS($D:$D,$D12413,$A:$A,$A12413,$B:$B,$B12413,$G:$G,"CDU",$J:$J,"PLANNED")&gt;0,"tied","standalone"),"")</f>
        <v/>
      </c>
    </row>
    <row r="12414" spans="6:14">
      <c r="F12414" s="6">
        <f>IF($M12414="PADD I","PADD 1",IF($M12414="PADD II","PADD 2",IF($M12414="PADD III","PADD 3",IF($M12414="PADD IV","PADD 4",IF($M12414="PADD V","PADD 5","")))))</f>
        <v/>
      </c>
      <c r="G12414" s="6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  <c r="N12414" s="6">
        <f>IF(OR($G12414="FCC",$G12414="Hydrocracker",$G12414="Reformer"),IF(COUNTIFS($D:$D,$D12414,$A:$A,$A12414,$B:$B,$B12414,$G:$G,"CDU",$J:$J,"PLANNED")&gt;0,"tied","standalone"),"")</f>
        <v/>
      </c>
    </row>
    <row r="12415" spans="6:14">
      <c r="F12415" s="6">
        <f>IF($M12415="PADD I","PADD 1",IF($M12415="PADD II","PADD 2",IF($M12415="PADD III","PADD 3",IF($M12415="PADD IV","PADD 4",IF($M12415="PADD V","PADD 5","")))))</f>
        <v/>
      </c>
      <c r="G12415" s="6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  <c r="N12415" s="6">
        <f>IF(OR($G12415="FCC",$G12415="Hydrocracker",$G12415="Reformer"),IF(COUNTIFS($D:$D,$D12415,$A:$A,$A12415,$B:$B,$B12415,$G:$G,"CDU",$J:$J,"PLANNED")&gt;0,"tied","standalone"),"")</f>
        <v/>
      </c>
    </row>
    <row r="12416" spans="6:14">
      <c r="F12416" s="6">
        <f>IF($M12416="PADD I","PADD 1",IF($M12416="PADD II","PADD 2",IF($M12416="PADD III","PADD 3",IF($M12416="PADD IV","PADD 4",IF($M12416="PADD V","PADD 5","")))))</f>
        <v/>
      </c>
      <c r="G12416" s="6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  <c r="N12416" s="6">
        <f>IF(OR($G12416="FCC",$G12416="Hydrocracker",$G12416="Reformer"),IF(COUNTIFS($D:$D,$D12416,$A:$A,$A12416,$B:$B,$B12416,$G:$G,"CDU",$J:$J,"PLANNED")&gt;0,"tied","standalone"),"")</f>
        <v/>
      </c>
    </row>
    <row r="12417" spans="6:14">
      <c r="F12417" s="6">
        <f>IF($M12417="PADD I","PADD 1",IF($M12417="PADD II","PADD 2",IF($M12417="PADD III","PADD 3",IF($M12417="PADD IV","PADD 4",IF($M12417="PADD V","PADD 5","")))))</f>
        <v/>
      </c>
      <c r="G12417" s="6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  <c r="N12417" s="6">
        <f>IF(OR($G12417="FCC",$G12417="Hydrocracker",$G12417="Reformer"),IF(COUNTIFS($D:$D,$D12417,$A:$A,$A12417,$B:$B,$B12417,$G:$G,"CDU",$J:$J,"PLANNED")&gt;0,"tied","standalone"),"")</f>
        <v/>
      </c>
    </row>
    <row r="12418" spans="6:14">
      <c r="F12418" s="6">
        <f>IF($M12418="PADD I","PADD 1",IF($M12418="PADD II","PADD 2",IF($M12418="PADD III","PADD 3",IF($M12418="PADD IV","PADD 4",IF($M12418="PADD V","PADD 5","")))))</f>
        <v/>
      </c>
      <c r="G12418" s="6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  <c r="N12418" s="6">
        <f>IF(OR($G12418="FCC",$G12418="Hydrocracker",$G12418="Reformer"),IF(COUNTIFS($D:$D,$D12418,$A:$A,$A12418,$B:$B,$B12418,$G:$G,"CDU",$J:$J,"PLANNED")&gt;0,"tied","standalone"),"")</f>
        <v/>
      </c>
    </row>
    <row r="12419" spans="6:14">
      <c r="F12419" s="6">
        <f>IF($M12419="PADD I","PADD 1",IF($M12419="PADD II","PADD 2",IF($M12419="PADD III","PADD 3",IF($M12419="PADD IV","PADD 4",IF($M12419="PADD V","PADD 5","")))))</f>
        <v/>
      </c>
      <c r="G12419" s="6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  <c r="N12419" s="6">
        <f>IF(OR($G12419="FCC",$G12419="Hydrocracker",$G12419="Reformer"),IF(COUNTIFS($D:$D,$D12419,$A:$A,$A12419,$B:$B,$B12419,$G:$G,"CDU",$J:$J,"PLANNED")&gt;0,"tied","standalone"),"")</f>
        <v/>
      </c>
    </row>
    <row r="12420" spans="6:14">
      <c r="F12420" s="6">
        <f>IF($M12420="PADD I","PADD 1",IF($M12420="PADD II","PADD 2",IF($M12420="PADD III","PADD 3",IF($M12420="PADD IV","PADD 4",IF($M12420="PADD V","PADD 5","")))))</f>
        <v/>
      </c>
      <c r="G12420" s="6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  <c r="N12420" s="6">
        <f>IF(OR($G12420="FCC",$G12420="Hydrocracker",$G12420="Reformer"),IF(COUNTIFS($D:$D,$D12420,$A:$A,$A12420,$B:$B,$B12420,$G:$G,"CDU",$J:$J,"PLANNED")&gt;0,"tied","standalone"),"")</f>
        <v/>
      </c>
    </row>
    <row r="12421" spans="6:14">
      <c r="F12421" s="6">
        <f>IF($M12421="PADD I","PADD 1",IF($M12421="PADD II","PADD 2",IF($M12421="PADD III","PADD 3",IF($M12421="PADD IV","PADD 4",IF($M12421="PADD V","PADD 5","")))))</f>
        <v/>
      </c>
      <c r="G12421" s="6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  <c r="N12421" s="6">
        <f>IF(OR($G12421="FCC",$G12421="Hydrocracker",$G12421="Reformer"),IF(COUNTIFS($D:$D,$D12421,$A:$A,$A12421,$B:$B,$B12421,$G:$G,"CDU",$J:$J,"PLANNED")&gt;0,"tied","standalone"),"")</f>
        <v/>
      </c>
    </row>
    <row r="12422" spans="6:14">
      <c r="F12422" s="6">
        <f>IF($M12422="PADD I","PADD 1",IF($M12422="PADD II","PADD 2",IF($M12422="PADD III","PADD 3",IF($M12422="PADD IV","PADD 4",IF($M12422="PADD V","PADD 5","")))))</f>
        <v/>
      </c>
      <c r="G12422" s="6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  <c r="N12422" s="6">
        <f>IF(OR($G12422="FCC",$G12422="Hydrocracker",$G12422="Reformer"),IF(COUNTIFS($D:$D,$D12422,$A:$A,$A12422,$B:$B,$B12422,$G:$G,"CDU",$J:$J,"PLANNED")&gt;0,"tied","standalone"),"")</f>
        <v/>
      </c>
    </row>
    <row r="12423" spans="6:14">
      <c r="F12423" s="6">
        <f>IF($M12423="PADD I","PADD 1",IF($M12423="PADD II","PADD 2",IF($M12423="PADD III","PADD 3",IF($M12423="PADD IV","PADD 4",IF($M12423="PADD V","PADD 5","")))))</f>
        <v/>
      </c>
      <c r="G12423" s="6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  <c r="N12423" s="6">
        <f>IF(OR($G12423="FCC",$G12423="Hydrocracker",$G12423="Reformer"),IF(COUNTIFS($D:$D,$D12423,$A:$A,$A12423,$B:$B,$B12423,$G:$G,"CDU",$J:$J,"PLANNED")&gt;0,"tied","standalone"),"")</f>
        <v/>
      </c>
    </row>
    <row r="12424" spans="6:14">
      <c r="F12424" s="6">
        <f>IF($M12424="PADD I","PADD 1",IF($M12424="PADD II","PADD 2",IF($M12424="PADD III","PADD 3",IF($M12424="PADD IV","PADD 4",IF($M12424="PADD V","PADD 5","")))))</f>
        <v/>
      </c>
      <c r="G12424" s="6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  <c r="N12424" s="6">
        <f>IF(OR($G12424="FCC",$G12424="Hydrocracker",$G12424="Reformer"),IF(COUNTIFS($D:$D,$D12424,$A:$A,$A12424,$B:$B,$B12424,$G:$G,"CDU",$J:$J,"PLANNED")&gt;0,"tied","standalone"),"")</f>
        <v/>
      </c>
    </row>
    <row r="12425" spans="6:14">
      <c r="F12425" s="6">
        <f>IF($M12425="PADD I","PADD 1",IF($M12425="PADD II","PADD 2",IF($M12425="PADD III","PADD 3",IF($M12425="PADD IV","PADD 4",IF($M12425="PADD V","PADD 5","")))))</f>
        <v/>
      </c>
      <c r="G12425" s="6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  <c r="N12425" s="6">
        <f>IF(OR($G12425="FCC",$G12425="Hydrocracker",$G12425="Reformer"),IF(COUNTIFS($D:$D,$D12425,$A:$A,$A12425,$B:$B,$B12425,$G:$G,"CDU",$J:$J,"PLANNED")&gt;0,"tied","standalone"),"")</f>
        <v/>
      </c>
    </row>
    <row r="12426" spans="6:14">
      <c r="F12426" s="6">
        <f>IF($M12426="PADD I","PADD 1",IF($M12426="PADD II","PADD 2",IF($M12426="PADD III","PADD 3",IF($M12426="PADD IV","PADD 4",IF($M12426="PADD V","PADD 5","")))))</f>
        <v/>
      </c>
      <c r="G12426" s="6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  <c r="N12426" s="6">
        <f>IF(OR($G12426="FCC",$G12426="Hydrocracker",$G12426="Reformer"),IF(COUNTIFS($D:$D,$D12426,$A:$A,$A12426,$B:$B,$B12426,$G:$G,"CDU",$J:$J,"PLANNED")&gt;0,"tied","standalone"),"")</f>
        <v/>
      </c>
    </row>
    <row r="12427" spans="6:14">
      <c r="F12427" s="6">
        <f>IF($M12427="PADD I","PADD 1",IF($M12427="PADD II","PADD 2",IF($M12427="PADD III","PADD 3",IF($M12427="PADD IV","PADD 4",IF($M12427="PADD V","PADD 5","")))))</f>
        <v/>
      </c>
      <c r="G12427" s="6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  <c r="N12427" s="6">
        <f>IF(OR($G12427="FCC",$G12427="Hydrocracker",$G12427="Reformer"),IF(COUNTIFS($D:$D,$D12427,$A:$A,$A12427,$B:$B,$B12427,$G:$G,"CDU",$J:$J,"PLANNED")&gt;0,"tied","standalone"),"")</f>
        <v/>
      </c>
    </row>
    <row r="12428" spans="6:14">
      <c r="F12428" s="6">
        <f>IF($M12428="PADD I","PADD 1",IF($M12428="PADD II","PADD 2",IF($M12428="PADD III","PADD 3",IF($M12428="PADD IV","PADD 4",IF($M12428="PADD V","PADD 5","")))))</f>
        <v/>
      </c>
      <c r="G12428" s="6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  <c r="N12428" s="6">
        <f>IF(OR($G12428="FCC",$G12428="Hydrocracker",$G12428="Reformer"),IF(COUNTIFS($D:$D,$D12428,$A:$A,$A12428,$B:$B,$B12428,$G:$G,"CDU",$J:$J,"PLANNED")&gt;0,"tied","standalone"),"")</f>
        <v/>
      </c>
    </row>
    <row r="12429" spans="6:14">
      <c r="F12429" s="6">
        <f>IF($M12429="PADD I","PADD 1",IF($M12429="PADD II","PADD 2",IF($M12429="PADD III","PADD 3",IF($M12429="PADD IV","PADD 4",IF($M12429="PADD V","PADD 5","")))))</f>
        <v/>
      </c>
      <c r="G12429" s="6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  <c r="N12429" s="6">
        <f>IF(OR($G12429="FCC",$G12429="Hydrocracker",$G12429="Reformer"),IF(COUNTIFS($D:$D,$D12429,$A:$A,$A12429,$B:$B,$B12429,$G:$G,"CDU",$J:$J,"PLANNED")&gt;0,"tied","standalone"),"")</f>
        <v/>
      </c>
    </row>
    <row r="12430" spans="6:14">
      <c r="F12430" s="6">
        <f>IF($M12430="PADD I","PADD 1",IF($M12430="PADD II","PADD 2",IF($M12430="PADD III","PADD 3",IF($M12430="PADD IV","PADD 4",IF($M12430="PADD V","PADD 5","")))))</f>
        <v/>
      </c>
      <c r="G12430" s="6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  <c r="N12430" s="6">
        <f>IF(OR($G12430="FCC",$G12430="Hydrocracker",$G12430="Reformer"),IF(COUNTIFS($D:$D,$D12430,$A:$A,$A12430,$B:$B,$B12430,$G:$G,"CDU",$J:$J,"PLANNED")&gt;0,"tied","standalone"),"")</f>
        <v/>
      </c>
    </row>
    <row r="12431" spans="6:14">
      <c r="F12431" s="6">
        <f>IF($M12431="PADD I","PADD 1",IF($M12431="PADD II","PADD 2",IF($M12431="PADD III","PADD 3",IF($M12431="PADD IV","PADD 4",IF($M12431="PADD V","PADD 5","")))))</f>
        <v/>
      </c>
      <c r="G12431" s="6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  <c r="N12431" s="6">
        <f>IF(OR($G12431="FCC",$G12431="Hydrocracker",$G12431="Reformer"),IF(COUNTIFS($D:$D,$D12431,$A:$A,$A12431,$B:$B,$B12431,$G:$G,"CDU",$J:$J,"PLANNED")&gt;0,"tied","standalone"),"")</f>
        <v/>
      </c>
    </row>
    <row r="12432" spans="6:14">
      <c r="F12432" s="6">
        <f>IF($M12432="PADD I","PADD 1",IF($M12432="PADD II","PADD 2",IF($M12432="PADD III","PADD 3",IF($M12432="PADD IV","PADD 4",IF($M12432="PADD V","PADD 5","")))))</f>
        <v/>
      </c>
      <c r="G12432" s="6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  <c r="N12432" s="6">
        <f>IF(OR($G12432="FCC",$G12432="Hydrocracker",$G12432="Reformer"),IF(COUNTIFS($D:$D,$D12432,$A:$A,$A12432,$B:$B,$B12432,$G:$G,"CDU",$J:$J,"PLANNED")&gt;0,"tied","standalone"),"")</f>
        <v/>
      </c>
    </row>
    <row r="12433" spans="6:14">
      <c r="F12433" s="6">
        <f>IF($M12433="PADD I","PADD 1",IF($M12433="PADD II","PADD 2",IF($M12433="PADD III","PADD 3",IF($M12433="PADD IV","PADD 4",IF($M12433="PADD V","PADD 5","")))))</f>
        <v/>
      </c>
      <c r="G12433" s="6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  <c r="N12433" s="6">
        <f>IF(OR($G12433="FCC",$G12433="Hydrocracker",$G12433="Reformer"),IF(COUNTIFS($D:$D,$D12433,$A:$A,$A12433,$B:$B,$B12433,$G:$G,"CDU",$J:$J,"PLANNED")&gt;0,"tied","standalone"),"")</f>
        <v/>
      </c>
    </row>
    <row r="12434" spans="6:14">
      <c r="F12434" s="6">
        <f>IF($M12434="PADD I","PADD 1",IF($M12434="PADD II","PADD 2",IF($M12434="PADD III","PADD 3",IF($M12434="PADD IV","PADD 4",IF($M12434="PADD V","PADD 5","")))))</f>
        <v/>
      </c>
      <c r="G12434" s="6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  <c r="N12434" s="6">
        <f>IF(OR($G12434="FCC",$G12434="Hydrocracker",$G12434="Reformer"),IF(COUNTIFS($D:$D,$D12434,$A:$A,$A12434,$B:$B,$B12434,$G:$G,"CDU",$J:$J,"PLANNED")&gt;0,"tied","standalone"),"")</f>
        <v/>
      </c>
    </row>
    <row r="12435" spans="6:14">
      <c r="F12435" s="6">
        <f>IF($M12435="PADD I","PADD 1",IF($M12435="PADD II","PADD 2",IF($M12435="PADD III","PADD 3",IF($M12435="PADD IV","PADD 4",IF($M12435="PADD V","PADD 5","")))))</f>
        <v/>
      </c>
      <c r="G12435" s="6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  <c r="N12435" s="6">
        <f>IF(OR($G12435="FCC",$G12435="Hydrocracker",$G12435="Reformer"),IF(COUNTIFS($D:$D,$D12435,$A:$A,$A12435,$B:$B,$B12435,$G:$G,"CDU",$J:$J,"PLANNED")&gt;0,"tied","standalone"),"")</f>
        <v/>
      </c>
    </row>
    <row r="12436" spans="6:14">
      <c r="F12436" s="6">
        <f>IF($M12436="PADD I","PADD 1",IF($M12436="PADD II","PADD 2",IF($M12436="PADD III","PADD 3",IF($M12436="PADD IV","PADD 4",IF($M12436="PADD V","PADD 5","")))))</f>
        <v/>
      </c>
      <c r="G12436" s="6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  <c r="N12436" s="6">
        <f>IF(OR($G12436="FCC",$G12436="Hydrocracker",$G12436="Reformer"),IF(COUNTIFS($D:$D,$D12436,$A:$A,$A12436,$B:$B,$B12436,$G:$G,"CDU",$J:$J,"PLANNED")&gt;0,"tied","standalone"),"")</f>
        <v/>
      </c>
    </row>
    <row r="12437" spans="6:14">
      <c r="F12437" s="6">
        <f>IF($M12437="PADD I","PADD 1",IF($M12437="PADD II","PADD 2",IF($M12437="PADD III","PADD 3",IF($M12437="PADD IV","PADD 4",IF($M12437="PADD V","PADD 5","")))))</f>
        <v/>
      </c>
      <c r="G12437" s="6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  <c r="N12437" s="6">
        <f>IF(OR($G12437="FCC",$G12437="Hydrocracker",$G12437="Reformer"),IF(COUNTIFS($D:$D,$D12437,$A:$A,$A12437,$B:$B,$B12437,$G:$G,"CDU",$J:$J,"PLANNED")&gt;0,"tied","standalone"),"")</f>
        <v/>
      </c>
    </row>
    <row r="12438" spans="6:14">
      <c r="F12438" s="6">
        <f>IF($M12438="PADD I","PADD 1",IF($M12438="PADD II","PADD 2",IF($M12438="PADD III","PADD 3",IF($M12438="PADD IV","PADD 4",IF($M12438="PADD V","PADD 5","")))))</f>
        <v/>
      </c>
      <c r="G12438" s="6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  <c r="N12438" s="6">
        <f>IF(OR($G12438="FCC",$G12438="Hydrocracker",$G12438="Reformer"),IF(COUNTIFS($D:$D,$D12438,$A:$A,$A12438,$B:$B,$B12438,$G:$G,"CDU",$J:$J,"PLANNED")&gt;0,"tied","standalone"),"")</f>
        <v/>
      </c>
    </row>
    <row r="12439" spans="6:14">
      <c r="F12439" s="6">
        <f>IF($M12439="PADD I","PADD 1",IF($M12439="PADD II","PADD 2",IF($M12439="PADD III","PADD 3",IF($M12439="PADD IV","PADD 4",IF($M12439="PADD V","PADD 5","")))))</f>
        <v/>
      </c>
      <c r="G12439" s="6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  <c r="N12439" s="6">
        <f>IF(OR($G12439="FCC",$G12439="Hydrocracker",$G12439="Reformer"),IF(COUNTIFS($D:$D,$D12439,$A:$A,$A12439,$B:$B,$B12439,$G:$G,"CDU",$J:$J,"PLANNED")&gt;0,"tied","standalone"),"")</f>
        <v/>
      </c>
    </row>
    <row r="12440" spans="6:14">
      <c r="F12440" s="6">
        <f>IF($M12440="PADD I","PADD 1",IF($M12440="PADD II","PADD 2",IF($M12440="PADD III","PADD 3",IF($M12440="PADD IV","PADD 4",IF($M12440="PADD V","PADD 5","")))))</f>
        <v/>
      </c>
      <c r="G12440" s="6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  <c r="N12440" s="6">
        <f>IF(OR($G12440="FCC",$G12440="Hydrocracker",$G12440="Reformer"),IF(COUNTIFS($D:$D,$D12440,$A:$A,$A12440,$B:$B,$B12440,$G:$G,"CDU",$J:$J,"PLANNED")&gt;0,"tied","standalone"),"")</f>
        <v/>
      </c>
    </row>
    <row r="12441" spans="6:14">
      <c r="F12441" s="6">
        <f>IF($M12441="PADD I","PADD 1",IF($M12441="PADD II","PADD 2",IF($M12441="PADD III","PADD 3",IF($M12441="PADD IV","PADD 4",IF($M12441="PADD V","PADD 5","")))))</f>
        <v/>
      </c>
      <c r="G12441" s="6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  <c r="N12441" s="6">
        <f>IF(OR($G12441="FCC",$G12441="Hydrocracker",$G12441="Reformer"),IF(COUNTIFS($D:$D,$D12441,$A:$A,$A12441,$B:$B,$B12441,$G:$G,"CDU",$J:$J,"PLANNED")&gt;0,"tied","standalone"),"")</f>
        <v/>
      </c>
    </row>
    <row r="12442" spans="6:14">
      <c r="F12442" s="6">
        <f>IF($M12442="PADD I","PADD 1",IF($M12442="PADD II","PADD 2",IF($M12442="PADD III","PADD 3",IF($M12442="PADD IV","PADD 4",IF($M12442="PADD V","PADD 5","")))))</f>
        <v/>
      </c>
      <c r="G12442" s="6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  <c r="N12442" s="6">
        <f>IF(OR($G12442="FCC",$G12442="Hydrocracker",$G12442="Reformer"),IF(COUNTIFS($D:$D,$D12442,$A:$A,$A12442,$B:$B,$B12442,$G:$G,"CDU",$J:$J,"PLANNED")&gt;0,"tied","standalone"),"")</f>
        <v/>
      </c>
    </row>
    <row r="12443" spans="6:14">
      <c r="F12443" s="6">
        <f>IF($M12443="PADD I","PADD 1",IF($M12443="PADD II","PADD 2",IF($M12443="PADD III","PADD 3",IF($M12443="PADD IV","PADD 4",IF($M12443="PADD V","PADD 5","")))))</f>
        <v/>
      </c>
      <c r="G12443" s="6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  <c r="N12443" s="6">
        <f>IF(OR($G12443="FCC",$G12443="Hydrocracker",$G12443="Reformer"),IF(COUNTIFS($D:$D,$D12443,$A:$A,$A12443,$B:$B,$B12443,$G:$G,"CDU",$J:$J,"PLANNED")&gt;0,"tied","standalone"),"")</f>
        <v/>
      </c>
    </row>
    <row r="12444" spans="6:14">
      <c r="F12444" s="6">
        <f>IF($M12444="PADD I","PADD 1",IF($M12444="PADD II","PADD 2",IF($M12444="PADD III","PADD 3",IF($M12444="PADD IV","PADD 4",IF($M12444="PADD V","PADD 5","")))))</f>
        <v/>
      </c>
      <c r="G12444" s="6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  <c r="N12444" s="6">
        <f>IF(OR($G12444="FCC",$G12444="Hydrocracker",$G12444="Reformer"),IF(COUNTIFS($D:$D,$D12444,$A:$A,$A12444,$B:$B,$B12444,$G:$G,"CDU",$J:$J,"PLANNED")&gt;0,"tied","standalone"),"")</f>
        <v/>
      </c>
    </row>
    <row r="12445" spans="6:14">
      <c r="F12445" s="6">
        <f>IF($M12445="PADD I","PADD 1",IF($M12445="PADD II","PADD 2",IF($M12445="PADD III","PADD 3",IF($M12445="PADD IV","PADD 4",IF($M12445="PADD V","PADD 5","")))))</f>
        <v/>
      </c>
      <c r="G12445" s="6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  <c r="N12445" s="6">
        <f>IF(OR($G12445="FCC",$G12445="Hydrocracker",$G12445="Reformer"),IF(COUNTIFS($D:$D,$D12445,$A:$A,$A12445,$B:$B,$B12445,$G:$G,"CDU",$J:$J,"PLANNED")&gt;0,"tied","standalone"),"")</f>
        <v/>
      </c>
    </row>
    <row r="12446" spans="6:14">
      <c r="F12446" s="6">
        <f>IF($M12446="PADD I","PADD 1",IF($M12446="PADD II","PADD 2",IF($M12446="PADD III","PADD 3",IF($M12446="PADD IV","PADD 4",IF($M12446="PADD V","PADD 5","")))))</f>
        <v/>
      </c>
      <c r="G12446" s="6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  <c r="N12446" s="6">
        <f>IF(OR($G12446="FCC",$G12446="Hydrocracker",$G12446="Reformer"),IF(COUNTIFS($D:$D,$D12446,$A:$A,$A12446,$B:$B,$B12446,$G:$G,"CDU",$J:$J,"PLANNED")&gt;0,"tied","standalone"),"")</f>
        <v/>
      </c>
    </row>
    <row r="12447" spans="6:14">
      <c r="F12447" s="6">
        <f>IF($M12447="PADD I","PADD 1",IF($M12447="PADD II","PADD 2",IF($M12447="PADD III","PADD 3",IF($M12447="PADD IV","PADD 4",IF($M12447="PADD V","PADD 5","")))))</f>
        <v/>
      </c>
      <c r="G12447" s="6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  <c r="N12447" s="6">
        <f>IF(OR($G12447="FCC",$G12447="Hydrocracker",$G12447="Reformer"),IF(COUNTIFS($D:$D,$D12447,$A:$A,$A12447,$B:$B,$B12447,$G:$G,"CDU",$J:$J,"PLANNED")&gt;0,"tied","standalone"),"")</f>
        <v/>
      </c>
    </row>
    <row r="12448" spans="6:14">
      <c r="F12448" s="6">
        <f>IF($M12448="PADD I","PADD 1",IF($M12448="PADD II","PADD 2",IF($M12448="PADD III","PADD 3",IF($M12448="PADD IV","PADD 4",IF($M12448="PADD V","PADD 5","")))))</f>
        <v/>
      </c>
      <c r="G12448" s="6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  <c r="N12448" s="6">
        <f>IF(OR($G12448="FCC",$G12448="Hydrocracker",$G12448="Reformer"),IF(COUNTIFS($D:$D,$D12448,$A:$A,$A12448,$B:$B,$B12448,$G:$G,"CDU",$J:$J,"PLANNED")&gt;0,"tied","standalone"),"")</f>
        <v/>
      </c>
    </row>
    <row r="12449" spans="6:14">
      <c r="F12449" s="6">
        <f>IF($M12449="PADD I","PADD 1",IF($M12449="PADD II","PADD 2",IF($M12449="PADD III","PADD 3",IF($M12449="PADD IV","PADD 4",IF($M12449="PADD V","PADD 5","")))))</f>
        <v/>
      </c>
      <c r="G12449" s="6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  <c r="N12449" s="6">
        <f>IF(OR($G12449="FCC",$G12449="Hydrocracker",$G12449="Reformer"),IF(COUNTIFS($D:$D,$D12449,$A:$A,$A12449,$B:$B,$B12449,$G:$G,"CDU",$J:$J,"PLANNED")&gt;0,"tied","standalone"),"")</f>
        <v/>
      </c>
    </row>
    <row r="12450" spans="6:14">
      <c r="F12450" s="6">
        <f>IF($M12450="PADD I","PADD 1",IF($M12450="PADD II","PADD 2",IF($M12450="PADD III","PADD 3",IF($M12450="PADD IV","PADD 4",IF($M12450="PADD V","PADD 5","")))))</f>
        <v/>
      </c>
      <c r="G12450" s="6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  <c r="N12450" s="6">
        <f>IF(OR($G12450="FCC",$G12450="Hydrocracker",$G12450="Reformer"),IF(COUNTIFS($D:$D,$D12450,$A:$A,$A12450,$B:$B,$B12450,$G:$G,"CDU",$J:$J,"PLANNED")&gt;0,"tied","standalone"),"")</f>
        <v/>
      </c>
    </row>
    <row r="12451" spans="6:14">
      <c r="F12451" s="6">
        <f>IF($M12451="PADD I","PADD 1",IF($M12451="PADD II","PADD 2",IF($M12451="PADD III","PADD 3",IF($M12451="PADD IV","PADD 4",IF($M12451="PADD V","PADD 5","")))))</f>
        <v/>
      </c>
      <c r="G12451" s="6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  <c r="N12451" s="6">
        <f>IF(OR($G12451="FCC",$G12451="Hydrocracker",$G12451="Reformer"),IF(COUNTIFS($D:$D,$D12451,$A:$A,$A12451,$B:$B,$B12451,$G:$G,"CDU",$J:$J,"PLANNED")&gt;0,"tied","standalone"),"")</f>
        <v/>
      </c>
    </row>
    <row r="12452" spans="6:14">
      <c r="F12452" s="6">
        <f>IF($M12452="PADD I","PADD 1",IF($M12452="PADD II","PADD 2",IF($M12452="PADD III","PADD 3",IF($M12452="PADD IV","PADD 4",IF($M12452="PADD V","PADD 5","")))))</f>
        <v/>
      </c>
      <c r="G12452" s="6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  <c r="N12452" s="6">
        <f>IF(OR($G12452="FCC",$G12452="Hydrocracker",$G12452="Reformer"),IF(COUNTIFS($D:$D,$D12452,$A:$A,$A12452,$B:$B,$B12452,$G:$G,"CDU",$J:$J,"PLANNED")&gt;0,"tied","standalone"),"")</f>
        <v/>
      </c>
    </row>
    <row r="12453" spans="6:14">
      <c r="F12453" s="6">
        <f>IF($M12453="PADD I","PADD 1",IF($M12453="PADD II","PADD 2",IF($M12453="PADD III","PADD 3",IF($M12453="PADD IV","PADD 4",IF($M12453="PADD V","PADD 5","")))))</f>
        <v/>
      </c>
      <c r="G12453" s="6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  <c r="N12453" s="6">
        <f>IF(OR($G12453="FCC",$G12453="Hydrocracker",$G12453="Reformer"),IF(COUNTIFS($D:$D,$D12453,$A:$A,$A12453,$B:$B,$B12453,$G:$G,"CDU",$J:$J,"PLANNED")&gt;0,"tied","standalone"),"")</f>
        <v/>
      </c>
    </row>
    <row r="12454" spans="6:14">
      <c r="F12454" s="6">
        <f>IF($M12454="PADD I","PADD 1",IF($M12454="PADD II","PADD 2",IF($M12454="PADD III","PADD 3",IF($M12454="PADD IV","PADD 4",IF($M12454="PADD V","PADD 5","")))))</f>
        <v/>
      </c>
      <c r="G12454" s="6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  <c r="N12454" s="6">
        <f>IF(OR($G12454="FCC",$G12454="Hydrocracker",$G12454="Reformer"),IF(COUNTIFS($D:$D,$D12454,$A:$A,$A12454,$B:$B,$B12454,$G:$G,"CDU",$J:$J,"PLANNED")&gt;0,"tied","standalone"),"")</f>
        <v/>
      </c>
    </row>
    <row r="12455" spans="6:14">
      <c r="F12455" s="6">
        <f>IF($M12455="PADD I","PADD 1",IF($M12455="PADD II","PADD 2",IF($M12455="PADD III","PADD 3",IF($M12455="PADD IV","PADD 4",IF($M12455="PADD V","PADD 5","")))))</f>
        <v/>
      </c>
      <c r="G12455" s="6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  <c r="N12455" s="6">
        <f>IF(OR($G12455="FCC",$G12455="Hydrocracker",$G12455="Reformer"),IF(COUNTIFS($D:$D,$D12455,$A:$A,$A12455,$B:$B,$B12455,$G:$G,"CDU",$J:$J,"PLANNED")&gt;0,"tied","standalone"),"")</f>
        <v/>
      </c>
    </row>
    <row r="12456" spans="6:14">
      <c r="F12456" s="6">
        <f>IF($M12456="PADD I","PADD 1",IF($M12456="PADD II","PADD 2",IF($M12456="PADD III","PADD 3",IF($M12456="PADD IV","PADD 4",IF($M12456="PADD V","PADD 5","")))))</f>
        <v/>
      </c>
      <c r="G12456" s="6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  <c r="N12456" s="6">
        <f>IF(OR($G12456="FCC",$G12456="Hydrocracker",$G12456="Reformer"),IF(COUNTIFS($D:$D,$D12456,$A:$A,$A12456,$B:$B,$B12456,$G:$G,"CDU",$J:$J,"PLANNED")&gt;0,"tied","standalone"),"")</f>
        <v/>
      </c>
    </row>
    <row r="12457" spans="6:14">
      <c r="F12457" s="6">
        <f>IF($M12457="PADD I","PADD 1",IF($M12457="PADD II","PADD 2",IF($M12457="PADD III","PADD 3",IF($M12457="PADD IV","PADD 4",IF($M12457="PADD V","PADD 5","")))))</f>
        <v/>
      </c>
      <c r="G12457" s="6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  <c r="N12457" s="6">
        <f>IF(OR($G12457="FCC",$G12457="Hydrocracker",$G12457="Reformer"),IF(COUNTIFS($D:$D,$D12457,$A:$A,$A12457,$B:$B,$B12457,$G:$G,"CDU",$J:$J,"PLANNED")&gt;0,"tied","standalone"),"")</f>
        <v/>
      </c>
    </row>
    <row r="12458" spans="6:14">
      <c r="F12458" s="6">
        <f>IF($M12458="PADD I","PADD 1",IF($M12458="PADD II","PADD 2",IF($M12458="PADD III","PADD 3",IF($M12458="PADD IV","PADD 4",IF($M12458="PADD V","PADD 5","")))))</f>
        <v/>
      </c>
      <c r="G12458" s="6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  <c r="N12458" s="6">
        <f>IF(OR($G12458="FCC",$G12458="Hydrocracker",$G12458="Reformer"),IF(COUNTIFS($D:$D,$D12458,$A:$A,$A12458,$B:$B,$B12458,$G:$G,"CDU",$J:$J,"PLANNED")&gt;0,"tied","standalone"),"")</f>
        <v/>
      </c>
    </row>
    <row r="12459" spans="6:14">
      <c r="F12459" s="6">
        <f>IF($M12459="PADD I","PADD 1",IF($M12459="PADD II","PADD 2",IF($M12459="PADD III","PADD 3",IF($M12459="PADD IV","PADD 4",IF($M12459="PADD V","PADD 5","")))))</f>
        <v/>
      </c>
      <c r="G12459" s="6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  <c r="N12459" s="6">
        <f>IF(OR($G12459="FCC",$G12459="Hydrocracker",$G12459="Reformer"),IF(COUNTIFS($D:$D,$D12459,$A:$A,$A12459,$B:$B,$B12459,$G:$G,"CDU",$J:$J,"PLANNED")&gt;0,"tied","standalone"),"")</f>
        <v/>
      </c>
    </row>
    <row r="12460" spans="6:14">
      <c r="F12460" s="6">
        <f>IF($M12460="PADD I","PADD 1",IF($M12460="PADD II","PADD 2",IF($M12460="PADD III","PADD 3",IF($M12460="PADD IV","PADD 4",IF($M12460="PADD V","PADD 5","")))))</f>
        <v/>
      </c>
      <c r="G12460" s="6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  <c r="N12460" s="6">
        <f>IF(OR($G12460="FCC",$G12460="Hydrocracker",$G12460="Reformer"),IF(COUNTIFS($D:$D,$D12460,$A:$A,$A12460,$B:$B,$B12460,$G:$G,"CDU",$J:$J,"PLANNED")&gt;0,"tied","standalone"),"")</f>
        <v/>
      </c>
    </row>
    <row r="12461" spans="6:14">
      <c r="F12461" s="6">
        <f>IF($M12461="PADD I","PADD 1",IF($M12461="PADD II","PADD 2",IF($M12461="PADD III","PADD 3",IF($M12461="PADD IV","PADD 4",IF($M12461="PADD V","PADD 5","")))))</f>
        <v/>
      </c>
      <c r="G12461" s="6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  <c r="N12461" s="6">
        <f>IF(OR($G12461="FCC",$G12461="Hydrocracker",$G12461="Reformer"),IF(COUNTIFS($D:$D,$D12461,$A:$A,$A12461,$B:$B,$B12461,$G:$G,"CDU",$J:$J,"PLANNED")&gt;0,"tied","standalone"),"")</f>
        <v/>
      </c>
    </row>
    <row r="12462" spans="6:14">
      <c r="F12462" s="6">
        <f>IF($M12462="PADD I","PADD 1",IF($M12462="PADD II","PADD 2",IF($M12462="PADD III","PADD 3",IF($M12462="PADD IV","PADD 4",IF($M12462="PADD V","PADD 5","")))))</f>
        <v/>
      </c>
      <c r="G12462" s="6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  <c r="N12462" s="6">
        <f>IF(OR($G12462="FCC",$G12462="Hydrocracker",$G12462="Reformer"),IF(COUNTIFS($D:$D,$D12462,$A:$A,$A12462,$B:$B,$B12462,$G:$G,"CDU",$J:$J,"PLANNED")&gt;0,"tied","standalone"),"")</f>
        <v/>
      </c>
    </row>
    <row r="12463" spans="6:14">
      <c r="F12463" s="6">
        <f>IF($M12463="PADD I","PADD 1",IF($M12463="PADD II","PADD 2",IF($M12463="PADD III","PADD 3",IF($M12463="PADD IV","PADD 4",IF($M12463="PADD V","PADD 5","")))))</f>
        <v/>
      </c>
      <c r="G12463" s="6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  <c r="N12463" s="6">
        <f>IF(OR($G12463="FCC",$G12463="Hydrocracker",$G12463="Reformer"),IF(COUNTIFS($D:$D,$D12463,$A:$A,$A12463,$B:$B,$B12463,$G:$G,"CDU",$J:$J,"PLANNED")&gt;0,"tied","standalone"),"")</f>
        <v/>
      </c>
    </row>
    <row r="12464" spans="6:14">
      <c r="F12464" s="6">
        <f>IF($M12464="PADD I","PADD 1",IF($M12464="PADD II","PADD 2",IF($M12464="PADD III","PADD 3",IF($M12464="PADD IV","PADD 4",IF($M12464="PADD V","PADD 5","")))))</f>
        <v/>
      </c>
      <c r="G12464" s="6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  <c r="N12464" s="6">
        <f>IF(OR($G12464="FCC",$G12464="Hydrocracker",$G12464="Reformer"),IF(COUNTIFS($D:$D,$D12464,$A:$A,$A12464,$B:$B,$B12464,$G:$G,"CDU",$J:$J,"PLANNED")&gt;0,"tied","standalone"),"")</f>
        <v/>
      </c>
    </row>
    <row r="12465" spans="6:14">
      <c r="F12465" s="6">
        <f>IF($M12465="PADD I","PADD 1",IF($M12465="PADD II","PADD 2",IF($M12465="PADD III","PADD 3",IF($M12465="PADD IV","PADD 4",IF($M12465="PADD V","PADD 5","")))))</f>
        <v/>
      </c>
      <c r="G12465" s="6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  <c r="N12465" s="6">
        <f>IF(OR($G12465="FCC",$G12465="Hydrocracker",$G12465="Reformer"),IF(COUNTIFS($D:$D,$D12465,$A:$A,$A12465,$B:$B,$B12465,$G:$G,"CDU",$J:$J,"PLANNED")&gt;0,"tied","standalone"),"")</f>
        <v/>
      </c>
    </row>
    <row r="12466" spans="6:14">
      <c r="F12466" s="6">
        <f>IF($M12466="PADD I","PADD 1",IF($M12466="PADD II","PADD 2",IF($M12466="PADD III","PADD 3",IF($M12466="PADD IV","PADD 4",IF($M12466="PADD V","PADD 5","")))))</f>
        <v/>
      </c>
      <c r="G12466" s="6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  <c r="N12466" s="6">
        <f>IF(OR($G12466="FCC",$G12466="Hydrocracker",$G12466="Reformer"),IF(COUNTIFS($D:$D,$D12466,$A:$A,$A12466,$B:$B,$B12466,$G:$G,"CDU",$J:$J,"PLANNED")&gt;0,"tied","standalone"),"")</f>
        <v/>
      </c>
    </row>
    <row r="12467" spans="6:14">
      <c r="F12467" s="6">
        <f>IF($M12467="PADD I","PADD 1",IF($M12467="PADD II","PADD 2",IF($M12467="PADD III","PADD 3",IF($M12467="PADD IV","PADD 4",IF($M12467="PADD V","PADD 5","")))))</f>
        <v/>
      </c>
      <c r="G12467" s="6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  <c r="N12467" s="6">
        <f>IF(OR($G12467="FCC",$G12467="Hydrocracker",$G12467="Reformer"),IF(COUNTIFS($D:$D,$D12467,$A:$A,$A12467,$B:$B,$B12467,$G:$G,"CDU",$J:$J,"PLANNED")&gt;0,"tied","standalone"),"")</f>
        <v/>
      </c>
    </row>
    <row r="12468" spans="6:14">
      <c r="F12468" s="6">
        <f>IF($M12468="PADD I","PADD 1",IF($M12468="PADD II","PADD 2",IF($M12468="PADD III","PADD 3",IF($M12468="PADD IV","PADD 4",IF($M12468="PADD V","PADD 5","")))))</f>
        <v/>
      </c>
      <c r="G12468" s="6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  <c r="N12468" s="6">
        <f>IF(OR($G12468="FCC",$G12468="Hydrocracker",$G12468="Reformer"),IF(COUNTIFS($D:$D,$D12468,$A:$A,$A12468,$B:$B,$B12468,$G:$G,"CDU",$J:$J,"PLANNED")&gt;0,"tied","standalone"),"")</f>
        <v/>
      </c>
    </row>
    <row r="12469" spans="6:14">
      <c r="F12469" s="6">
        <f>IF($M12469="PADD I","PADD 1",IF($M12469="PADD II","PADD 2",IF($M12469="PADD III","PADD 3",IF($M12469="PADD IV","PADD 4",IF($M12469="PADD V","PADD 5","")))))</f>
        <v/>
      </c>
      <c r="G12469" s="6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  <c r="N12469" s="6">
        <f>IF(OR($G12469="FCC",$G12469="Hydrocracker",$G12469="Reformer"),IF(COUNTIFS($D:$D,$D12469,$A:$A,$A12469,$B:$B,$B12469,$G:$G,"CDU",$J:$J,"PLANNED")&gt;0,"tied","standalone"),"")</f>
        <v/>
      </c>
    </row>
    <row r="12470" spans="6:14">
      <c r="F12470" s="6">
        <f>IF($M12470="PADD I","PADD 1",IF($M12470="PADD II","PADD 2",IF($M12470="PADD III","PADD 3",IF($M12470="PADD IV","PADD 4",IF($M12470="PADD V","PADD 5","")))))</f>
        <v/>
      </c>
      <c r="G12470" s="6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  <c r="N12470" s="6">
        <f>IF(OR($G12470="FCC",$G12470="Hydrocracker",$G12470="Reformer"),IF(COUNTIFS($D:$D,$D12470,$A:$A,$A12470,$B:$B,$B12470,$G:$G,"CDU",$J:$J,"PLANNED")&gt;0,"tied","standalone"),"")</f>
        <v/>
      </c>
    </row>
    <row r="12471" spans="6:14">
      <c r="F12471" s="6">
        <f>IF($M12471="PADD I","PADD 1",IF($M12471="PADD II","PADD 2",IF($M12471="PADD III","PADD 3",IF($M12471="PADD IV","PADD 4",IF($M12471="PADD V","PADD 5","")))))</f>
        <v/>
      </c>
      <c r="G12471" s="6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  <c r="N12471" s="6">
        <f>IF(OR($G12471="FCC",$G12471="Hydrocracker",$G12471="Reformer"),IF(COUNTIFS($D:$D,$D12471,$A:$A,$A12471,$B:$B,$B12471,$G:$G,"CDU",$J:$J,"PLANNED")&gt;0,"tied","standalone"),"")</f>
        <v/>
      </c>
    </row>
    <row r="12472" spans="6:14">
      <c r="F12472" s="6">
        <f>IF($M12472="PADD I","PADD 1",IF($M12472="PADD II","PADD 2",IF($M12472="PADD III","PADD 3",IF($M12472="PADD IV","PADD 4",IF($M12472="PADD V","PADD 5","")))))</f>
        <v/>
      </c>
      <c r="G12472" s="6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  <c r="N12472" s="6">
        <f>IF(OR($G12472="FCC",$G12472="Hydrocracker",$G12472="Reformer"),IF(COUNTIFS($D:$D,$D12472,$A:$A,$A12472,$B:$B,$B12472,$G:$G,"CDU",$J:$J,"PLANNED")&gt;0,"tied","standalone"),"")</f>
        <v/>
      </c>
    </row>
    <row r="12473" spans="6:14">
      <c r="F12473" s="6">
        <f>IF($M12473="PADD I","PADD 1",IF($M12473="PADD II","PADD 2",IF($M12473="PADD III","PADD 3",IF($M12473="PADD IV","PADD 4",IF($M12473="PADD V","PADD 5","")))))</f>
        <v/>
      </c>
      <c r="G12473" s="6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  <c r="N12473" s="6">
        <f>IF(OR($G12473="FCC",$G12473="Hydrocracker",$G12473="Reformer"),IF(COUNTIFS($D:$D,$D12473,$A:$A,$A12473,$B:$B,$B12473,$G:$G,"CDU",$J:$J,"PLANNED")&gt;0,"tied","standalone"),"")</f>
        <v/>
      </c>
    </row>
    <row r="12474" spans="6:14">
      <c r="F12474" s="6">
        <f>IF($M12474="PADD I","PADD 1",IF($M12474="PADD II","PADD 2",IF($M12474="PADD III","PADD 3",IF($M12474="PADD IV","PADD 4",IF($M12474="PADD V","PADD 5","")))))</f>
        <v/>
      </c>
      <c r="G12474" s="6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  <c r="N12474" s="6">
        <f>IF(OR($G12474="FCC",$G12474="Hydrocracker",$G12474="Reformer"),IF(COUNTIFS($D:$D,$D12474,$A:$A,$A12474,$B:$B,$B12474,$G:$G,"CDU",$J:$J,"PLANNED")&gt;0,"tied","standalone"),"")</f>
        <v/>
      </c>
    </row>
    <row r="12475" spans="6:14">
      <c r="F12475" s="6">
        <f>IF($M12475="PADD I","PADD 1",IF($M12475="PADD II","PADD 2",IF($M12475="PADD III","PADD 3",IF($M12475="PADD IV","PADD 4",IF($M12475="PADD V","PADD 5","")))))</f>
        <v/>
      </c>
      <c r="G12475" s="6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  <c r="N12475" s="6">
        <f>IF(OR($G12475="FCC",$G12475="Hydrocracker",$G12475="Reformer"),IF(COUNTIFS($D:$D,$D12475,$A:$A,$A12475,$B:$B,$B12475,$G:$G,"CDU",$J:$J,"PLANNED")&gt;0,"tied","standalone"),"")</f>
        <v/>
      </c>
    </row>
    <row r="12476" spans="6:14">
      <c r="F12476" s="6">
        <f>IF($M12476="PADD I","PADD 1",IF($M12476="PADD II","PADD 2",IF($M12476="PADD III","PADD 3",IF($M12476="PADD IV","PADD 4",IF($M12476="PADD V","PADD 5","")))))</f>
        <v/>
      </c>
      <c r="G12476" s="6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  <c r="N12476" s="6">
        <f>IF(OR($G12476="FCC",$G12476="Hydrocracker",$G12476="Reformer"),IF(COUNTIFS($D:$D,$D12476,$A:$A,$A12476,$B:$B,$B12476,$G:$G,"CDU",$J:$J,"PLANNED")&gt;0,"tied","standalone"),"")</f>
        <v/>
      </c>
    </row>
    <row r="12477" spans="6:14">
      <c r="F12477" s="6">
        <f>IF($M12477="PADD I","PADD 1",IF($M12477="PADD II","PADD 2",IF($M12477="PADD III","PADD 3",IF($M12477="PADD IV","PADD 4",IF($M12477="PADD V","PADD 5","")))))</f>
        <v/>
      </c>
      <c r="G12477" s="6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  <c r="N12477" s="6">
        <f>IF(OR($G12477="FCC",$G12477="Hydrocracker",$G12477="Reformer"),IF(COUNTIFS($D:$D,$D12477,$A:$A,$A12477,$B:$B,$B12477,$G:$G,"CDU",$J:$J,"PLANNED")&gt;0,"tied","standalone"),"")</f>
        <v/>
      </c>
    </row>
    <row r="12478" spans="6:14">
      <c r="F12478" s="6">
        <f>IF($M12478="PADD I","PADD 1",IF($M12478="PADD II","PADD 2",IF($M12478="PADD III","PADD 3",IF($M12478="PADD IV","PADD 4",IF($M12478="PADD V","PADD 5","")))))</f>
        <v/>
      </c>
      <c r="G12478" s="6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  <c r="N12478" s="6">
        <f>IF(OR($G12478="FCC",$G12478="Hydrocracker",$G12478="Reformer"),IF(COUNTIFS($D:$D,$D12478,$A:$A,$A12478,$B:$B,$B12478,$G:$G,"CDU",$J:$J,"PLANNED")&gt;0,"tied","standalone"),"")</f>
        <v/>
      </c>
    </row>
    <row r="12479" spans="6:14">
      <c r="F12479" s="6">
        <f>IF($M12479="PADD I","PADD 1",IF($M12479="PADD II","PADD 2",IF($M12479="PADD III","PADD 3",IF($M12479="PADD IV","PADD 4",IF($M12479="PADD V","PADD 5","")))))</f>
        <v/>
      </c>
      <c r="G12479" s="6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  <c r="N12479" s="6">
        <f>IF(OR($G12479="FCC",$G12479="Hydrocracker",$G12479="Reformer"),IF(COUNTIFS($D:$D,$D12479,$A:$A,$A12479,$B:$B,$B12479,$G:$G,"CDU",$J:$J,"PLANNED")&gt;0,"tied","standalone"),"")</f>
        <v/>
      </c>
    </row>
    <row r="12480" spans="6:14">
      <c r="F12480" s="6">
        <f>IF($M12480="PADD I","PADD 1",IF($M12480="PADD II","PADD 2",IF($M12480="PADD III","PADD 3",IF($M12480="PADD IV","PADD 4",IF($M12480="PADD V","PADD 5","")))))</f>
        <v/>
      </c>
      <c r="G12480" s="6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  <c r="N12480" s="6">
        <f>IF(OR($G12480="FCC",$G12480="Hydrocracker",$G12480="Reformer"),IF(COUNTIFS($D:$D,$D12480,$A:$A,$A12480,$B:$B,$B12480,$G:$G,"CDU",$J:$J,"PLANNED")&gt;0,"tied","standalone"),"")</f>
        <v/>
      </c>
    </row>
    <row r="12481" spans="6:14">
      <c r="F12481" s="6">
        <f>IF($M12481="PADD I","PADD 1",IF($M12481="PADD II","PADD 2",IF($M12481="PADD III","PADD 3",IF($M12481="PADD IV","PADD 4",IF($M12481="PADD V","PADD 5","")))))</f>
        <v/>
      </c>
      <c r="G12481" s="6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  <c r="N12481" s="6">
        <f>IF(OR($G12481="FCC",$G12481="Hydrocracker",$G12481="Reformer"),IF(COUNTIFS($D:$D,$D12481,$A:$A,$A12481,$B:$B,$B12481,$G:$G,"CDU",$J:$J,"PLANNED")&gt;0,"tied","standalone"),"")</f>
        <v/>
      </c>
    </row>
    <row r="12482" spans="6:14">
      <c r="F12482" s="6">
        <f>IF($M12482="PADD I","PADD 1",IF($M12482="PADD II","PADD 2",IF($M12482="PADD III","PADD 3",IF($M12482="PADD IV","PADD 4",IF($M12482="PADD V","PADD 5","")))))</f>
        <v/>
      </c>
      <c r="G12482" s="6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  <c r="N12482" s="6">
        <f>IF(OR($G12482="FCC",$G12482="Hydrocracker",$G12482="Reformer"),IF(COUNTIFS($D:$D,$D12482,$A:$A,$A12482,$B:$B,$B12482,$G:$G,"CDU",$J:$J,"PLANNED")&gt;0,"tied","standalone"),"")</f>
        <v/>
      </c>
    </row>
    <row r="12483" spans="6:14">
      <c r="F12483" s="6">
        <f>IF($M12483="PADD I","PADD 1",IF($M12483="PADD II","PADD 2",IF($M12483="PADD III","PADD 3",IF($M12483="PADD IV","PADD 4",IF($M12483="PADD V","PADD 5","")))))</f>
        <v/>
      </c>
      <c r="G12483" s="6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  <c r="N12483" s="6">
        <f>IF(OR($G12483="FCC",$G12483="Hydrocracker",$G12483="Reformer"),IF(COUNTIFS($D:$D,$D12483,$A:$A,$A12483,$B:$B,$B12483,$G:$G,"CDU",$J:$J,"PLANNED")&gt;0,"tied","standalone"),"")</f>
        <v/>
      </c>
    </row>
    <row r="12484" spans="6:14">
      <c r="F12484" s="6">
        <f>IF($M12484="PADD I","PADD 1",IF($M12484="PADD II","PADD 2",IF($M12484="PADD III","PADD 3",IF($M12484="PADD IV","PADD 4",IF($M12484="PADD V","PADD 5","")))))</f>
        <v/>
      </c>
      <c r="G12484" s="6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  <c r="N12484" s="6">
        <f>IF(OR($G12484="FCC",$G12484="Hydrocracker",$G12484="Reformer"),IF(COUNTIFS($D:$D,$D12484,$A:$A,$A12484,$B:$B,$B12484,$G:$G,"CDU",$J:$J,"PLANNED")&gt;0,"tied","standalone"),"")</f>
        <v/>
      </c>
    </row>
    <row r="12485" spans="6:14">
      <c r="F12485" s="6">
        <f>IF($M12485="PADD I","PADD 1",IF($M12485="PADD II","PADD 2",IF($M12485="PADD III","PADD 3",IF($M12485="PADD IV","PADD 4",IF($M12485="PADD V","PADD 5","")))))</f>
        <v/>
      </c>
      <c r="G12485" s="6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  <c r="N12485" s="6">
        <f>IF(OR($G12485="FCC",$G12485="Hydrocracker",$G12485="Reformer"),IF(COUNTIFS($D:$D,$D12485,$A:$A,$A12485,$B:$B,$B12485,$G:$G,"CDU",$J:$J,"PLANNED")&gt;0,"tied","standalone"),"")</f>
        <v/>
      </c>
    </row>
    <row r="12486" spans="6:14">
      <c r="F12486" s="6">
        <f>IF($M12486="PADD I","PADD 1",IF($M12486="PADD II","PADD 2",IF($M12486="PADD III","PADD 3",IF($M12486="PADD IV","PADD 4",IF($M12486="PADD V","PADD 5","")))))</f>
        <v/>
      </c>
      <c r="G12486" s="6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  <c r="N12486" s="6">
        <f>IF(OR($G12486="FCC",$G12486="Hydrocracker",$G12486="Reformer"),IF(COUNTIFS($D:$D,$D12486,$A:$A,$A12486,$B:$B,$B12486,$G:$G,"CDU",$J:$J,"PLANNED")&gt;0,"tied","standalone"),"")</f>
        <v/>
      </c>
    </row>
    <row r="12487" spans="6:14">
      <c r="F12487" s="6">
        <f>IF($M12487="PADD I","PADD 1",IF($M12487="PADD II","PADD 2",IF($M12487="PADD III","PADD 3",IF($M12487="PADD IV","PADD 4",IF($M12487="PADD V","PADD 5","")))))</f>
        <v/>
      </c>
      <c r="G12487" s="6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  <c r="N12487" s="6">
        <f>IF(OR($G12487="FCC",$G12487="Hydrocracker",$G12487="Reformer"),IF(COUNTIFS($D:$D,$D12487,$A:$A,$A12487,$B:$B,$B12487,$G:$G,"CDU",$J:$J,"PLANNED")&gt;0,"tied","standalone"),"")</f>
        <v/>
      </c>
    </row>
    <row r="12488" spans="6:14">
      <c r="F12488" s="6">
        <f>IF($M12488="PADD I","PADD 1",IF($M12488="PADD II","PADD 2",IF($M12488="PADD III","PADD 3",IF($M12488="PADD IV","PADD 4",IF($M12488="PADD V","PADD 5","")))))</f>
        <v/>
      </c>
      <c r="G12488" s="6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  <c r="N12488" s="6">
        <f>IF(OR($G12488="FCC",$G12488="Hydrocracker",$G12488="Reformer"),IF(COUNTIFS($D:$D,$D12488,$A:$A,$A12488,$B:$B,$B12488,$G:$G,"CDU",$J:$J,"PLANNED")&gt;0,"tied","standalone"),"")</f>
        <v/>
      </c>
    </row>
    <row r="12489" spans="6:14">
      <c r="F12489" s="6">
        <f>IF($M12489="PADD I","PADD 1",IF($M12489="PADD II","PADD 2",IF($M12489="PADD III","PADD 3",IF($M12489="PADD IV","PADD 4",IF($M12489="PADD V","PADD 5","")))))</f>
        <v/>
      </c>
      <c r="G12489" s="6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  <c r="N12489" s="6">
        <f>IF(OR($G12489="FCC",$G12489="Hydrocracker",$G12489="Reformer"),IF(COUNTIFS($D:$D,$D12489,$A:$A,$A12489,$B:$B,$B12489,$G:$G,"CDU",$J:$J,"PLANNED")&gt;0,"tied","standalone"),"")</f>
        <v/>
      </c>
    </row>
    <row r="12490" spans="6:14">
      <c r="F12490" s="6">
        <f>IF($M12490="PADD I","PADD 1",IF($M12490="PADD II","PADD 2",IF($M12490="PADD III","PADD 3",IF($M12490="PADD IV","PADD 4",IF($M12490="PADD V","PADD 5","")))))</f>
        <v/>
      </c>
      <c r="G12490" s="6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  <c r="N12490" s="6">
        <f>IF(OR($G12490="FCC",$G12490="Hydrocracker",$G12490="Reformer"),IF(COUNTIFS($D:$D,$D12490,$A:$A,$A12490,$B:$B,$B12490,$G:$G,"CDU",$J:$J,"PLANNED")&gt;0,"tied","standalone"),"")</f>
        <v/>
      </c>
    </row>
    <row r="12491" spans="6:14">
      <c r="F12491" s="6">
        <f>IF($M12491="PADD I","PADD 1",IF($M12491="PADD II","PADD 2",IF($M12491="PADD III","PADD 3",IF($M12491="PADD IV","PADD 4",IF($M12491="PADD V","PADD 5","")))))</f>
        <v/>
      </c>
      <c r="G12491" s="6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  <c r="N12491" s="6">
        <f>IF(OR($G12491="FCC",$G12491="Hydrocracker",$G12491="Reformer"),IF(COUNTIFS($D:$D,$D12491,$A:$A,$A12491,$B:$B,$B12491,$G:$G,"CDU",$J:$J,"PLANNED")&gt;0,"tied","standalone"),"")</f>
        <v/>
      </c>
    </row>
    <row r="12492" spans="6:14">
      <c r="F12492" s="6">
        <f>IF($M12492="PADD I","PADD 1",IF($M12492="PADD II","PADD 2",IF($M12492="PADD III","PADD 3",IF($M12492="PADD IV","PADD 4",IF($M12492="PADD V","PADD 5","")))))</f>
        <v/>
      </c>
      <c r="G12492" s="6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  <c r="N12492" s="6">
        <f>IF(OR($G12492="FCC",$G12492="Hydrocracker",$G12492="Reformer"),IF(COUNTIFS($D:$D,$D12492,$A:$A,$A12492,$B:$B,$B12492,$G:$G,"CDU",$J:$J,"PLANNED")&gt;0,"tied","standalone"),"")</f>
        <v/>
      </c>
    </row>
    <row r="12493" spans="6:14">
      <c r="F12493" s="6">
        <f>IF($M12493="PADD I","PADD 1",IF($M12493="PADD II","PADD 2",IF($M12493="PADD III","PADD 3",IF($M12493="PADD IV","PADD 4",IF($M12493="PADD V","PADD 5","")))))</f>
        <v/>
      </c>
      <c r="G12493" s="6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  <c r="N12493" s="6">
        <f>IF(OR($G12493="FCC",$G12493="Hydrocracker",$G12493="Reformer"),IF(COUNTIFS($D:$D,$D12493,$A:$A,$A12493,$B:$B,$B12493,$G:$G,"CDU",$J:$J,"PLANNED")&gt;0,"tied","standalone"),"")</f>
        <v/>
      </c>
    </row>
    <row r="12494" spans="6:14">
      <c r="F12494" s="6">
        <f>IF($M12494="PADD I","PADD 1",IF($M12494="PADD II","PADD 2",IF($M12494="PADD III","PADD 3",IF($M12494="PADD IV","PADD 4",IF($M12494="PADD V","PADD 5","")))))</f>
        <v/>
      </c>
      <c r="G12494" s="6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  <c r="N12494" s="6">
        <f>IF(OR($G12494="FCC",$G12494="Hydrocracker",$G12494="Reformer"),IF(COUNTIFS($D:$D,$D12494,$A:$A,$A12494,$B:$B,$B12494,$G:$G,"CDU",$J:$J,"PLANNED")&gt;0,"tied","standalone"),"")</f>
        <v/>
      </c>
    </row>
    <row r="12495" spans="6:14">
      <c r="F12495" s="6">
        <f>IF($M12495="PADD I","PADD 1",IF($M12495="PADD II","PADD 2",IF($M12495="PADD III","PADD 3",IF($M12495="PADD IV","PADD 4",IF($M12495="PADD V","PADD 5","")))))</f>
        <v/>
      </c>
      <c r="G12495" s="6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  <c r="N12495" s="6">
        <f>IF(OR($G12495="FCC",$G12495="Hydrocracker",$G12495="Reformer"),IF(COUNTIFS($D:$D,$D12495,$A:$A,$A12495,$B:$B,$B12495,$G:$G,"CDU",$J:$J,"PLANNED")&gt;0,"tied","standalone"),"")</f>
        <v/>
      </c>
    </row>
    <row r="12496" spans="6:14">
      <c r="F12496" s="6">
        <f>IF($M12496="PADD I","PADD 1",IF($M12496="PADD II","PADD 2",IF($M12496="PADD III","PADD 3",IF($M12496="PADD IV","PADD 4",IF($M12496="PADD V","PADD 5","")))))</f>
        <v/>
      </c>
      <c r="G12496" s="6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  <c r="N12496" s="6">
        <f>IF(OR($G12496="FCC",$G12496="Hydrocracker",$G12496="Reformer"),IF(COUNTIFS($D:$D,$D12496,$A:$A,$A12496,$B:$B,$B12496,$G:$G,"CDU",$J:$J,"PLANNED")&gt;0,"tied","standalone"),"")</f>
        <v/>
      </c>
    </row>
    <row r="12497" spans="6:14">
      <c r="F12497" s="6">
        <f>IF($M12497="PADD I","PADD 1",IF($M12497="PADD II","PADD 2",IF($M12497="PADD III","PADD 3",IF($M12497="PADD IV","PADD 4",IF($M12497="PADD V","PADD 5","")))))</f>
        <v/>
      </c>
      <c r="G12497" s="6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  <c r="N12497" s="6">
        <f>IF(OR($G12497="FCC",$G12497="Hydrocracker",$G12497="Reformer"),IF(COUNTIFS($D:$D,$D12497,$A:$A,$A12497,$B:$B,$B12497,$G:$G,"CDU",$J:$J,"PLANNED")&gt;0,"tied","standalone"),"")</f>
        <v/>
      </c>
    </row>
    <row r="12498" spans="6:14">
      <c r="F12498" s="6">
        <f>IF($M12498="PADD I","PADD 1",IF($M12498="PADD II","PADD 2",IF($M12498="PADD III","PADD 3",IF($M12498="PADD IV","PADD 4",IF($M12498="PADD V","PADD 5","")))))</f>
        <v/>
      </c>
      <c r="G12498" s="6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  <c r="N12498" s="6">
        <f>IF(OR($G12498="FCC",$G12498="Hydrocracker",$G12498="Reformer"),IF(COUNTIFS($D:$D,$D12498,$A:$A,$A12498,$B:$B,$B12498,$G:$G,"CDU",$J:$J,"PLANNED")&gt;0,"tied","standalone"),"")</f>
        <v/>
      </c>
    </row>
    <row r="12499" spans="6:14">
      <c r="F12499" s="6">
        <f>IF($M12499="PADD I","PADD 1",IF($M12499="PADD II","PADD 2",IF($M12499="PADD III","PADD 3",IF($M12499="PADD IV","PADD 4",IF($M12499="PADD V","PADD 5","")))))</f>
        <v/>
      </c>
      <c r="G12499" s="6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  <c r="N12499" s="6">
        <f>IF(OR($G12499="FCC",$G12499="Hydrocracker",$G12499="Reformer"),IF(COUNTIFS($D:$D,$D12499,$A:$A,$A12499,$B:$B,$B12499,$G:$G,"CDU",$J:$J,"PLANNED")&gt;0,"tied","standalone"),"")</f>
        <v/>
      </c>
    </row>
    <row r="12500" spans="6:14">
      <c r="F12500" s="6">
        <f>IF($M12500="PADD I","PADD 1",IF($M12500="PADD II","PADD 2",IF($M12500="PADD III","PADD 3",IF($M12500="PADD IV","PADD 4",IF($M12500="PADD V","PADD 5","")))))</f>
        <v/>
      </c>
      <c r="G12500" s="6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  <c r="N12500" s="6">
        <f>IF(OR($G12500="FCC",$G12500="Hydrocracker",$G12500="Reformer"),IF(COUNTIFS($D:$D,$D12500,$A:$A,$A12500,$B:$B,$B12500,$G:$G,"CDU",$J:$J,"PLANNED")&gt;0,"tied","standalone"),"")</f>
        <v/>
      </c>
    </row>
    <row r="12501" spans="6:14">
      <c r="F12501" s="6">
        <f>IF($M12501="PADD I","PADD 1",IF($M12501="PADD II","PADD 2",IF($M12501="PADD III","PADD 3",IF($M12501="PADD IV","PADD 4",IF($M12501="PADD V","PADD 5","")))))</f>
        <v/>
      </c>
      <c r="G12501" s="6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  <c r="N12501" s="6">
        <f>IF(OR($G12501="FCC",$G12501="Hydrocracker",$G12501="Reformer"),IF(COUNTIFS($D:$D,$D12501,$A:$A,$A12501,$B:$B,$B12501,$G:$G,"CDU",$J:$J,"PLANNED")&gt;0,"tied","standalone"),"")</f>
        <v/>
      </c>
    </row>
    <row r="12502" spans="6:14">
      <c r="F12502" s="6">
        <f>IF($M12502="PADD I","PADD 1",IF($M12502="PADD II","PADD 2",IF($M12502="PADD III","PADD 3",IF($M12502="PADD IV","PADD 4",IF($M12502="PADD V","PADD 5","")))))</f>
        <v/>
      </c>
      <c r="G12502" s="6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  <c r="N12502" s="6">
        <f>IF(OR($G12502="FCC",$G12502="Hydrocracker",$G12502="Reformer"),IF(COUNTIFS($D:$D,$D12502,$A:$A,$A12502,$B:$B,$B12502,$G:$G,"CDU",$J:$J,"PLANNED")&gt;0,"tied","standalone"),"")</f>
        <v/>
      </c>
    </row>
    <row r="12503" spans="6:14">
      <c r="F12503" s="6">
        <f>IF($M12503="PADD I","PADD 1",IF($M12503="PADD II","PADD 2",IF($M12503="PADD III","PADD 3",IF($M12503="PADD IV","PADD 4",IF($M12503="PADD V","PADD 5","")))))</f>
        <v/>
      </c>
      <c r="G12503" s="6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  <c r="N12503" s="6">
        <f>IF(OR($G12503="FCC",$G12503="Hydrocracker",$G12503="Reformer"),IF(COUNTIFS($D:$D,$D12503,$A:$A,$A12503,$B:$B,$B12503,$G:$G,"CDU",$J:$J,"PLANNED")&gt;0,"tied","standalone"),"")</f>
        <v/>
      </c>
    </row>
    <row r="12504" spans="6:14">
      <c r="F12504" s="6">
        <f>IF($M12504="PADD I","PADD 1",IF($M12504="PADD II","PADD 2",IF($M12504="PADD III","PADD 3",IF($M12504="PADD IV","PADD 4",IF($M12504="PADD V","PADD 5","")))))</f>
        <v/>
      </c>
      <c r="G12504" s="6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  <c r="N12504" s="6">
        <f>IF(OR($G12504="FCC",$G12504="Hydrocracker",$G12504="Reformer"),IF(COUNTIFS($D:$D,$D12504,$A:$A,$A12504,$B:$B,$B12504,$G:$G,"CDU",$J:$J,"PLANNED")&gt;0,"tied","standalone"),"")</f>
        <v/>
      </c>
    </row>
    <row r="12505" spans="6:14">
      <c r="F12505" s="6">
        <f>IF($M12505="PADD I","PADD 1",IF($M12505="PADD II","PADD 2",IF($M12505="PADD III","PADD 3",IF($M12505="PADD IV","PADD 4",IF($M12505="PADD V","PADD 5","")))))</f>
        <v/>
      </c>
      <c r="G12505" s="6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  <c r="N12505" s="6">
        <f>IF(OR($G12505="FCC",$G12505="Hydrocracker",$G12505="Reformer"),IF(COUNTIFS($D:$D,$D12505,$A:$A,$A12505,$B:$B,$B12505,$G:$G,"CDU",$J:$J,"PLANNED")&gt;0,"tied","standalone"),"")</f>
        <v/>
      </c>
    </row>
    <row r="12506" spans="6:14">
      <c r="F12506" s="6">
        <f>IF($M12506="PADD I","PADD 1",IF($M12506="PADD II","PADD 2",IF($M12506="PADD III","PADD 3",IF($M12506="PADD IV","PADD 4",IF($M12506="PADD V","PADD 5","")))))</f>
        <v/>
      </c>
      <c r="G12506" s="6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  <c r="N12506" s="6">
        <f>IF(OR($G12506="FCC",$G12506="Hydrocracker",$G12506="Reformer"),IF(COUNTIFS($D:$D,$D12506,$A:$A,$A12506,$B:$B,$B12506,$G:$G,"CDU",$J:$J,"PLANNED")&gt;0,"tied","standalone"),"")</f>
        <v/>
      </c>
    </row>
    <row r="12507" spans="6:14">
      <c r="F12507" s="6">
        <f>IF($M12507="PADD I","PADD 1",IF($M12507="PADD II","PADD 2",IF($M12507="PADD III","PADD 3",IF($M12507="PADD IV","PADD 4",IF($M12507="PADD V","PADD 5","")))))</f>
        <v/>
      </c>
      <c r="G12507" s="6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  <c r="N12507" s="6">
        <f>IF(OR($G12507="FCC",$G12507="Hydrocracker",$G12507="Reformer"),IF(COUNTIFS($D:$D,$D12507,$A:$A,$A12507,$B:$B,$B12507,$G:$G,"CDU",$J:$J,"PLANNED")&gt;0,"tied","standalone"),"")</f>
        <v/>
      </c>
    </row>
    <row r="12508" spans="6:14">
      <c r="F12508" s="6">
        <f>IF($M12508="PADD I","PADD 1",IF($M12508="PADD II","PADD 2",IF($M12508="PADD III","PADD 3",IF($M12508="PADD IV","PADD 4",IF($M12508="PADD V","PADD 5","")))))</f>
        <v/>
      </c>
      <c r="G12508" s="6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  <c r="N12508" s="6">
        <f>IF(OR($G12508="FCC",$G12508="Hydrocracker",$G12508="Reformer"),IF(COUNTIFS($D:$D,$D12508,$A:$A,$A12508,$B:$B,$B12508,$G:$G,"CDU",$J:$J,"PLANNED")&gt;0,"tied","standalone"),"")</f>
        <v/>
      </c>
    </row>
    <row r="12509" spans="6:14">
      <c r="F12509" s="6">
        <f>IF($M12509="PADD I","PADD 1",IF($M12509="PADD II","PADD 2",IF($M12509="PADD III","PADD 3",IF($M12509="PADD IV","PADD 4",IF($M12509="PADD V","PADD 5","")))))</f>
        <v/>
      </c>
      <c r="G12509" s="6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  <c r="N12509" s="6">
        <f>IF(OR($G12509="FCC",$G12509="Hydrocracker",$G12509="Reformer"),IF(COUNTIFS($D:$D,$D12509,$A:$A,$A12509,$B:$B,$B12509,$G:$G,"CDU",$J:$J,"PLANNED")&gt;0,"tied","standalone"),"")</f>
        <v/>
      </c>
    </row>
    <row r="12510" spans="6:14">
      <c r="F12510" s="6">
        <f>IF($M12510="PADD I","PADD 1",IF($M12510="PADD II","PADD 2",IF($M12510="PADD III","PADD 3",IF($M12510="PADD IV","PADD 4",IF($M12510="PADD V","PADD 5","")))))</f>
        <v/>
      </c>
      <c r="G12510" s="6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  <c r="N12510" s="6">
        <f>IF(OR($G12510="FCC",$G12510="Hydrocracker",$G12510="Reformer"),IF(COUNTIFS($D:$D,$D12510,$A:$A,$A12510,$B:$B,$B12510,$G:$G,"CDU",$J:$J,"PLANNED")&gt;0,"tied","standalone"),"")</f>
        <v/>
      </c>
    </row>
    <row r="12511" spans="6:14">
      <c r="F12511" s="6">
        <f>IF($M12511="PADD I","PADD 1",IF($M12511="PADD II","PADD 2",IF($M12511="PADD III","PADD 3",IF($M12511="PADD IV","PADD 4",IF($M12511="PADD V","PADD 5","")))))</f>
        <v/>
      </c>
      <c r="G12511" s="6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  <c r="N12511" s="6">
        <f>IF(OR($G12511="FCC",$G12511="Hydrocracker",$G12511="Reformer"),IF(COUNTIFS($D:$D,$D12511,$A:$A,$A12511,$B:$B,$B12511,$G:$G,"CDU",$J:$J,"PLANNED")&gt;0,"tied","standalone"),"")</f>
        <v/>
      </c>
    </row>
    <row r="12512" spans="6:14">
      <c r="F12512" s="6">
        <f>IF($M12512="PADD I","PADD 1",IF($M12512="PADD II","PADD 2",IF($M12512="PADD III","PADD 3",IF($M12512="PADD IV","PADD 4",IF($M12512="PADD V","PADD 5","")))))</f>
        <v/>
      </c>
      <c r="G12512" s="6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  <c r="N12512" s="6">
        <f>IF(OR($G12512="FCC",$G12512="Hydrocracker",$G12512="Reformer"),IF(COUNTIFS($D:$D,$D12512,$A:$A,$A12512,$B:$B,$B12512,$G:$G,"CDU",$J:$J,"PLANNED")&gt;0,"tied","standalone"),"")</f>
        <v/>
      </c>
    </row>
    <row r="12513" spans="6:14">
      <c r="F12513" s="6">
        <f>IF($M12513="PADD I","PADD 1",IF($M12513="PADD II","PADD 2",IF($M12513="PADD III","PADD 3",IF($M12513="PADD IV","PADD 4",IF($M12513="PADD V","PADD 5","")))))</f>
        <v/>
      </c>
      <c r="G12513" s="6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  <c r="N12513" s="6">
        <f>IF(OR($G12513="FCC",$G12513="Hydrocracker",$G12513="Reformer"),IF(COUNTIFS($D:$D,$D12513,$A:$A,$A12513,$B:$B,$B12513,$G:$G,"CDU",$J:$J,"PLANNED")&gt;0,"tied","standalone"),"")</f>
        <v/>
      </c>
    </row>
    <row r="12514" spans="6:14">
      <c r="F12514" s="6">
        <f>IF($M12514="PADD I","PADD 1",IF($M12514="PADD II","PADD 2",IF($M12514="PADD III","PADD 3",IF($M12514="PADD IV","PADD 4",IF($M12514="PADD V","PADD 5","")))))</f>
        <v/>
      </c>
      <c r="G12514" s="6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  <c r="N12514" s="6">
        <f>IF(OR($G12514="FCC",$G12514="Hydrocracker",$G12514="Reformer"),IF(COUNTIFS($D:$D,$D12514,$A:$A,$A12514,$B:$B,$B12514,$G:$G,"CDU",$J:$J,"PLANNED")&gt;0,"tied","standalone"),"")</f>
        <v/>
      </c>
    </row>
    <row r="12515" spans="6:14">
      <c r="F12515" s="6">
        <f>IF($M12515="PADD I","PADD 1",IF($M12515="PADD II","PADD 2",IF($M12515="PADD III","PADD 3",IF($M12515="PADD IV","PADD 4",IF($M12515="PADD V","PADD 5","")))))</f>
        <v/>
      </c>
      <c r="G12515" s="6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  <c r="N12515" s="6">
        <f>IF(OR($G12515="FCC",$G12515="Hydrocracker",$G12515="Reformer"),IF(COUNTIFS($D:$D,$D12515,$A:$A,$A12515,$B:$B,$B12515,$G:$G,"CDU",$J:$J,"PLANNED")&gt;0,"tied","standalone"),"")</f>
        <v/>
      </c>
    </row>
    <row r="12516" spans="6:14">
      <c r="F12516" s="6">
        <f>IF($M12516="PADD I","PADD 1",IF($M12516="PADD II","PADD 2",IF($M12516="PADD III","PADD 3",IF($M12516="PADD IV","PADD 4",IF($M12516="PADD V","PADD 5","")))))</f>
        <v/>
      </c>
      <c r="G12516" s="6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  <c r="N12516" s="6">
        <f>IF(OR($G12516="FCC",$G12516="Hydrocracker",$G12516="Reformer"),IF(COUNTIFS($D:$D,$D12516,$A:$A,$A12516,$B:$B,$B12516,$G:$G,"CDU",$J:$J,"PLANNED")&gt;0,"tied","standalone"),"")</f>
        <v/>
      </c>
    </row>
    <row r="12517" spans="6:14">
      <c r="F12517" s="6">
        <f>IF($M12517="PADD I","PADD 1",IF($M12517="PADD II","PADD 2",IF($M12517="PADD III","PADD 3",IF($M12517="PADD IV","PADD 4",IF($M12517="PADD V","PADD 5","")))))</f>
        <v/>
      </c>
      <c r="G12517" s="6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  <c r="N12517" s="6">
        <f>IF(OR($G12517="FCC",$G12517="Hydrocracker",$G12517="Reformer"),IF(COUNTIFS($D:$D,$D12517,$A:$A,$A12517,$B:$B,$B12517,$G:$G,"CDU",$J:$J,"PLANNED")&gt;0,"tied","standalone"),"")</f>
        <v/>
      </c>
    </row>
    <row r="12518" spans="6:14">
      <c r="F12518" s="6">
        <f>IF($M12518="PADD I","PADD 1",IF($M12518="PADD II","PADD 2",IF($M12518="PADD III","PADD 3",IF($M12518="PADD IV","PADD 4",IF($M12518="PADD V","PADD 5","")))))</f>
        <v/>
      </c>
      <c r="G12518" s="6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  <c r="N12518" s="6">
        <f>IF(OR($G12518="FCC",$G12518="Hydrocracker",$G12518="Reformer"),IF(COUNTIFS($D:$D,$D12518,$A:$A,$A12518,$B:$B,$B12518,$G:$G,"CDU",$J:$J,"PLANNED")&gt;0,"tied","standalone"),"")</f>
        <v/>
      </c>
    </row>
    <row r="12519" spans="6:14">
      <c r="F12519" s="6">
        <f>IF($M12519="PADD I","PADD 1",IF($M12519="PADD II","PADD 2",IF($M12519="PADD III","PADD 3",IF($M12519="PADD IV","PADD 4",IF($M12519="PADD V","PADD 5","")))))</f>
        <v/>
      </c>
      <c r="G12519" s="6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  <c r="N12519" s="6">
        <f>IF(OR($G12519="FCC",$G12519="Hydrocracker",$G12519="Reformer"),IF(COUNTIFS($D:$D,$D12519,$A:$A,$A12519,$B:$B,$B12519,$G:$G,"CDU",$J:$J,"PLANNED")&gt;0,"tied","standalone"),"")</f>
        <v/>
      </c>
    </row>
    <row r="12520" spans="6:14">
      <c r="F12520" s="6">
        <f>IF($M12520="PADD I","PADD 1",IF($M12520="PADD II","PADD 2",IF($M12520="PADD III","PADD 3",IF($M12520="PADD IV","PADD 4",IF($M12520="PADD V","PADD 5","")))))</f>
        <v/>
      </c>
      <c r="G12520" s="6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  <c r="N12520" s="6">
        <f>IF(OR($G12520="FCC",$G12520="Hydrocracker",$G12520="Reformer"),IF(COUNTIFS($D:$D,$D12520,$A:$A,$A12520,$B:$B,$B12520,$G:$G,"CDU",$J:$J,"PLANNED")&gt;0,"tied","standalone"),"")</f>
        <v/>
      </c>
    </row>
    <row r="12521" spans="6:14">
      <c r="F12521" s="6">
        <f>IF($M12521="PADD I","PADD 1",IF($M12521="PADD II","PADD 2",IF($M12521="PADD III","PADD 3",IF($M12521="PADD IV","PADD 4",IF($M12521="PADD V","PADD 5","")))))</f>
        <v/>
      </c>
      <c r="G12521" s="6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  <c r="N12521" s="6">
        <f>IF(OR($G12521="FCC",$G12521="Hydrocracker",$G12521="Reformer"),IF(COUNTIFS($D:$D,$D12521,$A:$A,$A12521,$B:$B,$B12521,$G:$G,"CDU",$J:$J,"PLANNED")&gt;0,"tied","standalone"),"")</f>
        <v/>
      </c>
    </row>
    <row r="12522" spans="6:14">
      <c r="F12522" s="6">
        <f>IF($M12522="PADD I","PADD 1",IF($M12522="PADD II","PADD 2",IF($M12522="PADD III","PADD 3",IF($M12522="PADD IV","PADD 4",IF($M12522="PADD V","PADD 5","")))))</f>
        <v/>
      </c>
      <c r="G12522" s="6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  <c r="N12522" s="6">
        <f>IF(OR($G12522="FCC",$G12522="Hydrocracker",$G12522="Reformer"),IF(COUNTIFS($D:$D,$D12522,$A:$A,$A12522,$B:$B,$B12522,$G:$G,"CDU",$J:$J,"PLANNED")&gt;0,"tied","standalone"),"")</f>
        <v/>
      </c>
    </row>
    <row r="12523" spans="6:14">
      <c r="F12523" s="6">
        <f>IF($M12523="PADD I","PADD 1",IF($M12523="PADD II","PADD 2",IF($M12523="PADD III","PADD 3",IF($M12523="PADD IV","PADD 4",IF($M12523="PADD V","PADD 5","")))))</f>
        <v/>
      </c>
      <c r="G12523" s="6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  <c r="N12523" s="6">
        <f>IF(OR($G12523="FCC",$G12523="Hydrocracker",$G12523="Reformer"),IF(COUNTIFS($D:$D,$D12523,$A:$A,$A12523,$B:$B,$B12523,$G:$G,"CDU",$J:$J,"PLANNED")&gt;0,"tied","standalone"),"")</f>
        <v/>
      </c>
    </row>
    <row r="12524" spans="6:14">
      <c r="F12524" s="6">
        <f>IF($M12524="PADD I","PADD 1",IF($M12524="PADD II","PADD 2",IF($M12524="PADD III","PADD 3",IF($M12524="PADD IV","PADD 4",IF($M12524="PADD V","PADD 5","")))))</f>
        <v/>
      </c>
      <c r="G12524" s="6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  <c r="N12524" s="6">
        <f>IF(OR($G12524="FCC",$G12524="Hydrocracker",$G12524="Reformer"),IF(COUNTIFS($D:$D,$D12524,$A:$A,$A12524,$B:$B,$B12524,$G:$G,"CDU",$J:$J,"PLANNED")&gt;0,"tied","standalone"),"")</f>
        <v/>
      </c>
    </row>
    <row r="12525" spans="6:14">
      <c r="F12525" s="6">
        <f>IF($M12525="PADD I","PADD 1",IF($M12525="PADD II","PADD 2",IF($M12525="PADD III","PADD 3",IF($M12525="PADD IV","PADD 4",IF($M12525="PADD V","PADD 5","")))))</f>
        <v/>
      </c>
      <c r="G12525" s="6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  <c r="N12525" s="6">
        <f>IF(OR($G12525="FCC",$G12525="Hydrocracker",$G12525="Reformer"),IF(COUNTIFS($D:$D,$D12525,$A:$A,$A12525,$B:$B,$B12525,$G:$G,"CDU",$J:$J,"PLANNED")&gt;0,"tied","standalone"),"")</f>
        <v/>
      </c>
    </row>
    <row r="12526" spans="6:14">
      <c r="F12526" s="6">
        <f>IF($M12526="PADD I","PADD 1",IF($M12526="PADD II","PADD 2",IF($M12526="PADD III","PADD 3",IF($M12526="PADD IV","PADD 4",IF($M12526="PADD V","PADD 5","")))))</f>
        <v/>
      </c>
      <c r="G12526" s="6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  <c r="N12526" s="6">
        <f>IF(OR($G12526="FCC",$G12526="Hydrocracker",$G12526="Reformer"),IF(COUNTIFS($D:$D,$D12526,$A:$A,$A12526,$B:$B,$B12526,$G:$G,"CDU",$J:$J,"PLANNED")&gt;0,"tied","standalone"),"")</f>
        <v/>
      </c>
    </row>
    <row r="12527" spans="6:14">
      <c r="F12527" s="6">
        <f>IF($M12527="PADD I","PADD 1",IF($M12527="PADD II","PADD 2",IF($M12527="PADD III","PADD 3",IF($M12527="PADD IV","PADD 4",IF($M12527="PADD V","PADD 5","")))))</f>
        <v/>
      </c>
      <c r="G12527" s="6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  <c r="N12527" s="6">
        <f>IF(OR($G12527="FCC",$G12527="Hydrocracker",$G12527="Reformer"),IF(COUNTIFS($D:$D,$D12527,$A:$A,$A12527,$B:$B,$B12527,$G:$G,"CDU",$J:$J,"PLANNED")&gt;0,"tied","standalone"),"")</f>
        <v/>
      </c>
    </row>
    <row r="12528" spans="6:14">
      <c r="F12528" s="6">
        <f>IF($M12528="PADD I","PADD 1",IF($M12528="PADD II","PADD 2",IF($M12528="PADD III","PADD 3",IF($M12528="PADD IV","PADD 4",IF($M12528="PADD V","PADD 5","")))))</f>
        <v/>
      </c>
      <c r="G12528" s="6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  <c r="N12528" s="6">
        <f>IF(OR($G12528="FCC",$G12528="Hydrocracker",$G12528="Reformer"),IF(COUNTIFS($D:$D,$D12528,$A:$A,$A12528,$B:$B,$B12528,$G:$G,"CDU",$J:$J,"PLANNED")&gt;0,"tied","standalone"),"")</f>
        <v/>
      </c>
    </row>
    <row r="12529" spans="6:14">
      <c r="F12529" s="6">
        <f>IF($M12529="PADD I","PADD 1",IF($M12529="PADD II","PADD 2",IF($M12529="PADD III","PADD 3",IF($M12529="PADD IV","PADD 4",IF($M12529="PADD V","PADD 5","")))))</f>
        <v/>
      </c>
      <c r="G12529" s="6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  <c r="N12529" s="6">
        <f>IF(OR($G12529="FCC",$G12529="Hydrocracker",$G12529="Reformer"),IF(COUNTIFS($D:$D,$D12529,$A:$A,$A12529,$B:$B,$B12529,$G:$G,"CDU",$J:$J,"PLANNED")&gt;0,"tied","standalone"),"")</f>
        <v/>
      </c>
    </row>
    <row r="12530" spans="6:14">
      <c r="F12530" s="6">
        <f>IF($M12530="PADD I","PADD 1",IF($M12530="PADD II","PADD 2",IF($M12530="PADD III","PADD 3",IF($M12530="PADD IV","PADD 4",IF($M12530="PADD V","PADD 5","")))))</f>
        <v/>
      </c>
      <c r="G12530" s="6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  <c r="N12530" s="6">
        <f>IF(OR($G12530="FCC",$G12530="Hydrocracker",$G12530="Reformer"),IF(COUNTIFS($D:$D,$D12530,$A:$A,$A12530,$B:$B,$B12530,$G:$G,"CDU",$J:$J,"PLANNED")&gt;0,"tied","standalone"),"")</f>
        <v/>
      </c>
    </row>
    <row r="12531" spans="6:14">
      <c r="F12531" s="6">
        <f>IF($M12531="PADD I","PADD 1",IF($M12531="PADD II","PADD 2",IF($M12531="PADD III","PADD 3",IF($M12531="PADD IV","PADD 4",IF($M12531="PADD V","PADD 5","")))))</f>
        <v/>
      </c>
      <c r="G12531" s="6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  <c r="N12531" s="6">
        <f>IF(OR($G12531="FCC",$G12531="Hydrocracker",$G12531="Reformer"),IF(COUNTIFS($D:$D,$D12531,$A:$A,$A12531,$B:$B,$B12531,$G:$G,"CDU",$J:$J,"PLANNED")&gt;0,"tied","standalone"),"")</f>
        <v/>
      </c>
    </row>
    <row r="12532" spans="6:14">
      <c r="F12532" s="6">
        <f>IF($M12532="PADD I","PADD 1",IF($M12532="PADD II","PADD 2",IF($M12532="PADD III","PADD 3",IF($M12532="PADD IV","PADD 4",IF($M12532="PADD V","PADD 5","")))))</f>
        <v/>
      </c>
      <c r="G12532" s="6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  <c r="N12532" s="6">
        <f>IF(OR($G12532="FCC",$G12532="Hydrocracker",$G12532="Reformer"),IF(COUNTIFS($D:$D,$D12532,$A:$A,$A12532,$B:$B,$B12532,$G:$G,"CDU",$J:$J,"PLANNED")&gt;0,"tied","standalone"),"")</f>
        <v/>
      </c>
    </row>
    <row r="12533" spans="6:14">
      <c r="F12533" s="6">
        <f>IF($M12533="PADD I","PADD 1",IF($M12533="PADD II","PADD 2",IF($M12533="PADD III","PADD 3",IF($M12533="PADD IV","PADD 4",IF($M12533="PADD V","PADD 5","")))))</f>
        <v/>
      </c>
      <c r="G12533" s="6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  <c r="N12533" s="6">
        <f>IF(OR($G12533="FCC",$G12533="Hydrocracker",$G12533="Reformer"),IF(COUNTIFS($D:$D,$D12533,$A:$A,$A12533,$B:$B,$B12533,$G:$G,"CDU",$J:$J,"PLANNED")&gt;0,"tied","standalone"),"")</f>
        <v/>
      </c>
    </row>
    <row r="12534" spans="6:14">
      <c r="F12534" s="6">
        <f>IF($M12534="PADD I","PADD 1",IF($M12534="PADD II","PADD 2",IF($M12534="PADD III","PADD 3",IF($M12534="PADD IV","PADD 4",IF($M12534="PADD V","PADD 5","")))))</f>
        <v/>
      </c>
      <c r="G12534" s="6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  <c r="N12534" s="6">
        <f>IF(OR($G12534="FCC",$G12534="Hydrocracker",$G12534="Reformer"),IF(COUNTIFS($D:$D,$D12534,$A:$A,$A12534,$B:$B,$B12534,$G:$G,"CDU",$J:$J,"PLANNED")&gt;0,"tied","standalone"),"")</f>
        <v/>
      </c>
    </row>
    <row r="12535" spans="6:14">
      <c r="F12535" s="6">
        <f>IF($M12535="PADD I","PADD 1",IF($M12535="PADD II","PADD 2",IF($M12535="PADD III","PADD 3",IF($M12535="PADD IV","PADD 4",IF($M12535="PADD V","PADD 5","")))))</f>
        <v/>
      </c>
      <c r="G12535" s="6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  <c r="N12535" s="6">
        <f>IF(OR($G12535="FCC",$G12535="Hydrocracker",$G12535="Reformer"),IF(COUNTIFS($D:$D,$D12535,$A:$A,$A12535,$B:$B,$B12535,$G:$G,"CDU",$J:$J,"PLANNED")&gt;0,"tied","standalone"),"")</f>
        <v/>
      </c>
    </row>
    <row r="12536" spans="6:14">
      <c r="F12536" s="6">
        <f>IF($M12536="PADD I","PADD 1",IF($M12536="PADD II","PADD 2",IF($M12536="PADD III","PADD 3",IF($M12536="PADD IV","PADD 4",IF($M12536="PADD V","PADD 5","")))))</f>
        <v/>
      </c>
      <c r="G12536" s="6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  <c r="N12536" s="6">
        <f>IF(OR($G12536="FCC",$G12536="Hydrocracker",$G12536="Reformer"),IF(COUNTIFS($D:$D,$D12536,$A:$A,$A12536,$B:$B,$B12536,$G:$G,"CDU",$J:$J,"PLANNED")&gt;0,"tied","standalone"),"")</f>
        <v/>
      </c>
    </row>
    <row r="12537" spans="6:14">
      <c r="F12537" s="6">
        <f>IF($M12537="PADD I","PADD 1",IF($M12537="PADD II","PADD 2",IF($M12537="PADD III","PADD 3",IF($M12537="PADD IV","PADD 4",IF($M12537="PADD V","PADD 5","")))))</f>
        <v/>
      </c>
      <c r="G12537" s="6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  <c r="N12537" s="6">
        <f>IF(OR($G12537="FCC",$G12537="Hydrocracker",$G12537="Reformer"),IF(COUNTIFS($D:$D,$D12537,$A:$A,$A12537,$B:$B,$B12537,$G:$G,"CDU",$J:$J,"PLANNED")&gt;0,"tied","standalone"),"")</f>
        <v/>
      </c>
    </row>
    <row r="12538" spans="6:14">
      <c r="F12538" s="6">
        <f>IF($M12538="PADD I","PADD 1",IF($M12538="PADD II","PADD 2",IF($M12538="PADD III","PADD 3",IF($M12538="PADD IV","PADD 4",IF($M12538="PADD V","PADD 5","")))))</f>
        <v/>
      </c>
      <c r="G12538" s="6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  <c r="N12538" s="6">
        <f>IF(OR($G12538="FCC",$G12538="Hydrocracker",$G12538="Reformer"),IF(COUNTIFS($D:$D,$D12538,$A:$A,$A12538,$B:$B,$B12538,$G:$G,"CDU",$J:$J,"PLANNED")&gt;0,"tied","standalone"),"")</f>
        <v/>
      </c>
    </row>
    <row r="12539" spans="6:14">
      <c r="F12539" s="6">
        <f>IF($M12539="PADD I","PADD 1",IF($M12539="PADD II","PADD 2",IF($M12539="PADD III","PADD 3",IF($M12539="PADD IV","PADD 4",IF($M12539="PADD V","PADD 5","")))))</f>
        <v/>
      </c>
      <c r="G12539" s="6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  <c r="N12539" s="6">
        <f>IF(OR($G12539="FCC",$G12539="Hydrocracker",$G12539="Reformer"),IF(COUNTIFS($D:$D,$D12539,$A:$A,$A12539,$B:$B,$B12539,$G:$G,"CDU",$J:$J,"PLANNED")&gt;0,"tied","standalone"),"")</f>
        <v/>
      </c>
    </row>
    <row r="12540" spans="6:14">
      <c r="F12540" s="6">
        <f>IF($M12540="PADD I","PADD 1",IF($M12540="PADD II","PADD 2",IF($M12540="PADD III","PADD 3",IF($M12540="PADD IV","PADD 4",IF($M12540="PADD V","PADD 5","")))))</f>
        <v/>
      </c>
      <c r="G12540" s="6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  <c r="N12540" s="6">
        <f>IF(OR($G12540="FCC",$G12540="Hydrocracker",$G12540="Reformer"),IF(COUNTIFS($D:$D,$D12540,$A:$A,$A12540,$B:$B,$B12540,$G:$G,"CDU",$J:$J,"PLANNED")&gt;0,"tied","standalone"),"")</f>
        <v/>
      </c>
    </row>
    <row r="12541" spans="6:14">
      <c r="F12541" s="6">
        <f>IF($M12541="PADD I","PADD 1",IF($M12541="PADD II","PADD 2",IF($M12541="PADD III","PADD 3",IF($M12541="PADD IV","PADD 4",IF($M12541="PADD V","PADD 5","")))))</f>
        <v/>
      </c>
      <c r="G12541" s="6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  <c r="N12541" s="6">
        <f>IF(OR($G12541="FCC",$G12541="Hydrocracker",$G12541="Reformer"),IF(COUNTIFS($D:$D,$D12541,$A:$A,$A12541,$B:$B,$B12541,$G:$G,"CDU",$J:$J,"PLANNED")&gt;0,"tied","standalone"),"")</f>
        <v/>
      </c>
    </row>
    <row r="12542" spans="6:14">
      <c r="F12542" s="6">
        <f>IF($M12542="PADD I","PADD 1",IF($M12542="PADD II","PADD 2",IF($M12542="PADD III","PADD 3",IF($M12542="PADD IV","PADD 4",IF($M12542="PADD V","PADD 5","")))))</f>
        <v/>
      </c>
      <c r="G12542" s="6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  <c r="N12542" s="6">
        <f>IF(OR($G12542="FCC",$G12542="Hydrocracker",$G12542="Reformer"),IF(COUNTIFS($D:$D,$D12542,$A:$A,$A12542,$B:$B,$B12542,$G:$G,"CDU",$J:$J,"PLANNED")&gt;0,"tied","standalone"),"")</f>
        <v/>
      </c>
    </row>
    <row r="12543" spans="6:14">
      <c r="F12543" s="6">
        <f>IF($M12543="PADD I","PADD 1",IF($M12543="PADD II","PADD 2",IF($M12543="PADD III","PADD 3",IF($M12543="PADD IV","PADD 4",IF($M12543="PADD V","PADD 5","")))))</f>
        <v/>
      </c>
      <c r="G12543" s="6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  <c r="N12543" s="6">
        <f>IF(OR($G12543="FCC",$G12543="Hydrocracker",$G12543="Reformer"),IF(COUNTIFS($D:$D,$D12543,$A:$A,$A12543,$B:$B,$B12543,$G:$G,"CDU",$J:$J,"PLANNED")&gt;0,"tied","standalone"),"")</f>
        <v/>
      </c>
    </row>
    <row r="12544" spans="6:14">
      <c r="F12544" s="6">
        <f>IF($M12544="PADD I","PADD 1",IF($M12544="PADD II","PADD 2",IF($M12544="PADD III","PADD 3",IF($M12544="PADD IV","PADD 4",IF($M12544="PADD V","PADD 5","")))))</f>
        <v/>
      </c>
      <c r="G12544" s="6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  <c r="N12544" s="6">
        <f>IF(OR($G12544="FCC",$G12544="Hydrocracker",$G12544="Reformer"),IF(COUNTIFS($D:$D,$D12544,$A:$A,$A12544,$B:$B,$B12544,$G:$G,"CDU",$J:$J,"PLANNED")&gt;0,"tied","standalone"),"")</f>
        <v/>
      </c>
    </row>
    <row r="12545" spans="6:14">
      <c r="F12545" s="6">
        <f>IF($M12545="PADD I","PADD 1",IF($M12545="PADD II","PADD 2",IF($M12545="PADD III","PADD 3",IF($M12545="PADD IV","PADD 4",IF($M12545="PADD V","PADD 5","")))))</f>
        <v/>
      </c>
      <c r="G12545" s="6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  <c r="N12545" s="6">
        <f>IF(OR($G12545="FCC",$G12545="Hydrocracker",$G12545="Reformer"),IF(COUNTIFS($D:$D,$D12545,$A:$A,$A12545,$B:$B,$B12545,$G:$G,"CDU",$J:$J,"PLANNED")&gt;0,"tied","standalone"),"")</f>
        <v/>
      </c>
    </row>
    <row r="12546" spans="6:14">
      <c r="F12546" s="6">
        <f>IF($M12546="PADD I","PADD 1",IF($M12546="PADD II","PADD 2",IF($M12546="PADD III","PADD 3",IF($M12546="PADD IV","PADD 4",IF($M12546="PADD V","PADD 5","")))))</f>
        <v/>
      </c>
      <c r="G12546" s="6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  <c r="N12546" s="6">
        <f>IF(OR($G12546="FCC",$G12546="Hydrocracker",$G12546="Reformer"),IF(COUNTIFS($D:$D,$D12546,$A:$A,$A12546,$B:$B,$B12546,$G:$G,"CDU",$J:$J,"PLANNED")&gt;0,"tied","standalone"),"")</f>
        <v/>
      </c>
    </row>
    <row r="12547" spans="6:14">
      <c r="F12547" s="6">
        <f>IF($M12547="PADD I","PADD 1",IF($M12547="PADD II","PADD 2",IF($M12547="PADD III","PADD 3",IF($M12547="PADD IV","PADD 4",IF($M12547="PADD V","PADD 5","")))))</f>
        <v/>
      </c>
      <c r="G12547" s="6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  <c r="N12547" s="6">
        <f>IF(OR($G12547="FCC",$G12547="Hydrocracker",$G12547="Reformer"),IF(COUNTIFS($D:$D,$D12547,$A:$A,$A12547,$B:$B,$B12547,$G:$G,"CDU",$J:$J,"PLANNED")&gt;0,"tied","standalone"),"")</f>
        <v/>
      </c>
    </row>
    <row r="12548" spans="6:14">
      <c r="F12548" s="6">
        <f>IF($M12548="PADD I","PADD 1",IF($M12548="PADD II","PADD 2",IF($M12548="PADD III","PADD 3",IF($M12548="PADD IV","PADD 4",IF($M12548="PADD V","PADD 5","")))))</f>
        <v/>
      </c>
      <c r="G12548" s="6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  <c r="N12548" s="6">
        <f>IF(OR($G12548="FCC",$G12548="Hydrocracker",$G12548="Reformer"),IF(COUNTIFS($D:$D,$D12548,$A:$A,$A12548,$B:$B,$B12548,$G:$G,"CDU",$J:$J,"PLANNED")&gt;0,"tied","standalone"),"")</f>
        <v/>
      </c>
    </row>
    <row r="12549" spans="6:14">
      <c r="F12549" s="6">
        <f>IF($M12549="PADD I","PADD 1",IF($M12549="PADD II","PADD 2",IF($M12549="PADD III","PADD 3",IF($M12549="PADD IV","PADD 4",IF($M12549="PADD V","PADD 5","")))))</f>
        <v/>
      </c>
      <c r="G12549" s="6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  <c r="N12549" s="6">
        <f>IF(OR($G12549="FCC",$G12549="Hydrocracker",$G12549="Reformer"),IF(COUNTIFS($D:$D,$D12549,$A:$A,$A12549,$B:$B,$B12549,$G:$G,"CDU",$J:$J,"PLANNED")&gt;0,"tied","standalone"),"")</f>
        <v/>
      </c>
    </row>
    <row r="12550" spans="6:14">
      <c r="F12550" s="6">
        <f>IF($M12550="PADD I","PADD 1",IF($M12550="PADD II","PADD 2",IF($M12550="PADD III","PADD 3",IF($M12550="PADD IV","PADD 4",IF($M12550="PADD V","PADD 5","")))))</f>
        <v/>
      </c>
      <c r="G12550" s="6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  <c r="N12550" s="6">
        <f>IF(OR($G12550="FCC",$G12550="Hydrocracker",$G12550="Reformer"),IF(COUNTIFS($D:$D,$D12550,$A:$A,$A12550,$B:$B,$B12550,$G:$G,"CDU",$J:$J,"PLANNED")&gt;0,"tied","standalone"),"")</f>
        <v/>
      </c>
    </row>
    <row r="12551" spans="6:14">
      <c r="F12551" s="6">
        <f>IF($M12551="PADD I","PADD 1",IF($M12551="PADD II","PADD 2",IF($M12551="PADD III","PADD 3",IF($M12551="PADD IV","PADD 4",IF($M12551="PADD V","PADD 5","")))))</f>
        <v/>
      </c>
      <c r="G12551" s="6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  <c r="N12551" s="6">
        <f>IF(OR($G12551="FCC",$G12551="Hydrocracker",$G12551="Reformer"),IF(COUNTIFS($D:$D,$D12551,$A:$A,$A12551,$B:$B,$B12551,$G:$G,"CDU",$J:$J,"PLANNED")&gt;0,"tied","standalone"),"")</f>
        <v/>
      </c>
    </row>
    <row r="12552" spans="6:14">
      <c r="F12552" s="6">
        <f>IF($M12552="PADD I","PADD 1",IF($M12552="PADD II","PADD 2",IF($M12552="PADD III","PADD 3",IF($M12552="PADD IV","PADD 4",IF($M12552="PADD V","PADD 5","")))))</f>
        <v/>
      </c>
      <c r="G12552" s="6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  <c r="N12552" s="6">
        <f>IF(OR($G12552="FCC",$G12552="Hydrocracker",$G12552="Reformer"),IF(COUNTIFS($D:$D,$D12552,$A:$A,$A12552,$B:$B,$B12552,$G:$G,"CDU",$J:$J,"PLANNED")&gt;0,"tied","standalone"),"")</f>
        <v/>
      </c>
    </row>
    <row r="12553" spans="6:14">
      <c r="F12553" s="6">
        <f>IF($M12553="PADD I","PADD 1",IF($M12553="PADD II","PADD 2",IF($M12553="PADD III","PADD 3",IF($M12553="PADD IV","PADD 4",IF($M12553="PADD V","PADD 5","")))))</f>
        <v/>
      </c>
      <c r="G12553" s="6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  <c r="N12553" s="6">
        <f>IF(OR($G12553="FCC",$G12553="Hydrocracker",$G12553="Reformer"),IF(COUNTIFS($D:$D,$D12553,$A:$A,$A12553,$B:$B,$B12553,$G:$G,"CDU",$J:$J,"PLANNED")&gt;0,"tied","standalone"),"")</f>
        <v/>
      </c>
    </row>
    <row r="12554" spans="6:14">
      <c r="F12554" s="6">
        <f>IF($M12554="PADD I","PADD 1",IF($M12554="PADD II","PADD 2",IF($M12554="PADD III","PADD 3",IF($M12554="PADD IV","PADD 4",IF($M12554="PADD V","PADD 5","")))))</f>
        <v/>
      </c>
      <c r="G12554" s="6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  <c r="N12554" s="6">
        <f>IF(OR($G12554="FCC",$G12554="Hydrocracker",$G12554="Reformer"),IF(COUNTIFS($D:$D,$D12554,$A:$A,$A12554,$B:$B,$B12554,$G:$G,"CDU",$J:$J,"PLANNED")&gt;0,"tied","standalone"),"")</f>
        <v/>
      </c>
    </row>
    <row r="12555" spans="6:14">
      <c r="F12555" s="6">
        <f>IF($M12555="PADD I","PADD 1",IF($M12555="PADD II","PADD 2",IF($M12555="PADD III","PADD 3",IF($M12555="PADD IV","PADD 4",IF($M12555="PADD V","PADD 5","")))))</f>
        <v/>
      </c>
      <c r="G12555" s="6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  <c r="N12555" s="6">
        <f>IF(OR($G12555="FCC",$G12555="Hydrocracker",$G12555="Reformer"),IF(COUNTIFS($D:$D,$D12555,$A:$A,$A12555,$B:$B,$B12555,$G:$G,"CDU",$J:$J,"PLANNED")&gt;0,"tied","standalone"),"")</f>
        <v/>
      </c>
    </row>
    <row r="12556" spans="6:14">
      <c r="F12556" s="6">
        <f>IF($M12556="PADD I","PADD 1",IF($M12556="PADD II","PADD 2",IF($M12556="PADD III","PADD 3",IF($M12556="PADD IV","PADD 4",IF($M12556="PADD V","PADD 5","")))))</f>
        <v/>
      </c>
      <c r="G12556" s="6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  <c r="N12556" s="6">
        <f>IF(OR($G12556="FCC",$G12556="Hydrocracker",$G12556="Reformer"),IF(COUNTIFS($D:$D,$D12556,$A:$A,$A12556,$B:$B,$B12556,$G:$G,"CDU",$J:$J,"PLANNED")&gt;0,"tied","standalone"),"")</f>
        <v/>
      </c>
    </row>
    <row r="12557" spans="6:14">
      <c r="F12557" s="6">
        <f>IF($M12557="PADD I","PADD 1",IF($M12557="PADD II","PADD 2",IF($M12557="PADD III","PADD 3",IF($M12557="PADD IV","PADD 4",IF($M12557="PADD V","PADD 5","")))))</f>
        <v/>
      </c>
      <c r="G12557" s="6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  <c r="N12557" s="6">
        <f>IF(OR($G12557="FCC",$G12557="Hydrocracker",$G12557="Reformer"),IF(COUNTIFS($D:$D,$D12557,$A:$A,$A12557,$B:$B,$B12557,$G:$G,"CDU",$J:$J,"PLANNED")&gt;0,"tied","standalone"),"")</f>
        <v/>
      </c>
    </row>
    <row r="12558" spans="6:14">
      <c r="F12558" s="6">
        <f>IF($M12558="PADD I","PADD 1",IF($M12558="PADD II","PADD 2",IF($M12558="PADD III","PADD 3",IF($M12558="PADD IV","PADD 4",IF($M12558="PADD V","PADD 5","")))))</f>
        <v/>
      </c>
      <c r="G12558" s="6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  <c r="N12558" s="6">
        <f>IF(OR($G12558="FCC",$G12558="Hydrocracker",$G12558="Reformer"),IF(COUNTIFS($D:$D,$D12558,$A:$A,$A12558,$B:$B,$B12558,$G:$G,"CDU",$J:$J,"PLANNED")&gt;0,"tied","standalone"),"")</f>
        <v/>
      </c>
    </row>
    <row r="12559" spans="6:14">
      <c r="F12559" s="6">
        <f>IF($M12559="PADD I","PADD 1",IF($M12559="PADD II","PADD 2",IF($M12559="PADD III","PADD 3",IF($M12559="PADD IV","PADD 4",IF($M12559="PADD V","PADD 5","")))))</f>
        <v/>
      </c>
      <c r="G12559" s="6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  <c r="N12559" s="6">
        <f>IF(OR($G12559="FCC",$G12559="Hydrocracker",$G12559="Reformer"),IF(COUNTIFS($D:$D,$D12559,$A:$A,$A12559,$B:$B,$B12559,$G:$G,"CDU",$J:$J,"PLANNED")&gt;0,"tied","standalone"),"")</f>
        <v/>
      </c>
    </row>
    <row r="12560" spans="6:14">
      <c r="F12560" s="6">
        <f>IF($M12560="PADD I","PADD 1",IF($M12560="PADD II","PADD 2",IF($M12560="PADD III","PADD 3",IF($M12560="PADD IV","PADD 4",IF($M12560="PADD V","PADD 5","")))))</f>
        <v/>
      </c>
      <c r="G12560" s="6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  <c r="N12560" s="6">
        <f>IF(OR($G12560="FCC",$G12560="Hydrocracker",$G12560="Reformer"),IF(COUNTIFS($D:$D,$D12560,$A:$A,$A12560,$B:$B,$B12560,$G:$G,"CDU",$J:$J,"PLANNED")&gt;0,"tied","standalone"),"")</f>
        <v/>
      </c>
    </row>
    <row r="12561" spans="6:14">
      <c r="F12561" s="6">
        <f>IF($M12561="PADD I","PADD 1",IF($M12561="PADD II","PADD 2",IF($M12561="PADD III","PADD 3",IF($M12561="PADD IV","PADD 4",IF($M12561="PADD V","PADD 5","")))))</f>
        <v/>
      </c>
      <c r="G12561" s="6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  <c r="N12561" s="6">
        <f>IF(OR($G12561="FCC",$G12561="Hydrocracker",$G12561="Reformer"),IF(COUNTIFS($D:$D,$D12561,$A:$A,$A12561,$B:$B,$B12561,$G:$G,"CDU",$J:$J,"PLANNED")&gt;0,"tied","standalone"),"")</f>
        <v/>
      </c>
    </row>
    <row r="12562" spans="6:14">
      <c r="F12562" s="6">
        <f>IF($M12562="PADD I","PADD 1",IF($M12562="PADD II","PADD 2",IF($M12562="PADD III","PADD 3",IF($M12562="PADD IV","PADD 4",IF($M12562="PADD V","PADD 5","")))))</f>
        <v/>
      </c>
      <c r="G12562" s="6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  <c r="N12562" s="6">
        <f>IF(OR($G12562="FCC",$G12562="Hydrocracker",$G12562="Reformer"),IF(COUNTIFS($D:$D,$D12562,$A:$A,$A12562,$B:$B,$B12562,$G:$G,"CDU",$J:$J,"PLANNED")&gt;0,"tied","standalone"),"")</f>
        <v/>
      </c>
    </row>
    <row r="12563" spans="6:14">
      <c r="F12563" s="6">
        <f>IF($M12563="PADD I","PADD 1",IF($M12563="PADD II","PADD 2",IF($M12563="PADD III","PADD 3",IF($M12563="PADD IV","PADD 4",IF($M12563="PADD V","PADD 5","")))))</f>
        <v/>
      </c>
      <c r="G12563" s="6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  <c r="N12563" s="6">
        <f>IF(OR($G12563="FCC",$G12563="Hydrocracker",$G12563="Reformer"),IF(COUNTIFS($D:$D,$D12563,$A:$A,$A12563,$B:$B,$B12563,$G:$G,"CDU",$J:$J,"PLANNED")&gt;0,"tied","standalone"),"")</f>
        <v/>
      </c>
    </row>
    <row r="12564" spans="6:14">
      <c r="F12564" s="6">
        <f>IF($M12564="PADD I","PADD 1",IF($M12564="PADD II","PADD 2",IF($M12564="PADD III","PADD 3",IF($M12564="PADD IV","PADD 4",IF($M12564="PADD V","PADD 5","")))))</f>
        <v/>
      </c>
      <c r="G12564" s="6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  <c r="N12564" s="6">
        <f>IF(OR($G12564="FCC",$G12564="Hydrocracker",$G12564="Reformer"),IF(COUNTIFS($D:$D,$D12564,$A:$A,$A12564,$B:$B,$B12564,$G:$G,"CDU",$J:$J,"PLANNED")&gt;0,"tied","standalone"),"")</f>
        <v/>
      </c>
    </row>
    <row r="12565" spans="6:14">
      <c r="F12565" s="6">
        <f>IF($M12565="PADD I","PADD 1",IF($M12565="PADD II","PADD 2",IF($M12565="PADD III","PADD 3",IF($M12565="PADD IV","PADD 4",IF($M12565="PADD V","PADD 5","")))))</f>
        <v/>
      </c>
      <c r="G12565" s="6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  <c r="N12565" s="6">
        <f>IF(OR($G12565="FCC",$G12565="Hydrocracker",$G12565="Reformer"),IF(COUNTIFS($D:$D,$D12565,$A:$A,$A12565,$B:$B,$B12565,$G:$G,"CDU",$J:$J,"PLANNED")&gt;0,"tied","standalone"),"")</f>
        <v/>
      </c>
    </row>
    <row r="12566" spans="6:14">
      <c r="F12566" s="6">
        <f>IF($M12566="PADD I","PADD 1",IF($M12566="PADD II","PADD 2",IF($M12566="PADD III","PADD 3",IF($M12566="PADD IV","PADD 4",IF($M12566="PADD V","PADD 5","")))))</f>
        <v/>
      </c>
      <c r="G12566" s="6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  <c r="N12566" s="6">
        <f>IF(OR($G12566="FCC",$G12566="Hydrocracker",$G12566="Reformer"),IF(COUNTIFS($D:$D,$D12566,$A:$A,$A12566,$B:$B,$B12566,$G:$G,"CDU",$J:$J,"PLANNED")&gt;0,"tied","standalone"),"")</f>
        <v/>
      </c>
    </row>
    <row r="12567" spans="6:14">
      <c r="F12567" s="6">
        <f>IF($M12567="PADD I","PADD 1",IF($M12567="PADD II","PADD 2",IF($M12567="PADD III","PADD 3",IF($M12567="PADD IV","PADD 4",IF($M12567="PADD V","PADD 5","")))))</f>
        <v/>
      </c>
      <c r="G12567" s="6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  <c r="N12567" s="6">
        <f>IF(OR($G12567="FCC",$G12567="Hydrocracker",$G12567="Reformer"),IF(COUNTIFS($D:$D,$D12567,$A:$A,$A12567,$B:$B,$B12567,$G:$G,"CDU",$J:$J,"PLANNED")&gt;0,"tied","standalone"),"")</f>
        <v/>
      </c>
    </row>
    <row r="12568" spans="6:14">
      <c r="F12568" s="6">
        <f>IF($M12568="PADD I","PADD 1",IF($M12568="PADD II","PADD 2",IF($M12568="PADD III","PADD 3",IF($M12568="PADD IV","PADD 4",IF($M12568="PADD V","PADD 5","")))))</f>
        <v/>
      </c>
      <c r="G12568" s="6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  <c r="N12568" s="6">
        <f>IF(OR($G12568="FCC",$G12568="Hydrocracker",$G12568="Reformer"),IF(COUNTIFS($D:$D,$D12568,$A:$A,$A12568,$B:$B,$B12568,$G:$G,"CDU",$J:$J,"PLANNED")&gt;0,"tied","standalone"),"")</f>
        <v/>
      </c>
    </row>
    <row r="12569" spans="6:14">
      <c r="F12569" s="6">
        <f>IF($M12569="PADD I","PADD 1",IF($M12569="PADD II","PADD 2",IF($M12569="PADD III","PADD 3",IF($M12569="PADD IV","PADD 4",IF($M12569="PADD V","PADD 5","")))))</f>
        <v/>
      </c>
      <c r="G12569" s="6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  <c r="N12569" s="6">
        <f>IF(OR($G12569="FCC",$G12569="Hydrocracker",$G12569="Reformer"),IF(COUNTIFS($D:$D,$D12569,$A:$A,$A12569,$B:$B,$B12569,$G:$G,"CDU",$J:$J,"PLANNED")&gt;0,"tied","standalone"),"")</f>
        <v/>
      </c>
    </row>
    <row r="12570" spans="6:14">
      <c r="F12570" s="6">
        <f>IF($M12570="PADD I","PADD 1",IF($M12570="PADD II","PADD 2",IF($M12570="PADD III","PADD 3",IF($M12570="PADD IV","PADD 4",IF($M12570="PADD V","PADD 5","")))))</f>
        <v/>
      </c>
      <c r="G12570" s="6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  <c r="N12570" s="6">
        <f>IF(OR($G12570="FCC",$G12570="Hydrocracker",$G12570="Reformer"),IF(COUNTIFS($D:$D,$D12570,$A:$A,$A12570,$B:$B,$B12570,$G:$G,"CDU",$J:$J,"PLANNED")&gt;0,"tied","standalone"),"")</f>
        <v/>
      </c>
    </row>
    <row r="12571" spans="6:14">
      <c r="F12571" s="6">
        <f>IF($M12571="PADD I","PADD 1",IF($M12571="PADD II","PADD 2",IF($M12571="PADD III","PADD 3",IF($M12571="PADD IV","PADD 4",IF($M12571="PADD V","PADD 5","")))))</f>
        <v/>
      </c>
      <c r="G12571" s="6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  <c r="N12571" s="6">
        <f>IF(OR($G12571="FCC",$G12571="Hydrocracker",$G12571="Reformer"),IF(COUNTIFS($D:$D,$D12571,$A:$A,$A12571,$B:$B,$B12571,$G:$G,"CDU",$J:$J,"PLANNED")&gt;0,"tied","standalone"),"")</f>
        <v/>
      </c>
    </row>
    <row r="12572" spans="6:14">
      <c r="F12572" s="6">
        <f>IF($M12572="PADD I","PADD 1",IF($M12572="PADD II","PADD 2",IF($M12572="PADD III","PADD 3",IF($M12572="PADD IV","PADD 4",IF($M12572="PADD V","PADD 5","")))))</f>
        <v/>
      </c>
      <c r="G12572" s="6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  <c r="N12572" s="6">
        <f>IF(OR($G12572="FCC",$G12572="Hydrocracker",$G12572="Reformer"),IF(COUNTIFS($D:$D,$D12572,$A:$A,$A12572,$B:$B,$B12572,$G:$G,"CDU",$J:$J,"PLANNED")&gt;0,"tied","standalone"),"")</f>
        <v/>
      </c>
    </row>
    <row r="12573" spans="6:14">
      <c r="F12573" s="6">
        <f>IF($M12573="PADD I","PADD 1",IF($M12573="PADD II","PADD 2",IF($M12573="PADD III","PADD 3",IF($M12573="PADD IV","PADD 4",IF($M12573="PADD V","PADD 5","")))))</f>
        <v/>
      </c>
      <c r="G12573" s="6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  <c r="N12573" s="6">
        <f>IF(OR($G12573="FCC",$G12573="Hydrocracker",$G12573="Reformer"),IF(COUNTIFS($D:$D,$D12573,$A:$A,$A12573,$B:$B,$B12573,$G:$G,"CDU",$J:$J,"PLANNED")&gt;0,"tied","standalone"),"")</f>
        <v/>
      </c>
    </row>
    <row r="12574" spans="6:14">
      <c r="F12574" s="6">
        <f>IF($M12574="PADD I","PADD 1",IF($M12574="PADD II","PADD 2",IF($M12574="PADD III","PADD 3",IF($M12574="PADD IV","PADD 4",IF($M12574="PADD V","PADD 5","")))))</f>
        <v/>
      </c>
      <c r="G12574" s="6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  <c r="N12574" s="6">
        <f>IF(OR($G12574="FCC",$G12574="Hydrocracker",$G12574="Reformer"),IF(COUNTIFS($D:$D,$D12574,$A:$A,$A12574,$B:$B,$B12574,$G:$G,"CDU",$J:$J,"PLANNED")&gt;0,"tied","standalone"),"")</f>
        <v/>
      </c>
    </row>
    <row r="12575" spans="6:14">
      <c r="F12575" s="6">
        <f>IF($M12575="PADD I","PADD 1",IF($M12575="PADD II","PADD 2",IF($M12575="PADD III","PADD 3",IF($M12575="PADD IV","PADD 4",IF($M12575="PADD V","PADD 5","")))))</f>
        <v/>
      </c>
      <c r="G12575" s="6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  <c r="N12575" s="6">
        <f>IF(OR($G12575="FCC",$G12575="Hydrocracker",$G12575="Reformer"),IF(COUNTIFS($D:$D,$D12575,$A:$A,$A12575,$B:$B,$B12575,$G:$G,"CDU",$J:$J,"PLANNED")&gt;0,"tied","standalone"),"")</f>
        <v/>
      </c>
    </row>
    <row r="12576" spans="6:14">
      <c r="F12576" s="6">
        <f>IF($M12576="PADD I","PADD 1",IF($M12576="PADD II","PADD 2",IF($M12576="PADD III","PADD 3",IF($M12576="PADD IV","PADD 4",IF($M12576="PADD V","PADD 5","")))))</f>
        <v/>
      </c>
      <c r="G12576" s="6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  <c r="N12576" s="6">
        <f>IF(OR($G12576="FCC",$G12576="Hydrocracker",$G12576="Reformer"),IF(COUNTIFS($D:$D,$D12576,$A:$A,$A12576,$B:$B,$B12576,$G:$G,"CDU",$J:$J,"PLANNED")&gt;0,"tied","standalone"),"")</f>
        <v/>
      </c>
    </row>
    <row r="12577" spans="6:14">
      <c r="F12577" s="6">
        <f>IF($M12577="PADD I","PADD 1",IF($M12577="PADD II","PADD 2",IF($M12577="PADD III","PADD 3",IF($M12577="PADD IV","PADD 4",IF($M12577="PADD V","PADD 5","")))))</f>
        <v/>
      </c>
      <c r="G12577" s="6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  <c r="N12577" s="6">
        <f>IF(OR($G12577="FCC",$G12577="Hydrocracker",$G12577="Reformer"),IF(COUNTIFS($D:$D,$D12577,$A:$A,$A12577,$B:$B,$B12577,$G:$G,"CDU",$J:$J,"PLANNED")&gt;0,"tied","standalone"),"")</f>
        <v/>
      </c>
    </row>
    <row r="12578" spans="6:14">
      <c r="F12578" s="6">
        <f>IF($M12578="PADD I","PADD 1",IF($M12578="PADD II","PADD 2",IF($M12578="PADD III","PADD 3",IF($M12578="PADD IV","PADD 4",IF($M12578="PADD V","PADD 5","")))))</f>
        <v/>
      </c>
      <c r="G12578" s="6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  <c r="N12578" s="6">
        <f>IF(OR($G12578="FCC",$G12578="Hydrocracker",$G12578="Reformer"),IF(COUNTIFS($D:$D,$D12578,$A:$A,$A12578,$B:$B,$B12578,$G:$G,"CDU",$J:$J,"PLANNED")&gt;0,"tied","standalone"),"")</f>
        <v/>
      </c>
    </row>
    <row r="12579" spans="6:14">
      <c r="F12579" s="6">
        <f>IF($M12579="PADD I","PADD 1",IF($M12579="PADD II","PADD 2",IF($M12579="PADD III","PADD 3",IF($M12579="PADD IV","PADD 4",IF($M12579="PADD V","PADD 5","")))))</f>
        <v/>
      </c>
      <c r="G12579" s="6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  <c r="N12579" s="6">
        <f>IF(OR($G12579="FCC",$G12579="Hydrocracker",$G12579="Reformer"),IF(COUNTIFS($D:$D,$D12579,$A:$A,$A12579,$B:$B,$B12579,$G:$G,"CDU",$J:$J,"PLANNED")&gt;0,"tied","standalone"),"")</f>
        <v/>
      </c>
    </row>
    <row r="12580" spans="6:14">
      <c r="F12580" s="6">
        <f>IF($M12580="PADD I","PADD 1",IF($M12580="PADD II","PADD 2",IF($M12580="PADD III","PADD 3",IF($M12580="PADD IV","PADD 4",IF($M12580="PADD V","PADD 5","")))))</f>
        <v/>
      </c>
      <c r="G12580" s="6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  <c r="N12580" s="6">
        <f>IF(OR($G12580="FCC",$G12580="Hydrocracker",$G12580="Reformer"),IF(COUNTIFS($D:$D,$D12580,$A:$A,$A12580,$B:$B,$B12580,$G:$G,"CDU",$J:$J,"PLANNED")&gt;0,"tied","standalone"),"")</f>
        <v/>
      </c>
    </row>
    <row r="12581" spans="6:14">
      <c r="F12581" s="6">
        <f>IF($M12581="PADD I","PADD 1",IF($M12581="PADD II","PADD 2",IF($M12581="PADD III","PADD 3",IF($M12581="PADD IV","PADD 4",IF($M12581="PADD V","PADD 5","")))))</f>
        <v/>
      </c>
      <c r="G12581" s="6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  <c r="N12581" s="6">
        <f>IF(OR($G12581="FCC",$G12581="Hydrocracker",$G12581="Reformer"),IF(COUNTIFS($D:$D,$D12581,$A:$A,$A12581,$B:$B,$B12581,$G:$G,"CDU",$J:$J,"PLANNED")&gt;0,"tied","standalone"),"")</f>
        <v/>
      </c>
    </row>
    <row r="12582" spans="6:14">
      <c r="F12582" s="6">
        <f>IF($M12582="PADD I","PADD 1",IF($M12582="PADD II","PADD 2",IF($M12582="PADD III","PADD 3",IF($M12582="PADD IV","PADD 4",IF($M12582="PADD V","PADD 5","")))))</f>
        <v/>
      </c>
      <c r="G12582" s="6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  <c r="N12582" s="6">
        <f>IF(OR($G12582="FCC",$G12582="Hydrocracker",$G12582="Reformer"),IF(COUNTIFS($D:$D,$D12582,$A:$A,$A12582,$B:$B,$B12582,$G:$G,"CDU",$J:$J,"PLANNED")&gt;0,"tied","standalone"),"")</f>
        <v/>
      </c>
    </row>
    <row r="12583" spans="6:14">
      <c r="F12583" s="6">
        <f>IF($M12583="PADD I","PADD 1",IF($M12583="PADD II","PADD 2",IF($M12583="PADD III","PADD 3",IF($M12583="PADD IV","PADD 4",IF($M12583="PADD V","PADD 5","")))))</f>
        <v/>
      </c>
      <c r="G12583" s="6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  <c r="N12583" s="6">
        <f>IF(OR($G12583="FCC",$G12583="Hydrocracker",$G12583="Reformer"),IF(COUNTIFS($D:$D,$D12583,$A:$A,$A12583,$B:$B,$B12583,$G:$G,"CDU",$J:$J,"PLANNED")&gt;0,"tied","standalone"),"")</f>
        <v/>
      </c>
    </row>
    <row r="12584" spans="6:14">
      <c r="F12584" s="6">
        <f>IF($M12584="PADD I","PADD 1",IF($M12584="PADD II","PADD 2",IF($M12584="PADD III","PADD 3",IF($M12584="PADD IV","PADD 4",IF($M12584="PADD V","PADD 5","")))))</f>
        <v/>
      </c>
      <c r="G12584" s="6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  <c r="N12584" s="6">
        <f>IF(OR($G12584="FCC",$G12584="Hydrocracker",$G12584="Reformer"),IF(COUNTIFS($D:$D,$D12584,$A:$A,$A12584,$B:$B,$B12584,$G:$G,"CDU",$J:$J,"PLANNED")&gt;0,"tied","standalone"),"")</f>
        <v/>
      </c>
    </row>
    <row r="12585" spans="6:14">
      <c r="F12585" s="6">
        <f>IF($M12585="PADD I","PADD 1",IF($M12585="PADD II","PADD 2",IF($M12585="PADD III","PADD 3",IF($M12585="PADD IV","PADD 4",IF($M12585="PADD V","PADD 5","")))))</f>
        <v/>
      </c>
      <c r="G12585" s="6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  <c r="N12585" s="6">
        <f>IF(OR($G12585="FCC",$G12585="Hydrocracker",$G12585="Reformer"),IF(COUNTIFS($D:$D,$D12585,$A:$A,$A12585,$B:$B,$B12585,$G:$G,"CDU",$J:$J,"PLANNED")&gt;0,"tied","standalone"),"")</f>
        <v/>
      </c>
    </row>
    <row r="12586" spans="6:14">
      <c r="F12586" s="6">
        <f>IF($M12586="PADD I","PADD 1",IF($M12586="PADD II","PADD 2",IF($M12586="PADD III","PADD 3",IF($M12586="PADD IV","PADD 4",IF($M12586="PADD V","PADD 5","")))))</f>
        <v/>
      </c>
      <c r="G12586" s="6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  <c r="N12586" s="6">
        <f>IF(OR($G12586="FCC",$G12586="Hydrocracker",$G12586="Reformer"),IF(COUNTIFS($D:$D,$D12586,$A:$A,$A12586,$B:$B,$B12586,$G:$G,"CDU",$J:$J,"PLANNED")&gt;0,"tied","standalone"),"")</f>
        <v/>
      </c>
    </row>
    <row r="12587" spans="6:14">
      <c r="F12587" s="6">
        <f>IF($M12587="PADD I","PADD 1",IF($M12587="PADD II","PADD 2",IF($M12587="PADD III","PADD 3",IF($M12587="PADD IV","PADD 4",IF($M12587="PADD V","PADD 5","")))))</f>
        <v/>
      </c>
      <c r="G12587" s="6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  <c r="N12587" s="6">
        <f>IF(OR($G12587="FCC",$G12587="Hydrocracker",$G12587="Reformer"),IF(COUNTIFS($D:$D,$D12587,$A:$A,$A12587,$B:$B,$B12587,$G:$G,"CDU",$J:$J,"PLANNED")&gt;0,"tied","standalone"),"")</f>
        <v/>
      </c>
    </row>
    <row r="12588" spans="6:14">
      <c r="F12588" s="6">
        <f>IF($M12588="PADD I","PADD 1",IF($M12588="PADD II","PADD 2",IF($M12588="PADD III","PADD 3",IF($M12588="PADD IV","PADD 4",IF($M12588="PADD V","PADD 5","")))))</f>
        <v/>
      </c>
      <c r="G12588" s="6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  <c r="N12588" s="6">
        <f>IF(OR($G12588="FCC",$G12588="Hydrocracker",$G12588="Reformer"),IF(COUNTIFS($D:$D,$D12588,$A:$A,$A12588,$B:$B,$B12588,$G:$G,"CDU",$J:$J,"PLANNED")&gt;0,"tied","standalone"),"")</f>
        <v/>
      </c>
    </row>
    <row r="12589" spans="6:14">
      <c r="F12589" s="6">
        <f>IF($M12589="PADD I","PADD 1",IF($M12589="PADD II","PADD 2",IF($M12589="PADD III","PADD 3",IF($M12589="PADD IV","PADD 4",IF($M12589="PADD V","PADD 5","")))))</f>
        <v/>
      </c>
      <c r="G12589" s="6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  <c r="N12589" s="6">
        <f>IF(OR($G12589="FCC",$G12589="Hydrocracker",$G12589="Reformer"),IF(COUNTIFS($D:$D,$D12589,$A:$A,$A12589,$B:$B,$B12589,$G:$G,"CDU",$J:$J,"PLANNED")&gt;0,"tied","standalone"),"")</f>
        <v/>
      </c>
    </row>
    <row r="12590" spans="6:14">
      <c r="F12590" s="6">
        <f>IF($M12590="PADD I","PADD 1",IF($M12590="PADD II","PADD 2",IF($M12590="PADD III","PADD 3",IF($M12590="PADD IV","PADD 4",IF($M12590="PADD V","PADD 5","")))))</f>
        <v/>
      </c>
      <c r="G12590" s="6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  <c r="N12590" s="6">
        <f>IF(OR($G12590="FCC",$G12590="Hydrocracker",$G12590="Reformer"),IF(COUNTIFS($D:$D,$D12590,$A:$A,$A12590,$B:$B,$B12590,$G:$G,"CDU",$J:$J,"PLANNED")&gt;0,"tied","standalone"),"")</f>
        <v/>
      </c>
    </row>
    <row r="12591" spans="6:14">
      <c r="F12591" s="6">
        <f>IF($M12591="PADD I","PADD 1",IF($M12591="PADD II","PADD 2",IF($M12591="PADD III","PADD 3",IF($M12591="PADD IV","PADD 4",IF($M12591="PADD V","PADD 5","")))))</f>
        <v/>
      </c>
      <c r="G12591" s="6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  <c r="N12591" s="6">
        <f>IF(OR($G12591="FCC",$G12591="Hydrocracker",$G12591="Reformer"),IF(COUNTIFS($D:$D,$D12591,$A:$A,$A12591,$B:$B,$B12591,$G:$G,"CDU",$J:$J,"PLANNED")&gt;0,"tied","standalone"),"")</f>
        <v/>
      </c>
    </row>
    <row r="12592" spans="6:14">
      <c r="F12592" s="6">
        <f>IF($M12592="PADD I","PADD 1",IF($M12592="PADD II","PADD 2",IF($M12592="PADD III","PADD 3",IF($M12592="PADD IV","PADD 4",IF($M12592="PADD V","PADD 5","")))))</f>
        <v/>
      </c>
      <c r="G12592" s="6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  <c r="N12592" s="6">
        <f>IF(OR($G12592="FCC",$G12592="Hydrocracker",$G12592="Reformer"),IF(COUNTIFS($D:$D,$D12592,$A:$A,$A12592,$B:$B,$B12592,$G:$G,"CDU",$J:$J,"PLANNED")&gt;0,"tied","standalone"),"")</f>
        <v/>
      </c>
    </row>
    <row r="12593" spans="6:14">
      <c r="F12593" s="6">
        <f>IF($M12593="PADD I","PADD 1",IF($M12593="PADD II","PADD 2",IF($M12593="PADD III","PADD 3",IF($M12593="PADD IV","PADD 4",IF($M12593="PADD V","PADD 5","")))))</f>
        <v/>
      </c>
      <c r="G12593" s="6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  <c r="N12593" s="6">
        <f>IF(OR($G12593="FCC",$G12593="Hydrocracker",$G12593="Reformer"),IF(COUNTIFS($D:$D,$D12593,$A:$A,$A12593,$B:$B,$B12593,$G:$G,"CDU",$J:$J,"PLANNED")&gt;0,"tied","standalone"),"")</f>
        <v/>
      </c>
    </row>
    <row r="12594" spans="6:14">
      <c r="F12594" s="6">
        <f>IF($M12594="PADD I","PADD 1",IF($M12594="PADD II","PADD 2",IF($M12594="PADD III","PADD 3",IF($M12594="PADD IV","PADD 4",IF($M12594="PADD V","PADD 5","")))))</f>
        <v/>
      </c>
      <c r="G12594" s="6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  <c r="N12594" s="6">
        <f>IF(OR($G12594="FCC",$G12594="Hydrocracker",$G12594="Reformer"),IF(COUNTIFS($D:$D,$D12594,$A:$A,$A12594,$B:$B,$B12594,$G:$G,"CDU",$J:$J,"PLANNED")&gt;0,"tied","standalone"),"")</f>
        <v/>
      </c>
    </row>
    <row r="12595" spans="6:14">
      <c r="F12595" s="6">
        <f>IF($M12595="PADD I","PADD 1",IF($M12595="PADD II","PADD 2",IF($M12595="PADD III","PADD 3",IF($M12595="PADD IV","PADD 4",IF($M12595="PADD V","PADD 5","")))))</f>
        <v/>
      </c>
      <c r="G12595" s="6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  <c r="N12595" s="6">
        <f>IF(OR($G12595="FCC",$G12595="Hydrocracker",$G12595="Reformer"),IF(COUNTIFS($D:$D,$D12595,$A:$A,$A12595,$B:$B,$B12595,$G:$G,"CDU",$J:$J,"PLANNED")&gt;0,"tied","standalone"),"")</f>
        <v/>
      </c>
    </row>
    <row r="12596" spans="6:14">
      <c r="F12596" s="6">
        <f>IF($M12596="PADD I","PADD 1",IF($M12596="PADD II","PADD 2",IF($M12596="PADD III","PADD 3",IF($M12596="PADD IV","PADD 4",IF($M12596="PADD V","PADD 5","")))))</f>
        <v/>
      </c>
      <c r="G12596" s="6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  <c r="N12596" s="6">
        <f>IF(OR($G12596="FCC",$G12596="Hydrocracker",$G12596="Reformer"),IF(COUNTIFS($D:$D,$D12596,$A:$A,$A12596,$B:$B,$B12596,$G:$G,"CDU",$J:$J,"PLANNED")&gt;0,"tied","standalone"),"")</f>
        <v/>
      </c>
    </row>
    <row r="12597" spans="6:14">
      <c r="F12597" s="6">
        <f>IF($M12597="PADD I","PADD 1",IF($M12597="PADD II","PADD 2",IF($M12597="PADD III","PADD 3",IF($M12597="PADD IV","PADD 4",IF($M12597="PADD V","PADD 5","")))))</f>
        <v/>
      </c>
      <c r="G12597" s="6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  <c r="N12597" s="6">
        <f>IF(OR($G12597="FCC",$G12597="Hydrocracker",$G12597="Reformer"),IF(COUNTIFS($D:$D,$D12597,$A:$A,$A12597,$B:$B,$B12597,$G:$G,"CDU",$J:$J,"PLANNED")&gt;0,"tied","standalone"),"")</f>
        <v/>
      </c>
    </row>
    <row r="12598" spans="6:14">
      <c r="F12598" s="6">
        <f>IF($M12598="PADD I","PADD 1",IF($M12598="PADD II","PADD 2",IF($M12598="PADD III","PADD 3",IF($M12598="PADD IV","PADD 4",IF($M12598="PADD V","PADD 5","")))))</f>
        <v/>
      </c>
      <c r="G12598" s="6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  <c r="N12598" s="6">
        <f>IF(OR($G12598="FCC",$G12598="Hydrocracker",$G12598="Reformer"),IF(COUNTIFS($D:$D,$D12598,$A:$A,$A12598,$B:$B,$B12598,$G:$G,"CDU",$J:$J,"PLANNED")&gt;0,"tied","standalone"),"")</f>
        <v/>
      </c>
    </row>
    <row r="12599" spans="6:14">
      <c r="F12599" s="6">
        <f>IF($M12599="PADD I","PADD 1",IF($M12599="PADD II","PADD 2",IF($M12599="PADD III","PADD 3",IF($M12599="PADD IV","PADD 4",IF($M12599="PADD V","PADD 5","")))))</f>
        <v/>
      </c>
      <c r="G12599" s="6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  <c r="N12599" s="6">
        <f>IF(OR($G12599="FCC",$G12599="Hydrocracker",$G12599="Reformer"),IF(COUNTIFS($D:$D,$D12599,$A:$A,$A12599,$B:$B,$B12599,$G:$G,"CDU",$J:$J,"PLANNED")&gt;0,"tied","standalone"),"")</f>
        <v/>
      </c>
    </row>
    <row r="12600" spans="6:14">
      <c r="F12600" s="6">
        <f>IF($M12600="PADD I","PADD 1",IF($M12600="PADD II","PADD 2",IF($M12600="PADD III","PADD 3",IF($M12600="PADD IV","PADD 4",IF($M12600="PADD V","PADD 5","")))))</f>
        <v/>
      </c>
      <c r="G12600" s="6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  <c r="N12600" s="6">
        <f>IF(OR($G12600="FCC",$G12600="Hydrocracker",$G12600="Reformer"),IF(COUNTIFS($D:$D,$D12600,$A:$A,$A12600,$B:$B,$B12600,$G:$G,"CDU",$J:$J,"PLANNED")&gt;0,"tied","standalone"),"")</f>
        <v/>
      </c>
    </row>
    <row r="12601" spans="6:14">
      <c r="F12601" s="6">
        <f>IF($M12601="PADD I","PADD 1",IF($M12601="PADD II","PADD 2",IF($M12601="PADD III","PADD 3",IF($M12601="PADD IV","PADD 4",IF($M12601="PADD V","PADD 5","")))))</f>
        <v/>
      </c>
      <c r="G12601" s="6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  <c r="N12601" s="6">
        <f>IF(OR($G12601="FCC",$G12601="Hydrocracker",$G12601="Reformer"),IF(COUNTIFS($D:$D,$D12601,$A:$A,$A12601,$B:$B,$B12601,$G:$G,"CDU",$J:$J,"PLANNED")&gt;0,"tied","standalone"),"")</f>
        <v/>
      </c>
    </row>
    <row r="12602" spans="6:14">
      <c r="F12602" s="6">
        <f>IF($M12602="PADD I","PADD 1",IF($M12602="PADD II","PADD 2",IF($M12602="PADD III","PADD 3",IF($M12602="PADD IV","PADD 4",IF($M12602="PADD V","PADD 5","")))))</f>
        <v/>
      </c>
      <c r="G12602" s="6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  <c r="N12602" s="6">
        <f>IF(OR($G12602="FCC",$G12602="Hydrocracker",$G12602="Reformer"),IF(COUNTIFS($D:$D,$D12602,$A:$A,$A12602,$B:$B,$B12602,$G:$G,"CDU",$J:$J,"PLANNED")&gt;0,"tied","standalone"),"")</f>
        <v/>
      </c>
    </row>
    <row r="12603" spans="6:14">
      <c r="F12603" s="6">
        <f>IF($M12603="PADD I","PADD 1",IF($M12603="PADD II","PADD 2",IF($M12603="PADD III","PADD 3",IF($M12603="PADD IV","PADD 4",IF($M12603="PADD V","PADD 5","")))))</f>
        <v/>
      </c>
      <c r="G12603" s="6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  <c r="N12603" s="6">
        <f>IF(OR($G12603="FCC",$G12603="Hydrocracker",$G12603="Reformer"),IF(COUNTIFS($D:$D,$D12603,$A:$A,$A12603,$B:$B,$B12603,$G:$G,"CDU",$J:$J,"PLANNED")&gt;0,"tied","standalone"),"")</f>
        <v/>
      </c>
    </row>
    <row r="12604" spans="6:14">
      <c r="F12604" s="6">
        <f>IF($M12604="PADD I","PADD 1",IF($M12604="PADD II","PADD 2",IF($M12604="PADD III","PADD 3",IF($M12604="PADD IV","PADD 4",IF($M12604="PADD V","PADD 5","")))))</f>
        <v/>
      </c>
      <c r="G12604" s="6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  <c r="N12604" s="6">
        <f>IF(OR($G12604="FCC",$G12604="Hydrocracker",$G12604="Reformer"),IF(COUNTIFS($D:$D,$D12604,$A:$A,$A12604,$B:$B,$B12604,$G:$G,"CDU",$J:$J,"PLANNED")&gt;0,"tied","standalone"),"")</f>
        <v/>
      </c>
    </row>
    <row r="12605" spans="6:14">
      <c r="F12605" s="6">
        <f>IF($M12605="PADD I","PADD 1",IF($M12605="PADD II","PADD 2",IF($M12605="PADD III","PADD 3",IF($M12605="PADD IV","PADD 4",IF($M12605="PADD V","PADD 5","")))))</f>
        <v/>
      </c>
      <c r="G12605" s="6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  <c r="N12605" s="6">
        <f>IF(OR($G12605="FCC",$G12605="Hydrocracker",$G12605="Reformer"),IF(COUNTIFS($D:$D,$D12605,$A:$A,$A12605,$B:$B,$B12605,$G:$G,"CDU",$J:$J,"PLANNED")&gt;0,"tied","standalone"),"")</f>
        <v/>
      </c>
    </row>
    <row r="12606" spans="6:14">
      <c r="F12606" s="6">
        <f>IF($M12606="PADD I","PADD 1",IF($M12606="PADD II","PADD 2",IF($M12606="PADD III","PADD 3",IF($M12606="PADD IV","PADD 4",IF($M12606="PADD V","PADD 5","")))))</f>
        <v/>
      </c>
      <c r="G12606" s="6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  <c r="N12606" s="6">
        <f>IF(OR($G12606="FCC",$G12606="Hydrocracker",$G12606="Reformer"),IF(COUNTIFS($D:$D,$D12606,$A:$A,$A12606,$B:$B,$B12606,$G:$G,"CDU",$J:$J,"PLANNED")&gt;0,"tied","standalone"),"")</f>
        <v/>
      </c>
    </row>
    <row r="12607" spans="6:14">
      <c r="F12607" s="6">
        <f>IF($M12607="PADD I","PADD 1",IF($M12607="PADD II","PADD 2",IF($M12607="PADD III","PADD 3",IF($M12607="PADD IV","PADD 4",IF($M12607="PADD V","PADD 5","")))))</f>
        <v/>
      </c>
      <c r="G12607" s="6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  <c r="N12607" s="6">
        <f>IF(OR($G12607="FCC",$G12607="Hydrocracker",$G12607="Reformer"),IF(COUNTIFS($D:$D,$D12607,$A:$A,$A12607,$B:$B,$B12607,$G:$G,"CDU",$J:$J,"PLANNED")&gt;0,"tied","standalone"),"")</f>
        <v/>
      </c>
    </row>
    <row r="12608" spans="6:14">
      <c r="F12608" s="6">
        <f>IF($M12608="PADD I","PADD 1",IF($M12608="PADD II","PADD 2",IF($M12608="PADD III","PADD 3",IF($M12608="PADD IV","PADD 4",IF($M12608="PADD V","PADD 5","")))))</f>
        <v/>
      </c>
      <c r="G12608" s="6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  <c r="N12608" s="6">
        <f>IF(OR($G12608="FCC",$G12608="Hydrocracker",$G12608="Reformer"),IF(COUNTIFS($D:$D,$D12608,$A:$A,$A12608,$B:$B,$B12608,$G:$G,"CDU",$J:$J,"PLANNED")&gt;0,"tied","standalone"),"")</f>
        <v/>
      </c>
    </row>
    <row r="12609" spans="6:14">
      <c r="F12609" s="6">
        <f>IF($M12609="PADD I","PADD 1",IF($M12609="PADD II","PADD 2",IF($M12609="PADD III","PADD 3",IF($M12609="PADD IV","PADD 4",IF($M12609="PADD V","PADD 5","")))))</f>
        <v/>
      </c>
      <c r="G12609" s="6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  <c r="N12609" s="6">
        <f>IF(OR($G12609="FCC",$G12609="Hydrocracker",$G12609="Reformer"),IF(COUNTIFS($D:$D,$D12609,$A:$A,$A12609,$B:$B,$B12609,$G:$G,"CDU",$J:$J,"PLANNED")&gt;0,"tied","standalone"),"")</f>
        <v/>
      </c>
    </row>
    <row r="12610" spans="6:14">
      <c r="F12610" s="6">
        <f>IF($M12610="PADD I","PADD 1",IF($M12610="PADD II","PADD 2",IF($M12610="PADD III","PADD 3",IF($M12610="PADD IV","PADD 4",IF($M12610="PADD V","PADD 5","")))))</f>
        <v/>
      </c>
      <c r="G12610" s="6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  <c r="N12610" s="6">
        <f>IF(OR($G12610="FCC",$G12610="Hydrocracker",$G12610="Reformer"),IF(COUNTIFS($D:$D,$D12610,$A:$A,$A12610,$B:$B,$B12610,$G:$G,"CDU",$J:$J,"PLANNED")&gt;0,"tied","standalone"),"")</f>
        <v/>
      </c>
    </row>
    <row r="12611" spans="6:14">
      <c r="F12611" s="6">
        <f>IF($M12611="PADD I","PADD 1",IF($M12611="PADD II","PADD 2",IF($M12611="PADD III","PADD 3",IF($M12611="PADD IV","PADD 4",IF($M12611="PADD V","PADD 5","")))))</f>
        <v/>
      </c>
      <c r="G12611" s="6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  <c r="N12611" s="6">
        <f>IF(OR($G12611="FCC",$G12611="Hydrocracker",$G12611="Reformer"),IF(COUNTIFS($D:$D,$D12611,$A:$A,$A12611,$B:$B,$B12611,$G:$G,"CDU",$J:$J,"PLANNED")&gt;0,"tied","standalone"),"")</f>
        <v/>
      </c>
    </row>
    <row r="12612" spans="6:14">
      <c r="F12612" s="6">
        <f>IF($M12612="PADD I","PADD 1",IF($M12612="PADD II","PADD 2",IF($M12612="PADD III","PADD 3",IF($M12612="PADD IV","PADD 4",IF($M12612="PADD V","PADD 5","")))))</f>
        <v/>
      </c>
      <c r="G12612" s="6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  <c r="N12612" s="6">
        <f>IF(OR($G12612="FCC",$G12612="Hydrocracker",$G12612="Reformer"),IF(COUNTIFS($D:$D,$D12612,$A:$A,$A12612,$B:$B,$B12612,$G:$G,"CDU",$J:$J,"PLANNED")&gt;0,"tied","standalone"),"")</f>
        <v/>
      </c>
    </row>
    <row r="12613" spans="6:14">
      <c r="F12613" s="6">
        <f>IF($M12613="PADD I","PADD 1",IF($M12613="PADD II","PADD 2",IF($M12613="PADD III","PADD 3",IF($M12613="PADD IV","PADD 4",IF($M12613="PADD V","PADD 5","")))))</f>
        <v/>
      </c>
      <c r="G12613" s="6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  <c r="N12613" s="6">
        <f>IF(OR($G12613="FCC",$G12613="Hydrocracker",$G12613="Reformer"),IF(COUNTIFS($D:$D,$D12613,$A:$A,$A12613,$B:$B,$B12613,$G:$G,"CDU",$J:$J,"PLANNED")&gt;0,"tied","standalone"),"")</f>
        <v/>
      </c>
    </row>
    <row r="12614" spans="6:14">
      <c r="F12614" s="6">
        <f>IF($M12614="PADD I","PADD 1",IF($M12614="PADD II","PADD 2",IF($M12614="PADD III","PADD 3",IF($M12614="PADD IV","PADD 4",IF($M12614="PADD V","PADD 5","")))))</f>
        <v/>
      </c>
      <c r="G12614" s="6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  <c r="N12614" s="6">
        <f>IF(OR($G12614="FCC",$G12614="Hydrocracker",$G12614="Reformer"),IF(COUNTIFS($D:$D,$D12614,$A:$A,$A12614,$B:$B,$B12614,$G:$G,"CDU",$J:$J,"PLANNED")&gt;0,"tied","standalone"),"")</f>
        <v/>
      </c>
    </row>
    <row r="12615" spans="6:14">
      <c r="F12615" s="6">
        <f>IF($M12615="PADD I","PADD 1",IF($M12615="PADD II","PADD 2",IF($M12615="PADD III","PADD 3",IF($M12615="PADD IV","PADD 4",IF($M12615="PADD V","PADD 5","")))))</f>
        <v/>
      </c>
      <c r="G12615" s="6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  <c r="N12615" s="6">
        <f>IF(OR($G12615="FCC",$G12615="Hydrocracker",$G12615="Reformer"),IF(COUNTIFS($D:$D,$D12615,$A:$A,$A12615,$B:$B,$B12615,$G:$G,"CDU",$J:$J,"PLANNED")&gt;0,"tied","standalone"),"")</f>
        <v/>
      </c>
    </row>
    <row r="12616" spans="6:14">
      <c r="F12616" s="6">
        <f>IF($M12616="PADD I","PADD 1",IF($M12616="PADD II","PADD 2",IF($M12616="PADD III","PADD 3",IF($M12616="PADD IV","PADD 4",IF($M12616="PADD V","PADD 5","")))))</f>
        <v/>
      </c>
      <c r="G12616" s="6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  <c r="N12616" s="6">
        <f>IF(OR($G12616="FCC",$G12616="Hydrocracker",$G12616="Reformer"),IF(COUNTIFS($D:$D,$D12616,$A:$A,$A12616,$B:$B,$B12616,$G:$G,"CDU",$J:$J,"PLANNED")&gt;0,"tied","standalone"),"")</f>
        <v/>
      </c>
    </row>
    <row r="12617" spans="6:14">
      <c r="F12617" s="6">
        <f>IF($M12617="PADD I","PADD 1",IF($M12617="PADD II","PADD 2",IF($M12617="PADD III","PADD 3",IF($M12617="PADD IV","PADD 4",IF($M12617="PADD V","PADD 5","")))))</f>
        <v/>
      </c>
      <c r="G12617" s="6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  <c r="N12617" s="6">
        <f>IF(OR($G12617="FCC",$G12617="Hydrocracker",$G12617="Reformer"),IF(COUNTIFS($D:$D,$D12617,$A:$A,$A12617,$B:$B,$B12617,$G:$G,"CDU",$J:$J,"PLANNED")&gt;0,"tied","standalone"),"")</f>
        <v/>
      </c>
    </row>
    <row r="12618" spans="6:14">
      <c r="F12618" s="6">
        <f>IF($M12618="PADD I","PADD 1",IF($M12618="PADD II","PADD 2",IF($M12618="PADD III","PADD 3",IF($M12618="PADD IV","PADD 4",IF($M12618="PADD V","PADD 5","")))))</f>
        <v/>
      </c>
      <c r="G12618" s="6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  <c r="N12618" s="6">
        <f>IF(OR($G12618="FCC",$G12618="Hydrocracker",$G12618="Reformer"),IF(COUNTIFS($D:$D,$D12618,$A:$A,$A12618,$B:$B,$B12618,$G:$G,"CDU",$J:$J,"PLANNED")&gt;0,"tied","standalone"),"")</f>
        <v/>
      </c>
    </row>
    <row r="12619" spans="6:14">
      <c r="F12619" s="6">
        <f>IF($M12619="PADD I","PADD 1",IF($M12619="PADD II","PADD 2",IF($M12619="PADD III","PADD 3",IF($M12619="PADD IV","PADD 4",IF($M12619="PADD V","PADD 5","")))))</f>
        <v/>
      </c>
      <c r="G12619" s="6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  <c r="N12619" s="6">
        <f>IF(OR($G12619="FCC",$G12619="Hydrocracker",$G12619="Reformer"),IF(COUNTIFS($D:$D,$D12619,$A:$A,$A12619,$B:$B,$B12619,$G:$G,"CDU",$J:$J,"PLANNED")&gt;0,"tied","standalone"),"")</f>
        <v/>
      </c>
    </row>
    <row r="12620" spans="6:14">
      <c r="F12620" s="6">
        <f>IF($M12620="PADD I","PADD 1",IF($M12620="PADD II","PADD 2",IF($M12620="PADD III","PADD 3",IF($M12620="PADD IV","PADD 4",IF($M12620="PADD V","PADD 5","")))))</f>
        <v/>
      </c>
      <c r="G12620" s="6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  <c r="N12620" s="6">
        <f>IF(OR($G12620="FCC",$G12620="Hydrocracker",$G12620="Reformer"),IF(COUNTIFS($D:$D,$D12620,$A:$A,$A12620,$B:$B,$B12620,$G:$G,"CDU",$J:$J,"PLANNED")&gt;0,"tied","standalone"),"")</f>
        <v/>
      </c>
    </row>
    <row r="12621" spans="6:14">
      <c r="F12621" s="6">
        <f>IF($M12621="PADD I","PADD 1",IF($M12621="PADD II","PADD 2",IF($M12621="PADD III","PADD 3",IF($M12621="PADD IV","PADD 4",IF($M12621="PADD V","PADD 5","")))))</f>
        <v/>
      </c>
      <c r="G12621" s="6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  <c r="N12621" s="6">
        <f>IF(OR($G12621="FCC",$G12621="Hydrocracker",$G12621="Reformer"),IF(COUNTIFS($D:$D,$D12621,$A:$A,$A12621,$B:$B,$B12621,$G:$G,"CDU",$J:$J,"PLANNED")&gt;0,"tied","standalone"),"")</f>
        <v/>
      </c>
    </row>
    <row r="12622" spans="6:14">
      <c r="F12622" s="6">
        <f>IF($M12622="PADD I","PADD 1",IF($M12622="PADD II","PADD 2",IF($M12622="PADD III","PADD 3",IF($M12622="PADD IV","PADD 4",IF($M12622="PADD V","PADD 5","")))))</f>
        <v/>
      </c>
      <c r="G12622" s="6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  <c r="N12622" s="6">
        <f>IF(OR($G12622="FCC",$G12622="Hydrocracker",$G12622="Reformer"),IF(COUNTIFS($D:$D,$D12622,$A:$A,$A12622,$B:$B,$B12622,$G:$G,"CDU",$J:$J,"PLANNED")&gt;0,"tied","standalone"),"")</f>
        <v/>
      </c>
    </row>
    <row r="12623" spans="6:14">
      <c r="F12623" s="6">
        <f>IF($M12623="PADD I","PADD 1",IF($M12623="PADD II","PADD 2",IF($M12623="PADD III","PADD 3",IF($M12623="PADD IV","PADD 4",IF($M12623="PADD V","PADD 5","")))))</f>
        <v/>
      </c>
      <c r="G12623" s="6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  <c r="N12623" s="6">
        <f>IF(OR($G12623="FCC",$G12623="Hydrocracker",$G12623="Reformer"),IF(COUNTIFS($D:$D,$D12623,$A:$A,$A12623,$B:$B,$B12623,$G:$G,"CDU",$J:$J,"PLANNED")&gt;0,"tied","standalone"),"")</f>
        <v/>
      </c>
    </row>
    <row r="12624" spans="6:14">
      <c r="F12624" s="6">
        <f>IF($M12624="PADD I","PADD 1",IF($M12624="PADD II","PADD 2",IF($M12624="PADD III","PADD 3",IF($M12624="PADD IV","PADD 4",IF($M12624="PADD V","PADD 5","")))))</f>
        <v/>
      </c>
      <c r="G12624" s="6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  <c r="N12624" s="6">
        <f>IF(OR($G12624="FCC",$G12624="Hydrocracker",$G12624="Reformer"),IF(COUNTIFS($D:$D,$D12624,$A:$A,$A12624,$B:$B,$B12624,$G:$G,"CDU",$J:$J,"PLANNED")&gt;0,"tied","standalone"),"")</f>
        <v/>
      </c>
    </row>
    <row r="12625" spans="6:14">
      <c r="F12625" s="6">
        <f>IF($M12625="PADD I","PADD 1",IF($M12625="PADD II","PADD 2",IF($M12625="PADD III","PADD 3",IF($M12625="PADD IV","PADD 4",IF($M12625="PADD V","PADD 5","")))))</f>
        <v/>
      </c>
      <c r="G12625" s="6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  <c r="N12625" s="6">
        <f>IF(OR($G12625="FCC",$G12625="Hydrocracker",$G12625="Reformer"),IF(COUNTIFS($D:$D,$D12625,$A:$A,$A12625,$B:$B,$B12625,$G:$G,"CDU",$J:$J,"PLANNED")&gt;0,"tied","standalone"),"")</f>
        <v/>
      </c>
    </row>
    <row r="12626" spans="6:14">
      <c r="F12626" s="6">
        <f>IF($M12626="PADD I","PADD 1",IF($M12626="PADD II","PADD 2",IF($M12626="PADD III","PADD 3",IF($M12626="PADD IV","PADD 4",IF($M12626="PADD V","PADD 5","")))))</f>
        <v/>
      </c>
      <c r="G12626" s="6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  <c r="N12626" s="6">
        <f>IF(OR($G12626="FCC",$G12626="Hydrocracker",$G12626="Reformer"),IF(COUNTIFS($D:$D,$D12626,$A:$A,$A12626,$B:$B,$B12626,$G:$G,"CDU",$J:$J,"PLANNED")&gt;0,"tied","standalone"),"")</f>
        <v/>
      </c>
    </row>
    <row r="12627" spans="6:14">
      <c r="F12627" s="6">
        <f>IF($M12627="PADD I","PADD 1",IF($M12627="PADD II","PADD 2",IF($M12627="PADD III","PADD 3",IF($M12627="PADD IV","PADD 4",IF($M12627="PADD V","PADD 5","")))))</f>
        <v/>
      </c>
      <c r="G12627" s="6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  <c r="N12627" s="6">
        <f>IF(OR($G12627="FCC",$G12627="Hydrocracker",$G12627="Reformer"),IF(COUNTIFS($D:$D,$D12627,$A:$A,$A12627,$B:$B,$B12627,$G:$G,"CDU",$J:$J,"PLANNED")&gt;0,"tied","standalone"),"")</f>
        <v/>
      </c>
    </row>
    <row r="12628" spans="6:14">
      <c r="F12628" s="6">
        <f>IF($M12628="PADD I","PADD 1",IF($M12628="PADD II","PADD 2",IF($M12628="PADD III","PADD 3",IF($M12628="PADD IV","PADD 4",IF($M12628="PADD V","PADD 5","")))))</f>
        <v/>
      </c>
      <c r="G12628" s="6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  <c r="N12628" s="6">
        <f>IF(OR($G12628="FCC",$G12628="Hydrocracker",$G12628="Reformer"),IF(COUNTIFS($D:$D,$D12628,$A:$A,$A12628,$B:$B,$B12628,$G:$G,"CDU",$J:$J,"PLANNED")&gt;0,"tied","standalone"),"")</f>
        <v/>
      </c>
    </row>
    <row r="12629" spans="6:14">
      <c r="F12629" s="6">
        <f>IF($M12629="PADD I","PADD 1",IF($M12629="PADD II","PADD 2",IF($M12629="PADD III","PADD 3",IF($M12629="PADD IV","PADD 4",IF($M12629="PADD V","PADD 5","")))))</f>
        <v/>
      </c>
      <c r="G12629" s="6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  <c r="N12629" s="6">
        <f>IF(OR($G12629="FCC",$G12629="Hydrocracker",$G12629="Reformer"),IF(COUNTIFS($D:$D,$D12629,$A:$A,$A12629,$B:$B,$B12629,$G:$G,"CDU",$J:$J,"PLANNED")&gt;0,"tied","standalone"),"")</f>
        <v/>
      </c>
    </row>
    <row r="12630" spans="6:14">
      <c r="F12630" s="6">
        <f>IF($M12630="PADD I","PADD 1",IF($M12630="PADD II","PADD 2",IF($M12630="PADD III","PADD 3",IF($M12630="PADD IV","PADD 4",IF($M12630="PADD V","PADD 5","")))))</f>
        <v/>
      </c>
      <c r="G12630" s="6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  <c r="N12630" s="6">
        <f>IF(OR($G12630="FCC",$G12630="Hydrocracker",$G12630="Reformer"),IF(COUNTIFS($D:$D,$D12630,$A:$A,$A12630,$B:$B,$B12630,$G:$G,"CDU",$J:$J,"PLANNED")&gt;0,"tied","standalone"),"")</f>
        <v/>
      </c>
    </row>
    <row r="12631" spans="6:14">
      <c r="F12631" s="6">
        <f>IF($M12631="PADD I","PADD 1",IF($M12631="PADD II","PADD 2",IF($M12631="PADD III","PADD 3",IF($M12631="PADD IV","PADD 4",IF($M12631="PADD V","PADD 5","")))))</f>
        <v/>
      </c>
      <c r="G12631" s="6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  <c r="N12631" s="6">
        <f>IF(OR($G12631="FCC",$G12631="Hydrocracker",$G12631="Reformer"),IF(COUNTIFS($D:$D,$D12631,$A:$A,$A12631,$B:$B,$B12631,$G:$G,"CDU",$J:$J,"PLANNED")&gt;0,"tied","standalone"),"")</f>
        <v/>
      </c>
    </row>
    <row r="12632" spans="6:14">
      <c r="F12632" s="6">
        <f>IF($M12632="PADD I","PADD 1",IF($M12632="PADD II","PADD 2",IF($M12632="PADD III","PADD 3",IF($M12632="PADD IV","PADD 4",IF($M12632="PADD V","PADD 5","")))))</f>
        <v/>
      </c>
      <c r="G12632" s="6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  <c r="N12632" s="6">
        <f>IF(OR($G12632="FCC",$G12632="Hydrocracker",$G12632="Reformer"),IF(COUNTIFS($D:$D,$D12632,$A:$A,$A12632,$B:$B,$B12632,$G:$G,"CDU",$J:$J,"PLANNED")&gt;0,"tied","standalone"),"")</f>
        <v/>
      </c>
    </row>
    <row r="12633" spans="6:14">
      <c r="F12633" s="6">
        <f>IF($M12633="PADD I","PADD 1",IF($M12633="PADD II","PADD 2",IF($M12633="PADD III","PADD 3",IF($M12633="PADD IV","PADD 4",IF($M12633="PADD V","PADD 5","")))))</f>
        <v/>
      </c>
      <c r="G12633" s="6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  <c r="N12633" s="6">
        <f>IF(OR($G12633="FCC",$G12633="Hydrocracker",$G12633="Reformer"),IF(COUNTIFS($D:$D,$D12633,$A:$A,$A12633,$B:$B,$B12633,$G:$G,"CDU",$J:$J,"PLANNED")&gt;0,"tied","standalone"),"")</f>
        <v/>
      </c>
    </row>
    <row r="12634" spans="6:14">
      <c r="F12634" s="6">
        <f>IF($M12634="PADD I","PADD 1",IF($M12634="PADD II","PADD 2",IF($M12634="PADD III","PADD 3",IF($M12634="PADD IV","PADD 4",IF($M12634="PADD V","PADD 5","")))))</f>
        <v/>
      </c>
      <c r="G12634" s="6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  <c r="N12634" s="6">
        <f>IF(OR($G12634="FCC",$G12634="Hydrocracker",$G12634="Reformer"),IF(COUNTIFS($D:$D,$D12634,$A:$A,$A12634,$B:$B,$B12634,$G:$G,"CDU",$J:$J,"PLANNED")&gt;0,"tied","standalone"),"")</f>
        <v/>
      </c>
    </row>
    <row r="12635" spans="6:14">
      <c r="F12635" s="6">
        <f>IF($M12635="PADD I","PADD 1",IF($M12635="PADD II","PADD 2",IF($M12635="PADD III","PADD 3",IF($M12635="PADD IV","PADD 4",IF($M12635="PADD V","PADD 5","")))))</f>
        <v/>
      </c>
      <c r="G12635" s="6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  <c r="N12635" s="6">
        <f>IF(OR($G12635="FCC",$G12635="Hydrocracker",$G12635="Reformer"),IF(COUNTIFS($D:$D,$D12635,$A:$A,$A12635,$B:$B,$B12635,$G:$G,"CDU",$J:$J,"PLANNED")&gt;0,"tied","standalone"),"")</f>
        <v/>
      </c>
    </row>
    <row r="12636" spans="6:14">
      <c r="F12636" s="6">
        <f>IF($M12636="PADD I","PADD 1",IF($M12636="PADD II","PADD 2",IF($M12636="PADD III","PADD 3",IF($M12636="PADD IV","PADD 4",IF($M12636="PADD V","PADD 5","")))))</f>
        <v/>
      </c>
      <c r="G12636" s="6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  <c r="N12636" s="6">
        <f>IF(OR($G12636="FCC",$G12636="Hydrocracker",$G12636="Reformer"),IF(COUNTIFS($D:$D,$D12636,$A:$A,$A12636,$B:$B,$B12636,$G:$G,"CDU",$J:$J,"PLANNED")&gt;0,"tied","standalone"),"")</f>
        <v/>
      </c>
    </row>
    <row r="12637" spans="6:14">
      <c r="F12637" s="6">
        <f>IF($M12637="PADD I","PADD 1",IF($M12637="PADD II","PADD 2",IF($M12637="PADD III","PADD 3",IF($M12637="PADD IV","PADD 4",IF($M12637="PADD V","PADD 5","")))))</f>
        <v/>
      </c>
      <c r="G12637" s="6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  <c r="N12637" s="6">
        <f>IF(OR($G12637="FCC",$G12637="Hydrocracker",$G12637="Reformer"),IF(COUNTIFS($D:$D,$D12637,$A:$A,$A12637,$B:$B,$B12637,$G:$G,"CDU",$J:$J,"PLANNED")&gt;0,"tied","standalone"),"")</f>
        <v/>
      </c>
    </row>
    <row r="12638" spans="6:14">
      <c r="F12638" s="6">
        <f>IF($M12638="PADD I","PADD 1",IF($M12638="PADD II","PADD 2",IF($M12638="PADD III","PADD 3",IF($M12638="PADD IV","PADD 4",IF($M12638="PADD V","PADD 5","")))))</f>
        <v/>
      </c>
      <c r="G12638" s="6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  <c r="N12638" s="6">
        <f>IF(OR($G12638="FCC",$G12638="Hydrocracker",$G12638="Reformer"),IF(COUNTIFS($D:$D,$D12638,$A:$A,$A12638,$B:$B,$B12638,$G:$G,"CDU",$J:$J,"PLANNED")&gt;0,"tied","standalone"),"")</f>
        <v/>
      </c>
    </row>
    <row r="12639" spans="6:14">
      <c r="F12639" s="6">
        <f>IF($M12639="PADD I","PADD 1",IF($M12639="PADD II","PADD 2",IF($M12639="PADD III","PADD 3",IF($M12639="PADD IV","PADD 4",IF($M12639="PADD V","PADD 5","")))))</f>
        <v/>
      </c>
      <c r="G12639" s="6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  <c r="N12639" s="6">
        <f>IF(OR($G12639="FCC",$G12639="Hydrocracker",$G12639="Reformer"),IF(COUNTIFS($D:$D,$D12639,$A:$A,$A12639,$B:$B,$B12639,$G:$G,"CDU",$J:$J,"PLANNED")&gt;0,"tied","standalone"),"")</f>
        <v/>
      </c>
    </row>
    <row r="12640" spans="6:14">
      <c r="F12640" s="6">
        <f>IF($M12640="PADD I","PADD 1",IF($M12640="PADD II","PADD 2",IF($M12640="PADD III","PADD 3",IF($M12640="PADD IV","PADD 4",IF($M12640="PADD V","PADD 5","")))))</f>
        <v/>
      </c>
      <c r="G12640" s="6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  <c r="N12640" s="6">
        <f>IF(OR($G12640="FCC",$G12640="Hydrocracker",$G12640="Reformer"),IF(COUNTIFS($D:$D,$D12640,$A:$A,$A12640,$B:$B,$B12640,$G:$G,"CDU",$J:$J,"PLANNED")&gt;0,"tied","standalone"),"")</f>
        <v/>
      </c>
    </row>
    <row r="12641" spans="6:14">
      <c r="F12641" s="6">
        <f>IF($M12641="PADD I","PADD 1",IF($M12641="PADD II","PADD 2",IF($M12641="PADD III","PADD 3",IF($M12641="PADD IV","PADD 4",IF($M12641="PADD V","PADD 5","")))))</f>
        <v/>
      </c>
      <c r="G12641" s="6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  <c r="N12641" s="6">
        <f>IF(OR($G12641="FCC",$G12641="Hydrocracker",$G12641="Reformer"),IF(COUNTIFS($D:$D,$D12641,$A:$A,$A12641,$B:$B,$B12641,$G:$G,"CDU",$J:$J,"PLANNED")&gt;0,"tied","standalone"),"")</f>
        <v/>
      </c>
    </row>
    <row r="12642" spans="6:14">
      <c r="F12642" s="6">
        <f>IF($M12642="PADD I","PADD 1",IF($M12642="PADD II","PADD 2",IF($M12642="PADD III","PADD 3",IF($M12642="PADD IV","PADD 4",IF($M12642="PADD V","PADD 5","")))))</f>
        <v/>
      </c>
      <c r="G12642" s="6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  <c r="N12642" s="6">
        <f>IF(OR($G12642="FCC",$G12642="Hydrocracker",$G12642="Reformer"),IF(COUNTIFS($D:$D,$D12642,$A:$A,$A12642,$B:$B,$B12642,$G:$G,"CDU",$J:$J,"PLANNED")&gt;0,"tied","standalone"),"")</f>
        <v/>
      </c>
    </row>
    <row r="12643" spans="6:14">
      <c r="F12643" s="6">
        <f>IF($M12643="PADD I","PADD 1",IF($M12643="PADD II","PADD 2",IF($M12643="PADD III","PADD 3",IF($M12643="PADD IV","PADD 4",IF($M12643="PADD V","PADD 5","")))))</f>
        <v/>
      </c>
      <c r="G12643" s="6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  <c r="N12643" s="6">
        <f>IF(OR($G12643="FCC",$G12643="Hydrocracker",$G12643="Reformer"),IF(COUNTIFS($D:$D,$D12643,$A:$A,$A12643,$B:$B,$B12643,$G:$G,"CDU",$J:$J,"PLANNED")&gt;0,"tied","standalone"),"")</f>
        <v/>
      </c>
    </row>
    <row r="12644" spans="6:14">
      <c r="F12644" s="6">
        <f>IF($M12644="PADD I","PADD 1",IF($M12644="PADD II","PADD 2",IF($M12644="PADD III","PADD 3",IF($M12644="PADD IV","PADD 4",IF($M12644="PADD V","PADD 5","")))))</f>
        <v/>
      </c>
      <c r="G12644" s="6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  <c r="N12644" s="6">
        <f>IF(OR($G12644="FCC",$G12644="Hydrocracker",$G12644="Reformer"),IF(COUNTIFS($D:$D,$D12644,$A:$A,$A12644,$B:$B,$B12644,$G:$G,"CDU",$J:$J,"PLANNED")&gt;0,"tied","standalone"),"")</f>
        <v/>
      </c>
    </row>
    <row r="12645" spans="6:14">
      <c r="F12645" s="6">
        <f>IF($M12645="PADD I","PADD 1",IF($M12645="PADD II","PADD 2",IF($M12645="PADD III","PADD 3",IF($M12645="PADD IV","PADD 4",IF($M12645="PADD V","PADD 5","")))))</f>
        <v/>
      </c>
      <c r="G12645" s="6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  <c r="N12645" s="6">
        <f>IF(OR($G12645="FCC",$G12645="Hydrocracker",$G12645="Reformer"),IF(COUNTIFS($D:$D,$D12645,$A:$A,$A12645,$B:$B,$B12645,$G:$G,"CDU",$J:$J,"PLANNED")&gt;0,"tied","standalone"),"")</f>
        <v/>
      </c>
    </row>
    <row r="12646" spans="6:14">
      <c r="F12646" s="6">
        <f>IF($M12646="PADD I","PADD 1",IF($M12646="PADD II","PADD 2",IF($M12646="PADD III","PADD 3",IF($M12646="PADD IV","PADD 4",IF($M12646="PADD V","PADD 5","")))))</f>
        <v/>
      </c>
      <c r="G12646" s="6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  <c r="N12646" s="6">
        <f>IF(OR($G12646="FCC",$G12646="Hydrocracker",$G12646="Reformer"),IF(COUNTIFS($D:$D,$D12646,$A:$A,$A12646,$B:$B,$B12646,$G:$G,"CDU",$J:$J,"PLANNED")&gt;0,"tied","standalone"),"")</f>
        <v/>
      </c>
    </row>
    <row r="12647" spans="6:14">
      <c r="F12647" s="6">
        <f>IF($M12647="PADD I","PADD 1",IF($M12647="PADD II","PADD 2",IF($M12647="PADD III","PADD 3",IF($M12647="PADD IV","PADD 4",IF($M12647="PADD V","PADD 5","")))))</f>
        <v/>
      </c>
      <c r="G12647" s="6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  <c r="N12647" s="6">
        <f>IF(OR($G12647="FCC",$G12647="Hydrocracker",$G12647="Reformer"),IF(COUNTIFS($D:$D,$D12647,$A:$A,$A12647,$B:$B,$B12647,$G:$G,"CDU",$J:$J,"PLANNED")&gt;0,"tied","standalone"),"")</f>
        <v/>
      </c>
    </row>
    <row r="12648" spans="6:14">
      <c r="F12648" s="6">
        <f>IF($M12648="PADD I","PADD 1",IF($M12648="PADD II","PADD 2",IF($M12648="PADD III","PADD 3",IF($M12648="PADD IV","PADD 4",IF($M12648="PADD V","PADD 5","")))))</f>
        <v/>
      </c>
      <c r="G12648" s="6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  <c r="N12648" s="6">
        <f>IF(OR($G12648="FCC",$G12648="Hydrocracker",$G12648="Reformer"),IF(COUNTIFS($D:$D,$D12648,$A:$A,$A12648,$B:$B,$B12648,$G:$G,"CDU",$J:$J,"PLANNED")&gt;0,"tied","standalone"),"")</f>
        <v/>
      </c>
    </row>
    <row r="12649" spans="6:14">
      <c r="F12649" s="6">
        <f>IF($M12649="PADD I","PADD 1",IF($M12649="PADD II","PADD 2",IF($M12649="PADD III","PADD 3",IF($M12649="PADD IV","PADD 4",IF($M12649="PADD V","PADD 5","")))))</f>
        <v/>
      </c>
      <c r="G12649" s="6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  <c r="N12649" s="6">
        <f>IF(OR($G12649="FCC",$G12649="Hydrocracker",$G12649="Reformer"),IF(COUNTIFS($D:$D,$D12649,$A:$A,$A12649,$B:$B,$B12649,$G:$G,"CDU",$J:$J,"PLANNED")&gt;0,"tied","standalone"),"")</f>
        <v/>
      </c>
    </row>
    <row r="12650" spans="6:14">
      <c r="F12650" s="6">
        <f>IF($M12650="PADD I","PADD 1",IF($M12650="PADD II","PADD 2",IF($M12650="PADD III","PADD 3",IF($M12650="PADD IV","PADD 4",IF($M12650="PADD V","PADD 5","")))))</f>
        <v/>
      </c>
      <c r="G12650" s="6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  <c r="N12650" s="6">
        <f>IF(OR($G12650="FCC",$G12650="Hydrocracker",$G12650="Reformer"),IF(COUNTIFS($D:$D,$D12650,$A:$A,$A12650,$B:$B,$B12650,$G:$G,"CDU",$J:$J,"PLANNED")&gt;0,"tied","standalone"),"")</f>
        <v/>
      </c>
    </row>
    <row r="12651" spans="6:14">
      <c r="F12651" s="6">
        <f>IF($M12651="PADD I","PADD 1",IF($M12651="PADD II","PADD 2",IF($M12651="PADD III","PADD 3",IF($M12651="PADD IV","PADD 4",IF($M12651="PADD V","PADD 5","")))))</f>
        <v/>
      </c>
      <c r="G12651" s="6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  <c r="N12651" s="6">
        <f>IF(OR($G12651="FCC",$G12651="Hydrocracker",$G12651="Reformer"),IF(COUNTIFS($D:$D,$D12651,$A:$A,$A12651,$B:$B,$B12651,$G:$G,"CDU",$J:$J,"PLANNED")&gt;0,"tied","standalone"),"")</f>
        <v/>
      </c>
    </row>
    <row r="12652" spans="6:14">
      <c r="F12652" s="6">
        <f>IF($M12652="PADD I","PADD 1",IF($M12652="PADD II","PADD 2",IF($M12652="PADD III","PADD 3",IF($M12652="PADD IV","PADD 4",IF($M12652="PADD V","PADD 5","")))))</f>
        <v/>
      </c>
      <c r="G12652" s="6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  <c r="N12652" s="6">
        <f>IF(OR($G12652="FCC",$G12652="Hydrocracker",$G12652="Reformer"),IF(COUNTIFS($D:$D,$D12652,$A:$A,$A12652,$B:$B,$B12652,$G:$G,"CDU",$J:$J,"PLANNED")&gt;0,"tied","standalone"),"")</f>
        <v/>
      </c>
    </row>
    <row r="12653" spans="6:14">
      <c r="F12653" s="6">
        <f>IF($M12653="PADD I","PADD 1",IF($M12653="PADD II","PADD 2",IF($M12653="PADD III","PADD 3",IF($M12653="PADD IV","PADD 4",IF($M12653="PADD V","PADD 5","")))))</f>
        <v/>
      </c>
      <c r="G12653" s="6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  <c r="N12653" s="6">
        <f>IF(OR($G12653="FCC",$G12653="Hydrocracker",$G12653="Reformer"),IF(COUNTIFS($D:$D,$D12653,$A:$A,$A12653,$B:$B,$B12653,$G:$G,"CDU",$J:$J,"PLANNED")&gt;0,"tied","standalone"),"")</f>
        <v/>
      </c>
    </row>
    <row r="12654" spans="6:14">
      <c r="F12654" s="6">
        <f>IF($M12654="PADD I","PADD 1",IF($M12654="PADD II","PADD 2",IF($M12654="PADD III","PADD 3",IF($M12654="PADD IV","PADD 4",IF($M12654="PADD V","PADD 5","")))))</f>
        <v/>
      </c>
      <c r="G12654" s="6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  <c r="N12654" s="6">
        <f>IF(OR($G12654="FCC",$G12654="Hydrocracker",$G12654="Reformer"),IF(COUNTIFS($D:$D,$D12654,$A:$A,$A12654,$B:$B,$B12654,$G:$G,"CDU",$J:$J,"PLANNED")&gt;0,"tied","standalone"),"")</f>
        <v/>
      </c>
    </row>
    <row r="12655" spans="6:14">
      <c r="F12655" s="6">
        <f>IF($M12655="PADD I","PADD 1",IF($M12655="PADD II","PADD 2",IF($M12655="PADD III","PADD 3",IF($M12655="PADD IV","PADD 4",IF($M12655="PADD V","PADD 5","")))))</f>
        <v/>
      </c>
      <c r="G12655" s="6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  <c r="N12655" s="6">
        <f>IF(OR($G12655="FCC",$G12655="Hydrocracker",$G12655="Reformer"),IF(COUNTIFS($D:$D,$D12655,$A:$A,$A12655,$B:$B,$B12655,$G:$G,"CDU",$J:$J,"PLANNED")&gt;0,"tied","standalone"),"")</f>
        <v/>
      </c>
    </row>
    <row r="12656" spans="6:14">
      <c r="F12656" s="6">
        <f>IF($M12656="PADD I","PADD 1",IF($M12656="PADD II","PADD 2",IF($M12656="PADD III","PADD 3",IF($M12656="PADD IV","PADD 4",IF($M12656="PADD V","PADD 5","")))))</f>
        <v/>
      </c>
      <c r="G12656" s="6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  <c r="N12656" s="6">
        <f>IF(OR($G12656="FCC",$G12656="Hydrocracker",$G12656="Reformer"),IF(COUNTIFS($D:$D,$D12656,$A:$A,$A12656,$B:$B,$B12656,$G:$G,"CDU",$J:$J,"PLANNED")&gt;0,"tied","standalone"),"")</f>
        <v/>
      </c>
    </row>
    <row r="12657" spans="6:14">
      <c r="F12657" s="6">
        <f>IF($M12657="PADD I","PADD 1",IF($M12657="PADD II","PADD 2",IF($M12657="PADD III","PADD 3",IF($M12657="PADD IV","PADD 4",IF($M12657="PADD V","PADD 5","")))))</f>
        <v/>
      </c>
      <c r="G12657" s="6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  <c r="N12657" s="6">
        <f>IF(OR($G12657="FCC",$G12657="Hydrocracker",$G12657="Reformer"),IF(COUNTIFS($D:$D,$D12657,$A:$A,$A12657,$B:$B,$B12657,$G:$G,"CDU",$J:$J,"PLANNED")&gt;0,"tied","standalone"),"")</f>
        <v/>
      </c>
    </row>
    <row r="12658" spans="6:14">
      <c r="F12658" s="6">
        <f>IF($M12658="PADD I","PADD 1",IF($M12658="PADD II","PADD 2",IF($M12658="PADD III","PADD 3",IF($M12658="PADD IV","PADD 4",IF($M12658="PADD V","PADD 5","")))))</f>
        <v/>
      </c>
      <c r="G12658" s="6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  <c r="N12658" s="6">
        <f>IF(OR($G12658="FCC",$G12658="Hydrocracker",$G12658="Reformer"),IF(COUNTIFS($D:$D,$D12658,$A:$A,$A12658,$B:$B,$B12658,$G:$G,"CDU",$J:$J,"PLANNED")&gt;0,"tied","standalone"),"")</f>
        <v/>
      </c>
    </row>
    <row r="12659" spans="6:14">
      <c r="F12659" s="6">
        <f>IF($M12659="PADD I","PADD 1",IF($M12659="PADD II","PADD 2",IF($M12659="PADD III","PADD 3",IF($M12659="PADD IV","PADD 4",IF($M12659="PADD V","PADD 5","")))))</f>
        <v/>
      </c>
      <c r="G12659" s="6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  <c r="N12659" s="6">
        <f>IF(OR($G12659="FCC",$G12659="Hydrocracker",$G12659="Reformer"),IF(COUNTIFS($D:$D,$D12659,$A:$A,$A12659,$B:$B,$B12659,$G:$G,"CDU",$J:$J,"PLANNED")&gt;0,"tied","standalone"),"")</f>
        <v/>
      </c>
    </row>
    <row r="12660" spans="6:14">
      <c r="F12660" s="6">
        <f>IF($M12660="PADD I","PADD 1",IF($M12660="PADD II","PADD 2",IF($M12660="PADD III","PADD 3",IF($M12660="PADD IV","PADD 4",IF($M12660="PADD V","PADD 5","")))))</f>
        <v/>
      </c>
      <c r="G12660" s="6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  <c r="N12660" s="6">
        <f>IF(OR($G12660="FCC",$G12660="Hydrocracker",$G12660="Reformer"),IF(COUNTIFS($D:$D,$D12660,$A:$A,$A12660,$B:$B,$B12660,$G:$G,"CDU",$J:$J,"PLANNED")&gt;0,"tied","standalone"),"")</f>
        <v/>
      </c>
    </row>
    <row r="12661" spans="6:14">
      <c r="F12661" s="6">
        <f>IF($M12661="PADD I","PADD 1",IF($M12661="PADD II","PADD 2",IF($M12661="PADD III","PADD 3",IF($M12661="PADD IV","PADD 4",IF($M12661="PADD V","PADD 5","")))))</f>
        <v/>
      </c>
      <c r="G12661" s="6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  <c r="N12661" s="6">
        <f>IF(OR($G12661="FCC",$G12661="Hydrocracker",$G12661="Reformer"),IF(COUNTIFS($D:$D,$D12661,$A:$A,$A12661,$B:$B,$B12661,$G:$G,"CDU",$J:$J,"PLANNED")&gt;0,"tied","standalone"),"")</f>
        <v/>
      </c>
    </row>
    <row r="12662" spans="6:14">
      <c r="F12662" s="6">
        <f>IF($M12662="PADD I","PADD 1",IF($M12662="PADD II","PADD 2",IF($M12662="PADD III","PADD 3",IF($M12662="PADD IV","PADD 4",IF($M12662="PADD V","PADD 5","")))))</f>
        <v/>
      </c>
      <c r="G12662" s="6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  <c r="N12662" s="6">
        <f>IF(OR($G12662="FCC",$G12662="Hydrocracker",$G12662="Reformer"),IF(COUNTIFS($D:$D,$D12662,$A:$A,$A12662,$B:$B,$B12662,$G:$G,"CDU",$J:$J,"PLANNED")&gt;0,"tied","standalone"),"")</f>
        <v/>
      </c>
    </row>
    <row r="12663" spans="6:14">
      <c r="F12663" s="6">
        <f>IF($M12663="PADD I","PADD 1",IF($M12663="PADD II","PADD 2",IF($M12663="PADD III","PADD 3",IF($M12663="PADD IV","PADD 4",IF($M12663="PADD V","PADD 5","")))))</f>
        <v/>
      </c>
      <c r="G12663" s="6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  <c r="N12663" s="6">
        <f>IF(OR($G12663="FCC",$G12663="Hydrocracker",$G12663="Reformer"),IF(COUNTIFS($D:$D,$D12663,$A:$A,$A12663,$B:$B,$B12663,$G:$G,"CDU",$J:$J,"PLANNED")&gt;0,"tied","standalone"),"")</f>
        <v/>
      </c>
    </row>
    <row r="12664" spans="6:14">
      <c r="F12664" s="6">
        <f>IF($M12664="PADD I","PADD 1",IF($M12664="PADD II","PADD 2",IF($M12664="PADD III","PADD 3",IF($M12664="PADD IV","PADD 4",IF($M12664="PADD V","PADD 5","")))))</f>
        <v/>
      </c>
      <c r="G12664" s="6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  <c r="N12664" s="6">
        <f>IF(OR($G12664="FCC",$G12664="Hydrocracker",$G12664="Reformer"),IF(COUNTIFS($D:$D,$D12664,$A:$A,$A12664,$B:$B,$B12664,$G:$G,"CDU",$J:$J,"PLANNED")&gt;0,"tied","standalone"),"")</f>
        <v/>
      </c>
    </row>
    <row r="12665" spans="6:14">
      <c r="F12665" s="6">
        <f>IF($M12665="PADD I","PADD 1",IF($M12665="PADD II","PADD 2",IF($M12665="PADD III","PADD 3",IF($M12665="PADD IV","PADD 4",IF($M12665="PADD V","PADD 5","")))))</f>
        <v/>
      </c>
      <c r="G12665" s="6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  <c r="N12665" s="6">
        <f>IF(OR($G12665="FCC",$G12665="Hydrocracker",$G12665="Reformer"),IF(COUNTIFS($D:$D,$D12665,$A:$A,$A12665,$B:$B,$B12665,$G:$G,"CDU",$J:$J,"PLANNED")&gt;0,"tied","standalone"),"")</f>
        <v/>
      </c>
    </row>
    <row r="12666" spans="6:14">
      <c r="F12666" s="6">
        <f>IF($M12666="PADD I","PADD 1",IF($M12666="PADD II","PADD 2",IF($M12666="PADD III","PADD 3",IF($M12666="PADD IV","PADD 4",IF($M12666="PADD V","PADD 5","")))))</f>
        <v/>
      </c>
      <c r="G12666" s="6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  <c r="N12666" s="6">
        <f>IF(OR($G12666="FCC",$G12666="Hydrocracker",$G12666="Reformer"),IF(COUNTIFS($D:$D,$D12666,$A:$A,$A12666,$B:$B,$B12666,$G:$G,"CDU",$J:$J,"PLANNED")&gt;0,"tied","standalone"),"")</f>
        <v/>
      </c>
    </row>
    <row r="12667" spans="6:14">
      <c r="F12667" s="6">
        <f>IF($M12667="PADD I","PADD 1",IF($M12667="PADD II","PADD 2",IF($M12667="PADD III","PADD 3",IF($M12667="PADD IV","PADD 4",IF($M12667="PADD V","PADD 5","")))))</f>
        <v/>
      </c>
      <c r="G12667" s="6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  <c r="N12667" s="6">
        <f>IF(OR($G12667="FCC",$G12667="Hydrocracker",$G12667="Reformer"),IF(COUNTIFS($D:$D,$D12667,$A:$A,$A12667,$B:$B,$B12667,$G:$G,"CDU",$J:$J,"PLANNED")&gt;0,"tied","standalone"),"")</f>
        <v/>
      </c>
    </row>
    <row r="12668" spans="6:14">
      <c r="F12668" s="6">
        <f>IF($M12668="PADD I","PADD 1",IF($M12668="PADD II","PADD 2",IF($M12668="PADD III","PADD 3",IF($M12668="PADD IV","PADD 4",IF($M12668="PADD V","PADD 5","")))))</f>
        <v/>
      </c>
      <c r="G12668" s="6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  <c r="N12668" s="6">
        <f>IF(OR($G12668="FCC",$G12668="Hydrocracker",$G12668="Reformer"),IF(COUNTIFS($D:$D,$D12668,$A:$A,$A12668,$B:$B,$B12668,$G:$G,"CDU",$J:$J,"PLANNED")&gt;0,"tied","standalone"),"")</f>
        <v/>
      </c>
    </row>
    <row r="12669" spans="6:14">
      <c r="F12669" s="6">
        <f>IF($M12669="PADD I","PADD 1",IF($M12669="PADD II","PADD 2",IF($M12669="PADD III","PADD 3",IF($M12669="PADD IV","PADD 4",IF($M12669="PADD V","PADD 5","")))))</f>
        <v/>
      </c>
      <c r="G12669" s="6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  <c r="N12669" s="6">
        <f>IF(OR($G12669="FCC",$G12669="Hydrocracker",$G12669="Reformer"),IF(COUNTIFS($D:$D,$D12669,$A:$A,$A12669,$B:$B,$B12669,$G:$G,"CDU",$J:$J,"PLANNED")&gt;0,"tied","standalone"),"")</f>
        <v/>
      </c>
    </row>
    <row r="12670" spans="6:14">
      <c r="F12670" s="6">
        <f>IF($M12670="PADD I","PADD 1",IF($M12670="PADD II","PADD 2",IF($M12670="PADD III","PADD 3",IF($M12670="PADD IV","PADD 4",IF($M12670="PADD V","PADD 5","")))))</f>
        <v/>
      </c>
      <c r="G12670" s="6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  <c r="N12670" s="6">
        <f>IF(OR($G12670="FCC",$G12670="Hydrocracker",$G12670="Reformer"),IF(COUNTIFS($D:$D,$D12670,$A:$A,$A12670,$B:$B,$B12670,$G:$G,"CDU",$J:$J,"PLANNED")&gt;0,"tied","standalone"),"")</f>
        <v/>
      </c>
    </row>
    <row r="12671" spans="6:14">
      <c r="F12671" s="6">
        <f>IF($M12671="PADD I","PADD 1",IF($M12671="PADD II","PADD 2",IF($M12671="PADD III","PADD 3",IF($M12671="PADD IV","PADD 4",IF($M12671="PADD V","PADD 5","")))))</f>
        <v/>
      </c>
      <c r="G12671" s="6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  <c r="N12671" s="6">
        <f>IF(OR($G12671="FCC",$G12671="Hydrocracker",$G12671="Reformer"),IF(COUNTIFS($D:$D,$D12671,$A:$A,$A12671,$B:$B,$B12671,$G:$G,"CDU",$J:$J,"PLANNED")&gt;0,"tied","standalone"),"")</f>
        <v/>
      </c>
    </row>
    <row r="12672" spans="6:14">
      <c r="F12672" s="6">
        <f>IF($M12672="PADD I","PADD 1",IF($M12672="PADD II","PADD 2",IF($M12672="PADD III","PADD 3",IF($M12672="PADD IV","PADD 4",IF($M12672="PADD V","PADD 5","")))))</f>
        <v/>
      </c>
      <c r="G12672" s="6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  <c r="N12672" s="6">
        <f>IF(OR($G12672="FCC",$G12672="Hydrocracker",$G12672="Reformer"),IF(COUNTIFS($D:$D,$D12672,$A:$A,$A12672,$B:$B,$B12672,$G:$G,"CDU",$J:$J,"PLANNED")&gt;0,"tied","standalone"),"")</f>
        <v/>
      </c>
    </row>
    <row r="12673" spans="6:14">
      <c r="F12673" s="6">
        <f>IF($M12673="PADD I","PADD 1",IF($M12673="PADD II","PADD 2",IF($M12673="PADD III","PADD 3",IF($M12673="PADD IV","PADD 4",IF($M12673="PADD V","PADD 5","")))))</f>
        <v/>
      </c>
      <c r="G12673" s="6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  <c r="N12673" s="6">
        <f>IF(OR($G12673="FCC",$G12673="Hydrocracker",$G12673="Reformer"),IF(COUNTIFS($D:$D,$D12673,$A:$A,$A12673,$B:$B,$B12673,$G:$G,"CDU",$J:$J,"PLANNED")&gt;0,"tied","standalone"),"")</f>
        <v/>
      </c>
    </row>
    <row r="12674" spans="6:14">
      <c r="F12674" s="6">
        <f>IF($M12674="PADD I","PADD 1",IF($M12674="PADD II","PADD 2",IF($M12674="PADD III","PADD 3",IF($M12674="PADD IV","PADD 4",IF($M12674="PADD V","PADD 5","")))))</f>
        <v/>
      </c>
      <c r="G12674" s="6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  <c r="N12674" s="6">
        <f>IF(OR($G12674="FCC",$G12674="Hydrocracker",$G12674="Reformer"),IF(COUNTIFS($D:$D,$D12674,$A:$A,$A12674,$B:$B,$B12674,$G:$G,"CDU",$J:$J,"PLANNED")&gt;0,"tied","standalone"),"")</f>
        <v/>
      </c>
    </row>
    <row r="12675" spans="6:14">
      <c r="F12675" s="6">
        <f>IF($M12675="PADD I","PADD 1",IF($M12675="PADD II","PADD 2",IF($M12675="PADD III","PADD 3",IF($M12675="PADD IV","PADD 4",IF($M12675="PADD V","PADD 5","")))))</f>
        <v/>
      </c>
      <c r="G12675" s="6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  <c r="N12675" s="6">
        <f>IF(OR($G12675="FCC",$G12675="Hydrocracker",$G12675="Reformer"),IF(COUNTIFS($D:$D,$D12675,$A:$A,$A12675,$B:$B,$B12675,$G:$G,"CDU",$J:$J,"PLANNED")&gt;0,"tied","standalone"),"")</f>
        <v/>
      </c>
    </row>
    <row r="12676" spans="6:14">
      <c r="F12676" s="6">
        <f>IF($M12676="PADD I","PADD 1",IF($M12676="PADD II","PADD 2",IF($M12676="PADD III","PADD 3",IF($M12676="PADD IV","PADD 4",IF($M12676="PADD V","PADD 5","")))))</f>
        <v/>
      </c>
      <c r="G12676" s="6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  <c r="N12676" s="6">
        <f>IF(OR($G12676="FCC",$G12676="Hydrocracker",$G12676="Reformer"),IF(COUNTIFS($D:$D,$D12676,$A:$A,$A12676,$B:$B,$B12676,$G:$G,"CDU",$J:$J,"PLANNED")&gt;0,"tied","standalone"),"")</f>
        <v/>
      </c>
    </row>
    <row r="12677" spans="6:14">
      <c r="F12677" s="6">
        <f>IF($M12677="PADD I","PADD 1",IF($M12677="PADD II","PADD 2",IF($M12677="PADD III","PADD 3",IF($M12677="PADD IV","PADD 4",IF($M12677="PADD V","PADD 5","")))))</f>
        <v/>
      </c>
      <c r="G12677" s="6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  <c r="N12677" s="6">
        <f>IF(OR($G12677="FCC",$G12677="Hydrocracker",$G12677="Reformer"),IF(COUNTIFS($D:$D,$D12677,$A:$A,$A12677,$B:$B,$B12677,$G:$G,"CDU",$J:$J,"PLANNED")&gt;0,"tied","standalone"),"")</f>
        <v/>
      </c>
    </row>
    <row r="12678" spans="6:14">
      <c r="F12678" s="6">
        <f>IF($M12678="PADD I","PADD 1",IF($M12678="PADD II","PADD 2",IF($M12678="PADD III","PADD 3",IF($M12678="PADD IV","PADD 4",IF($M12678="PADD V","PADD 5","")))))</f>
        <v/>
      </c>
      <c r="G12678" s="6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  <c r="N12678" s="6">
        <f>IF(OR($G12678="FCC",$G12678="Hydrocracker",$G12678="Reformer"),IF(COUNTIFS($D:$D,$D12678,$A:$A,$A12678,$B:$B,$B12678,$G:$G,"CDU",$J:$J,"PLANNED")&gt;0,"tied","standalone"),"")</f>
        <v/>
      </c>
    </row>
    <row r="12679" spans="6:14">
      <c r="F12679" s="6">
        <f>IF($M12679="PADD I","PADD 1",IF($M12679="PADD II","PADD 2",IF($M12679="PADD III","PADD 3",IF($M12679="PADD IV","PADD 4",IF($M12679="PADD V","PADD 5","")))))</f>
        <v/>
      </c>
      <c r="G12679" s="6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  <c r="N12679" s="6">
        <f>IF(OR($G12679="FCC",$G12679="Hydrocracker",$G12679="Reformer"),IF(COUNTIFS($D:$D,$D12679,$A:$A,$A12679,$B:$B,$B12679,$G:$G,"CDU",$J:$J,"PLANNED")&gt;0,"tied","standalone"),"")</f>
        <v/>
      </c>
    </row>
    <row r="12680" spans="6:14">
      <c r="F12680" s="6">
        <f>IF($M12680="PADD I","PADD 1",IF($M12680="PADD II","PADD 2",IF($M12680="PADD III","PADD 3",IF($M12680="PADD IV","PADD 4",IF($M12680="PADD V","PADD 5","")))))</f>
        <v/>
      </c>
      <c r="G12680" s="6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  <c r="N12680" s="6">
        <f>IF(OR($G12680="FCC",$G12680="Hydrocracker",$G12680="Reformer"),IF(COUNTIFS($D:$D,$D12680,$A:$A,$A12680,$B:$B,$B12680,$G:$G,"CDU",$J:$J,"PLANNED")&gt;0,"tied","standalone"),"")</f>
        <v/>
      </c>
    </row>
    <row r="12681" spans="6:14">
      <c r="F12681" s="6">
        <f>IF($M12681="PADD I","PADD 1",IF($M12681="PADD II","PADD 2",IF($M12681="PADD III","PADD 3",IF($M12681="PADD IV","PADD 4",IF($M12681="PADD V","PADD 5","")))))</f>
        <v/>
      </c>
      <c r="G12681" s="6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  <c r="N12681" s="6">
        <f>IF(OR($G12681="FCC",$G12681="Hydrocracker",$G12681="Reformer"),IF(COUNTIFS($D:$D,$D12681,$A:$A,$A12681,$B:$B,$B12681,$G:$G,"CDU",$J:$J,"PLANNED")&gt;0,"tied","standalone"),"")</f>
        <v/>
      </c>
    </row>
    <row r="12682" spans="6:14">
      <c r="F12682" s="6">
        <f>IF($M12682="PADD I","PADD 1",IF($M12682="PADD II","PADD 2",IF($M12682="PADD III","PADD 3",IF($M12682="PADD IV","PADD 4",IF($M12682="PADD V","PADD 5","")))))</f>
        <v/>
      </c>
      <c r="G12682" s="6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  <c r="N12682" s="6">
        <f>IF(OR($G12682="FCC",$G12682="Hydrocracker",$G12682="Reformer"),IF(COUNTIFS($D:$D,$D12682,$A:$A,$A12682,$B:$B,$B12682,$G:$G,"CDU",$J:$J,"PLANNED")&gt;0,"tied","standalone"),"")</f>
        <v/>
      </c>
    </row>
    <row r="12683" spans="6:14">
      <c r="F12683" s="6">
        <f>IF($M12683="PADD I","PADD 1",IF($M12683="PADD II","PADD 2",IF($M12683="PADD III","PADD 3",IF($M12683="PADD IV","PADD 4",IF($M12683="PADD V","PADD 5","")))))</f>
        <v/>
      </c>
      <c r="G12683" s="6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  <c r="N12683" s="6">
        <f>IF(OR($G12683="FCC",$G12683="Hydrocracker",$G12683="Reformer"),IF(COUNTIFS($D:$D,$D12683,$A:$A,$A12683,$B:$B,$B12683,$G:$G,"CDU",$J:$J,"PLANNED")&gt;0,"tied","standalone"),"")</f>
        <v/>
      </c>
    </row>
    <row r="12684" spans="6:14">
      <c r="F12684" s="6">
        <f>IF($M12684="PADD I","PADD 1",IF($M12684="PADD II","PADD 2",IF($M12684="PADD III","PADD 3",IF($M12684="PADD IV","PADD 4",IF($M12684="PADD V","PADD 5","")))))</f>
        <v/>
      </c>
      <c r="G12684" s="6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  <c r="N12684" s="6">
        <f>IF(OR($G12684="FCC",$G12684="Hydrocracker",$G12684="Reformer"),IF(COUNTIFS($D:$D,$D12684,$A:$A,$A12684,$B:$B,$B12684,$G:$G,"CDU",$J:$J,"PLANNED")&gt;0,"tied","standalone"),"")</f>
        <v/>
      </c>
    </row>
    <row r="12685" spans="6:14">
      <c r="F12685" s="6">
        <f>IF($M12685="PADD I","PADD 1",IF($M12685="PADD II","PADD 2",IF($M12685="PADD III","PADD 3",IF($M12685="PADD IV","PADD 4",IF($M12685="PADD V","PADD 5","")))))</f>
        <v/>
      </c>
      <c r="G12685" s="6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  <c r="N12685" s="6">
        <f>IF(OR($G12685="FCC",$G12685="Hydrocracker",$G12685="Reformer"),IF(COUNTIFS($D:$D,$D12685,$A:$A,$A12685,$B:$B,$B12685,$G:$G,"CDU",$J:$J,"PLANNED")&gt;0,"tied","standalone"),"")</f>
        <v/>
      </c>
    </row>
    <row r="12686" spans="6:14">
      <c r="F12686" s="6">
        <f>IF($M12686="PADD I","PADD 1",IF($M12686="PADD II","PADD 2",IF($M12686="PADD III","PADD 3",IF($M12686="PADD IV","PADD 4",IF($M12686="PADD V","PADD 5","")))))</f>
        <v/>
      </c>
      <c r="G12686" s="6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  <c r="N12686" s="6">
        <f>IF(OR($G12686="FCC",$G12686="Hydrocracker",$G12686="Reformer"),IF(COUNTIFS($D:$D,$D12686,$A:$A,$A12686,$B:$B,$B12686,$G:$G,"CDU",$J:$J,"PLANNED")&gt;0,"tied","standalone"),"")</f>
        <v/>
      </c>
    </row>
    <row r="12687" spans="6:14">
      <c r="F12687" s="6">
        <f>IF($M12687="PADD I","PADD 1",IF($M12687="PADD II","PADD 2",IF($M12687="PADD III","PADD 3",IF($M12687="PADD IV","PADD 4",IF($M12687="PADD V","PADD 5","")))))</f>
        <v/>
      </c>
      <c r="G12687" s="6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  <c r="N12687" s="6">
        <f>IF(OR($G12687="FCC",$G12687="Hydrocracker",$G12687="Reformer"),IF(COUNTIFS($D:$D,$D12687,$A:$A,$A12687,$B:$B,$B12687,$G:$G,"CDU",$J:$J,"PLANNED")&gt;0,"tied","standalone"),"")</f>
        <v/>
      </c>
    </row>
    <row r="12688" spans="6:14">
      <c r="F12688" s="6">
        <f>IF($M12688="PADD I","PADD 1",IF($M12688="PADD II","PADD 2",IF($M12688="PADD III","PADD 3",IF($M12688="PADD IV","PADD 4",IF($M12688="PADD V","PADD 5","")))))</f>
        <v/>
      </c>
      <c r="G12688" s="6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  <c r="N12688" s="6">
        <f>IF(OR($G12688="FCC",$G12688="Hydrocracker",$G12688="Reformer"),IF(COUNTIFS($D:$D,$D12688,$A:$A,$A12688,$B:$B,$B12688,$G:$G,"CDU",$J:$J,"PLANNED")&gt;0,"tied","standalone"),"")</f>
        <v/>
      </c>
    </row>
    <row r="12689" spans="6:14">
      <c r="F12689" s="6">
        <f>IF($M12689="PADD I","PADD 1",IF($M12689="PADD II","PADD 2",IF($M12689="PADD III","PADD 3",IF($M12689="PADD IV","PADD 4",IF($M12689="PADD V","PADD 5","")))))</f>
        <v/>
      </c>
      <c r="G12689" s="6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  <c r="N12689" s="6">
        <f>IF(OR($G12689="FCC",$G12689="Hydrocracker",$G12689="Reformer"),IF(COUNTIFS($D:$D,$D12689,$A:$A,$A12689,$B:$B,$B12689,$G:$G,"CDU",$J:$J,"PLANNED")&gt;0,"tied","standalone"),"")</f>
        <v/>
      </c>
    </row>
    <row r="12690" spans="6:14">
      <c r="F12690" s="6">
        <f>IF($M12690="PADD I","PADD 1",IF($M12690="PADD II","PADD 2",IF($M12690="PADD III","PADD 3",IF($M12690="PADD IV","PADD 4",IF($M12690="PADD V","PADD 5","")))))</f>
        <v/>
      </c>
      <c r="G12690" s="6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  <c r="N12690" s="6">
        <f>IF(OR($G12690="FCC",$G12690="Hydrocracker",$G12690="Reformer"),IF(COUNTIFS($D:$D,$D12690,$A:$A,$A12690,$B:$B,$B12690,$G:$G,"CDU",$J:$J,"PLANNED")&gt;0,"tied","standalone"),"")</f>
        <v/>
      </c>
    </row>
    <row r="12691" spans="6:14">
      <c r="F12691" s="6">
        <f>IF($M12691="PADD I","PADD 1",IF($M12691="PADD II","PADD 2",IF($M12691="PADD III","PADD 3",IF($M12691="PADD IV","PADD 4",IF($M12691="PADD V","PADD 5","")))))</f>
        <v/>
      </c>
      <c r="G12691" s="6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  <c r="N12691" s="6">
        <f>IF(OR($G12691="FCC",$G12691="Hydrocracker",$G12691="Reformer"),IF(COUNTIFS($D:$D,$D12691,$A:$A,$A12691,$B:$B,$B12691,$G:$G,"CDU",$J:$J,"PLANNED")&gt;0,"tied","standalone"),"")</f>
        <v/>
      </c>
    </row>
    <row r="12692" spans="6:14">
      <c r="F12692" s="6">
        <f>IF($M12692="PADD I","PADD 1",IF($M12692="PADD II","PADD 2",IF($M12692="PADD III","PADD 3",IF($M12692="PADD IV","PADD 4",IF($M12692="PADD V","PADD 5","")))))</f>
        <v/>
      </c>
      <c r="G12692" s="6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  <c r="N12692" s="6">
        <f>IF(OR($G12692="FCC",$G12692="Hydrocracker",$G12692="Reformer"),IF(COUNTIFS($D:$D,$D12692,$A:$A,$A12692,$B:$B,$B12692,$G:$G,"CDU",$J:$J,"PLANNED")&gt;0,"tied","standalone"),"")</f>
        <v/>
      </c>
    </row>
    <row r="12693" spans="6:14">
      <c r="F12693" s="6">
        <f>IF($M12693="PADD I","PADD 1",IF($M12693="PADD II","PADD 2",IF($M12693="PADD III","PADD 3",IF($M12693="PADD IV","PADD 4",IF($M12693="PADD V","PADD 5","")))))</f>
        <v/>
      </c>
      <c r="G12693" s="6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  <c r="N12693" s="6">
        <f>IF(OR($G12693="FCC",$G12693="Hydrocracker",$G12693="Reformer"),IF(COUNTIFS($D:$D,$D12693,$A:$A,$A12693,$B:$B,$B12693,$G:$G,"CDU",$J:$J,"PLANNED")&gt;0,"tied","standalone"),"")</f>
        <v/>
      </c>
    </row>
    <row r="12694" spans="6:14">
      <c r="F12694" s="6">
        <f>IF($M12694="PADD I","PADD 1",IF($M12694="PADD II","PADD 2",IF($M12694="PADD III","PADD 3",IF($M12694="PADD IV","PADD 4",IF($M12694="PADD V","PADD 5","")))))</f>
        <v/>
      </c>
      <c r="G12694" s="6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  <c r="N12694" s="6">
        <f>IF(OR($G12694="FCC",$G12694="Hydrocracker",$G12694="Reformer"),IF(COUNTIFS($D:$D,$D12694,$A:$A,$A12694,$B:$B,$B12694,$G:$G,"CDU",$J:$J,"PLANNED")&gt;0,"tied","standalone"),"")</f>
        <v/>
      </c>
    </row>
    <row r="12695" spans="6:14">
      <c r="F12695" s="6">
        <f>IF($M12695="PADD I","PADD 1",IF($M12695="PADD II","PADD 2",IF($M12695="PADD III","PADD 3",IF($M12695="PADD IV","PADD 4",IF($M12695="PADD V","PADD 5","")))))</f>
        <v/>
      </c>
      <c r="G12695" s="6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  <c r="N12695" s="6">
        <f>IF(OR($G12695="FCC",$G12695="Hydrocracker",$G12695="Reformer"),IF(COUNTIFS($D:$D,$D12695,$A:$A,$A12695,$B:$B,$B12695,$G:$G,"CDU",$J:$J,"PLANNED")&gt;0,"tied","standalone"),"")</f>
        <v/>
      </c>
    </row>
    <row r="12696" spans="6:14">
      <c r="F12696" s="6">
        <f>IF($M12696="PADD I","PADD 1",IF($M12696="PADD II","PADD 2",IF($M12696="PADD III","PADD 3",IF($M12696="PADD IV","PADD 4",IF($M12696="PADD V","PADD 5","")))))</f>
        <v/>
      </c>
      <c r="G12696" s="6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  <c r="N12696" s="6">
        <f>IF(OR($G12696="FCC",$G12696="Hydrocracker",$G12696="Reformer"),IF(COUNTIFS($D:$D,$D12696,$A:$A,$A12696,$B:$B,$B12696,$G:$G,"CDU",$J:$J,"PLANNED")&gt;0,"tied","standalone"),"")</f>
        <v/>
      </c>
    </row>
    <row r="12697" spans="6:14">
      <c r="F12697" s="6">
        <f>IF($M12697="PADD I","PADD 1",IF($M12697="PADD II","PADD 2",IF($M12697="PADD III","PADD 3",IF($M12697="PADD IV","PADD 4",IF($M12697="PADD V","PADD 5","")))))</f>
        <v/>
      </c>
      <c r="G12697" s="6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  <c r="N12697" s="6">
        <f>IF(OR($G12697="FCC",$G12697="Hydrocracker",$G12697="Reformer"),IF(COUNTIFS($D:$D,$D12697,$A:$A,$A12697,$B:$B,$B12697,$G:$G,"CDU",$J:$J,"PLANNED")&gt;0,"tied","standalone"),"")</f>
        <v/>
      </c>
    </row>
    <row r="12698" spans="6:14">
      <c r="F12698" s="6">
        <f>IF($M12698="PADD I","PADD 1",IF($M12698="PADD II","PADD 2",IF($M12698="PADD III","PADD 3",IF($M12698="PADD IV","PADD 4",IF($M12698="PADD V","PADD 5","")))))</f>
        <v/>
      </c>
      <c r="G12698" s="6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  <c r="N12698" s="6">
        <f>IF(OR($G12698="FCC",$G12698="Hydrocracker",$G12698="Reformer"),IF(COUNTIFS($D:$D,$D12698,$A:$A,$A12698,$B:$B,$B12698,$G:$G,"CDU",$J:$J,"PLANNED")&gt;0,"tied","standalone"),"")</f>
        <v/>
      </c>
    </row>
    <row r="12699" spans="6:14">
      <c r="F12699" s="6">
        <f>IF($M12699="PADD I","PADD 1",IF($M12699="PADD II","PADD 2",IF($M12699="PADD III","PADD 3",IF($M12699="PADD IV","PADD 4",IF($M12699="PADD V","PADD 5","")))))</f>
        <v/>
      </c>
      <c r="G12699" s="6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  <c r="N12699" s="6">
        <f>IF(OR($G12699="FCC",$G12699="Hydrocracker",$G12699="Reformer"),IF(COUNTIFS($D:$D,$D12699,$A:$A,$A12699,$B:$B,$B12699,$G:$G,"CDU",$J:$J,"PLANNED")&gt;0,"tied","standalone"),"")</f>
        <v/>
      </c>
    </row>
    <row r="12700" spans="6:14">
      <c r="F12700" s="6">
        <f>IF($M12700="PADD I","PADD 1",IF($M12700="PADD II","PADD 2",IF($M12700="PADD III","PADD 3",IF($M12700="PADD IV","PADD 4",IF($M12700="PADD V","PADD 5","")))))</f>
        <v/>
      </c>
      <c r="G12700" s="6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  <c r="N12700" s="6">
        <f>IF(OR($G12700="FCC",$G12700="Hydrocracker",$G12700="Reformer"),IF(COUNTIFS($D:$D,$D12700,$A:$A,$A12700,$B:$B,$B12700,$G:$G,"CDU",$J:$J,"PLANNED")&gt;0,"tied","standalone"),"")</f>
        <v/>
      </c>
    </row>
    <row r="12701" spans="6:14">
      <c r="F12701" s="6">
        <f>IF($M12701="PADD I","PADD 1",IF($M12701="PADD II","PADD 2",IF($M12701="PADD III","PADD 3",IF($M12701="PADD IV","PADD 4",IF($M12701="PADD V","PADD 5","")))))</f>
        <v/>
      </c>
      <c r="G12701" s="6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  <c r="N12701" s="6">
        <f>IF(OR($G12701="FCC",$G12701="Hydrocracker",$G12701="Reformer"),IF(COUNTIFS($D:$D,$D12701,$A:$A,$A12701,$B:$B,$B12701,$G:$G,"CDU",$J:$J,"PLANNED")&gt;0,"tied","standalone"),"")</f>
        <v/>
      </c>
    </row>
    <row r="12702" spans="6:14">
      <c r="F12702" s="6">
        <f>IF($M12702="PADD I","PADD 1",IF($M12702="PADD II","PADD 2",IF($M12702="PADD III","PADD 3",IF($M12702="PADD IV","PADD 4",IF($M12702="PADD V","PADD 5","")))))</f>
        <v/>
      </c>
      <c r="G12702" s="6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  <c r="N12702" s="6">
        <f>IF(OR($G12702="FCC",$G12702="Hydrocracker",$G12702="Reformer"),IF(COUNTIFS($D:$D,$D12702,$A:$A,$A12702,$B:$B,$B12702,$G:$G,"CDU",$J:$J,"PLANNED")&gt;0,"tied","standalone"),"")</f>
        <v/>
      </c>
    </row>
    <row r="12703" spans="6:14">
      <c r="F12703" s="6">
        <f>IF($M12703="PADD I","PADD 1",IF($M12703="PADD II","PADD 2",IF($M12703="PADD III","PADD 3",IF($M12703="PADD IV","PADD 4",IF($M12703="PADD V","PADD 5","")))))</f>
        <v/>
      </c>
      <c r="G12703" s="6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  <c r="N12703" s="6">
        <f>IF(OR($G12703="FCC",$G12703="Hydrocracker",$G12703="Reformer"),IF(COUNTIFS($D:$D,$D12703,$A:$A,$A12703,$B:$B,$B12703,$G:$G,"CDU",$J:$J,"PLANNED")&gt;0,"tied","standalone"),"")</f>
        <v/>
      </c>
    </row>
    <row r="12704" spans="6:14">
      <c r="F12704" s="6">
        <f>IF($M12704="PADD I","PADD 1",IF($M12704="PADD II","PADD 2",IF($M12704="PADD III","PADD 3",IF($M12704="PADD IV","PADD 4",IF($M12704="PADD V","PADD 5","")))))</f>
        <v/>
      </c>
      <c r="G12704" s="6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  <c r="N12704" s="6">
        <f>IF(OR($G12704="FCC",$G12704="Hydrocracker",$G12704="Reformer"),IF(COUNTIFS($D:$D,$D12704,$A:$A,$A12704,$B:$B,$B12704,$G:$G,"CDU",$J:$J,"PLANNED")&gt;0,"tied","standalone"),"")</f>
        <v/>
      </c>
    </row>
    <row r="12705" spans="6:14">
      <c r="F12705" s="6">
        <f>IF($M12705="PADD I","PADD 1",IF($M12705="PADD II","PADD 2",IF($M12705="PADD III","PADD 3",IF($M12705="PADD IV","PADD 4",IF($M12705="PADD V","PADD 5","")))))</f>
        <v/>
      </c>
      <c r="G12705" s="6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  <c r="N12705" s="6">
        <f>IF(OR($G12705="FCC",$G12705="Hydrocracker",$G12705="Reformer"),IF(COUNTIFS($D:$D,$D12705,$A:$A,$A12705,$B:$B,$B12705,$G:$G,"CDU",$J:$J,"PLANNED")&gt;0,"tied","standalone"),"")</f>
        <v/>
      </c>
    </row>
    <row r="12706" spans="6:14">
      <c r="F12706" s="6">
        <f>IF($M12706="PADD I","PADD 1",IF($M12706="PADD II","PADD 2",IF($M12706="PADD III","PADD 3",IF($M12706="PADD IV","PADD 4",IF($M12706="PADD V","PADD 5","")))))</f>
        <v/>
      </c>
      <c r="G12706" s="6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  <c r="N12706" s="6">
        <f>IF(OR($G12706="FCC",$G12706="Hydrocracker",$G12706="Reformer"),IF(COUNTIFS($D:$D,$D12706,$A:$A,$A12706,$B:$B,$B12706,$G:$G,"CDU",$J:$J,"PLANNED")&gt;0,"tied","standalone"),"")</f>
        <v/>
      </c>
    </row>
    <row r="12707" spans="6:14">
      <c r="F12707" s="6">
        <f>IF($M12707="PADD I","PADD 1",IF($M12707="PADD II","PADD 2",IF($M12707="PADD III","PADD 3",IF($M12707="PADD IV","PADD 4",IF($M12707="PADD V","PADD 5","")))))</f>
        <v/>
      </c>
      <c r="G12707" s="6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  <c r="N12707" s="6">
        <f>IF(OR($G12707="FCC",$G12707="Hydrocracker",$G12707="Reformer"),IF(COUNTIFS($D:$D,$D12707,$A:$A,$A12707,$B:$B,$B12707,$G:$G,"CDU",$J:$J,"PLANNED")&gt;0,"tied","standalone"),"")</f>
        <v/>
      </c>
    </row>
    <row r="12708" spans="6:14">
      <c r="F12708" s="6">
        <f>IF($M12708="PADD I","PADD 1",IF($M12708="PADD II","PADD 2",IF($M12708="PADD III","PADD 3",IF($M12708="PADD IV","PADD 4",IF($M12708="PADD V","PADD 5","")))))</f>
        <v/>
      </c>
      <c r="G12708" s="6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  <c r="N12708" s="6">
        <f>IF(OR($G12708="FCC",$G12708="Hydrocracker",$G12708="Reformer"),IF(COUNTIFS($D:$D,$D12708,$A:$A,$A12708,$B:$B,$B12708,$G:$G,"CDU",$J:$J,"PLANNED")&gt;0,"tied","standalone"),"")</f>
        <v/>
      </c>
    </row>
    <row r="12709" spans="6:14">
      <c r="F12709" s="6">
        <f>IF($M12709="PADD I","PADD 1",IF($M12709="PADD II","PADD 2",IF($M12709="PADD III","PADD 3",IF($M12709="PADD IV","PADD 4",IF($M12709="PADD V","PADD 5","")))))</f>
        <v/>
      </c>
      <c r="G12709" s="6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  <c r="N12709" s="6">
        <f>IF(OR($G12709="FCC",$G12709="Hydrocracker",$G12709="Reformer"),IF(COUNTIFS($D:$D,$D12709,$A:$A,$A12709,$B:$B,$B12709,$G:$G,"CDU",$J:$J,"PLANNED")&gt;0,"tied","standalone"),"")</f>
        <v/>
      </c>
    </row>
    <row r="12710" spans="6:14">
      <c r="F12710" s="6">
        <f>IF($M12710="PADD I","PADD 1",IF($M12710="PADD II","PADD 2",IF($M12710="PADD III","PADD 3",IF($M12710="PADD IV","PADD 4",IF($M12710="PADD V","PADD 5","")))))</f>
        <v/>
      </c>
      <c r="G12710" s="6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  <c r="N12710" s="6">
        <f>IF(OR($G12710="FCC",$G12710="Hydrocracker",$G12710="Reformer"),IF(COUNTIFS($D:$D,$D12710,$A:$A,$A12710,$B:$B,$B12710,$G:$G,"CDU",$J:$J,"PLANNED")&gt;0,"tied","standalone"),"")</f>
        <v/>
      </c>
    </row>
    <row r="12711" spans="6:14">
      <c r="F12711" s="6">
        <f>IF($M12711="PADD I","PADD 1",IF($M12711="PADD II","PADD 2",IF($M12711="PADD III","PADD 3",IF($M12711="PADD IV","PADD 4",IF($M12711="PADD V","PADD 5","")))))</f>
        <v/>
      </c>
      <c r="G12711" s="6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  <c r="N12711" s="6">
        <f>IF(OR($G12711="FCC",$G12711="Hydrocracker",$G12711="Reformer"),IF(COUNTIFS($D:$D,$D12711,$A:$A,$A12711,$B:$B,$B12711,$G:$G,"CDU",$J:$J,"PLANNED")&gt;0,"tied","standalone"),"")</f>
        <v/>
      </c>
    </row>
    <row r="12712" spans="6:14">
      <c r="F12712" s="6">
        <f>IF($M12712="PADD I","PADD 1",IF($M12712="PADD II","PADD 2",IF($M12712="PADD III","PADD 3",IF($M12712="PADD IV","PADD 4",IF($M12712="PADD V","PADD 5","")))))</f>
        <v/>
      </c>
      <c r="G12712" s="6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  <c r="N12712" s="6">
        <f>IF(OR($G12712="FCC",$G12712="Hydrocracker",$G12712="Reformer"),IF(COUNTIFS($D:$D,$D12712,$A:$A,$A12712,$B:$B,$B12712,$G:$G,"CDU",$J:$J,"PLANNED")&gt;0,"tied","standalone"),"")</f>
        <v/>
      </c>
    </row>
    <row r="12713" spans="6:14">
      <c r="F12713" s="6">
        <f>IF($M12713="PADD I","PADD 1",IF($M12713="PADD II","PADD 2",IF($M12713="PADD III","PADD 3",IF($M12713="PADD IV","PADD 4",IF($M12713="PADD V","PADD 5","")))))</f>
        <v/>
      </c>
      <c r="G12713" s="6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  <c r="N12713" s="6">
        <f>IF(OR($G12713="FCC",$G12713="Hydrocracker",$G12713="Reformer"),IF(COUNTIFS($D:$D,$D12713,$A:$A,$A12713,$B:$B,$B12713,$G:$G,"CDU",$J:$J,"PLANNED")&gt;0,"tied","standalone"),"")</f>
        <v/>
      </c>
    </row>
    <row r="12714" spans="6:14">
      <c r="F12714" s="6">
        <f>IF($M12714="PADD I","PADD 1",IF($M12714="PADD II","PADD 2",IF($M12714="PADD III","PADD 3",IF($M12714="PADD IV","PADD 4",IF($M12714="PADD V","PADD 5","")))))</f>
        <v/>
      </c>
      <c r="G12714" s="6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  <c r="N12714" s="6">
        <f>IF(OR($G12714="FCC",$G12714="Hydrocracker",$G12714="Reformer"),IF(COUNTIFS($D:$D,$D12714,$A:$A,$A12714,$B:$B,$B12714,$G:$G,"CDU",$J:$J,"PLANNED")&gt;0,"tied","standalone"),"")</f>
        <v/>
      </c>
    </row>
    <row r="12715" spans="6:14">
      <c r="F12715" s="6">
        <f>IF($M12715="PADD I","PADD 1",IF($M12715="PADD II","PADD 2",IF($M12715="PADD III","PADD 3",IF($M12715="PADD IV","PADD 4",IF($M12715="PADD V","PADD 5","")))))</f>
        <v/>
      </c>
      <c r="G12715" s="6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  <c r="N12715" s="6">
        <f>IF(OR($G12715="FCC",$G12715="Hydrocracker",$G12715="Reformer"),IF(COUNTIFS($D:$D,$D12715,$A:$A,$A12715,$B:$B,$B12715,$G:$G,"CDU",$J:$J,"PLANNED")&gt;0,"tied","standalone"),"")</f>
        <v/>
      </c>
    </row>
    <row r="12716" spans="6:14">
      <c r="F12716" s="6">
        <f>IF($M12716="PADD I","PADD 1",IF($M12716="PADD II","PADD 2",IF($M12716="PADD III","PADD 3",IF($M12716="PADD IV","PADD 4",IF($M12716="PADD V","PADD 5","")))))</f>
        <v/>
      </c>
      <c r="G12716" s="6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  <c r="N12716" s="6">
        <f>IF(OR($G12716="FCC",$G12716="Hydrocracker",$G12716="Reformer"),IF(COUNTIFS($D:$D,$D12716,$A:$A,$A12716,$B:$B,$B12716,$G:$G,"CDU",$J:$J,"PLANNED")&gt;0,"tied","standalone"),"")</f>
        <v/>
      </c>
    </row>
    <row r="12717" spans="6:14">
      <c r="F12717" s="6">
        <f>IF($M12717="PADD I","PADD 1",IF($M12717="PADD II","PADD 2",IF($M12717="PADD III","PADD 3",IF($M12717="PADD IV","PADD 4",IF($M12717="PADD V","PADD 5","")))))</f>
        <v/>
      </c>
      <c r="G12717" s="6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  <c r="N12717" s="6">
        <f>IF(OR($G12717="FCC",$G12717="Hydrocracker",$G12717="Reformer"),IF(COUNTIFS($D:$D,$D12717,$A:$A,$A12717,$B:$B,$B12717,$G:$G,"CDU",$J:$J,"PLANNED")&gt;0,"tied","standalone"),"")</f>
        <v/>
      </c>
    </row>
    <row r="12718" spans="6:14">
      <c r="F12718" s="6">
        <f>IF($M12718="PADD I","PADD 1",IF($M12718="PADD II","PADD 2",IF($M12718="PADD III","PADD 3",IF($M12718="PADD IV","PADD 4",IF($M12718="PADD V","PADD 5","")))))</f>
        <v/>
      </c>
      <c r="G12718" s="6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  <c r="N12718" s="6">
        <f>IF(OR($G12718="FCC",$G12718="Hydrocracker",$G12718="Reformer"),IF(COUNTIFS($D:$D,$D12718,$A:$A,$A12718,$B:$B,$B12718,$G:$G,"CDU",$J:$J,"PLANNED")&gt;0,"tied","standalone"),"")</f>
        <v/>
      </c>
    </row>
    <row r="12719" spans="6:14">
      <c r="F12719" s="6">
        <f>IF($M12719="PADD I","PADD 1",IF($M12719="PADD II","PADD 2",IF($M12719="PADD III","PADD 3",IF($M12719="PADD IV","PADD 4",IF($M12719="PADD V","PADD 5","")))))</f>
        <v/>
      </c>
      <c r="G12719" s="6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  <c r="N12719" s="6">
        <f>IF(OR($G12719="FCC",$G12719="Hydrocracker",$G12719="Reformer"),IF(COUNTIFS($D:$D,$D12719,$A:$A,$A12719,$B:$B,$B12719,$G:$G,"CDU",$J:$J,"PLANNED")&gt;0,"tied","standalone"),"")</f>
        <v/>
      </c>
    </row>
    <row r="12720" spans="6:14">
      <c r="F12720" s="6">
        <f>IF($M12720="PADD I","PADD 1",IF($M12720="PADD II","PADD 2",IF($M12720="PADD III","PADD 3",IF($M12720="PADD IV","PADD 4",IF($M12720="PADD V","PADD 5","")))))</f>
        <v/>
      </c>
      <c r="G12720" s="6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  <c r="N12720" s="6">
        <f>IF(OR($G12720="FCC",$G12720="Hydrocracker",$G12720="Reformer"),IF(COUNTIFS($D:$D,$D12720,$A:$A,$A12720,$B:$B,$B12720,$G:$G,"CDU",$J:$J,"PLANNED")&gt;0,"tied","standalone"),"")</f>
        <v/>
      </c>
    </row>
    <row r="12721" spans="6:14">
      <c r="F12721" s="6">
        <f>IF($M12721="PADD I","PADD 1",IF($M12721="PADD II","PADD 2",IF($M12721="PADD III","PADD 3",IF($M12721="PADD IV","PADD 4",IF($M12721="PADD V","PADD 5","")))))</f>
        <v/>
      </c>
      <c r="G12721" s="6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  <c r="N12721" s="6">
        <f>IF(OR($G12721="FCC",$G12721="Hydrocracker",$G12721="Reformer"),IF(COUNTIFS($D:$D,$D12721,$A:$A,$A12721,$B:$B,$B12721,$G:$G,"CDU",$J:$J,"PLANNED")&gt;0,"tied","standalone"),"")</f>
        <v/>
      </c>
    </row>
    <row r="12722" spans="6:14">
      <c r="F12722" s="6">
        <f>IF($M12722="PADD I","PADD 1",IF($M12722="PADD II","PADD 2",IF($M12722="PADD III","PADD 3",IF($M12722="PADD IV","PADD 4",IF($M12722="PADD V","PADD 5","")))))</f>
        <v/>
      </c>
      <c r="G12722" s="6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  <c r="N12722" s="6">
        <f>IF(OR($G12722="FCC",$G12722="Hydrocracker",$G12722="Reformer"),IF(COUNTIFS($D:$D,$D12722,$A:$A,$A12722,$B:$B,$B12722,$G:$G,"CDU",$J:$J,"PLANNED")&gt;0,"tied","standalone"),"")</f>
        <v/>
      </c>
    </row>
    <row r="12723" spans="6:14">
      <c r="F12723" s="6">
        <f>IF($M12723="PADD I","PADD 1",IF($M12723="PADD II","PADD 2",IF($M12723="PADD III","PADD 3",IF($M12723="PADD IV","PADD 4",IF($M12723="PADD V","PADD 5","")))))</f>
        <v/>
      </c>
      <c r="G12723" s="6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  <c r="N12723" s="6">
        <f>IF(OR($G12723="FCC",$G12723="Hydrocracker",$G12723="Reformer"),IF(COUNTIFS($D:$D,$D12723,$A:$A,$A12723,$B:$B,$B12723,$G:$G,"CDU",$J:$J,"PLANNED")&gt;0,"tied","standalone"),"")</f>
        <v/>
      </c>
    </row>
    <row r="12724" spans="6:14">
      <c r="F12724" s="6">
        <f>IF($M12724="PADD I","PADD 1",IF($M12724="PADD II","PADD 2",IF($M12724="PADD III","PADD 3",IF($M12724="PADD IV","PADD 4",IF($M12724="PADD V","PADD 5","")))))</f>
        <v/>
      </c>
      <c r="G12724" s="6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  <c r="N12724" s="6">
        <f>IF(OR($G12724="FCC",$G12724="Hydrocracker",$G12724="Reformer"),IF(COUNTIFS($D:$D,$D12724,$A:$A,$A12724,$B:$B,$B12724,$G:$G,"CDU",$J:$J,"PLANNED")&gt;0,"tied","standalone"),"")</f>
        <v/>
      </c>
    </row>
    <row r="12725" spans="6:14">
      <c r="F12725" s="6">
        <f>IF($M12725="PADD I","PADD 1",IF($M12725="PADD II","PADD 2",IF($M12725="PADD III","PADD 3",IF($M12725="PADD IV","PADD 4",IF($M12725="PADD V","PADD 5","")))))</f>
        <v/>
      </c>
      <c r="G12725" s="6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  <c r="N12725" s="6">
        <f>IF(OR($G12725="FCC",$G12725="Hydrocracker",$G12725="Reformer"),IF(COUNTIFS($D:$D,$D12725,$A:$A,$A12725,$B:$B,$B12725,$G:$G,"CDU",$J:$J,"PLANNED")&gt;0,"tied","standalone"),"")</f>
        <v/>
      </c>
    </row>
    <row r="12726" spans="6:14">
      <c r="F12726" s="6">
        <f>IF($M12726="PADD I","PADD 1",IF($M12726="PADD II","PADD 2",IF($M12726="PADD III","PADD 3",IF($M12726="PADD IV","PADD 4",IF($M12726="PADD V","PADD 5","")))))</f>
        <v/>
      </c>
      <c r="G12726" s="6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  <c r="N12726" s="6">
        <f>IF(OR($G12726="FCC",$G12726="Hydrocracker",$G12726="Reformer"),IF(COUNTIFS($D:$D,$D12726,$A:$A,$A12726,$B:$B,$B12726,$G:$G,"CDU",$J:$J,"PLANNED")&gt;0,"tied","standalone"),"")</f>
        <v/>
      </c>
    </row>
    <row r="12727" spans="6:14">
      <c r="F12727" s="6">
        <f>IF($M12727="PADD I","PADD 1",IF($M12727="PADD II","PADD 2",IF($M12727="PADD III","PADD 3",IF($M12727="PADD IV","PADD 4",IF($M12727="PADD V","PADD 5","")))))</f>
        <v/>
      </c>
      <c r="G12727" s="6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  <c r="N12727" s="6">
        <f>IF(OR($G12727="FCC",$G12727="Hydrocracker",$G12727="Reformer"),IF(COUNTIFS($D:$D,$D12727,$A:$A,$A12727,$B:$B,$B12727,$G:$G,"CDU",$J:$J,"PLANNED")&gt;0,"tied","standalone"),"")</f>
        <v/>
      </c>
    </row>
    <row r="12728" spans="6:14">
      <c r="F12728" s="6">
        <f>IF($M12728="PADD I","PADD 1",IF($M12728="PADD II","PADD 2",IF($M12728="PADD III","PADD 3",IF($M12728="PADD IV","PADD 4",IF($M12728="PADD V","PADD 5","")))))</f>
        <v/>
      </c>
      <c r="G12728" s="6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  <c r="N12728" s="6">
        <f>IF(OR($G12728="FCC",$G12728="Hydrocracker",$G12728="Reformer"),IF(COUNTIFS($D:$D,$D12728,$A:$A,$A12728,$B:$B,$B12728,$G:$G,"CDU",$J:$J,"PLANNED")&gt;0,"tied","standalone"),"")</f>
        <v/>
      </c>
    </row>
    <row r="12729" spans="6:14">
      <c r="F12729" s="6">
        <f>IF($M12729="PADD I","PADD 1",IF($M12729="PADD II","PADD 2",IF($M12729="PADD III","PADD 3",IF($M12729="PADD IV","PADD 4",IF($M12729="PADD V","PADD 5","")))))</f>
        <v/>
      </c>
      <c r="G12729" s="6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  <c r="N12729" s="6">
        <f>IF(OR($G12729="FCC",$G12729="Hydrocracker",$G12729="Reformer"),IF(COUNTIFS($D:$D,$D12729,$A:$A,$A12729,$B:$B,$B12729,$G:$G,"CDU",$J:$J,"PLANNED")&gt;0,"tied","standalone"),"")</f>
        <v/>
      </c>
    </row>
    <row r="12730" spans="6:14">
      <c r="F12730" s="6">
        <f>IF($M12730="PADD I","PADD 1",IF($M12730="PADD II","PADD 2",IF($M12730="PADD III","PADD 3",IF($M12730="PADD IV","PADD 4",IF($M12730="PADD V","PADD 5","")))))</f>
        <v/>
      </c>
      <c r="G12730" s="6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  <c r="N12730" s="6">
        <f>IF(OR($G12730="FCC",$G12730="Hydrocracker",$G12730="Reformer"),IF(COUNTIFS($D:$D,$D12730,$A:$A,$A12730,$B:$B,$B12730,$G:$G,"CDU",$J:$J,"PLANNED")&gt;0,"tied","standalone"),"")</f>
        <v/>
      </c>
    </row>
    <row r="12731" spans="6:14">
      <c r="F12731" s="6">
        <f>IF($M12731="PADD I","PADD 1",IF($M12731="PADD II","PADD 2",IF($M12731="PADD III","PADD 3",IF($M12731="PADD IV","PADD 4",IF($M12731="PADD V","PADD 5","")))))</f>
        <v/>
      </c>
      <c r="G12731" s="6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  <c r="N12731" s="6">
        <f>IF(OR($G12731="FCC",$G12731="Hydrocracker",$G12731="Reformer"),IF(COUNTIFS($D:$D,$D12731,$A:$A,$A12731,$B:$B,$B12731,$G:$G,"CDU",$J:$J,"PLANNED")&gt;0,"tied","standalone"),"")</f>
        <v/>
      </c>
    </row>
    <row r="12732" spans="6:14">
      <c r="F12732" s="6">
        <f>IF($M12732="PADD I","PADD 1",IF($M12732="PADD II","PADD 2",IF($M12732="PADD III","PADD 3",IF($M12732="PADD IV","PADD 4",IF($M12732="PADD V","PADD 5","")))))</f>
        <v/>
      </c>
      <c r="G12732" s="6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  <c r="N12732" s="6">
        <f>IF(OR($G12732="FCC",$G12732="Hydrocracker",$G12732="Reformer"),IF(COUNTIFS($D:$D,$D12732,$A:$A,$A12732,$B:$B,$B12732,$G:$G,"CDU",$J:$J,"PLANNED")&gt;0,"tied","standalone"),"")</f>
        <v/>
      </c>
    </row>
    <row r="12733" spans="6:14">
      <c r="F12733" s="6">
        <f>IF($M12733="PADD I","PADD 1",IF($M12733="PADD II","PADD 2",IF($M12733="PADD III","PADD 3",IF($M12733="PADD IV","PADD 4",IF($M12733="PADD V","PADD 5","")))))</f>
        <v/>
      </c>
      <c r="G12733" s="6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  <c r="N12733" s="6">
        <f>IF(OR($G12733="FCC",$G12733="Hydrocracker",$G12733="Reformer"),IF(COUNTIFS($D:$D,$D12733,$A:$A,$A12733,$B:$B,$B12733,$G:$G,"CDU",$J:$J,"PLANNED")&gt;0,"tied","standalone"),"")</f>
        <v/>
      </c>
    </row>
    <row r="12734" spans="6:14">
      <c r="F12734" s="6">
        <f>IF($M12734="PADD I","PADD 1",IF($M12734="PADD II","PADD 2",IF($M12734="PADD III","PADD 3",IF($M12734="PADD IV","PADD 4",IF($M12734="PADD V","PADD 5","")))))</f>
        <v/>
      </c>
      <c r="G12734" s="6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  <c r="N12734" s="6">
        <f>IF(OR($G12734="FCC",$G12734="Hydrocracker",$G12734="Reformer"),IF(COUNTIFS($D:$D,$D12734,$A:$A,$A12734,$B:$B,$B12734,$G:$G,"CDU",$J:$J,"PLANNED")&gt;0,"tied","standalone"),"")</f>
        <v/>
      </c>
    </row>
    <row r="12735" spans="6:14">
      <c r="F12735" s="6">
        <f>IF($M12735="PADD I","PADD 1",IF($M12735="PADD II","PADD 2",IF($M12735="PADD III","PADD 3",IF($M12735="PADD IV","PADD 4",IF($M12735="PADD V","PADD 5","")))))</f>
        <v/>
      </c>
      <c r="G12735" s="6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  <c r="N12735" s="6">
        <f>IF(OR($G12735="FCC",$G12735="Hydrocracker",$G12735="Reformer"),IF(COUNTIFS($D:$D,$D12735,$A:$A,$A12735,$B:$B,$B12735,$G:$G,"CDU",$J:$J,"PLANNED")&gt;0,"tied","standalone"),"")</f>
        <v/>
      </c>
    </row>
    <row r="12736" spans="6:14">
      <c r="F12736" s="6">
        <f>IF($M12736="PADD I","PADD 1",IF($M12736="PADD II","PADD 2",IF($M12736="PADD III","PADD 3",IF($M12736="PADD IV","PADD 4",IF($M12736="PADD V","PADD 5","")))))</f>
        <v/>
      </c>
      <c r="G12736" s="6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  <c r="N12736" s="6">
        <f>IF(OR($G12736="FCC",$G12736="Hydrocracker",$G12736="Reformer"),IF(COUNTIFS($D:$D,$D12736,$A:$A,$A12736,$B:$B,$B12736,$G:$G,"CDU",$J:$J,"PLANNED")&gt;0,"tied","standalone"),"")</f>
        <v/>
      </c>
    </row>
    <row r="12737" spans="6:14">
      <c r="F12737" s="6">
        <f>IF($M12737="PADD I","PADD 1",IF($M12737="PADD II","PADD 2",IF($M12737="PADD III","PADD 3",IF($M12737="PADD IV","PADD 4",IF($M12737="PADD V","PADD 5","")))))</f>
        <v/>
      </c>
      <c r="G12737" s="6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  <c r="N12737" s="6">
        <f>IF(OR($G12737="FCC",$G12737="Hydrocracker",$G12737="Reformer"),IF(COUNTIFS($D:$D,$D12737,$A:$A,$A12737,$B:$B,$B12737,$G:$G,"CDU",$J:$J,"PLANNED")&gt;0,"tied","standalone"),"")</f>
        <v/>
      </c>
    </row>
    <row r="12738" spans="6:14">
      <c r="F12738" s="6">
        <f>IF($M12738="PADD I","PADD 1",IF($M12738="PADD II","PADD 2",IF($M12738="PADD III","PADD 3",IF($M12738="PADD IV","PADD 4",IF($M12738="PADD V","PADD 5","")))))</f>
        <v/>
      </c>
      <c r="G12738" s="6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  <c r="N12738" s="6">
        <f>IF(OR($G12738="FCC",$G12738="Hydrocracker",$G12738="Reformer"),IF(COUNTIFS($D:$D,$D12738,$A:$A,$A12738,$B:$B,$B12738,$G:$G,"CDU",$J:$J,"PLANNED")&gt;0,"tied","standalone"),"")</f>
        <v/>
      </c>
    </row>
    <row r="12739" spans="6:14">
      <c r="F12739" s="6">
        <f>IF($M12739="PADD I","PADD 1",IF($M12739="PADD II","PADD 2",IF($M12739="PADD III","PADD 3",IF($M12739="PADD IV","PADD 4",IF($M12739="PADD V","PADD 5","")))))</f>
        <v/>
      </c>
      <c r="G12739" s="6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  <c r="N12739" s="6">
        <f>IF(OR($G12739="FCC",$G12739="Hydrocracker",$G12739="Reformer"),IF(COUNTIFS($D:$D,$D12739,$A:$A,$A12739,$B:$B,$B12739,$G:$G,"CDU",$J:$J,"PLANNED")&gt;0,"tied","standalone"),"")</f>
        <v/>
      </c>
    </row>
    <row r="12740" spans="6:14">
      <c r="F12740" s="6">
        <f>IF($M12740="PADD I","PADD 1",IF($M12740="PADD II","PADD 2",IF($M12740="PADD III","PADD 3",IF($M12740="PADD IV","PADD 4",IF($M12740="PADD V","PADD 5","")))))</f>
        <v/>
      </c>
      <c r="G12740" s="6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  <c r="N12740" s="6">
        <f>IF(OR($G12740="FCC",$G12740="Hydrocracker",$G12740="Reformer"),IF(COUNTIFS($D:$D,$D12740,$A:$A,$A12740,$B:$B,$B12740,$G:$G,"CDU",$J:$J,"PLANNED")&gt;0,"tied","standalone"),"")</f>
        <v/>
      </c>
    </row>
    <row r="12741" spans="6:14">
      <c r="F12741" s="6">
        <f>IF($M12741="PADD I","PADD 1",IF($M12741="PADD II","PADD 2",IF($M12741="PADD III","PADD 3",IF($M12741="PADD IV","PADD 4",IF($M12741="PADD V","PADD 5","")))))</f>
        <v/>
      </c>
      <c r="G12741" s="6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  <c r="N12741" s="6">
        <f>IF(OR($G12741="FCC",$G12741="Hydrocracker",$G12741="Reformer"),IF(COUNTIFS($D:$D,$D12741,$A:$A,$A12741,$B:$B,$B12741,$G:$G,"CDU",$J:$J,"PLANNED")&gt;0,"tied","standalone"),"")</f>
        <v/>
      </c>
    </row>
    <row r="12742" spans="6:14">
      <c r="F12742" s="6">
        <f>IF($M12742="PADD I","PADD 1",IF($M12742="PADD II","PADD 2",IF($M12742="PADD III","PADD 3",IF($M12742="PADD IV","PADD 4",IF($M12742="PADD V","PADD 5","")))))</f>
        <v/>
      </c>
      <c r="G12742" s="6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  <c r="N12742" s="6">
        <f>IF(OR($G12742="FCC",$G12742="Hydrocracker",$G12742="Reformer"),IF(COUNTIFS($D:$D,$D12742,$A:$A,$A12742,$B:$B,$B12742,$G:$G,"CDU",$J:$J,"PLANNED")&gt;0,"tied","standalone"),"")</f>
        <v/>
      </c>
    </row>
    <row r="12743" spans="6:14">
      <c r="F12743" s="6">
        <f>IF($M12743="PADD I","PADD 1",IF($M12743="PADD II","PADD 2",IF($M12743="PADD III","PADD 3",IF($M12743="PADD IV","PADD 4",IF($M12743="PADD V","PADD 5","")))))</f>
        <v/>
      </c>
      <c r="G12743" s="6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  <c r="N12743" s="6">
        <f>IF(OR($G12743="FCC",$G12743="Hydrocracker",$G12743="Reformer"),IF(COUNTIFS($D:$D,$D12743,$A:$A,$A12743,$B:$B,$B12743,$G:$G,"CDU",$J:$J,"PLANNED")&gt;0,"tied","standalone"),"")</f>
        <v/>
      </c>
    </row>
    <row r="12744" spans="6:14">
      <c r="F12744" s="6">
        <f>IF($M12744="PADD I","PADD 1",IF($M12744="PADD II","PADD 2",IF($M12744="PADD III","PADD 3",IF($M12744="PADD IV","PADD 4",IF($M12744="PADD V","PADD 5","")))))</f>
        <v/>
      </c>
      <c r="G12744" s="6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  <c r="N12744" s="6">
        <f>IF(OR($G12744="FCC",$G12744="Hydrocracker",$G12744="Reformer"),IF(COUNTIFS($D:$D,$D12744,$A:$A,$A12744,$B:$B,$B12744,$G:$G,"CDU",$J:$J,"PLANNED")&gt;0,"tied","standalone"),"")</f>
        <v/>
      </c>
    </row>
    <row r="12745" spans="6:14">
      <c r="F12745" s="6">
        <f>IF($M12745="PADD I","PADD 1",IF($M12745="PADD II","PADD 2",IF($M12745="PADD III","PADD 3",IF($M12745="PADD IV","PADD 4",IF($M12745="PADD V","PADD 5","")))))</f>
        <v/>
      </c>
      <c r="G12745" s="6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  <c r="N12745" s="6">
        <f>IF(OR($G12745="FCC",$G12745="Hydrocracker",$G12745="Reformer"),IF(COUNTIFS($D:$D,$D12745,$A:$A,$A12745,$B:$B,$B12745,$G:$G,"CDU",$J:$J,"PLANNED")&gt;0,"tied","standalone"),"")</f>
        <v/>
      </c>
    </row>
    <row r="12746" spans="6:14">
      <c r="F12746" s="6">
        <f>IF($M12746="PADD I","PADD 1",IF($M12746="PADD II","PADD 2",IF($M12746="PADD III","PADD 3",IF($M12746="PADD IV","PADD 4",IF($M12746="PADD V","PADD 5","")))))</f>
        <v/>
      </c>
      <c r="G12746" s="6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  <c r="N12746" s="6">
        <f>IF(OR($G12746="FCC",$G12746="Hydrocracker",$G12746="Reformer"),IF(COUNTIFS($D:$D,$D12746,$A:$A,$A12746,$B:$B,$B12746,$G:$G,"CDU",$J:$J,"PLANNED")&gt;0,"tied","standalone"),"")</f>
        <v/>
      </c>
    </row>
    <row r="12747" spans="6:14">
      <c r="F12747" s="6">
        <f>IF($M12747="PADD I","PADD 1",IF($M12747="PADD II","PADD 2",IF($M12747="PADD III","PADD 3",IF($M12747="PADD IV","PADD 4",IF($M12747="PADD V","PADD 5","")))))</f>
        <v/>
      </c>
      <c r="G12747" s="6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  <c r="N12747" s="6">
        <f>IF(OR($G12747="FCC",$G12747="Hydrocracker",$G12747="Reformer"),IF(COUNTIFS($D:$D,$D12747,$A:$A,$A12747,$B:$B,$B12747,$G:$G,"CDU",$J:$J,"PLANNED")&gt;0,"tied","standalone"),"")</f>
        <v/>
      </c>
    </row>
    <row r="12748" spans="6:14">
      <c r="F12748" s="6">
        <f>IF($M12748="PADD I","PADD 1",IF($M12748="PADD II","PADD 2",IF($M12748="PADD III","PADD 3",IF($M12748="PADD IV","PADD 4",IF($M12748="PADD V","PADD 5","")))))</f>
        <v/>
      </c>
      <c r="G12748" s="6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  <c r="N12748" s="6">
        <f>IF(OR($G12748="FCC",$G12748="Hydrocracker",$G12748="Reformer"),IF(COUNTIFS($D:$D,$D12748,$A:$A,$A12748,$B:$B,$B12748,$G:$G,"CDU",$J:$J,"PLANNED")&gt;0,"tied","standalone"),"")</f>
        <v/>
      </c>
    </row>
    <row r="12749" spans="6:14">
      <c r="F12749" s="6">
        <f>IF($M12749="PADD I","PADD 1",IF($M12749="PADD II","PADD 2",IF($M12749="PADD III","PADD 3",IF($M12749="PADD IV","PADD 4",IF($M12749="PADD V","PADD 5","")))))</f>
        <v/>
      </c>
      <c r="G12749" s="6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  <c r="N12749" s="6">
        <f>IF(OR($G12749="FCC",$G12749="Hydrocracker",$G12749="Reformer"),IF(COUNTIFS($D:$D,$D12749,$A:$A,$A12749,$B:$B,$B12749,$G:$G,"CDU",$J:$J,"PLANNED")&gt;0,"tied","standalone"),"")</f>
        <v/>
      </c>
    </row>
    <row r="12750" spans="6:14">
      <c r="F12750" s="6">
        <f>IF($M12750="PADD I","PADD 1",IF($M12750="PADD II","PADD 2",IF($M12750="PADD III","PADD 3",IF($M12750="PADD IV","PADD 4",IF($M12750="PADD V","PADD 5","")))))</f>
        <v/>
      </c>
      <c r="G12750" s="6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  <c r="N12750" s="6">
        <f>IF(OR($G12750="FCC",$G12750="Hydrocracker",$G12750="Reformer"),IF(COUNTIFS($D:$D,$D12750,$A:$A,$A12750,$B:$B,$B12750,$G:$G,"CDU",$J:$J,"PLANNED")&gt;0,"tied","standalone"),"")</f>
        <v/>
      </c>
    </row>
    <row r="12751" spans="6:14">
      <c r="F12751" s="6">
        <f>IF($M12751="PADD I","PADD 1",IF($M12751="PADD II","PADD 2",IF($M12751="PADD III","PADD 3",IF($M12751="PADD IV","PADD 4",IF($M12751="PADD V","PADD 5","")))))</f>
        <v/>
      </c>
      <c r="G12751" s="6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  <c r="N12751" s="6">
        <f>IF(OR($G12751="FCC",$G12751="Hydrocracker",$G12751="Reformer"),IF(COUNTIFS($D:$D,$D12751,$A:$A,$A12751,$B:$B,$B12751,$G:$G,"CDU",$J:$J,"PLANNED")&gt;0,"tied","standalone"),"")</f>
        <v/>
      </c>
    </row>
    <row r="12752" spans="6:14">
      <c r="F12752" s="6">
        <f>IF($M12752="PADD I","PADD 1",IF($M12752="PADD II","PADD 2",IF($M12752="PADD III","PADD 3",IF($M12752="PADD IV","PADD 4",IF($M12752="PADD V","PADD 5","")))))</f>
        <v/>
      </c>
      <c r="G12752" s="6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  <c r="N12752" s="6">
        <f>IF(OR($G12752="FCC",$G12752="Hydrocracker",$G12752="Reformer"),IF(COUNTIFS($D:$D,$D12752,$A:$A,$A12752,$B:$B,$B12752,$G:$G,"CDU",$J:$J,"PLANNED")&gt;0,"tied","standalone"),"")</f>
        <v/>
      </c>
    </row>
    <row r="12753" spans="6:14">
      <c r="F12753" s="6">
        <f>IF($M12753="PADD I","PADD 1",IF($M12753="PADD II","PADD 2",IF($M12753="PADD III","PADD 3",IF($M12753="PADD IV","PADD 4",IF($M12753="PADD V","PADD 5","")))))</f>
        <v/>
      </c>
      <c r="G12753" s="6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  <c r="N12753" s="6">
        <f>IF(OR($G12753="FCC",$G12753="Hydrocracker",$G12753="Reformer"),IF(COUNTIFS($D:$D,$D12753,$A:$A,$A12753,$B:$B,$B12753,$G:$G,"CDU",$J:$J,"PLANNED")&gt;0,"tied","standalone"),"")</f>
        <v/>
      </c>
    </row>
    <row r="12754" spans="6:14">
      <c r="F12754" s="6">
        <f>IF($M12754="PADD I","PADD 1",IF($M12754="PADD II","PADD 2",IF($M12754="PADD III","PADD 3",IF($M12754="PADD IV","PADD 4",IF($M12754="PADD V","PADD 5","")))))</f>
        <v/>
      </c>
      <c r="G12754" s="6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  <c r="N12754" s="6">
        <f>IF(OR($G12754="FCC",$G12754="Hydrocracker",$G12754="Reformer"),IF(COUNTIFS($D:$D,$D12754,$A:$A,$A12754,$B:$B,$B12754,$G:$G,"CDU",$J:$J,"PLANNED")&gt;0,"tied","standalone"),"")</f>
        <v/>
      </c>
    </row>
    <row r="12755" spans="6:14">
      <c r="F12755" s="6">
        <f>IF($M12755="PADD I","PADD 1",IF($M12755="PADD II","PADD 2",IF($M12755="PADD III","PADD 3",IF($M12755="PADD IV","PADD 4",IF($M12755="PADD V","PADD 5","")))))</f>
        <v/>
      </c>
      <c r="G12755" s="6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  <c r="N12755" s="6">
        <f>IF(OR($G12755="FCC",$G12755="Hydrocracker",$G12755="Reformer"),IF(COUNTIFS($D:$D,$D12755,$A:$A,$A12755,$B:$B,$B12755,$G:$G,"CDU",$J:$J,"PLANNED")&gt;0,"tied","standalone"),"")</f>
        <v/>
      </c>
    </row>
    <row r="12756" spans="6:14">
      <c r="F12756" s="6">
        <f>IF($M12756="PADD I","PADD 1",IF($M12756="PADD II","PADD 2",IF($M12756="PADD III","PADD 3",IF($M12756="PADD IV","PADD 4",IF($M12756="PADD V","PADD 5","")))))</f>
        <v/>
      </c>
      <c r="G12756" s="6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  <c r="N12756" s="6">
        <f>IF(OR($G12756="FCC",$G12756="Hydrocracker",$G12756="Reformer"),IF(COUNTIFS($D:$D,$D12756,$A:$A,$A12756,$B:$B,$B12756,$G:$G,"CDU",$J:$J,"PLANNED")&gt;0,"tied","standalone"),"")</f>
        <v/>
      </c>
    </row>
    <row r="12757" spans="6:14">
      <c r="F12757" s="6">
        <f>IF($M12757="PADD I","PADD 1",IF($M12757="PADD II","PADD 2",IF($M12757="PADD III","PADD 3",IF($M12757="PADD IV","PADD 4",IF($M12757="PADD V","PADD 5","")))))</f>
        <v/>
      </c>
      <c r="G12757" s="6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  <c r="N12757" s="6">
        <f>IF(OR($G12757="FCC",$G12757="Hydrocracker",$G12757="Reformer"),IF(COUNTIFS($D:$D,$D12757,$A:$A,$A12757,$B:$B,$B12757,$G:$G,"CDU",$J:$J,"PLANNED")&gt;0,"tied","standalone"),"")</f>
        <v/>
      </c>
    </row>
    <row r="12758" spans="6:14">
      <c r="F12758" s="6">
        <f>IF($M12758="PADD I","PADD 1",IF($M12758="PADD II","PADD 2",IF($M12758="PADD III","PADD 3",IF($M12758="PADD IV","PADD 4",IF($M12758="PADD V","PADD 5","")))))</f>
        <v/>
      </c>
      <c r="G12758" s="6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  <c r="N12758" s="6">
        <f>IF(OR($G12758="FCC",$G12758="Hydrocracker",$G12758="Reformer"),IF(COUNTIFS($D:$D,$D12758,$A:$A,$A12758,$B:$B,$B12758,$G:$G,"CDU",$J:$J,"PLANNED")&gt;0,"tied","standalone"),"")</f>
        <v/>
      </c>
    </row>
    <row r="12759" spans="6:14">
      <c r="F12759" s="6">
        <f>IF($M12759="PADD I","PADD 1",IF($M12759="PADD II","PADD 2",IF($M12759="PADD III","PADD 3",IF($M12759="PADD IV","PADD 4",IF($M12759="PADD V","PADD 5","")))))</f>
        <v/>
      </c>
      <c r="G12759" s="6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  <c r="N12759" s="6">
        <f>IF(OR($G12759="FCC",$G12759="Hydrocracker",$G12759="Reformer"),IF(COUNTIFS($D:$D,$D12759,$A:$A,$A12759,$B:$B,$B12759,$G:$G,"CDU",$J:$J,"PLANNED")&gt;0,"tied","standalone"),"")</f>
        <v/>
      </c>
    </row>
    <row r="12760" spans="6:14">
      <c r="F12760" s="6">
        <f>IF($M12760="PADD I","PADD 1",IF($M12760="PADD II","PADD 2",IF($M12760="PADD III","PADD 3",IF($M12760="PADD IV","PADD 4",IF($M12760="PADD V","PADD 5","")))))</f>
        <v/>
      </c>
      <c r="G12760" s="6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  <c r="N12760" s="6">
        <f>IF(OR($G12760="FCC",$G12760="Hydrocracker",$G12760="Reformer"),IF(COUNTIFS($D:$D,$D12760,$A:$A,$A12760,$B:$B,$B12760,$G:$G,"CDU",$J:$J,"PLANNED")&gt;0,"tied","standalone"),"")</f>
        <v/>
      </c>
    </row>
    <row r="12761" spans="6:14">
      <c r="F12761" s="6">
        <f>IF($M12761="PADD I","PADD 1",IF($M12761="PADD II","PADD 2",IF($M12761="PADD III","PADD 3",IF($M12761="PADD IV","PADD 4",IF($M12761="PADD V","PADD 5","")))))</f>
        <v/>
      </c>
      <c r="G12761" s="6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  <c r="N12761" s="6">
        <f>IF(OR($G12761="FCC",$G12761="Hydrocracker",$G12761="Reformer"),IF(COUNTIFS($D:$D,$D12761,$A:$A,$A12761,$B:$B,$B12761,$G:$G,"CDU",$J:$J,"PLANNED")&gt;0,"tied","standalone"),"")</f>
        <v/>
      </c>
    </row>
    <row r="12762" spans="6:14">
      <c r="F12762" s="6">
        <f>IF($M12762="PADD I","PADD 1",IF($M12762="PADD II","PADD 2",IF($M12762="PADD III","PADD 3",IF($M12762="PADD IV","PADD 4",IF($M12762="PADD V","PADD 5","")))))</f>
        <v/>
      </c>
      <c r="G12762" s="6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  <c r="N12762" s="6">
        <f>IF(OR($G12762="FCC",$G12762="Hydrocracker",$G12762="Reformer"),IF(COUNTIFS($D:$D,$D12762,$A:$A,$A12762,$B:$B,$B12762,$G:$G,"CDU",$J:$J,"PLANNED")&gt;0,"tied","standalone"),"")</f>
        <v/>
      </c>
    </row>
    <row r="12763" spans="6:14">
      <c r="F12763" s="6">
        <f>IF($M12763="PADD I","PADD 1",IF($M12763="PADD II","PADD 2",IF($M12763="PADD III","PADD 3",IF($M12763="PADD IV","PADD 4",IF($M12763="PADD V","PADD 5","")))))</f>
        <v/>
      </c>
      <c r="G12763" s="6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  <c r="N12763" s="6">
        <f>IF(OR($G12763="FCC",$G12763="Hydrocracker",$G12763="Reformer"),IF(COUNTIFS($D:$D,$D12763,$A:$A,$A12763,$B:$B,$B12763,$G:$G,"CDU",$J:$J,"PLANNED")&gt;0,"tied","standalone"),"")</f>
        <v/>
      </c>
    </row>
    <row r="12764" spans="6:14">
      <c r="F12764" s="6">
        <f>IF($M12764="PADD I","PADD 1",IF($M12764="PADD II","PADD 2",IF($M12764="PADD III","PADD 3",IF($M12764="PADD IV","PADD 4",IF($M12764="PADD V","PADD 5","")))))</f>
        <v/>
      </c>
      <c r="G12764" s="6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  <c r="N12764" s="6">
        <f>IF(OR($G12764="FCC",$G12764="Hydrocracker",$G12764="Reformer"),IF(COUNTIFS($D:$D,$D12764,$A:$A,$A12764,$B:$B,$B12764,$G:$G,"CDU",$J:$J,"PLANNED")&gt;0,"tied","standalone"),"")</f>
        <v/>
      </c>
    </row>
    <row r="12765" spans="6:14">
      <c r="F12765" s="6">
        <f>IF($M12765="PADD I","PADD 1",IF($M12765="PADD II","PADD 2",IF($M12765="PADD III","PADD 3",IF($M12765="PADD IV","PADD 4",IF($M12765="PADD V","PADD 5","")))))</f>
        <v/>
      </c>
      <c r="G12765" s="6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  <c r="N12765" s="6">
        <f>IF(OR($G12765="FCC",$G12765="Hydrocracker",$G12765="Reformer"),IF(COUNTIFS($D:$D,$D12765,$A:$A,$A12765,$B:$B,$B12765,$G:$G,"CDU",$J:$J,"PLANNED")&gt;0,"tied","standalone"),"")</f>
        <v/>
      </c>
    </row>
    <row r="12766" spans="6:14">
      <c r="F12766" s="6">
        <f>IF($M12766="PADD I","PADD 1",IF($M12766="PADD II","PADD 2",IF($M12766="PADD III","PADD 3",IF($M12766="PADD IV","PADD 4",IF($M12766="PADD V","PADD 5","")))))</f>
        <v/>
      </c>
      <c r="G12766" s="6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  <c r="N12766" s="6">
        <f>IF(OR($G12766="FCC",$G12766="Hydrocracker",$G12766="Reformer"),IF(COUNTIFS($D:$D,$D12766,$A:$A,$A12766,$B:$B,$B12766,$G:$G,"CDU",$J:$J,"PLANNED")&gt;0,"tied","standalone"),"")</f>
        <v/>
      </c>
    </row>
    <row r="12767" spans="6:14">
      <c r="F12767" s="6">
        <f>IF($M12767="PADD I","PADD 1",IF($M12767="PADD II","PADD 2",IF($M12767="PADD III","PADD 3",IF($M12767="PADD IV","PADD 4",IF($M12767="PADD V","PADD 5","")))))</f>
        <v/>
      </c>
      <c r="G12767" s="6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  <c r="N12767" s="6">
        <f>IF(OR($G12767="FCC",$G12767="Hydrocracker",$G12767="Reformer"),IF(COUNTIFS($D:$D,$D12767,$A:$A,$A12767,$B:$B,$B12767,$G:$G,"CDU",$J:$J,"PLANNED")&gt;0,"tied","standalone"),"")</f>
        <v/>
      </c>
    </row>
    <row r="12768" spans="6:14">
      <c r="F12768" s="6">
        <f>IF($M12768="PADD I","PADD 1",IF($M12768="PADD II","PADD 2",IF($M12768="PADD III","PADD 3",IF($M12768="PADD IV","PADD 4",IF($M12768="PADD V","PADD 5","")))))</f>
        <v/>
      </c>
      <c r="G12768" s="6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  <c r="N12768" s="6">
        <f>IF(OR($G12768="FCC",$G12768="Hydrocracker",$G12768="Reformer"),IF(COUNTIFS($D:$D,$D12768,$A:$A,$A12768,$B:$B,$B12768,$G:$G,"CDU",$J:$J,"PLANNED")&gt;0,"tied","standalone"),"")</f>
        <v/>
      </c>
    </row>
    <row r="12769" spans="6:14">
      <c r="F12769" s="6">
        <f>IF($M12769="PADD I","PADD 1",IF($M12769="PADD II","PADD 2",IF($M12769="PADD III","PADD 3",IF($M12769="PADD IV","PADD 4",IF($M12769="PADD V","PADD 5","")))))</f>
        <v/>
      </c>
      <c r="G12769" s="6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  <c r="N12769" s="6">
        <f>IF(OR($G12769="FCC",$G12769="Hydrocracker",$G12769="Reformer"),IF(COUNTIFS($D:$D,$D12769,$A:$A,$A12769,$B:$B,$B12769,$G:$G,"CDU",$J:$J,"PLANNED")&gt;0,"tied","standalone"),"")</f>
        <v/>
      </c>
    </row>
    <row r="12770" spans="6:14">
      <c r="F12770" s="6">
        <f>IF($M12770="PADD I","PADD 1",IF($M12770="PADD II","PADD 2",IF($M12770="PADD III","PADD 3",IF($M12770="PADD IV","PADD 4",IF($M12770="PADD V","PADD 5","")))))</f>
        <v/>
      </c>
      <c r="G12770" s="6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  <c r="N12770" s="6">
        <f>IF(OR($G12770="FCC",$G12770="Hydrocracker",$G12770="Reformer"),IF(COUNTIFS($D:$D,$D12770,$A:$A,$A12770,$B:$B,$B12770,$G:$G,"CDU",$J:$J,"PLANNED")&gt;0,"tied","standalone"),"")</f>
        <v/>
      </c>
    </row>
    <row r="12771" spans="6:14">
      <c r="F12771" s="6">
        <f>IF($M12771="PADD I","PADD 1",IF($M12771="PADD II","PADD 2",IF($M12771="PADD III","PADD 3",IF($M12771="PADD IV","PADD 4",IF($M12771="PADD V","PADD 5","")))))</f>
        <v/>
      </c>
      <c r="G12771" s="6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  <c r="N12771" s="6">
        <f>IF(OR($G12771="FCC",$G12771="Hydrocracker",$G12771="Reformer"),IF(COUNTIFS($D:$D,$D12771,$A:$A,$A12771,$B:$B,$B12771,$G:$G,"CDU",$J:$J,"PLANNED")&gt;0,"tied","standalone"),"")</f>
        <v/>
      </c>
    </row>
    <row r="12772" spans="6:14">
      <c r="F12772" s="6">
        <f>IF($M12772="PADD I","PADD 1",IF($M12772="PADD II","PADD 2",IF($M12772="PADD III","PADD 3",IF($M12772="PADD IV","PADD 4",IF($M12772="PADD V","PADD 5","")))))</f>
        <v/>
      </c>
      <c r="G12772" s="6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  <c r="N12772" s="6">
        <f>IF(OR($G12772="FCC",$G12772="Hydrocracker",$G12772="Reformer"),IF(COUNTIFS($D:$D,$D12772,$A:$A,$A12772,$B:$B,$B12772,$G:$G,"CDU",$J:$J,"PLANNED")&gt;0,"tied","standalone"),"")</f>
        <v/>
      </c>
    </row>
    <row r="12773" spans="6:14">
      <c r="F12773" s="6">
        <f>IF($M12773="PADD I","PADD 1",IF($M12773="PADD II","PADD 2",IF($M12773="PADD III","PADD 3",IF($M12773="PADD IV","PADD 4",IF($M12773="PADD V","PADD 5","")))))</f>
        <v/>
      </c>
      <c r="G12773" s="6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  <c r="N12773" s="6">
        <f>IF(OR($G12773="FCC",$G12773="Hydrocracker",$G12773="Reformer"),IF(COUNTIFS($D:$D,$D12773,$A:$A,$A12773,$B:$B,$B12773,$G:$G,"CDU",$J:$J,"PLANNED")&gt;0,"tied","standalone"),"")</f>
        <v/>
      </c>
    </row>
    <row r="12774" spans="6:14">
      <c r="F12774" s="6">
        <f>IF($M12774="PADD I","PADD 1",IF($M12774="PADD II","PADD 2",IF($M12774="PADD III","PADD 3",IF($M12774="PADD IV","PADD 4",IF($M12774="PADD V","PADD 5","")))))</f>
        <v/>
      </c>
      <c r="G12774" s="6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  <c r="N12774" s="6">
        <f>IF(OR($G12774="FCC",$G12774="Hydrocracker",$G12774="Reformer"),IF(COUNTIFS($D:$D,$D12774,$A:$A,$A12774,$B:$B,$B12774,$G:$G,"CDU",$J:$J,"PLANNED")&gt;0,"tied","standalone"),"")</f>
        <v/>
      </c>
    </row>
    <row r="12775" spans="6:14">
      <c r="F12775" s="6">
        <f>IF($M12775="PADD I","PADD 1",IF($M12775="PADD II","PADD 2",IF($M12775="PADD III","PADD 3",IF($M12775="PADD IV","PADD 4",IF($M12775="PADD V","PADD 5","")))))</f>
        <v/>
      </c>
      <c r="G12775" s="6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  <c r="N12775" s="6">
        <f>IF(OR($G12775="FCC",$G12775="Hydrocracker",$G12775="Reformer"),IF(COUNTIFS($D:$D,$D12775,$A:$A,$A12775,$B:$B,$B12775,$G:$G,"CDU",$J:$J,"PLANNED")&gt;0,"tied","standalone"),"")</f>
        <v/>
      </c>
    </row>
    <row r="12776" spans="6:14">
      <c r="F12776" s="6">
        <f>IF($M12776="PADD I","PADD 1",IF($M12776="PADD II","PADD 2",IF($M12776="PADD III","PADD 3",IF($M12776="PADD IV","PADD 4",IF($M12776="PADD V","PADD 5","")))))</f>
        <v/>
      </c>
      <c r="G12776" s="6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  <c r="N12776" s="6">
        <f>IF(OR($G12776="FCC",$G12776="Hydrocracker",$G12776="Reformer"),IF(COUNTIFS($D:$D,$D12776,$A:$A,$A12776,$B:$B,$B12776,$G:$G,"CDU",$J:$J,"PLANNED")&gt;0,"tied","standalone"),"")</f>
        <v/>
      </c>
    </row>
    <row r="12777" spans="6:14">
      <c r="F12777" s="6">
        <f>IF($M12777="PADD I","PADD 1",IF($M12777="PADD II","PADD 2",IF($M12777="PADD III","PADD 3",IF($M12777="PADD IV","PADD 4",IF($M12777="PADD V","PADD 5","")))))</f>
        <v/>
      </c>
      <c r="G12777" s="6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  <c r="N12777" s="6">
        <f>IF(OR($G12777="FCC",$G12777="Hydrocracker",$G12777="Reformer"),IF(COUNTIFS($D:$D,$D12777,$A:$A,$A12777,$B:$B,$B12777,$G:$G,"CDU",$J:$J,"PLANNED")&gt;0,"tied","standalone"),"")</f>
        <v/>
      </c>
    </row>
    <row r="12778" spans="6:14">
      <c r="F12778" s="6">
        <f>IF($M12778="PADD I","PADD 1",IF($M12778="PADD II","PADD 2",IF($M12778="PADD III","PADD 3",IF($M12778="PADD IV","PADD 4",IF($M12778="PADD V","PADD 5","")))))</f>
        <v/>
      </c>
      <c r="G12778" s="6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  <c r="N12778" s="6">
        <f>IF(OR($G12778="FCC",$G12778="Hydrocracker",$G12778="Reformer"),IF(COUNTIFS($D:$D,$D12778,$A:$A,$A12778,$B:$B,$B12778,$G:$G,"CDU",$J:$J,"PLANNED")&gt;0,"tied","standalone"),"")</f>
        <v/>
      </c>
    </row>
    <row r="12779" spans="6:14">
      <c r="F12779" s="6">
        <f>IF($M12779="PADD I","PADD 1",IF($M12779="PADD II","PADD 2",IF($M12779="PADD III","PADD 3",IF($M12779="PADD IV","PADD 4",IF($M12779="PADD V","PADD 5","")))))</f>
        <v/>
      </c>
      <c r="G12779" s="6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  <c r="N12779" s="6">
        <f>IF(OR($G12779="FCC",$G12779="Hydrocracker",$G12779="Reformer"),IF(COUNTIFS($D:$D,$D12779,$A:$A,$A12779,$B:$B,$B12779,$G:$G,"CDU",$J:$J,"PLANNED")&gt;0,"tied","standalone"),"")</f>
        <v/>
      </c>
    </row>
    <row r="12780" spans="6:14">
      <c r="F12780" s="6">
        <f>IF($M12780="PADD I","PADD 1",IF($M12780="PADD II","PADD 2",IF($M12780="PADD III","PADD 3",IF($M12780="PADD IV","PADD 4",IF($M12780="PADD V","PADD 5","")))))</f>
        <v/>
      </c>
      <c r="G12780" s="6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  <c r="N12780" s="6">
        <f>IF(OR($G12780="FCC",$G12780="Hydrocracker",$G12780="Reformer"),IF(COUNTIFS($D:$D,$D12780,$A:$A,$A12780,$B:$B,$B12780,$G:$G,"CDU",$J:$J,"PLANNED")&gt;0,"tied","standalone"),"")</f>
        <v/>
      </c>
    </row>
    <row r="12781" spans="6:14">
      <c r="F12781" s="6">
        <f>IF($M12781="PADD I","PADD 1",IF($M12781="PADD II","PADD 2",IF($M12781="PADD III","PADD 3",IF($M12781="PADD IV","PADD 4",IF($M12781="PADD V","PADD 5","")))))</f>
        <v/>
      </c>
      <c r="G12781" s="6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  <c r="N12781" s="6">
        <f>IF(OR($G12781="FCC",$G12781="Hydrocracker",$G12781="Reformer"),IF(COUNTIFS($D:$D,$D12781,$A:$A,$A12781,$B:$B,$B12781,$G:$G,"CDU",$J:$J,"PLANNED")&gt;0,"tied","standalone"),"")</f>
        <v/>
      </c>
    </row>
    <row r="12782" spans="6:14">
      <c r="F12782" s="6">
        <f>IF($M12782="PADD I","PADD 1",IF($M12782="PADD II","PADD 2",IF($M12782="PADD III","PADD 3",IF($M12782="PADD IV","PADD 4",IF($M12782="PADD V","PADD 5","")))))</f>
        <v/>
      </c>
      <c r="G12782" s="6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  <c r="N12782" s="6">
        <f>IF(OR($G12782="FCC",$G12782="Hydrocracker",$G12782="Reformer"),IF(COUNTIFS($D:$D,$D12782,$A:$A,$A12782,$B:$B,$B12782,$G:$G,"CDU",$J:$J,"PLANNED")&gt;0,"tied","standalone"),"")</f>
        <v/>
      </c>
    </row>
    <row r="12783" spans="6:14">
      <c r="F12783" s="6">
        <f>IF($M12783="PADD I","PADD 1",IF($M12783="PADD II","PADD 2",IF($M12783="PADD III","PADD 3",IF($M12783="PADD IV","PADD 4",IF($M12783="PADD V","PADD 5","")))))</f>
        <v/>
      </c>
      <c r="G12783" s="6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  <c r="N12783" s="6">
        <f>IF(OR($G12783="FCC",$G12783="Hydrocracker",$G12783="Reformer"),IF(COUNTIFS($D:$D,$D12783,$A:$A,$A12783,$B:$B,$B12783,$G:$G,"CDU",$J:$J,"PLANNED")&gt;0,"tied","standalone"),"")</f>
        <v/>
      </c>
    </row>
    <row r="12784" spans="6:14">
      <c r="F12784" s="6">
        <f>IF($M12784="PADD I","PADD 1",IF($M12784="PADD II","PADD 2",IF($M12784="PADD III","PADD 3",IF($M12784="PADD IV","PADD 4",IF($M12784="PADD V","PADD 5","")))))</f>
        <v/>
      </c>
      <c r="G12784" s="6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  <c r="N12784" s="6">
        <f>IF(OR($G12784="FCC",$G12784="Hydrocracker",$G12784="Reformer"),IF(COUNTIFS($D:$D,$D12784,$A:$A,$A12784,$B:$B,$B12784,$G:$G,"CDU",$J:$J,"PLANNED")&gt;0,"tied","standalone"),"")</f>
        <v/>
      </c>
    </row>
    <row r="12785" spans="6:14">
      <c r="F12785" s="6">
        <f>IF($M12785="PADD I","PADD 1",IF($M12785="PADD II","PADD 2",IF($M12785="PADD III","PADD 3",IF($M12785="PADD IV","PADD 4",IF($M12785="PADD V","PADD 5","")))))</f>
        <v/>
      </c>
      <c r="G12785" s="6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  <c r="N12785" s="6">
        <f>IF(OR($G12785="FCC",$G12785="Hydrocracker",$G12785="Reformer"),IF(COUNTIFS($D:$D,$D12785,$A:$A,$A12785,$B:$B,$B12785,$G:$G,"CDU",$J:$J,"PLANNED")&gt;0,"tied","standalone"),"")</f>
        <v/>
      </c>
    </row>
    <row r="12786" spans="6:14">
      <c r="F12786" s="6">
        <f>IF($M12786="PADD I","PADD 1",IF($M12786="PADD II","PADD 2",IF($M12786="PADD III","PADD 3",IF($M12786="PADD IV","PADD 4",IF($M12786="PADD V","PADD 5","")))))</f>
        <v/>
      </c>
      <c r="G12786" s="6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  <c r="N12786" s="6">
        <f>IF(OR($G12786="FCC",$G12786="Hydrocracker",$G12786="Reformer"),IF(COUNTIFS($D:$D,$D12786,$A:$A,$A12786,$B:$B,$B12786,$G:$G,"CDU",$J:$J,"PLANNED")&gt;0,"tied","standalone"),"")</f>
        <v/>
      </c>
    </row>
    <row r="12787" spans="6:14">
      <c r="F12787" s="6">
        <f>IF($M12787="PADD I","PADD 1",IF($M12787="PADD II","PADD 2",IF($M12787="PADD III","PADD 3",IF($M12787="PADD IV","PADD 4",IF($M12787="PADD V","PADD 5","")))))</f>
        <v/>
      </c>
      <c r="G12787" s="6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  <c r="N12787" s="6">
        <f>IF(OR($G12787="FCC",$G12787="Hydrocracker",$G12787="Reformer"),IF(COUNTIFS($D:$D,$D12787,$A:$A,$A12787,$B:$B,$B12787,$G:$G,"CDU",$J:$J,"PLANNED")&gt;0,"tied","standalone"),"")</f>
        <v/>
      </c>
    </row>
    <row r="12788" spans="6:14">
      <c r="F12788" s="6">
        <f>IF($M12788="PADD I","PADD 1",IF($M12788="PADD II","PADD 2",IF($M12788="PADD III","PADD 3",IF($M12788="PADD IV","PADD 4",IF($M12788="PADD V","PADD 5","")))))</f>
        <v/>
      </c>
      <c r="G12788" s="6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  <c r="N12788" s="6">
        <f>IF(OR($G12788="FCC",$G12788="Hydrocracker",$G12788="Reformer"),IF(COUNTIFS($D:$D,$D12788,$A:$A,$A12788,$B:$B,$B12788,$G:$G,"CDU",$J:$J,"PLANNED")&gt;0,"tied","standalone"),"")</f>
        <v/>
      </c>
    </row>
    <row r="12789" spans="6:14">
      <c r="F12789" s="6">
        <f>IF($M12789="PADD I","PADD 1",IF($M12789="PADD II","PADD 2",IF($M12789="PADD III","PADD 3",IF($M12789="PADD IV","PADD 4",IF($M12789="PADD V","PADD 5","")))))</f>
        <v/>
      </c>
      <c r="G12789" s="6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  <c r="N12789" s="6">
        <f>IF(OR($G12789="FCC",$G12789="Hydrocracker",$G12789="Reformer"),IF(COUNTIFS($D:$D,$D12789,$A:$A,$A12789,$B:$B,$B12789,$G:$G,"CDU",$J:$J,"PLANNED")&gt;0,"tied","standalone"),"")</f>
        <v/>
      </c>
    </row>
    <row r="12790" spans="6:14">
      <c r="F12790" s="6">
        <f>IF($M12790="PADD I","PADD 1",IF($M12790="PADD II","PADD 2",IF($M12790="PADD III","PADD 3",IF($M12790="PADD IV","PADD 4",IF($M12790="PADD V","PADD 5","")))))</f>
        <v/>
      </c>
      <c r="G12790" s="6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  <c r="N12790" s="6">
        <f>IF(OR($G12790="FCC",$G12790="Hydrocracker",$G12790="Reformer"),IF(COUNTIFS($D:$D,$D12790,$A:$A,$A12790,$B:$B,$B12790,$G:$G,"CDU",$J:$J,"PLANNED")&gt;0,"tied","standalone"),"")</f>
        <v/>
      </c>
    </row>
    <row r="12791" spans="6:14">
      <c r="F12791" s="6">
        <f>IF($M12791="PADD I","PADD 1",IF($M12791="PADD II","PADD 2",IF($M12791="PADD III","PADD 3",IF($M12791="PADD IV","PADD 4",IF($M12791="PADD V","PADD 5","")))))</f>
        <v/>
      </c>
      <c r="G12791" s="6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  <c r="N12791" s="6">
        <f>IF(OR($G12791="FCC",$G12791="Hydrocracker",$G12791="Reformer"),IF(COUNTIFS($D:$D,$D12791,$A:$A,$A12791,$B:$B,$B12791,$G:$G,"CDU",$J:$J,"PLANNED")&gt;0,"tied","standalone"),"")</f>
        <v/>
      </c>
    </row>
    <row r="12792" spans="6:14">
      <c r="F12792" s="6">
        <f>IF($M12792="PADD I","PADD 1",IF($M12792="PADD II","PADD 2",IF($M12792="PADD III","PADD 3",IF($M12792="PADD IV","PADD 4",IF($M12792="PADD V","PADD 5","")))))</f>
        <v/>
      </c>
      <c r="G12792" s="6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  <c r="N12792" s="6">
        <f>IF(OR($G12792="FCC",$G12792="Hydrocracker",$G12792="Reformer"),IF(COUNTIFS($D:$D,$D12792,$A:$A,$A12792,$B:$B,$B12792,$G:$G,"CDU",$J:$J,"PLANNED")&gt;0,"tied","standalone"),"")</f>
        <v/>
      </c>
    </row>
    <row r="12793" spans="6:14">
      <c r="F12793" s="6">
        <f>IF($M12793="PADD I","PADD 1",IF($M12793="PADD II","PADD 2",IF($M12793="PADD III","PADD 3",IF($M12793="PADD IV","PADD 4",IF($M12793="PADD V","PADD 5","")))))</f>
        <v/>
      </c>
      <c r="G12793" s="6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  <c r="N12793" s="6">
        <f>IF(OR($G12793="FCC",$G12793="Hydrocracker",$G12793="Reformer"),IF(COUNTIFS($D:$D,$D12793,$A:$A,$A12793,$B:$B,$B12793,$G:$G,"CDU",$J:$J,"PLANNED")&gt;0,"tied","standalone"),"")</f>
        <v/>
      </c>
    </row>
    <row r="12794" spans="6:14">
      <c r="F12794" s="6">
        <f>IF($M12794="PADD I","PADD 1",IF($M12794="PADD II","PADD 2",IF($M12794="PADD III","PADD 3",IF($M12794="PADD IV","PADD 4",IF($M12794="PADD V","PADD 5","")))))</f>
        <v/>
      </c>
      <c r="G12794" s="6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  <c r="N12794" s="6">
        <f>IF(OR($G12794="FCC",$G12794="Hydrocracker",$G12794="Reformer"),IF(COUNTIFS($D:$D,$D12794,$A:$A,$A12794,$B:$B,$B12794,$G:$G,"CDU",$J:$J,"PLANNED")&gt;0,"tied","standalone"),"")</f>
        <v/>
      </c>
    </row>
    <row r="12795" spans="6:14">
      <c r="F12795" s="6">
        <f>IF($M12795="PADD I","PADD 1",IF($M12795="PADD II","PADD 2",IF($M12795="PADD III","PADD 3",IF($M12795="PADD IV","PADD 4",IF($M12795="PADD V","PADD 5","")))))</f>
        <v/>
      </c>
      <c r="G12795" s="6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  <c r="N12795" s="6">
        <f>IF(OR($G12795="FCC",$G12795="Hydrocracker",$G12795="Reformer"),IF(COUNTIFS($D:$D,$D12795,$A:$A,$A12795,$B:$B,$B12795,$G:$G,"CDU",$J:$J,"PLANNED")&gt;0,"tied","standalone"),"")</f>
        <v/>
      </c>
    </row>
    <row r="12796" spans="6:14">
      <c r="F12796" s="6">
        <f>IF($M12796="PADD I","PADD 1",IF($M12796="PADD II","PADD 2",IF($M12796="PADD III","PADD 3",IF($M12796="PADD IV","PADD 4",IF($M12796="PADD V","PADD 5","")))))</f>
        <v/>
      </c>
      <c r="G12796" s="6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  <c r="N12796" s="6">
        <f>IF(OR($G12796="FCC",$G12796="Hydrocracker",$G12796="Reformer"),IF(COUNTIFS($D:$D,$D12796,$A:$A,$A12796,$B:$B,$B12796,$G:$G,"CDU",$J:$J,"PLANNED")&gt;0,"tied","standalone"),"")</f>
        <v/>
      </c>
    </row>
    <row r="12797" spans="6:14">
      <c r="F12797" s="6">
        <f>IF($M12797="PADD I","PADD 1",IF($M12797="PADD II","PADD 2",IF($M12797="PADD III","PADD 3",IF($M12797="PADD IV","PADD 4",IF($M12797="PADD V","PADD 5","")))))</f>
        <v/>
      </c>
      <c r="G12797" s="6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  <c r="N12797" s="6">
        <f>IF(OR($G12797="FCC",$G12797="Hydrocracker",$G12797="Reformer"),IF(COUNTIFS($D:$D,$D12797,$A:$A,$A12797,$B:$B,$B12797,$G:$G,"CDU",$J:$J,"PLANNED")&gt;0,"tied","standalone"),"")</f>
        <v/>
      </c>
    </row>
    <row r="12798" spans="6:14">
      <c r="F12798" s="6">
        <f>IF($M12798="PADD I","PADD 1",IF($M12798="PADD II","PADD 2",IF($M12798="PADD III","PADD 3",IF($M12798="PADD IV","PADD 4",IF($M12798="PADD V","PADD 5","")))))</f>
        <v/>
      </c>
      <c r="G12798" s="6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  <c r="N12798" s="6">
        <f>IF(OR($G12798="FCC",$G12798="Hydrocracker",$G12798="Reformer"),IF(COUNTIFS($D:$D,$D12798,$A:$A,$A12798,$B:$B,$B12798,$G:$G,"CDU",$J:$J,"PLANNED")&gt;0,"tied","standalone"),"")</f>
        <v/>
      </c>
    </row>
    <row r="12799" spans="6:14">
      <c r="F12799" s="6">
        <f>IF($M12799="PADD I","PADD 1",IF($M12799="PADD II","PADD 2",IF($M12799="PADD III","PADD 3",IF($M12799="PADD IV","PADD 4",IF($M12799="PADD V","PADD 5","")))))</f>
        <v/>
      </c>
      <c r="G12799" s="6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  <c r="N12799" s="6">
        <f>IF(OR($G12799="FCC",$G12799="Hydrocracker",$G12799="Reformer"),IF(COUNTIFS($D:$D,$D12799,$A:$A,$A12799,$B:$B,$B12799,$G:$G,"CDU",$J:$J,"PLANNED")&gt;0,"tied","standalone"),"")</f>
        <v/>
      </c>
    </row>
    <row r="12800" spans="6:14">
      <c r="F12800" s="6">
        <f>IF($M12800="PADD I","PADD 1",IF($M12800="PADD II","PADD 2",IF($M12800="PADD III","PADD 3",IF($M12800="PADD IV","PADD 4",IF($M12800="PADD V","PADD 5","")))))</f>
        <v/>
      </c>
      <c r="G12800" s="6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  <c r="N12800" s="6">
        <f>IF(OR($G12800="FCC",$G12800="Hydrocracker",$G12800="Reformer"),IF(COUNTIFS($D:$D,$D12800,$A:$A,$A12800,$B:$B,$B12800,$G:$G,"CDU",$J:$J,"PLANNED")&gt;0,"tied","standalone"),"")</f>
        <v/>
      </c>
    </row>
    <row r="12801" spans="6:14">
      <c r="F12801" s="6">
        <f>IF($M12801="PADD I","PADD 1",IF($M12801="PADD II","PADD 2",IF($M12801="PADD III","PADD 3",IF($M12801="PADD IV","PADD 4",IF($M12801="PADD V","PADD 5","")))))</f>
        <v/>
      </c>
      <c r="G12801" s="6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  <c r="N12801" s="6">
        <f>IF(OR($G12801="FCC",$G12801="Hydrocracker",$G12801="Reformer"),IF(COUNTIFS($D:$D,$D12801,$A:$A,$A12801,$B:$B,$B12801,$G:$G,"CDU",$J:$J,"PLANNED")&gt;0,"tied","standalone"),"")</f>
        <v/>
      </c>
    </row>
    <row r="12802" spans="6:14">
      <c r="F12802" s="6">
        <f>IF($M12802="PADD I","PADD 1",IF($M12802="PADD II","PADD 2",IF($M12802="PADD III","PADD 3",IF($M12802="PADD IV","PADD 4",IF($M12802="PADD V","PADD 5","")))))</f>
        <v/>
      </c>
      <c r="G12802" s="6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  <c r="N12802" s="6">
        <f>IF(OR($G12802="FCC",$G12802="Hydrocracker",$G12802="Reformer"),IF(COUNTIFS($D:$D,$D12802,$A:$A,$A12802,$B:$B,$B12802,$G:$G,"CDU",$J:$J,"PLANNED")&gt;0,"tied","standalone"),"")</f>
        <v/>
      </c>
    </row>
    <row r="12803" spans="6:14">
      <c r="F12803" s="6">
        <f>IF($M12803="PADD I","PADD 1",IF($M12803="PADD II","PADD 2",IF($M12803="PADD III","PADD 3",IF($M12803="PADD IV","PADD 4",IF($M12803="PADD V","PADD 5","")))))</f>
        <v/>
      </c>
      <c r="G12803" s="6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  <c r="N12803" s="6">
        <f>IF(OR($G12803="FCC",$G12803="Hydrocracker",$G12803="Reformer"),IF(COUNTIFS($D:$D,$D12803,$A:$A,$A12803,$B:$B,$B12803,$G:$G,"CDU",$J:$J,"PLANNED")&gt;0,"tied","standalone"),"")</f>
        <v/>
      </c>
    </row>
    <row r="12804" spans="6:14">
      <c r="F12804" s="6">
        <f>IF($M12804="PADD I","PADD 1",IF($M12804="PADD II","PADD 2",IF($M12804="PADD III","PADD 3",IF($M12804="PADD IV","PADD 4",IF($M12804="PADD V","PADD 5","")))))</f>
        <v/>
      </c>
      <c r="G12804" s="6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  <c r="N12804" s="6">
        <f>IF(OR($G12804="FCC",$G12804="Hydrocracker",$G12804="Reformer"),IF(COUNTIFS($D:$D,$D12804,$A:$A,$A12804,$B:$B,$B12804,$G:$G,"CDU",$J:$J,"PLANNED")&gt;0,"tied","standalone"),"")</f>
        <v/>
      </c>
    </row>
    <row r="12805" spans="6:14">
      <c r="F12805" s="6">
        <f>IF($M12805="PADD I","PADD 1",IF($M12805="PADD II","PADD 2",IF($M12805="PADD III","PADD 3",IF($M12805="PADD IV","PADD 4",IF($M12805="PADD V","PADD 5","")))))</f>
        <v/>
      </c>
      <c r="G12805" s="6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  <c r="N12805" s="6">
        <f>IF(OR($G12805="FCC",$G12805="Hydrocracker",$G12805="Reformer"),IF(COUNTIFS($D:$D,$D12805,$A:$A,$A12805,$B:$B,$B12805,$G:$G,"CDU",$J:$J,"PLANNED")&gt;0,"tied","standalone"),"")</f>
        <v/>
      </c>
    </row>
    <row r="12806" spans="6:14">
      <c r="F12806" s="6">
        <f>IF($M12806="PADD I","PADD 1",IF($M12806="PADD II","PADD 2",IF($M12806="PADD III","PADD 3",IF($M12806="PADD IV","PADD 4",IF($M12806="PADD V","PADD 5","")))))</f>
        <v/>
      </c>
      <c r="G12806" s="6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  <c r="N12806" s="6">
        <f>IF(OR($G12806="FCC",$G12806="Hydrocracker",$G12806="Reformer"),IF(COUNTIFS($D:$D,$D12806,$A:$A,$A12806,$B:$B,$B12806,$G:$G,"CDU",$J:$J,"PLANNED")&gt;0,"tied","standalone"),"")</f>
        <v/>
      </c>
    </row>
    <row r="12807" spans="6:14">
      <c r="F12807" s="6">
        <f>IF($M12807="PADD I","PADD 1",IF($M12807="PADD II","PADD 2",IF($M12807="PADD III","PADD 3",IF($M12807="PADD IV","PADD 4",IF($M12807="PADD V","PADD 5","")))))</f>
        <v/>
      </c>
      <c r="G12807" s="6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  <c r="N12807" s="6">
        <f>IF(OR($G12807="FCC",$G12807="Hydrocracker",$G12807="Reformer"),IF(COUNTIFS($D:$D,$D12807,$A:$A,$A12807,$B:$B,$B12807,$G:$G,"CDU",$J:$J,"PLANNED")&gt;0,"tied","standalone"),"")</f>
        <v/>
      </c>
    </row>
    <row r="12808" spans="6:14">
      <c r="F12808" s="6">
        <f>IF($M12808="PADD I","PADD 1",IF($M12808="PADD II","PADD 2",IF($M12808="PADD III","PADD 3",IF($M12808="PADD IV","PADD 4",IF($M12808="PADD V","PADD 5","")))))</f>
        <v/>
      </c>
      <c r="G12808" s="6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  <c r="N12808" s="6">
        <f>IF(OR($G12808="FCC",$G12808="Hydrocracker",$G12808="Reformer"),IF(COUNTIFS($D:$D,$D12808,$A:$A,$A12808,$B:$B,$B12808,$G:$G,"CDU",$J:$J,"PLANNED")&gt;0,"tied","standalone"),"")</f>
        <v/>
      </c>
    </row>
    <row r="12809" spans="6:14">
      <c r="F12809" s="6">
        <f>IF($M12809="PADD I","PADD 1",IF($M12809="PADD II","PADD 2",IF($M12809="PADD III","PADD 3",IF($M12809="PADD IV","PADD 4",IF($M12809="PADD V","PADD 5","")))))</f>
        <v/>
      </c>
      <c r="G12809" s="6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  <c r="N12809" s="6">
        <f>IF(OR($G12809="FCC",$G12809="Hydrocracker",$G12809="Reformer"),IF(COUNTIFS($D:$D,$D12809,$A:$A,$A12809,$B:$B,$B12809,$G:$G,"CDU",$J:$J,"PLANNED")&gt;0,"tied","standalone"),"")</f>
        <v/>
      </c>
    </row>
    <row r="12810" spans="6:14">
      <c r="F12810" s="6">
        <f>IF($M12810="PADD I","PADD 1",IF($M12810="PADD II","PADD 2",IF($M12810="PADD III","PADD 3",IF($M12810="PADD IV","PADD 4",IF($M12810="PADD V","PADD 5","")))))</f>
        <v/>
      </c>
      <c r="G12810" s="6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  <c r="N12810" s="6">
        <f>IF(OR($G12810="FCC",$G12810="Hydrocracker",$G12810="Reformer"),IF(COUNTIFS($D:$D,$D12810,$A:$A,$A12810,$B:$B,$B12810,$G:$G,"CDU",$J:$J,"PLANNED")&gt;0,"tied","standalone"),"")</f>
        <v/>
      </c>
    </row>
    <row r="12811" spans="6:14">
      <c r="F12811" s="6">
        <f>IF($M12811="PADD I","PADD 1",IF($M12811="PADD II","PADD 2",IF($M12811="PADD III","PADD 3",IF($M12811="PADD IV","PADD 4",IF($M12811="PADD V","PADD 5","")))))</f>
        <v/>
      </c>
      <c r="G12811" s="6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  <c r="N12811" s="6">
        <f>IF(OR($G12811="FCC",$G12811="Hydrocracker",$G12811="Reformer"),IF(COUNTIFS($D:$D,$D12811,$A:$A,$A12811,$B:$B,$B12811,$G:$G,"CDU",$J:$J,"PLANNED")&gt;0,"tied","standalone"),"")</f>
        <v/>
      </c>
    </row>
    <row r="12812" spans="6:14">
      <c r="F12812" s="6">
        <f>IF($M12812="PADD I","PADD 1",IF($M12812="PADD II","PADD 2",IF($M12812="PADD III","PADD 3",IF($M12812="PADD IV","PADD 4",IF($M12812="PADD V","PADD 5","")))))</f>
        <v/>
      </c>
      <c r="G12812" s="6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  <c r="N12812" s="6">
        <f>IF(OR($G12812="FCC",$G12812="Hydrocracker",$G12812="Reformer"),IF(COUNTIFS($D:$D,$D12812,$A:$A,$A12812,$B:$B,$B12812,$G:$G,"CDU",$J:$J,"PLANNED")&gt;0,"tied","standalone"),"")</f>
        <v/>
      </c>
    </row>
    <row r="12813" spans="6:14">
      <c r="F12813" s="6">
        <f>IF($M12813="PADD I","PADD 1",IF($M12813="PADD II","PADD 2",IF($M12813="PADD III","PADD 3",IF($M12813="PADD IV","PADD 4",IF($M12813="PADD V","PADD 5","")))))</f>
        <v/>
      </c>
      <c r="G12813" s="6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  <c r="N12813" s="6">
        <f>IF(OR($G12813="FCC",$G12813="Hydrocracker",$G12813="Reformer"),IF(COUNTIFS($D:$D,$D12813,$A:$A,$A12813,$B:$B,$B12813,$G:$G,"CDU",$J:$J,"PLANNED")&gt;0,"tied","standalone"),"")</f>
        <v/>
      </c>
    </row>
    <row r="12814" spans="6:14">
      <c r="F12814" s="6">
        <f>IF($M12814="PADD I","PADD 1",IF($M12814="PADD II","PADD 2",IF($M12814="PADD III","PADD 3",IF($M12814="PADD IV","PADD 4",IF($M12814="PADD V","PADD 5","")))))</f>
        <v/>
      </c>
      <c r="G12814" s="6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  <c r="N12814" s="6">
        <f>IF(OR($G12814="FCC",$G12814="Hydrocracker",$G12814="Reformer"),IF(COUNTIFS($D:$D,$D12814,$A:$A,$A12814,$B:$B,$B12814,$G:$G,"CDU",$J:$J,"PLANNED")&gt;0,"tied","standalone"),"")</f>
        <v/>
      </c>
    </row>
    <row r="12815" spans="6:14">
      <c r="F12815" s="6">
        <f>IF($M12815="PADD I","PADD 1",IF($M12815="PADD II","PADD 2",IF($M12815="PADD III","PADD 3",IF($M12815="PADD IV","PADD 4",IF($M12815="PADD V","PADD 5","")))))</f>
        <v/>
      </c>
      <c r="G12815" s="6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  <c r="N12815" s="6">
        <f>IF(OR($G12815="FCC",$G12815="Hydrocracker",$G12815="Reformer"),IF(COUNTIFS($D:$D,$D12815,$A:$A,$A12815,$B:$B,$B12815,$G:$G,"CDU",$J:$J,"PLANNED")&gt;0,"tied","standalone"),"")</f>
        <v/>
      </c>
    </row>
    <row r="12816" spans="6:14">
      <c r="F12816" s="6">
        <f>IF($M12816="PADD I","PADD 1",IF($M12816="PADD II","PADD 2",IF($M12816="PADD III","PADD 3",IF($M12816="PADD IV","PADD 4",IF($M12816="PADD V","PADD 5","")))))</f>
        <v/>
      </c>
      <c r="G12816" s="6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  <c r="N12816" s="6">
        <f>IF(OR($G12816="FCC",$G12816="Hydrocracker",$G12816="Reformer"),IF(COUNTIFS($D:$D,$D12816,$A:$A,$A12816,$B:$B,$B12816,$G:$G,"CDU",$J:$J,"PLANNED")&gt;0,"tied","standalone"),"")</f>
        <v/>
      </c>
    </row>
    <row r="12817" spans="6:14">
      <c r="F12817" s="6">
        <f>IF($M12817="PADD I","PADD 1",IF($M12817="PADD II","PADD 2",IF($M12817="PADD III","PADD 3",IF($M12817="PADD IV","PADD 4",IF($M12817="PADD V","PADD 5","")))))</f>
        <v/>
      </c>
      <c r="G12817" s="6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  <c r="N12817" s="6">
        <f>IF(OR($G12817="FCC",$G12817="Hydrocracker",$G12817="Reformer"),IF(COUNTIFS($D:$D,$D12817,$A:$A,$A12817,$B:$B,$B12817,$G:$G,"CDU",$J:$J,"PLANNED")&gt;0,"tied","standalone"),"")</f>
        <v/>
      </c>
    </row>
    <row r="12818" spans="6:14">
      <c r="F12818" s="6">
        <f>IF($M12818="PADD I","PADD 1",IF($M12818="PADD II","PADD 2",IF($M12818="PADD III","PADD 3",IF($M12818="PADD IV","PADD 4",IF($M12818="PADD V","PADD 5","")))))</f>
        <v/>
      </c>
      <c r="G12818" s="6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  <c r="N12818" s="6">
        <f>IF(OR($G12818="FCC",$G12818="Hydrocracker",$G12818="Reformer"),IF(COUNTIFS($D:$D,$D12818,$A:$A,$A12818,$B:$B,$B12818,$G:$G,"CDU",$J:$J,"PLANNED")&gt;0,"tied","standalone"),"")</f>
        <v/>
      </c>
    </row>
    <row r="12819" spans="6:14">
      <c r="F12819" s="6">
        <f>IF($M12819="PADD I","PADD 1",IF($M12819="PADD II","PADD 2",IF($M12819="PADD III","PADD 3",IF($M12819="PADD IV","PADD 4",IF($M12819="PADD V","PADD 5","")))))</f>
        <v/>
      </c>
      <c r="G12819" s="6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  <c r="N12819" s="6">
        <f>IF(OR($G12819="FCC",$G12819="Hydrocracker",$G12819="Reformer"),IF(COUNTIFS($D:$D,$D12819,$A:$A,$A12819,$B:$B,$B12819,$G:$G,"CDU",$J:$J,"PLANNED")&gt;0,"tied","standalone"),"")</f>
        <v/>
      </c>
    </row>
    <row r="12820" spans="6:14">
      <c r="F12820" s="6">
        <f>IF($M12820="PADD I","PADD 1",IF($M12820="PADD II","PADD 2",IF($M12820="PADD III","PADD 3",IF($M12820="PADD IV","PADD 4",IF($M12820="PADD V","PADD 5","")))))</f>
        <v/>
      </c>
      <c r="G12820" s="6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  <c r="N12820" s="6">
        <f>IF(OR($G12820="FCC",$G12820="Hydrocracker",$G12820="Reformer"),IF(COUNTIFS($D:$D,$D12820,$A:$A,$A12820,$B:$B,$B12820,$G:$G,"CDU",$J:$J,"PLANNED")&gt;0,"tied","standalone"),"")</f>
        <v/>
      </c>
    </row>
    <row r="12821" spans="6:14">
      <c r="F12821" s="6">
        <f>IF($M12821="PADD I","PADD 1",IF($M12821="PADD II","PADD 2",IF($M12821="PADD III","PADD 3",IF($M12821="PADD IV","PADD 4",IF($M12821="PADD V","PADD 5","")))))</f>
        <v/>
      </c>
      <c r="G12821" s="6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  <c r="N12821" s="6">
        <f>IF(OR($G12821="FCC",$G12821="Hydrocracker",$G12821="Reformer"),IF(COUNTIFS($D:$D,$D12821,$A:$A,$A12821,$B:$B,$B12821,$G:$G,"CDU",$J:$J,"PLANNED")&gt;0,"tied","standalone"),"")</f>
        <v/>
      </c>
    </row>
    <row r="12822" spans="6:14">
      <c r="F12822" s="6">
        <f>IF($M12822="PADD I","PADD 1",IF($M12822="PADD II","PADD 2",IF($M12822="PADD III","PADD 3",IF($M12822="PADD IV","PADD 4",IF($M12822="PADD V","PADD 5","")))))</f>
        <v/>
      </c>
      <c r="G12822" s="6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  <c r="N12822" s="6">
        <f>IF(OR($G12822="FCC",$G12822="Hydrocracker",$G12822="Reformer"),IF(COUNTIFS($D:$D,$D12822,$A:$A,$A12822,$B:$B,$B12822,$G:$G,"CDU",$J:$J,"PLANNED")&gt;0,"tied","standalone"),"")</f>
        <v/>
      </c>
    </row>
    <row r="12823" spans="6:14">
      <c r="F12823" s="6">
        <f>IF($M12823="PADD I","PADD 1",IF($M12823="PADD II","PADD 2",IF($M12823="PADD III","PADD 3",IF($M12823="PADD IV","PADD 4",IF($M12823="PADD V","PADD 5","")))))</f>
        <v/>
      </c>
      <c r="G12823" s="6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  <c r="N12823" s="6">
        <f>IF(OR($G12823="FCC",$G12823="Hydrocracker",$G12823="Reformer"),IF(COUNTIFS($D:$D,$D12823,$A:$A,$A12823,$B:$B,$B12823,$G:$G,"CDU",$J:$J,"PLANNED")&gt;0,"tied","standalone"),"")</f>
        <v/>
      </c>
    </row>
    <row r="12824" spans="6:14">
      <c r="F12824" s="6">
        <f>IF($M12824="PADD I","PADD 1",IF($M12824="PADD II","PADD 2",IF($M12824="PADD III","PADD 3",IF($M12824="PADD IV","PADD 4",IF($M12824="PADD V","PADD 5","")))))</f>
        <v/>
      </c>
      <c r="G12824" s="6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  <c r="N12824" s="6">
        <f>IF(OR($G12824="FCC",$G12824="Hydrocracker",$G12824="Reformer"),IF(COUNTIFS($D:$D,$D12824,$A:$A,$A12824,$B:$B,$B12824,$G:$G,"CDU",$J:$J,"PLANNED")&gt;0,"tied","standalone"),"")</f>
        <v/>
      </c>
    </row>
    <row r="12825" spans="6:14">
      <c r="F12825" s="6">
        <f>IF($M12825="PADD I","PADD 1",IF($M12825="PADD II","PADD 2",IF($M12825="PADD III","PADD 3",IF($M12825="PADD IV","PADD 4",IF($M12825="PADD V","PADD 5","")))))</f>
        <v/>
      </c>
      <c r="G12825" s="6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  <c r="N12825" s="6">
        <f>IF(OR($G12825="FCC",$G12825="Hydrocracker",$G12825="Reformer"),IF(COUNTIFS($D:$D,$D12825,$A:$A,$A12825,$B:$B,$B12825,$G:$G,"CDU",$J:$J,"PLANNED")&gt;0,"tied","standalone"),"")</f>
        <v/>
      </c>
    </row>
    <row r="12826" spans="6:14">
      <c r="F12826" s="6">
        <f>IF($M12826="PADD I","PADD 1",IF($M12826="PADD II","PADD 2",IF($M12826="PADD III","PADD 3",IF($M12826="PADD IV","PADD 4",IF($M12826="PADD V","PADD 5","")))))</f>
        <v/>
      </c>
      <c r="G12826" s="6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  <c r="N12826" s="6">
        <f>IF(OR($G12826="FCC",$G12826="Hydrocracker",$G12826="Reformer"),IF(COUNTIFS($D:$D,$D12826,$A:$A,$A12826,$B:$B,$B12826,$G:$G,"CDU",$J:$J,"PLANNED")&gt;0,"tied","standalone"),"")</f>
        <v/>
      </c>
    </row>
    <row r="12827" spans="6:14">
      <c r="F12827" s="6">
        <f>IF($M12827="PADD I","PADD 1",IF($M12827="PADD II","PADD 2",IF($M12827="PADD III","PADD 3",IF($M12827="PADD IV","PADD 4",IF($M12827="PADD V","PADD 5","")))))</f>
        <v/>
      </c>
      <c r="G12827" s="6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  <c r="N12827" s="6">
        <f>IF(OR($G12827="FCC",$G12827="Hydrocracker",$G12827="Reformer"),IF(COUNTIFS($D:$D,$D12827,$A:$A,$A12827,$B:$B,$B12827,$G:$G,"CDU",$J:$J,"PLANNED")&gt;0,"tied","standalone"),"")</f>
        <v/>
      </c>
    </row>
    <row r="12828" spans="6:14">
      <c r="F12828" s="6">
        <f>IF($M12828="PADD I","PADD 1",IF($M12828="PADD II","PADD 2",IF($M12828="PADD III","PADD 3",IF($M12828="PADD IV","PADD 4",IF($M12828="PADD V","PADD 5","")))))</f>
        <v/>
      </c>
      <c r="G12828" s="6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  <c r="N12828" s="6">
        <f>IF(OR($G12828="FCC",$G12828="Hydrocracker",$G12828="Reformer"),IF(COUNTIFS($D:$D,$D12828,$A:$A,$A12828,$B:$B,$B12828,$G:$G,"CDU",$J:$J,"PLANNED")&gt;0,"tied","standalone"),"")</f>
        <v/>
      </c>
    </row>
    <row r="12829" spans="6:14">
      <c r="F12829" s="6">
        <f>IF($M12829="PADD I","PADD 1",IF($M12829="PADD II","PADD 2",IF($M12829="PADD III","PADD 3",IF($M12829="PADD IV","PADD 4",IF($M12829="PADD V","PADD 5","")))))</f>
        <v/>
      </c>
      <c r="G12829" s="6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  <c r="N12829" s="6">
        <f>IF(OR($G12829="FCC",$G12829="Hydrocracker",$G12829="Reformer"),IF(COUNTIFS($D:$D,$D12829,$A:$A,$A12829,$B:$B,$B12829,$G:$G,"CDU",$J:$J,"PLANNED")&gt;0,"tied","standalone"),"")</f>
        <v/>
      </c>
    </row>
    <row r="12830" spans="6:14">
      <c r="F12830" s="6">
        <f>IF($M12830="PADD I","PADD 1",IF($M12830="PADD II","PADD 2",IF($M12830="PADD III","PADD 3",IF($M12830="PADD IV","PADD 4",IF($M12830="PADD V","PADD 5","")))))</f>
        <v/>
      </c>
      <c r="G12830" s="6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  <c r="N12830" s="6">
        <f>IF(OR($G12830="FCC",$G12830="Hydrocracker",$G12830="Reformer"),IF(COUNTIFS($D:$D,$D12830,$A:$A,$A12830,$B:$B,$B12830,$G:$G,"CDU",$J:$J,"PLANNED")&gt;0,"tied","standalone"),"")</f>
        <v/>
      </c>
    </row>
    <row r="12831" spans="6:14">
      <c r="F12831" s="6">
        <f>IF($M12831="PADD I","PADD 1",IF($M12831="PADD II","PADD 2",IF($M12831="PADD III","PADD 3",IF($M12831="PADD IV","PADD 4",IF($M12831="PADD V","PADD 5","")))))</f>
        <v/>
      </c>
      <c r="G12831" s="6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  <c r="N12831" s="6">
        <f>IF(OR($G12831="FCC",$G12831="Hydrocracker",$G12831="Reformer"),IF(COUNTIFS($D:$D,$D12831,$A:$A,$A12831,$B:$B,$B12831,$G:$G,"CDU",$J:$J,"PLANNED")&gt;0,"tied","standalone"),"")</f>
        <v/>
      </c>
    </row>
    <row r="12832" spans="6:14">
      <c r="F12832" s="6">
        <f>IF($M12832="PADD I","PADD 1",IF($M12832="PADD II","PADD 2",IF($M12832="PADD III","PADD 3",IF($M12832="PADD IV","PADD 4",IF($M12832="PADD V","PADD 5","")))))</f>
        <v/>
      </c>
      <c r="G12832" s="6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  <c r="N12832" s="6">
        <f>IF(OR($G12832="FCC",$G12832="Hydrocracker",$G12832="Reformer"),IF(COUNTIFS($D:$D,$D12832,$A:$A,$A12832,$B:$B,$B12832,$G:$G,"CDU",$J:$J,"PLANNED")&gt;0,"tied","standalone"),"")</f>
        <v/>
      </c>
    </row>
    <row r="12833" spans="6:14">
      <c r="F12833" s="6">
        <f>IF($M12833="PADD I","PADD 1",IF($M12833="PADD II","PADD 2",IF($M12833="PADD III","PADD 3",IF($M12833="PADD IV","PADD 4",IF($M12833="PADD V","PADD 5","")))))</f>
        <v/>
      </c>
      <c r="G12833" s="6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  <c r="N12833" s="6">
        <f>IF(OR($G12833="FCC",$G12833="Hydrocracker",$G12833="Reformer"),IF(COUNTIFS($D:$D,$D12833,$A:$A,$A12833,$B:$B,$B12833,$G:$G,"CDU",$J:$J,"PLANNED")&gt;0,"tied","standalone"),"")</f>
        <v/>
      </c>
    </row>
    <row r="12834" spans="6:14">
      <c r="F12834" s="6">
        <f>IF($M12834="PADD I","PADD 1",IF($M12834="PADD II","PADD 2",IF($M12834="PADD III","PADD 3",IF($M12834="PADD IV","PADD 4",IF($M12834="PADD V","PADD 5","")))))</f>
        <v/>
      </c>
      <c r="G12834" s="6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  <c r="N12834" s="6">
        <f>IF(OR($G12834="FCC",$G12834="Hydrocracker",$G12834="Reformer"),IF(COUNTIFS($D:$D,$D12834,$A:$A,$A12834,$B:$B,$B12834,$G:$G,"CDU",$J:$J,"PLANNED")&gt;0,"tied","standalone"),"")</f>
        <v/>
      </c>
    </row>
    <row r="12835" spans="6:14">
      <c r="F12835" s="6">
        <f>IF($M12835="PADD I","PADD 1",IF($M12835="PADD II","PADD 2",IF($M12835="PADD III","PADD 3",IF($M12835="PADD IV","PADD 4",IF($M12835="PADD V","PADD 5","")))))</f>
        <v/>
      </c>
      <c r="G12835" s="6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  <c r="N12835" s="6">
        <f>IF(OR($G12835="FCC",$G12835="Hydrocracker",$G12835="Reformer"),IF(COUNTIFS($D:$D,$D12835,$A:$A,$A12835,$B:$B,$B12835,$G:$G,"CDU",$J:$J,"PLANNED")&gt;0,"tied","standalone"),"")</f>
        <v/>
      </c>
    </row>
    <row r="12836" spans="6:14">
      <c r="F12836" s="6">
        <f>IF($M12836="PADD I","PADD 1",IF($M12836="PADD II","PADD 2",IF($M12836="PADD III","PADD 3",IF($M12836="PADD IV","PADD 4",IF($M12836="PADD V","PADD 5","")))))</f>
        <v/>
      </c>
      <c r="G12836" s="6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  <c r="N12836" s="6">
        <f>IF(OR($G12836="FCC",$G12836="Hydrocracker",$G12836="Reformer"),IF(COUNTIFS($D:$D,$D12836,$A:$A,$A12836,$B:$B,$B12836,$G:$G,"CDU",$J:$J,"PLANNED")&gt;0,"tied","standalone"),"")</f>
        <v/>
      </c>
    </row>
    <row r="12837" spans="6:14">
      <c r="F12837" s="6">
        <f>IF($M12837="PADD I","PADD 1",IF($M12837="PADD II","PADD 2",IF($M12837="PADD III","PADD 3",IF($M12837="PADD IV","PADD 4",IF($M12837="PADD V","PADD 5","")))))</f>
        <v/>
      </c>
      <c r="G12837" s="6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  <c r="N12837" s="6">
        <f>IF(OR($G12837="FCC",$G12837="Hydrocracker",$G12837="Reformer"),IF(COUNTIFS($D:$D,$D12837,$A:$A,$A12837,$B:$B,$B12837,$G:$G,"CDU",$J:$J,"PLANNED")&gt;0,"tied","standalone"),"")</f>
        <v/>
      </c>
    </row>
    <row r="12838" spans="6:14">
      <c r="F12838" s="6">
        <f>IF($M12838="PADD I","PADD 1",IF($M12838="PADD II","PADD 2",IF($M12838="PADD III","PADD 3",IF($M12838="PADD IV","PADD 4",IF($M12838="PADD V","PADD 5","")))))</f>
        <v/>
      </c>
      <c r="G12838" s="6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  <c r="N12838" s="6">
        <f>IF(OR($G12838="FCC",$G12838="Hydrocracker",$G12838="Reformer"),IF(COUNTIFS($D:$D,$D12838,$A:$A,$A12838,$B:$B,$B12838,$G:$G,"CDU",$J:$J,"PLANNED")&gt;0,"tied","standalone"),"")</f>
        <v/>
      </c>
    </row>
    <row r="12839" spans="6:14">
      <c r="F12839" s="6">
        <f>IF($M12839="PADD I","PADD 1",IF($M12839="PADD II","PADD 2",IF($M12839="PADD III","PADD 3",IF($M12839="PADD IV","PADD 4",IF($M12839="PADD V","PADD 5","")))))</f>
        <v/>
      </c>
      <c r="G12839" s="6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  <c r="N12839" s="6">
        <f>IF(OR($G12839="FCC",$G12839="Hydrocracker",$G12839="Reformer"),IF(COUNTIFS($D:$D,$D12839,$A:$A,$A12839,$B:$B,$B12839,$G:$G,"CDU",$J:$J,"PLANNED")&gt;0,"tied","standalone"),"")</f>
        <v/>
      </c>
    </row>
    <row r="12840" spans="6:14">
      <c r="F12840" s="6">
        <f>IF($M12840="PADD I","PADD 1",IF($M12840="PADD II","PADD 2",IF($M12840="PADD III","PADD 3",IF($M12840="PADD IV","PADD 4",IF($M12840="PADD V","PADD 5","")))))</f>
        <v/>
      </c>
      <c r="G12840" s="6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  <c r="N12840" s="6">
        <f>IF(OR($G12840="FCC",$G12840="Hydrocracker",$G12840="Reformer"),IF(COUNTIFS($D:$D,$D12840,$A:$A,$A12840,$B:$B,$B12840,$G:$G,"CDU",$J:$J,"PLANNED")&gt;0,"tied","standalone"),"")</f>
        <v/>
      </c>
    </row>
    <row r="12841" spans="6:14">
      <c r="F12841" s="6">
        <f>IF($M12841="PADD I","PADD 1",IF($M12841="PADD II","PADD 2",IF($M12841="PADD III","PADD 3",IF($M12841="PADD IV","PADD 4",IF($M12841="PADD V","PADD 5","")))))</f>
        <v/>
      </c>
      <c r="G12841" s="6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  <c r="N12841" s="6">
        <f>IF(OR($G12841="FCC",$G12841="Hydrocracker",$G12841="Reformer"),IF(COUNTIFS($D:$D,$D12841,$A:$A,$A12841,$B:$B,$B12841,$G:$G,"CDU",$J:$J,"PLANNED")&gt;0,"tied","standalone"),"")</f>
        <v/>
      </c>
    </row>
    <row r="12842" spans="6:14">
      <c r="F12842" s="6">
        <f>IF($M12842="PADD I","PADD 1",IF($M12842="PADD II","PADD 2",IF($M12842="PADD III","PADD 3",IF($M12842="PADD IV","PADD 4",IF($M12842="PADD V","PADD 5","")))))</f>
        <v/>
      </c>
      <c r="G12842" s="6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  <c r="N12842" s="6">
        <f>IF(OR($G12842="FCC",$G12842="Hydrocracker",$G12842="Reformer"),IF(COUNTIFS($D:$D,$D12842,$A:$A,$A12842,$B:$B,$B12842,$G:$G,"CDU",$J:$J,"PLANNED")&gt;0,"tied","standalone"),"")</f>
        <v/>
      </c>
    </row>
    <row r="12843" spans="6:14">
      <c r="F12843" s="6">
        <f>IF($M12843="PADD I","PADD 1",IF($M12843="PADD II","PADD 2",IF($M12843="PADD III","PADD 3",IF($M12843="PADD IV","PADD 4",IF($M12843="PADD V","PADD 5","")))))</f>
        <v/>
      </c>
      <c r="G12843" s="6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  <c r="N12843" s="6">
        <f>IF(OR($G12843="FCC",$G12843="Hydrocracker",$G12843="Reformer"),IF(COUNTIFS($D:$D,$D12843,$A:$A,$A12843,$B:$B,$B12843,$G:$G,"CDU",$J:$J,"PLANNED")&gt;0,"tied","standalone"),"")</f>
        <v/>
      </c>
    </row>
    <row r="12844" spans="6:14">
      <c r="F12844" s="6">
        <f>IF($M12844="PADD I","PADD 1",IF($M12844="PADD II","PADD 2",IF($M12844="PADD III","PADD 3",IF($M12844="PADD IV","PADD 4",IF($M12844="PADD V","PADD 5","")))))</f>
        <v/>
      </c>
      <c r="G12844" s="6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  <c r="N12844" s="6">
        <f>IF(OR($G12844="FCC",$G12844="Hydrocracker",$G12844="Reformer"),IF(COUNTIFS($D:$D,$D12844,$A:$A,$A12844,$B:$B,$B12844,$G:$G,"CDU",$J:$J,"PLANNED")&gt;0,"tied","standalone"),"")</f>
        <v/>
      </c>
    </row>
    <row r="12845" spans="6:14">
      <c r="F12845" s="6">
        <f>IF($M12845="PADD I","PADD 1",IF($M12845="PADD II","PADD 2",IF($M12845="PADD III","PADD 3",IF($M12845="PADD IV","PADD 4",IF($M12845="PADD V","PADD 5","")))))</f>
        <v/>
      </c>
      <c r="G12845" s="6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  <c r="N12845" s="6">
        <f>IF(OR($G12845="FCC",$G12845="Hydrocracker",$G12845="Reformer"),IF(COUNTIFS($D:$D,$D12845,$A:$A,$A12845,$B:$B,$B12845,$G:$G,"CDU",$J:$J,"PLANNED")&gt;0,"tied","standalone"),"")</f>
        <v/>
      </c>
    </row>
    <row r="12846" spans="6:14">
      <c r="F12846" s="6">
        <f>IF($M12846="PADD I","PADD 1",IF($M12846="PADD II","PADD 2",IF($M12846="PADD III","PADD 3",IF($M12846="PADD IV","PADD 4",IF($M12846="PADD V","PADD 5","")))))</f>
        <v/>
      </c>
      <c r="G12846" s="6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  <c r="N12846" s="6">
        <f>IF(OR($G12846="FCC",$G12846="Hydrocracker",$G12846="Reformer"),IF(COUNTIFS($D:$D,$D12846,$A:$A,$A12846,$B:$B,$B12846,$G:$G,"CDU",$J:$J,"PLANNED")&gt;0,"tied","standalone"),"")</f>
        <v/>
      </c>
    </row>
    <row r="12847" spans="6:14">
      <c r="F12847" s="6">
        <f>IF($M12847="PADD I","PADD 1",IF($M12847="PADD II","PADD 2",IF($M12847="PADD III","PADD 3",IF($M12847="PADD IV","PADD 4",IF($M12847="PADD V","PADD 5","")))))</f>
        <v/>
      </c>
      <c r="G12847" s="6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  <c r="N12847" s="6">
        <f>IF(OR($G12847="FCC",$G12847="Hydrocracker",$G12847="Reformer"),IF(COUNTIFS($D:$D,$D12847,$A:$A,$A12847,$B:$B,$B12847,$G:$G,"CDU",$J:$J,"PLANNED")&gt;0,"tied","standalone"),"")</f>
        <v/>
      </c>
    </row>
    <row r="12848" spans="6:14">
      <c r="F12848" s="6">
        <f>IF($M12848="PADD I","PADD 1",IF($M12848="PADD II","PADD 2",IF($M12848="PADD III","PADD 3",IF($M12848="PADD IV","PADD 4",IF($M12848="PADD V","PADD 5","")))))</f>
        <v/>
      </c>
      <c r="G12848" s="6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  <c r="N12848" s="6">
        <f>IF(OR($G12848="FCC",$G12848="Hydrocracker",$G12848="Reformer"),IF(COUNTIFS($D:$D,$D12848,$A:$A,$A12848,$B:$B,$B12848,$G:$G,"CDU",$J:$J,"PLANNED")&gt;0,"tied","standalone"),"")</f>
        <v/>
      </c>
    </row>
    <row r="12849" spans="6:14">
      <c r="F12849" s="6">
        <f>IF($M12849="PADD I","PADD 1",IF($M12849="PADD II","PADD 2",IF($M12849="PADD III","PADD 3",IF($M12849="PADD IV","PADD 4",IF($M12849="PADD V","PADD 5","")))))</f>
        <v/>
      </c>
      <c r="G12849" s="6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  <c r="N12849" s="6">
        <f>IF(OR($G12849="FCC",$G12849="Hydrocracker",$G12849="Reformer"),IF(COUNTIFS($D:$D,$D12849,$A:$A,$A12849,$B:$B,$B12849,$G:$G,"CDU",$J:$J,"PLANNED")&gt;0,"tied","standalone"),"")</f>
        <v/>
      </c>
    </row>
    <row r="12850" spans="6:14">
      <c r="F12850" s="6">
        <f>IF($M12850="PADD I","PADD 1",IF($M12850="PADD II","PADD 2",IF($M12850="PADD III","PADD 3",IF($M12850="PADD IV","PADD 4",IF($M12850="PADD V","PADD 5","")))))</f>
        <v/>
      </c>
      <c r="G12850" s="6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  <c r="N12850" s="6">
        <f>IF(OR($G12850="FCC",$G12850="Hydrocracker",$G12850="Reformer"),IF(COUNTIFS($D:$D,$D12850,$A:$A,$A12850,$B:$B,$B12850,$G:$G,"CDU",$J:$J,"PLANNED")&gt;0,"tied","standalone"),"")</f>
        <v/>
      </c>
    </row>
    <row r="12851" spans="6:14">
      <c r="F12851" s="6">
        <f>IF($M12851="PADD I","PADD 1",IF($M12851="PADD II","PADD 2",IF($M12851="PADD III","PADD 3",IF($M12851="PADD IV","PADD 4",IF($M12851="PADD V","PADD 5","")))))</f>
        <v/>
      </c>
      <c r="G12851" s="6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  <c r="N12851" s="6">
        <f>IF(OR($G12851="FCC",$G12851="Hydrocracker",$G12851="Reformer"),IF(COUNTIFS($D:$D,$D12851,$A:$A,$A12851,$B:$B,$B12851,$G:$G,"CDU",$J:$J,"PLANNED")&gt;0,"tied","standalone"),"")</f>
        <v/>
      </c>
    </row>
    <row r="12852" spans="6:14">
      <c r="F12852" s="6">
        <f>IF($M12852="PADD I","PADD 1",IF($M12852="PADD II","PADD 2",IF($M12852="PADD III","PADD 3",IF($M12852="PADD IV","PADD 4",IF($M12852="PADD V","PADD 5","")))))</f>
        <v/>
      </c>
      <c r="G12852" s="6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  <c r="N12852" s="6">
        <f>IF(OR($G12852="FCC",$G12852="Hydrocracker",$G12852="Reformer"),IF(COUNTIFS($D:$D,$D12852,$A:$A,$A12852,$B:$B,$B12852,$G:$G,"CDU",$J:$J,"PLANNED")&gt;0,"tied","standalone"),"")</f>
        <v/>
      </c>
    </row>
    <row r="12853" spans="6:14">
      <c r="F12853" s="6">
        <f>IF($M12853="PADD I","PADD 1",IF($M12853="PADD II","PADD 2",IF($M12853="PADD III","PADD 3",IF($M12853="PADD IV","PADD 4",IF($M12853="PADD V","PADD 5","")))))</f>
        <v/>
      </c>
      <c r="G12853" s="6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  <c r="N12853" s="6">
        <f>IF(OR($G12853="FCC",$G12853="Hydrocracker",$G12853="Reformer"),IF(COUNTIFS($D:$D,$D12853,$A:$A,$A12853,$B:$B,$B12853,$G:$G,"CDU",$J:$J,"PLANNED")&gt;0,"tied","standalone"),"")</f>
        <v/>
      </c>
    </row>
    <row r="12854" spans="6:14">
      <c r="F12854" s="6">
        <f>IF($M12854="PADD I","PADD 1",IF($M12854="PADD II","PADD 2",IF($M12854="PADD III","PADD 3",IF($M12854="PADD IV","PADD 4",IF($M12854="PADD V","PADD 5","")))))</f>
        <v/>
      </c>
      <c r="G12854" s="6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  <c r="N12854" s="6">
        <f>IF(OR($G12854="FCC",$G12854="Hydrocracker",$G12854="Reformer"),IF(COUNTIFS($D:$D,$D12854,$A:$A,$A12854,$B:$B,$B12854,$G:$G,"CDU",$J:$J,"PLANNED")&gt;0,"tied","standalone"),"")</f>
        <v/>
      </c>
    </row>
    <row r="12855" spans="6:14">
      <c r="F12855" s="6">
        <f>IF($M12855="PADD I","PADD 1",IF($M12855="PADD II","PADD 2",IF($M12855="PADD III","PADD 3",IF($M12855="PADD IV","PADD 4",IF($M12855="PADD V","PADD 5","")))))</f>
        <v/>
      </c>
      <c r="G12855" s="6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  <c r="N12855" s="6">
        <f>IF(OR($G12855="FCC",$G12855="Hydrocracker",$G12855="Reformer"),IF(COUNTIFS($D:$D,$D12855,$A:$A,$A12855,$B:$B,$B12855,$G:$G,"CDU",$J:$J,"PLANNED")&gt;0,"tied","standalone"),"")</f>
        <v/>
      </c>
    </row>
    <row r="12856" spans="6:14">
      <c r="F12856" s="6">
        <f>IF($M12856="PADD I","PADD 1",IF($M12856="PADD II","PADD 2",IF($M12856="PADD III","PADD 3",IF($M12856="PADD IV","PADD 4",IF($M12856="PADD V","PADD 5","")))))</f>
        <v/>
      </c>
      <c r="G12856" s="6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  <c r="N12856" s="6">
        <f>IF(OR($G12856="FCC",$G12856="Hydrocracker",$G12856="Reformer"),IF(COUNTIFS($D:$D,$D12856,$A:$A,$A12856,$B:$B,$B12856,$G:$G,"CDU",$J:$J,"PLANNED")&gt;0,"tied","standalone"),"")</f>
        <v/>
      </c>
    </row>
    <row r="12857" spans="6:14">
      <c r="F12857" s="6">
        <f>IF($M12857="PADD I","PADD 1",IF($M12857="PADD II","PADD 2",IF($M12857="PADD III","PADD 3",IF($M12857="PADD IV","PADD 4",IF($M12857="PADD V","PADD 5","")))))</f>
        <v/>
      </c>
      <c r="G12857" s="6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  <c r="N12857" s="6">
        <f>IF(OR($G12857="FCC",$G12857="Hydrocracker",$G12857="Reformer"),IF(COUNTIFS($D:$D,$D12857,$A:$A,$A12857,$B:$B,$B12857,$G:$G,"CDU",$J:$J,"PLANNED")&gt;0,"tied","standalone"),"")</f>
        <v/>
      </c>
    </row>
    <row r="12858" spans="6:14">
      <c r="F12858" s="6">
        <f>IF($M12858="PADD I","PADD 1",IF($M12858="PADD II","PADD 2",IF($M12858="PADD III","PADD 3",IF($M12858="PADD IV","PADD 4",IF($M12858="PADD V","PADD 5","")))))</f>
        <v/>
      </c>
      <c r="G12858" s="6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  <c r="N12858" s="6">
        <f>IF(OR($G12858="FCC",$G12858="Hydrocracker",$G12858="Reformer"),IF(COUNTIFS($D:$D,$D12858,$A:$A,$A12858,$B:$B,$B12858,$G:$G,"CDU",$J:$J,"PLANNED")&gt;0,"tied","standalone"),"")</f>
        <v/>
      </c>
    </row>
    <row r="12859" spans="6:14">
      <c r="F12859" s="6">
        <f>IF($M12859="PADD I","PADD 1",IF($M12859="PADD II","PADD 2",IF($M12859="PADD III","PADD 3",IF($M12859="PADD IV","PADD 4",IF($M12859="PADD V","PADD 5","")))))</f>
        <v/>
      </c>
      <c r="G12859" s="6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  <c r="N12859" s="6">
        <f>IF(OR($G12859="FCC",$G12859="Hydrocracker",$G12859="Reformer"),IF(COUNTIFS($D:$D,$D12859,$A:$A,$A12859,$B:$B,$B12859,$G:$G,"CDU",$J:$J,"PLANNED")&gt;0,"tied","standalone"),"")</f>
        <v/>
      </c>
    </row>
    <row r="12860" spans="6:14">
      <c r="F12860" s="6">
        <f>IF($M12860="PADD I","PADD 1",IF($M12860="PADD II","PADD 2",IF($M12860="PADD III","PADD 3",IF($M12860="PADD IV","PADD 4",IF($M12860="PADD V","PADD 5","")))))</f>
        <v/>
      </c>
      <c r="G12860" s="6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  <c r="N12860" s="6">
        <f>IF(OR($G12860="FCC",$G12860="Hydrocracker",$G12860="Reformer"),IF(COUNTIFS($D:$D,$D12860,$A:$A,$A12860,$B:$B,$B12860,$G:$G,"CDU",$J:$J,"PLANNED")&gt;0,"tied","standalone"),"")</f>
        <v/>
      </c>
    </row>
    <row r="12861" spans="6:14">
      <c r="F12861" s="6">
        <f>IF($M12861="PADD I","PADD 1",IF($M12861="PADD II","PADD 2",IF($M12861="PADD III","PADD 3",IF($M12861="PADD IV","PADD 4",IF($M12861="PADD V","PADD 5","")))))</f>
        <v/>
      </c>
      <c r="G12861" s="6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  <c r="N12861" s="6">
        <f>IF(OR($G12861="FCC",$G12861="Hydrocracker",$G12861="Reformer"),IF(COUNTIFS($D:$D,$D12861,$A:$A,$A12861,$B:$B,$B12861,$G:$G,"CDU",$J:$J,"PLANNED")&gt;0,"tied","standalone"),"")</f>
        <v/>
      </c>
    </row>
    <row r="12862" spans="6:14">
      <c r="F12862" s="6">
        <f>IF($M12862="PADD I","PADD 1",IF($M12862="PADD II","PADD 2",IF($M12862="PADD III","PADD 3",IF($M12862="PADD IV","PADD 4",IF($M12862="PADD V","PADD 5","")))))</f>
        <v/>
      </c>
      <c r="G12862" s="6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  <c r="N12862" s="6">
        <f>IF(OR($G12862="FCC",$G12862="Hydrocracker",$G12862="Reformer"),IF(COUNTIFS($D:$D,$D12862,$A:$A,$A12862,$B:$B,$B12862,$G:$G,"CDU",$J:$J,"PLANNED")&gt;0,"tied","standalone"),"")</f>
        <v/>
      </c>
    </row>
    <row r="12863" spans="6:14">
      <c r="F12863" s="6">
        <f>IF($M12863="PADD I","PADD 1",IF($M12863="PADD II","PADD 2",IF($M12863="PADD III","PADD 3",IF($M12863="PADD IV","PADD 4",IF($M12863="PADD V","PADD 5","")))))</f>
        <v/>
      </c>
      <c r="G12863" s="6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  <c r="N12863" s="6">
        <f>IF(OR($G12863="FCC",$G12863="Hydrocracker",$G12863="Reformer"),IF(COUNTIFS($D:$D,$D12863,$A:$A,$A12863,$B:$B,$B12863,$G:$G,"CDU",$J:$J,"PLANNED")&gt;0,"tied","standalone"),"")</f>
        <v/>
      </c>
    </row>
    <row r="12864" spans="6:14">
      <c r="F12864" s="6">
        <f>IF($M12864="PADD I","PADD 1",IF($M12864="PADD II","PADD 2",IF($M12864="PADD III","PADD 3",IF($M12864="PADD IV","PADD 4",IF($M12864="PADD V","PADD 5","")))))</f>
        <v/>
      </c>
      <c r="G12864" s="6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  <c r="N12864" s="6">
        <f>IF(OR($G12864="FCC",$G12864="Hydrocracker",$G12864="Reformer"),IF(COUNTIFS($D:$D,$D12864,$A:$A,$A12864,$B:$B,$B12864,$G:$G,"CDU",$J:$J,"PLANNED")&gt;0,"tied","standalone"),"")</f>
        <v/>
      </c>
    </row>
    <row r="12865" spans="6:14">
      <c r="F12865" s="6">
        <f>IF($M12865="PADD I","PADD 1",IF($M12865="PADD II","PADD 2",IF($M12865="PADD III","PADD 3",IF($M12865="PADD IV","PADD 4",IF($M12865="PADD V","PADD 5","")))))</f>
        <v/>
      </c>
      <c r="G12865" s="6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  <c r="N12865" s="6">
        <f>IF(OR($G12865="FCC",$G12865="Hydrocracker",$G12865="Reformer"),IF(COUNTIFS($D:$D,$D12865,$A:$A,$A12865,$B:$B,$B12865,$G:$G,"CDU",$J:$J,"PLANNED")&gt;0,"tied","standalone"),"")</f>
        <v/>
      </c>
    </row>
    <row r="12866" spans="6:14">
      <c r="F12866" s="6">
        <f>IF($M12866="PADD I","PADD 1",IF($M12866="PADD II","PADD 2",IF($M12866="PADD III","PADD 3",IF($M12866="PADD IV","PADD 4",IF($M12866="PADD V","PADD 5","")))))</f>
        <v/>
      </c>
      <c r="G12866" s="6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  <c r="N12866" s="6">
        <f>IF(OR($G12866="FCC",$G12866="Hydrocracker",$G12866="Reformer"),IF(COUNTIFS($D:$D,$D12866,$A:$A,$A12866,$B:$B,$B12866,$G:$G,"CDU",$J:$J,"PLANNED")&gt;0,"tied","standalone"),"")</f>
        <v/>
      </c>
    </row>
    <row r="12867" spans="6:14">
      <c r="F12867" s="6">
        <f>IF($M12867="PADD I","PADD 1",IF($M12867="PADD II","PADD 2",IF($M12867="PADD III","PADD 3",IF($M12867="PADD IV","PADD 4",IF($M12867="PADD V","PADD 5","")))))</f>
        <v/>
      </c>
      <c r="G12867" s="6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  <c r="N12867" s="6">
        <f>IF(OR($G12867="FCC",$G12867="Hydrocracker",$G12867="Reformer"),IF(COUNTIFS($D:$D,$D12867,$A:$A,$A12867,$B:$B,$B12867,$G:$G,"CDU",$J:$J,"PLANNED")&gt;0,"tied","standalone"),"")</f>
        <v/>
      </c>
    </row>
    <row r="12868" spans="6:14">
      <c r="F12868" s="6">
        <f>IF($M12868="PADD I","PADD 1",IF($M12868="PADD II","PADD 2",IF($M12868="PADD III","PADD 3",IF($M12868="PADD IV","PADD 4",IF($M12868="PADD V","PADD 5","")))))</f>
        <v/>
      </c>
      <c r="G12868" s="6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  <c r="N12868" s="6">
        <f>IF(OR($G12868="FCC",$G12868="Hydrocracker",$G12868="Reformer"),IF(COUNTIFS($D:$D,$D12868,$A:$A,$A12868,$B:$B,$B12868,$G:$G,"CDU",$J:$J,"PLANNED")&gt;0,"tied","standalone"),"")</f>
        <v/>
      </c>
    </row>
    <row r="12869" spans="6:14">
      <c r="F12869" s="6">
        <f>IF($M12869="PADD I","PADD 1",IF($M12869="PADD II","PADD 2",IF($M12869="PADD III","PADD 3",IF($M12869="PADD IV","PADD 4",IF($M12869="PADD V","PADD 5","")))))</f>
        <v/>
      </c>
      <c r="G12869" s="6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  <c r="N12869" s="6">
        <f>IF(OR($G12869="FCC",$G12869="Hydrocracker",$G12869="Reformer"),IF(COUNTIFS($D:$D,$D12869,$A:$A,$A12869,$B:$B,$B12869,$G:$G,"CDU",$J:$J,"PLANNED")&gt;0,"tied","standalone"),"")</f>
        <v/>
      </c>
    </row>
    <row r="12870" spans="6:14">
      <c r="F12870" s="6">
        <f>IF($M12870="PADD I","PADD 1",IF($M12870="PADD II","PADD 2",IF($M12870="PADD III","PADD 3",IF($M12870="PADD IV","PADD 4",IF($M12870="PADD V","PADD 5","")))))</f>
        <v/>
      </c>
      <c r="G12870" s="6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  <c r="N12870" s="6">
        <f>IF(OR($G12870="FCC",$G12870="Hydrocracker",$G12870="Reformer"),IF(COUNTIFS($D:$D,$D12870,$A:$A,$A12870,$B:$B,$B12870,$G:$G,"CDU",$J:$J,"PLANNED")&gt;0,"tied","standalone"),"")</f>
        <v/>
      </c>
    </row>
    <row r="12871" spans="6:14">
      <c r="F12871" s="6">
        <f>IF($M12871="PADD I","PADD 1",IF($M12871="PADD II","PADD 2",IF($M12871="PADD III","PADD 3",IF($M12871="PADD IV","PADD 4",IF($M12871="PADD V","PADD 5","")))))</f>
        <v/>
      </c>
      <c r="G12871" s="6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  <c r="N12871" s="6">
        <f>IF(OR($G12871="FCC",$G12871="Hydrocracker",$G12871="Reformer"),IF(COUNTIFS($D:$D,$D12871,$A:$A,$A12871,$B:$B,$B12871,$G:$G,"CDU",$J:$J,"PLANNED")&gt;0,"tied","standalone"),"")</f>
        <v/>
      </c>
    </row>
    <row r="12872" spans="6:14">
      <c r="F12872" s="6">
        <f>IF($M12872="PADD I","PADD 1",IF($M12872="PADD II","PADD 2",IF($M12872="PADD III","PADD 3",IF($M12872="PADD IV","PADD 4",IF($M12872="PADD V","PADD 5","")))))</f>
        <v/>
      </c>
      <c r="G12872" s="6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  <c r="N12872" s="6">
        <f>IF(OR($G12872="FCC",$G12872="Hydrocracker",$G12872="Reformer"),IF(COUNTIFS($D:$D,$D12872,$A:$A,$A12872,$B:$B,$B12872,$G:$G,"CDU",$J:$J,"PLANNED")&gt;0,"tied","standalone"),"")</f>
        <v/>
      </c>
    </row>
    <row r="12873" spans="6:14">
      <c r="F12873" s="6">
        <f>IF($M12873="PADD I","PADD 1",IF($M12873="PADD II","PADD 2",IF($M12873="PADD III","PADD 3",IF($M12873="PADD IV","PADD 4",IF($M12873="PADD V","PADD 5","")))))</f>
        <v/>
      </c>
      <c r="G12873" s="6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  <c r="N12873" s="6">
        <f>IF(OR($G12873="FCC",$G12873="Hydrocracker",$G12873="Reformer"),IF(COUNTIFS($D:$D,$D12873,$A:$A,$A12873,$B:$B,$B12873,$G:$G,"CDU",$J:$J,"PLANNED")&gt;0,"tied","standalone"),"")</f>
        <v/>
      </c>
    </row>
    <row r="12874" spans="6:14">
      <c r="F12874" s="6">
        <f>IF($M12874="PADD I","PADD 1",IF($M12874="PADD II","PADD 2",IF($M12874="PADD III","PADD 3",IF($M12874="PADD IV","PADD 4",IF($M12874="PADD V","PADD 5","")))))</f>
        <v/>
      </c>
      <c r="G12874" s="6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  <c r="N12874" s="6">
        <f>IF(OR($G12874="FCC",$G12874="Hydrocracker",$G12874="Reformer"),IF(COUNTIFS($D:$D,$D12874,$A:$A,$A12874,$B:$B,$B12874,$G:$G,"CDU",$J:$J,"PLANNED")&gt;0,"tied","standalone"),"")</f>
        <v/>
      </c>
    </row>
    <row r="12875" spans="6:14">
      <c r="F12875" s="6">
        <f>IF($M12875="PADD I","PADD 1",IF($M12875="PADD II","PADD 2",IF($M12875="PADD III","PADD 3",IF($M12875="PADD IV","PADD 4",IF($M12875="PADD V","PADD 5","")))))</f>
        <v/>
      </c>
      <c r="G12875" s="6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  <c r="N12875" s="6">
        <f>IF(OR($G12875="FCC",$G12875="Hydrocracker",$G12875="Reformer"),IF(COUNTIFS($D:$D,$D12875,$A:$A,$A12875,$B:$B,$B12875,$G:$G,"CDU",$J:$J,"PLANNED")&gt;0,"tied","standalone"),"")</f>
        <v/>
      </c>
    </row>
    <row r="12876" spans="6:14">
      <c r="F12876" s="6">
        <f>IF($M12876="PADD I","PADD 1",IF($M12876="PADD II","PADD 2",IF($M12876="PADD III","PADD 3",IF($M12876="PADD IV","PADD 4",IF($M12876="PADD V","PADD 5","")))))</f>
        <v/>
      </c>
      <c r="G12876" s="6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  <c r="N12876" s="6">
        <f>IF(OR($G12876="FCC",$G12876="Hydrocracker",$G12876="Reformer"),IF(COUNTIFS($D:$D,$D12876,$A:$A,$A12876,$B:$B,$B12876,$G:$G,"CDU",$J:$J,"PLANNED")&gt;0,"tied","standalone"),"")</f>
        <v/>
      </c>
    </row>
    <row r="12877" spans="6:14">
      <c r="F12877" s="6">
        <f>IF($M12877="PADD I","PADD 1",IF($M12877="PADD II","PADD 2",IF($M12877="PADD III","PADD 3",IF($M12877="PADD IV","PADD 4",IF($M12877="PADD V","PADD 5","")))))</f>
        <v/>
      </c>
      <c r="G12877" s="6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  <c r="N12877" s="6">
        <f>IF(OR($G12877="FCC",$G12877="Hydrocracker",$G12877="Reformer"),IF(COUNTIFS($D:$D,$D12877,$A:$A,$A12877,$B:$B,$B12877,$G:$G,"CDU",$J:$J,"PLANNED")&gt;0,"tied","standalone"),"")</f>
        <v/>
      </c>
    </row>
    <row r="12878" spans="6:14">
      <c r="F12878" s="6">
        <f>IF($M12878="PADD I","PADD 1",IF($M12878="PADD II","PADD 2",IF($M12878="PADD III","PADD 3",IF($M12878="PADD IV","PADD 4",IF($M12878="PADD V","PADD 5","")))))</f>
        <v/>
      </c>
      <c r="G12878" s="6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  <c r="N12878" s="6">
        <f>IF(OR($G12878="FCC",$G12878="Hydrocracker",$G12878="Reformer"),IF(COUNTIFS($D:$D,$D12878,$A:$A,$A12878,$B:$B,$B12878,$G:$G,"CDU",$J:$J,"PLANNED")&gt;0,"tied","standalone"),"")</f>
        <v/>
      </c>
    </row>
    <row r="12879" spans="6:14">
      <c r="F12879" s="6">
        <f>IF($M12879="PADD I","PADD 1",IF($M12879="PADD II","PADD 2",IF($M12879="PADD III","PADD 3",IF($M12879="PADD IV","PADD 4",IF($M12879="PADD V","PADD 5","")))))</f>
        <v/>
      </c>
      <c r="G12879" s="6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  <c r="N12879" s="6">
        <f>IF(OR($G12879="FCC",$G12879="Hydrocracker",$G12879="Reformer"),IF(COUNTIFS($D:$D,$D12879,$A:$A,$A12879,$B:$B,$B12879,$G:$G,"CDU",$J:$J,"PLANNED")&gt;0,"tied","standalone"),"")</f>
        <v/>
      </c>
    </row>
    <row r="12880" spans="6:14">
      <c r="F12880" s="6">
        <f>IF($M12880="PADD I","PADD 1",IF($M12880="PADD II","PADD 2",IF($M12880="PADD III","PADD 3",IF($M12880="PADD IV","PADD 4",IF($M12880="PADD V","PADD 5","")))))</f>
        <v/>
      </c>
      <c r="G12880" s="6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  <c r="N12880" s="6">
        <f>IF(OR($G12880="FCC",$G12880="Hydrocracker",$G12880="Reformer"),IF(COUNTIFS($D:$D,$D12880,$A:$A,$A12880,$B:$B,$B12880,$G:$G,"CDU",$J:$J,"PLANNED")&gt;0,"tied","standalone"),"")</f>
        <v/>
      </c>
    </row>
    <row r="12881" spans="6:14">
      <c r="F12881" s="6">
        <f>IF($M12881="PADD I","PADD 1",IF($M12881="PADD II","PADD 2",IF($M12881="PADD III","PADD 3",IF($M12881="PADD IV","PADD 4",IF($M12881="PADD V","PADD 5","")))))</f>
        <v/>
      </c>
      <c r="G12881" s="6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  <c r="N12881" s="6">
        <f>IF(OR($G12881="FCC",$G12881="Hydrocracker",$G12881="Reformer"),IF(COUNTIFS($D:$D,$D12881,$A:$A,$A12881,$B:$B,$B12881,$G:$G,"CDU",$J:$J,"PLANNED")&gt;0,"tied","standalone"),"")</f>
        <v/>
      </c>
    </row>
    <row r="12882" spans="6:14">
      <c r="F12882" s="6">
        <f>IF($M12882="PADD I","PADD 1",IF($M12882="PADD II","PADD 2",IF($M12882="PADD III","PADD 3",IF($M12882="PADD IV","PADD 4",IF($M12882="PADD V","PADD 5","")))))</f>
        <v/>
      </c>
      <c r="G12882" s="6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  <c r="N12882" s="6">
        <f>IF(OR($G12882="FCC",$G12882="Hydrocracker",$G12882="Reformer"),IF(COUNTIFS($D:$D,$D12882,$A:$A,$A12882,$B:$B,$B12882,$G:$G,"CDU",$J:$J,"PLANNED")&gt;0,"tied","standalone"),"")</f>
        <v/>
      </c>
    </row>
    <row r="12883" spans="6:14">
      <c r="F12883" s="6">
        <f>IF($M12883="PADD I","PADD 1",IF($M12883="PADD II","PADD 2",IF($M12883="PADD III","PADD 3",IF($M12883="PADD IV","PADD 4",IF($M12883="PADD V","PADD 5","")))))</f>
        <v/>
      </c>
      <c r="G12883" s="6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  <c r="N12883" s="6">
        <f>IF(OR($G12883="FCC",$G12883="Hydrocracker",$G12883="Reformer"),IF(COUNTIFS($D:$D,$D12883,$A:$A,$A12883,$B:$B,$B12883,$G:$G,"CDU",$J:$J,"PLANNED")&gt;0,"tied","standalone"),"")</f>
        <v/>
      </c>
    </row>
    <row r="12884" spans="6:14">
      <c r="F12884" s="6">
        <f>IF($M12884="PADD I","PADD 1",IF($M12884="PADD II","PADD 2",IF($M12884="PADD III","PADD 3",IF($M12884="PADD IV","PADD 4",IF($M12884="PADD V","PADD 5","")))))</f>
        <v/>
      </c>
      <c r="G12884" s="6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  <c r="N12884" s="6">
        <f>IF(OR($G12884="FCC",$G12884="Hydrocracker",$G12884="Reformer"),IF(COUNTIFS($D:$D,$D12884,$A:$A,$A12884,$B:$B,$B12884,$G:$G,"CDU",$J:$J,"PLANNED")&gt;0,"tied","standalone"),"")</f>
        <v/>
      </c>
    </row>
    <row r="12885" spans="6:14">
      <c r="F12885" s="6">
        <f>IF($M12885="PADD I","PADD 1",IF($M12885="PADD II","PADD 2",IF($M12885="PADD III","PADD 3",IF($M12885="PADD IV","PADD 4",IF($M12885="PADD V","PADD 5","")))))</f>
        <v/>
      </c>
      <c r="G12885" s="6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  <c r="N12885" s="6">
        <f>IF(OR($G12885="FCC",$G12885="Hydrocracker",$G12885="Reformer"),IF(COUNTIFS($D:$D,$D12885,$A:$A,$A12885,$B:$B,$B12885,$G:$G,"CDU",$J:$J,"PLANNED")&gt;0,"tied","standalone"),"")</f>
        <v/>
      </c>
    </row>
    <row r="12886" spans="6:14">
      <c r="F12886" s="6">
        <f>IF($M12886="PADD I","PADD 1",IF($M12886="PADD II","PADD 2",IF($M12886="PADD III","PADD 3",IF($M12886="PADD IV","PADD 4",IF($M12886="PADD V","PADD 5","")))))</f>
        <v/>
      </c>
      <c r="G12886" s="6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  <c r="N12886" s="6">
        <f>IF(OR($G12886="FCC",$G12886="Hydrocracker",$G12886="Reformer"),IF(COUNTIFS($D:$D,$D12886,$A:$A,$A12886,$B:$B,$B12886,$G:$G,"CDU",$J:$J,"PLANNED")&gt;0,"tied","standalone"),"")</f>
        <v/>
      </c>
    </row>
    <row r="12887" spans="6:14">
      <c r="F12887" s="6">
        <f>IF($M12887="PADD I","PADD 1",IF($M12887="PADD II","PADD 2",IF($M12887="PADD III","PADD 3",IF($M12887="PADD IV","PADD 4",IF($M12887="PADD V","PADD 5","")))))</f>
        <v/>
      </c>
      <c r="G12887" s="6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  <c r="N12887" s="6">
        <f>IF(OR($G12887="FCC",$G12887="Hydrocracker",$G12887="Reformer"),IF(COUNTIFS($D:$D,$D12887,$A:$A,$A12887,$B:$B,$B12887,$G:$G,"CDU",$J:$J,"PLANNED")&gt;0,"tied","standalone"),"")</f>
        <v/>
      </c>
    </row>
    <row r="12888" spans="6:14">
      <c r="F12888" s="6">
        <f>IF($M12888="PADD I","PADD 1",IF($M12888="PADD II","PADD 2",IF($M12888="PADD III","PADD 3",IF($M12888="PADD IV","PADD 4",IF($M12888="PADD V","PADD 5","")))))</f>
        <v/>
      </c>
      <c r="G12888" s="6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  <c r="N12888" s="6">
        <f>IF(OR($G12888="FCC",$G12888="Hydrocracker",$G12888="Reformer"),IF(COUNTIFS($D:$D,$D12888,$A:$A,$A12888,$B:$B,$B12888,$G:$G,"CDU",$J:$J,"PLANNED")&gt;0,"tied","standalone"),"")</f>
        <v/>
      </c>
    </row>
    <row r="12889" spans="6:14">
      <c r="F12889" s="6">
        <f>IF($M12889="PADD I","PADD 1",IF($M12889="PADD II","PADD 2",IF($M12889="PADD III","PADD 3",IF($M12889="PADD IV","PADD 4",IF($M12889="PADD V","PADD 5","")))))</f>
        <v/>
      </c>
      <c r="G12889" s="6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  <c r="N12889" s="6">
        <f>IF(OR($G12889="FCC",$G12889="Hydrocracker",$G12889="Reformer"),IF(COUNTIFS($D:$D,$D12889,$A:$A,$A12889,$B:$B,$B12889,$G:$G,"CDU",$J:$J,"PLANNED")&gt;0,"tied","standalone"),"")</f>
        <v/>
      </c>
    </row>
    <row r="12890" spans="6:14">
      <c r="F12890" s="6">
        <f>IF($M12890="PADD I","PADD 1",IF($M12890="PADD II","PADD 2",IF($M12890="PADD III","PADD 3",IF($M12890="PADD IV","PADD 4",IF($M12890="PADD V","PADD 5","")))))</f>
        <v/>
      </c>
      <c r="G12890" s="6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  <c r="N12890" s="6">
        <f>IF(OR($G12890="FCC",$G12890="Hydrocracker",$G12890="Reformer"),IF(COUNTIFS($D:$D,$D12890,$A:$A,$A12890,$B:$B,$B12890,$G:$G,"CDU",$J:$J,"PLANNED")&gt;0,"tied","standalone"),"")</f>
        <v/>
      </c>
    </row>
    <row r="12891" spans="6:14">
      <c r="F12891" s="6">
        <f>IF($M12891="PADD I","PADD 1",IF($M12891="PADD II","PADD 2",IF($M12891="PADD III","PADD 3",IF($M12891="PADD IV","PADD 4",IF($M12891="PADD V","PADD 5","")))))</f>
        <v/>
      </c>
      <c r="G12891" s="6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  <c r="N12891" s="6">
        <f>IF(OR($G12891="FCC",$G12891="Hydrocracker",$G12891="Reformer"),IF(COUNTIFS($D:$D,$D12891,$A:$A,$A12891,$B:$B,$B12891,$G:$G,"CDU",$J:$J,"PLANNED")&gt;0,"tied","standalone"),"")</f>
        <v/>
      </c>
    </row>
    <row r="12892" spans="6:14">
      <c r="F12892" s="6">
        <f>IF($M12892="PADD I","PADD 1",IF($M12892="PADD II","PADD 2",IF($M12892="PADD III","PADD 3",IF($M12892="PADD IV","PADD 4",IF($M12892="PADD V","PADD 5","")))))</f>
        <v/>
      </c>
      <c r="G12892" s="6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  <c r="N12892" s="6">
        <f>IF(OR($G12892="FCC",$G12892="Hydrocracker",$G12892="Reformer"),IF(COUNTIFS($D:$D,$D12892,$A:$A,$A12892,$B:$B,$B12892,$G:$G,"CDU",$J:$J,"PLANNED")&gt;0,"tied","standalone"),"")</f>
        <v/>
      </c>
    </row>
    <row r="12893" spans="6:14">
      <c r="F12893" s="6">
        <f>IF($M12893="PADD I","PADD 1",IF($M12893="PADD II","PADD 2",IF($M12893="PADD III","PADD 3",IF($M12893="PADD IV","PADD 4",IF($M12893="PADD V","PADD 5","")))))</f>
        <v/>
      </c>
      <c r="G12893" s="6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  <c r="N12893" s="6">
        <f>IF(OR($G12893="FCC",$G12893="Hydrocracker",$G12893="Reformer"),IF(COUNTIFS($D:$D,$D12893,$A:$A,$A12893,$B:$B,$B12893,$G:$G,"CDU",$J:$J,"PLANNED")&gt;0,"tied","standalone"),"")</f>
        <v/>
      </c>
    </row>
    <row r="12894" spans="6:14">
      <c r="F12894" s="6">
        <f>IF($M12894="PADD I","PADD 1",IF($M12894="PADD II","PADD 2",IF($M12894="PADD III","PADD 3",IF($M12894="PADD IV","PADD 4",IF($M12894="PADD V","PADD 5","")))))</f>
        <v/>
      </c>
      <c r="G12894" s="6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  <c r="N12894" s="6">
        <f>IF(OR($G12894="FCC",$G12894="Hydrocracker",$G12894="Reformer"),IF(COUNTIFS($D:$D,$D12894,$A:$A,$A12894,$B:$B,$B12894,$G:$G,"CDU",$J:$J,"PLANNED")&gt;0,"tied","standalone"),"")</f>
        <v/>
      </c>
    </row>
    <row r="12895" spans="6:14">
      <c r="F12895" s="6">
        <f>IF($M12895="PADD I","PADD 1",IF($M12895="PADD II","PADD 2",IF($M12895="PADD III","PADD 3",IF($M12895="PADD IV","PADD 4",IF($M12895="PADD V","PADD 5","")))))</f>
        <v/>
      </c>
      <c r="G12895" s="6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  <c r="N12895" s="6">
        <f>IF(OR($G12895="FCC",$G12895="Hydrocracker",$G12895="Reformer"),IF(COUNTIFS($D:$D,$D12895,$A:$A,$A12895,$B:$B,$B12895,$G:$G,"CDU",$J:$J,"PLANNED")&gt;0,"tied","standalone"),"")</f>
        <v/>
      </c>
    </row>
    <row r="12896" spans="6:14">
      <c r="F12896" s="6">
        <f>IF($M12896="PADD I","PADD 1",IF($M12896="PADD II","PADD 2",IF($M12896="PADD III","PADD 3",IF($M12896="PADD IV","PADD 4",IF($M12896="PADD V","PADD 5","")))))</f>
        <v/>
      </c>
      <c r="G12896" s="6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  <c r="N12896" s="6">
        <f>IF(OR($G12896="FCC",$G12896="Hydrocracker",$G12896="Reformer"),IF(COUNTIFS($D:$D,$D12896,$A:$A,$A12896,$B:$B,$B12896,$G:$G,"CDU",$J:$J,"PLANNED")&gt;0,"tied","standalone"),"")</f>
        <v/>
      </c>
    </row>
    <row r="12897" spans="6:14">
      <c r="F12897" s="6">
        <f>IF($M12897="PADD I","PADD 1",IF($M12897="PADD II","PADD 2",IF($M12897="PADD III","PADD 3",IF($M12897="PADD IV","PADD 4",IF($M12897="PADD V","PADD 5","")))))</f>
        <v/>
      </c>
      <c r="G12897" s="6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  <c r="N12897" s="6">
        <f>IF(OR($G12897="FCC",$G12897="Hydrocracker",$G12897="Reformer"),IF(COUNTIFS($D:$D,$D12897,$A:$A,$A12897,$B:$B,$B12897,$G:$G,"CDU",$J:$J,"PLANNED")&gt;0,"tied","standalone"),"")</f>
        <v/>
      </c>
    </row>
    <row r="12898" spans="6:14">
      <c r="F12898" s="6">
        <f>IF($M12898="PADD I","PADD 1",IF($M12898="PADD II","PADD 2",IF($M12898="PADD III","PADD 3",IF($M12898="PADD IV","PADD 4",IF($M12898="PADD V","PADD 5","")))))</f>
        <v/>
      </c>
      <c r="G12898" s="6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  <c r="N12898" s="6">
        <f>IF(OR($G12898="FCC",$G12898="Hydrocracker",$G12898="Reformer"),IF(COUNTIFS($D:$D,$D12898,$A:$A,$A12898,$B:$B,$B12898,$G:$G,"CDU",$J:$J,"PLANNED")&gt;0,"tied","standalone"),"")</f>
        <v/>
      </c>
    </row>
    <row r="12899" spans="6:14">
      <c r="F12899" s="6">
        <f>IF($M12899="PADD I","PADD 1",IF($M12899="PADD II","PADD 2",IF($M12899="PADD III","PADD 3",IF($M12899="PADD IV","PADD 4",IF($M12899="PADD V","PADD 5","")))))</f>
        <v/>
      </c>
      <c r="G12899" s="6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  <c r="N12899" s="6">
        <f>IF(OR($G12899="FCC",$G12899="Hydrocracker",$G12899="Reformer"),IF(COUNTIFS($D:$D,$D12899,$A:$A,$A12899,$B:$B,$B12899,$G:$G,"CDU",$J:$J,"PLANNED")&gt;0,"tied","standalone"),"")</f>
        <v/>
      </c>
    </row>
    <row r="12900" spans="6:14">
      <c r="F12900" s="6">
        <f>IF($M12900="PADD I","PADD 1",IF($M12900="PADD II","PADD 2",IF($M12900="PADD III","PADD 3",IF($M12900="PADD IV","PADD 4",IF($M12900="PADD V","PADD 5","")))))</f>
        <v/>
      </c>
      <c r="G12900" s="6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  <c r="N12900" s="6">
        <f>IF(OR($G12900="FCC",$G12900="Hydrocracker",$G12900="Reformer"),IF(COUNTIFS($D:$D,$D12900,$A:$A,$A12900,$B:$B,$B12900,$G:$G,"CDU",$J:$J,"PLANNED")&gt;0,"tied","standalone"),"")</f>
        <v/>
      </c>
    </row>
    <row r="12901" spans="6:14">
      <c r="F12901" s="6">
        <f>IF($M12901="PADD I","PADD 1",IF($M12901="PADD II","PADD 2",IF($M12901="PADD III","PADD 3",IF($M12901="PADD IV","PADD 4",IF($M12901="PADD V","PADD 5","")))))</f>
        <v/>
      </c>
      <c r="G12901" s="6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  <c r="N12901" s="6">
        <f>IF(OR($G12901="FCC",$G12901="Hydrocracker",$G12901="Reformer"),IF(COUNTIFS($D:$D,$D12901,$A:$A,$A12901,$B:$B,$B12901,$G:$G,"CDU",$J:$J,"PLANNED")&gt;0,"tied","standalone"),"")</f>
        <v/>
      </c>
    </row>
    <row r="12902" spans="6:14">
      <c r="F12902" s="6">
        <f>IF($M12902="PADD I","PADD 1",IF($M12902="PADD II","PADD 2",IF($M12902="PADD III","PADD 3",IF($M12902="PADD IV","PADD 4",IF($M12902="PADD V","PADD 5","")))))</f>
        <v/>
      </c>
      <c r="G12902" s="6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  <c r="N12902" s="6">
        <f>IF(OR($G12902="FCC",$G12902="Hydrocracker",$G12902="Reformer"),IF(COUNTIFS($D:$D,$D12902,$A:$A,$A12902,$B:$B,$B12902,$G:$G,"CDU",$J:$J,"PLANNED")&gt;0,"tied","standalone"),"")</f>
        <v/>
      </c>
    </row>
    <row r="12903" spans="6:14">
      <c r="F12903" s="6">
        <f>IF($M12903="PADD I","PADD 1",IF($M12903="PADD II","PADD 2",IF($M12903="PADD III","PADD 3",IF($M12903="PADD IV","PADD 4",IF($M12903="PADD V","PADD 5","")))))</f>
        <v/>
      </c>
      <c r="G12903" s="6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  <c r="N12903" s="6">
        <f>IF(OR($G12903="FCC",$G12903="Hydrocracker",$G12903="Reformer"),IF(COUNTIFS($D:$D,$D12903,$A:$A,$A12903,$B:$B,$B12903,$G:$G,"CDU",$J:$J,"PLANNED")&gt;0,"tied","standalone"),"")</f>
        <v/>
      </c>
    </row>
    <row r="12904" spans="6:14">
      <c r="F12904" s="6">
        <f>IF($M12904="PADD I","PADD 1",IF($M12904="PADD II","PADD 2",IF($M12904="PADD III","PADD 3",IF($M12904="PADD IV","PADD 4",IF($M12904="PADD V","PADD 5","")))))</f>
        <v/>
      </c>
      <c r="G12904" s="6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  <c r="N12904" s="6">
        <f>IF(OR($G12904="FCC",$G12904="Hydrocracker",$G12904="Reformer"),IF(COUNTIFS($D:$D,$D12904,$A:$A,$A12904,$B:$B,$B12904,$G:$G,"CDU",$J:$J,"PLANNED")&gt;0,"tied","standalone"),"")</f>
        <v/>
      </c>
    </row>
    <row r="12905" spans="6:14">
      <c r="F12905" s="6">
        <f>IF($M12905="PADD I","PADD 1",IF($M12905="PADD II","PADD 2",IF($M12905="PADD III","PADD 3",IF($M12905="PADD IV","PADD 4",IF($M12905="PADD V","PADD 5","")))))</f>
        <v/>
      </c>
      <c r="G12905" s="6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  <c r="N12905" s="6">
        <f>IF(OR($G12905="FCC",$G12905="Hydrocracker",$G12905="Reformer"),IF(COUNTIFS($D:$D,$D12905,$A:$A,$A12905,$B:$B,$B12905,$G:$G,"CDU",$J:$J,"PLANNED")&gt;0,"tied","standalone"),"")</f>
        <v/>
      </c>
    </row>
    <row r="12906" spans="6:14">
      <c r="F12906" s="6">
        <f>IF($M12906="PADD I","PADD 1",IF($M12906="PADD II","PADD 2",IF($M12906="PADD III","PADD 3",IF($M12906="PADD IV","PADD 4",IF($M12906="PADD V","PADD 5","")))))</f>
        <v/>
      </c>
      <c r="G12906" s="6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  <c r="N12906" s="6">
        <f>IF(OR($G12906="FCC",$G12906="Hydrocracker",$G12906="Reformer"),IF(COUNTIFS($D:$D,$D12906,$A:$A,$A12906,$B:$B,$B12906,$G:$G,"CDU",$J:$J,"PLANNED")&gt;0,"tied","standalone"),"")</f>
        <v/>
      </c>
    </row>
    <row r="12907" spans="6:14">
      <c r="F12907" s="6">
        <f>IF($M12907="PADD I","PADD 1",IF($M12907="PADD II","PADD 2",IF($M12907="PADD III","PADD 3",IF($M12907="PADD IV","PADD 4",IF($M12907="PADD V","PADD 5","")))))</f>
        <v/>
      </c>
      <c r="G12907" s="6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  <c r="N12907" s="6">
        <f>IF(OR($G12907="FCC",$G12907="Hydrocracker",$G12907="Reformer"),IF(COUNTIFS($D:$D,$D12907,$A:$A,$A12907,$B:$B,$B12907,$G:$G,"CDU",$J:$J,"PLANNED")&gt;0,"tied","standalone"),"")</f>
        <v/>
      </c>
    </row>
    <row r="12908" spans="6:14">
      <c r="F12908" s="6">
        <f>IF($M12908="PADD I","PADD 1",IF($M12908="PADD II","PADD 2",IF($M12908="PADD III","PADD 3",IF($M12908="PADD IV","PADD 4",IF($M12908="PADD V","PADD 5","")))))</f>
        <v/>
      </c>
      <c r="G12908" s="6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  <c r="N12908" s="6">
        <f>IF(OR($G12908="FCC",$G12908="Hydrocracker",$G12908="Reformer"),IF(COUNTIFS($D:$D,$D12908,$A:$A,$A12908,$B:$B,$B12908,$G:$G,"CDU",$J:$J,"PLANNED")&gt;0,"tied","standalone"),"")</f>
        <v/>
      </c>
    </row>
    <row r="12909" spans="6:14">
      <c r="F12909" s="6">
        <f>IF($M12909="PADD I","PADD 1",IF($M12909="PADD II","PADD 2",IF($M12909="PADD III","PADD 3",IF($M12909="PADD IV","PADD 4",IF($M12909="PADD V","PADD 5","")))))</f>
        <v/>
      </c>
      <c r="G12909" s="6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  <c r="N12909" s="6">
        <f>IF(OR($G12909="FCC",$G12909="Hydrocracker",$G12909="Reformer"),IF(COUNTIFS($D:$D,$D12909,$A:$A,$A12909,$B:$B,$B12909,$G:$G,"CDU",$J:$J,"PLANNED")&gt;0,"tied","standalone"),"")</f>
        <v/>
      </c>
    </row>
    <row r="12910" spans="6:14">
      <c r="F12910" s="6">
        <f>IF($M12910="PADD I","PADD 1",IF($M12910="PADD II","PADD 2",IF($M12910="PADD III","PADD 3",IF($M12910="PADD IV","PADD 4",IF($M12910="PADD V","PADD 5","")))))</f>
        <v/>
      </c>
      <c r="G12910" s="6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  <c r="N12910" s="6">
        <f>IF(OR($G12910="FCC",$G12910="Hydrocracker",$G12910="Reformer"),IF(COUNTIFS($D:$D,$D12910,$A:$A,$A12910,$B:$B,$B12910,$G:$G,"CDU",$J:$J,"PLANNED")&gt;0,"tied","standalone"),"")</f>
        <v/>
      </c>
    </row>
    <row r="12911" spans="6:14">
      <c r="F12911" s="6">
        <f>IF($M12911="PADD I","PADD 1",IF($M12911="PADD II","PADD 2",IF($M12911="PADD III","PADD 3",IF($M12911="PADD IV","PADD 4",IF($M12911="PADD V","PADD 5","")))))</f>
        <v/>
      </c>
      <c r="G12911" s="6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  <c r="N12911" s="6">
        <f>IF(OR($G12911="FCC",$G12911="Hydrocracker",$G12911="Reformer"),IF(COUNTIFS($D:$D,$D12911,$A:$A,$A12911,$B:$B,$B12911,$G:$G,"CDU",$J:$J,"PLANNED")&gt;0,"tied","standalone"),"")</f>
        <v/>
      </c>
    </row>
    <row r="12912" spans="6:14">
      <c r="F12912" s="6">
        <f>IF($M12912="PADD I","PADD 1",IF($M12912="PADD II","PADD 2",IF($M12912="PADD III","PADD 3",IF($M12912="PADD IV","PADD 4",IF($M12912="PADD V","PADD 5","")))))</f>
        <v/>
      </c>
      <c r="G12912" s="6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  <c r="N12912" s="6">
        <f>IF(OR($G12912="FCC",$G12912="Hydrocracker",$G12912="Reformer"),IF(COUNTIFS($D:$D,$D12912,$A:$A,$A12912,$B:$B,$B12912,$G:$G,"CDU",$J:$J,"PLANNED")&gt;0,"tied","standalone"),"")</f>
        <v/>
      </c>
    </row>
    <row r="12913" spans="6:14">
      <c r="F12913" s="6">
        <f>IF($M12913="PADD I","PADD 1",IF($M12913="PADD II","PADD 2",IF($M12913="PADD III","PADD 3",IF($M12913="PADD IV","PADD 4",IF($M12913="PADD V","PADD 5","")))))</f>
        <v/>
      </c>
      <c r="G12913" s="6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  <c r="N12913" s="6">
        <f>IF(OR($G12913="FCC",$G12913="Hydrocracker",$G12913="Reformer"),IF(COUNTIFS($D:$D,$D12913,$A:$A,$A12913,$B:$B,$B12913,$G:$G,"CDU",$J:$J,"PLANNED")&gt;0,"tied","standalone"),"")</f>
        <v/>
      </c>
    </row>
    <row r="12914" spans="6:14">
      <c r="F12914" s="6">
        <f>IF($M12914="PADD I","PADD 1",IF($M12914="PADD II","PADD 2",IF($M12914="PADD III","PADD 3",IF($M12914="PADD IV","PADD 4",IF($M12914="PADD V","PADD 5","")))))</f>
        <v/>
      </c>
      <c r="G12914" s="6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  <c r="N12914" s="6">
        <f>IF(OR($G12914="FCC",$G12914="Hydrocracker",$G12914="Reformer"),IF(COUNTIFS($D:$D,$D12914,$A:$A,$A12914,$B:$B,$B12914,$G:$G,"CDU",$J:$J,"PLANNED")&gt;0,"tied","standalone"),"")</f>
        <v/>
      </c>
    </row>
    <row r="12915" spans="6:14">
      <c r="F12915" s="6">
        <f>IF($M12915="PADD I","PADD 1",IF($M12915="PADD II","PADD 2",IF($M12915="PADD III","PADD 3",IF($M12915="PADD IV","PADD 4",IF($M12915="PADD V","PADD 5","")))))</f>
        <v/>
      </c>
      <c r="G12915" s="6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  <c r="N12915" s="6">
        <f>IF(OR($G12915="FCC",$G12915="Hydrocracker",$G12915="Reformer"),IF(COUNTIFS($D:$D,$D12915,$A:$A,$A12915,$B:$B,$B12915,$G:$G,"CDU",$J:$J,"PLANNED")&gt;0,"tied","standalone"),"")</f>
        <v/>
      </c>
    </row>
    <row r="12916" spans="6:14">
      <c r="F12916" s="6">
        <f>IF($M12916="PADD I","PADD 1",IF($M12916="PADD II","PADD 2",IF($M12916="PADD III","PADD 3",IF($M12916="PADD IV","PADD 4",IF($M12916="PADD V","PADD 5","")))))</f>
        <v/>
      </c>
      <c r="G12916" s="6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  <c r="N12916" s="6">
        <f>IF(OR($G12916="FCC",$G12916="Hydrocracker",$G12916="Reformer"),IF(COUNTIFS($D:$D,$D12916,$A:$A,$A12916,$B:$B,$B12916,$G:$G,"CDU",$J:$J,"PLANNED")&gt;0,"tied","standalone"),"")</f>
        <v/>
      </c>
    </row>
    <row r="12917" spans="6:14">
      <c r="F12917" s="6">
        <f>IF($M12917="PADD I","PADD 1",IF($M12917="PADD II","PADD 2",IF($M12917="PADD III","PADD 3",IF($M12917="PADD IV","PADD 4",IF($M12917="PADD V","PADD 5","")))))</f>
        <v/>
      </c>
      <c r="G12917" s="6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  <c r="N12917" s="6">
        <f>IF(OR($G12917="FCC",$G12917="Hydrocracker",$G12917="Reformer"),IF(COUNTIFS($D:$D,$D12917,$A:$A,$A12917,$B:$B,$B12917,$G:$G,"CDU",$J:$J,"PLANNED")&gt;0,"tied","standalone"),"")</f>
        <v/>
      </c>
    </row>
    <row r="12918" spans="6:14">
      <c r="F12918" s="6">
        <f>IF($M12918="PADD I","PADD 1",IF($M12918="PADD II","PADD 2",IF($M12918="PADD III","PADD 3",IF($M12918="PADD IV","PADD 4",IF($M12918="PADD V","PADD 5","")))))</f>
        <v/>
      </c>
      <c r="G12918" s="6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  <c r="N12918" s="6">
        <f>IF(OR($G12918="FCC",$G12918="Hydrocracker",$G12918="Reformer"),IF(COUNTIFS($D:$D,$D12918,$A:$A,$A12918,$B:$B,$B12918,$G:$G,"CDU",$J:$J,"PLANNED")&gt;0,"tied","standalone"),"")</f>
        <v/>
      </c>
    </row>
    <row r="12919" spans="6:14">
      <c r="F12919" s="6">
        <f>IF($M12919="PADD I","PADD 1",IF($M12919="PADD II","PADD 2",IF($M12919="PADD III","PADD 3",IF($M12919="PADD IV","PADD 4",IF($M12919="PADD V","PADD 5","")))))</f>
        <v/>
      </c>
      <c r="G12919" s="6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  <c r="N12919" s="6">
        <f>IF(OR($G12919="FCC",$G12919="Hydrocracker",$G12919="Reformer"),IF(COUNTIFS($D:$D,$D12919,$A:$A,$A12919,$B:$B,$B12919,$G:$G,"CDU",$J:$J,"PLANNED")&gt;0,"tied","standalone"),"")</f>
        <v/>
      </c>
    </row>
    <row r="12920" spans="6:14">
      <c r="F12920" s="6">
        <f>IF($M12920="PADD I","PADD 1",IF($M12920="PADD II","PADD 2",IF($M12920="PADD III","PADD 3",IF($M12920="PADD IV","PADD 4",IF($M12920="PADD V","PADD 5","")))))</f>
        <v/>
      </c>
      <c r="G12920" s="6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  <c r="N12920" s="6">
        <f>IF(OR($G12920="FCC",$G12920="Hydrocracker",$G12920="Reformer"),IF(COUNTIFS($D:$D,$D12920,$A:$A,$A12920,$B:$B,$B12920,$G:$G,"CDU",$J:$J,"PLANNED")&gt;0,"tied","standalone"),"")</f>
        <v/>
      </c>
    </row>
    <row r="12921" spans="6:14">
      <c r="F12921" s="6">
        <f>IF($M12921="PADD I","PADD 1",IF($M12921="PADD II","PADD 2",IF($M12921="PADD III","PADD 3",IF($M12921="PADD IV","PADD 4",IF($M12921="PADD V","PADD 5","")))))</f>
        <v/>
      </c>
      <c r="G12921" s="6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  <c r="N12921" s="6">
        <f>IF(OR($G12921="FCC",$G12921="Hydrocracker",$G12921="Reformer"),IF(COUNTIFS($D:$D,$D12921,$A:$A,$A12921,$B:$B,$B12921,$G:$G,"CDU",$J:$J,"PLANNED")&gt;0,"tied","standalone"),"")</f>
        <v/>
      </c>
    </row>
    <row r="12922" spans="6:14">
      <c r="F12922" s="6">
        <f>IF($M12922="PADD I","PADD 1",IF($M12922="PADD II","PADD 2",IF($M12922="PADD III","PADD 3",IF($M12922="PADD IV","PADD 4",IF($M12922="PADD V","PADD 5","")))))</f>
        <v/>
      </c>
      <c r="G12922" s="6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  <c r="N12922" s="6">
        <f>IF(OR($G12922="FCC",$G12922="Hydrocracker",$G12922="Reformer"),IF(COUNTIFS($D:$D,$D12922,$A:$A,$A12922,$B:$B,$B12922,$G:$G,"CDU",$J:$J,"PLANNED")&gt;0,"tied","standalone"),"")</f>
        <v/>
      </c>
    </row>
    <row r="12923" spans="6:14">
      <c r="F12923" s="6">
        <f>IF($M12923="PADD I","PADD 1",IF($M12923="PADD II","PADD 2",IF($M12923="PADD III","PADD 3",IF($M12923="PADD IV","PADD 4",IF($M12923="PADD V","PADD 5","")))))</f>
        <v/>
      </c>
      <c r="G12923" s="6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  <c r="N12923" s="6">
        <f>IF(OR($G12923="FCC",$G12923="Hydrocracker",$G12923="Reformer"),IF(COUNTIFS($D:$D,$D12923,$A:$A,$A12923,$B:$B,$B12923,$G:$G,"CDU",$J:$J,"PLANNED")&gt;0,"tied","standalone"),"")</f>
        <v/>
      </c>
    </row>
    <row r="12924" spans="6:14">
      <c r="F12924" s="6">
        <f>IF($M12924="PADD I","PADD 1",IF($M12924="PADD II","PADD 2",IF($M12924="PADD III","PADD 3",IF($M12924="PADD IV","PADD 4",IF($M12924="PADD V","PADD 5","")))))</f>
        <v/>
      </c>
      <c r="G12924" s="6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  <c r="N12924" s="6">
        <f>IF(OR($G12924="FCC",$G12924="Hydrocracker",$G12924="Reformer"),IF(COUNTIFS($D:$D,$D12924,$A:$A,$A12924,$B:$B,$B12924,$G:$G,"CDU",$J:$J,"PLANNED")&gt;0,"tied","standalone"),"")</f>
        <v/>
      </c>
    </row>
    <row r="12925" spans="6:14">
      <c r="F12925" s="6">
        <f>IF($M12925="PADD I","PADD 1",IF($M12925="PADD II","PADD 2",IF($M12925="PADD III","PADD 3",IF($M12925="PADD IV","PADD 4",IF($M12925="PADD V","PADD 5","")))))</f>
        <v/>
      </c>
      <c r="G12925" s="6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  <c r="N12925" s="6">
        <f>IF(OR($G12925="FCC",$G12925="Hydrocracker",$G12925="Reformer"),IF(COUNTIFS($D:$D,$D12925,$A:$A,$A12925,$B:$B,$B12925,$G:$G,"CDU",$J:$J,"PLANNED")&gt;0,"tied","standalone"),"")</f>
        <v/>
      </c>
    </row>
    <row r="12926" spans="6:14">
      <c r="F12926" s="6">
        <f>IF($M12926="PADD I","PADD 1",IF($M12926="PADD II","PADD 2",IF($M12926="PADD III","PADD 3",IF($M12926="PADD IV","PADD 4",IF($M12926="PADD V","PADD 5","")))))</f>
        <v/>
      </c>
      <c r="G12926" s="6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  <c r="N12926" s="6">
        <f>IF(OR($G12926="FCC",$G12926="Hydrocracker",$G12926="Reformer"),IF(COUNTIFS($D:$D,$D12926,$A:$A,$A12926,$B:$B,$B12926,$G:$G,"CDU",$J:$J,"PLANNED")&gt;0,"tied","standalone"),"")</f>
        <v/>
      </c>
    </row>
    <row r="12927" spans="6:14">
      <c r="F12927" s="6">
        <f>IF($M12927="PADD I","PADD 1",IF($M12927="PADD II","PADD 2",IF($M12927="PADD III","PADD 3",IF($M12927="PADD IV","PADD 4",IF($M12927="PADD V","PADD 5","")))))</f>
        <v/>
      </c>
      <c r="G12927" s="6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  <c r="N12927" s="6">
        <f>IF(OR($G12927="FCC",$G12927="Hydrocracker",$G12927="Reformer"),IF(COUNTIFS($D:$D,$D12927,$A:$A,$A12927,$B:$B,$B12927,$G:$G,"CDU",$J:$J,"PLANNED")&gt;0,"tied","standalone"),"")</f>
        <v/>
      </c>
    </row>
    <row r="12928" spans="6:14">
      <c r="F12928" s="6">
        <f>IF($M12928="PADD I","PADD 1",IF($M12928="PADD II","PADD 2",IF($M12928="PADD III","PADD 3",IF($M12928="PADD IV","PADD 4",IF($M12928="PADD V","PADD 5","")))))</f>
        <v/>
      </c>
      <c r="G12928" s="6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  <c r="N12928" s="6">
        <f>IF(OR($G12928="FCC",$G12928="Hydrocracker",$G12928="Reformer"),IF(COUNTIFS($D:$D,$D12928,$A:$A,$A12928,$B:$B,$B12928,$G:$G,"CDU",$J:$J,"PLANNED")&gt;0,"tied","standalone"),"")</f>
        <v/>
      </c>
    </row>
    <row r="12929" spans="6:14">
      <c r="F12929" s="6">
        <f>IF($M12929="PADD I","PADD 1",IF($M12929="PADD II","PADD 2",IF($M12929="PADD III","PADD 3",IF($M12929="PADD IV","PADD 4",IF($M12929="PADD V","PADD 5","")))))</f>
        <v/>
      </c>
      <c r="G12929" s="6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  <c r="N12929" s="6">
        <f>IF(OR($G12929="FCC",$G12929="Hydrocracker",$G12929="Reformer"),IF(COUNTIFS($D:$D,$D12929,$A:$A,$A12929,$B:$B,$B12929,$G:$G,"CDU",$J:$J,"PLANNED")&gt;0,"tied","standalone"),"")</f>
        <v/>
      </c>
    </row>
    <row r="12930" spans="6:14">
      <c r="F12930" s="6">
        <f>IF($M12930="PADD I","PADD 1",IF($M12930="PADD II","PADD 2",IF($M12930="PADD III","PADD 3",IF($M12930="PADD IV","PADD 4",IF($M12930="PADD V","PADD 5","")))))</f>
        <v/>
      </c>
      <c r="G12930" s="6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  <c r="N12930" s="6">
        <f>IF(OR($G12930="FCC",$G12930="Hydrocracker",$G12930="Reformer"),IF(COUNTIFS($D:$D,$D12930,$A:$A,$A12930,$B:$B,$B12930,$G:$G,"CDU",$J:$J,"PLANNED")&gt;0,"tied","standalone"),"")</f>
        <v/>
      </c>
    </row>
    <row r="12931" spans="6:14">
      <c r="F12931" s="6">
        <f>IF($M12931="PADD I","PADD 1",IF($M12931="PADD II","PADD 2",IF($M12931="PADD III","PADD 3",IF($M12931="PADD IV","PADD 4",IF($M12931="PADD V","PADD 5","")))))</f>
        <v/>
      </c>
      <c r="G12931" s="6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  <c r="N12931" s="6">
        <f>IF(OR($G12931="FCC",$G12931="Hydrocracker",$G12931="Reformer"),IF(COUNTIFS($D:$D,$D12931,$A:$A,$A12931,$B:$B,$B12931,$G:$G,"CDU",$J:$J,"PLANNED")&gt;0,"tied","standalone"),"")</f>
        <v/>
      </c>
    </row>
    <row r="12932" spans="6:14">
      <c r="F12932" s="6">
        <f>IF($M12932="PADD I","PADD 1",IF($M12932="PADD II","PADD 2",IF($M12932="PADD III","PADD 3",IF($M12932="PADD IV","PADD 4",IF($M12932="PADD V","PADD 5","")))))</f>
        <v/>
      </c>
      <c r="G12932" s="6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  <c r="N12932" s="6">
        <f>IF(OR($G12932="FCC",$G12932="Hydrocracker",$G12932="Reformer"),IF(COUNTIFS($D:$D,$D12932,$A:$A,$A12932,$B:$B,$B12932,$G:$G,"CDU",$J:$J,"PLANNED")&gt;0,"tied","standalone"),"")</f>
        <v/>
      </c>
    </row>
    <row r="12933" spans="6:14">
      <c r="F12933" s="6">
        <f>IF($M12933="PADD I","PADD 1",IF($M12933="PADD II","PADD 2",IF($M12933="PADD III","PADD 3",IF($M12933="PADD IV","PADD 4",IF($M12933="PADD V","PADD 5","")))))</f>
        <v/>
      </c>
      <c r="G12933" s="6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  <c r="N12933" s="6">
        <f>IF(OR($G12933="FCC",$G12933="Hydrocracker",$G12933="Reformer"),IF(COUNTIFS($D:$D,$D12933,$A:$A,$A12933,$B:$B,$B12933,$G:$G,"CDU",$J:$J,"PLANNED")&gt;0,"tied","standalone"),"")</f>
        <v/>
      </c>
    </row>
    <row r="12934" spans="6:14">
      <c r="F12934" s="6">
        <f>IF($M12934="PADD I","PADD 1",IF($M12934="PADD II","PADD 2",IF($M12934="PADD III","PADD 3",IF($M12934="PADD IV","PADD 4",IF($M12934="PADD V","PADD 5","")))))</f>
        <v/>
      </c>
      <c r="G12934" s="6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  <c r="N12934" s="6">
        <f>IF(OR($G12934="FCC",$G12934="Hydrocracker",$G12934="Reformer"),IF(COUNTIFS($D:$D,$D12934,$A:$A,$A12934,$B:$B,$B12934,$G:$G,"CDU",$J:$J,"PLANNED")&gt;0,"tied","standalone"),"")</f>
        <v/>
      </c>
    </row>
    <row r="12935" spans="6:14">
      <c r="F12935" s="6">
        <f>IF($M12935="PADD I","PADD 1",IF($M12935="PADD II","PADD 2",IF($M12935="PADD III","PADD 3",IF($M12935="PADD IV","PADD 4",IF($M12935="PADD V","PADD 5","")))))</f>
        <v/>
      </c>
      <c r="G12935" s="6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  <c r="N12935" s="6">
        <f>IF(OR($G12935="FCC",$G12935="Hydrocracker",$G12935="Reformer"),IF(COUNTIFS($D:$D,$D12935,$A:$A,$A12935,$B:$B,$B12935,$G:$G,"CDU",$J:$J,"PLANNED")&gt;0,"tied","standalone"),"")</f>
        <v/>
      </c>
    </row>
    <row r="12936" spans="6:14">
      <c r="F12936" s="6">
        <f>IF($M12936="PADD I","PADD 1",IF($M12936="PADD II","PADD 2",IF($M12936="PADD III","PADD 3",IF($M12936="PADD IV","PADD 4",IF($M12936="PADD V","PADD 5","")))))</f>
        <v/>
      </c>
      <c r="G12936" s="6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  <c r="N12936" s="6">
        <f>IF(OR($G12936="FCC",$G12936="Hydrocracker",$G12936="Reformer"),IF(COUNTIFS($D:$D,$D12936,$A:$A,$A12936,$B:$B,$B12936,$G:$G,"CDU",$J:$J,"PLANNED")&gt;0,"tied","standalone"),"")</f>
        <v/>
      </c>
    </row>
    <row r="12937" spans="6:14">
      <c r="F12937" s="6">
        <f>IF($M12937="PADD I","PADD 1",IF($M12937="PADD II","PADD 2",IF($M12937="PADD III","PADD 3",IF($M12937="PADD IV","PADD 4",IF($M12937="PADD V","PADD 5","")))))</f>
        <v/>
      </c>
      <c r="G12937" s="6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  <c r="N12937" s="6">
        <f>IF(OR($G12937="FCC",$G12937="Hydrocracker",$G12937="Reformer"),IF(COUNTIFS($D:$D,$D12937,$A:$A,$A12937,$B:$B,$B12937,$G:$G,"CDU",$J:$J,"PLANNED")&gt;0,"tied","standalone"),"")</f>
        <v/>
      </c>
    </row>
    <row r="12938" spans="6:14">
      <c r="F12938" s="6">
        <f>IF($M12938="PADD I","PADD 1",IF($M12938="PADD II","PADD 2",IF($M12938="PADD III","PADD 3",IF($M12938="PADD IV","PADD 4",IF($M12938="PADD V","PADD 5","")))))</f>
        <v/>
      </c>
      <c r="G12938" s="6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  <c r="N12938" s="6">
        <f>IF(OR($G12938="FCC",$G12938="Hydrocracker",$G12938="Reformer"),IF(COUNTIFS($D:$D,$D12938,$A:$A,$A12938,$B:$B,$B12938,$G:$G,"CDU",$J:$J,"PLANNED")&gt;0,"tied","standalone"),"")</f>
        <v/>
      </c>
    </row>
    <row r="12939" spans="6:14">
      <c r="F12939" s="6">
        <f>IF($M12939="PADD I","PADD 1",IF($M12939="PADD II","PADD 2",IF($M12939="PADD III","PADD 3",IF($M12939="PADD IV","PADD 4",IF($M12939="PADD V","PADD 5","")))))</f>
        <v/>
      </c>
      <c r="G12939" s="6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  <c r="N12939" s="6">
        <f>IF(OR($G12939="FCC",$G12939="Hydrocracker",$G12939="Reformer"),IF(COUNTIFS($D:$D,$D12939,$A:$A,$A12939,$B:$B,$B12939,$G:$G,"CDU",$J:$J,"PLANNED")&gt;0,"tied","standalone"),"")</f>
        <v/>
      </c>
    </row>
    <row r="12940" spans="6:14">
      <c r="F12940" s="6">
        <f>IF($M12940="PADD I","PADD 1",IF($M12940="PADD II","PADD 2",IF($M12940="PADD III","PADD 3",IF($M12940="PADD IV","PADD 4",IF($M12940="PADD V","PADD 5","")))))</f>
        <v/>
      </c>
      <c r="G12940" s="6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  <c r="N12940" s="6">
        <f>IF(OR($G12940="FCC",$G12940="Hydrocracker",$G12940="Reformer"),IF(COUNTIFS($D:$D,$D12940,$A:$A,$A12940,$B:$B,$B12940,$G:$G,"CDU",$J:$J,"PLANNED")&gt;0,"tied","standalone"),"")</f>
        <v/>
      </c>
    </row>
    <row r="12941" spans="6:14">
      <c r="F12941" s="6">
        <f>IF($M12941="PADD I","PADD 1",IF($M12941="PADD II","PADD 2",IF($M12941="PADD III","PADD 3",IF($M12941="PADD IV","PADD 4",IF($M12941="PADD V","PADD 5","")))))</f>
        <v/>
      </c>
      <c r="G12941" s="6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  <c r="N12941" s="6">
        <f>IF(OR($G12941="FCC",$G12941="Hydrocracker",$G12941="Reformer"),IF(COUNTIFS($D:$D,$D12941,$A:$A,$A12941,$B:$B,$B12941,$G:$G,"CDU",$J:$J,"PLANNED")&gt;0,"tied","standalone"),"")</f>
        <v/>
      </c>
    </row>
    <row r="12942" spans="6:14">
      <c r="F12942" s="6">
        <f>IF($M12942="PADD I","PADD 1",IF($M12942="PADD II","PADD 2",IF($M12942="PADD III","PADD 3",IF($M12942="PADD IV","PADD 4",IF($M12942="PADD V","PADD 5","")))))</f>
        <v/>
      </c>
      <c r="G12942" s="6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  <c r="N12942" s="6">
        <f>IF(OR($G12942="FCC",$G12942="Hydrocracker",$G12942="Reformer"),IF(COUNTIFS($D:$D,$D12942,$A:$A,$A12942,$B:$B,$B12942,$G:$G,"CDU",$J:$J,"PLANNED")&gt;0,"tied","standalone"),"")</f>
        <v/>
      </c>
    </row>
    <row r="12943" spans="6:14">
      <c r="F12943" s="6">
        <f>IF($M12943="PADD I","PADD 1",IF($M12943="PADD II","PADD 2",IF($M12943="PADD III","PADD 3",IF($M12943="PADD IV","PADD 4",IF($M12943="PADD V","PADD 5","")))))</f>
        <v/>
      </c>
      <c r="G12943" s="6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  <c r="N12943" s="6">
        <f>IF(OR($G12943="FCC",$G12943="Hydrocracker",$G12943="Reformer"),IF(COUNTIFS($D:$D,$D12943,$A:$A,$A12943,$B:$B,$B12943,$G:$G,"CDU",$J:$J,"PLANNED")&gt;0,"tied","standalone"),"")</f>
        <v/>
      </c>
    </row>
    <row r="12944" spans="6:14">
      <c r="F12944" s="6">
        <f>IF($M12944="PADD I","PADD 1",IF($M12944="PADD II","PADD 2",IF($M12944="PADD III","PADD 3",IF($M12944="PADD IV","PADD 4",IF($M12944="PADD V","PADD 5","")))))</f>
        <v/>
      </c>
      <c r="G12944" s="6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  <c r="N12944" s="6">
        <f>IF(OR($G12944="FCC",$G12944="Hydrocracker",$G12944="Reformer"),IF(COUNTIFS($D:$D,$D12944,$A:$A,$A12944,$B:$B,$B12944,$G:$G,"CDU",$J:$J,"PLANNED")&gt;0,"tied","standalone"),"")</f>
        <v/>
      </c>
    </row>
    <row r="12945" spans="6:14">
      <c r="F12945" s="6">
        <f>IF($M12945="PADD I","PADD 1",IF($M12945="PADD II","PADD 2",IF($M12945="PADD III","PADD 3",IF($M12945="PADD IV","PADD 4",IF($M12945="PADD V","PADD 5","")))))</f>
        <v/>
      </c>
      <c r="G12945" s="6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  <c r="N12945" s="6">
        <f>IF(OR($G12945="FCC",$G12945="Hydrocracker",$G12945="Reformer"),IF(COUNTIFS($D:$D,$D12945,$A:$A,$A12945,$B:$B,$B12945,$G:$G,"CDU",$J:$J,"PLANNED")&gt;0,"tied","standalone"),"")</f>
        <v/>
      </c>
    </row>
    <row r="12946" spans="6:14">
      <c r="F12946" s="6">
        <f>IF($M12946="PADD I","PADD 1",IF($M12946="PADD II","PADD 2",IF($M12946="PADD III","PADD 3",IF($M12946="PADD IV","PADD 4",IF($M12946="PADD V","PADD 5","")))))</f>
        <v/>
      </c>
      <c r="G12946" s="6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  <c r="N12946" s="6">
        <f>IF(OR($G12946="FCC",$G12946="Hydrocracker",$G12946="Reformer"),IF(COUNTIFS($D:$D,$D12946,$A:$A,$A12946,$B:$B,$B12946,$G:$G,"CDU",$J:$J,"PLANNED")&gt;0,"tied","standalone"),"")</f>
        <v/>
      </c>
    </row>
    <row r="12947" spans="6:14">
      <c r="F12947" s="6">
        <f>IF($M12947="PADD I","PADD 1",IF($M12947="PADD II","PADD 2",IF($M12947="PADD III","PADD 3",IF($M12947="PADD IV","PADD 4",IF($M12947="PADD V","PADD 5","")))))</f>
        <v/>
      </c>
      <c r="G12947" s="6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  <c r="N12947" s="6">
        <f>IF(OR($G12947="FCC",$G12947="Hydrocracker",$G12947="Reformer"),IF(COUNTIFS($D:$D,$D12947,$A:$A,$A12947,$B:$B,$B12947,$G:$G,"CDU",$J:$J,"PLANNED")&gt;0,"tied","standalone"),"")</f>
        <v/>
      </c>
    </row>
    <row r="12948" spans="6:14">
      <c r="F12948" s="6">
        <f>IF($M12948="PADD I","PADD 1",IF($M12948="PADD II","PADD 2",IF($M12948="PADD III","PADD 3",IF($M12948="PADD IV","PADD 4",IF($M12948="PADD V","PADD 5","")))))</f>
        <v/>
      </c>
      <c r="G12948" s="6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  <c r="N12948" s="6">
        <f>IF(OR($G12948="FCC",$G12948="Hydrocracker",$G12948="Reformer"),IF(COUNTIFS($D:$D,$D12948,$A:$A,$A12948,$B:$B,$B12948,$G:$G,"CDU",$J:$J,"PLANNED")&gt;0,"tied","standalone"),"")</f>
        <v/>
      </c>
    </row>
    <row r="12949" spans="6:14">
      <c r="F12949" s="6">
        <f>IF($M12949="PADD I","PADD 1",IF($M12949="PADD II","PADD 2",IF($M12949="PADD III","PADD 3",IF($M12949="PADD IV","PADD 4",IF($M12949="PADD V","PADD 5","")))))</f>
        <v/>
      </c>
      <c r="G12949" s="6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  <c r="N12949" s="6">
        <f>IF(OR($G12949="FCC",$G12949="Hydrocracker",$G12949="Reformer"),IF(COUNTIFS($D:$D,$D12949,$A:$A,$A12949,$B:$B,$B12949,$G:$G,"CDU",$J:$J,"PLANNED")&gt;0,"tied","standalone"),"")</f>
        <v/>
      </c>
    </row>
    <row r="12950" spans="6:14">
      <c r="F12950" s="6">
        <f>IF($M12950="PADD I","PADD 1",IF($M12950="PADD II","PADD 2",IF($M12950="PADD III","PADD 3",IF($M12950="PADD IV","PADD 4",IF($M12950="PADD V","PADD 5","")))))</f>
        <v/>
      </c>
      <c r="G12950" s="6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  <c r="N12950" s="6">
        <f>IF(OR($G12950="FCC",$G12950="Hydrocracker",$G12950="Reformer"),IF(COUNTIFS($D:$D,$D12950,$A:$A,$A12950,$B:$B,$B12950,$G:$G,"CDU",$J:$J,"PLANNED")&gt;0,"tied","standalone"),"")</f>
        <v/>
      </c>
    </row>
    <row r="12951" spans="6:14">
      <c r="F12951" s="6">
        <f>IF($M12951="PADD I","PADD 1",IF($M12951="PADD II","PADD 2",IF($M12951="PADD III","PADD 3",IF($M12951="PADD IV","PADD 4",IF($M12951="PADD V","PADD 5","")))))</f>
        <v/>
      </c>
      <c r="G12951" s="6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  <c r="N12951" s="6">
        <f>IF(OR($G12951="FCC",$G12951="Hydrocracker",$G12951="Reformer"),IF(COUNTIFS($D:$D,$D12951,$A:$A,$A12951,$B:$B,$B12951,$G:$G,"CDU",$J:$J,"PLANNED")&gt;0,"tied","standalone"),"")</f>
        <v/>
      </c>
    </row>
    <row r="12952" spans="6:14">
      <c r="F12952" s="6">
        <f>IF($M12952="PADD I","PADD 1",IF($M12952="PADD II","PADD 2",IF($M12952="PADD III","PADD 3",IF($M12952="PADD IV","PADD 4",IF($M12952="PADD V","PADD 5","")))))</f>
        <v/>
      </c>
      <c r="G12952" s="6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  <c r="N12952" s="6">
        <f>IF(OR($G12952="FCC",$G12952="Hydrocracker",$G12952="Reformer"),IF(COUNTIFS($D:$D,$D12952,$A:$A,$A12952,$B:$B,$B12952,$G:$G,"CDU",$J:$J,"PLANNED")&gt;0,"tied","standalone"),"")</f>
        <v/>
      </c>
    </row>
    <row r="12953" spans="6:14">
      <c r="F12953" s="6">
        <f>IF($M12953="PADD I","PADD 1",IF($M12953="PADD II","PADD 2",IF($M12953="PADD III","PADD 3",IF($M12953="PADD IV","PADD 4",IF($M12953="PADD V","PADD 5","")))))</f>
        <v/>
      </c>
      <c r="G12953" s="6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  <c r="N12953" s="6">
        <f>IF(OR($G12953="FCC",$G12953="Hydrocracker",$G12953="Reformer"),IF(COUNTIFS($D:$D,$D12953,$A:$A,$A12953,$B:$B,$B12953,$G:$G,"CDU",$J:$J,"PLANNED")&gt;0,"tied","standalone"),"")</f>
        <v/>
      </c>
    </row>
    <row r="12954" spans="6:14">
      <c r="F12954" s="6">
        <f>IF($M12954="PADD I","PADD 1",IF($M12954="PADD II","PADD 2",IF($M12954="PADD III","PADD 3",IF($M12954="PADD IV","PADD 4",IF($M12954="PADD V","PADD 5","")))))</f>
        <v/>
      </c>
      <c r="G12954" s="6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  <c r="N12954" s="6">
        <f>IF(OR($G12954="FCC",$G12954="Hydrocracker",$G12954="Reformer"),IF(COUNTIFS($D:$D,$D12954,$A:$A,$A12954,$B:$B,$B12954,$G:$G,"CDU",$J:$J,"PLANNED")&gt;0,"tied","standalone"),"")</f>
        <v/>
      </c>
    </row>
    <row r="12955" spans="6:14">
      <c r="F12955" s="6">
        <f>IF($M12955="PADD I","PADD 1",IF($M12955="PADD II","PADD 2",IF($M12955="PADD III","PADD 3",IF($M12955="PADD IV","PADD 4",IF($M12955="PADD V","PADD 5","")))))</f>
        <v/>
      </c>
      <c r="G12955" s="6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  <c r="N12955" s="6">
        <f>IF(OR($G12955="FCC",$G12955="Hydrocracker",$G12955="Reformer"),IF(COUNTIFS($D:$D,$D12955,$A:$A,$A12955,$B:$B,$B12955,$G:$G,"CDU",$J:$J,"PLANNED")&gt;0,"tied","standalone"),"")</f>
        <v/>
      </c>
    </row>
    <row r="12956" spans="6:14">
      <c r="F12956" s="6">
        <f>IF($M12956="PADD I","PADD 1",IF($M12956="PADD II","PADD 2",IF($M12956="PADD III","PADD 3",IF($M12956="PADD IV","PADD 4",IF($M12956="PADD V","PADD 5","")))))</f>
        <v/>
      </c>
      <c r="G12956" s="6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  <c r="N12956" s="6">
        <f>IF(OR($G12956="FCC",$G12956="Hydrocracker",$G12956="Reformer"),IF(COUNTIFS($D:$D,$D12956,$A:$A,$A12956,$B:$B,$B12956,$G:$G,"CDU",$J:$J,"PLANNED")&gt;0,"tied","standalone"),"")</f>
        <v/>
      </c>
    </row>
    <row r="12957" spans="6:14">
      <c r="F12957" s="6">
        <f>IF($M12957="PADD I","PADD 1",IF($M12957="PADD II","PADD 2",IF($M12957="PADD III","PADD 3",IF($M12957="PADD IV","PADD 4",IF($M12957="PADD V","PADD 5","")))))</f>
        <v/>
      </c>
      <c r="G12957" s="6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  <c r="N12957" s="6">
        <f>IF(OR($G12957="FCC",$G12957="Hydrocracker",$G12957="Reformer"),IF(COUNTIFS($D:$D,$D12957,$A:$A,$A12957,$B:$B,$B12957,$G:$G,"CDU",$J:$J,"PLANNED")&gt;0,"tied","standalone"),"")</f>
        <v/>
      </c>
    </row>
    <row r="12958" spans="6:14">
      <c r="F12958" s="6">
        <f>IF($M12958="PADD I","PADD 1",IF($M12958="PADD II","PADD 2",IF($M12958="PADD III","PADD 3",IF($M12958="PADD IV","PADD 4",IF($M12958="PADD V","PADD 5","")))))</f>
        <v/>
      </c>
      <c r="G12958" s="6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  <c r="N12958" s="6">
        <f>IF(OR($G12958="FCC",$G12958="Hydrocracker",$G12958="Reformer"),IF(COUNTIFS($D:$D,$D12958,$A:$A,$A12958,$B:$B,$B12958,$G:$G,"CDU",$J:$J,"PLANNED")&gt;0,"tied","standalone"),"")</f>
        <v/>
      </c>
    </row>
    <row r="12959" spans="6:14">
      <c r="F12959" s="6">
        <f>IF($M12959="PADD I","PADD 1",IF($M12959="PADD II","PADD 2",IF($M12959="PADD III","PADD 3",IF($M12959="PADD IV","PADD 4",IF($M12959="PADD V","PADD 5","")))))</f>
        <v/>
      </c>
      <c r="G12959" s="6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  <c r="N12959" s="6">
        <f>IF(OR($G12959="FCC",$G12959="Hydrocracker",$G12959="Reformer"),IF(COUNTIFS($D:$D,$D12959,$A:$A,$A12959,$B:$B,$B12959,$G:$G,"CDU",$J:$J,"PLANNED")&gt;0,"tied","standalone"),"")</f>
        <v/>
      </c>
    </row>
    <row r="12960" spans="6:14">
      <c r="F12960" s="6">
        <f>IF($M12960="PADD I","PADD 1",IF($M12960="PADD II","PADD 2",IF($M12960="PADD III","PADD 3",IF($M12960="PADD IV","PADD 4",IF($M12960="PADD V","PADD 5","")))))</f>
        <v/>
      </c>
      <c r="G12960" s="6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  <c r="N12960" s="6">
        <f>IF(OR($G12960="FCC",$G12960="Hydrocracker",$G12960="Reformer"),IF(COUNTIFS($D:$D,$D12960,$A:$A,$A12960,$B:$B,$B12960,$G:$G,"CDU",$J:$J,"PLANNED")&gt;0,"tied","standalone"),"")</f>
        <v/>
      </c>
    </row>
    <row r="12961" spans="6:14">
      <c r="F12961" s="6">
        <f>IF($M12961="PADD I","PADD 1",IF($M12961="PADD II","PADD 2",IF($M12961="PADD III","PADD 3",IF($M12961="PADD IV","PADD 4",IF($M12961="PADD V","PADD 5","")))))</f>
        <v/>
      </c>
      <c r="G12961" s="6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  <c r="N12961" s="6">
        <f>IF(OR($G12961="FCC",$G12961="Hydrocracker",$G12961="Reformer"),IF(COUNTIFS($D:$D,$D12961,$A:$A,$A12961,$B:$B,$B12961,$G:$G,"CDU",$J:$J,"PLANNED")&gt;0,"tied","standalone"),"")</f>
        <v/>
      </c>
    </row>
    <row r="12962" spans="6:14">
      <c r="F12962" s="6">
        <f>IF($M12962="PADD I","PADD 1",IF($M12962="PADD II","PADD 2",IF($M12962="PADD III","PADD 3",IF($M12962="PADD IV","PADD 4",IF($M12962="PADD V","PADD 5","")))))</f>
        <v/>
      </c>
      <c r="G12962" s="6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  <c r="N12962" s="6">
        <f>IF(OR($G12962="FCC",$G12962="Hydrocracker",$G12962="Reformer"),IF(COUNTIFS($D:$D,$D12962,$A:$A,$A12962,$B:$B,$B12962,$G:$G,"CDU",$J:$J,"PLANNED")&gt;0,"tied","standalone"),"")</f>
        <v/>
      </c>
    </row>
    <row r="12963" spans="6:14">
      <c r="F12963" s="6">
        <f>IF($M12963="PADD I","PADD 1",IF($M12963="PADD II","PADD 2",IF($M12963="PADD III","PADD 3",IF($M12963="PADD IV","PADD 4",IF($M12963="PADD V","PADD 5","")))))</f>
        <v/>
      </c>
      <c r="G12963" s="6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  <c r="N12963" s="6">
        <f>IF(OR($G12963="FCC",$G12963="Hydrocracker",$G12963="Reformer"),IF(COUNTIFS($D:$D,$D12963,$A:$A,$A12963,$B:$B,$B12963,$G:$G,"CDU",$J:$J,"PLANNED")&gt;0,"tied","standalone"),"")</f>
        <v/>
      </c>
    </row>
    <row r="12964" spans="6:14">
      <c r="F12964" s="6">
        <f>IF($M12964="PADD I","PADD 1",IF($M12964="PADD II","PADD 2",IF($M12964="PADD III","PADD 3",IF($M12964="PADD IV","PADD 4",IF($M12964="PADD V","PADD 5","")))))</f>
        <v/>
      </c>
      <c r="G12964" s="6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  <c r="N12964" s="6">
        <f>IF(OR($G12964="FCC",$G12964="Hydrocracker",$G12964="Reformer"),IF(COUNTIFS($D:$D,$D12964,$A:$A,$A12964,$B:$B,$B12964,$G:$G,"CDU",$J:$J,"PLANNED")&gt;0,"tied","standalone"),"")</f>
        <v/>
      </c>
    </row>
    <row r="12965" spans="6:14">
      <c r="F12965" s="6">
        <f>IF($M12965="PADD I","PADD 1",IF($M12965="PADD II","PADD 2",IF($M12965="PADD III","PADD 3",IF($M12965="PADD IV","PADD 4",IF($M12965="PADD V","PADD 5","")))))</f>
        <v/>
      </c>
      <c r="G12965" s="6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  <c r="N12965" s="6">
        <f>IF(OR($G12965="FCC",$G12965="Hydrocracker",$G12965="Reformer"),IF(COUNTIFS($D:$D,$D12965,$A:$A,$A12965,$B:$B,$B12965,$G:$G,"CDU",$J:$J,"PLANNED")&gt;0,"tied","standalone"),"")</f>
        <v/>
      </c>
    </row>
    <row r="12966" spans="6:14">
      <c r="F12966" s="6">
        <f>IF($M12966="PADD I","PADD 1",IF($M12966="PADD II","PADD 2",IF($M12966="PADD III","PADD 3",IF($M12966="PADD IV","PADD 4",IF($M12966="PADD V","PADD 5","")))))</f>
        <v/>
      </c>
      <c r="G12966" s="6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  <c r="N12966" s="6">
        <f>IF(OR($G12966="FCC",$G12966="Hydrocracker",$G12966="Reformer"),IF(COUNTIFS($D:$D,$D12966,$A:$A,$A12966,$B:$B,$B12966,$G:$G,"CDU",$J:$J,"PLANNED")&gt;0,"tied","standalone"),"")</f>
        <v/>
      </c>
    </row>
    <row r="12967" spans="6:14">
      <c r="F12967" s="6">
        <f>IF($M12967="PADD I","PADD 1",IF($M12967="PADD II","PADD 2",IF($M12967="PADD III","PADD 3",IF($M12967="PADD IV","PADD 4",IF($M12967="PADD V","PADD 5","")))))</f>
        <v/>
      </c>
      <c r="G12967" s="6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  <c r="N12967" s="6">
        <f>IF(OR($G12967="FCC",$G12967="Hydrocracker",$G12967="Reformer"),IF(COUNTIFS($D:$D,$D12967,$A:$A,$A12967,$B:$B,$B12967,$G:$G,"CDU",$J:$J,"PLANNED")&gt;0,"tied","standalone"),"")</f>
        <v/>
      </c>
    </row>
    <row r="12968" spans="6:14">
      <c r="F12968" s="6">
        <f>IF($M12968="PADD I","PADD 1",IF($M12968="PADD II","PADD 2",IF($M12968="PADD III","PADD 3",IF($M12968="PADD IV","PADD 4",IF($M12968="PADD V","PADD 5","")))))</f>
        <v/>
      </c>
      <c r="G12968" s="6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  <c r="N12968" s="6">
        <f>IF(OR($G12968="FCC",$G12968="Hydrocracker",$G12968="Reformer"),IF(COUNTIFS($D:$D,$D12968,$A:$A,$A12968,$B:$B,$B12968,$G:$G,"CDU",$J:$J,"PLANNED")&gt;0,"tied","standalone"),"")</f>
        <v/>
      </c>
    </row>
    <row r="12969" spans="6:14">
      <c r="F12969" s="6">
        <f>IF($M12969="PADD I","PADD 1",IF($M12969="PADD II","PADD 2",IF($M12969="PADD III","PADD 3",IF($M12969="PADD IV","PADD 4",IF($M12969="PADD V","PADD 5","")))))</f>
        <v/>
      </c>
      <c r="G12969" s="6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  <c r="N12969" s="6">
        <f>IF(OR($G12969="FCC",$G12969="Hydrocracker",$G12969="Reformer"),IF(COUNTIFS($D:$D,$D12969,$A:$A,$A12969,$B:$B,$B12969,$G:$G,"CDU",$J:$J,"PLANNED")&gt;0,"tied","standalone"),"")</f>
        <v/>
      </c>
    </row>
    <row r="12970" spans="6:14">
      <c r="F12970" s="6">
        <f>IF($M12970="PADD I","PADD 1",IF($M12970="PADD II","PADD 2",IF($M12970="PADD III","PADD 3",IF($M12970="PADD IV","PADD 4",IF($M12970="PADD V","PADD 5","")))))</f>
        <v/>
      </c>
      <c r="G12970" s="6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  <c r="N12970" s="6">
        <f>IF(OR($G12970="FCC",$G12970="Hydrocracker",$G12970="Reformer"),IF(COUNTIFS($D:$D,$D12970,$A:$A,$A12970,$B:$B,$B12970,$G:$G,"CDU",$J:$J,"PLANNED")&gt;0,"tied","standalone"),"")</f>
        <v/>
      </c>
    </row>
    <row r="12971" spans="6:14">
      <c r="F12971" s="6">
        <f>IF($M12971="PADD I","PADD 1",IF($M12971="PADD II","PADD 2",IF($M12971="PADD III","PADD 3",IF($M12971="PADD IV","PADD 4",IF($M12971="PADD V","PADD 5","")))))</f>
        <v/>
      </c>
      <c r="G12971" s="6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  <c r="N12971" s="6">
        <f>IF(OR($G12971="FCC",$G12971="Hydrocracker",$G12971="Reformer"),IF(COUNTIFS($D:$D,$D12971,$A:$A,$A12971,$B:$B,$B12971,$G:$G,"CDU",$J:$J,"PLANNED")&gt;0,"tied","standalone"),"")</f>
        <v/>
      </c>
    </row>
    <row r="12972" spans="6:14">
      <c r="F12972" s="6">
        <f>IF($M12972="PADD I","PADD 1",IF($M12972="PADD II","PADD 2",IF($M12972="PADD III","PADD 3",IF($M12972="PADD IV","PADD 4",IF($M12972="PADD V","PADD 5","")))))</f>
        <v/>
      </c>
      <c r="G12972" s="6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  <c r="N12972" s="6">
        <f>IF(OR($G12972="FCC",$G12972="Hydrocracker",$G12972="Reformer"),IF(COUNTIFS($D:$D,$D12972,$A:$A,$A12972,$B:$B,$B12972,$G:$G,"CDU",$J:$J,"PLANNED")&gt;0,"tied","standalone"),"")</f>
        <v/>
      </c>
    </row>
    <row r="12973" spans="6:14">
      <c r="F12973" s="6">
        <f>IF($M12973="PADD I","PADD 1",IF($M12973="PADD II","PADD 2",IF($M12973="PADD III","PADD 3",IF($M12973="PADD IV","PADD 4",IF($M12973="PADD V","PADD 5","")))))</f>
        <v/>
      </c>
      <c r="G12973" s="6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  <c r="N12973" s="6">
        <f>IF(OR($G12973="FCC",$G12973="Hydrocracker",$G12973="Reformer"),IF(COUNTIFS($D:$D,$D12973,$A:$A,$A12973,$B:$B,$B12973,$G:$G,"CDU",$J:$J,"PLANNED")&gt;0,"tied","standalone"),"")</f>
        <v/>
      </c>
    </row>
    <row r="12974" spans="6:14">
      <c r="F12974" s="6">
        <f>IF($M12974="PADD I","PADD 1",IF($M12974="PADD II","PADD 2",IF($M12974="PADD III","PADD 3",IF($M12974="PADD IV","PADD 4",IF($M12974="PADD V","PADD 5","")))))</f>
        <v/>
      </c>
      <c r="G12974" s="6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  <c r="N12974" s="6">
        <f>IF(OR($G12974="FCC",$G12974="Hydrocracker",$G12974="Reformer"),IF(COUNTIFS($D:$D,$D12974,$A:$A,$A12974,$B:$B,$B12974,$G:$G,"CDU",$J:$J,"PLANNED")&gt;0,"tied","standalone"),"")</f>
        <v/>
      </c>
    </row>
    <row r="12975" spans="6:14">
      <c r="F12975" s="6">
        <f>IF($M12975="PADD I","PADD 1",IF($M12975="PADD II","PADD 2",IF($M12975="PADD III","PADD 3",IF($M12975="PADD IV","PADD 4",IF($M12975="PADD V","PADD 5","")))))</f>
        <v/>
      </c>
      <c r="G12975" s="6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  <c r="N12975" s="6">
        <f>IF(OR($G12975="FCC",$G12975="Hydrocracker",$G12975="Reformer"),IF(COUNTIFS($D:$D,$D12975,$A:$A,$A12975,$B:$B,$B12975,$G:$G,"CDU",$J:$J,"PLANNED")&gt;0,"tied","standalone"),"")</f>
        <v/>
      </c>
    </row>
    <row r="12976" spans="6:14">
      <c r="F12976" s="6">
        <f>IF($M12976="PADD I","PADD 1",IF($M12976="PADD II","PADD 2",IF($M12976="PADD III","PADD 3",IF($M12976="PADD IV","PADD 4",IF($M12976="PADD V","PADD 5","")))))</f>
        <v/>
      </c>
      <c r="G12976" s="6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  <c r="N12976" s="6">
        <f>IF(OR($G12976="FCC",$G12976="Hydrocracker",$G12976="Reformer"),IF(COUNTIFS($D:$D,$D12976,$A:$A,$A12976,$B:$B,$B12976,$G:$G,"CDU",$J:$J,"PLANNED")&gt;0,"tied","standalone"),"")</f>
        <v/>
      </c>
    </row>
    <row r="12977" spans="6:14">
      <c r="F12977" s="6">
        <f>IF($M12977="PADD I","PADD 1",IF($M12977="PADD II","PADD 2",IF($M12977="PADD III","PADD 3",IF($M12977="PADD IV","PADD 4",IF($M12977="PADD V","PADD 5","")))))</f>
        <v/>
      </c>
      <c r="G12977" s="6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  <c r="N12977" s="6">
        <f>IF(OR($G12977="FCC",$G12977="Hydrocracker",$G12977="Reformer"),IF(COUNTIFS($D:$D,$D12977,$A:$A,$A12977,$B:$B,$B12977,$G:$G,"CDU",$J:$J,"PLANNED")&gt;0,"tied","standalone"),"")</f>
        <v/>
      </c>
    </row>
    <row r="12978" spans="6:14">
      <c r="F12978" s="6">
        <f>IF($M12978="PADD I","PADD 1",IF($M12978="PADD II","PADD 2",IF($M12978="PADD III","PADD 3",IF($M12978="PADD IV","PADD 4",IF($M12978="PADD V","PADD 5","")))))</f>
        <v/>
      </c>
      <c r="G12978" s="6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  <c r="N12978" s="6">
        <f>IF(OR($G12978="FCC",$G12978="Hydrocracker",$G12978="Reformer"),IF(COUNTIFS($D:$D,$D12978,$A:$A,$A12978,$B:$B,$B12978,$G:$G,"CDU",$J:$J,"PLANNED")&gt;0,"tied","standalone"),"")</f>
        <v/>
      </c>
    </row>
    <row r="12979" spans="6:14">
      <c r="F12979" s="6">
        <f>IF($M12979="PADD I","PADD 1",IF($M12979="PADD II","PADD 2",IF($M12979="PADD III","PADD 3",IF($M12979="PADD IV","PADD 4",IF($M12979="PADD V","PADD 5","")))))</f>
        <v/>
      </c>
      <c r="G12979" s="6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  <c r="N12979" s="6">
        <f>IF(OR($G12979="FCC",$G12979="Hydrocracker",$G12979="Reformer"),IF(COUNTIFS($D:$D,$D12979,$A:$A,$A12979,$B:$B,$B12979,$G:$G,"CDU",$J:$J,"PLANNED")&gt;0,"tied","standalone"),"")</f>
        <v/>
      </c>
    </row>
    <row r="12980" spans="6:14">
      <c r="F12980" s="6">
        <f>IF($M12980="PADD I","PADD 1",IF($M12980="PADD II","PADD 2",IF($M12980="PADD III","PADD 3",IF($M12980="PADD IV","PADD 4",IF($M12980="PADD V","PADD 5","")))))</f>
        <v/>
      </c>
      <c r="G12980" s="6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  <c r="N12980" s="6">
        <f>IF(OR($G12980="FCC",$G12980="Hydrocracker",$G12980="Reformer"),IF(COUNTIFS($D:$D,$D12980,$A:$A,$A12980,$B:$B,$B12980,$G:$G,"CDU",$J:$J,"PLANNED")&gt;0,"tied","standalone"),"")</f>
        <v/>
      </c>
    </row>
    <row r="12981" spans="6:14">
      <c r="F12981" s="6">
        <f>IF($M12981="PADD I","PADD 1",IF($M12981="PADD II","PADD 2",IF($M12981="PADD III","PADD 3",IF($M12981="PADD IV","PADD 4",IF($M12981="PADD V","PADD 5","")))))</f>
        <v/>
      </c>
      <c r="G12981" s="6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  <c r="N12981" s="6">
        <f>IF(OR($G12981="FCC",$G12981="Hydrocracker",$G12981="Reformer"),IF(COUNTIFS($D:$D,$D12981,$A:$A,$A12981,$B:$B,$B12981,$G:$G,"CDU",$J:$J,"PLANNED")&gt;0,"tied","standalone"),"")</f>
        <v/>
      </c>
    </row>
    <row r="12982" spans="6:14">
      <c r="F12982" s="6">
        <f>IF($M12982="PADD I","PADD 1",IF($M12982="PADD II","PADD 2",IF($M12982="PADD III","PADD 3",IF($M12982="PADD IV","PADD 4",IF($M12982="PADD V","PADD 5","")))))</f>
        <v/>
      </c>
      <c r="G12982" s="6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  <c r="N12982" s="6">
        <f>IF(OR($G12982="FCC",$G12982="Hydrocracker",$G12982="Reformer"),IF(COUNTIFS($D:$D,$D12982,$A:$A,$A12982,$B:$B,$B12982,$G:$G,"CDU",$J:$J,"PLANNED")&gt;0,"tied","standalone"),"")</f>
        <v/>
      </c>
    </row>
    <row r="12983" spans="6:14">
      <c r="F12983" s="6">
        <f>IF($M12983="PADD I","PADD 1",IF($M12983="PADD II","PADD 2",IF($M12983="PADD III","PADD 3",IF($M12983="PADD IV","PADD 4",IF($M12983="PADD V","PADD 5","")))))</f>
        <v/>
      </c>
      <c r="G12983" s="6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  <c r="N12983" s="6">
        <f>IF(OR($G12983="FCC",$G12983="Hydrocracker",$G12983="Reformer"),IF(COUNTIFS($D:$D,$D12983,$A:$A,$A12983,$B:$B,$B12983,$G:$G,"CDU",$J:$J,"PLANNED")&gt;0,"tied","standalone"),"")</f>
        <v/>
      </c>
    </row>
    <row r="12984" spans="6:14">
      <c r="F12984" s="6">
        <f>IF($M12984="PADD I","PADD 1",IF($M12984="PADD II","PADD 2",IF($M12984="PADD III","PADD 3",IF($M12984="PADD IV","PADD 4",IF($M12984="PADD V","PADD 5","")))))</f>
        <v/>
      </c>
      <c r="G12984" s="6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  <c r="N12984" s="6">
        <f>IF(OR($G12984="FCC",$G12984="Hydrocracker",$G12984="Reformer"),IF(COUNTIFS($D:$D,$D12984,$A:$A,$A12984,$B:$B,$B12984,$G:$G,"CDU",$J:$J,"PLANNED")&gt;0,"tied","standalone"),"")</f>
        <v/>
      </c>
    </row>
    <row r="12985" spans="6:14">
      <c r="F12985" s="6">
        <f>IF($M12985="PADD I","PADD 1",IF($M12985="PADD II","PADD 2",IF($M12985="PADD III","PADD 3",IF($M12985="PADD IV","PADD 4",IF($M12985="PADD V","PADD 5","")))))</f>
        <v/>
      </c>
      <c r="G12985" s="6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  <c r="N12985" s="6">
        <f>IF(OR($G12985="FCC",$G12985="Hydrocracker",$G12985="Reformer"),IF(COUNTIFS($D:$D,$D12985,$A:$A,$A12985,$B:$B,$B12985,$G:$G,"CDU",$J:$J,"PLANNED")&gt;0,"tied","standalone"),"")</f>
        <v/>
      </c>
    </row>
    <row r="12986" spans="6:14">
      <c r="F12986" s="6">
        <f>IF($M12986="PADD I","PADD 1",IF($M12986="PADD II","PADD 2",IF($M12986="PADD III","PADD 3",IF($M12986="PADD IV","PADD 4",IF($M12986="PADD V","PADD 5","")))))</f>
        <v/>
      </c>
      <c r="G12986" s="6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  <c r="N12986" s="6">
        <f>IF(OR($G12986="FCC",$G12986="Hydrocracker",$G12986="Reformer"),IF(COUNTIFS($D:$D,$D12986,$A:$A,$A12986,$B:$B,$B12986,$G:$G,"CDU",$J:$J,"PLANNED")&gt;0,"tied","standalone"),"")</f>
        <v/>
      </c>
    </row>
    <row r="12987" spans="6:14">
      <c r="F12987" s="6">
        <f>IF($M12987="PADD I","PADD 1",IF($M12987="PADD II","PADD 2",IF($M12987="PADD III","PADD 3",IF($M12987="PADD IV","PADD 4",IF($M12987="PADD V","PADD 5","")))))</f>
        <v/>
      </c>
      <c r="G12987" s="6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  <c r="N12987" s="6">
        <f>IF(OR($G12987="FCC",$G12987="Hydrocracker",$G12987="Reformer"),IF(COUNTIFS($D:$D,$D12987,$A:$A,$A12987,$B:$B,$B12987,$G:$G,"CDU",$J:$J,"PLANNED")&gt;0,"tied","standalone"),"")</f>
        <v/>
      </c>
    </row>
    <row r="12988" spans="6:14">
      <c r="F12988" s="6">
        <f>IF($M12988="PADD I","PADD 1",IF($M12988="PADD II","PADD 2",IF($M12988="PADD III","PADD 3",IF($M12988="PADD IV","PADD 4",IF($M12988="PADD V","PADD 5","")))))</f>
        <v/>
      </c>
      <c r="G12988" s="6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  <c r="N12988" s="6">
        <f>IF(OR($G12988="FCC",$G12988="Hydrocracker",$G12988="Reformer"),IF(COUNTIFS($D:$D,$D12988,$A:$A,$A12988,$B:$B,$B12988,$G:$G,"CDU",$J:$J,"PLANNED")&gt;0,"tied","standalone"),"")</f>
        <v/>
      </c>
    </row>
    <row r="12989" spans="6:14">
      <c r="F12989" s="6">
        <f>IF($M12989="PADD I","PADD 1",IF($M12989="PADD II","PADD 2",IF($M12989="PADD III","PADD 3",IF($M12989="PADD IV","PADD 4",IF($M12989="PADD V","PADD 5","")))))</f>
        <v/>
      </c>
      <c r="G12989" s="6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  <c r="N12989" s="6">
        <f>IF(OR($G12989="FCC",$G12989="Hydrocracker",$G12989="Reformer"),IF(COUNTIFS($D:$D,$D12989,$A:$A,$A12989,$B:$B,$B12989,$G:$G,"CDU",$J:$J,"PLANNED")&gt;0,"tied","standalone"),"")</f>
        <v/>
      </c>
    </row>
    <row r="12990" spans="6:14">
      <c r="F12990" s="6">
        <f>IF($M12990="PADD I","PADD 1",IF($M12990="PADD II","PADD 2",IF($M12990="PADD III","PADD 3",IF($M12990="PADD IV","PADD 4",IF($M12990="PADD V","PADD 5","")))))</f>
        <v/>
      </c>
      <c r="G12990" s="6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  <c r="N12990" s="6">
        <f>IF(OR($G12990="FCC",$G12990="Hydrocracker",$G12990="Reformer"),IF(COUNTIFS($D:$D,$D12990,$A:$A,$A12990,$B:$B,$B12990,$G:$G,"CDU",$J:$J,"PLANNED")&gt;0,"tied","standalone"),"")</f>
        <v/>
      </c>
    </row>
    <row r="12991" spans="6:14">
      <c r="F12991" s="6">
        <f>IF($M12991="PADD I","PADD 1",IF($M12991="PADD II","PADD 2",IF($M12991="PADD III","PADD 3",IF($M12991="PADD IV","PADD 4",IF($M12991="PADD V","PADD 5","")))))</f>
        <v/>
      </c>
      <c r="G12991" s="6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  <c r="N12991" s="6">
        <f>IF(OR($G12991="FCC",$G12991="Hydrocracker",$G12991="Reformer"),IF(COUNTIFS($D:$D,$D12991,$A:$A,$A12991,$B:$B,$B12991,$G:$G,"CDU",$J:$J,"PLANNED")&gt;0,"tied","standalone"),"")</f>
        <v/>
      </c>
    </row>
    <row r="12992" spans="6:14">
      <c r="F12992" s="6">
        <f>IF($M12992="PADD I","PADD 1",IF($M12992="PADD II","PADD 2",IF($M12992="PADD III","PADD 3",IF($M12992="PADD IV","PADD 4",IF($M12992="PADD V","PADD 5","")))))</f>
        <v/>
      </c>
      <c r="G12992" s="6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  <c r="N12992" s="6">
        <f>IF(OR($G12992="FCC",$G12992="Hydrocracker",$G12992="Reformer"),IF(COUNTIFS($D:$D,$D12992,$A:$A,$A12992,$B:$B,$B12992,$G:$G,"CDU",$J:$J,"PLANNED")&gt;0,"tied","standalone"),"")</f>
        <v/>
      </c>
    </row>
    <row r="12993" spans="6:14">
      <c r="F12993" s="6">
        <f>IF($M12993="PADD I","PADD 1",IF($M12993="PADD II","PADD 2",IF($M12993="PADD III","PADD 3",IF($M12993="PADD IV","PADD 4",IF($M12993="PADD V","PADD 5","")))))</f>
        <v/>
      </c>
      <c r="G12993" s="6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  <c r="N12993" s="6">
        <f>IF(OR($G12993="FCC",$G12993="Hydrocracker",$G12993="Reformer"),IF(COUNTIFS($D:$D,$D12993,$A:$A,$A12993,$B:$B,$B12993,$G:$G,"CDU",$J:$J,"PLANNED")&gt;0,"tied","standalone"),"")</f>
        <v/>
      </c>
    </row>
    <row r="12994" spans="6:14">
      <c r="F12994" s="6">
        <f>IF($M12994="PADD I","PADD 1",IF($M12994="PADD II","PADD 2",IF($M12994="PADD III","PADD 3",IF($M12994="PADD IV","PADD 4",IF($M12994="PADD V","PADD 5","")))))</f>
        <v/>
      </c>
      <c r="G12994" s="6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  <c r="N12994" s="6">
        <f>IF(OR($G12994="FCC",$G12994="Hydrocracker",$G12994="Reformer"),IF(COUNTIFS($D:$D,$D12994,$A:$A,$A12994,$B:$B,$B12994,$G:$G,"CDU",$J:$J,"PLANNED")&gt;0,"tied","standalone"),"")</f>
        <v/>
      </c>
    </row>
    <row r="12995" spans="6:14">
      <c r="F12995" s="6">
        <f>IF($M12995="PADD I","PADD 1",IF($M12995="PADD II","PADD 2",IF($M12995="PADD III","PADD 3",IF($M12995="PADD IV","PADD 4",IF($M12995="PADD V","PADD 5","")))))</f>
        <v/>
      </c>
      <c r="G12995" s="6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  <c r="N12995" s="6">
        <f>IF(OR($G12995="FCC",$G12995="Hydrocracker",$G12995="Reformer"),IF(COUNTIFS($D:$D,$D12995,$A:$A,$A12995,$B:$B,$B12995,$G:$G,"CDU",$J:$J,"PLANNED")&gt;0,"tied","standalone"),"")</f>
        <v/>
      </c>
    </row>
    <row r="12996" spans="6:14">
      <c r="F12996" s="6">
        <f>IF($M12996="PADD I","PADD 1",IF($M12996="PADD II","PADD 2",IF($M12996="PADD III","PADD 3",IF($M12996="PADD IV","PADD 4",IF($M12996="PADD V","PADD 5","")))))</f>
        <v/>
      </c>
      <c r="G12996" s="6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  <c r="N12996" s="6">
        <f>IF(OR($G12996="FCC",$G12996="Hydrocracker",$G12996="Reformer"),IF(COUNTIFS($D:$D,$D12996,$A:$A,$A12996,$B:$B,$B12996,$G:$G,"CDU",$J:$J,"PLANNED")&gt;0,"tied","standalone"),"")</f>
        <v/>
      </c>
    </row>
    <row r="12997" spans="6:14">
      <c r="F12997" s="6">
        <f>IF($M12997="PADD I","PADD 1",IF($M12997="PADD II","PADD 2",IF($M12997="PADD III","PADD 3",IF($M12997="PADD IV","PADD 4",IF($M12997="PADD V","PADD 5","")))))</f>
        <v/>
      </c>
      <c r="G12997" s="6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  <c r="N12997" s="6">
        <f>IF(OR($G12997="FCC",$G12997="Hydrocracker",$G12997="Reformer"),IF(COUNTIFS($D:$D,$D12997,$A:$A,$A12997,$B:$B,$B12997,$G:$G,"CDU",$J:$J,"PLANNED")&gt;0,"tied","standalone"),"")</f>
        <v/>
      </c>
    </row>
    <row r="12998" spans="6:14">
      <c r="F12998" s="6">
        <f>IF($M12998="PADD I","PADD 1",IF($M12998="PADD II","PADD 2",IF($M12998="PADD III","PADD 3",IF($M12998="PADD IV","PADD 4",IF($M12998="PADD V","PADD 5","")))))</f>
        <v/>
      </c>
      <c r="G12998" s="6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  <c r="N12998" s="6">
        <f>IF(OR($G12998="FCC",$G12998="Hydrocracker",$G12998="Reformer"),IF(COUNTIFS($D:$D,$D12998,$A:$A,$A12998,$B:$B,$B12998,$G:$G,"CDU",$J:$J,"PLANNED")&gt;0,"tied","standalone"),"")</f>
        <v/>
      </c>
    </row>
    <row r="12999" spans="6:14">
      <c r="F12999" s="6">
        <f>IF($M12999="PADD I","PADD 1",IF($M12999="PADD II","PADD 2",IF($M12999="PADD III","PADD 3",IF($M12999="PADD IV","PADD 4",IF($M12999="PADD V","PADD 5","")))))</f>
        <v/>
      </c>
      <c r="G12999" s="6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  <c r="N12999" s="6">
        <f>IF(OR($G12999="FCC",$G12999="Hydrocracker",$G12999="Reformer"),IF(COUNTIFS($D:$D,$D12999,$A:$A,$A12999,$B:$B,$B12999,$G:$G,"CDU",$J:$J,"PLANNED")&gt;0,"tied","standalone"),"")</f>
        <v/>
      </c>
    </row>
    <row r="13000" spans="6:14">
      <c r="F13000" s="6">
        <f>IF($M13000="PADD I","PADD 1",IF($M13000="PADD II","PADD 2",IF($M13000="PADD III","PADD 3",IF($M13000="PADD IV","PADD 4",IF($M13000="PADD V","PADD 5","")))))</f>
        <v/>
      </c>
      <c r="G13000" s="6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  <c r="N13000" s="6">
        <f>IF(OR($G13000="FCC",$G13000="Hydrocracker",$G13000="Reformer"),IF(COUNTIFS($D:$D,$D13000,$A:$A,$A13000,$B:$B,$B13000,$G:$G,"CDU",$J:$J,"PLANNED")&gt;0,"tied","standalone"),"")</f>
        <v/>
      </c>
    </row>
    <row r="13001" spans="6:14">
      <c r="F13001" s="6">
        <f>IF($M13001="PADD I","PADD 1",IF($M13001="PADD II","PADD 2",IF($M13001="PADD III","PADD 3",IF($M13001="PADD IV","PADD 4",IF($M13001="PADD V","PADD 5","")))))</f>
        <v/>
      </c>
      <c r="G13001" s="6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  <c r="N13001" s="6">
        <f>IF(OR($G13001="FCC",$G13001="Hydrocracker",$G13001="Reformer"),IF(COUNTIFS($D:$D,$D13001,$A:$A,$A13001,$B:$B,$B13001,$G:$G,"CDU",$J:$J,"PLANNED")&gt;0,"tied","standalone"),"")</f>
        <v/>
      </c>
    </row>
    <row r="13002" spans="6:14">
      <c r="F13002" s="6">
        <f>IF($M13002="PADD I","PADD 1",IF($M13002="PADD II","PADD 2",IF($M13002="PADD III","PADD 3",IF($M13002="PADD IV","PADD 4",IF($M13002="PADD V","PADD 5","")))))</f>
        <v/>
      </c>
      <c r="G13002" s="6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  <c r="N13002" s="6">
        <f>IF(OR($G13002="FCC",$G13002="Hydrocracker",$G13002="Reformer"),IF(COUNTIFS($D:$D,$D13002,$A:$A,$A13002,$B:$B,$B13002,$G:$G,"CDU",$J:$J,"PLANNED")&gt;0,"tied","standalone"),"")</f>
        <v/>
      </c>
    </row>
    <row r="13003" spans="6:14">
      <c r="F13003" s="6">
        <f>IF($M13003="PADD I","PADD 1",IF($M13003="PADD II","PADD 2",IF($M13003="PADD III","PADD 3",IF($M13003="PADD IV","PADD 4",IF($M13003="PADD V","PADD 5","")))))</f>
        <v/>
      </c>
      <c r="G13003" s="6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  <c r="N13003" s="6">
        <f>IF(OR($G13003="FCC",$G13003="Hydrocracker",$G13003="Reformer"),IF(COUNTIFS($D:$D,$D13003,$A:$A,$A13003,$B:$B,$B13003,$G:$G,"CDU",$J:$J,"PLANNED")&gt;0,"tied","standalone"),"")</f>
        <v/>
      </c>
    </row>
    <row r="13004" spans="6:14">
      <c r="F13004" s="6">
        <f>IF($M13004="PADD I","PADD 1",IF($M13004="PADD II","PADD 2",IF($M13004="PADD III","PADD 3",IF($M13004="PADD IV","PADD 4",IF($M13004="PADD V","PADD 5","")))))</f>
        <v/>
      </c>
      <c r="G13004" s="6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  <c r="N13004" s="6">
        <f>IF(OR($G13004="FCC",$G13004="Hydrocracker",$G13004="Reformer"),IF(COUNTIFS($D:$D,$D13004,$A:$A,$A13004,$B:$B,$B13004,$G:$G,"CDU",$J:$J,"PLANNED")&gt;0,"tied","standalone"),"")</f>
        <v/>
      </c>
    </row>
    <row r="13005" spans="6:14">
      <c r="F13005" s="6">
        <f>IF($M13005="PADD I","PADD 1",IF($M13005="PADD II","PADD 2",IF($M13005="PADD III","PADD 3",IF($M13005="PADD IV","PADD 4",IF($M13005="PADD V","PADD 5","")))))</f>
        <v/>
      </c>
      <c r="G13005" s="6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  <c r="N13005" s="6">
        <f>IF(OR($G13005="FCC",$G13005="Hydrocracker",$G13005="Reformer"),IF(COUNTIFS($D:$D,$D13005,$A:$A,$A13005,$B:$B,$B13005,$G:$G,"CDU",$J:$J,"PLANNED")&gt;0,"tied","standalone"),"")</f>
        <v/>
      </c>
    </row>
    <row r="13006" spans="6:14">
      <c r="F13006" s="6">
        <f>IF($M13006="PADD I","PADD 1",IF($M13006="PADD II","PADD 2",IF($M13006="PADD III","PADD 3",IF($M13006="PADD IV","PADD 4",IF($M13006="PADD V","PADD 5","")))))</f>
        <v/>
      </c>
      <c r="G13006" s="6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  <c r="N13006" s="6">
        <f>IF(OR($G13006="FCC",$G13006="Hydrocracker",$G13006="Reformer"),IF(COUNTIFS($D:$D,$D13006,$A:$A,$A13006,$B:$B,$B13006,$G:$G,"CDU",$J:$J,"PLANNED")&gt;0,"tied","standalone"),"")</f>
        <v/>
      </c>
    </row>
    <row r="13007" spans="6:14">
      <c r="F13007" s="6">
        <f>IF($M13007="PADD I","PADD 1",IF($M13007="PADD II","PADD 2",IF($M13007="PADD III","PADD 3",IF($M13007="PADD IV","PADD 4",IF($M13007="PADD V","PADD 5","")))))</f>
        <v/>
      </c>
      <c r="G13007" s="6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  <c r="N13007" s="6">
        <f>IF(OR($G13007="FCC",$G13007="Hydrocracker",$G13007="Reformer"),IF(COUNTIFS($D:$D,$D13007,$A:$A,$A13007,$B:$B,$B13007,$G:$G,"CDU",$J:$J,"PLANNED")&gt;0,"tied","standalone"),"")</f>
        <v/>
      </c>
    </row>
    <row r="13008" spans="6:14">
      <c r="F13008" s="6">
        <f>IF($M13008="PADD I","PADD 1",IF($M13008="PADD II","PADD 2",IF($M13008="PADD III","PADD 3",IF($M13008="PADD IV","PADD 4",IF($M13008="PADD V","PADD 5","")))))</f>
        <v/>
      </c>
      <c r="G13008" s="6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  <c r="N13008" s="6">
        <f>IF(OR($G13008="FCC",$G13008="Hydrocracker",$G13008="Reformer"),IF(COUNTIFS($D:$D,$D13008,$A:$A,$A13008,$B:$B,$B13008,$G:$G,"CDU",$J:$J,"PLANNED")&gt;0,"tied","standalone"),"")</f>
        <v/>
      </c>
    </row>
    <row r="13009" spans="6:14">
      <c r="F13009" s="6">
        <f>IF($M13009="PADD I","PADD 1",IF($M13009="PADD II","PADD 2",IF($M13009="PADD III","PADD 3",IF($M13009="PADD IV","PADD 4",IF($M13009="PADD V","PADD 5","")))))</f>
        <v/>
      </c>
      <c r="G13009" s="6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  <c r="N13009" s="6">
        <f>IF(OR($G13009="FCC",$G13009="Hydrocracker",$G13009="Reformer"),IF(COUNTIFS($D:$D,$D13009,$A:$A,$A13009,$B:$B,$B13009,$G:$G,"CDU",$J:$J,"PLANNED")&gt;0,"tied","standalone"),"")</f>
        <v/>
      </c>
    </row>
    <row r="13010" spans="6:14">
      <c r="F13010" s="6">
        <f>IF($M13010="PADD I","PADD 1",IF($M13010="PADD II","PADD 2",IF($M13010="PADD III","PADD 3",IF($M13010="PADD IV","PADD 4",IF($M13010="PADD V","PADD 5","")))))</f>
        <v/>
      </c>
      <c r="G13010" s="6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  <c r="N13010" s="6">
        <f>IF(OR($G13010="FCC",$G13010="Hydrocracker",$G13010="Reformer"),IF(COUNTIFS($D:$D,$D13010,$A:$A,$A13010,$B:$B,$B13010,$G:$G,"CDU",$J:$J,"PLANNED")&gt;0,"tied","standalone"),"")</f>
        <v/>
      </c>
    </row>
    <row r="13011" spans="6:14">
      <c r="F13011" s="6">
        <f>IF($M13011="PADD I","PADD 1",IF($M13011="PADD II","PADD 2",IF($M13011="PADD III","PADD 3",IF($M13011="PADD IV","PADD 4",IF($M13011="PADD V","PADD 5","")))))</f>
        <v/>
      </c>
      <c r="G13011" s="6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  <c r="N13011" s="6">
        <f>IF(OR($G13011="FCC",$G13011="Hydrocracker",$G13011="Reformer"),IF(COUNTIFS($D:$D,$D13011,$A:$A,$A13011,$B:$B,$B13011,$G:$G,"CDU",$J:$J,"PLANNED")&gt;0,"tied","standalone"),"")</f>
        <v/>
      </c>
    </row>
    <row r="13012" spans="6:14">
      <c r="F13012" s="6">
        <f>IF($M13012="PADD I","PADD 1",IF($M13012="PADD II","PADD 2",IF($M13012="PADD III","PADD 3",IF($M13012="PADD IV","PADD 4",IF($M13012="PADD V","PADD 5","")))))</f>
        <v/>
      </c>
      <c r="G13012" s="6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  <c r="N13012" s="6">
        <f>IF(OR($G13012="FCC",$G13012="Hydrocracker",$G13012="Reformer"),IF(COUNTIFS($D:$D,$D13012,$A:$A,$A13012,$B:$B,$B13012,$G:$G,"CDU",$J:$J,"PLANNED")&gt;0,"tied","standalone"),"")</f>
        <v/>
      </c>
    </row>
    <row r="13013" spans="6:14">
      <c r="F13013" s="6">
        <f>IF($M13013="PADD I","PADD 1",IF($M13013="PADD II","PADD 2",IF($M13013="PADD III","PADD 3",IF($M13013="PADD IV","PADD 4",IF($M13013="PADD V","PADD 5","")))))</f>
        <v/>
      </c>
      <c r="G13013" s="6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  <c r="N13013" s="6">
        <f>IF(OR($G13013="FCC",$G13013="Hydrocracker",$G13013="Reformer"),IF(COUNTIFS($D:$D,$D13013,$A:$A,$A13013,$B:$B,$B13013,$G:$G,"CDU",$J:$J,"PLANNED")&gt;0,"tied","standalone"),"")</f>
        <v/>
      </c>
    </row>
    <row r="13014" spans="6:14">
      <c r="F13014" s="6">
        <f>IF($M13014="PADD I","PADD 1",IF($M13014="PADD II","PADD 2",IF($M13014="PADD III","PADD 3",IF($M13014="PADD IV","PADD 4",IF($M13014="PADD V","PADD 5","")))))</f>
        <v/>
      </c>
      <c r="G13014" s="6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  <c r="N13014" s="6">
        <f>IF(OR($G13014="FCC",$G13014="Hydrocracker",$G13014="Reformer"),IF(COUNTIFS($D:$D,$D13014,$A:$A,$A13014,$B:$B,$B13014,$G:$G,"CDU",$J:$J,"PLANNED")&gt;0,"tied","standalone"),"")</f>
        <v/>
      </c>
    </row>
    <row r="13015" spans="6:14">
      <c r="F13015" s="6">
        <f>IF($M13015="PADD I","PADD 1",IF($M13015="PADD II","PADD 2",IF($M13015="PADD III","PADD 3",IF($M13015="PADD IV","PADD 4",IF($M13015="PADD V","PADD 5","")))))</f>
        <v/>
      </c>
      <c r="G13015" s="6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  <c r="N13015" s="6">
        <f>IF(OR($G13015="FCC",$G13015="Hydrocracker",$G13015="Reformer"),IF(COUNTIFS($D:$D,$D13015,$A:$A,$A13015,$B:$B,$B13015,$G:$G,"CDU",$J:$J,"PLANNED")&gt;0,"tied","standalone"),"")</f>
        <v/>
      </c>
    </row>
    <row r="13016" spans="6:14">
      <c r="F13016" s="6">
        <f>IF($M13016="PADD I","PADD 1",IF($M13016="PADD II","PADD 2",IF($M13016="PADD III","PADD 3",IF($M13016="PADD IV","PADD 4",IF($M13016="PADD V","PADD 5","")))))</f>
        <v/>
      </c>
      <c r="G13016" s="6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  <c r="N13016" s="6">
        <f>IF(OR($G13016="FCC",$G13016="Hydrocracker",$G13016="Reformer"),IF(COUNTIFS($D:$D,$D13016,$A:$A,$A13016,$B:$B,$B13016,$G:$G,"CDU",$J:$J,"PLANNED")&gt;0,"tied","standalone"),"")</f>
        <v/>
      </c>
    </row>
    <row r="13017" spans="6:14">
      <c r="F13017" s="6">
        <f>IF($M13017="PADD I","PADD 1",IF($M13017="PADD II","PADD 2",IF($M13017="PADD III","PADD 3",IF($M13017="PADD IV","PADD 4",IF($M13017="PADD V","PADD 5","")))))</f>
        <v/>
      </c>
      <c r="G13017" s="6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  <c r="N13017" s="6">
        <f>IF(OR($G13017="FCC",$G13017="Hydrocracker",$G13017="Reformer"),IF(COUNTIFS($D:$D,$D13017,$A:$A,$A13017,$B:$B,$B13017,$G:$G,"CDU",$J:$J,"PLANNED")&gt;0,"tied","standalone"),"")</f>
        <v/>
      </c>
    </row>
    <row r="13018" spans="6:14">
      <c r="F13018" s="6">
        <f>IF($M13018="PADD I","PADD 1",IF($M13018="PADD II","PADD 2",IF($M13018="PADD III","PADD 3",IF($M13018="PADD IV","PADD 4",IF($M13018="PADD V","PADD 5","")))))</f>
        <v/>
      </c>
      <c r="G13018" s="6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  <c r="N13018" s="6">
        <f>IF(OR($G13018="FCC",$G13018="Hydrocracker",$G13018="Reformer"),IF(COUNTIFS($D:$D,$D13018,$A:$A,$A13018,$B:$B,$B13018,$G:$G,"CDU",$J:$J,"PLANNED")&gt;0,"tied","standalone"),"")</f>
        <v/>
      </c>
    </row>
    <row r="13019" spans="6:14">
      <c r="F13019" s="6">
        <f>IF($M13019="PADD I","PADD 1",IF($M13019="PADD II","PADD 2",IF($M13019="PADD III","PADD 3",IF($M13019="PADD IV","PADD 4",IF($M13019="PADD V","PADD 5","")))))</f>
        <v/>
      </c>
      <c r="G13019" s="6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  <c r="N13019" s="6">
        <f>IF(OR($G13019="FCC",$G13019="Hydrocracker",$G13019="Reformer"),IF(COUNTIFS($D:$D,$D13019,$A:$A,$A13019,$B:$B,$B13019,$G:$G,"CDU",$J:$J,"PLANNED")&gt;0,"tied","standalone"),"")</f>
        <v/>
      </c>
    </row>
    <row r="13020" spans="6:14">
      <c r="F13020" s="6">
        <f>IF($M13020="PADD I","PADD 1",IF($M13020="PADD II","PADD 2",IF($M13020="PADD III","PADD 3",IF($M13020="PADD IV","PADD 4",IF($M13020="PADD V","PADD 5","")))))</f>
        <v/>
      </c>
      <c r="G13020" s="6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  <c r="N13020" s="6">
        <f>IF(OR($G13020="FCC",$G13020="Hydrocracker",$G13020="Reformer"),IF(COUNTIFS($D:$D,$D13020,$A:$A,$A13020,$B:$B,$B13020,$G:$G,"CDU",$J:$J,"PLANNED")&gt;0,"tied","standalone"),"")</f>
        <v/>
      </c>
    </row>
    <row r="13021" spans="6:14">
      <c r="F13021" s="6">
        <f>IF($M13021="PADD I","PADD 1",IF($M13021="PADD II","PADD 2",IF($M13021="PADD III","PADD 3",IF($M13021="PADD IV","PADD 4",IF($M13021="PADD V","PADD 5","")))))</f>
        <v/>
      </c>
      <c r="G13021" s="6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  <c r="N13021" s="6">
        <f>IF(OR($G13021="FCC",$G13021="Hydrocracker",$G13021="Reformer"),IF(COUNTIFS($D:$D,$D13021,$A:$A,$A13021,$B:$B,$B13021,$G:$G,"CDU",$J:$J,"PLANNED")&gt;0,"tied","standalone"),"")</f>
        <v/>
      </c>
    </row>
    <row r="13022" spans="6:14">
      <c r="F13022" s="6">
        <f>IF($M13022="PADD I","PADD 1",IF($M13022="PADD II","PADD 2",IF($M13022="PADD III","PADD 3",IF($M13022="PADD IV","PADD 4",IF($M13022="PADD V","PADD 5","")))))</f>
        <v/>
      </c>
      <c r="G13022" s="6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  <c r="N13022" s="6">
        <f>IF(OR($G13022="FCC",$G13022="Hydrocracker",$G13022="Reformer"),IF(COUNTIFS($D:$D,$D13022,$A:$A,$A13022,$B:$B,$B13022,$G:$G,"CDU",$J:$J,"PLANNED")&gt;0,"tied","standalone"),"")</f>
        <v/>
      </c>
    </row>
    <row r="13023" spans="6:14">
      <c r="F13023" s="6">
        <f>IF($M13023="PADD I","PADD 1",IF($M13023="PADD II","PADD 2",IF($M13023="PADD III","PADD 3",IF($M13023="PADD IV","PADD 4",IF($M13023="PADD V","PADD 5","")))))</f>
        <v/>
      </c>
      <c r="G13023" s="6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  <c r="N13023" s="6">
        <f>IF(OR($G13023="FCC",$G13023="Hydrocracker",$G13023="Reformer"),IF(COUNTIFS($D:$D,$D13023,$A:$A,$A13023,$B:$B,$B13023,$G:$G,"CDU",$J:$J,"PLANNED")&gt;0,"tied","standalone"),"")</f>
        <v/>
      </c>
    </row>
    <row r="13024" spans="6:14">
      <c r="F13024" s="6">
        <f>IF($M13024="PADD I","PADD 1",IF($M13024="PADD II","PADD 2",IF($M13024="PADD III","PADD 3",IF($M13024="PADD IV","PADD 4",IF($M13024="PADD V","PADD 5","")))))</f>
        <v/>
      </c>
      <c r="G13024" s="6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  <c r="N13024" s="6">
        <f>IF(OR($G13024="FCC",$G13024="Hydrocracker",$G13024="Reformer"),IF(COUNTIFS($D:$D,$D13024,$A:$A,$A13024,$B:$B,$B13024,$G:$G,"CDU",$J:$J,"PLANNED")&gt;0,"tied","standalone"),"")</f>
        <v/>
      </c>
    </row>
    <row r="13025" spans="6:14">
      <c r="F13025" s="6">
        <f>IF($M13025="PADD I","PADD 1",IF($M13025="PADD II","PADD 2",IF($M13025="PADD III","PADD 3",IF($M13025="PADD IV","PADD 4",IF($M13025="PADD V","PADD 5","")))))</f>
        <v/>
      </c>
      <c r="G13025" s="6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  <c r="N13025" s="6">
        <f>IF(OR($G13025="FCC",$G13025="Hydrocracker",$G13025="Reformer"),IF(COUNTIFS($D:$D,$D13025,$A:$A,$A13025,$B:$B,$B13025,$G:$G,"CDU",$J:$J,"PLANNED")&gt;0,"tied","standalone"),"")</f>
        <v/>
      </c>
    </row>
    <row r="13026" spans="6:14">
      <c r="F13026" s="6">
        <f>IF($M13026="PADD I","PADD 1",IF($M13026="PADD II","PADD 2",IF($M13026="PADD III","PADD 3",IF($M13026="PADD IV","PADD 4",IF($M13026="PADD V","PADD 5","")))))</f>
        <v/>
      </c>
      <c r="G13026" s="6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  <c r="N13026" s="6">
        <f>IF(OR($G13026="FCC",$G13026="Hydrocracker",$G13026="Reformer"),IF(COUNTIFS($D:$D,$D13026,$A:$A,$A13026,$B:$B,$B13026,$G:$G,"CDU",$J:$J,"PLANNED")&gt;0,"tied","standalone"),"")</f>
        <v/>
      </c>
    </row>
    <row r="13027" spans="6:14">
      <c r="F13027" s="6">
        <f>IF($M13027="PADD I","PADD 1",IF($M13027="PADD II","PADD 2",IF($M13027="PADD III","PADD 3",IF($M13027="PADD IV","PADD 4",IF($M13027="PADD V","PADD 5","")))))</f>
        <v/>
      </c>
      <c r="G13027" s="6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  <c r="N13027" s="6">
        <f>IF(OR($G13027="FCC",$G13027="Hydrocracker",$G13027="Reformer"),IF(COUNTIFS($D:$D,$D13027,$A:$A,$A13027,$B:$B,$B13027,$G:$G,"CDU",$J:$J,"PLANNED")&gt;0,"tied","standalone"),"")</f>
        <v/>
      </c>
    </row>
    <row r="13028" spans="6:14">
      <c r="F13028" s="6">
        <f>IF($M13028="PADD I","PADD 1",IF($M13028="PADD II","PADD 2",IF($M13028="PADD III","PADD 3",IF($M13028="PADD IV","PADD 4",IF($M13028="PADD V","PADD 5","")))))</f>
        <v/>
      </c>
      <c r="G13028" s="6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  <c r="N13028" s="6">
        <f>IF(OR($G13028="FCC",$G13028="Hydrocracker",$G13028="Reformer"),IF(COUNTIFS($D:$D,$D13028,$A:$A,$A13028,$B:$B,$B13028,$G:$G,"CDU",$J:$J,"PLANNED")&gt;0,"tied","standalone"),"")</f>
        <v/>
      </c>
    </row>
    <row r="13029" spans="6:14">
      <c r="F13029" s="6">
        <f>IF($M13029="PADD I","PADD 1",IF($M13029="PADD II","PADD 2",IF($M13029="PADD III","PADD 3",IF($M13029="PADD IV","PADD 4",IF($M13029="PADD V","PADD 5","")))))</f>
        <v/>
      </c>
      <c r="G13029" s="6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  <c r="N13029" s="6">
        <f>IF(OR($G13029="FCC",$G13029="Hydrocracker",$G13029="Reformer"),IF(COUNTIFS($D:$D,$D13029,$A:$A,$A13029,$B:$B,$B13029,$G:$G,"CDU",$J:$J,"PLANNED")&gt;0,"tied","standalone"),"")</f>
        <v/>
      </c>
    </row>
    <row r="13030" spans="6:14">
      <c r="F13030" s="6">
        <f>IF($M13030="PADD I","PADD 1",IF($M13030="PADD II","PADD 2",IF($M13030="PADD III","PADD 3",IF($M13030="PADD IV","PADD 4",IF($M13030="PADD V","PADD 5","")))))</f>
        <v/>
      </c>
      <c r="G13030" s="6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  <c r="N13030" s="6">
        <f>IF(OR($G13030="FCC",$G13030="Hydrocracker",$G13030="Reformer"),IF(COUNTIFS($D:$D,$D13030,$A:$A,$A13030,$B:$B,$B13030,$G:$G,"CDU",$J:$J,"PLANNED")&gt;0,"tied","standalone"),"")</f>
        <v/>
      </c>
    </row>
    <row r="13031" spans="6:14">
      <c r="F13031" s="6">
        <f>IF($M13031="PADD I","PADD 1",IF($M13031="PADD II","PADD 2",IF($M13031="PADD III","PADD 3",IF($M13031="PADD IV","PADD 4",IF($M13031="PADD V","PADD 5","")))))</f>
        <v/>
      </c>
      <c r="G13031" s="6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  <c r="N13031" s="6">
        <f>IF(OR($G13031="FCC",$G13031="Hydrocracker",$G13031="Reformer"),IF(COUNTIFS($D:$D,$D13031,$A:$A,$A13031,$B:$B,$B13031,$G:$G,"CDU",$J:$J,"PLANNED")&gt;0,"tied","standalone"),"")</f>
        <v/>
      </c>
    </row>
    <row r="13032" spans="6:14">
      <c r="F13032" s="6">
        <f>IF($M13032="PADD I","PADD 1",IF($M13032="PADD II","PADD 2",IF($M13032="PADD III","PADD 3",IF($M13032="PADD IV","PADD 4",IF($M13032="PADD V","PADD 5","")))))</f>
        <v/>
      </c>
      <c r="G13032" s="6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  <c r="N13032" s="6">
        <f>IF(OR($G13032="FCC",$G13032="Hydrocracker",$G13032="Reformer"),IF(COUNTIFS($D:$D,$D13032,$A:$A,$A13032,$B:$B,$B13032,$G:$G,"CDU",$J:$J,"PLANNED")&gt;0,"tied","standalone"),"")</f>
        <v/>
      </c>
    </row>
    <row r="13033" spans="6:14">
      <c r="F13033" s="6">
        <f>IF($M13033="PADD I","PADD 1",IF($M13033="PADD II","PADD 2",IF($M13033="PADD III","PADD 3",IF($M13033="PADD IV","PADD 4",IF($M13033="PADD V","PADD 5","")))))</f>
        <v/>
      </c>
      <c r="G13033" s="6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  <c r="N13033" s="6">
        <f>IF(OR($G13033="FCC",$G13033="Hydrocracker",$G13033="Reformer"),IF(COUNTIFS($D:$D,$D13033,$A:$A,$A13033,$B:$B,$B13033,$G:$G,"CDU",$J:$J,"PLANNED")&gt;0,"tied","standalone"),"")</f>
        <v/>
      </c>
    </row>
    <row r="13034" spans="6:14">
      <c r="F13034" s="6">
        <f>IF($M13034="PADD I","PADD 1",IF($M13034="PADD II","PADD 2",IF($M13034="PADD III","PADD 3",IF($M13034="PADD IV","PADD 4",IF($M13034="PADD V","PADD 5","")))))</f>
        <v/>
      </c>
      <c r="G13034" s="6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  <c r="N13034" s="6">
        <f>IF(OR($G13034="FCC",$G13034="Hydrocracker",$G13034="Reformer"),IF(COUNTIFS($D:$D,$D13034,$A:$A,$A13034,$B:$B,$B13034,$G:$G,"CDU",$J:$J,"PLANNED")&gt;0,"tied","standalone"),"")</f>
        <v/>
      </c>
    </row>
    <row r="13035" spans="6:14">
      <c r="F13035" s="6">
        <f>IF($M13035="PADD I","PADD 1",IF($M13035="PADD II","PADD 2",IF($M13035="PADD III","PADD 3",IF($M13035="PADD IV","PADD 4",IF($M13035="PADD V","PADD 5","")))))</f>
        <v/>
      </c>
      <c r="G13035" s="6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  <c r="N13035" s="6">
        <f>IF(OR($G13035="FCC",$G13035="Hydrocracker",$G13035="Reformer"),IF(COUNTIFS($D:$D,$D13035,$A:$A,$A13035,$B:$B,$B13035,$G:$G,"CDU",$J:$J,"PLANNED")&gt;0,"tied","standalone"),"")</f>
        <v/>
      </c>
    </row>
    <row r="13036" spans="6:14">
      <c r="F13036" s="6">
        <f>IF($M13036="PADD I","PADD 1",IF($M13036="PADD II","PADD 2",IF($M13036="PADD III","PADD 3",IF($M13036="PADD IV","PADD 4",IF($M13036="PADD V","PADD 5","")))))</f>
        <v/>
      </c>
      <c r="G13036" s="6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  <c r="N13036" s="6">
        <f>IF(OR($G13036="FCC",$G13036="Hydrocracker",$G13036="Reformer"),IF(COUNTIFS($D:$D,$D13036,$A:$A,$A13036,$B:$B,$B13036,$G:$G,"CDU",$J:$J,"PLANNED")&gt;0,"tied","standalone"),"")</f>
        <v/>
      </c>
    </row>
    <row r="13037" spans="6:14">
      <c r="F13037" s="6">
        <f>IF($M13037="PADD I","PADD 1",IF($M13037="PADD II","PADD 2",IF($M13037="PADD III","PADD 3",IF($M13037="PADD IV","PADD 4",IF($M13037="PADD V","PADD 5","")))))</f>
        <v/>
      </c>
      <c r="G13037" s="6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  <c r="N13037" s="6">
        <f>IF(OR($G13037="FCC",$G13037="Hydrocracker",$G13037="Reformer"),IF(COUNTIFS($D:$D,$D13037,$A:$A,$A13037,$B:$B,$B13037,$G:$G,"CDU",$J:$J,"PLANNED")&gt;0,"tied","standalone"),"")</f>
        <v/>
      </c>
    </row>
    <row r="13038" spans="6:14">
      <c r="F13038" s="6">
        <f>IF($M13038="PADD I","PADD 1",IF($M13038="PADD II","PADD 2",IF($M13038="PADD III","PADD 3",IF($M13038="PADD IV","PADD 4",IF($M13038="PADD V","PADD 5","")))))</f>
        <v/>
      </c>
      <c r="G13038" s="6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  <c r="N13038" s="6">
        <f>IF(OR($G13038="FCC",$G13038="Hydrocracker",$G13038="Reformer"),IF(COUNTIFS($D:$D,$D13038,$A:$A,$A13038,$B:$B,$B13038,$G:$G,"CDU",$J:$J,"PLANNED")&gt;0,"tied","standalone"),"")</f>
        <v/>
      </c>
    </row>
    <row r="13039" spans="6:14">
      <c r="F13039" s="6">
        <f>IF($M13039="PADD I","PADD 1",IF($M13039="PADD II","PADD 2",IF($M13039="PADD III","PADD 3",IF($M13039="PADD IV","PADD 4",IF($M13039="PADD V","PADD 5","")))))</f>
        <v/>
      </c>
      <c r="G13039" s="6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  <c r="N13039" s="6">
        <f>IF(OR($G13039="FCC",$G13039="Hydrocracker",$G13039="Reformer"),IF(COUNTIFS($D:$D,$D13039,$A:$A,$A13039,$B:$B,$B13039,$G:$G,"CDU",$J:$J,"PLANNED")&gt;0,"tied","standalone"),"")</f>
        <v/>
      </c>
    </row>
    <row r="13040" spans="6:14">
      <c r="F13040" s="6">
        <f>IF($M13040="PADD I","PADD 1",IF($M13040="PADD II","PADD 2",IF($M13040="PADD III","PADD 3",IF($M13040="PADD IV","PADD 4",IF($M13040="PADD V","PADD 5","")))))</f>
        <v/>
      </c>
      <c r="G13040" s="6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  <c r="N13040" s="6">
        <f>IF(OR($G13040="FCC",$G13040="Hydrocracker",$G13040="Reformer"),IF(COUNTIFS($D:$D,$D13040,$A:$A,$A13040,$B:$B,$B13040,$G:$G,"CDU",$J:$J,"PLANNED")&gt;0,"tied","standalone"),"")</f>
        <v/>
      </c>
    </row>
    <row r="13041" spans="6:14">
      <c r="F13041" s="6">
        <f>IF($M13041="PADD I","PADD 1",IF($M13041="PADD II","PADD 2",IF($M13041="PADD III","PADD 3",IF($M13041="PADD IV","PADD 4",IF($M13041="PADD V","PADD 5","")))))</f>
        <v/>
      </c>
      <c r="G13041" s="6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  <c r="N13041" s="6">
        <f>IF(OR($G13041="FCC",$G13041="Hydrocracker",$G13041="Reformer"),IF(COUNTIFS($D:$D,$D13041,$A:$A,$A13041,$B:$B,$B13041,$G:$G,"CDU",$J:$J,"PLANNED")&gt;0,"tied","standalone"),"")</f>
        <v/>
      </c>
    </row>
    <row r="13042" spans="6:14">
      <c r="F13042" s="6">
        <f>IF($M13042="PADD I","PADD 1",IF($M13042="PADD II","PADD 2",IF($M13042="PADD III","PADD 3",IF($M13042="PADD IV","PADD 4",IF($M13042="PADD V","PADD 5","")))))</f>
        <v/>
      </c>
      <c r="G13042" s="6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  <c r="N13042" s="6">
        <f>IF(OR($G13042="FCC",$G13042="Hydrocracker",$G13042="Reformer"),IF(COUNTIFS($D:$D,$D13042,$A:$A,$A13042,$B:$B,$B13042,$G:$G,"CDU",$J:$J,"PLANNED")&gt;0,"tied","standalone"),"")</f>
        <v/>
      </c>
    </row>
    <row r="13043" spans="6:14">
      <c r="F13043" s="6">
        <f>IF($M13043="PADD I","PADD 1",IF($M13043="PADD II","PADD 2",IF($M13043="PADD III","PADD 3",IF($M13043="PADD IV","PADD 4",IF($M13043="PADD V","PADD 5","")))))</f>
        <v/>
      </c>
      <c r="G13043" s="6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  <c r="N13043" s="6">
        <f>IF(OR($G13043="FCC",$G13043="Hydrocracker",$G13043="Reformer"),IF(COUNTIFS($D:$D,$D13043,$A:$A,$A13043,$B:$B,$B13043,$G:$G,"CDU",$J:$J,"PLANNED")&gt;0,"tied","standalone"),"")</f>
        <v/>
      </c>
    </row>
    <row r="13044" spans="6:14">
      <c r="F13044" s="6">
        <f>IF($M13044="PADD I","PADD 1",IF($M13044="PADD II","PADD 2",IF($M13044="PADD III","PADD 3",IF($M13044="PADD IV","PADD 4",IF($M13044="PADD V","PADD 5","")))))</f>
        <v/>
      </c>
      <c r="G13044" s="6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  <c r="N13044" s="6">
        <f>IF(OR($G13044="FCC",$G13044="Hydrocracker",$G13044="Reformer"),IF(COUNTIFS($D:$D,$D13044,$A:$A,$A13044,$B:$B,$B13044,$G:$G,"CDU",$J:$J,"PLANNED")&gt;0,"tied","standalone"),"")</f>
        <v/>
      </c>
    </row>
    <row r="13045" spans="6:14">
      <c r="F13045" s="6">
        <f>IF($M13045="PADD I","PADD 1",IF($M13045="PADD II","PADD 2",IF($M13045="PADD III","PADD 3",IF($M13045="PADD IV","PADD 4",IF($M13045="PADD V","PADD 5","")))))</f>
        <v/>
      </c>
      <c r="G13045" s="6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  <c r="N13045" s="6">
        <f>IF(OR($G13045="FCC",$G13045="Hydrocracker",$G13045="Reformer"),IF(COUNTIFS($D:$D,$D13045,$A:$A,$A13045,$B:$B,$B13045,$G:$G,"CDU",$J:$J,"PLANNED")&gt;0,"tied","standalone"),"")</f>
        <v/>
      </c>
    </row>
    <row r="13046" spans="6:14">
      <c r="F13046" s="6">
        <f>IF($M13046="PADD I","PADD 1",IF($M13046="PADD II","PADD 2",IF($M13046="PADD III","PADD 3",IF($M13046="PADD IV","PADD 4",IF($M13046="PADD V","PADD 5","")))))</f>
        <v/>
      </c>
      <c r="G13046" s="6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  <c r="N13046" s="6">
        <f>IF(OR($G13046="FCC",$G13046="Hydrocracker",$G13046="Reformer"),IF(COUNTIFS($D:$D,$D13046,$A:$A,$A13046,$B:$B,$B13046,$G:$G,"CDU",$J:$J,"PLANNED")&gt;0,"tied","standalone"),"")</f>
        <v/>
      </c>
    </row>
    <row r="13047" spans="6:14">
      <c r="F13047" s="6">
        <f>IF($M13047="PADD I","PADD 1",IF($M13047="PADD II","PADD 2",IF($M13047="PADD III","PADD 3",IF($M13047="PADD IV","PADD 4",IF($M13047="PADD V","PADD 5","")))))</f>
        <v/>
      </c>
      <c r="G13047" s="6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  <c r="N13047" s="6">
        <f>IF(OR($G13047="FCC",$G13047="Hydrocracker",$G13047="Reformer"),IF(COUNTIFS($D:$D,$D13047,$A:$A,$A13047,$B:$B,$B13047,$G:$G,"CDU",$J:$J,"PLANNED")&gt;0,"tied","standalone"),"")</f>
        <v/>
      </c>
    </row>
    <row r="13048" spans="6:14">
      <c r="F13048" s="6">
        <f>IF($M13048="PADD I","PADD 1",IF($M13048="PADD II","PADD 2",IF($M13048="PADD III","PADD 3",IF($M13048="PADD IV","PADD 4",IF($M13048="PADD V","PADD 5","")))))</f>
        <v/>
      </c>
      <c r="G13048" s="6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  <c r="N13048" s="6">
        <f>IF(OR($G13048="FCC",$G13048="Hydrocracker",$G13048="Reformer"),IF(COUNTIFS($D:$D,$D13048,$A:$A,$A13048,$B:$B,$B13048,$G:$G,"CDU",$J:$J,"PLANNED")&gt;0,"tied","standalone"),"")</f>
        <v/>
      </c>
    </row>
    <row r="13049" spans="6:14">
      <c r="F13049" s="6">
        <f>IF($M13049="PADD I","PADD 1",IF($M13049="PADD II","PADD 2",IF($M13049="PADD III","PADD 3",IF($M13049="PADD IV","PADD 4",IF($M13049="PADD V","PADD 5","")))))</f>
        <v/>
      </c>
      <c r="G13049" s="6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  <c r="N13049" s="6">
        <f>IF(OR($G13049="FCC",$G13049="Hydrocracker",$G13049="Reformer"),IF(COUNTIFS($D:$D,$D13049,$A:$A,$A13049,$B:$B,$B13049,$G:$G,"CDU",$J:$J,"PLANNED")&gt;0,"tied","standalone"),"")</f>
        <v/>
      </c>
    </row>
    <row r="13050" spans="6:14">
      <c r="F13050" s="6">
        <f>IF($M13050="PADD I","PADD 1",IF($M13050="PADD II","PADD 2",IF($M13050="PADD III","PADD 3",IF($M13050="PADD IV","PADD 4",IF($M13050="PADD V","PADD 5","")))))</f>
        <v/>
      </c>
      <c r="G13050" s="6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  <c r="N13050" s="6">
        <f>IF(OR($G13050="FCC",$G13050="Hydrocracker",$G13050="Reformer"),IF(COUNTIFS($D:$D,$D13050,$A:$A,$A13050,$B:$B,$B13050,$G:$G,"CDU",$J:$J,"PLANNED")&gt;0,"tied","standalone"),"")</f>
        <v/>
      </c>
    </row>
    <row r="13051" spans="6:14">
      <c r="F13051" s="6">
        <f>IF($M13051="PADD I","PADD 1",IF($M13051="PADD II","PADD 2",IF($M13051="PADD III","PADD 3",IF($M13051="PADD IV","PADD 4",IF($M13051="PADD V","PADD 5","")))))</f>
        <v/>
      </c>
      <c r="G13051" s="6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  <c r="N13051" s="6">
        <f>IF(OR($G13051="FCC",$G13051="Hydrocracker",$G13051="Reformer"),IF(COUNTIFS($D:$D,$D13051,$A:$A,$A13051,$B:$B,$B13051,$G:$G,"CDU",$J:$J,"PLANNED")&gt;0,"tied","standalone"),"")</f>
        <v/>
      </c>
    </row>
    <row r="13052" spans="6:14">
      <c r="F13052" s="6">
        <f>IF($M13052="PADD I","PADD 1",IF($M13052="PADD II","PADD 2",IF($M13052="PADD III","PADD 3",IF($M13052="PADD IV","PADD 4",IF($M13052="PADD V","PADD 5","")))))</f>
        <v/>
      </c>
      <c r="G13052" s="6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  <c r="N13052" s="6">
        <f>IF(OR($G13052="FCC",$G13052="Hydrocracker",$G13052="Reformer"),IF(COUNTIFS($D:$D,$D13052,$A:$A,$A13052,$B:$B,$B13052,$G:$G,"CDU",$J:$J,"PLANNED")&gt;0,"tied","standalone"),"")</f>
        <v/>
      </c>
    </row>
    <row r="13053" spans="6:14">
      <c r="F13053" s="6">
        <f>IF($M13053="PADD I","PADD 1",IF($M13053="PADD II","PADD 2",IF($M13053="PADD III","PADD 3",IF($M13053="PADD IV","PADD 4",IF($M13053="PADD V","PADD 5","")))))</f>
        <v/>
      </c>
      <c r="G13053" s="6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  <c r="N13053" s="6">
        <f>IF(OR($G13053="FCC",$G13053="Hydrocracker",$G13053="Reformer"),IF(COUNTIFS($D:$D,$D13053,$A:$A,$A13053,$B:$B,$B13053,$G:$G,"CDU",$J:$J,"PLANNED")&gt;0,"tied","standalone"),"")</f>
        <v/>
      </c>
    </row>
    <row r="13054" spans="6:14">
      <c r="F13054" s="6">
        <f>IF($M13054="PADD I","PADD 1",IF($M13054="PADD II","PADD 2",IF($M13054="PADD III","PADD 3",IF($M13054="PADD IV","PADD 4",IF($M13054="PADD V","PADD 5","")))))</f>
        <v/>
      </c>
      <c r="G13054" s="6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  <c r="N13054" s="6">
        <f>IF(OR($G13054="FCC",$G13054="Hydrocracker",$G13054="Reformer"),IF(COUNTIFS($D:$D,$D13054,$A:$A,$A13054,$B:$B,$B13054,$G:$G,"CDU",$J:$J,"PLANNED")&gt;0,"tied","standalone"),"")</f>
        <v/>
      </c>
    </row>
    <row r="13055" spans="6:14">
      <c r="F13055" s="6">
        <f>IF($M13055="PADD I","PADD 1",IF($M13055="PADD II","PADD 2",IF($M13055="PADD III","PADD 3",IF($M13055="PADD IV","PADD 4",IF($M13055="PADD V","PADD 5","")))))</f>
        <v/>
      </c>
      <c r="G13055" s="6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  <c r="N13055" s="6">
        <f>IF(OR($G13055="FCC",$G13055="Hydrocracker",$G13055="Reformer"),IF(COUNTIFS($D:$D,$D13055,$A:$A,$A13055,$B:$B,$B13055,$G:$G,"CDU",$J:$J,"PLANNED")&gt;0,"tied","standalone"),"")</f>
        <v/>
      </c>
    </row>
    <row r="13056" spans="6:14">
      <c r="F13056" s="6">
        <f>IF($M13056="PADD I","PADD 1",IF($M13056="PADD II","PADD 2",IF($M13056="PADD III","PADD 3",IF($M13056="PADD IV","PADD 4",IF($M13056="PADD V","PADD 5","")))))</f>
        <v/>
      </c>
      <c r="G13056" s="6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  <c r="N13056" s="6">
        <f>IF(OR($G13056="FCC",$G13056="Hydrocracker",$G13056="Reformer"),IF(COUNTIFS($D:$D,$D13056,$A:$A,$A13056,$B:$B,$B13056,$G:$G,"CDU",$J:$J,"PLANNED")&gt;0,"tied","standalone"),"")</f>
        <v/>
      </c>
    </row>
    <row r="13057" spans="6:14">
      <c r="F13057" s="6">
        <f>IF($M13057="PADD I","PADD 1",IF($M13057="PADD II","PADD 2",IF($M13057="PADD III","PADD 3",IF($M13057="PADD IV","PADD 4",IF($M13057="PADD V","PADD 5","")))))</f>
        <v/>
      </c>
      <c r="G13057" s="6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  <c r="N13057" s="6">
        <f>IF(OR($G13057="FCC",$G13057="Hydrocracker",$G13057="Reformer"),IF(COUNTIFS($D:$D,$D13057,$A:$A,$A13057,$B:$B,$B13057,$G:$G,"CDU",$J:$J,"PLANNED")&gt;0,"tied","standalone"),"")</f>
        <v/>
      </c>
    </row>
    <row r="13058" spans="6:14">
      <c r="F13058" s="6">
        <f>IF($M13058="PADD I","PADD 1",IF($M13058="PADD II","PADD 2",IF($M13058="PADD III","PADD 3",IF($M13058="PADD IV","PADD 4",IF($M13058="PADD V","PADD 5","")))))</f>
        <v/>
      </c>
      <c r="G13058" s="6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  <c r="N13058" s="6">
        <f>IF(OR($G13058="FCC",$G13058="Hydrocracker",$G13058="Reformer"),IF(COUNTIFS($D:$D,$D13058,$A:$A,$A13058,$B:$B,$B13058,$G:$G,"CDU",$J:$J,"PLANNED")&gt;0,"tied","standalone"),"")</f>
        <v/>
      </c>
    </row>
    <row r="13059" spans="6:14">
      <c r="F13059" s="6">
        <f>IF($M13059="PADD I","PADD 1",IF($M13059="PADD II","PADD 2",IF($M13059="PADD III","PADD 3",IF($M13059="PADD IV","PADD 4",IF($M13059="PADD V","PADD 5","")))))</f>
        <v/>
      </c>
      <c r="G13059" s="6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  <c r="N13059" s="6">
        <f>IF(OR($G13059="FCC",$G13059="Hydrocracker",$G13059="Reformer"),IF(COUNTIFS($D:$D,$D13059,$A:$A,$A13059,$B:$B,$B13059,$G:$G,"CDU",$J:$J,"PLANNED")&gt;0,"tied","standalone"),"")</f>
        <v/>
      </c>
    </row>
    <row r="13060" spans="6:14">
      <c r="F13060" s="6">
        <f>IF($M13060="PADD I","PADD 1",IF($M13060="PADD II","PADD 2",IF($M13060="PADD III","PADD 3",IF($M13060="PADD IV","PADD 4",IF($M13060="PADD V","PADD 5","")))))</f>
        <v/>
      </c>
      <c r="G13060" s="6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  <c r="N13060" s="6">
        <f>IF(OR($G13060="FCC",$G13060="Hydrocracker",$G13060="Reformer"),IF(COUNTIFS($D:$D,$D13060,$A:$A,$A13060,$B:$B,$B13060,$G:$G,"CDU",$J:$J,"PLANNED")&gt;0,"tied","standalone"),"")</f>
        <v/>
      </c>
    </row>
    <row r="13061" spans="6:14">
      <c r="F13061" s="6">
        <f>IF($M13061="PADD I","PADD 1",IF($M13061="PADD II","PADD 2",IF($M13061="PADD III","PADD 3",IF($M13061="PADD IV","PADD 4",IF($M13061="PADD V","PADD 5","")))))</f>
        <v/>
      </c>
      <c r="G13061" s="6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  <c r="N13061" s="6">
        <f>IF(OR($G13061="FCC",$G13061="Hydrocracker",$G13061="Reformer"),IF(COUNTIFS($D:$D,$D13061,$A:$A,$A13061,$B:$B,$B13061,$G:$G,"CDU",$J:$J,"PLANNED")&gt;0,"tied","standalone"),"")</f>
        <v/>
      </c>
    </row>
    <row r="13062" spans="6:14">
      <c r="F13062" s="6">
        <f>IF($M13062="PADD I","PADD 1",IF($M13062="PADD II","PADD 2",IF($M13062="PADD III","PADD 3",IF($M13062="PADD IV","PADD 4",IF($M13062="PADD V","PADD 5","")))))</f>
        <v/>
      </c>
      <c r="G13062" s="6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  <c r="N13062" s="6">
        <f>IF(OR($G13062="FCC",$G13062="Hydrocracker",$G13062="Reformer"),IF(COUNTIFS($D:$D,$D13062,$A:$A,$A13062,$B:$B,$B13062,$G:$G,"CDU",$J:$J,"PLANNED")&gt;0,"tied","standalone"),"")</f>
        <v/>
      </c>
    </row>
    <row r="13063" spans="6:14">
      <c r="F13063" s="6">
        <f>IF($M13063="PADD I","PADD 1",IF($M13063="PADD II","PADD 2",IF($M13063="PADD III","PADD 3",IF($M13063="PADD IV","PADD 4",IF($M13063="PADD V","PADD 5","")))))</f>
        <v/>
      </c>
      <c r="G13063" s="6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  <c r="N13063" s="6">
        <f>IF(OR($G13063="FCC",$G13063="Hydrocracker",$G13063="Reformer"),IF(COUNTIFS($D:$D,$D13063,$A:$A,$A13063,$B:$B,$B13063,$G:$G,"CDU",$J:$J,"PLANNED")&gt;0,"tied","standalone"),"")</f>
        <v/>
      </c>
    </row>
    <row r="13064" spans="6:14">
      <c r="F13064" s="6">
        <f>IF($M13064="PADD I","PADD 1",IF($M13064="PADD II","PADD 2",IF($M13064="PADD III","PADD 3",IF($M13064="PADD IV","PADD 4",IF($M13064="PADD V","PADD 5","")))))</f>
        <v/>
      </c>
      <c r="G13064" s="6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  <c r="N13064" s="6">
        <f>IF(OR($G13064="FCC",$G13064="Hydrocracker",$G13064="Reformer"),IF(COUNTIFS($D:$D,$D13064,$A:$A,$A13064,$B:$B,$B13064,$G:$G,"CDU",$J:$J,"PLANNED")&gt;0,"tied","standalone"),"")</f>
        <v/>
      </c>
    </row>
    <row r="13065" spans="6:14">
      <c r="F13065" s="6">
        <f>IF($M13065="PADD I","PADD 1",IF($M13065="PADD II","PADD 2",IF($M13065="PADD III","PADD 3",IF($M13065="PADD IV","PADD 4",IF($M13065="PADD V","PADD 5","")))))</f>
        <v/>
      </c>
      <c r="G13065" s="6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  <c r="N13065" s="6">
        <f>IF(OR($G13065="FCC",$G13065="Hydrocracker",$G13065="Reformer"),IF(COUNTIFS($D:$D,$D13065,$A:$A,$A13065,$B:$B,$B13065,$G:$G,"CDU",$J:$J,"PLANNED")&gt;0,"tied","standalone"),"")</f>
        <v/>
      </c>
    </row>
    <row r="13066" spans="6:14">
      <c r="F13066" s="6">
        <f>IF($M13066="PADD I","PADD 1",IF($M13066="PADD II","PADD 2",IF($M13066="PADD III","PADD 3",IF($M13066="PADD IV","PADD 4",IF($M13066="PADD V","PADD 5","")))))</f>
        <v/>
      </c>
      <c r="G13066" s="6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  <c r="N13066" s="6">
        <f>IF(OR($G13066="FCC",$G13066="Hydrocracker",$G13066="Reformer"),IF(COUNTIFS($D:$D,$D13066,$A:$A,$A13066,$B:$B,$B13066,$G:$G,"CDU",$J:$J,"PLANNED")&gt;0,"tied","standalone"),"")</f>
        <v/>
      </c>
    </row>
    <row r="13067" spans="6:14">
      <c r="F13067" s="6">
        <f>IF($M13067="PADD I","PADD 1",IF($M13067="PADD II","PADD 2",IF($M13067="PADD III","PADD 3",IF($M13067="PADD IV","PADD 4",IF($M13067="PADD V","PADD 5","")))))</f>
        <v/>
      </c>
      <c r="G13067" s="6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  <c r="N13067" s="6">
        <f>IF(OR($G13067="FCC",$G13067="Hydrocracker",$G13067="Reformer"),IF(COUNTIFS($D:$D,$D13067,$A:$A,$A13067,$B:$B,$B13067,$G:$G,"CDU",$J:$J,"PLANNED")&gt;0,"tied","standalone"),"")</f>
        <v/>
      </c>
    </row>
    <row r="13068" spans="6:14">
      <c r="F13068" s="6">
        <f>IF($M13068="PADD I","PADD 1",IF($M13068="PADD II","PADD 2",IF($M13068="PADD III","PADD 3",IF($M13068="PADD IV","PADD 4",IF($M13068="PADD V","PADD 5","")))))</f>
        <v/>
      </c>
      <c r="G13068" s="6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  <c r="N13068" s="6">
        <f>IF(OR($G13068="FCC",$G13068="Hydrocracker",$G13068="Reformer"),IF(COUNTIFS($D:$D,$D13068,$A:$A,$A13068,$B:$B,$B13068,$G:$G,"CDU",$J:$J,"PLANNED")&gt;0,"tied","standalone"),"")</f>
        <v/>
      </c>
    </row>
    <row r="13069" spans="6:14">
      <c r="F13069" s="6">
        <f>IF($M13069="PADD I","PADD 1",IF($M13069="PADD II","PADD 2",IF($M13069="PADD III","PADD 3",IF($M13069="PADD IV","PADD 4",IF($M13069="PADD V","PADD 5","")))))</f>
        <v/>
      </c>
      <c r="G13069" s="6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  <c r="N13069" s="6">
        <f>IF(OR($G13069="FCC",$G13069="Hydrocracker",$G13069="Reformer"),IF(COUNTIFS($D:$D,$D13069,$A:$A,$A13069,$B:$B,$B13069,$G:$G,"CDU",$J:$J,"PLANNED")&gt;0,"tied","standalone"),"")</f>
        <v/>
      </c>
    </row>
    <row r="13070" spans="6:14">
      <c r="F13070" s="6">
        <f>IF($M13070="PADD I","PADD 1",IF($M13070="PADD II","PADD 2",IF($M13070="PADD III","PADD 3",IF($M13070="PADD IV","PADD 4",IF($M13070="PADD V","PADD 5","")))))</f>
        <v/>
      </c>
      <c r="G13070" s="6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  <c r="N13070" s="6">
        <f>IF(OR($G13070="FCC",$G13070="Hydrocracker",$G13070="Reformer"),IF(COUNTIFS($D:$D,$D13070,$A:$A,$A13070,$B:$B,$B13070,$G:$G,"CDU",$J:$J,"PLANNED")&gt;0,"tied","standalone"),"")</f>
        <v/>
      </c>
    </row>
    <row r="13071" spans="6:14">
      <c r="F13071" s="6">
        <f>IF($M13071="PADD I","PADD 1",IF($M13071="PADD II","PADD 2",IF($M13071="PADD III","PADD 3",IF($M13071="PADD IV","PADD 4",IF($M13071="PADD V","PADD 5","")))))</f>
        <v/>
      </c>
      <c r="G13071" s="6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  <c r="N13071" s="6">
        <f>IF(OR($G13071="FCC",$G13071="Hydrocracker",$G13071="Reformer"),IF(COUNTIFS($D:$D,$D13071,$A:$A,$A13071,$B:$B,$B13071,$G:$G,"CDU",$J:$J,"PLANNED")&gt;0,"tied","standalone"),"")</f>
        <v/>
      </c>
    </row>
    <row r="13072" spans="6:14">
      <c r="F13072" s="6">
        <f>IF($M13072="PADD I","PADD 1",IF($M13072="PADD II","PADD 2",IF($M13072="PADD III","PADD 3",IF($M13072="PADD IV","PADD 4",IF($M13072="PADD V","PADD 5","")))))</f>
        <v/>
      </c>
      <c r="G13072" s="6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  <c r="N13072" s="6">
        <f>IF(OR($G13072="FCC",$G13072="Hydrocracker",$G13072="Reformer"),IF(COUNTIFS($D:$D,$D13072,$A:$A,$A13072,$B:$B,$B13072,$G:$G,"CDU",$J:$J,"PLANNED")&gt;0,"tied","standalone"),"")</f>
        <v/>
      </c>
    </row>
    <row r="13073" spans="6:14">
      <c r="F13073" s="6">
        <f>IF($M13073="PADD I","PADD 1",IF($M13073="PADD II","PADD 2",IF($M13073="PADD III","PADD 3",IF($M13073="PADD IV","PADD 4",IF($M13073="PADD V","PADD 5","")))))</f>
        <v/>
      </c>
      <c r="G13073" s="6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  <c r="N13073" s="6">
        <f>IF(OR($G13073="FCC",$G13073="Hydrocracker",$G13073="Reformer"),IF(COUNTIFS($D:$D,$D13073,$A:$A,$A13073,$B:$B,$B13073,$G:$G,"CDU",$J:$J,"PLANNED")&gt;0,"tied","standalone"),"")</f>
        <v/>
      </c>
    </row>
    <row r="13074" spans="6:14">
      <c r="F13074" s="6">
        <f>IF($M13074="PADD I","PADD 1",IF($M13074="PADD II","PADD 2",IF($M13074="PADD III","PADD 3",IF($M13074="PADD IV","PADD 4",IF($M13074="PADD V","PADD 5","")))))</f>
        <v/>
      </c>
      <c r="G13074" s="6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  <c r="N13074" s="6">
        <f>IF(OR($G13074="FCC",$G13074="Hydrocracker",$G13074="Reformer"),IF(COUNTIFS($D:$D,$D13074,$A:$A,$A13074,$B:$B,$B13074,$G:$G,"CDU",$J:$J,"PLANNED")&gt;0,"tied","standalone"),"")</f>
        <v/>
      </c>
    </row>
    <row r="13075" spans="6:14">
      <c r="F13075" s="6">
        <f>IF($M13075="PADD I","PADD 1",IF($M13075="PADD II","PADD 2",IF($M13075="PADD III","PADD 3",IF($M13075="PADD IV","PADD 4",IF($M13075="PADD V","PADD 5","")))))</f>
        <v/>
      </c>
      <c r="G13075" s="6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  <c r="N13075" s="6">
        <f>IF(OR($G13075="FCC",$G13075="Hydrocracker",$G13075="Reformer"),IF(COUNTIFS($D:$D,$D13075,$A:$A,$A13075,$B:$B,$B13075,$G:$G,"CDU",$J:$J,"PLANNED")&gt;0,"tied","standalone"),"")</f>
        <v/>
      </c>
    </row>
    <row r="13076" spans="6:14">
      <c r="F13076" s="6">
        <f>IF($M13076="PADD I","PADD 1",IF($M13076="PADD II","PADD 2",IF($M13076="PADD III","PADD 3",IF($M13076="PADD IV","PADD 4",IF($M13076="PADD V","PADD 5","")))))</f>
        <v/>
      </c>
      <c r="G13076" s="6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  <c r="N13076" s="6">
        <f>IF(OR($G13076="FCC",$G13076="Hydrocracker",$G13076="Reformer"),IF(COUNTIFS($D:$D,$D13076,$A:$A,$A13076,$B:$B,$B13076,$G:$G,"CDU",$J:$J,"PLANNED")&gt;0,"tied","standalone"),"")</f>
        <v/>
      </c>
    </row>
    <row r="13077" spans="6:14">
      <c r="F13077" s="6">
        <f>IF($M13077="PADD I","PADD 1",IF($M13077="PADD II","PADD 2",IF($M13077="PADD III","PADD 3",IF($M13077="PADD IV","PADD 4",IF($M13077="PADD V","PADD 5","")))))</f>
        <v/>
      </c>
      <c r="G13077" s="6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  <c r="N13077" s="6">
        <f>IF(OR($G13077="FCC",$G13077="Hydrocracker",$G13077="Reformer"),IF(COUNTIFS($D:$D,$D13077,$A:$A,$A13077,$B:$B,$B13077,$G:$G,"CDU",$J:$J,"PLANNED")&gt;0,"tied","standalone"),"")</f>
        <v/>
      </c>
    </row>
    <row r="13078" spans="6:14">
      <c r="F13078" s="6">
        <f>IF($M13078="PADD I","PADD 1",IF($M13078="PADD II","PADD 2",IF($M13078="PADD III","PADD 3",IF($M13078="PADD IV","PADD 4",IF($M13078="PADD V","PADD 5","")))))</f>
        <v/>
      </c>
      <c r="G13078" s="6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  <c r="N13078" s="6">
        <f>IF(OR($G13078="FCC",$G13078="Hydrocracker",$G13078="Reformer"),IF(COUNTIFS($D:$D,$D13078,$A:$A,$A13078,$B:$B,$B13078,$G:$G,"CDU",$J:$J,"PLANNED")&gt;0,"tied","standalone"),"")</f>
        <v/>
      </c>
    </row>
    <row r="13079" spans="6:14">
      <c r="F13079" s="6">
        <f>IF($M13079="PADD I","PADD 1",IF($M13079="PADD II","PADD 2",IF($M13079="PADD III","PADD 3",IF($M13079="PADD IV","PADD 4",IF($M13079="PADD V","PADD 5","")))))</f>
        <v/>
      </c>
      <c r="G13079" s="6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  <c r="N13079" s="6">
        <f>IF(OR($G13079="FCC",$G13079="Hydrocracker",$G13079="Reformer"),IF(COUNTIFS($D:$D,$D13079,$A:$A,$A13079,$B:$B,$B13079,$G:$G,"CDU",$J:$J,"PLANNED")&gt;0,"tied","standalone"),"")</f>
        <v/>
      </c>
    </row>
    <row r="13080" spans="6:14">
      <c r="F13080" s="6">
        <f>IF($M13080="PADD I","PADD 1",IF($M13080="PADD II","PADD 2",IF($M13080="PADD III","PADD 3",IF($M13080="PADD IV","PADD 4",IF($M13080="PADD V","PADD 5","")))))</f>
        <v/>
      </c>
      <c r="G13080" s="6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  <c r="N13080" s="6">
        <f>IF(OR($G13080="FCC",$G13080="Hydrocracker",$G13080="Reformer"),IF(COUNTIFS($D:$D,$D13080,$A:$A,$A13080,$B:$B,$B13080,$G:$G,"CDU",$J:$J,"PLANNED")&gt;0,"tied","standalone"),"")</f>
        <v/>
      </c>
    </row>
    <row r="13081" spans="6:14">
      <c r="F13081" s="6">
        <f>IF($M13081="PADD I","PADD 1",IF($M13081="PADD II","PADD 2",IF($M13081="PADD III","PADD 3",IF($M13081="PADD IV","PADD 4",IF($M13081="PADD V","PADD 5","")))))</f>
        <v/>
      </c>
      <c r="G13081" s="6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  <c r="N13081" s="6">
        <f>IF(OR($G13081="FCC",$G13081="Hydrocracker",$G13081="Reformer"),IF(COUNTIFS($D:$D,$D13081,$A:$A,$A13081,$B:$B,$B13081,$G:$G,"CDU",$J:$J,"PLANNED")&gt;0,"tied","standalone"),"")</f>
        <v/>
      </c>
    </row>
    <row r="13082" spans="6:14">
      <c r="F13082" s="6">
        <f>IF($M13082="PADD I","PADD 1",IF($M13082="PADD II","PADD 2",IF($M13082="PADD III","PADD 3",IF($M13082="PADD IV","PADD 4",IF($M13082="PADD V","PADD 5","")))))</f>
        <v/>
      </c>
      <c r="G13082" s="6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  <c r="N13082" s="6">
        <f>IF(OR($G13082="FCC",$G13082="Hydrocracker",$G13082="Reformer"),IF(COUNTIFS($D:$D,$D13082,$A:$A,$A13082,$B:$B,$B13082,$G:$G,"CDU",$J:$J,"PLANNED")&gt;0,"tied","standalone"),"")</f>
        <v/>
      </c>
    </row>
    <row r="13083" spans="6:14">
      <c r="F13083" s="6">
        <f>IF($M13083="PADD I","PADD 1",IF($M13083="PADD II","PADD 2",IF($M13083="PADD III","PADD 3",IF($M13083="PADD IV","PADD 4",IF($M13083="PADD V","PADD 5","")))))</f>
        <v/>
      </c>
      <c r="G13083" s="6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  <c r="N13083" s="6">
        <f>IF(OR($G13083="FCC",$G13083="Hydrocracker",$G13083="Reformer"),IF(COUNTIFS($D:$D,$D13083,$A:$A,$A13083,$B:$B,$B13083,$G:$G,"CDU",$J:$J,"PLANNED")&gt;0,"tied","standalone"),"")</f>
        <v/>
      </c>
    </row>
    <row r="13084" spans="6:14">
      <c r="F13084" s="6">
        <f>IF($M13084="PADD I","PADD 1",IF($M13084="PADD II","PADD 2",IF($M13084="PADD III","PADD 3",IF($M13084="PADD IV","PADD 4",IF($M13084="PADD V","PADD 5","")))))</f>
        <v/>
      </c>
      <c r="G13084" s="6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  <c r="N13084" s="6">
        <f>IF(OR($G13084="FCC",$G13084="Hydrocracker",$G13084="Reformer"),IF(COUNTIFS($D:$D,$D13084,$A:$A,$A13084,$B:$B,$B13084,$G:$G,"CDU",$J:$J,"PLANNED")&gt;0,"tied","standalone"),"")</f>
        <v/>
      </c>
    </row>
    <row r="13085" spans="6:14">
      <c r="F13085" s="6">
        <f>IF($M13085="PADD I","PADD 1",IF($M13085="PADD II","PADD 2",IF($M13085="PADD III","PADD 3",IF($M13085="PADD IV","PADD 4",IF($M13085="PADD V","PADD 5","")))))</f>
        <v/>
      </c>
      <c r="G13085" s="6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  <c r="N13085" s="6">
        <f>IF(OR($G13085="FCC",$G13085="Hydrocracker",$G13085="Reformer"),IF(COUNTIFS($D:$D,$D13085,$A:$A,$A13085,$B:$B,$B13085,$G:$G,"CDU",$J:$J,"PLANNED")&gt;0,"tied","standalone"),"")</f>
        <v/>
      </c>
    </row>
    <row r="13086" spans="6:14">
      <c r="F13086" s="6">
        <f>IF($M13086="PADD I","PADD 1",IF($M13086="PADD II","PADD 2",IF($M13086="PADD III","PADD 3",IF($M13086="PADD IV","PADD 4",IF($M13086="PADD V","PADD 5","")))))</f>
        <v/>
      </c>
      <c r="G13086" s="6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  <c r="N13086" s="6">
        <f>IF(OR($G13086="FCC",$G13086="Hydrocracker",$G13086="Reformer"),IF(COUNTIFS($D:$D,$D13086,$A:$A,$A13086,$B:$B,$B13086,$G:$G,"CDU",$J:$J,"PLANNED")&gt;0,"tied","standalone"),"")</f>
        <v/>
      </c>
    </row>
    <row r="13087" spans="6:14">
      <c r="F13087" s="6">
        <f>IF($M13087="PADD I","PADD 1",IF($M13087="PADD II","PADD 2",IF($M13087="PADD III","PADD 3",IF($M13087="PADD IV","PADD 4",IF($M13087="PADD V","PADD 5","")))))</f>
        <v/>
      </c>
      <c r="G13087" s="6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  <c r="N13087" s="6">
        <f>IF(OR($G13087="FCC",$G13087="Hydrocracker",$G13087="Reformer"),IF(COUNTIFS($D:$D,$D13087,$A:$A,$A13087,$B:$B,$B13087,$G:$G,"CDU",$J:$J,"PLANNED")&gt;0,"tied","standalone"),"")</f>
        <v/>
      </c>
    </row>
    <row r="13088" spans="6:14">
      <c r="F13088" s="6">
        <f>IF($M13088="PADD I","PADD 1",IF($M13088="PADD II","PADD 2",IF($M13088="PADD III","PADD 3",IF($M13088="PADD IV","PADD 4",IF($M13088="PADD V","PADD 5","")))))</f>
        <v/>
      </c>
      <c r="G13088" s="6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  <c r="N13088" s="6">
        <f>IF(OR($G13088="FCC",$G13088="Hydrocracker",$G13088="Reformer"),IF(COUNTIFS($D:$D,$D13088,$A:$A,$A13088,$B:$B,$B13088,$G:$G,"CDU",$J:$J,"PLANNED")&gt;0,"tied","standalone"),"")</f>
        <v/>
      </c>
    </row>
    <row r="13089" spans="6:14">
      <c r="F13089" s="6">
        <f>IF($M13089="PADD I","PADD 1",IF($M13089="PADD II","PADD 2",IF($M13089="PADD III","PADD 3",IF($M13089="PADD IV","PADD 4",IF($M13089="PADD V","PADD 5","")))))</f>
        <v/>
      </c>
      <c r="G13089" s="6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  <c r="N13089" s="6">
        <f>IF(OR($G13089="FCC",$G13089="Hydrocracker",$G13089="Reformer"),IF(COUNTIFS($D:$D,$D13089,$A:$A,$A13089,$B:$B,$B13089,$G:$G,"CDU",$J:$J,"PLANNED")&gt;0,"tied","standalone"),"")</f>
        <v/>
      </c>
    </row>
    <row r="13090" spans="6:14">
      <c r="F13090" s="6">
        <f>IF($M13090="PADD I","PADD 1",IF($M13090="PADD II","PADD 2",IF($M13090="PADD III","PADD 3",IF($M13090="PADD IV","PADD 4",IF($M13090="PADD V","PADD 5","")))))</f>
        <v/>
      </c>
      <c r="G13090" s="6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  <c r="N13090" s="6">
        <f>IF(OR($G13090="FCC",$G13090="Hydrocracker",$G13090="Reformer"),IF(COUNTIFS($D:$D,$D13090,$A:$A,$A13090,$B:$B,$B13090,$G:$G,"CDU",$J:$J,"PLANNED")&gt;0,"tied","standalone"),"")</f>
        <v/>
      </c>
    </row>
    <row r="13091" spans="6:14">
      <c r="F13091" s="6">
        <f>IF($M13091="PADD I","PADD 1",IF($M13091="PADD II","PADD 2",IF($M13091="PADD III","PADD 3",IF($M13091="PADD IV","PADD 4",IF($M13091="PADD V","PADD 5","")))))</f>
        <v/>
      </c>
      <c r="G13091" s="6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  <c r="N13091" s="6">
        <f>IF(OR($G13091="FCC",$G13091="Hydrocracker",$G13091="Reformer"),IF(COUNTIFS($D:$D,$D13091,$A:$A,$A13091,$B:$B,$B13091,$G:$G,"CDU",$J:$J,"PLANNED")&gt;0,"tied","standalone"),"")</f>
        <v/>
      </c>
    </row>
    <row r="13092" spans="6:14">
      <c r="F13092" s="6">
        <f>IF($M13092="PADD I","PADD 1",IF($M13092="PADD II","PADD 2",IF($M13092="PADD III","PADD 3",IF($M13092="PADD IV","PADD 4",IF($M13092="PADD V","PADD 5","")))))</f>
        <v/>
      </c>
      <c r="G13092" s="6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  <c r="N13092" s="6">
        <f>IF(OR($G13092="FCC",$G13092="Hydrocracker",$G13092="Reformer"),IF(COUNTIFS($D:$D,$D13092,$A:$A,$A13092,$B:$B,$B13092,$G:$G,"CDU",$J:$J,"PLANNED")&gt;0,"tied","standalone"),"")</f>
        <v/>
      </c>
    </row>
    <row r="13093" spans="6:14">
      <c r="F13093" s="6">
        <f>IF($M13093="PADD I","PADD 1",IF($M13093="PADD II","PADD 2",IF($M13093="PADD III","PADD 3",IF($M13093="PADD IV","PADD 4",IF($M13093="PADD V","PADD 5","")))))</f>
        <v/>
      </c>
      <c r="G13093" s="6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  <c r="N13093" s="6">
        <f>IF(OR($G13093="FCC",$G13093="Hydrocracker",$G13093="Reformer"),IF(COUNTIFS($D:$D,$D13093,$A:$A,$A13093,$B:$B,$B13093,$G:$G,"CDU",$J:$J,"PLANNED")&gt;0,"tied","standalone"),"")</f>
        <v/>
      </c>
    </row>
    <row r="13094" spans="6:14">
      <c r="F13094" s="6">
        <f>IF($M13094="PADD I","PADD 1",IF($M13094="PADD II","PADD 2",IF($M13094="PADD III","PADD 3",IF($M13094="PADD IV","PADD 4",IF($M13094="PADD V","PADD 5","")))))</f>
        <v/>
      </c>
      <c r="G13094" s="6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  <c r="N13094" s="6">
        <f>IF(OR($G13094="FCC",$G13094="Hydrocracker",$G13094="Reformer"),IF(COUNTIFS($D:$D,$D13094,$A:$A,$A13094,$B:$B,$B13094,$G:$G,"CDU",$J:$J,"PLANNED")&gt;0,"tied","standalone"),"")</f>
        <v/>
      </c>
    </row>
    <row r="13095" spans="6:14">
      <c r="F13095" s="6">
        <f>IF($M13095="PADD I","PADD 1",IF($M13095="PADD II","PADD 2",IF($M13095="PADD III","PADD 3",IF($M13095="PADD IV","PADD 4",IF($M13095="PADD V","PADD 5","")))))</f>
        <v/>
      </c>
      <c r="G13095" s="6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  <c r="N13095" s="6">
        <f>IF(OR($G13095="FCC",$G13095="Hydrocracker",$G13095="Reformer"),IF(COUNTIFS($D:$D,$D13095,$A:$A,$A13095,$B:$B,$B13095,$G:$G,"CDU",$J:$J,"PLANNED")&gt;0,"tied","standalone"),"")</f>
        <v/>
      </c>
    </row>
    <row r="13096" spans="6:14">
      <c r="F13096" s="6">
        <f>IF($M13096="PADD I","PADD 1",IF($M13096="PADD II","PADD 2",IF($M13096="PADD III","PADD 3",IF($M13096="PADD IV","PADD 4",IF($M13096="PADD V","PADD 5","")))))</f>
        <v/>
      </c>
      <c r="G13096" s="6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  <c r="N13096" s="6">
        <f>IF(OR($G13096="FCC",$G13096="Hydrocracker",$G13096="Reformer"),IF(COUNTIFS($D:$D,$D13096,$A:$A,$A13096,$B:$B,$B13096,$G:$G,"CDU",$J:$J,"PLANNED")&gt;0,"tied","standalone"),"")</f>
        <v/>
      </c>
    </row>
    <row r="13097" spans="6:14">
      <c r="F13097" s="6">
        <f>IF($M13097="PADD I","PADD 1",IF($M13097="PADD II","PADD 2",IF($M13097="PADD III","PADD 3",IF($M13097="PADD IV","PADD 4",IF($M13097="PADD V","PADD 5","")))))</f>
        <v/>
      </c>
      <c r="G13097" s="6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  <c r="N13097" s="6">
        <f>IF(OR($G13097="FCC",$G13097="Hydrocracker",$G13097="Reformer"),IF(COUNTIFS($D:$D,$D13097,$A:$A,$A13097,$B:$B,$B13097,$G:$G,"CDU",$J:$J,"PLANNED")&gt;0,"tied","standalone"),"")</f>
        <v/>
      </c>
    </row>
    <row r="13098" spans="6:14">
      <c r="F13098" s="6">
        <f>IF($M13098="PADD I","PADD 1",IF($M13098="PADD II","PADD 2",IF($M13098="PADD III","PADD 3",IF($M13098="PADD IV","PADD 4",IF($M13098="PADD V","PADD 5","")))))</f>
        <v/>
      </c>
      <c r="G13098" s="6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  <c r="N13098" s="6">
        <f>IF(OR($G13098="FCC",$G13098="Hydrocracker",$G13098="Reformer"),IF(COUNTIFS($D:$D,$D13098,$A:$A,$A13098,$B:$B,$B13098,$G:$G,"CDU",$J:$J,"PLANNED")&gt;0,"tied","standalone"),"")</f>
        <v/>
      </c>
    </row>
    <row r="13099" spans="6:14">
      <c r="F13099" s="6">
        <f>IF($M13099="PADD I","PADD 1",IF($M13099="PADD II","PADD 2",IF($M13099="PADD III","PADD 3",IF($M13099="PADD IV","PADD 4",IF($M13099="PADD V","PADD 5","")))))</f>
        <v/>
      </c>
      <c r="G13099" s="6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  <c r="N13099" s="6">
        <f>IF(OR($G13099="FCC",$G13099="Hydrocracker",$G13099="Reformer"),IF(COUNTIFS($D:$D,$D13099,$A:$A,$A13099,$B:$B,$B13099,$G:$G,"CDU",$J:$J,"PLANNED")&gt;0,"tied","standalone"),"")</f>
        <v/>
      </c>
    </row>
    <row r="13100" spans="6:14">
      <c r="F13100" s="6">
        <f>IF($M13100="PADD I","PADD 1",IF($M13100="PADD II","PADD 2",IF($M13100="PADD III","PADD 3",IF($M13100="PADD IV","PADD 4",IF($M13100="PADD V","PADD 5","")))))</f>
        <v/>
      </c>
      <c r="G13100" s="6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  <c r="N13100" s="6">
        <f>IF(OR($G13100="FCC",$G13100="Hydrocracker",$G13100="Reformer"),IF(COUNTIFS($D:$D,$D13100,$A:$A,$A13100,$B:$B,$B13100,$G:$G,"CDU",$J:$J,"PLANNED")&gt;0,"tied","standalone"),"")</f>
        <v/>
      </c>
    </row>
    <row r="13101" spans="6:14">
      <c r="F13101" s="6">
        <f>IF($M13101="PADD I","PADD 1",IF($M13101="PADD II","PADD 2",IF($M13101="PADD III","PADD 3",IF($M13101="PADD IV","PADD 4",IF($M13101="PADD V","PADD 5","")))))</f>
        <v/>
      </c>
      <c r="G13101" s="6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  <c r="N13101" s="6">
        <f>IF(OR($G13101="FCC",$G13101="Hydrocracker",$G13101="Reformer"),IF(COUNTIFS($D:$D,$D13101,$A:$A,$A13101,$B:$B,$B13101,$G:$G,"CDU",$J:$J,"PLANNED")&gt;0,"tied","standalone"),"")</f>
        <v/>
      </c>
    </row>
    <row r="13102" spans="6:14">
      <c r="F13102" s="6">
        <f>IF($M13102="PADD I","PADD 1",IF($M13102="PADD II","PADD 2",IF($M13102="PADD III","PADD 3",IF($M13102="PADD IV","PADD 4",IF($M13102="PADD V","PADD 5","")))))</f>
        <v/>
      </c>
      <c r="G13102" s="6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  <c r="N13102" s="6">
        <f>IF(OR($G13102="FCC",$G13102="Hydrocracker",$G13102="Reformer"),IF(COUNTIFS($D:$D,$D13102,$A:$A,$A13102,$B:$B,$B13102,$G:$G,"CDU",$J:$J,"PLANNED")&gt;0,"tied","standalone"),"")</f>
        <v/>
      </c>
    </row>
    <row r="13103" spans="6:14">
      <c r="F13103" s="6">
        <f>IF($M13103="PADD I","PADD 1",IF($M13103="PADD II","PADD 2",IF($M13103="PADD III","PADD 3",IF($M13103="PADD IV","PADD 4",IF($M13103="PADD V","PADD 5","")))))</f>
        <v/>
      </c>
      <c r="G13103" s="6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  <c r="N13103" s="6">
        <f>IF(OR($G13103="FCC",$G13103="Hydrocracker",$G13103="Reformer"),IF(COUNTIFS($D:$D,$D13103,$A:$A,$A13103,$B:$B,$B13103,$G:$G,"CDU",$J:$J,"PLANNED")&gt;0,"tied","standalone"),"")</f>
        <v/>
      </c>
    </row>
    <row r="13104" spans="6:14">
      <c r="F13104" s="6">
        <f>IF($M13104="PADD I","PADD 1",IF($M13104="PADD II","PADD 2",IF($M13104="PADD III","PADD 3",IF($M13104="PADD IV","PADD 4",IF($M13104="PADD V","PADD 5","")))))</f>
        <v/>
      </c>
      <c r="G13104" s="6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  <c r="N13104" s="6">
        <f>IF(OR($G13104="FCC",$G13104="Hydrocracker",$G13104="Reformer"),IF(COUNTIFS($D:$D,$D13104,$A:$A,$A13104,$B:$B,$B13104,$G:$G,"CDU",$J:$J,"PLANNED")&gt;0,"tied","standalone"),"")</f>
        <v/>
      </c>
    </row>
    <row r="13105" spans="6:14">
      <c r="F13105" s="6">
        <f>IF($M13105="PADD I","PADD 1",IF($M13105="PADD II","PADD 2",IF($M13105="PADD III","PADD 3",IF($M13105="PADD IV","PADD 4",IF($M13105="PADD V","PADD 5","")))))</f>
        <v/>
      </c>
      <c r="G13105" s="6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  <c r="N13105" s="6">
        <f>IF(OR($G13105="FCC",$G13105="Hydrocracker",$G13105="Reformer"),IF(COUNTIFS($D:$D,$D13105,$A:$A,$A13105,$B:$B,$B13105,$G:$G,"CDU",$J:$J,"PLANNED")&gt;0,"tied","standalone"),"")</f>
        <v/>
      </c>
    </row>
    <row r="13106" spans="6:14">
      <c r="F13106" s="6">
        <f>IF($M13106="PADD I","PADD 1",IF($M13106="PADD II","PADD 2",IF($M13106="PADD III","PADD 3",IF($M13106="PADD IV","PADD 4",IF($M13106="PADD V","PADD 5","")))))</f>
        <v/>
      </c>
      <c r="G13106" s="6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  <c r="N13106" s="6">
        <f>IF(OR($G13106="FCC",$G13106="Hydrocracker",$G13106="Reformer"),IF(COUNTIFS($D:$D,$D13106,$A:$A,$A13106,$B:$B,$B13106,$G:$G,"CDU",$J:$J,"PLANNED")&gt;0,"tied","standalone"),"")</f>
        <v/>
      </c>
    </row>
    <row r="13107" spans="6:14">
      <c r="F13107" s="6">
        <f>IF($M13107="PADD I","PADD 1",IF($M13107="PADD II","PADD 2",IF($M13107="PADD III","PADD 3",IF($M13107="PADD IV","PADD 4",IF($M13107="PADD V","PADD 5","")))))</f>
        <v/>
      </c>
      <c r="G13107" s="6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  <c r="N13107" s="6">
        <f>IF(OR($G13107="FCC",$G13107="Hydrocracker",$G13107="Reformer"),IF(COUNTIFS($D:$D,$D13107,$A:$A,$A13107,$B:$B,$B13107,$G:$G,"CDU",$J:$J,"PLANNED")&gt;0,"tied","standalone"),"")</f>
        <v/>
      </c>
    </row>
    <row r="13108" spans="6:14">
      <c r="F13108" s="6">
        <f>IF($M13108="PADD I","PADD 1",IF($M13108="PADD II","PADD 2",IF($M13108="PADD III","PADD 3",IF($M13108="PADD IV","PADD 4",IF($M13108="PADD V","PADD 5","")))))</f>
        <v/>
      </c>
      <c r="G13108" s="6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  <c r="N13108" s="6">
        <f>IF(OR($G13108="FCC",$G13108="Hydrocracker",$G13108="Reformer"),IF(COUNTIFS($D:$D,$D13108,$A:$A,$A13108,$B:$B,$B13108,$G:$G,"CDU",$J:$J,"PLANNED")&gt;0,"tied","standalone"),"")</f>
        <v/>
      </c>
    </row>
    <row r="13109" spans="6:14">
      <c r="F13109" s="6">
        <f>IF($M13109="PADD I","PADD 1",IF($M13109="PADD II","PADD 2",IF($M13109="PADD III","PADD 3",IF($M13109="PADD IV","PADD 4",IF($M13109="PADD V","PADD 5","")))))</f>
        <v/>
      </c>
      <c r="G13109" s="6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  <c r="N13109" s="6">
        <f>IF(OR($G13109="FCC",$G13109="Hydrocracker",$G13109="Reformer"),IF(COUNTIFS($D:$D,$D13109,$A:$A,$A13109,$B:$B,$B13109,$G:$G,"CDU",$J:$J,"PLANNED")&gt;0,"tied","standalone"),"")</f>
        <v/>
      </c>
    </row>
    <row r="13110" spans="6:14">
      <c r="F13110" s="6">
        <f>IF($M13110="PADD I","PADD 1",IF($M13110="PADD II","PADD 2",IF($M13110="PADD III","PADD 3",IF($M13110="PADD IV","PADD 4",IF($M13110="PADD V","PADD 5","")))))</f>
        <v/>
      </c>
      <c r="G13110" s="6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  <c r="N13110" s="6">
        <f>IF(OR($G13110="FCC",$G13110="Hydrocracker",$G13110="Reformer"),IF(COUNTIFS($D:$D,$D13110,$A:$A,$A13110,$B:$B,$B13110,$G:$G,"CDU",$J:$J,"PLANNED")&gt;0,"tied","standalone"),"")</f>
        <v/>
      </c>
    </row>
    <row r="13111" spans="6:14">
      <c r="F13111" s="6">
        <f>IF($M13111="PADD I","PADD 1",IF($M13111="PADD II","PADD 2",IF($M13111="PADD III","PADD 3",IF($M13111="PADD IV","PADD 4",IF($M13111="PADD V","PADD 5","")))))</f>
        <v/>
      </c>
      <c r="G13111" s="6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  <c r="N13111" s="6">
        <f>IF(OR($G13111="FCC",$G13111="Hydrocracker",$G13111="Reformer"),IF(COUNTIFS($D:$D,$D13111,$A:$A,$A13111,$B:$B,$B13111,$G:$G,"CDU",$J:$J,"PLANNED")&gt;0,"tied","standalone"),"")</f>
        <v/>
      </c>
    </row>
    <row r="13112" spans="6:14">
      <c r="F13112" s="6">
        <f>IF($M13112="PADD I","PADD 1",IF($M13112="PADD II","PADD 2",IF($M13112="PADD III","PADD 3",IF($M13112="PADD IV","PADD 4",IF($M13112="PADD V","PADD 5","")))))</f>
        <v/>
      </c>
      <c r="G13112" s="6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  <c r="N13112" s="6">
        <f>IF(OR($G13112="FCC",$G13112="Hydrocracker",$G13112="Reformer"),IF(COUNTIFS($D:$D,$D13112,$A:$A,$A13112,$B:$B,$B13112,$G:$G,"CDU",$J:$J,"PLANNED")&gt;0,"tied","standalone"),"")</f>
        <v/>
      </c>
    </row>
    <row r="13113" spans="6:14">
      <c r="F13113" s="6">
        <f>IF($M13113="PADD I","PADD 1",IF($M13113="PADD II","PADD 2",IF($M13113="PADD III","PADD 3",IF($M13113="PADD IV","PADD 4",IF($M13113="PADD V","PADD 5","")))))</f>
        <v/>
      </c>
      <c r="G13113" s="6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  <c r="N13113" s="6">
        <f>IF(OR($G13113="FCC",$G13113="Hydrocracker",$G13113="Reformer"),IF(COUNTIFS($D:$D,$D13113,$A:$A,$A13113,$B:$B,$B13113,$G:$G,"CDU",$J:$J,"PLANNED")&gt;0,"tied","standalone"),"")</f>
        <v/>
      </c>
    </row>
    <row r="13114" spans="6:14">
      <c r="F13114" s="6">
        <f>IF($M13114="PADD I","PADD 1",IF($M13114="PADD II","PADD 2",IF($M13114="PADD III","PADD 3",IF($M13114="PADD IV","PADD 4",IF($M13114="PADD V","PADD 5","")))))</f>
        <v/>
      </c>
      <c r="G13114" s="6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  <c r="N13114" s="6">
        <f>IF(OR($G13114="FCC",$G13114="Hydrocracker",$G13114="Reformer"),IF(COUNTIFS($D:$D,$D13114,$A:$A,$A13114,$B:$B,$B13114,$G:$G,"CDU",$J:$J,"PLANNED")&gt;0,"tied","standalone"),"")</f>
        <v/>
      </c>
    </row>
    <row r="13115" spans="6:14">
      <c r="F13115" s="6">
        <f>IF($M13115="PADD I","PADD 1",IF($M13115="PADD II","PADD 2",IF($M13115="PADD III","PADD 3",IF($M13115="PADD IV","PADD 4",IF($M13115="PADD V","PADD 5","")))))</f>
        <v/>
      </c>
      <c r="G13115" s="6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  <c r="N13115" s="6">
        <f>IF(OR($G13115="FCC",$G13115="Hydrocracker",$G13115="Reformer"),IF(COUNTIFS($D:$D,$D13115,$A:$A,$A13115,$B:$B,$B13115,$G:$G,"CDU",$J:$J,"PLANNED")&gt;0,"tied","standalone"),"")</f>
        <v/>
      </c>
    </row>
    <row r="13116" spans="6:14">
      <c r="F13116" s="6">
        <f>IF($M13116="PADD I","PADD 1",IF($M13116="PADD II","PADD 2",IF($M13116="PADD III","PADD 3",IF($M13116="PADD IV","PADD 4",IF($M13116="PADD V","PADD 5","")))))</f>
        <v/>
      </c>
      <c r="G13116" s="6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  <c r="N13116" s="6">
        <f>IF(OR($G13116="FCC",$G13116="Hydrocracker",$G13116="Reformer"),IF(COUNTIFS($D:$D,$D13116,$A:$A,$A13116,$B:$B,$B13116,$G:$G,"CDU",$J:$J,"PLANNED")&gt;0,"tied","standalone"),"")</f>
        <v/>
      </c>
    </row>
    <row r="13117" spans="6:14">
      <c r="F13117" s="6">
        <f>IF($M13117="PADD I","PADD 1",IF($M13117="PADD II","PADD 2",IF($M13117="PADD III","PADD 3",IF($M13117="PADD IV","PADD 4",IF($M13117="PADD V","PADD 5","")))))</f>
        <v/>
      </c>
      <c r="G13117" s="6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  <c r="N13117" s="6">
        <f>IF(OR($G13117="FCC",$G13117="Hydrocracker",$G13117="Reformer"),IF(COUNTIFS($D:$D,$D13117,$A:$A,$A13117,$B:$B,$B13117,$G:$G,"CDU",$J:$J,"PLANNED")&gt;0,"tied","standalone"),"")</f>
        <v/>
      </c>
    </row>
    <row r="13118" spans="6:14">
      <c r="F13118" s="6">
        <f>IF($M13118="PADD I","PADD 1",IF($M13118="PADD II","PADD 2",IF($M13118="PADD III","PADD 3",IF($M13118="PADD IV","PADD 4",IF($M13118="PADD V","PADD 5","")))))</f>
        <v/>
      </c>
      <c r="G13118" s="6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  <c r="N13118" s="6">
        <f>IF(OR($G13118="FCC",$G13118="Hydrocracker",$G13118="Reformer"),IF(COUNTIFS($D:$D,$D13118,$A:$A,$A13118,$B:$B,$B13118,$G:$G,"CDU",$J:$J,"PLANNED")&gt;0,"tied","standalone"),"")</f>
        <v/>
      </c>
    </row>
    <row r="13119" spans="6:14">
      <c r="F13119" s="6">
        <f>IF($M13119="PADD I","PADD 1",IF($M13119="PADD II","PADD 2",IF($M13119="PADD III","PADD 3",IF($M13119="PADD IV","PADD 4",IF($M13119="PADD V","PADD 5","")))))</f>
        <v/>
      </c>
      <c r="G13119" s="6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  <c r="N13119" s="6">
        <f>IF(OR($G13119="FCC",$G13119="Hydrocracker",$G13119="Reformer"),IF(COUNTIFS($D:$D,$D13119,$A:$A,$A13119,$B:$B,$B13119,$G:$G,"CDU",$J:$J,"PLANNED")&gt;0,"tied","standalone"),"")</f>
        <v/>
      </c>
    </row>
    <row r="13120" spans="6:14">
      <c r="F13120" s="6">
        <f>IF($M13120="PADD I","PADD 1",IF($M13120="PADD II","PADD 2",IF($M13120="PADD III","PADD 3",IF($M13120="PADD IV","PADD 4",IF($M13120="PADD V","PADD 5","")))))</f>
        <v/>
      </c>
      <c r="G13120" s="6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  <c r="N13120" s="6">
        <f>IF(OR($G13120="FCC",$G13120="Hydrocracker",$G13120="Reformer"),IF(COUNTIFS($D:$D,$D13120,$A:$A,$A13120,$B:$B,$B13120,$G:$G,"CDU",$J:$J,"PLANNED")&gt;0,"tied","standalone"),"")</f>
        <v/>
      </c>
    </row>
    <row r="13121" spans="6:14">
      <c r="F13121" s="6">
        <f>IF($M13121="PADD I","PADD 1",IF($M13121="PADD II","PADD 2",IF($M13121="PADD III","PADD 3",IF($M13121="PADD IV","PADD 4",IF($M13121="PADD V","PADD 5","")))))</f>
        <v/>
      </c>
      <c r="G13121" s="6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  <c r="N13121" s="6">
        <f>IF(OR($G13121="FCC",$G13121="Hydrocracker",$G13121="Reformer"),IF(COUNTIFS($D:$D,$D13121,$A:$A,$A13121,$B:$B,$B13121,$G:$G,"CDU",$J:$J,"PLANNED")&gt;0,"tied","standalone"),"")</f>
        <v/>
      </c>
    </row>
    <row r="13122" spans="6:14">
      <c r="F13122" s="6">
        <f>IF($M13122="PADD I","PADD 1",IF($M13122="PADD II","PADD 2",IF($M13122="PADD III","PADD 3",IF($M13122="PADD IV","PADD 4",IF($M13122="PADD V","PADD 5","")))))</f>
        <v/>
      </c>
      <c r="G13122" s="6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  <c r="N13122" s="6">
        <f>IF(OR($G13122="FCC",$G13122="Hydrocracker",$G13122="Reformer"),IF(COUNTIFS($D:$D,$D13122,$A:$A,$A13122,$B:$B,$B13122,$G:$G,"CDU",$J:$J,"PLANNED")&gt;0,"tied","standalone"),"")</f>
        <v/>
      </c>
    </row>
    <row r="13123" spans="6:14">
      <c r="F13123" s="6">
        <f>IF($M13123="PADD I","PADD 1",IF($M13123="PADD II","PADD 2",IF($M13123="PADD III","PADD 3",IF($M13123="PADD IV","PADD 4",IF($M13123="PADD V","PADD 5","")))))</f>
        <v/>
      </c>
      <c r="G13123" s="6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  <c r="N13123" s="6">
        <f>IF(OR($G13123="FCC",$G13123="Hydrocracker",$G13123="Reformer"),IF(COUNTIFS($D:$D,$D13123,$A:$A,$A13123,$B:$B,$B13123,$G:$G,"CDU",$J:$J,"PLANNED")&gt;0,"tied","standalone"),"")</f>
        <v/>
      </c>
    </row>
    <row r="13124" spans="6:14">
      <c r="F13124" s="6">
        <f>IF($M13124="PADD I","PADD 1",IF($M13124="PADD II","PADD 2",IF($M13124="PADD III","PADD 3",IF($M13124="PADD IV","PADD 4",IF($M13124="PADD V","PADD 5","")))))</f>
        <v/>
      </c>
      <c r="G13124" s="6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  <c r="N13124" s="6">
        <f>IF(OR($G13124="FCC",$G13124="Hydrocracker",$G13124="Reformer"),IF(COUNTIFS($D:$D,$D13124,$A:$A,$A13124,$B:$B,$B13124,$G:$G,"CDU",$J:$J,"PLANNED")&gt;0,"tied","standalone"),"")</f>
        <v/>
      </c>
    </row>
    <row r="13125" spans="6:14">
      <c r="F13125" s="6">
        <f>IF($M13125="PADD I","PADD 1",IF($M13125="PADD II","PADD 2",IF($M13125="PADD III","PADD 3",IF($M13125="PADD IV","PADD 4",IF($M13125="PADD V","PADD 5","")))))</f>
        <v/>
      </c>
      <c r="G13125" s="6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  <c r="N13125" s="6">
        <f>IF(OR($G13125="FCC",$G13125="Hydrocracker",$G13125="Reformer"),IF(COUNTIFS($D:$D,$D13125,$A:$A,$A13125,$B:$B,$B13125,$G:$G,"CDU",$J:$J,"PLANNED")&gt;0,"tied","standalone"),"")</f>
        <v/>
      </c>
    </row>
    <row r="13126" spans="6:14">
      <c r="F13126" s="6">
        <f>IF($M13126="PADD I","PADD 1",IF($M13126="PADD II","PADD 2",IF($M13126="PADD III","PADD 3",IF($M13126="PADD IV","PADD 4",IF($M13126="PADD V","PADD 5","")))))</f>
        <v/>
      </c>
      <c r="G13126" s="6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  <c r="N13126" s="6">
        <f>IF(OR($G13126="FCC",$G13126="Hydrocracker",$G13126="Reformer"),IF(COUNTIFS($D:$D,$D13126,$A:$A,$A13126,$B:$B,$B13126,$G:$G,"CDU",$J:$J,"PLANNED")&gt;0,"tied","standalone"),"")</f>
        <v/>
      </c>
    </row>
    <row r="13127" spans="6:14">
      <c r="F13127" s="6">
        <f>IF($M13127="PADD I","PADD 1",IF($M13127="PADD II","PADD 2",IF($M13127="PADD III","PADD 3",IF($M13127="PADD IV","PADD 4",IF($M13127="PADD V","PADD 5","")))))</f>
        <v/>
      </c>
      <c r="G13127" s="6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  <c r="N13127" s="6">
        <f>IF(OR($G13127="FCC",$G13127="Hydrocracker",$G13127="Reformer"),IF(COUNTIFS($D:$D,$D13127,$A:$A,$A13127,$B:$B,$B13127,$G:$G,"CDU",$J:$J,"PLANNED")&gt;0,"tied","standalone"),"")</f>
        <v/>
      </c>
    </row>
    <row r="13128" spans="6:14">
      <c r="F13128" s="6">
        <f>IF($M13128="PADD I","PADD 1",IF($M13128="PADD II","PADD 2",IF($M13128="PADD III","PADD 3",IF($M13128="PADD IV","PADD 4",IF($M13128="PADD V","PADD 5","")))))</f>
        <v/>
      </c>
      <c r="G13128" s="6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  <c r="N13128" s="6">
        <f>IF(OR($G13128="FCC",$G13128="Hydrocracker",$G13128="Reformer"),IF(COUNTIFS($D:$D,$D13128,$A:$A,$A13128,$B:$B,$B13128,$G:$G,"CDU",$J:$J,"PLANNED")&gt;0,"tied","standalone"),"")</f>
        <v/>
      </c>
    </row>
    <row r="13129" spans="6:14">
      <c r="F13129" s="6">
        <f>IF($M13129="PADD I","PADD 1",IF($M13129="PADD II","PADD 2",IF($M13129="PADD III","PADD 3",IF($M13129="PADD IV","PADD 4",IF($M13129="PADD V","PADD 5","")))))</f>
        <v/>
      </c>
      <c r="G13129" s="6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  <c r="N13129" s="6">
        <f>IF(OR($G13129="FCC",$G13129="Hydrocracker",$G13129="Reformer"),IF(COUNTIFS($D:$D,$D13129,$A:$A,$A13129,$B:$B,$B13129,$G:$G,"CDU",$J:$J,"PLANNED")&gt;0,"tied","standalone"),"")</f>
        <v/>
      </c>
    </row>
    <row r="13130" spans="6:14">
      <c r="F13130" s="6">
        <f>IF($M13130="PADD I","PADD 1",IF($M13130="PADD II","PADD 2",IF($M13130="PADD III","PADD 3",IF($M13130="PADD IV","PADD 4",IF($M13130="PADD V","PADD 5","")))))</f>
        <v/>
      </c>
      <c r="G13130" s="6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  <c r="N13130" s="6">
        <f>IF(OR($G13130="FCC",$G13130="Hydrocracker",$G13130="Reformer"),IF(COUNTIFS($D:$D,$D13130,$A:$A,$A13130,$B:$B,$B13130,$G:$G,"CDU",$J:$J,"PLANNED")&gt;0,"tied","standalone"),"")</f>
        <v/>
      </c>
    </row>
    <row r="13131" spans="6:14">
      <c r="F13131" s="6">
        <f>IF($M13131="PADD I","PADD 1",IF($M13131="PADD II","PADD 2",IF($M13131="PADD III","PADD 3",IF($M13131="PADD IV","PADD 4",IF($M13131="PADD V","PADD 5","")))))</f>
        <v/>
      </c>
      <c r="G13131" s="6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  <c r="N13131" s="6">
        <f>IF(OR($G13131="FCC",$G13131="Hydrocracker",$G13131="Reformer"),IF(COUNTIFS($D:$D,$D13131,$A:$A,$A13131,$B:$B,$B13131,$G:$G,"CDU",$J:$J,"PLANNED")&gt;0,"tied","standalone"),"")</f>
        <v/>
      </c>
    </row>
    <row r="13132" spans="6:14">
      <c r="F13132" s="6">
        <f>IF($M13132="PADD I","PADD 1",IF($M13132="PADD II","PADD 2",IF($M13132="PADD III","PADD 3",IF($M13132="PADD IV","PADD 4",IF($M13132="PADD V","PADD 5","")))))</f>
        <v/>
      </c>
      <c r="G13132" s="6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  <c r="N13132" s="6">
        <f>IF(OR($G13132="FCC",$G13132="Hydrocracker",$G13132="Reformer"),IF(COUNTIFS($D:$D,$D13132,$A:$A,$A13132,$B:$B,$B13132,$G:$G,"CDU",$J:$J,"PLANNED")&gt;0,"tied","standalone"),"")</f>
        <v/>
      </c>
    </row>
    <row r="13133" spans="6:14">
      <c r="F13133" s="6">
        <f>IF($M13133="PADD I","PADD 1",IF($M13133="PADD II","PADD 2",IF($M13133="PADD III","PADD 3",IF($M13133="PADD IV","PADD 4",IF($M13133="PADD V","PADD 5","")))))</f>
        <v/>
      </c>
      <c r="G13133" s="6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  <c r="N13133" s="6">
        <f>IF(OR($G13133="FCC",$G13133="Hydrocracker",$G13133="Reformer"),IF(COUNTIFS($D:$D,$D13133,$A:$A,$A13133,$B:$B,$B13133,$G:$G,"CDU",$J:$J,"PLANNED")&gt;0,"tied","standalone"),"")</f>
        <v/>
      </c>
    </row>
    <row r="13134" spans="6:14">
      <c r="F13134" s="6">
        <f>IF($M13134="PADD I","PADD 1",IF($M13134="PADD II","PADD 2",IF($M13134="PADD III","PADD 3",IF($M13134="PADD IV","PADD 4",IF($M13134="PADD V","PADD 5","")))))</f>
        <v/>
      </c>
      <c r="G13134" s="6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  <c r="N13134" s="6">
        <f>IF(OR($G13134="FCC",$G13134="Hydrocracker",$G13134="Reformer"),IF(COUNTIFS($D:$D,$D13134,$A:$A,$A13134,$B:$B,$B13134,$G:$G,"CDU",$J:$J,"PLANNED")&gt;0,"tied","standalone"),"")</f>
        <v/>
      </c>
    </row>
    <row r="13135" spans="6:14">
      <c r="F13135" s="6">
        <f>IF($M13135="PADD I","PADD 1",IF($M13135="PADD II","PADD 2",IF($M13135="PADD III","PADD 3",IF($M13135="PADD IV","PADD 4",IF($M13135="PADD V","PADD 5","")))))</f>
        <v/>
      </c>
      <c r="G13135" s="6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  <c r="N13135" s="6">
        <f>IF(OR($G13135="FCC",$G13135="Hydrocracker",$G13135="Reformer"),IF(COUNTIFS($D:$D,$D13135,$A:$A,$A13135,$B:$B,$B13135,$G:$G,"CDU",$J:$J,"PLANNED")&gt;0,"tied","standalone"),"")</f>
        <v/>
      </c>
    </row>
    <row r="13136" spans="6:14">
      <c r="F13136" s="6">
        <f>IF($M13136="PADD I","PADD 1",IF($M13136="PADD II","PADD 2",IF($M13136="PADD III","PADD 3",IF($M13136="PADD IV","PADD 4",IF($M13136="PADD V","PADD 5","")))))</f>
        <v/>
      </c>
      <c r="G13136" s="6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  <c r="N13136" s="6">
        <f>IF(OR($G13136="FCC",$G13136="Hydrocracker",$G13136="Reformer"),IF(COUNTIFS($D:$D,$D13136,$A:$A,$A13136,$B:$B,$B13136,$G:$G,"CDU",$J:$J,"PLANNED")&gt;0,"tied","standalone"),"")</f>
        <v/>
      </c>
    </row>
    <row r="13137" spans="6:14">
      <c r="F13137" s="6">
        <f>IF($M13137="PADD I","PADD 1",IF($M13137="PADD II","PADD 2",IF($M13137="PADD III","PADD 3",IF($M13137="PADD IV","PADD 4",IF($M13137="PADD V","PADD 5","")))))</f>
        <v/>
      </c>
      <c r="G13137" s="6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  <c r="N13137" s="6">
        <f>IF(OR($G13137="FCC",$G13137="Hydrocracker",$G13137="Reformer"),IF(COUNTIFS($D:$D,$D13137,$A:$A,$A13137,$B:$B,$B13137,$G:$G,"CDU",$J:$J,"PLANNED")&gt;0,"tied","standalone"),"")</f>
        <v/>
      </c>
    </row>
    <row r="13138" spans="6:14">
      <c r="F13138" s="6">
        <f>IF($M13138="PADD I","PADD 1",IF($M13138="PADD II","PADD 2",IF($M13138="PADD III","PADD 3",IF($M13138="PADD IV","PADD 4",IF($M13138="PADD V","PADD 5","")))))</f>
        <v/>
      </c>
      <c r="G13138" s="6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  <c r="N13138" s="6">
        <f>IF(OR($G13138="FCC",$G13138="Hydrocracker",$G13138="Reformer"),IF(COUNTIFS($D:$D,$D13138,$A:$A,$A13138,$B:$B,$B13138,$G:$G,"CDU",$J:$J,"PLANNED")&gt;0,"tied","standalone"),"")</f>
        <v/>
      </c>
    </row>
    <row r="13139" spans="6:14">
      <c r="F13139" s="6">
        <f>IF($M13139="PADD I","PADD 1",IF($M13139="PADD II","PADD 2",IF($M13139="PADD III","PADD 3",IF($M13139="PADD IV","PADD 4",IF($M13139="PADD V","PADD 5","")))))</f>
        <v/>
      </c>
      <c r="G13139" s="6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  <c r="N13139" s="6">
        <f>IF(OR($G13139="FCC",$G13139="Hydrocracker",$G13139="Reformer"),IF(COUNTIFS($D:$D,$D13139,$A:$A,$A13139,$B:$B,$B13139,$G:$G,"CDU",$J:$J,"PLANNED")&gt;0,"tied","standalone"),"")</f>
        <v/>
      </c>
    </row>
    <row r="13140" spans="6:14">
      <c r="F13140" s="6">
        <f>IF($M13140="PADD I","PADD 1",IF($M13140="PADD II","PADD 2",IF($M13140="PADD III","PADD 3",IF($M13140="PADD IV","PADD 4",IF($M13140="PADD V","PADD 5","")))))</f>
        <v/>
      </c>
      <c r="G13140" s="6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  <c r="N13140" s="6">
        <f>IF(OR($G13140="FCC",$G13140="Hydrocracker",$G13140="Reformer"),IF(COUNTIFS($D:$D,$D13140,$A:$A,$A13140,$B:$B,$B13140,$G:$G,"CDU",$J:$J,"PLANNED")&gt;0,"tied","standalone"),"")</f>
        <v/>
      </c>
    </row>
    <row r="13141" spans="6:14">
      <c r="F13141" s="6">
        <f>IF($M13141="PADD I","PADD 1",IF($M13141="PADD II","PADD 2",IF($M13141="PADD III","PADD 3",IF($M13141="PADD IV","PADD 4",IF($M13141="PADD V","PADD 5","")))))</f>
        <v/>
      </c>
      <c r="G13141" s="6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  <c r="N13141" s="6">
        <f>IF(OR($G13141="FCC",$G13141="Hydrocracker",$G13141="Reformer"),IF(COUNTIFS($D:$D,$D13141,$A:$A,$A13141,$B:$B,$B13141,$G:$G,"CDU",$J:$J,"PLANNED")&gt;0,"tied","standalone"),"")</f>
        <v/>
      </c>
    </row>
    <row r="13142" spans="6:14">
      <c r="F13142" s="6">
        <f>IF($M13142="PADD I","PADD 1",IF($M13142="PADD II","PADD 2",IF($M13142="PADD III","PADD 3",IF($M13142="PADD IV","PADD 4",IF($M13142="PADD V","PADD 5","")))))</f>
        <v/>
      </c>
      <c r="G13142" s="6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  <c r="N13142" s="6">
        <f>IF(OR($G13142="FCC",$G13142="Hydrocracker",$G13142="Reformer"),IF(COUNTIFS($D:$D,$D13142,$A:$A,$A13142,$B:$B,$B13142,$G:$G,"CDU",$J:$J,"PLANNED")&gt;0,"tied","standalone"),"")</f>
        <v/>
      </c>
    </row>
    <row r="13143" spans="6:14">
      <c r="F13143" s="6">
        <f>IF($M13143="PADD I","PADD 1",IF($M13143="PADD II","PADD 2",IF($M13143="PADD III","PADD 3",IF($M13143="PADD IV","PADD 4",IF($M13143="PADD V","PADD 5","")))))</f>
        <v/>
      </c>
      <c r="G13143" s="6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  <c r="N13143" s="6">
        <f>IF(OR($G13143="FCC",$G13143="Hydrocracker",$G13143="Reformer"),IF(COUNTIFS($D:$D,$D13143,$A:$A,$A13143,$B:$B,$B13143,$G:$G,"CDU",$J:$J,"PLANNED")&gt;0,"tied","standalone"),"")</f>
        <v/>
      </c>
    </row>
    <row r="13144" spans="6:14">
      <c r="F13144" s="6">
        <f>IF($M13144="PADD I","PADD 1",IF($M13144="PADD II","PADD 2",IF($M13144="PADD III","PADD 3",IF($M13144="PADD IV","PADD 4",IF($M13144="PADD V","PADD 5","")))))</f>
        <v/>
      </c>
      <c r="G13144" s="6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  <c r="N13144" s="6">
        <f>IF(OR($G13144="FCC",$G13144="Hydrocracker",$G13144="Reformer"),IF(COUNTIFS($D:$D,$D13144,$A:$A,$A13144,$B:$B,$B13144,$G:$G,"CDU",$J:$J,"PLANNED")&gt;0,"tied","standalone"),"")</f>
        <v/>
      </c>
    </row>
    <row r="13145" spans="6:14">
      <c r="F13145" s="6">
        <f>IF($M13145="PADD I","PADD 1",IF($M13145="PADD II","PADD 2",IF($M13145="PADD III","PADD 3",IF($M13145="PADD IV","PADD 4",IF($M13145="PADD V","PADD 5","")))))</f>
        <v/>
      </c>
      <c r="G13145" s="6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  <c r="N13145" s="6">
        <f>IF(OR($G13145="FCC",$G13145="Hydrocracker",$G13145="Reformer"),IF(COUNTIFS($D:$D,$D13145,$A:$A,$A13145,$B:$B,$B13145,$G:$G,"CDU",$J:$J,"PLANNED")&gt;0,"tied","standalone"),"")</f>
        <v/>
      </c>
    </row>
    <row r="13146" spans="6:14">
      <c r="F13146" s="6">
        <f>IF($M13146="PADD I","PADD 1",IF($M13146="PADD II","PADD 2",IF($M13146="PADD III","PADD 3",IF($M13146="PADD IV","PADD 4",IF($M13146="PADD V","PADD 5","")))))</f>
        <v/>
      </c>
      <c r="G13146" s="6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  <c r="N13146" s="6">
        <f>IF(OR($G13146="FCC",$G13146="Hydrocracker",$G13146="Reformer"),IF(COUNTIFS($D:$D,$D13146,$A:$A,$A13146,$B:$B,$B13146,$G:$G,"CDU",$J:$J,"PLANNED")&gt;0,"tied","standalone"),"")</f>
        <v/>
      </c>
    </row>
    <row r="13147" spans="6:14">
      <c r="F13147" s="6">
        <f>IF($M13147="PADD I","PADD 1",IF($M13147="PADD II","PADD 2",IF($M13147="PADD III","PADD 3",IF($M13147="PADD IV","PADD 4",IF($M13147="PADD V","PADD 5","")))))</f>
        <v/>
      </c>
      <c r="G13147" s="6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  <c r="N13147" s="6">
        <f>IF(OR($G13147="FCC",$G13147="Hydrocracker",$G13147="Reformer"),IF(COUNTIFS($D:$D,$D13147,$A:$A,$A13147,$B:$B,$B13147,$G:$G,"CDU",$J:$J,"PLANNED")&gt;0,"tied","standalone"),"")</f>
        <v/>
      </c>
    </row>
    <row r="13148" spans="6:14">
      <c r="F13148" s="6">
        <f>IF($M13148="PADD I","PADD 1",IF($M13148="PADD II","PADD 2",IF($M13148="PADD III","PADD 3",IF($M13148="PADD IV","PADD 4",IF($M13148="PADD V","PADD 5","")))))</f>
        <v/>
      </c>
      <c r="G13148" s="6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  <c r="N13148" s="6">
        <f>IF(OR($G13148="FCC",$G13148="Hydrocracker",$G13148="Reformer"),IF(COUNTIFS($D:$D,$D13148,$A:$A,$A13148,$B:$B,$B13148,$G:$G,"CDU",$J:$J,"PLANNED")&gt;0,"tied","standalone"),"")</f>
        <v/>
      </c>
    </row>
    <row r="13149" spans="6:14">
      <c r="F13149" s="6">
        <f>IF($M13149="PADD I","PADD 1",IF($M13149="PADD II","PADD 2",IF($M13149="PADD III","PADD 3",IF($M13149="PADD IV","PADD 4",IF($M13149="PADD V","PADD 5","")))))</f>
        <v/>
      </c>
      <c r="G13149" s="6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  <c r="N13149" s="6">
        <f>IF(OR($G13149="FCC",$G13149="Hydrocracker",$G13149="Reformer"),IF(COUNTIFS($D:$D,$D13149,$A:$A,$A13149,$B:$B,$B13149,$G:$G,"CDU",$J:$J,"PLANNED")&gt;0,"tied","standalone"),"")</f>
        <v/>
      </c>
    </row>
    <row r="13150" spans="6:14">
      <c r="F13150" s="6">
        <f>IF($M13150="PADD I","PADD 1",IF($M13150="PADD II","PADD 2",IF($M13150="PADD III","PADD 3",IF($M13150="PADD IV","PADD 4",IF($M13150="PADD V","PADD 5","")))))</f>
        <v/>
      </c>
      <c r="G13150" s="6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  <c r="N13150" s="6">
        <f>IF(OR($G13150="FCC",$G13150="Hydrocracker",$G13150="Reformer"),IF(COUNTIFS($D:$D,$D13150,$A:$A,$A13150,$B:$B,$B13150,$G:$G,"CDU",$J:$J,"PLANNED")&gt;0,"tied","standalone"),"")</f>
        <v/>
      </c>
    </row>
    <row r="13151" spans="6:14">
      <c r="F13151" s="6">
        <f>IF($M13151="PADD I","PADD 1",IF($M13151="PADD II","PADD 2",IF($M13151="PADD III","PADD 3",IF($M13151="PADD IV","PADD 4",IF($M13151="PADD V","PADD 5","")))))</f>
        <v/>
      </c>
      <c r="G13151" s="6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  <c r="N13151" s="6">
        <f>IF(OR($G13151="FCC",$G13151="Hydrocracker",$G13151="Reformer"),IF(COUNTIFS($D:$D,$D13151,$A:$A,$A13151,$B:$B,$B13151,$G:$G,"CDU",$J:$J,"PLANNED")&gt;0,"tied","standalone"),"")</f>
        <v/>
      </c>
    </row>
    <row r="13152" spans="6:14">
      <c r="F13152" s="6">
        <f>IF($M13152="PADD I","PADD 1",IF($M13152="PADD II","PADD 2",IF($M13152="PADD III","PADD 3",IF($M13152="PADD IV","PADD 4",IF($M13152="PADD V","PADD 5","")))))</f>
        <v/>
      </c>
      <c r="G13152" s="6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  <c r="N13152" s="6">
        <f>IF(OR($G13152="FCC",$G13152="Hydrocracker",$G13152="Reformer"),IF(COUNTIFS($D:$D,$D13152,$A:$A,$A13152,$B:$B,$B13152,$G:$G,"CDU",$J:$J,"PLANNED")&gt;0,"tied","standalone"),"")</f>
        <v/>
      </c>
    </row>
    <row r="13153" spans="6:14">
      <c r="F13153" s="6">
        <f>IF($M13153="PADD I","PADD 1",IF($M13153="PADD II","PADD 2",IF($M13153="PADD III","PADD 3",IF($M13153="PADD IV","PADD 4",IF($M13153="PADD V","PADD 5","")))))</f>
        <v/>
      </c>
      <c r="G13153" s="6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  <c r="N13153" s="6">
        <f>IF(OR($G13153="FCC",$G13153="Hydrocracker",$G13153="Reformer"),IF(COUNTIFS($D:$D,$D13153,$A:$A,$A13153,$B:$B,$B13153,$G:$G,"CDU",$J:$J,"PLANNED")&gt;0,"tied","standalone"),"")</f>
        <v/>
      </c>
    </row>
    <row r="13154" spans="6:14">
      <c r="F13154" s="6">
        <f>IF($M13154="PADD I","PADD 1",IF($M13154="PADD II","PADD 2",IF($M13154="PADD III","PADD 3",IF($M13154="PADD IV","PADD 4",IF($M13154="PADD V","PADD 5","")))))</f>
        <v/>
      </c>
      <c r="G13154" s="6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  <c r="N13154" s="6">
        <f>IF(OR($G13154="FCC",$G13154="Hydrocracker",$G13154="Reformer"),IF(COUNTIFS($D:$D,$D13154,$A:$A,$A13154,$B:$B,$B13154,$G:$G,"CDU",$J:$J,"PLANNED")&gt;0,"tied","standalone"),"")</f>
        <v/>
      </c>
    </row>
    <row r="13155" spans="6:14">
      <c r="F13155" s="6">
        <f>IF($M13155="PADD I","PADD 1",IF($M13155="PADD II","PADD 2",IF($M13155="PADD III","PADD 3",IF($M13155="PADD IV","PADD 4",IF($M13155="PADD V","PADD 5","")))))</f>
        <v/>
      </c>
      <c r="G13155" s="6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  <c r="N13155" s="6">
        <f>IF(OR($G13155="FCC",$G13155="Hydrocracker",$G13155="Reformer"),IF(COUNTIFS($D:$D,$D13155,$A:$A,$A13155,$B:$B,$B13155,$G:$G,"CDU",$J:$J,"PLANNED")&gt;0,"tied","standalone"),"")</f>
        <v/>
      </c>
    </row>
    <row r="13156" spans="6:14">
      <c r="F13156" s="6">
        <f>IF($M13156="PADD I","PADD 1",IF($M13156="PADD II","PADD 2",IF($M13156="PADD III","PADD 3",IF($M13156="PADD IV","PADD 4",IF($M13156="PADD V","PADD 5","")))))</f>
        <v/>
      </c>
      <c r="G13156" s="6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  <c r="N13156" s="6">
        <f>IF(OR($G13156="FCC",$G13156="Hydrocracker",$G13156="Reformer"),IF(COUNTIFS($D:$D,$D13156,$A:$A,$A13156,$B:$B,$B13156,$G:$G,"CDU",$J:$J,"PLANNED")&gt;0,"tied","standalone"),"")</f>
        <v/>
      </c>
    </row>
    <row r="13157" spans="6:14">
      <c r="F13157" s="6">
        <f>IF($M13157="PADD I","PADD 1",IF($M13157="PADD II","PADD 2",IF($M13157="PADD III","PADD 3",IF($M13157="PADD IV","PADD 4",IF($M13157="PADD V","PADD 5","")))))</f>
        <v/>
      </c>
      <c r="G13157" s="6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  <c r="N13157" s="6">
        <f>IF(OR($G13157="FCC",$G13157="Hydrocracker",$G13157="Reformer"),IF(COUNTIFS($D:$D,$D13157,$A:$A,$A13157,$B:$B,$B13157,$G:$G,"CDU",$J:$J,"PLANNED")&gt;0,"tied","standalone"),"")</f>
        <v/>
      </c>
    </row>
    <row r="13158" spans="6:14">
      <c r="F13158" s="6">
        <f>IF($M13158="PADD I","PADD 1",IF($M13158="PADD II","PADD 2",IF($M13158="PADD III","PADD 3",IF($M13158="PADD IV","PADD 4",IF($M13158="PADD V","PADD 5","")))))</f>
        <v/>
      </c>
      <c r="G13158" s="6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  <c r="N13158" s="6">
        <f>IF(OR($G13158="FCC",$G13158="Hydrocracker",$G13158="Reformer"),IF(COUNTIFS($D:$D,$D13158,$A:$A,$A13158,$B:$B,$B13158,$G:$G,"CDU",$J:$J,"PLANNED")&gt;0,"tied","standalone"),"")</f>
        <v/>
      </c>
    </row>
    <row r="13159" spans="6:14">
      <c r="F13159" s="6">
        <f>IF($M13159="PADD I","PADD 1",IF($M13159="PADD II","PADD 2",IF($M13159="PADD III","PADD 3",IF($M13159="PADD IV","PADD 4",IF($M13159="PADD V","PADD 5","")))))</f>
        <v/>
      </c>
      <c r="G13159" s="6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  <c r="N13159" s="6">
        <f>IF(OR($G13159="FCC",$G13159="Hydrocracker",$G13159="Reformer"),IF(COUNTIFS($D:$D,$D13159,$A:$A,$A13159,$B:$B,$B13159,$G:$G,"CDU",$J:$J,"PLANNED")&gt;0,"tied","standalone"),"")</f>
        <v/>
      </c>
    </row>
    <row r="13160" spans="6:14">
      <c r="F13160" s="6">
        <f>IF($M13160="PADD I","PADD 1",IF($M13160="PADD II","PADD 2",IF($M13160="PADD III","PADD 3",IF($M13160="PADD IV","PADD 4",IF($M13160="PADD V","PADD 5","")))))</f>
        <v/>
      </c>
      <c r="G13160" s="6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  <c r="N13160" s="6">
        <f>IF(OR($G13160="FCC",$G13160="Hydrocracker",$G13160="Reformer"),IF(COUNTIFS($D:$D,$D13160,$A:$A,$A13160,$B:$B,$B13160,$G:$G,"CDU",$J:$J,"PLANNED")&gt;0,"tied","standalone"),"")</f>
        <v/>
      </c>
    </row>
    <row r="13161" spans="6:14">
      <c r="F13161" s="6">
        <f>IF($M13161="PADD I","PADD 1",IF($M13161="PADD II","PADD 2",IF($M13161="PADD III","PADD 3",IF($M13161="PADD IV","PADD 4",IF($M13161="PADD V","PADD 5","")))))</f>
        <v/>
      </c>
      <c r="G13161" s="6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  <c r="N13161" s="6">
        <f>IF(OR($G13161="FCC",$G13161="Hydrocracker",$G13161="Reformer"),IF(COUNTIFS($D:$D,$D13161,$A:$A,$A13161,$B:$B,$B13161,$G:$G,"CDU",$J:$J,"PLANNED")&gt;0,"tied","standalone"),"")</f>
        <v/>
      </c>
    </row>
    <row r="13162" spans="6:14">
      <c r="F13162" s="6">
        <f>IF($M13162="PADD I","PADD 1",IF($M13162="PADD II","PADD 2",IF($M13162="PADD III","PADD 3",IF($M13162="PADD IV","PADD 4",IF($M13162="PADD V","PADD 5","")))))</f>
        <v/>
      </c>
      <c r="G13162" s="6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  <c r="N13162" s="6">
        <f>IF(OR($G13162="FCC",$G13162="Hydrocracker",$G13162="Reformer"),IF(COUNTIFS($D:$D,$D13162,$A:$A,$A13162,$B:$B,$B13162,$G:$G,"CDU",$J:$J,"PLANNED")&gt;0,"tied","standalone"),"")</f>
        <v/>
      </c>
    </row>
    <row r="13163" spans="6:14">
      <c r="F13163" s="6">
        <f>IF($M13163="PADD I","PADD 1",IF($M13163="PADD II","PADD 2",IF($M13163="PADD III","PADD 3",IF($M13163="PADD IV","PADD 4",IF($M13163="PADD V","PADD 5","")))))</f>
        <v/>
      </c>
      <c r="G13163" s="6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  <c r="N13163" s="6">
        <f>IF(OR($G13163="FCC",$G13163="Hydrocracker",$G13163="Reformer"),IF(COUNTIFS($D:$D,$D13163,$A:$A,$A13163,$B:$B,$B13163,$G:$G,"CDU",$J:$J,"PLANNED")&gt;0,"tied","standalone"),"")</f>
        <v/>
      </c>
    </row>
    <row r="13164" spans="6:14">
      <c r="F13164" s="6">
        <f>IF($M13164="PADD I","PADD 1",IF($M13164="PADD II","PADD 2",IF($M13164="PADD III","PADD 3",IF($M13164="PADD IV","PADD 4",IF($M13164="PADD V","PADD 5","")))))</f>
        <v/>
      </c>
      <c r="G13164" s="6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  <c r="N13164" s="6">
        <f>IF(OR($G13164="FCC",$G13164="Hydrocracker",$G13164="Reformer"),IF(COUNTIFS($D:$D,$D13164,$A:$A,$A13164,$B:$B,$B13164,$G:$G,"CDU",$J:$J,"PLANNED")&gt;0,"tied","standalone"),"")</f>
        <v/>
      </c>
    </row>
    <row r="13165" spans="6:14">
      <c r="F13165" s="6">
        <f>IF($M13165="PADD I","PADD 1",IF($M13165="PADD II","PADD 2",IF($M13165="PADD III","PADD 3",IF($M13165="PADD IV","PADD 4",IF($M13165="PADD V","PADD 5","")))))</f>
        <v/>
      </c>
      <c r="G13165" s="6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  <c r="N13165" s="6">
        <f>IF(OR($G13165="FCC",$G13165="Hydrocracker",$G13165="Reformer"),IF(COUNTIFS($D:$D,$D13165,$A:$A,$A13165,$B:$B,$B13165,$G:$G,"CDU",$J:$J,"PLANNED")&gt;0,"tied","standalone"),"")</f>
        <v/>
      </c>
    </row>
    <row r="13166" spans="6:14">
      <c r="F13166" s="6">
        <f>IF($M13166="PADD I","PADD 1",IF($M13166="PADD II","PADD 2",IF($M13166="PADD III","PADD 3",IF($M13166="PADD IV","PADD 4",IF($M13166="PADD V","PADD 5","")))))</f>
        <v/>
      </c>
      <c r="G13166" s="6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  <c r="N13166" s="6">
        <f>IF(OR($G13166="FCC",$G13166="Hydrocracker",$G13166="Reformer"),IF(COUNTIFS($D:$D,$D13166,$A:$A,$A13166,$B:$B,$B13166,$G:$G,"CDU",$J:$J,"PLANNED")&gt;0,"tied","standalone"),"")</f>
        <v/>
      </c>
    </row>
    <row r="13167" spans="6:14">
      <c r="F13167" s="6">
        <f>IF($M13167="PADD I","PADD 1",IF($M13167="PADD II","PADD 2",IF($M13167="PADD III","PADD 3",IF($M13167="PADD IV","PADD 4",IF($M13167="PADD V","PADD 5","")))))</f>
        <v/>
      </c>
      <c r="G13167" s="6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  <c r="N13167" s="6">
        <f>IF(OR($G13167="FCC",$G13167="Hydrocracker",$G13167="Reformer"),IF(COUNTIFS($D:$D,$D13167,$A:$A,$A13167,$B:$B,$B13167,$G:$G,"CDU",$J:$J,"PLANNED")&gt;0,"tied","standalone"),"")</f>
        <v/>
      </c>
    </row>
    <row r="13168" spans="6:14">
      <c r="F13168" s="6">
        <f>IF($M13168="PADD I","PADD 1",IF($M13168="PADD II","PADD 2",IF($M13168="PADD III","PADD 3",IF($M13168="PADD IV","PADD 4",IF($M13168="PADD V","PADD 5","")))))</f>
        <v/>
      </c>
      <c r="G13168" s="6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  <c r="N13168" s="6">
        <f>IF(OR($G13168="FCC",$G13168="Hydrocracker",$G13168="Reformer"),IF(COUNTIFS($D:$D,$D13168,$A:$A,$A13168,$B:$B,$B13168,$G:$G,"CDU",$J:$J,"PLANNED")&gt;0,"tied","standalone"),"")</f>
        <v/>
      </c>
    </row>
    <row r="13169" spans="6:14">
      <c r="F13169" s="6">
        <f>IF($M13169="PADD I","PADD 1",IF($M13169="PADD II","PADD 2",IF($M13169="PADD III","PADD 3",IF($M13169="PADD IV","PADD 4",IF($M13169="PADD V","PADD 5","")))))</f>
        <v/>
      </c>
      <c r="G13169" s="6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  <c r="N13169" s="6">
        <f>IF(OR($G13169="FCC",$G13169="Hydrocracker",$G13169="Reformer"),IF(COUNTIFS($D:$D,$D13169,$A:$A,$A13169,$B:$B,$B13169,$G:$G,"CDU",$J:$J,"PLANNED")&gt;0,"tied","standalone"),"")</f>
        <v/>
      </c>
    </row>
    <row r="13170" spans="6:14">
      <c r="F13170" s="6">
        <f>IF($M13170="PADD I","PADD 1",IF($M13170="PADD II","PADD 2",IF($M13170="PADD III","PADD 3",IF($M13170="PADD IV","PADD 4",IF($M13170="PADD V","PADD 5","")))))</f>
        <v/>
      </c>
      <c r="G13170" s="6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  <c r="N13170" s="6">
        <f>IF(OR($G13170="FCC",$G13170="Hydrocracker",$G13170="Reformer"),IF(COUNTIFS($D:$D,$D13170,$A:$A,$A13170,$B:$B,$B13170,$G:$G,"CDU",$J:$J,"PLANNED")&gt;0,"tied","standalone"),"")</f>
        <v/>
      </c>
    </row>
    <row r="13171" spans="6:14">
      <c r="F13171" s="6">
        <f>IF($M13171="PADD I","PADD 1",IF($M13171="PADD II","PADD 2",IF($M13171="PADD III","PADD 3",IF($M13171="PADD IV","PADD 4",IF($M13171="PADD V","PADD 5","")))))</f>
        <v/>
      </c>
      <c r="G13171" s="6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  <c r="N13171" s="6">
        <f>IF(OR($G13171="FCC",$G13171="Hydrocracker",$G13171="Reformer"),IF(COUNTIFS($D:$D,$D13171,$A:$A,$A13171,$B:$B,$B13171,$G:$G,"CDU",$J:$J,"PLANNED")&gt;0,"tied","standalone"),"")</f>
        <v/>
      </c>
    </row>
    <row r="13172" spans="6:14">
      <c r="F13172" s="6">
        <f>IF($M13172="PADD I","PADD 1",IF($M13172="PADD II","PADD 2",IF($M13172="PADD III","PADD 3",IF($M13172="PADD IV","PADD 4",IF($M13172="PADD V","PADD 5","")))))</f>
        <v/>
      </c>
      <c r="G13172" s="6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  <c r="N13172" s="6">
        <f>IF(OR($G13172="FCC",$G13172="Hydrocracker",$G13172="Reformer"),IF(COUNTIFS($D:$D,$D13172,$A:$A,$A13172,$B:$B,$B13172,$G:$G,"CDU",$J:$J,"PLANNED")&gt;0,"tied","standalone"),"")</f>
        <v/>
      </c>
    </row>
    <row r="13173" spans="6:14">
      <c r="F13173" s="6">
        <f>IF($M13173="PADD I","PADD 1",IF($M13173="PADD II","PADD 2",IF($M13173="PADD III","PADD 3",IF($M13173="PADD IV","PADD 4",IF($M13173="PADD V","PADD 5","")))))</f>
        <v/>
      </c>
      <c r="G13173" s="6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  <c r="N13173" s="6">
        <f>IF(OR($G13173="FCC",$G13173="Hydrocracker",$G13173="Reformer"),IF(COUNTIFS($D:$D,$D13173,$A:$A,$A13173,$B:$B,$B13173,$G:$G,"CDU",$J:$J,"PLANNED")&gt;0,"tied","standalone"),"")</f>
        <v/>
      </c>
    </row>
    <row r="13174" spans="6:14">
      <c r="F13174" s="6">
        <f>IF($M13174="PADD I","PADD 1",IF($M13174="PADD II","PADD 2",IF($M13174="PADD III","PADD 3",IF($M13174="PADD IV","PADD 4",IF($M13174="PADD V","PADD 5","")))))</f>
        <v/>
      </c>
      <c r="G13174" s="6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  <c r="N13174" s="6">
        <f>IF(OR($G13174="FCC",$G13174="Hydrocracker",$G13174="Reformer"),IF(COUNTIFS($D:$D,$D13174,$A:$A,$A13174,$B:$B,$B13174,$G:$G,"CDU",$J:$J,"PLANNED")&gt;0,"tied","standalone"),"")</f>
        <v/>
      </c>
    </row>
    <row r="13175" spans="6:14">
      <c r="F13175" s="6">
        <f>IF($M13175="PADD I","PADD 1",IF($M13175="PADD II","PADD 2",IF($M13175="PADD III","PADD 3",IF($M13175="PADD IV","PADD 4",IF($M13175="PADD V","PADD 5","")))))</f>
        <v/>
      </c>
      <c r="G13175" s="6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  <c r="N13175" s="6">
        <f>IF(OR($G13175="FCC",$G13175="Hydrocracker",$G13175="Reformer"),IF(COUNTIFS($D:$D,$D13175,$A:$A,$A13175,$B:$B,$B13175,$G:$G,"CDU",$J:$J,"PLANNED")&gt;0,"tied","standalone"),"")</f>
        <v/>
      </c>
    </row>
    <row r="13176" spans="6:14">
      <c r="F13176" s="6">
        <f>IF($M13176="PADD I","PADD 1",IF($M13176="PADD II","PADD 2",IF($M13176="PADD III","PADD 3",IF($M13176="PADD IV","PADD 4",IF($M13176="PADD V","PADD 5","")))))</f>
        <v/>
      </c>
      <c r="G13176" s="6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  <c r="N13176" s="6">
        <f>IF(OR($G13176="FCC",$G13176="Hydrocracker",$G13176="Reformer"),IF(COUNTIFS($D:$D,$D13176,$A:$A,$A13176,$B:$B,$B13176,$G:$G,"CDU",$J:$J,"PLANNED")&gt;0,"tied","standalone"),"")</f>
        <v/>
      </c>
    </row>
    <row r="13177" spans="6:14">
      <c r="F13177" s="6">
        <f>IF($M13177="PADD I","PADD 1",IF($M13177="PADD II","PADD 2",IF($M13177="PADD III","PADD 3",IF($M13177="PADD IV","PADD 4",IF($M13177="PADD V","PADD 5","")))))</f>
        <v/>
      </c>
      <c r="G13177" s="6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  <c r="N13177" s="6">
        <f>IF(OR($G13177="FCC",$G13177="Hydrocracker",$G13177="Reformer"),IF(COUNTIFS($D:$D,$D13177,$A:$A,$A13177,$B:$B,$B13177,$G:$G,"CDU",$J:$J,"PLANNED")&gt;0,"tied","standalone"),"")</f>
        <v/>
      </c>
    </row>
    <row r="13178" spans="6:14">
      <c r="F13178" s="6">
        <f>IF($M13178="PADD I","PADD 1",IF($M13178="PADD II","PADD 2",IF($M13178="PADD III","PADD 3",IF($M13178="PADD IV","PADD 4",IF($M13178="PADD V","PADD 5","")))))</f>
        <v/>
      </c>
      <c r="G13178" s="6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  <c r="N13178" s="6">
        <f>IF(OR($G13178="FCC",$G13178="Hydrocracker",$G13178="Reformer"),IF(COUNTIFS($D:$D,$D13178,$A:$A,$A13178,$B:$B,$B13178,$G:$G,"CDU",$J:$J,"PLANNED")&gt;0,"tied","standalone"),"")</f>
        <v/>
      </c>
    </row>
    <row r="13179" spans="6:14">
      <c r="F13179" s="6">
        <f>IF($M13179="PADD I","PADD 1",IF($M13179="PADD II","PADD 2",IF($M13179="PADD III","PADD 3",IF($M13179="PADD IV","PADD 4",IF($M13179="PADD V","PADD 5","")))))</f>
        <v/>
      </c>
      <c r="G13179" s="6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  <c r="N13179" s="6">
        <f>IF(OR($G13179="FCC",$G13179="Hydrocracker",$G13179="Reformer"),IF(COUNTIFS($D:$D,$D13179,$A:$A,$A13179,$B:$B,$B13179,$G:$G,"CDU",$J:$J,"PLANNED")&gt;0,"tied","standalone"),"")</f>
        <v/>
      </c>
    </row>
    <row r="13180" spans="6:14">
      <c r="F13180" s="6">
        <f>IF($M13180="PADD I","PADD 1",IF($M13180="PADD II","PADD 2",IF($M13180="PADD III","PADD 3",IF($M13180="PADD IV","PADD 4",IF($M13180="PADD V","PADD 5","")))))</f>
        <v/>
      </c>
      <c r="G13180" s="6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  <c r="N13180" s="6">
        <f>IF(OR($G13180="FCC",$G13180="Hydrocracker",$G13180="Reformer"),IF(COUNTIFS($D:$D,$D13180,$A:$A,$A13180,$B:$B,$B13180,$G:$G,"CDU",$J:$J,"PLANNED")&gt;0,"tied","standalone"),"")</f>
        <v/>
      </c>
    </row>
    <row r="13181" spans="6:14">
      <c r="F13181" s="6">
        <f>IF($M13181="PADD I","PADD 1",IF($M13181="PADD II","PADD 2",IF($M13181="PADD III","PADD 3",IF($M13181="PADD IV","PADD 4",IF($M13181="PADD V","PADD 5","")))))</f>
        <v/>
      </c>
      <c r="G13181" s="6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  <c r="N13181" s="6">
        <f>IF(OR($G13181="FCC",$G13181="Hydrocracker",$G13181="Reformer"),IF(COUNTIFS($D:$D,$D13181,$A:$A,$A13181,$B:$B,$B13181,$G:$G,"CDU",$J:$J,"PLANNED")&gt;0,"tied","standalone"),"")</f>
        <v/>
      </c>
    </row>
    <row r="13182" spans="6:14">
      <c r="F13182" s="6">
        <f>IF($M13182="PADD I","PADD 1",IF($M13182="PADD II","PADD 2",IF($M13182="PADD III","PADD 3",IF($M13182="PADD IV","PADD 4",IF($M13182="PADD V","PADD 5","")))))</f>
        <v/>
      </c>
      <c r="G13182" s="6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  <c r="N13182" s="6">
        <f>IF(OR($G13182="FCC",$G13182="Hydrocracker",$G13182="Reformer"),IF(COUNTIFS($D:$D,$D13182,$A:$A,$A13182,$B:$B,$B13182,$G:$G,"CDU",$J:$J,"PLANNED")&gt;0,"tied","standalone"),"")</f>
        <v/>
      </c>
    </row>
    <row r="13183" spans="6:14">
      <c r="F13183" s="6">
        <f>IF($M13183="PADD I","PADD 1",IF($M13183="PADD II","PADD 2",IF($M13183="PADD III","PADD 3",IF($M13183="PADD IV","PADD 4",IF($M13183="PADD V","PADD 5","")))))</f>
        <v/>
      </c>
      <c r="G13183" s="6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  <c r="N13183" s="6">
        <f>IF(OR($G13183="FCC",$G13183="Hydrocracker",$G13183="Reformer"),IF(COUNTIFS($D:$D,$D13183,$A:$A,$A13183,$B:$B,$B13183,$G:$G,"CDU",$J:$J,"PLANNED")&gt;0,"tied","standalone"),"")</f>
        <v/>
      </c>
    </row>
    <row r="13184" spans="6:14">
      <c r="F13184" s="6">
        <f>IF($M13184="PADD I","PADD 1",IF($M13184="PADD II","PADD 2",IF($M13184="PADD III","PADD 3",IF($M13184="PADD IV","PADD 4",IF($M13184="PADD V","PADD 5","")))))</f>
        <v/>
      </c>
      <c r="G13184" s="6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  <c r="N13184" s="6">
        <f>IF(OR($G13184="FCC",$G13184="Hydrocracker",$G13184="Reformer"),IF(COUNTIFS($D:$D,$D13184,$A:$A,$A13184,$B:$B,$B13184,$G:$G,"CDU",$J:$J,"PLANNED")&gt;0,"tied","standalone"),"")</f>
        <v/>
      </c>
    </row>
    <row r="13185" spans="6:14">
      <c r="F13185" s="6">
        <f>IF($M13185="PADD I","PADD 1",IF($M13185="PADD II","PADD 2",IF($M13185="PADD III","PADD 3",IF($M13185="PADD IV","PADD 4",IF($M13185="PADD V","PADD 5","")))))</f>
        <v/>
      </c>
      <c r="G13185" s="6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  <c r="N13185" s="6">
        <f>IF(OR($G13185="FCC",$G13185="Hydrocracker",$G13185="Reformer"),IF(COUNTIFS($D:$D,$D13185,$A:$A,$A13185,$B:$B,$B13185,$G:$G,"CDU",$J:$J,"PLANNED")&gt;0,"tied","standalone"),"")</f>
        <v/>
      </c>
    </row>
    <row r="13186" spans="6:14">
      <c r="F13186" s="6">
        <f>IF($M13186="PADD I","PADD 1",IF($M13186="PADD II","PADD 2",IF($M13186="PADD III","PADD 3",IF($M13186="PADD IV","PADD 4",IF($M13186="PADD V","PADD 5","")))))</f>
        <v/>
      </c>
      <c r="G13186" s="6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  <c r="N13186" s="6">
        <f>IF(OR($G13186="FCC",$G13186="Hydrocracker",$G13186="Reformer"),IF(COUNTIFS($D:$D,$D13186,$A:$A,$A13186,$B:$B,$B13186,$G:$G,"CDU",$J:$J,"PLANNED")&gt;0,"tied","standalone"),"")</f>
        <v/>
      </c>
    </row>
    <row r="13187" spans="6:14">
      <c r="F13187" s="6">
        <f>IF($M13187="PADD I","PADD 1",IF($M13187="PADD II","PADD 2",IF($M13187="PADD III","PADD 3",IF($M13187="PADD IV","PADD 4",IF($M13187="PADD V","PADD 5","")))))</f>
        <v/>
      </c>
      <c r="G13187" s="6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  <c r="N13187" s="6">
        <f>IF(OR($G13187="FCC",$G13187="Hydrocracker",$G13187="Reformer"),IF(COUNTIFS($D:$D,$D13187,$A:$A,$A13187,$B:$B,$B13187,$G:$G,"CDU",$J:$J,"PLANNED")&gt;0,"tied","standalone"),"")</f>
        <v/>
      </c>
    </row>
    <row r="13188" spans="6:14">
      <c r="F13188" s="6">
        <f>IF($M13188="PADD I","PADD 1",IF($M13188="PADD II","PADD 2",IF($M13188="PADD III","PADD 3",IF($M13188="PADD IV","PADD 4",IF($M13188="PADD V","PADD 5","")))))</f>
        <v/>
      </c>
      <c r="G13188" s="6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  <c r="N13188" s="6">
        <f>IF(OR($G13188="FCC",$G13188="Hydrocracker",$G13188="Reformer"),IF(COUNTIFS($D:$D,$D13188,$A:$A,$A13188,$B:$B,$B13188,$G:$G,"CDU",$J:$J,"PLANNED")&gt;0,"tied","standalone"),"")</f>
        <v/>
      </c>
    </row>
    <row r="13189" spans="6:14">
      <c r="F13189" s="6">
        <f>IF($M13189="PADD I","PADD 1",IF($M13189="PADD II","PADD 2",IF($M13189="PADD III","PADD 3",IF($M13189="PADD IV","PADD 4",IF($M13189="PADD V","PADD 5","")))))</f>
        <v/>
      </c>
      <c r="G13189" s="6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  <c r="N13189" s="6">
        <f>IF(OR($G13189="FCC",$G13189="Hydrocracker",$G13189="Reformer"),IF(COUNTIFS($D:$D,$D13189,$A:$A,$A13189,$B:$B,$B13189,$G:$G,"CDU",$J:$J,"PLANNED")&gt;0,"tied","standalone"),"")</f>
        <v/>
      </c>
    </row>
    <row r="13190" spans="6:14">
      <c r="F13190" s="6">
        <f>IF($M13190="PADD I","PADD 1",IF($M13190="PADD II","PADD 2",IF($M13190="PADD III","PADD 3",IF($M13190="PADD IV","PADD 4",IF($M13190="PADD V","PADD 5","")))))</f>
        <v/>
      </c>
      <c r="G13190" s="6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  <c r="N13190" s="6">
        <f>IF(OR($G13190="FCC",$G13190="Hydrocracker",$G13190="Reformer"),IF(COUNTIFS($D:$D,$D13190,$A:$A,$A13190,$B:$B,$B13190,$G:$G,"CDU",$J:$J,"PLANNED")&gt;0,"tied","standalone"),"")</f>
        <v/>
      </c>
    </row>
    <row r="13191" spans="6:14">
      <c r="F13191" s="6">
        <f>IF($M13191="PADD I","PADD 1",IF($M13191="PADD II","PADD 2",IF($M13191="PADD III","PADD 3",IF($M13191="PADD IV","PADD 4",IF($M13191="PADD V","PADD 5","")))))</f>
        <v/>
      </c>
      <c r="G13191" s="6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  <c r="N13191" s="6">
        <f>IF(OR($G13191="FCC",$G13191="Hydrocracker",$G13191="Reformer"),IF(COUNTIFS($D:$D,$D13191,$A:$A,$A13191,$B:$B,$B13191,$G:$G,"CDU",$J:$J,"PLANNED")&gt;0,"tied","standalone"),"")</f>
        <v/>
      </c>
    </row>
    <row r="13192" spans="6:14">
      <c r="F13192" s="6">
        <f>IF($M13192="PADD I","PADD 1",IF($M13192="PADD II","PADD 2",IF($M13192="PADD III","PADD 3",IF($M13192="PADD IV","PADD 4",IF($M13192="PADD V","PADD 5","")))))</f>
        <v/>
      </c>
      <c r="G13192" s="6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  <c r="N13192" s="6">
        <f>IF(OR($G13192="FCC",$G13192="Hydrocracker",$G13192="Reformer"),IF(COUNTIFS($D:$D,$D13192,$A:$A,$A13192,$B:$B,$B13192,$G:$G,"CDU",$J:$J,"PLANNED")&gt;0,"tied","standalone"),"")</f>
        <v/>
      </c>
    </row>
    <row r="13193" spans="6:14">
      <c r="F13193" s="6">
        <f>IF($M13193="PADD I","PADD 1",IF($M13193="PADD II","PADD 2",IF($M13193="PADD III","PADD 3",IF($M13193="PADD IV","PADD 4",IF($M13193="PADD V","PADD 5","")))))</f>
        <v/>
      </c>
      <c r="G13193" s="6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  <c r="N13193" s="6">
        <f>IF(OR($G13193="FCC",$G13193="Hydrocracker",$G13193="Reformer"),IF(COUNTIFS($D:$D,$D13193,$A:$A,$A13193,$B:$B,$B13193,$G:$G,"CDU",$J:$J,"PLANNED")&gt;0,"tied","standalone"),"")</f>
        <v/>
      </c>
    </row>
    <row r="13194" spans="6:14">
      <c r="F13194" s="6">
        <f>IF($M13194="PADD I","PADD 1",IF($M13194="PADD II","PADD 2",IF($M13194="PADD III","PADD 3",IF($M13194="PADD IV","PADD 4",IF($M13194="PADD V","PADD 5","")))))</f>
        <v/>
      </c>
      <c r="G13194" s="6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  <c r="N13194" s="6">
        <f>IF(OR($G13194="FCC",$G13194="Hydrocracker",$G13194="Reformer"),IF(COUNTIFS($D:$D,$D13194,$A:$A,$A13194,$B:$B,$B13194,$G:$G,"CDU",$J:$J,"PLANNED")&gt;0,"tied","standalone"),"")</f>
        <v/>
      </c>
    </row>
    <row r="13195" spans="6:14">
      <c r="F13195" s="6">
        <f>IF($M13195="PADD I","PADD 1",IF($M13195="PADD II","PADD 2",IF($M13195="PADD III","PADD 3",IF($M13195="PADD IV","PADD 4",IF($M13195="PADD V","PADD 5","")))))</f>
        <v/>
      </c>
      <c r="G13195" s="6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  <c r="N13195" s="6">
        <f>IF(OR($G13195="FCC",$G13195="Hydrocracker",$G13195="Reformer"),IF(COUNTIFS($D:$D,$D13195,$A:$A,$A13195,$B:$B,$B13195,$G:$G,"CDU",$J:$J,"PLANNED")&gt;0,"tied","standalone"),"")</f>
        <v/>
      </c>
    </row>
    <row r="13196" spans="6:14">
      <c r="F13196" s="6">
        <f>IF($M13196="PADD I","PADD 1",IF($M13196="PADD II","PADD 2",IF($M13196="PADD III","PADD 3",IF($M13196="PADD IV","PADD 4",IF($M13196="PADD V","PADD 5","")))))</f>
        <v/>
      </c>
      <c r="G13196" s="6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  <c r="N13196" s="6">
        <f>IF(OR($G13196="FCC",$G13196="Hydrocracker",$G13196="Reformer"),IF(COUNTIFS($D:$D,$D13196,$A:$A,$A13196,$B:$B,$B13196,$G:$G,"CDU",$J:$J,"PLANNED")&gt;0,"tied","standalone"),"")</f>
        <v/>
      </c>
    </row>
    <row r="13197" spans="6:14">
      <c r="F13197" s="6">
        <f>IF($M13197="PADD I","PADD 1",IF($M13197="PADD II","PADD 2",IF($M13197="PADD III","PADD 3",IF($M13197="PADD IV","PADD 4",IF($M13197="PADD V","PADD 5","")))))</f>
        <v/>
      </c>
      <c r="G13197" s="6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  <c r="N13197" s="6">
        <f>IF(OR($G13197="FCC",$G13197="Hydrocracker",$G13197="Reformer"),IF(COUNTIFS($D:$D,$D13197,$A:$A,$A13197,$B:$B,$B13197,$G:$G,"CDU",$J:$J,"PLANNED")&gt;0,"tied","standalone"),"")</f>
        <v/>
      </c>
    </row>
    <row r="13198" spans="6:14">
      <c r="F13198" s="6">
        <f>IF($M13198="PADD I","PADD 1",IF($M13198="PADD II","PADD 2",IF($M13198="PADD III","PADD 3",IF($M13198="PADD IV","PADD 4",IF($M13198="PADD V","PADD 5","")))))</f>
        <v/>
      </c>
      <c r="G13198" s="6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  <c r="N13198" s="6">
        <f>IF(OR($G13198="FCC",$G13198="Hydrocracker",$G13198="Reformer"),IF(COUNTIFS($D:$D,$D13198,$A:$A,$A13198,$B:$B,$B13198,$G:$G,"CDU",$J:$J,"PLANNED")&gt;0,"tied","standalone"),"")</f>
        <v/>
      </c>
    </row>
    <row r="13199" spans="6:14">
      <c r="F13199" s="6">
        <f>IF($M13199="PADD I","PADD 1",IF($M13199="PADD II","PADD 2",IF($M13199="PADD III","PADD 3",IF($M13199="PADD IV","PADD 4",IF($M13199="PADD V","PADD 5","")))))</f>
        <v/>
      </c>
      <c r="G13199" s="6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  <c r="N13199" s="6">
        <f>IF(OR($G13199="FCC",$G13199="Hydrocracker",$G13199="Reformer"),IF(COUNTIFS($D:$D,$D13199,$A:$A,$A13199,$B:$B,$B13199,$G:$G,"CDU",$J:$J,"PLANNED")&gt;0,"tied","standalone"),"")</f>
        <v/>
      </c>
    </row>
    <row r="13200" spans="6:14">
      <c r="F13200" s="6">
        <f>IF($M13200="PADD I","PADD 1",IF($M13200="PADD II","PADD 2",IF($M13200="PADD III","PADD 3",IF($M13200="PADD IV","PADD 4",IF($M13200="PADD V","PADD 5","")))))</f>
        <v/>
      </c>
      <c r="G13200" s="6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  <c r="N13200" s="6">
        <f>IF(OR($G13200="FCC",$G13200="Hydrocracker",$G13200="Reformer"),IF(COUNTIFS($D:$D,$D13200,$A:$A,$A13200,$B:$B,$B13200,$G:$G,"CDU",$J:$J,"PLANNED")&gt;0,"tied","standalone"),"")</f>
        <v/>
      </c>
    </row>
    <row r="13201" spans="6:14">
      <c r="F13201" s="6">
        <f>IF($M13201="PADD I","PADD 1",IF($M13201="PADD II","PADD 2",IF($M13201="PADD III","PADD 3",IF($M13201="PADD IV","PADD 4",IF($M13201="PADD V","PADD 5","")))))</f>
        <v/>
      </c>
      <c r="G13201" s="6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  <c r="N13201" s="6">
        <f>IF(OR($G13201="FCC",$G13201="Hydrocracker",$G13201="Reformer"),IF(COUNTIFS($D:$D,$D13201,$A:$A,$A13201,$B:$B,$B13201,$G:$G,"CDU",$J:$J,"PLANNED")&gt;0,"tied","standalone"),"")</f>
        <v/>
      </c>
    </row>
    <row r="13202" spans="6:14">
      <c r="F13202" s="6">
        <f>IF($M13202="PADD I","PADD 1",IF($M13202="PADD II","PADD 2",IF($M13202="PADD III","PADD 3",IF($M13202="PADD IV","PADD 4",IF($M13202="PADD V","PADD 5","")))))</f>
        <v/>
      </c>
      <c r="G13202" s="6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  <c r="N13202" s="6">
        <f>IF(OR($G13202="FCC",$G13202="Hydrocracker",$G13202="Reformer"),IF(COUNTIFS($D:$D,$D13202,$A:$A,$A13202,$B:$B,$B13202,$G:$G,"CDU",$J:$J,"PLANNED")&gt;0,"tied","standalone"),"")</f>
        <v/>
      </c>
    </row>
    <row r="13203" spans="6:14">
      <c r="F13203" s="6">
        <f>IF($M13203="PADD I","PADD 1",IF($M13203="PADD II","PADD 2",IF($M13203="PADD III","PADD 3",IF($M13203="PADD IV","PADD 4",IF($M13203="PADD V","PADD 5","")))))</f>
        <v/>
      </c>
      <c r="G13203" s="6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  <c r="N13203" s="6">
        <f>IF(OR($G13203="FCC",$G13203="Hydrocracker",$G13203="Reformer"),IF(COUNTIFS($D:$D,$D13203,$A:$A,$A13203,$B:$B,$B13203,$G:$G,"CDU",$J:$J,"PLANNED")&gt;0,"tied","standalone"),"")</f>
        <v/>
      </c>
    </row>
    <row r="13204" spans="6:14">
      <c r="F13204" s="6">
        <f>IF($M13204="PADD I","PADD 1",IF($M13204="PADD II","PADD 2",IF($M13204="PADD III","PADD 3",IF($M13204="PADD IV","PADD 4",IF($M13204="PADD V","PADD 5","")))))</f>
        <v/>
      </c>
      <c r="G13204" s="6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  <c r="N13204" s="6">
        <f>IF(OR($G13204="FCC",$G13204="Hydrocracker",$G13204="Reformer"),IF(COUNTIFS($D:$D,$D13204,$A:$A,$A13204,$B:$B,$B13204,$G:$G,"CDU",$J:$J,"PLANNED")&gt;0,"tied","standalone"),"")</f>
        <v/>
      </c>
    </row>
    <row r="13205" spans="6:14">
      <c r="F13205" s="6">
        <f>IF($M13205="PADD I","PADD 1",IF($M13205="PADD II","PADD 2",IF($M13205="PADD III","PADD 3",IF($M13205="PADD IV","PADD 4",IF($M13205="PADD V","PADD 5","")))))</f>
        <v/>
      </c>
      <c r="G13205" s="6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  <c r="N13205" s="6">
        <f>IF(OR($G13205="FCC",$G13205="Hydrocracker",$G13205="Reformer"),IF(COUNTIFS($D:$D,$D13205,$A:$A,$A13205,$B:$B,$B13205,$G:$G,"CDU",$J:$J,"PLANNED")&gt;0,"tied","standalone"),"")</f>
        <v/>
      </c>
    </row>
    <row r="13206" spans="6:14">
      <c r="F13206" s="6">
        <f>IF($M13206="PADD I","PADD 1",IF($M13206="PADD II","PADD 2",IF($M13206="PADD III","PADD 3",IF($M13206="PADD IV","PADD 4",IF($M13206="PADD V","PADD 5","")))))</f>
        <v/>
      </c>
      <c r="G13206" s="6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  <c r="N13206" s="6">
        <f>IF(OR($G13206="FCC",$G13206="Hydrocracker",$G13206="Reformer"),IF(COUNTIFS($D:$D,$D13206,$A:$A,$A13206,$B:$B,$B13206,$G:$G,"CDU",$J:$J,"PLANNED")&gt;0,"tied","standalone"),"")</f>
        <v/>
      </c>
    </row>
    <row r="13207" spans="6:14">
      <c r="F13207" s="6">
        <f>IF($M13207="PADD I","PADD 1",IF($M13207="PADD II","PADD 2",IF($M13207="PADD III","PADD 3",IF($M13207="PADD IV","PADD 4",IF($M13207="PADD V","PADD 5","")))))</f>
        <v/>
      </c>
      <c r="G13207" s="6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  <c r="N13207" s="6">
        <f>IF(OR($G13207="FCC",$G13207="Hydrocracker",$G13207="Reformer"),IF(COUNTIFS($D:$D,$D13207,$A:$A,$A13207,$B:$B,$B13207,$G:$G,"CDU",$J:$J,"PLANNED")&gt;0,"tied","standalone"),"")</f>
        <v/>
      </c>
    </row>
    <row r="13208" spans="6:14">
      <c r="F13208" s="6">
        <f>IF($M13208="PADD I","PADD 1",IF($M13208="PADD II","PADD 2",IF($M13208="PADD III","PADD 3",IF($M13208="PADD IV","PADD 4",IF($M13208="PADD V","PADD 5","")))))</f>
        <v/>
      </c>
      <c r="G13208" s="6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  <c r="N13208" s="6">
        <f>IF(OR($G13208="FCC",$G13208="Hydrocracker",$G13208="Reformer"),IF(COUNTIFS($D:$D,$D13208,$A:$A,$A13208,$B:$B,$B13208,$G:$G,"CDU",$J:$J,"PLANNED")&gt;0,"tied","standalone"),"")</f>
        <v/>
      </c>
    </row>
    <row r="13209" spans="6:14">
      <c r="F13209" s="6">
        <f>IF($M13209="PADD I","PADD 1",IF($M13209="PADD II","PADD 2",IF($M13209="PADD III","PADD 3",IF($M13209="PADD IV","PADD 4",IF($M13209="PADD V","PADD 5","")))))</f>
        <v/>
      </c>
      <c r="G13209" s="6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  <c r="N13209" s="6">
        <f>IF(OR($G13209="FCC",$G13209="Hydrocracker",$G13209="Reformer"),IF(COUNTIFS($D:$D,$D13209,$A:$A,$A13209,$B:$B,$B13209,$G:$G,"CDU",$J:$J,"PLANNED")&gt;0,"tied","standalone"),"")</f>
        <v/>
      </c>
    </row>
    <row r="13210" spans="6:14">
      <c r="F13210" s="6">
        <f>IF($M13210="PADD I","PADD 1",IF($M13210="PADD II","PADD 2",IF($M13210="PADD III","PADD 3",IF($M13210="PADD IV","PADD 4",IF($M13210="PADD V","PADD 5","")))))</f>
        <v/>
      </c>
      <c r="G13210" s="6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  <c r="N13210" s="6">
        <f>IF(OR($G13210="FCC",$G13210="Hydrocracker",$G13210="Reformer"),IF(COUNTIFS($D:$D,$D13210,$A:$A,$A13210,$B:$B,$B13210,$G:$G,"CDU",$J:$J,"PLANNED")&gt;0,"tied","standalone"),"")</f>
        <v/>
      </c>
    </row>
    <row r="13211" spans="6:14">
      <c r="F13211" s="6">
        <f>IF($M13211="PADD I","PADD 1",IF($M13211="PADD II","PADD 2",IF($M13211="PADD III","PADD 3",IF($M13211="PADD IV","PADD 4",IF($M13211="PADD V","PADD 5","")))))</f>
        <v/>
      </c>
      <c r="G13211" s="6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  <c r="N13211" s="6">
        <f>IF(OR($G13211="FCC",$G13211="Hydrocracker",$G13211="Reformer"),IF(COUNTIFS($D:$D,$D13211,$A:$A,$A13211,$B:$B,$B13211,$G:$G,"CDU",$J:$J,"PLANNED")&gt;0,"tied","standalone"),"")</f>
        <v/>
      </c>
    </row>
    <row r="13212" spans="6:14">
      <c r="F13212" s="6">
        <f>IF($M13212="PADD I","PADD 1",IF($M13212="PADD II","PADD 2",IF($M13212="PADD III","PADD 3",IF($M13212="PADD IV","PADD 4",IF($M13212="PADD V","PADD 5","")))))</f>
        <v/>
      </c>
      <c r="G13212" s="6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  <c r="N13212" s="6">
        <f>IF(OR($G13212="FCC",$G13212="Hydrocracker",$G13212="Reformer"),IF(COUNTIFS($D:$D,$D13212,$A:$A,$A13212,$B:$B,$B13212,$G:$G,"CDU",$J:$J,"PLANNED")&gt;0,"tied","standalone"),"")</f>
        <v/>
      </c>
    </row>
    <row r="13213" spans="6:14">
      <c r="F13213" s="6">
        <f>IF($M13213="PADD I","PADD 1",IF($M13213="PADD II","PADD 2",IF($M13213="PADD III","PADD 3",IF($M13213="PADD IV","PADD 4",IF($M13213="PADD V","PADD 5","")))))</f>
        <v/>
      </c>
      <c r="G13213" s="6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  <c r="N13213" s="6">
        <f>IF(OR($G13213="FCC",$G13213="Hydrocracker",$G13213="Reformer"),IF(COUNTIFS($D:$D,$D13213,$A:$A,$A13213,$B:$B,$B13213,$G:$G,"CDU",$J:$J,"PLANNED")&gt;0,"tied","standalone"),"")</f>
        <v/>
      </c>
    </row>
    <row r="13214" spans="6:14">
      <c r="F13214" s="6">
        <f>IF($M13214="PADD I","PADD 1",IF($M13214="PADD II","PADD 2",IF($M13214="PADD III","PADD 3",IF($M13214="PADD IV","PADD 4",IF($M13214="PADD V","PADD 5","")))))</f>
        <v/>
      </c>
      <c r="G13214" s="6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  <c r="N13214" s="6">
        <f>IF(OR($G13214="FCC",$G13214="Hydrocracker",$G13214="Reformer"),IF(COUNTIFS($D:$D,$D13214,$A:$A,$A13214,$B:$B,$B13214,$G:$G,"CDU",$J:$J,"PLANNED")&gt;0,"tied","standalone"),"")</f>
        <v/>
      </c>
    </row>
    <row r="13215" spans="6:14">
      <c r="F13215" s="6">
        <f>IF($M13215="PADD I","PADD 1",IF($M13215="PADD II","PADD 2",IF($M13215="PADD III","PADD 3",IF($M13215="PADD IV","PADD 4",IF($M13215="PADD V","PADD 5","")))))</f>
        <v/>
      </c>
      <c r="G13215" s="6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  <c r="N13215" s="6">
        <f>IF(OR($G13215="FCC",$G13215="Hydrocracker",$G13215="Reformer"),IF(COUNTIFS($D:$D,$D13215,$A:$A,$A13215,$B:$B,$B13215,$G:$G,"CDU",$J:$J,"PLANNED")&gt;0,"tied","standalone"),"")</f>
        <v/>
      </c>
    </row>
    <row r="13216" spans="6:14">
      <c r="F13216" s="6">
        <f>IF($M13216="PADD I","PADD 1",IF($M13216="PADD II","PADD 2",IF($M13216="PADD III","PADD 3",IF($M13216="PADD IV","PADD 4",IF($M13216="PADD V","PADD 5","")))))</f>
        <v/>
      </c>
      <c r="G13216" s="6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  <c r="N13216" s="6">
        <f>IF(OR($G13216="FCC",$G13216="Hydrocracker",$G13216="Reformer"),IF(COUNTIFS($D:$D,$D13216,$A:$A,$A13216,$B:$B,$B13216,$G:$G,"CDU",$J:$J,"PLANNED")&gt;0,"tied","standalone"),"")</f>
        <v/>
      </c>
    </row>
    <row r="13217" spans="6:14">
      <c r="F13217" s="6">
        <f>IF($M13217="PADD I","PADD 1",IF($M13217="PADD II","PADD 2",IF($M13217="PADD III","PADD 3",IF($M13217="PADD IV","PADD 4",IF($M13217="PADD V","PADD 5","")))))</f>
        <v/>
      </c>
      <c r="G13217" s="6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  <c r="N13217" s="6">
        <f>IF(OR($G13217="FCC",$G13217="Hydrocracker",$G13217="Reformer"),IF(COUNTIFS($D:$D,$D13217,$A:$A,$A13217,$B:$B,$B13217,$G:$G,"CDU",$J:$J,"PLANNED")&gt;0,"tied","standalone"),"")</f>
        <v/>
      </c>
    </row>
    <row r="13218" spans="6:14">
      <c r="F13218" s="6">
        <f>IF($M13218="PADD I","PADD 1",IF($M13218="PADD II","PADD 2",IF($M13218="PADD III","PADD 3",IF($M13218="PADD IV","PADD 4",IF($M13218="PADD V","PADD 5","")))))</f>
        <v/>
      </c>
      <c r="G13218" s="6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  <c r="N13218" s="6">
        <f>IF(OR($G13218="FCC",$G13218="Hydrocracker",$G13218="Reformer"),IF(COUNTIFS($D:$D,$D13218,$A:$A,$A13218,$B:$B,$B13218,$G:$G,"CDU",$J:$J,"PLANNED")&gt;0,"tied","standalone"),"")</f>
        <v/>
      </c>
    </row>
    <row r="13219" spans="6:14">
      <c r="F13219" s="6">
        <f>IF($M13219="PADD I","PADD 1",IF($M13219="PADD II","PADD 2",IF($M13219="PADD III","PADD 3",IF($M13219="PADD IV","PADD 4",IF($M13219="PADD V","PADD 5","")))))</f>
        <v/>
      </c>
      <c r="G13219" s="6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  <c r="N13219" s="6">
        <f>IF(OR($G13219="FCC",$G13219="Hydrocracker",$G13219="Reformer"),IF(COUNTIFS($D:$D,$D13219,$A:$A,$A13219,$B:$B,$B13219,$G:$G,"CDU",$J:$J,"PLANNED")&gt;0,"tied","standalone"),"")</f>
        <v/>
      </c>
    </row>
    <row r="13220" spans="6:14">
      <c r="F13220" s="6">
        <f>IF($M13220="PADD I","PADD 1",IF($M13220="PADD II","PADD 2",IF($M13220="PADD III","PADD 3",IF($M13220="PADD IV","PADD 4",IF($M13220="PADD V","PADD 5","")))))</f>
        <v/>
      </c>
      <c r="G13220" s="6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  <c r="N13220" s="6">
        <f>IF(OR($G13220="FCC",$G13220="Hydrocracker",$G13220="Reformer"),IF(COUNTIFS($D:$D,$D13220,$A:$A,$A13220,$B:$B,$B13220,$G:$G,"CDU",$J:$J,"PLANNED")&gt;0,"tied","standalone"),"")</f>
        <v/>
      </c>
    </row>
    <row r="13221" spans="6:14">
      <c r="F13221" s="6">
        <f>IF($M13221="PADD I","PADD 1",IF($M13221="PADD II","PADD 2",IF($M13221="PADD III","PADD 3",IF($M13221="PADD IV","PADD 4",IF($M13221="PADD V","PADD 5","")))))</f>
        <v/>
      </c>
      <c r="G13221" s="6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  <c r="N13221" s="6">
        <f>IF(OR($G13221="FCC",$G13221="Hydrocracker",$G13221="Reformer"),IF(COUNTIFS($D:$D,$D13221,$A:$A,$A13221,$B:$B,$B13221,$G:$G,"CDU",$J:$J,"PLANNED")&gt;0,"tied","standalone"),"")</f>
        <v/>
      </c>
    </row>
    <row r="13222" spans="6:14">
      <c r="F13222" s="6">
        <f>IF($M13222="PADD I","PADD 1",IF($M13222="PADD II","PADD 2",IF($M13222="PADD III","PADD 3",IF($M13222="PADD IV","PADD 4",IF($M13222="PADD V","PADD 5","")))))</f>
        <v/>
      </c>
      <c r="G13222" s="6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  <c r="N13222" s="6">
        <f>IF(OR($G13222="FCC",$G13222="Hydrocracker",$G13222="Reformer"),IF(COUNTIFS($D:$D,$D13222,$A:$A,$A13222,$B:$B,$B13222,$G:$G,"CDU",$J:$J,"PLANNED")&gt;0,"tied","standalone"),"")</f>
        <v/>
      </c>
    </row>
    <row r="13223" spans="6:14">
      <c r="F13223" s="6">
        <f>IF($M13223="PADD I","PADD 1",IF($M13223="PADD II","PADD 2",IF($M13223="PADD III","PADD 3",IF($M13223="PADD IV","PADD 4",IF($M13223="PADD V","PADD 5","")))))</f>
        <v/>
      </c>
      <c r="G13223" s="6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  <c r="N13223" s="6">
        <f>IF(OR($G13223="FCC",$G13223="Hydrocracker",$G13223="Reformer"),IF(COUNTIFS($D:$D,$D13223,$A:$A,$A13223,$B:$B,$B13223,$G:$G,"CDU",$J:$J,"PLANNED")&gt;0,"tied","standalone"),"")</f>
        <v/>
      </c>
    </row>
    <row r="13224" spans="6:14">
      <c r="F13224" s="6">
        <f>IF($M13224="PADD I","PADD 1",IF($M13224="PADD II","PADD 2",IF($M13224="PADD III","PADD 3",IF($M13224="PADD IV","PADD 4",IF($M13224="PADD V","PADD 5","")))))</f>
        <v/>
      </c>
      <c r="G13224" s="6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  <c r="N13224" s="6">
        <f>IF(OR($G13224="FCC",$G13224="Hydrocracker",$G13224="Reformer"),IF(COUNTIFS($D:$D,$D13224,$A:$A,$A13224,$B:$B,$B13224,$G:$G,"CDU",$J:$J,"PLANNED")&gt;0,"tied","standalone"),"")</f>
        <v/>
      </c>
    </row>
    <row r="13225" spans="6:14">
      <c r="F13225" s="6">
        <f>IF($M13225="PADD I","PADD 1",IF($M13225="PADD II","PADD 2",IF($M13225="PADD III","PADD 3",IF($M13225="PADD IV","PADD 4",IF($M13225="PADD V","PADD 5","")))))</f>
        <v/>
      </c>
      <c r="G13225" s="6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  <c r="N13225" s="6">
        <f>IF(OR($G13225="FCC",$G13225="Hydrocracker",$G13225="Reformer"),IF(COUNTIFS($D:$D,$D13225,$A:$A,$A13225,$B:$B,$B13225,$G:$G,"CDU",$J:$J,"PLANNED")&gt;0,"tied","standalone"),"")</f>
        <v/>
      </c>
    </row>
    <row r="13226" spans="6:14">
      <c r="F13226" s="6">
        <f>IF($M13226="PADD I","PADD 1",IF($M13226="PADD II","PADD 2",IF($M13226="PADD III","PADD 3",IF($M13226="PADD IV","PADD 4",IF($M13226="PADD V","PADD 5","")))))</f>
        <v/>
      </c>
      <c r="G13226" s="6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  <c r="N13226" s="6">
        <f>IF(OR($G13226="FCC",$G13226="Hydrocracker",$G13226="Reformer"),IF(COUNTIFS($D:$D,$D13226,$A:$A,$A13226,$B:$B,$B13226,$G:$G,"CDU",$J:$J,"PLANNED")&gt;0,"tied","standalone"),"")</f>
        <v/>
      </c>
    </row>
    <row r="13227" spans="6:14">
      <c r="F13227" s="6">
        <f>IF($M13227="PADD I","PADD 1",IF($M13227="PADD II","PADD 2",IF($M13227="PADD III","PADD 3",IF($M13227="PADD IV","PADD 4",IF($M13227="PADD V","PADD 5","")))))</f>
        <v/>
      </c>
      <c r="G13227" s="6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  <c r="N13227" s="6">
        <f>IF(OR($G13227="FCC",$G13227="Hydrocracker",$G13227="Reformer"),IF(COUNTIFS($D:$D,$D13227,$A:$A,$A13227,$B:$B,$B13227,$G:$G,"CDU",$J:$J,"PLANNED")&gt;0,"tied","standalone"),"")</f>
        <v/>
      </c>
    </row>
    <row r="13228" spans="6:14">
      <c r="F13228" s="6">
        <f>IF($M13228="PADD I","PADD 1",IF($M13228="PADD II","PADD 2",IF($M13228="PADD III","PADD 3",IF($M13228="PADD IV","PADD 4",IF($M13228="PADD V","PADD 5","")))))</f>
        <v/>
      </c>
      <c r="G13228" s="6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  <c r="N13228" s="6">
        <f>IF(OR($G13228="FCC",$G13228="Hydrocracker",$G13228="Reformer"),IF(COUNTIFS($D:$D,$D13228,$A:$A,$A13228,$B:$B,$B13228,$G:$G,"CDU",$J:$J,"PLANNED")&gt;0,"tied","standalone"),"")</f>
        <v/>
      </c>
    </row>
    <row r="13229" spans="6:14">
      <c r="F13229" s="6">
        <f>IF($M13229="PADD I","PADD 1",IF($M13229="PADD II","PADD 2",IF($M13229="PADD III","PADD 3",IF($M13229="PADD IV","PADD 4",IF($M13229="PADD V","PADD 5","")))))</f>
        <v/>
      </c>
      <c r="G13229" s="6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  <c r="N13229" s="6">
        <f>IF(OR($G13229="FCC",$G13229="Hydrocracker",$G13229="Reformer"),IF(COUNTIFS($D:$D,$D13229,$A:$A,$A13229,$B:$B,$B13229,$G:$G,"CDU",$J:$J,"PLANNED")&gt;0,"tied","standalone"),"")</f>
        <v/>
      </c>
    </row>
    <row r="13230" spans="6:14">
      <c r="F13230" s="6">
        <f>IF($M13230="PADD I","PADD 1",IF($M13230="PADD II","PADD 2",IF($M13230="PADD III","PADD 3",IF($M13230="PADD IV","PADD 4",IF($M13230="PADD V","PADD 5","")))))</f>
        <v/>
      </c>
      <c r="G13230" s="6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  <c r="N13230" s="6">
        <f>IF(OR($G13230="FCC",$G13230="Hydrocracker",$G13230="Reformer"),IF(COUNTIFS($D:$D,$D13230,$A:$A,$A13230,$B:$B,$B13230,$G:$G,"CDU",$J:$J,"PLANNED")&gt;0,"tied","standalone"),"")</f>
        <v/>
      </c>
    </row>
    <row r="13231" spans="6:14">
      <c r="F13231" s="6">
        <f>IF($M13231="PADD I","PADD 1",IF($M13231="PADD II","PADD 2",IF($M13231="PADD III","PADD 3",IF($M13231="PADD IV","PADD 4",IF($M13231="PADD V","PADD 5","")))))</f>
        <v/>
      </c>
      <c r="G13231" s="6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  <c r="N13231" s="6">
        <f>IF(OR($G13231="FCC",$G13231="Hydrocracker",$G13231="Reformer"),IF(COUNTIFS($D:$D,$D13231,$A:$A,$A13231,$B:$B,$B13231,$G:$G,"CDU",$J:$J,"PLANNED")&gt;0,"tied","standalone"),"")</f>
        <v/>
      </c>
    </row>
    <row r="13232" spans="6:14">
      <c r="F13232" s="6">
        <f>IF($M13232="PADD I","PADD 1",IF($M13232="PADD II","PADD 2",IF($M13232="PADD III","PADD 3",IF($M13232="PADD IV","PADD 4",IF($M13232="PADD V","PADD 5","")))))</f>
        <v/>
      </c>
      <c r="G13232" s="6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  <c r="N13232" s="6">
        <f>IF(OR($G13232="FCC",$G13232="Hydrocracker",$G13232="Reformer"),IF(COUNTIFS($D:$D,$D13232,$A:$A,$A13232,$B:$B,$B13232,$G:$G,"CDU",$J:$J,"PLANNED")&gt;0,"tied","standalone"),"")</f>
        <v/>
      </c>
    </row>
    <row r="13233" spans="6:14">
      <c r="F13233" s="6">
        <f>IF($M13233="PADD I","PADD 1",IF($M13233="PADD II","PADD 2",IF($M13233="PADD III","PADD 3",IF($M13233="PADD IV","PADD 4",IF($M13233="PADD V","PADD 5","")))))</f>
        <v/>
      </c>
      <c r="G13233" s="6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  <c r="N13233" s="6">
        <f>IF(OR($G13233="FCC",$G13233="Hydrocracker",$G13233="Reformer"),IF(COUNTIFS($D:$D,$D13233,$A:$A,$A13233,$B:$B,$B13233,$G:$G,"CDU",$J:$J,"PLANNED")&gt;0,"tied","standalone"),"")</f>
        <v/>
      </c>
    </row>
    <row r="13234" spans="6:14">
      <c r="F13234" s="6">
        <f>IF($M13234="PADD I","PADD 1",IF($M13234="PADD II","PADD 2",IF($M13234="PADD III","PADD 3",IF($M13234="PADD IV","PADD 4",IF($M13234="PADD V","PADD 5","")))))</f>
        <v/>
      </c>
      <c r="G13234" s="6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  <c r="N13234" s="6">
        <f>IF(OR($G13234="FCC",$G13234="Hydrocracker",$G13234="Reformer"),IF(COUNTIFS($D:$D,$D13234,$A:$A,$A13234,$B:$B,$B13234,$G:$G,"CDU",$J:$J,"PLANNED")&gt;0,"tied","standalone"),"")</f>
        <v/>
      </c>
    </row>
    <row r="13235" spans="6:14">
      <c r="F13235" s="6">
        <f>IF($M13235="PADD I","PADD 1",IF($M13235="PADD II","PADD 2",IF($M13235="PADD III","PADD 3",IF($M13235="PADD IV","PADD 4",IF($M13235="PADD V","PADD 5","")))))</f>
        <v/>
      </c>
      <c r="G13235" s="6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  <c r="N13235" s="6">
        <f>IF(OR($G13235="FCC",$G13235="Hydrocracker",$G13235="Reformer"),IF(COUNTIFS($D:$D,$D13235,$A:$A,$A13235,$B:$B,$B13235,$G:$G,"CDU",$J:$J,"PLANNED")&gt;0,"tied","standalone"),"")</f>
        <v/>
      </c>
    </row>
    <row r="13236" spans="6:14">
      <c r="F13236" s="6">
        <f>IF($M13236="PADD I","PADD 1",IF($M13236="PADD II","PADD 2",IF($M13236="PADD III","PADD 3",IF($M13236="PADD IV","PADD 4",IF($M13236="PADD V","PADD 5","")))))</f>
        <v/>
      </c>
      <c r="G13236" s="6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  <c r="N13236" s="6">
        <f>IF(OR($G13236="FCC",$G13236="Hydrocracker",$G13236="Reformer"),IF(COUNTIFS($D:$D,$D13236,$A:$A,$A13236,$B:$B,$B13236,$G:$G,"CDU",$J:$J,"PLANNED")&gt;0,"tied","standalone"),"")</f>
        <v/>
      </c>
    </row>
    <row r="13237" spans="6:14">
      <c r="F13237" s="6">
        <f>IF($M13237="PADD I","PADD 1",IF($M13237="PADD II","PADD 2",IF($M13237="PADD III","PADD 3",IF($M13237="PADD IV","PADD 4",IF($M13237="PADD V","PADD 5","")))))</f>
        <v/>
      </c>
      <c r="G13237" s="6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  <c r="N13237" s="6">
        <f>IF(OR($G13237="FCC",$G13237="Hydrocracker",$G13237="Reformer"),IF(COUNTIFS($D:$D,$D13237,$A:$A,$A13237,$B:$B,$B13237,$G:$G,"CDU",$J:$J,"PLANNED")&gt;0,"tied","standalone"),"")</f>
        <v/>
      </c>
    </row>
    <row r="13238" spans="6:14">
      <c r="F13238" s="6">
        <f>IF($M13238="PADD I","PADD 1",IF($M13238="PADD II","PADD 2",IF($M13238="PADD III","PADD 3",IF($M13238="PADD IV","PADD 4",IF($M13238="PADD V","PADD 5","")))))</f>
        <v/>
      </c>
      <c r="G13238" s="6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  <c r="N13238" s="6">
        <f>IF(OR($G13238="FCC",$G13238="Hydrocracker",$G13238="Reformer"),IF(COUNTIFS($D:$D,$D13238,$A:$A,$A13238,$B:$B,$B13238,$G:$G,"CDU",$J:$J,"PLANNED")&gt;0,"tied","standalone"),"")</f>
        <v/>
      </c>
    </row>
    <row r="13239" spans="6:14">
      <c r="F13239" s="6">
        <f>IF($M13239="PADD I","PADD 1",IF($M13239="PADD II","PADD 2",IF($M13239="PADD III","PADD 3",IF($M13239="PADD IV","PADD 4",IF($M13239="PADD V","PADD 5","")))))</f>
        <v/>
      </c>
      <c r="G13239" s="6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  <c r="N13239" s="6">
        <f>IF(OR($G13239="FCC",$G13239="Hydrocracker",$G13239="Reformer"),IF(COUNTIFS($D:$D,$D13239,$A:$A,$A13239,$B:$B,$B13239,$G:$G,"CDU",$J:$J,"PLANNED")&gt;0,"tied","standalone"),"")</f>
        <v/>
      </c>
    </row>
    <row r="13240" spans="6:14">
      <c r="F13240" s="6">
        <f>IF($M13240="PADD I","PADD 1",IF($M13240="PADD II","PADD 2",IF($M13240="PADD III","PADD 3",IF($M13240="PADD IV","PADD 4",IF($M13240="PADD V","PADD 5","")))))</f>
        <v/>
      </c>
      <c r="G13240" s="6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  <c r="N13240" s="6">
        <f>IF(OR($G13240="FCC",$G13240="Hydrocracker",$G13240="Reformer"),IF(COUNTIFS($D:$D,$D13240,$A:$A,$A13240,$B:$B,$B13240,$G:$G,"CDU",$J:$J,"PLANNED")&gt;0,"tied","standalone"),"")</f>
        <v/>
      </c>
    </row>
    <row r="13241" spans="6:14">
      <c r="F13241" s="6">
        <f>IF($M13241="PADD I","PADD 1",IF($M13241="PADD II","PADD 2",IF($M13241="PADD III","PADD 3",IF($M13241="PADD IV","PADD 4",IF($M13241="PADD V","PADD 5","")))))</f>
        <v/>
      </c>
      <c r="G13241" s="6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  <c r="N13241" s="6">
        <f>IF(OR($G13241="FCC",$G13241="Hydrocracker",$G13241="Reformer"),IF(COUNTIFS($D:$D,$D13241,$A:$A,$A13241,$B:$B,$B13241,$G:$G,"CDU",$J:$J,"PLANNED")&gt;0,"tied","standalone"),"")</f>
        <v/>
      </c>
    </row>
    <row r="13242" spans="6:14">
      <c r="F13242" s="6">
        <f>IF($M13242="PADD I","PADD 1",IF($M13242="PADD II","PADD 2",IF($M13242="PADD III","PADD 3",IF($M13242="PADD IV","PADD 4",IF($M13242="PADD V","PADD 5","")))))</f>
        <v/>
      </c>
      <c r="G13242" s="6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  <c r="N13242" s="6">
        <f>IF(OR($G13242="FCC",$G13242="Hydrocracker",$G13242="Reformer"),IF(COUNTIFS($D:$D,$D13242,$A:$A,$A13242,$B:$B,$B13242,$G:$G,"CDU",$J:$J,"PLANNED")&gt;0,"tied","standalone"),"")</f>
        <v/>
      </c>
    </row>
    <row r="13243" spans="6:14">
      <c r="F13243" s="6">
        <f>IF($M13243="PADD I","PADD 1",IF($M13243="PADD II","PADD 2",IF($M13243="PADD III","PADD 3",IF($M13243="PADD IV","PADD 4",IF($M13243="PADD V","PADD 5","")))))</f>
        <v/>
      </c>
      <c r="G13243" s="6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  <c r="N13243" s="6">
        <f>IF(OR($G13243="FCC",$G13243="Hydrocracker",$G13243="Reformer"),IF(COUNTIFS($D:$D,$D13243,$A:$A,$A13243,$B:$B,$B13243,$G:$G,"CDU",$J:$J,"PLANNED")&gt;0,"tied","standalone"),"")</f>
        <v/>
      </c>
    </row>
    <row r="13244" spans="6:14">
      <c r="F13244" s="6">
        <f>IF($M13244="PADD I","PADD 1",IF($M13244="PADD II","PADD 2",IF($M13244="PADD III","PADD 3",IF($M13244="PADD IV","PADD 4",IF($M13244="PADD V","PADD 5","")))))</f>
        <v/>
      </c>
      <c r="G13244" s="6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  <c r="N13244" s="6">
        <f>IF(OR($G13244="FCC",$G13244="Hydrocracker",$G13244="Reformer"),IF(COUNTIFS($D:$D,$D13244,$A:$A,$A13244,$B:$B,$B13244,$G:$G,"CDU",$J:$J,"PLANNED")&gt;0,"tied","standalone"),"")</f>
        <v/>
      </c>
    </row>
    <row r="13245" spans="6:14">
      <c r="F13245" s="6">
        <f>IF($M13245="PADD I","PADD 1",IF($M13245="PADD II","PADD 2",IF($M13245="PADD III","PADD 3",IF($M13245="PADD IV","PADD 4",IF($M13245="PADD V","PADD 5","")))))</f>
        <v/>
      </c>
      <c r="G13245" s="6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  <c r="N13245" s="6">
        <f>IF(OR($G13245="FCC",$G13245="Hydrocracker",$G13245="Reformer"),IF(COUNTIFS($D:$D,$D13245,$A:$A,$A13245,$B:$B,$B13245,$G:$G,"CDU",$J:$J,"PLANNED")&gt;0,"tied","standalone"),"")</f>
        <v/>
      </c>
    </row>
    <row r="13246" spans="6:14">
      <c r="F13246" s="6">
        <f>IF($M13246="PADD I","PADD 1",IF($M13246="PADD II","PADD 2",IF($M13246="PADD III","PADD 3",IF($M13246="PADD IV","PADD 4",IF($M13246="PADD V","PADD 5","")))))</f>
        <v/>
      </c>
      <c r="G13246" s="6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  <c r="N13246" s="6">
        <f>IF(OR($G13246="FCC",$G13246="Hydrocracker",$G13246="Reformer"),IF(COUNTIFS($D:$D,$D13246,$A:$A,$A13246,$B:$B,$B13246,$G:$G,"CDU",$J:$J,"PLANNED")&gt;0,"tied","standalone"),"")</f>
        <v/>
      </c>
    </row>
    <row r="13247" spans="6:14">
      <c r="F13247" s="6">
        <f>IF($M13247="PADD I","PADD 1",IF($M13247="PADD II","PADD 2",IF($M13247="PADD III","PADD 3",IF($M13247="PADD IV","PADD 4",IF($M13247="PADD V","PADD 5","")))))</f>
        <v/>
      </c>
      <c r="G13247" s="6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  <c r="N13247" s="6">
        <f>IF(OR($G13247="FCC",$G13247="Hydrocracker",$G13247="Reformer"),IF(COUNTIFS($D:$D,$D13247,$A:$A,$A13247,$B:$B,$B13247,$G:$G,"CDU",$J:$J,"PLANNED")&gt;0,"tied","standalone"),"")</f>
        <v/>
      </c>
    </row>
    <row r="13248" spans="6:14">
      <c r="F13248" s="6">
        <f>IF($M13248="PADD I","PADD 1",IF($M13248="PADD II","PADD 2",IF($M13248="PADD III","PADD 3",IF($M13248="PADD IV","PADD 4",IF($M13248="PADD V","PADD 5","")))))</f>
        <v/>
      </c>
      <c r="G13248" s="6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  <c r="N13248" s="6">
        <f>IF(OR($G13248="FCC",$G13248="Hydrocracker",$G13248="Reformer"),IF(COUNTIFS($D:$D,$D13248,$A:$A,$A13248,$B:$B,$B13248,$G:$G,"CDU",$J:$J,"PLANNED")&gt;0,"tied","standalone"),"")</f>
        <v/>
      </c>
    </row>
    <row r="13249" spans="6:14">
      <c r="F13249" s="6">
        <f>IF($M13249="PADD I","PADD 1",IF($M13249="PADD II","PADD 2",IF($M13249="PADD III","PADD 3",IF($M13249="PADD IV","PADD 4",IF($M13249="PADD V","PADD 5","")))))</f>
        <v/>
      </c>
      <c r="G13249" s="6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  <c r="N13249" s="6">
        <f>IF(OR($G13249="FCC",$G13249="Hydrocracker",$G13249="Reformer"),IF(COUNTIFS($D:$D,$D13249,$A:$A,$A13249,$B:$B,$B13249,$G:$G,"CDU",$J:$J,"PLANNED")&gt;0,"tied","standalone"),"")</f>
        <v/>
      </c>
    </row>
    <row r="13250" spans="6:14">
      <c r="F13250" s="6">
        <f>IF($M13250="PADD I","PADD 1",IF($M13250="PADD II","PADD 2",IF($M13250="PADD III","PADD 3",IF($M13250="PADD IV","PADD 4",IF($M13250="PADD V","PADD 5","")))))</f>
        <v/>
      </c>
      <c r="G13250" s="6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  <c r="N13250" s="6">
        <f>IF(OR($G13250="FCC",$G13250="Hydrocracker",$G13250="Reformer"),IF(COUNTIFS($D:$D,$D13250,$A:$A,$A13250,$B:$B,$B13250,$G:$G,"CDU",$J:$J,"PLANNED")&gt;0,"tied","standalone"),"")</f>
        <v/>
      </c>
    </row>
    <row r="13251" spans="6:14">
      <c r="F13251" s="6">
        <f>IF($M13251="PADD I","PADD 1",IF($M13251="PADD II","PADD 2",IF($M13251="PADD III","PADD 3",IF($M13251="PADD IV","PADD 4",IF($M13251="PADD V","PADD 5","")))))</f>
        <v/>
      </c>
      <c r="G13251" s="6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  <c r="N13251" s="6">
        <f>IF(OR($G13251="FCC",$G13251="Hydrocracker",$G13251="Reformer"),IF(COUNTIFS($D:$D,$D13251,$A:$A,$A13251,$B:$B,$B13251,$G:$G,"CDU",$J:$J,"PLANNED")&gt;0,"tied","standalone"),"")</f>
        <v/>
      </c>
    </row>
    <row r="13252" spans="6:14">
      <c r="F13252" s="6">
        <f>IF($M13252="PADD I","PADD 1",IF($M13252="PADD II","PADD 2",IF($M13252="PADD III","PADD 3",IF($M13252="PADD IV","PADD 4",IF($M13252="PADD V","PADD 5","")))))</f>
        <v/>
      </c>
      <c r="G13252" s="6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  <c r="N13252" s="6">
        <f>IF(OR($G13252="FCC",$G13252="Hydrocracker",$G13252="Reformer"),IF(COUNTIFS($D:$D,$D13252,$A:$A,$A13252,$B:$B,$B13252,$G:$G,"CDU",$J:$J,"PLANNED")&gt;0,"tied","standalone"),"")</f>
        <v/>
      </c>
    </row>
    <row r="13253" spans="6:14">
      <c r="F13253" s="6">
        <f>IF($M13253="PADD I","PADD 1",IF($M13253="PADD II","PADD 2",IF($M13253="PADD III","PADD 3",IF($M13253="PADD IV","PADD 4",IF($M13253="PADD V","PADD 5","")))))</f>
        <v/>
      </c>
      <c r="G13253" s="6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  <c r="N13253" s="6">
        <f>IF(OR($G13253="FCC",$G13253="Hydrocracker",$G13253="Reformer"),IF(COUNTIFS($D:$D,$D13253,$A:$A,$A13253,$B:$B,$B13253,$G:$G,"CDU",$J:$J,"PLANNED")&gt;0,"tied","standalone"),"")</f>
        <v/>
      </c>
    </row>
    <row r="13254" spans="6:14">
      <c r="F13254" s="6">
        <f>IF($M13254="PADD I","PADD 1",IF($M13254="PADD II","PADD 2",IF($M13254="PADD III","PADD 3",IF($M13254="PADD IV","PADD 4",IF($M13254="PADD V","PADD 5","")))))</f>
        <v/>
      </c>
      <c r="G13254" s="6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  <c r="N13254" s="6">
        <f>IF(OR($G13254="FCC",$G13254="Hydrocracker",$G13254="Reformer"),IF(COUNTIFS($D:$D,$D13254,$A:$A,$A13254,$B:$B,$B13254,$G:$G,"CDU",$J:$J,"PLANNED")&gt;0,"tied","standalone"),"")</f>
        <v/>
      </c>
    </row>
    <row r="13255" spans="6:14">
      <c r="F13255" s="6">
        <f>IF($M13255="PADD I","PADD 1",IF($M13255="PADD II","PADD 2",IF($M13255="PADD III","PADD 3",IF($M13255="PADD IV","PADD 4",IF($M13255="PADD V","PADD 5","")))))</f>
        <v/>
      </c>
      <c r="G13255" s="6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  <c r="N13255" s="6">
        <f>IF(OR($G13255="FCC",$G13255="Hydrocracker",$G13255="Reformer"),IF(COUNTIFS($D:$D,$D13255,$A:$A,$A13255,$B:$B,$B13255,$G:$G,"CDU",$J:$J,"PLANNED")&gt;0,"tied","standalone"),"")</f>
        <v/>
      </c>
    </row>
    <row r="13256" spans="6:14">
      <c r="F13256" s="6">
        <f>IF($M13256="PADD I","PADD 1",IF($M13256="PADD II","PADD 2",IF($M13256="PADD III","PADD 3",IF($M13256="PADD IV","PADD 4",IF($M13256="PADD V","PADD 5","")))))</f>
        <v/>
      </c>
      <c r="G13256" s="6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  <c r="N13256" s="6">
        <f>IF(OR($G13256="FCC",$G13256="Hydrocracker",$G13256="Reformer"),IF(COUNTIFS($D:$D,$D13256,$A:$A,$A13256,$B:$B,$B13256,$G:$G,"CDU",$J:$J,"PLANNED")&gt;0,"tied","standalone"),"")</f>
        <v/>
      </c>
    </row>
    <row r="13257" spans="6:14">
      <c r="F13257" s="6">
        <f>IF($M13257="PADD I","PADD 1",IF($M13257="PADD II","PADD 2",IF($M13257="PADD III","PADD 3",IF($M13257="PADD IV","PADD 4",IF($M13257="PADD V","PADD 5","")))))</f>
        <v/>
      </c>
      <c r="G13257" s="6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  <c r="N13257" s="6">
        <f>IF(OR($G13257="FCC",$G13257="Hydrocracker",$G13257="Reformer"),IF(COUNTIFS($D:$D,$D13257,$A:$A,$A13257,$B:$B,$B13257,$G:$G,"CDU",$J:$J,"PLANNED")&gt;0,"tied","standalone"),"")</f>
        <v/>
      </c>
    </row>
    <row r="13258" spans="6:14">
      <c r="F13258" s="6">
        <f>IF($M13258="PADD I","PADD 1",IF($M13258="PADD II","PADD 2",IF($M13258="PADD III","PADD 3",IF($M13258="PADD IV","PADD 4",IF($M13258="PADD V","PADD 5","")))))</f>
        <v/>
      </c>
      <c r="G13258" s="6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  <c r="N13258" s="6">
        <f>IF(OR($G13258="FCC",$G13258="Hydrocracker",$G13258="Reformer"),IF(COUNTIFS($D:$D,$D13258,$A:$A,$A13258,$B:$B,$B13258,$G:$G,"CDU",$J:$J,"PLANNED")&gt;0,"tied","standalone"),"")</f>
        <v/>
      </c>
    </row>
    <row r="13259" spans="6:14">
      <c r="F13259" s="6">
        <f>IF($M13259="PADD I","PADD 1",IF($M13259="PADD II","PADD 2",IF($M13259="PADD III","PADD 3",IF($M13259="PADD IV","PADD 4",IF($M13259="PADD V","PADD 5","")))))</f>
        <v/>
      </c>
      <c r="G13259" s="6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  <c r="N13259" s="6">
        <f>IF(OR($G13259="FCC",$G13259="Hydrocracker",$G13259="Reformer"),IF(COUNTIFS($D:$D,$D13259,$A:$A,$A13259,$B:$B,$B13259,$G:$G,"CDU",$J:$J,"PLANNED")&gt;0,"tied","standalone"),"")</f>
        <v/>
      </c>
    </row>
    <row r="13260" spans="6:14">
      <c r="F13260" s="6">
        <f>IF($M13260="PADD I","PADD 1",IF($M13260="PADD II","PADD 2",IF($M13260="PADD III","PADD 3",IF($M13260="PADD IV","PADD 4",IF($M13260="PADD V","PADD 5","")))))</f>
        <v/>
      </c>
      <c r="G13260" s="6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  <c r="N13260" s="6">
        <f>IF(OR($G13260="FCC",$G13260="Hydrocracker",$G13260="Reformer"),IF(COUNTIFS($D:$D,$D13260,$A:$A,$A13260,$B:$B,$B13260,$G:$G,"CDU",$J:$J,"PLANNED")&gt;0,"tied","standalone"),"")</f>
        <v/>
      </c>
    </row>
    <row r="13261" spans="6:14">
      <c r="F13261" s="6">
        <f>IF($M13261="PADD I","PADD 1",IF($M13261="PADD II","PADD 2",IF($M13261="PADD III","PADD 3",IF($M13261="PADD IV","PADD 4",IF($M13261="PADD V","PADD 5","")))))</f>
        <v/>
      </c>
      <c r="G13261" s="6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  <c r="N13261" s="6">
        <f>IF(OR($G13261="FCC",$G13261="Hydrocracker",$G13261="Reformer"),IF(COUNTIFS($D:$D,$D13261,$A:$A,$A13261,$B:$B,$B13261,$G:$G,"CDU",$J:$J,"PLANNED")&gt;0,"tied","standalone"),"")</f>
        <v/>
      </c>
    </row>
    <row r="13262" spans="6:14">
      <c r="F13262" s="6">
        <f>IF($M13262="PADD I","PADD 1",IF($M13262="PADD II","PADD 2",IF($M13262="PADD III","PADD 3",IF($M13262="PADD IV","PADD 4",IF($M13262="PADD V","PADD 5","")))))</f>
        <v/>
      </c>
      <c r="G13262" s="6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  <c r="N13262" s="6">
        <f>IF(OR($G13262="FCC",$G13262="Hydrocracker",$G13262="Reformer"),IF(COUNTIFS($D:$D,$D13262,$A:$A,$A13262,$B:$B,$B13262,$G:$G,"CDU",$J:$J,"PLANNED")&gt;0,"tied","standalone"),"")</f>
        <v/>
      </c>
    </row>
    <row r="13263" spans="6:14">
      <c r="F13263" s="6">
        <f>IF($M13263="PADD I","PADD 1",IF($M13263="PADD II","PADD 2",IF($M13263="PADD III","PADD 3",IF($M13263="PADD IV","PADD 4",IF($M13263="PADD V","PADD 5","")))))</f>
        <v/>
      </c>
      <c r="G13263" s="6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  <c r="N13263" s="6">
        <f>IF(OR($G13263="FCC",$G13263="Hydrocracker",$G13263="Reformer"),IF(COUNTIFS($D:$D,$D13263,$A:$A,$A13263,$B:$B,$B13263,$G:$G,"CDU",$J:$J,"PLANNED")&gt;0,"tied","standalone"),"")</f>
        <v/>
      </c>
    </row>
    <row r="13264" spans="6:14">
      <c r="F13264" s="6">
        <f>IF($M13264="PADD I","PADD 1",IF($M13264="PADD II","PADD 2",IF($M13264="PADD III","PADD 3",IF($M13264="PADD IV","PADD 4",IF($M13264="PADD V","PADD 5","")))))</f>
        <v/>
      </c>
      <c r="G13264" s="6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  <c r="N13264" s="6">
        <f>IF(OR($G13264="FCC",$G13264="Hydrocracker",$G13264="Reformer"),IF(COUNTIFS($D:$D,$D13264,$A:$A,$A13264,$B:$B,$B13264,$G:$G,"CDU",$J:$J,"PLANNED")&gt;0,"tied","standalone"),"")</f>
        <v/>
      </c>
    </row>
    <row r="13265" spans="6:14">
      <c r="F13265" s="6">
        <f>IF($M13265="PADD I","PADD 1",IF($M13265="PADD II","PADD 2",IF($M13265="PADD III","PADD 3",IF($M13265="PADD IV","PADD 4",IF($M13265="PADD V","PADD 5","")))))</f>
        <v/>
      </c>
      <c r="G13265" s="6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  <c r="N13265" s="6">
        <f>IF(OR($G13265="FCC",$G13265="Hydrocracker",$G13265="Reformer"),IF(COUNTIFS($D:$D,$D13265,$A:$A,$A13265,$B:$B,$B13265,$G:$G,"CDU",$J:$J,"PLANNED")&gt;0,"tied","standalone"),"")</f>
        <v/>
      </c>
    </row>
    <row r="13266" spans="6:14">
      <c r="F13266" s="6">
        <f>IF($M13266="PADD I","PADD 1",IF($M13266="PADD II","PADD 2",IF($M13266="PADD III","PADD 3",IF($M13266="PADD IV","PADD 4",IF($M13266="PADD V","PADD 5","")))))</f>
        <v/>
      </c>
      <c r="G13266" s="6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  <c r="N13266" s="6">
        <f>IF(OR($G13266="FCC",$G13266="Hydrocracker",$G13266="Reformer"),IF(COUNTIFS($D:$D,$D13266,$A:$A,$A13266,$B:$B,$B13266,$G:$G,"CDU",$J:$J,"PLANNED")&gt;0,"tied","standalone"),"")</f>
        <v/>
      </c>
    </row>
    <row r="13267" spans="6:14">
      <c r="F13267" s="6">
        <f>IF($M13267="PADD I","PADD 1",IF($M13267="PADD II","PADD 2",IF($M13267="PADD III","PADD 3",IF($M13267="PADD IV","PADD 4",IF($M13267="PADD V","PADD 5","")))))</f>
        <v/>
      </c>
      <c r="G13267" s="6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  <c r="N13267" s="6">
        <f>IF(OR($G13267="FCC",$G13267="Hydrocracker",$G13267="Reformer"),IF(COUNTIFS($D:$D,$D13267,$A:$A,$A13267,$B:$B,$B13267,$G:$G,"CDU",$J:$J,"PLANNED")&gt;0,"tied","standalone"),"")</f>
        <v/>
      </c>
    </row>
    <row r="13268" spans="6:14">
      <c r="F13268" s="6">
        <f>IF($M13268="PADD I","PADD 1",IF($M13268="PADD II","PADD 2",IF($M13268="PADD III","PADD 3",IF($M13268="PADD IV","PADD 4",IF($M13268="PADD V","PADD 5","")))))</f>
        <v/>
      </c>
      <c r="G13268" s="6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  <c r="N13268" s="6">
        <f>IF(OR($G13268="FCC",$G13268="Hydrocracker",$G13268="Reformer"),IF(COUNTIFS($D:$D,$D13268,$A:$A,$A13268,$B:$B,$B13268,$G:$G,"CDU",$J:$J,"PLANNED")&gt;0,"tied","standalone"),"")</f>
        <v/>
      </c>
    </row>
    <row r="13269" spans="6:14">
      <c r="F13269" s="6">
        <f>IF($M13269="PADD I","PADD 1",IF($M13269="PADD II","PADD 2",IF($M13269="PADD III","PADD 3",IF($M13269="PADD IV","PADD 4",IF($M13269="PADD V","PADD 5","")))))</f>
        <v/>
      </c>
      <c r="G13269" s="6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  <c r="N13269" s="6">
        <f>IF(OR($G13269="FCC",$G13269="Hydrocracker",$G13269="Reformer"),IF(COUNTIFS($D:$D,$D13269,$A:$A,$A13269,$B:$B,$B13269,$G:$G,"CDU",$J:$J,"PLANNED")&gt;0,"tied","standalone"),"")</f>
        <v/>
      </c>
    </row>
    <row r="13270" spans="6:14">
      <c r="F13270" s="6">
        <f>IF($M13270="PADD I","PADD 1",IF($M13270="PADD II","PADD 2",IF($M13270="PADD III","PADD 3",IF($M13270="PADD IV","PADD 4",IF($M13270="PADD V","PADD 5","")))))</f>
        <v/>
      </c>
      <c r="G13270" s="6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  <c r="N13270" s="6">
        <f>IF(OR($G13270="FCC",$G13270="Hydrocracker",$G13270="Reformer"),IF(COUNTIFS($D:$D,$D13270,$A:$A,$A13270,$B:$B,$B13270,$G:$G,"CDU",$J:$J,"PLANNED")&gt;0,"tied","standalone"),"")</f>
        <v/>
      </c>
    </row>
    <row r="13271" spans="6:14">
      <c r="F13271" s="6">
        <f>IF($M13271="PADD I","PADD 1",IF($M13271="PADD II","PADD 2",IF($M13271="PADD III","PADD 3",IF($M13271="PADD IV","PADD 4",IF($M13271="PADD V","PADD 5","")))))</f>
        <v/>
      </c>
      <c r="G13271" s="6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  <c r="N13271" s="6">
        <f>IF(OR($G13271="FCC",$G13271="Hydrocracker",$G13271="Reformer"),IF(COUNTIFS($D:$D,$D13271,$A:$A,$A13271,$B:$B,$B13271,$G:$G,"CDU",$J:$J,"PLANNED")&gt;0,"tied","standalone"),"")</f>
        <v/>
      </c>
    </row>
    <row r="13272" spans="6:14">
      <c r="F13272" s="6">
        <f>IF($M13272="PADD I","PADD 1",IF($M13272="PADD II","PADD 2",IF($M13272="PADD III","PADD 3",IF($M13272="PADD IV","PADD 4",IF($M13272="PADD V","PADD 5","")))))</f>
        <v/>
      </c>
      <c r="G13272" s="6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  <c r="N13272" s="6">
        <f>IF(OR($G13272="FCC",$G13272="Hydrocracker",$G13272="Reformer"),IF(COUNTIFS($D:$D,$D13272,$A:$A,$A13272,$B:$B,$B13272,$G:$G,"CDU",$J:$J,"PLANNED")&gt;0,"tied","standalone"),"")</f>
        <v/>
      </c>
    </row>
    <row r="13273" spans="6:14">
      <c r="F13273" s="6">
        <f>IF($M13273="PADD I","PADD 1",IF($M13273="PADD II","PADD 2",IF($M13273="PADD III","PADD 3",IF($M13273="PADD IV","PADD 4",IF($M13273="PADD V","PADD 5","")))))</f>
        <v/>
      </c>
      <c r="G13273" s="6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  <c r="N13273" s="6">
        <f>IF(OR($G13273="FCC",$G13273="Hydrocracker",$G13273="Reformer"),IF(COUNTIFS($D:$D,$D13273,$A:$A,$A13273,$B:$B,$B13273,$G:$G,"CDU",$J:$J,"PLANNED")&gt;0,"tied","standalone"),"")</f>
        <v/>
      </c>
    </row>
    <row r="13274" spans="6:14">
      <c r="F13274" s="6">
        <f>IF($M13274="PADD I","PADD 1",IF($M13274="PADD II","PADD 2",IF($M13274="PADD III","PADD 3",IF($M13274="PADD IV","PADD 4",IF($M13274="PADD V","PADD 5","")))))</f>
        <v/>
      </c>
      <c r="G13274" s="6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  <c r="N13274" s="6">
        <f>IF(OR($G13274="FCC",$G13274="Hydrocracker",$G13274="Reformer"),IF(COUNTIFS($D:$D,$D13274,$A:$A,$A13274,$B:$B,$B13274,$G:$G,"CDU",$J:$J,"PLANNED")&gt;0,"tied","standalone"),"")</f>
        <v/>
      </c>
    </row>
    <row r="13275" spans="6:14">
      <c r="F13275" s="6">
        <f>IF($M13275="PADD I","PADD 1",IF($M13275="PADD II","PADD 2",IF($M13275="PADD III","PADD 3",IF($M13275="PADD IV","PADD 4",IF($M13275="PADD V","PADD 5","")))))</f>
        <v/>
      </c>
      <c r="G13275" s="6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  <c r="N13275" s="6">
        <f>IF(OR($G13275="FCC",$G13275="Hydrocracker",$G13275="Reformer"),IF(COUNTIFS($D:$D,$D13275,$A:$A,$A13275,$B:$B,$B13275,$G:$G,"CDU",$J:$J,"PLANNED")&gt;0,"tied","standalone"),"")</f>
        <v/>
      </c>
    </row>
    <row r="13276" spans="6:14">
      <c r="F13276" s="6">
        <f>IF($M13276="PADD I","PADD 1",IF($M13276="PADD II","PADD 2",IF($M13276="PADD III","PADD 3",IF($M13276="PADD IV","PADD 4",IF($M13276="PADD V","PADD 5","")))))</f>
        <v/>
      </c>
      <c r="G13276" s="6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  <c r="N13276" s="6">
        <f>IF(OR($G13276="FCC",$G13276="Hydrocracker",$G13276="Reformer"),IF(COUNTIFS($D:$D,$D13276,$A:$A,$A13276,$B:$B,$B13276,$G:$G,"CDU",$J:$J,"PLANNED")&gt;0,"tied","standalone"),"")</f>
        <v/>
      </c>
    </row>
    <row r="13277" spans="6:14">
      <c r="F13277" s="6">
        <f>IF($M13277="PADD I","PADD 1",IF($M13277="PADD II","PADD 2",IF($M13277="PADD III","PADD 3",IF($M13277="PADD IV","PADD 4",IF($M13277="PADD V","PADD 5","")))))</f>
        <v/>
      </c>
      <c r="G13277" s="6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  <c r="N13277" s="6">
        <f>IF(OR($G13277="FCC",$G13277="Hydrocracker",$G13277="Reformer"),IF(COUNTIFS($D:$D,$D13277,$A:$A,$A13277,$B:$B,$B13277,$G:$G,"CDU",$J:$J,"PLANNED")&gt;0,"tied","standalone"),"")</f>
        <v/>
      </c>
    </row>
    <row r="13278" spans="6:14">
      <c r="F13278" s="6">
        <f>IF($M13278="PADD I","PADD 1",IF($M13278="PADD II","PADD 2",IF($M13278="PADD III","PADD 3",IF($M13278="PADD IV","PADD 4",IF($M13278="PADD V","PADD 5","")))))</f>
        <v/>
      </c>
      <c r="G13278" s="6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  <c r="N13278" s="6">
        <f>IF(OR($G13278="FCC",$G13278="Hydrocracker",$G13278="Reformer"),IF(COUNTIFS($D:$D,$D13278,$A:$A,$A13278,$B:$B,$B13278,$G:$G,"CDU",$J:$J,"PLANNED")&gt;0,"tied","standalone"),"")</f>
        <v/>
      </c>
    </row>
    <row r="13279" spans="6:14">
      <c r="F13279" s="6">
        <f>IF($M13279="PADD I","PADD 1",IF($M13279="PADD II","PADD 2",IF($M13279="PADD III","PADD 3",IF($M13279="PADD IV","PADD 4",IF($M13279="PADD V","PADD 5","")))))</f>
        <v/>
      </c>
      <c r="G13279" s="6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  <c r="N13279" s="6">
        <f>IF(OR($G13279="FCC",$G13279="Hydrocracker",$G13279="Reformer"),IF(COUNTIFS($D:$D,$D13279,$A:$A,$A13279,$B:$B,$B13279,$G:$G,"CDU",$J:$J,"PLANNED")&gt;0,"tied","standalone"),"")</f>
        <v/>
      </c>
    </row>
    <row r="13280" spans="6:14">
      <c r="F13280" s="6">
        <f>IF($M13280="PADD I","PADD 1",IF($M13280="PADD II","PADD 2",IF($M13280="PADD III","PADD 3",IF($M13280="PADD IV","PADD 4",IF($M13280="PADD V","PADD 5","")))))</f>
        <v/>
      </c>
      <c r="G13280" s="6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  <c r="N13280" s="6">
        <f>IF(OR($G13280="FCC",$G13280="Hydrocracker",$G13280="Reformer"),IF(COUNTIFS($D:$D,$D13280,$A:$A,$A13280,$B:$B,$B13280,$G:$G,"CDU",$J:$J,"PLANNED")&gt;0,"tied","standalone"),"")</f>
        <v/>
      </c>
    </row>
    <row r="13281" spans="6:14">
      <c r="F13281" s="6">
        <f>IF($M13281="PADD I","PADD 1",IF($M13281="PADD II","PADD 2",IF($M13281="PADD III","PADD 3",IF($M13281="PADD IV","PADD 4",IF($M13281="PADD V","PADD 5","")))))</f>
        <v/>
      </c>
      <c r="G13281" s="6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  <c r="N13281" s="6">
        <f>IF(OR($G13281="FCC",$G13281="Hydrocracker",$G13281="Reformer"),IF(COUNTIFS($D:$D,$D13281,$A:$A,$A13281,$B:$B,$B13281,$G:$G,"CDU",$J:$J,"PLANNED")&gt;0,"tied","standalone"),"")</f>
        <v/>
      </c>
    </row>
    <row r="13282" spans="6:14">
      <c r="F13282" s="6">
        <f>IF($M13282="PADD I","PADD 1",IF($M13282="PADD II","PADD 2",IF($M13282="PADD III","PADD 3",IF($M13282="PADD IV","PADD 4",IF($M13282="PADD V","PADD 5","")))))</f>
        <v/>
      </c>
      <c r="G13282" s="6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  <c r="N13282" s="6">
        <f>IF(OR($G13282="FCC",$G13282="Hydrocracker",$G13282="Reformer"),IF(COUNTIFS($D:$D,$D13282,$A:$A,$A13282,$B:$B,$B13282,$G:$G,"CDU",$J:$J,"PLANNED")&gt;0,"tied","standalone"),"")</f>
        <v/>
      </c>
    </row>
    <row r="13283" spans="6:14">
      <c r="F13283" s="6">
        <f>IF($M13283="PADD I","PADD 1",IF($M13283="PADD II","PADD 2",IF($M13283="PADD III","PADD 3",IF($M13283="PADD IV","PADD 4",IF($M13283="PADD V","PADD 5","")))))</f>
        <v/>
      </c>
      <c r="G13283" s="6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  <c r="N13283" s="6">
        <f>IF(OR($G13283="FCC",$G13283="Hydrocracker",$G13283="Reformer"),IF(COUNTIFS($D:$D,$D13283,$A:$A,$A13283,$B:$B,$B13283,$G:$G,"CDU",$J:$J,"PLANNED")&gt;0,"tied","standalone"),"")</f>
        <v/>
      </c>
    </row>
    <row r="13284" spans="6:14">
      <c r="F13284" s="6">
        <f>IF($M13284="PADD I","PADD 1",IF($M13284="PADD II","PADD 2",IF($M13284="PADD III","PADD 3",IF($M13284="PADD IV","PADD 4",IF($M13284="PADD V","PADD 5","")))))</f>
        <v/>
      </c>
      <c r="G13284" s="6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  <c r="N13284" s="6">
        <f>IF(OR($G13284="FCC",$G13284="Hydrocracker",$G13284="Reformer"),IF(COUNTIFS($D:$D,$D13284,$A:$A,$A13284,$B:$B,$B13284,$G:$G,"CDU",$J:$J,"PLANNED")&gt;0,"tied","standalone"),"")</f>
        <v/>
      </c>
    </row>
    <row r="13285" spans="6:14">
      <c r="F13285" s="6">
        <f>IF($M13285="PADD I","PADD 1",IF($M13285="PADD II","PADD 2",IF($M13285="PADD III","PADD 3",IF($M13285="PADD IV","PADD 4",IF($M13285="PADD V","PADD 5","")))))</f>
        <v/>
      </c>
      <c r="G13285" s="6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  <c r="N13285" s="6">
        <f>IF(OR($G13285="FCC",$G13285="Hydrocracker",$G13285="Reformer"),IF(COUNTIFS($D:$D,$D13285,$A:$A,$A13285,$B:$B,$B13285,$G:$G,"CDU",$J:$J,"PLANNED")&gt;0,"tied","standalone"),"")</f>
        <v/>
      </c>
    </row>
    <row r="13286" spans="6:14">
      <c r="F13286" s="6">
        <f>IF($M13286="PADD I","PADD 1",IF($M13286="PADD II","PADD 2",IF($M13286="PADD III","PADD 3",IF($M13286="PADD IV","PADD 4",IF($M13286="PADD V","PADD 5","")))))</f>
        <v/>
      </c>
      <c r="G13286" s="6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  <c r="N13286" s="6">
        <f>IF(OR($G13286="FCC",$G13286="Hydrocracker",$G13286="Reformer"),IF(COUNTIFS($D:$D,$D13286,$A:$A,$A13286,$B:$B,$B13286,$G:$G,"CDU",$J:$J,"PLANNED")&gt;0,"tied","standalone"),"")</f>
        <v/>
      </c>
    </row>
    <row r="13287" spans="6:14">
      <c r="F13287" s="6">
        <f>IF($M13287="PADD I","PADD 1",IF($M13287="PADD II","PADD 2",IF($M13287="PADD III","PADD 3",IF($M13287="PADD IV","PADD 4",IF($M13287="PADD V","PADD 5","")))))</f>
        <v/>
      </c>
      <c r="G13287" s="6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  <c r="N13287" s="6">
        <f>IF(OR($G13287="FCC",$G13287="Hydrocracker",$G13287="Reformer"),IF(COUNTIFS($D:$D,$D13287,$A:$A,$A13287,$B:$B,$B13287,$G:$G,"CDU",$J:$J,"PLANNED")&gt;0,"tied","standalone"),"")</f>
        <v/>
      </c>
    </row>
    <row r="13288" spans="6:14">
      <c r="F13288" s="6">
        <f>IF($M13288="PADD I","PADD 1",IF($M13288="PADD II","PADD 2",IF($M13288="PADD III","PADD 3",IF($M13288="PADD IV","PADD 4",IF($M13288="PADD V","PADD 5","")))))</f>
        <v/>
      </c>
      <c r="G13288" s="6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  <c r="N13288" s="6">
        <f>IF(OR($G13288="FCC",$G13288="Hydrocracker",$G13288="Reformer"),IF(COUNTIFS($D:$D,$D13288,$A:$A,$A13288,$B:$B,$B13288,$G:$G,"CDU",$J:$J,"PLANNED")&gt;0,"tied","standalone"),"")</f>
        <v/>
      </c>
    </row>
    <row r="13289" spans="6:14">
      <c r="F13289" s="6">
        <f>IF($M13289="PADD I","PADD 1",IF($M13289="PADD II","PADD 2",IF($M13289="PADD III","PADD 3",IF($M13289="PADD IV","PADD 4",IF($M13289="PADD V","PADD 5","")))))</f>
        <v/>
      </c>
      <c r="G13289" s="6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  <c r="N13289" s="6">
        <f>IF(OR($G13289="FCC",$G13289="Hydrocracker",$G13289="Reformer"),IF(COUNTIFS($D:$D,$D13289,$A:$A,$A13289,$B:$B,$B13289,$G:$G,"CDU",$J:$J,"PLANNED")&gt;0,"tied","standalone"),"")</f>
        <v/>
      </c>
    </row>
    <row r="13290" spans="6:14">
      <c r="F13290" s="6">
        <f>IF($M13290="PADD I","PADD 1",IF($M13290="PADD II","PADD 2",IF($M13290="PADD III","PADD 3",IF($M13290="PADD IV","PADD 4",IF($M13290="PADD V","PADD 5","")))))</f>
        <v/>
      </c>
      <c r="G13290" s="6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  <c r="N13290" s="6">
        <f>IF(OR($G13290="FCC",$G13290="Hydrocracker",$G13290="Reformer"),IF(COUNTIFS($D:$D,$D13290,$A:$A,$A13290,$B:$B,$B13290,$G:$G,"CDU",$J:$J,"PLANNED")&gt;0,"tied","standalone"),"")</f>
        <v/>
      </c>
    </row>
    <row r="13291" spans="6:14">
      <c r="F13291" s="6">
        <f>IF($M13291="PADD I","PADD 1",IF($M13291="PADD II","PADD 2",IF($M13291="PADD III","PADD 3",IF($M13291="PADD IV","PADD 4",IF($M13291="PADD V","PADD 5","")))))</f>
        <v/>
      </c>
      <c r="G13291" s="6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  <c r="N13291" s="6">
        <f>IF(OR($G13291="FCC",$G13291="Hydrocracker",$G13291="Reformer"),IF(COUNTIFS($D:$D,$D13291,$A:$A,$A13291,$B:$B,$B13291,$G:$G,"CDU",$J:$J,"PLANNED")&gt;0,"tied","standalone"),"")</f>
        <v/>
      </c>
    </row>
    <row r="13292" spans="6:14">
      <c r="F13292" s="6">
        <f>IF($M13292="PADD I","PADD 1",IF($M13292="PADD II","PADD 2",IF($M13292="PADD III","PADD 3",IF($M13292="PADD IV","PADD 4",IF($M13292="PADD V","PADD 5","")))))</f>
        <v/>
      </c>
      <c r="G13292" s="6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  <c r="N13292" s="6">
        <f>IF(OR($G13292="FCC",$G13292="Hydrocracker",$G13292="Reformer"),IF(COUNTIFS($D:$D,$D13292,$A:$A,$A13292,$B:$B,$B13292,$G:$G,"CDU",$J:$J,"PLANNED")&gt;0,"tied","standalone"),"")</f>
        <v/>
      </c>
    </row>
    <row r="13293" spans="6:14">
      <c r="F13293" s="6">
        <f>IF($M13293="PADD I","PADD 1",IF($M13293="PADD II","PADD 2",IF($M13293="PADD III","PADD 3",IF($M13293="PADD IV","PADD 4",IF($M13293="PADD V","PADD 5","")))))</f>
        <v/>
      </c>
      <c r="G13293" s="6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  <c r="N13293" s="6">
        <f>IF(OR($G13293="FCC",$G13293="Hydrocracker",$G13293="Reformer"),IF(COUNTIFS($D:$D,$D13293,$A:$A,$A13293,$B:$B,$B13293,$G:$G,"CDU",$J:$J,"PLANNED")&gt;0,"tied","standalone"),"")</f>
        <v/>
      </c>
    </row>
    <row r="13294" spans="6:14">
      <c r="F13294" s="6">
        <f>IF($M13294="PADD I","PADD 1",IF($M13294="PADD II","PADD 2",IF($M13294="PADD III","PADD 3",IF($M13294="PADD IV","PADD 4",IF($M13294="PADD V","PADD 5","")))))</f>
        <v/>
      </c>
      <c r="G13294" s="6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  <c r="N13294" s="6">
        <f>IF(OR($G13294="FCC",$G13294="Hydrocracker",$G13294="Reformer"),IF(COUNTIFS($D:$D,$D13294,$A:$A,$A13294,$B:$B,$B13294,$G:$G,"CDU",$J:$J,"PLANNED")&gt;0,"tied","standalone"),"")</f>
        <v/>
      </c>
    </row>
    <row r="13295" spans="6:14">
      <c r="F13295" s="6">
        <f>IF($M13295="PADD I","PADD 1",IF($M13295="PADD II","PADD 2",IF($M13295="PADD III","PADD 3",IF($M13295="PADD IV","PADD 4",IF($M13295="PADD V","PADD 5","")))))</f>
        <v/>
      </c>
      <c r="G13295" s="6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  <c r="N13295" s="6">
        <f>IF(OR($G13295="FCC",$G13295="Hydrocracker",$G13295="Reformer"),IF(COUNTIFS($D:$D,$D13295,$A:$A,$A13295,$B:$B,$B13295,$G:$G,"CDU",$J:$J,"PLANNED")&gt;0,"tied","standalone"),"")</f>
        <v/>
      </c>
    </row>
    <row r="13296" spans="6:14">
      <c r="F13296" s="6">
        <f>IF($M13296="PADD I","PADD 1",IF($M13296="PADD II","PADD 2",IF($M13296="PADD III","PADD 3",IF($M13296="PADD IV","PADD 4",IF($M13296="PADD V","PADD 5","")))))</f>
        <v/>
      </c>
      <c r="G13296" s="6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  <c r="N13296" s="6">
        <f>IF(OR($G13296="FCC",$G13296="Hydrocracker",$G13296="Reformer"),IF(COUNTIFS($D:$D,$D13296,$A:$A,$A13296,$B:$B,$B13296,$G:$G,"CDU",$J:$J,"PLANNED")&gt;0,"tied","standalone"),"")</f>
        <v/>
      </c>
    </row>
    <row r="13297" spans="6:14">
      <c r="F13297" s="6">
        <f>IF($M13297="PADD I","PADD 1",IF($M13297="PADD II","PADD 2",IF($M13297="PADD III","PADD 3",IF($M13297="PADD IV","PADD 4",IF($M13297="PADD V","PADD 5","")))))</f>
        <v/>
      </c>
      <c r="G13297" s="6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  <c r="N13297" s="6">
        <f>IF(OR($G13297="FCC",$G13297="Hydrocracker",$G13297="Reformer"),IF(COUNTIFS($D:$D,$D13297,$A:$A,$A13297,$B:$B,$B13297,$G:$G,"CDU",$J:$J,"PLANNED")&gt;0,"tied","standalone"),"")</f>
        <v/>
      </c>
    </row>
    <row r="13298" spans="6:14">
      <c r="F13298" s="6">
        <f>IF($M13298="PADD I","PADD 1",IF($M13298="PADD II","PADD 2",IF($M13298="PADD III","PADD 3",IF($M13298="PADD IV","PADD 4",IF($M13298="PADD V","PADD 5","")))))</f>
        <v/>
      </c>
      <c r="G13298" s="6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  <c r="N13298" s="6">
        <f>IF(OR($G13298="FCC",$G13298="Hydrocracker",$G13298="Reformer"),IF(COUNTIFS($D:$D,$D13298,$A:$A,$A13298,$B:$B,$B13298,$G:$G,"CDU",$J:$J,"PLANNED")&gt;0,"tied","standalone"),"")</f>
        <v/>
      </c>
    </row>
    <row r="13299" spans="6:14">
      <c r="F13299" s="6">
        <f>IF($M13299="PADD I","PADD 1",IF($M13299="PADD II","PADD 2",IF($M13299="PADD III","PADD 3",IF($M13299="PADD IV","PADD 4",IF($M13299="PADD V","PADD 5","")))))</f>
        <v/>
      </c>
      <c r="G13299" s="6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  <c r="N13299" s="6">
        <f>IF(OR($G13299="FCC",$G13299="Hydrocracker",$G13299="Reformer"),IF(COUNTIFS($D:$D,$D13299,$A:$A,$A13299,$B:$B,$B13299,$G:$G,"CDU",$J:$J,"PLANNED")&gt;0,"tied","standalone"),"")</f>
        <v/>
      </c>
    </row>
    <row r="13300" spans="6:14">
      <c r="F13300" s="6">
        <f>IF($M13300="PADD I","PADD 1",IF($M13300="PADD II","PADD 2",IF($M13300="PADD III","PADD 3",IF($M13300="PADD IV","PADD 4",IF($M13300="PADD V","PADD 5","")))))</f>
        <v/>
      </c>
      <c r="G13300" s="6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  <c r="N13300" s="6">
        <f>IF(OR($G13300="FCC",$G13300="Hydrocracker",$G13300="Reformer"),IF(COUNTIFS($D:$D,$D13300,$A:$A,$A13300,$B:$B,$B13300,$G:$G,"CDU",$J:$J,"PLANNED")&gt;0,"tied","standalone"),"")</f>
        <v/>
      </c>
    </row>
    <row r="13301" spans="6:14">
      <c r="F13301" s="6">
        <f>IF($M13301="PADD I","PADD 1",IF($M13301="PADD II","PADD 2",IF($M13301="PADD III","PADD 3",IF($M13301="PADD IV","PADD 4",IF($M13301="PADD V","PADD 5","")))))</f>
        <v/>
      </c>
      <c r="G13301" s="6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  <c r="N13301" s="6">
        <f>IF(OR($G13301="FCC",$G13301="Hydrocracker",$G13301="Reformer"),IF(COUNTIFS($D:$D,$D13301,$A:$A,$A13301,$B:$B,$B13301,$G:$G,"CDU",$J:$J,"PLANNED")&gt;0,"tied","standalone"),"")</f>
        <v/>
      </c>
    </row>
    <row r="13302" spans="6:14">
      <c r="F13302" s="6">
        <f>IF($M13302="PADD I","PADD 1",IF($M13302="PADD II","PADD 2",IF($M13302="PADD III","PADD 3",IF($M13302="PADD IV","PADD 4",IF($M13302="PADD V","PADD 5","")))))</f>
        <v/>
      </c>
      <c r="G13302" s="6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  <c r="N13302" s="6">
        <f>IF(OR($G13302="FCC",$G13302="Hydrocracker",$G13302="Reformer"),IF(COUNTIFS($D:$D,$D13302,$A:$A,$A13302,$B:$B,$B13302,$G:$G,"CDU",$J:$J,"PLANNED")&gt;0,"tied","standalone"),"")</f>
        <v/>
      </c>
    </row>
    <row r="13303" spans="6:14">
      <c r="F13303" s="6">
        <f>IF($M13303="PADD I","PADD 1",IF($M13303="PADD II","PADD 2",IF($M13303="PADD III","PADD 3",IF($M13303="PADD IV","PADD 4",IF($M13303="PADD V","PADD 5","")))))</f>
        <v/>
      </c>
      <c r="G13303" s="6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  <c r="N13303" s="6">
        <f>IF(OR($G13303="FCC",$G13303="Hydrocracker",$G13303="Reformer"),IF(COUNTIFS($D:$D,$D13303,$A:$A,$A13303,$B:$B,$B13303,$G:$G,"CDU",$J:$J,"PLANNED")&gt;0,"tied","standalone"),"")</f>
        <v/>
      </c>
    </row>
    <row r="13304" spans="6:14">
      <c r="F13304" s="6">
        <f>IF($M13304="PADD I","PADD 1",IF($M13304="PADD II","PADD 2",IF($M13304="PADD III","PADD 3",IF($M13304="PADD IV","PADD 4",IF($M13304="PADD V","PADD 5","")))))</f>
        <v/>
      </c>
      <c r="G13304" s="6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  <c r="N13304" s="6">
        <f>IF(OR($G13304="FCC",$G13304="Hydrocracker",$G13304="Reformer"),IF(COUNTIFS($D:$D,$D13304,$A:$A,$A13304,$B:$B,$B13304,$G:$G,"CDU",$J:$J,"PLANNED")&gt;0,"tied","standalone"),"")</f>
        <v/>
      </c>
    </row>
    <row r="13305" spans="6:14">
      <c r="F13305" s="6">
        <f>IF($M13305="PADD I","PADD 1",IF($M13305="PADD II","PADD 2",IF($M13305="PADD III","PADD 3",IF($M13305="PADD IV","PADD 4",IF($M13305="PADD V","PADD 5","")))))</f>
        <v/>
      </c>
      <c r="G13305" s="6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  <c r="N13305" s="6">
        <f>IF(OR($G13305="FCC",$G13305="Hydrocracker",$G13305="Reformer"),IF(COUNTIFS($D:$D,$D13305,$A:$A,$A13305,$B:$B,$B13305,$G:$G,"CDU",$J:$J,"PLANNED")&gt;0,"tied","standalone"),"")</f>
        <v/>
      </c>
    </row>
    <row r="13306" spans="6:14">
      <c r="F13306" s="6">
        <f>IF($M13306="PADD I","PADD 1",IF($M13306="PADD II","PADD 2",IF($M13306="PADD III","PADD 3",IF($M13306="PADD IV","PADD 4",IF($M13306="PADD V","PADD 5","")))))</f>
        <v/>
      </c>
      <c r="G13306" s="6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  <c r="N13306" s="6">
        <f>IF(OR($G13306="FCC",$G13306="Hydrocracker",$G13306="Reformer"),IF(COUNTIFS($D:$D,$D13306,$A:$A,$A13306,$B:$B,$B13306,$G:$G,"CDU",$J:$J,"PLANNED")&gt;0,"tied","standalone"),"")</f>
        <v/>
      </c>
    </row>
    <row r="13307" spans="6:14">
      <c r="F13307" s="6">
        <f>IF($M13307="PADD I","PADD 1",IF($M13307="PADD II","PADD 2",IF($M13307="PADD III","PADD 3",IF($M13307="PADD IV","PADD 4",IF($M13307="PADD V","PADD 5","")))))</f>
        <v/>
      </c>
      <c r="G13307" s="6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  <c r="N13307" s="6">
        <f>IF(OR($G13307="FCC",$G13307="Hydrocracker",$G13307="Reformer"),IF(COUNTIFS($D:$D,$D13307,$A:$A,$A13307,$B:$B,$B13307,$G:$G,"CDU",$J:$J,"PLANNED")&gt;0,"tied","standalone"),"")</f>
        <v/>
      </c>
    </row>
    <row r="13308" spans="6:14">
      <c r="F13308" s="6">
        <f>IF($M13308="PADD I","PADD 1",IF($M13308="PADD II","PADD 2",IF($M13308="PADD III","PADD 3",IF($M13308="PADD IV","PADD 4",IF($M13308="PADD V","PADD 5","")))))</f>
        <v/>
      </c>
      <c r="G13308" s="6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  <c r="N13308" s="6">
        <f>IF(OR($G13308="FCC",$G13308="Hydrocracker",$G13308="Reformer"),IF(COUNTIFS($D:$D,$D13308,$A:$A,$A13308,$B:$B,$B13308,$G:$G,"CDU",$J:$J,"PLANNED")&gt;0,"tied","standalone"),"")</f>
        <v/>
      </c>
    </row>
    <row r="13309" spans="6:14">
      <c r="F13309" s="6">
        <f>IF($M13309="PADD I","PADD 1",IF($M13309="PADD II","PADD 2",IF($M13309="PADD III","PADD 3",IF($M13309="PADD IV","PADD 4",IF($M13309="PADD V","PADD 5","")))))</f>
        <v/>
      </c>
      <c r="G13309" s="6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  <c r="N13309" s="6">
        <f>IF(OR($G13309="FCC",$G13309="Hydrocracker",$G13309="Reformer"),IF(COUNTIFS($D:$D,$D13309,$A:$A,$A13309,$B:$B,$B13309,$G:$G,"CDU",$J:$J,"PLANNED")&gt;0,"tied","standalone"),"")</f>
        <v/>
      </c>
    </row>
    <row r="13310" spans="6:14">
      <c r="F13310" s="6">
        <f>IF($M13310="PADD I","PADD 1",IF($M13310="PADD II","PADD 2",IF($M13310="PADD III","PADD 3",IF($M13310="PADD IV","PADD 4",IF($M13310="PADD V","PADD 5","")))))</f>
        <v/>
      </c>
      <c r="G13310" s="6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  <c r="N13310" s="6">
        <f>IF(OR($G13310="FCC",$G13310="Hydrocracker",$G13310="Reformer"),IF(COUNTIFS($D:$D,$D13310,$A:$A,$A13310,$B:$B,$B13310,$G:$G,"CDU",$J:$J,"PLANNED")&gt;0,"tied","standalone"),"")</f>
        <v/>
      </c>
    </row>
    <row r="13311" spans="6:14">
      <c r="F13311" s="6">
        <f>IF($M13311="PADD I","PADD 1",IF($M13311="PADD II","PADD 2",IF($M13311="PADD III","PADD 3",IF($M13311="PADD IV","PADD 4",IF($M13311="PADD V","PADD 5","")))))</f>
        <v/>
      </c>
      <c r="G13311" s="6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  <c r="N13311" s="6">
        <f>IF(OR($G13311="FCC",$G13311="Hydrocracker",$G13311="Reformer"),IF(COUNTIFS($D:$D,$D13311,$A:$A,$A13311,$B:$B,$B13311,$G:$G,"CDU",$J:$J,"PLANNED")&gt;0,"tied","standalone"),"")</f>
        <v/>
      </c>
    </row>
    <row r="13312" spans="6:14">
      <c r="F13312" s="6">
        <f>IF($M13312="PADD I","PADD 1",IF($M13312="PADD II","PADD 2",IF($M13312="PADD III","PADD 3",IF($M13312="PADD IV","PADD 4",IF($M13312="PADD V","PADD 5","")))))</f>
        <v/>
      </c>
      <c r="G13312" s="6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  <c r="N13312" s="6">
        <f>IF(OR($G13312="FCC",$G13312="Hydrocracker",$G13312="Reformer"),IF(COUNTIFS($D:$D,$D13312,$A:$A,$A13312,$B:$B,$B13312,$G:$G,"CDU",$J:$J,"PLANNED")&gt;0,"tied","standalone"),"")</f>
        <v/>
      </c>
    </row>
    <row r="13313" spans="6:14">
      <c r="F13313" s="6">
        <f>IF($M13313="PADD I","PADD 1",IF($M13313="PADD II","PADD 2",IF($M13313="PADD III","PADD 3",IF($M13313="PADD IV","PADD 4",IF($M13313="PADD V","PADD 5","")))))</f>
        <v/>
      </c>
      <c r="G13313" s="6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  <c r="N13313" s="6">
        <f>IF(OR($G13313="FCC",$G13313="Hydrocracker",$G13313="Reformer"),IF(COUNTIFS($D:$D,$D13313,$A:$A,$A13313,$B:$B,$B13313,$G:$G,"CDU",$J:$J,"PLANNED")&gt;0,"tied","standalone"),"")</f>
        <v/>
      </c>
    </row>
    <row r="13314" spans="6:14">
      <c r="F13314" s="6">
        <f>IF($M13314="PADD I","PADD 1",IF($M13314="PADD II","PADD 2",IF($M13314="PADD III","PADD 3",IF($M13314="PADD IV","PADD 4",IF($M13314="PADD V","PADD 5","")))))</f>
        <v/>
      </c>
      <c r="G13314" s="6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  <c r="N13314" s="6">
        <f>IF(OR($G13314="FCC",$G13314="Hydrocracker",$G13314="Reformer"),IF(COUNTIFS($D:$D,$D13314,$A:$A,$A13314,$B:$B,$B13314,$G:$G,"CDU",$J:$J,"PLANNED")&gt;0,"tied","standalone"),"")</f>
        <v/>
      </c>
    </row>
    <row r="13315" spans="6:14">
      <c r="F13315" s="6">
        <f>IF($M13315="PADD I","PADD 1",IF($M13315="PADD II","PADD 2",IF($M13315="PADD III","PADD 3",IF($M13315="PADD IV","PADD 4",IF($M13315="PADD V","PADD 5","")))))</f>
        <v/>
      </c>
      <c r="G13315" s="6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  <c r="N13315" s="6">
        <f>IF(OR($G13315="FCC",$G13315="Hydrocracker",$G13315="Reformer"),IF(COUNTIFS($D:$D,$D13315,$A:$A,$A13315,$B:$B,$B13315,$G:$G,"CDU",$J:$J,"PLANNED")&gt;0,"tied","standalone"),"")</f>
        <v/>
      </c>
    </row>
    <row r="13316" spans="6:14">
      <c r="F13316" s="6">
        <f>IF($M13316="PADD I","PADD 1",IF($M13316="PADD II","PADD 2",IF($M13316="PADD III","PADD 3",IF($M13316="PADD IV","PADD 4",IF($M13316="PADD V","PADD 5","")))))</f>
        <v/>
      </c>
      <c r="G13316" s="6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  <c r="N13316" s="6">
        <f>IF(OR($G13316="FCC",$G13316="Hydrocracker",$G13316="Reformer"),IF(COUNTIFS($D:$D,$D13316,$A:$A,$A13316,$B:$B,$B13316,$G:$G,"CDU",$J:$J,"PLANNED")&gt;0,"tied","standalone"),"")</f>
        <v/>
      </c>
    </row>
    <row r="13317" spans="6:14">
      <c r="F13317" s="6">
        <f>IF($M13317="PADD I","PADD 1",IF($M13317="PADD II","PADD 2",IF($M13317="PADD III","PADD 3",IF($M13317="PADD IV","PADD 4",IF($M13317="PADD V","PADD 5","")))))</f>
        <v/>
      </c>
      <c r="G13317" s="6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  <c r="N13317" s="6">
        <f>IF(OR($G13317="FCC",$G13317="Hydrocracker",$G13317="Reformer"),IF(COUNTIFS($D:$D,$D13317,$A:$A,$A13317,$B:$B,$B13317,$G:$G,"CDU",$J:$J,"PLANNED")&gt;0,"tied","standalone"),"")</f>
        <v/>
      </c>
    </row>
    <row r="13318" spans="6:14">
      <c r="F13318" s="6">
        <f>IF($M13318="PADD I","PADD 1",IF($M13318="PADD II","PADD 2",IF($M13318="PADD III","PADD 3",IF($M13318="PADD IV","PADD 4",IF($M13318="PADD V","PADD 5","")))))</f>
        <v/>
      </c>
      <c r="G13318" s="6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  <c r="N13318" s="6">
        <f>IF(OR($G13318="FCC",$G13318="Hydrocracker",$G13318="Reformer"),IF(COUNTIFS($D:$D,$D13318,$A:$A,$A13318,$B:$B,$B13318,$G:$G,"CDU",$J:$J,"PLANNED")&gt;0,"tied","standalone"),"")</f>
        <v/>
      </c>
    </row>
    <row r="13319" spans="6:14">
      <c r="F13319" s="6">
        <f>IF($M13319="PADD I","PADD 1",IF($M13319="PADD II","PADD 2",IF($M13319="PADD III","PADD 3",IF($M13319="PADD IV","PADD 4",IF($M13319="PADD V","PADD 5","")))))</f>
        <v/>
      </c>
      <c r="G13319" s="6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  <c r="N13319" s="6">
        <f>IF(OR($G13319="FCC",$G13319="Hydrocracker",$G13319="Reformer"),IF(COUNTIFS($D:$D,$D13319,$A:$A,$A13319,$B:$B,$B13319,$G:$G,"CDU",$J:$J,"PLANNED")&gt;0,"tied","standalone"),"")</f>
        <v/>
      </c>
    </row>
    <row r="13320" spans="6:14">
      <c r="F13320" s="6">
        <f>IF($M13320="PADD I","PADD 1",IF($M13320="PADD II","PADD 2",IF($M13320="PADD III","PADD 3",IF($M13320="PADD IV","PADD 4",IF($M13320="PADD V","PADD 5","")))))</f>
        <v/>
      </c>
      <c r="G13320" s="6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  <c r="N13320" s="6">
        <f>IF(OR($G13320="FCC",$G13320="Hydrocracker",$G13320="Reformer"),IF(COUNTIFS($D:$D,$D13320,$A:$A,$A13320,$B:$B,$B13320,$G:$G,"CDU",$J:$J,"PLANNED")&gt;0,"tied","standalone"),"")</f>
        <v/>
      </c>
    </row>
    <row r="13321" spans="6:14">
      <c r="F13321" s="6">
        <f>IF($M13321="PADD I","PADD 1",IF($M13321="PADD II","PADD 2",IF($M13321="PADD III","PADD 3",IF($M13321="PADD IV","PADD 4",IF($M13321="PADD V","PADD 5","")))))</f>
        <v/>
      </c>
      <c r="G13321" s="6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  <c r="N13321" s="6">
        <f>IF(OR($G13321="FCC",$G13321="Hydrocracker",$G13321="Reformer"),IF(COUNTIFS($D:$D,$D13321,$A:$A,$A13321,$B:$B,$B13321,$G:$G,"CDU",$J:$J,"PLANNED")&gt;0,"tied","standalone"),"")</f>
        <v/>
      </c>
    </row>
    <row r="13322" spans="6:14">
      <c r="F13322" s="6">
        <f>IF($M13322="PADD I","PADD 1",IF($M13322="PADD II","PADD 2",IF($M13322="PADD III","PADD 3",IF($M13322="PADD IV","PADD 4",IF($M13322="PADD V","PADD 5","")))))</f>
        <v/>
      </c>
      <c r="G13322" s="6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  <c r="N13322" s="6">
        <f>IF(OR($G13322="FCC",$G13322="Hydrocracker",$G13322="Reformer"),IF(COUNTIFS($D:$D,$D13322,$A:$A,$A13322,$B:$B,$B13322,$G:$G,"CDU",$J:$J,"PLANNED")&gt;0,"tied","standalone"),"")</f>
        <v/>
      </c>
    </row>
    <row r="13323" spans="6:14">
      <c r="F13323" s="6">
        <f>IF($M13323="PADD I","PADD 1",IF($M13323="PADD II","PADD 2",IF($M13323="PADD III","PADD 3",IF($M13323="PADD IV","PADD 4",IF($M13323="PADD V","PADD 5","")))))</f>
        <v/>
      </c>
      <c r="G13323" s="6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  <c r="N13323" s="6">
        <f>IF(OR($G13323="FCC",$G13323="Hydrocracker",$G13323="Reformer"),IF(COUNTIFS($D:$D,$D13323,$A:$A,$A13323,$B:$B,$B13323,$G:$G,"CDU",$J:$J,"PLANNED")&gt;0,"tied","standalone"),"")</f>
        <v/>
      </c>
    </row>
    <row r="13324" spans="6:14">
      <c r="F13324" s="6">
        <f>IF($M13324="PADD I","PADD 1",IF($M13324="PADD II","PADD 2",IF($M13324="PADD III","PADD 3",IF($M13324="PADD IV","PADD 4",IF($M13324="PADD V","PADD 5","")))))</f>
        <v/>
      </c>
      <c r="G13324" s="6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  <c r="N13324" s="6">
        <f>IF(OR($G13324="FCC",$G13324="Hydrocracker",$G13324="Reformer"),IF(COUNTIFS($D:$D,$D13324,$A:$A,$A13324,$B:$B,$B13324,$G:$G,"CDU",$J:$J,"PLANNED")&gt;0,"tied","standalone"),"")</f>
        <v/>
      </c>
    </row>
    <row r="13325" spans="6:14">
      <c r="F13325" s="6">
        <f>IF($M13325="PADD I","PADD 1",IF($M13325="PADD II","PADD 2",IF($M13325="PADD III","PADD 3",IF($M13325="PADD IV","PADD 4",IF($M13325="PADD V","PADD 5","")))))</f>
        <v/>
      </c>
      <c r="G13325" s="6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  <c r="N13325" s="6">
        <f>IF(OR($G13325="FCC",$G13325="Hydrocracker",$G13325="Reformer"),IF(COUNTIFS($D:$D,$D13325,$A:$A,$A13325,$B:$B,$B13325,$G:$G,"CDU",$J:$J,"PLANNED")&gt;0,"tied","standalone"),"")</f>
        <v/>
      </c>
    </row>
    <row r="13326" spans="6:14">
      <c r="F13326" s="6">
        <f>IF($M13326="PADD I","PADD 1",IF($M13326="PADD II","PADD 2",IF($M13326="PADD III","PADD 3",IF($M13326="PADD IV","PADD 4",IF($M13326="PADD V","PADD 5","")))))</f>
        <v/>
      </c>
      <c r="G13326" s="6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  <c r="N13326" s="6">
        <f>IF(OR($G13326="FCC",$G13326="Hydrocracker",$G13326="Reformer"),IF(COUNTIFS($D:$D,$D13326,$A:$A,$A13326,$B:$B,$B13326,$G:$G,"CDU",$J:$J,"PLANNED")&gt;0,"tied","standalone"),"")</f>
        <v/>
      </c>
    </row>
    <row r="13327" spans="6:14">
      <c r="F13327" s="6">
        <f>IF($M13327="PADD I","PADD 1",IF($M13327="PADD II","PADD 2",IF($M13327="PADD III","PADD 3",IF($M13327="PADD IV","PADD 4",IF($M13327="PADD V","PADD 5","")))))</f>
        <v/>
      </c>
      <c r="G13327" s="6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  <c r="N13327" s="6">
        <f>IF(OR($G13327="FCC",$G13327="Hydrocracker",$G13327="Reformer"),IF(COUNTIFS($D:$D,$D13327,$A:$A,$A13327,$B:$B,$B13327,$G:$G,"CDU",$J:$J,"PLANNED")&gt;0,"tied","standalone"),"")</f>
        <v/>
      </c>
    </row>
    <row r="13328" spans="6:14">
      <c r="F13328" s="6">
        <f>IF($M13328="PADD I","PADD 1",IF($M13328="PADD II","PADD 2",IF($M13328="PADD III","PADD 3",IF($M13328="PADD IV","PADD 4",IF($M13328="PADD V","PADD 5","")))))</f>
        <v/>
      </c>
      <c r="G13328" s="6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  <c r="N13328" s="6">
        <f>IF(OR($G13328="FCC",$G13328="Hydrocracker",$G13328="Reformer"),IF(COUNTIFS($D:$D,$D13328,$A:$A,$A13328,$B:$B,$B13328,$G:$G,"CDU",$J:$J,"PLANNED")&gt;0,"tied","standalone"),"")</f>
        <v/>
      </c>
    </row>
    <row r="13329" spans="6:14">
      <c r="F13329" s="6">
        <f>IF($M13329="PADD I","PADD 1",IF($M13329="PADD II","PADD 2",IF($M13329="PADD III","PADD 3",IF($M13329="PADD IV","PADD 4",IF($M13329="PADD V","PADD 5","")))))</f>
        <v/>
      </c>
      <c r="G13329" s="6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  <c r="N13329" s="6">
        <f>IF(OR($G13329="FCC",$G13329="Hydrocracker",$G13329="Reformer"),IF(COUNTIFS($D:$D,$D13329,$A:$A,$A13329,$B:$B,$B13329,$G:$G,"CDU",$J:$J,"PLANNED")&gt;0,"tied","standalone"),"")</f>
        <v/>
      </c>
    </row>
    <row r="13330" spans="6:14">
      <c r="F13330" s="6">
        <f>IF($M13330="PADD I","PADD 1",IF($M13330="PADD II","PADD 2",IF($M13330="PADD III","PADD 3",IF($M13330="PADD IV","PADD 4",IF($M13330="PADD V","PADD 5","")))))</f>
        <v/>
      </c>
      <c r="G13330" s="6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  <c r="N13330" s="6">
        <f>IF(OR($G13330="FCC",$G13330="Hydrocracker",$G13330="Reformer"),IF(COUNTIFS($D:$D,$D13330,$A:$A,$A13330,$B:$B,$B13330,$G:$G,"CDU",$J:$J,"PLANNED")&gt;0,"tied","standalone"),"")</f>
        <v/>
      </c>
    </row>
    <row r="13331" spans="6:14">
      <c r="F13331" s="6">
        <f>IF($M13331="PADD I","PADD 1",IF($M13331="PADD II","PADD 2",IF($M13331="PADD III","PADD 3",IF($M13331="PADD IV","PADD 4",IF($M13331="PADD V","PADD 5","")))))</f>
        <v/>
      </c>
      <c r="G13331" s="6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  <c r="N13331" s="6">
        <f>IF(OR($G13331="FCC",$G13331="Hydrocracker",$G13331="Reformer"),IF(COUNTIFS($D:$D,$D13331,$A:$A,$A13331,$B:$B,$B13331,$G:$G,"CDU",$J:$J,"PLANNED")&gt;0,"tied","standalone"),"")</f>
        <v/>
      </c>
    </row>
    <row r="13332" spans="6:14">
      <c r="F13332" s="6">
        <f>IF($M13332="PADD I","PADD 1",IF($M13332="PADD II","PADD 2",IF($M13332="PADD III","PADD 3",IF($M13332="PADD IV","PADD 4",IF($M13332="PADD V","PADD 5","")))))</f>
        <v/>
      </c>
      <c r="G13332" s="6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  <c r="N13332" s="6">
        <f>IF(OR($G13332="FCC",$G13332="Hydrocracker",$G13332="Reformer"),IF(COUNTIFS($D:$D,$D13332,$A:$A,$A13332,$B:$B,$B13332,$G:$G,"CDU",$J:$J,"PLANNED")&gt;0,"tied","standalone"),"")</f>
        <v/>
      </c>
    </row>
    <row r="13333" spans="6:14">
      <c r="F13333" s="6">
        <f>IF($M13333="PADD I","PADD 1",IF($M13333="PADD II","PADD 2",IF($M13333="PADD III","PADD 3",IF($M13333="PADD IV","PADD 4",IF($M13333="PADD V","PADD 5","")))))</f>
        <v/>
      </c>
      <c r="G13333" s="6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  <c r="N13333" s="6">
        <f>IF(OR($G13333="FCC",$G13333="Hydrocracker",$G13333="Reformer"),IF(COUNTIFS($D:$D,$D13333,$A:$A,$A13333,$B:$B,$B13333,$G:$G,"CDU",$J:$J,"PLANNED")&gt;0,"tied","standalone"),"")</f>
        <v/>
      </c>
    </row>
    <row r="13334" spans="6:14">
      <c r="F13334" s="6">
        <f>IF($M13334="PADD I","PADD 1",IF($M13334="PADD II","PADD 2",IF($M13334="PADD III","PADD 3",IF($M13334="PADD IV","PADD 4",IF($M13334="PADD V","PADD 5","")))))</f>
        <v/>
      </c>
      <c r="G13334" s="6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  <c r="N13334" s="6">
        <f>IF(OR($G13334="FCC",$G13334="Hydrocracker",$G13334="Reformer"),IF(COUNTIFS($D:$D,$D13334,$A:$A,$A13334,$B:$B,$B13334,$G:$G,"CDU",$J:$J,"PLANNED")&gt;0,"tied","standalone"),"")</f>
        <v/>
      </c>
    </row>
    <row r="13335" spans="6:14">
      <c r="F13335" s="6">
        <f>IF($M13335="PADD I","PADD 1",IF($M13335="PADD II","PADD 2",IF($M13335="PADD III","PADD 3",IF($M13335="PADD IV","PADD 4",IF($M13335="PADD V","PADD 5","")))))</f>
        <v/>
      </c>
      <c r="G13335" s="6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  <c r="N13335" s="6">
        <f>IF(OR($G13335="FCC",$G13335="Hydrocracker",$G13335="Reformer"),IF(COUNTIFS($D:$D,$D13335,$A:$A,$A13335,$B:$B,$B13335,$G:$G,"CDU",$J:$J,"PLANNED")&gt;0,"tied","standalone"),"")</f>
        <v/>
      </c>
    </row>
    <row r="13336" spans="6:14">
      <c r="F13336" s="6">
        <f>IF($M13336="PADD I","PADD 1",IF($M13336="PADD II","PADD 2",IF($M13336="PADD III","PADD 3",IF($M13336="PADD IV","PADD 4",IF($M13336="PADD V","PADD 5","")))))</f>
        <v/>
      </c>
      <c r="G13336" s="6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  <c r="N13336" s="6">
        <f>IF(OR($G13336="FCC",$G13336="Hydrocracker",$G13336="Reformer"),IF(COUNTIFS($D:$D,$D13336,$A:$A,$A13336,$B:$B,$B13336,$G:$G,"CDU",$J:$J,"PLANNED")&gt;0,"tied","standalone"),"")</f>
        <v/>
      </c>
    </row>
    <row r="13337" spans="6:14">
      <c r="F13337" s="6">
        <f>IF($M13337="PADD I","PADD 1",IF($M13337="PADD II","PADD 2",IF($M13337="PADD III","PADD 3",IF($M13337="PADD IV","PADD 4",IF($M13337="PADD V","PADD 5","")))))</f>
        <v/>
      </c>
      <c r="G13337" s="6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  <c r="N13337" s="6">
        <f>IF(OR($G13337="FCC",$G13337="Hydrocracker",$G13337="Reformer"),IF(COUNTIFS($D:$D,$D13337,$A:$A,$A13337,$B:$B,$B13337,$G:$G,"CDU",$J:$J,"PLANNED")&gt;0,"tied","standalone"),"")</f>
        <v/>
      </c>
    </row>
    <row r="13338" spans="6:14">
      <c r="F13338" s="6">
        <f>IF($M13338="PADD I","PADD 1",IF($M13338="PADD II","PADD 2",IF($M13338="PADD III","PADD 3",IF($M13338="PADD IV","PADD 4",IF($M13338="PADD V","PADD 5","")))))</f>
        <v/>
      </c>
      <c r="G13338" s="6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  <c r="N13338" s="6">
        <f>IF(OR($G13338="FCC",$G13338="Hydrocracker",$G13338="Reformer"),IF(COUNTIFS($D:$D,$D13338,$A:$A,$A13338,$B:$B,$B13338,$G:$G,"CDU",$J:$J,"PLANNED")&gt;0,"tied","standalone"),"")</f>
        <v/>
      </c>
    </row>
    <row r="13339" spans="6:14">
      <c r="F13339" s="6">
        <f>IF($M13339="PADD I","PADD 1",IF($M13339="PADD II","PADD 2",IF($M13339="PADD III","PADD 3",IF($M13339="PADD IV","PADD 4",IF($M13339="PADD V","PADD 5","")))))</f>
        <v/>
      </c>
      <c r="G13339" s="6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  <c r="N13339" s="6">
        <f>IF(OR($G13339="FCC",$G13339="Hydrocracker",$G13339="Reformer"),IF(COUNTIFS($D:$D,$D13339,$A:$A,$A13339,$B:$B,$B13339,$G:$G,"CDU",$J:$J,"PLANNED")&gt;0,"tied","standalone"),"")</f>
        <v/>
      </c>
    </row>
    <row r="13340" spans="6:14">
      <c r="F13340" s="6">
        <f>IF($M13340="PADD I","PADD 1",IF($M13340="PADD II","PADD 2",IF($M13340="PADD III","PADD 3",IF($M13340="PADD IV","PADD 4",IF($M13340="PADD V","PADD 5","")))))</f>
        <v/>
      </c>
      <c r="G13340" s="6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  <c r="N13340" s="6">
        <f>IF(OR($G13340="FCC",$G13340="Hydrocracker",$G13340="Reformer"),IF(COUNTIFS($D:$D,$D13340,$A:$A,$A13340,$B:$B,$B13340,$G:$G,"CDU",$J:$J,"PLANNED")&gt;0,"tied","standalone"),"")</f>
        <v/>
      </c>
    </row>
    <row r="13341" spans="6:14">
      <c r="F13341" s="6">
        <f>IF($M13341="PADD I","PADD 1",IF($M13341="PADD II","PADD 2",IF($M13341="PADD III","PADD 3",IF($M13341="PADD IV","PADD 4",IF($M13341="PADD V","PADD 5","")))))</f>
        <v/>
      </c>
      <c r="G13341" s="6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  <c r="N13341" s="6">
        <f>IF(OR($G13341="FCC",$G13341="Hydrocracker",$G13341="Reformer"),IF(COUNTIFS($D:$D,$D13341,$A:$A,$A13341,$B:$B,$B13341,$G:$G,"CDU",$J:$J,"PLANNED")&gt;0,"tied","standalone"),"")</f>
        <v/>
      </c>
    </row>
    <row r="13342" spans="6:14">
      <c r="F13342" s="6">
        <f>IF($M13342="PADD I","PADD 1",IF($M13342="PADD II","PADD 2",IF($M13342="PADD III","PADD 3",IF($M13342="PADD IV","PADD 4",IF($M13342="PADD V","PADD 5","")))))</f>
        <v/>
      </c>
      <c r="G13342" s="6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  <c r="N13342" s="6">
        <f>IF(OR($G13342="FCC",$G13342="Hydrocracker",$G13342="Reformer"),IF(COUNTIFS($D:$D,$D13342,$A:$A,$A13342,$B:$B,$B13342,$G:$G,"CDU",$J:$J,"PLANNED")&gt;0,"tied","standalone"),"")</f>
        <v/>
      </c>
    </row>
    <row r="13343" spans="6:14">
      <c r="F13343" s="6">
        <f>IF($M13343="PADD I","PADD 1",IF($M13343="PADD II","PADD 2",IF($M13343="PADD III","PADD 3",IF($M13343="PADD IV","PADD 4",IF($M13343="PADD V","PADD 5","")))))</f>
        <v/>
      </c>
      <c r="G13343" s="6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  <c r="N13343" s="6">
        <f>IF(OR($G13343="FCC",$G13343="Hydrocracker",$G13343="Reformer"),IF(COUNTIFS($D:$D,$D13343,$A:$A,$A13343,$B:$B,$B13343,$G:$G,"CDU",$J:$J,"PLANNED")&gt;0,"tied","standalone"),"")</f>
        <v/>
      </c>
    </row>
    <row r="13344" spans="6:14">
      <c r="F13344" s="6">
        <f>IF($M13344="PADD I","PADD 1",IF($M13344="PADD II","PADD 2",IF($M13344="PADD III","PADD 3",IF($M13344="PADD IV","PADD 4",IF($M13344="PADD V","PADD 5","")))))</f>
        <v/>
      </c>
      <c r="G13344" s="6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  <c r="N13344" s="6">
        <f>IF(OR($G13344="FCC",$G13344="Hydrocracker",$G13344="Reformer"),IF(COUNTIFS($D:$D,$D13344,$A:$A,$A13344,$B:$B,$B13344,$G:$G,"CDU",$J:$J,"PLANNED")&gt;0,"tied","standalone"),"")</f>
        <v/>
      </c>
    </row>
    <row r="13345" spans="6:14">
      <c r="F13345" s="6">
        <f>IF($M13345="PADD I","PADD 1",IF($M13345="PADD II","PADD 2",IF($M13345="PADD III","PADD 3",IF($M13345="PADD IV","PADD 4",IF($M13345="PADD V","PADD 5","")))))</f>
        <v/>
      </c>
      <c r="G13345" s="6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  <c r="N13345" s="6">
        <f>IF(OR($G13345="FCC",$G13345="Hydrocracker",$G13345="Reformer"),IF(COUNTIFS($D:$D,$D13345,$A:$A,$A13345,$B:$B,$B13345,$G:$G,"CDU",$J:$J,"PLANNED")&gt;0,"tied","standalone"),"")</f>
        <v/>
      </c>
    </row>
    <row r="13346" spans="6:14">
      <c r="F13346" s="6">
        <f>IF($M13346="PADD I","PADD 1",IF($M13346="PADD II","PADD 2",IF($M13346="PADD III","PADD 3",IF($M13346="PADD IV","PADD 4",IF($M13346="PADD V","PADD 5","")))))</f>
        <v/>
      </c>
      <c r="G13346" s="6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  <c r="N13346" s="6">
        <f>IF(OR($G13346="FCC",$G13346="Hydrocracker",$G13346="Reformer"),IF(COUNTIFS($D:$D,$D13346,$A:$A,$A13346,$B:$B,$B13346,$G:$G,"CDU",$J:$J,"PLANNED")&gt;0,"tied","standalone"),"")</f>
        <v/>
      </c>
    </row>
    <row r="13347" spans="6:14">
      <c r="F13347" s="6">
        <f>IF($M13347="PADD I","PADD 1",IF($M13347="PADD II","PADD 2",IF($M13347="PADD III","PADD 3",IF($M13347="PADD IV","PADD 4",IF($M13347="PADD V","PADD 5","")))))</f>
        <v/>
      </c>
      <c r="G13347" s="6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  <c r="N13347" s="6">
        <f>IF(OR($G13347="FCC",$G13347="Hydrocracker",$G13347="Reformer"),IF(COUNTIFS($D:$D,$D13347,$A:$A,$A13347,$B:$B,$B13347,$G:$G,"CDU",$J:$J,"PLANNED")&gt;0,"tied","standalone"),"")</f>
        <v/>
      </c>
    </row>
    <row r="13348" spans="6:14">
      <c r="F13348" s="6">
        <f>IF($M13348="PADD I","PADD 1",IF($M13348="PADD II","PADD 2",IF($M13348="PADD III","PADD 3",IF($M13348="PADD IV","PADD 4",IF($M13348="PADD V","PADD 5","")))))</f>
        <v/>
      </c>
      <c r="G13348" s="6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  <c r="N13348" s="6">
        <f>IF(OR($G13348="FCC",$G13348="Hydrocracker",$G13348="Reformer"),IF(COUNTIFS($D:$D,$D13348,$A:$A,$A13348,$B:$B,$B13348,$G:$G,"CDU",$J:$J,"PLANNED")&gt;0,"tied","standalone"),"")</f>
        <v/>
      </c>
    </row>
    <row r="13349" spans="6:14">
      <c r="F13349" s="6">
        <f>IF($M13349="PADD I","PADD 1",IF($M13349="PADD II","PADD 2",IF($M13349="PADD III","PADD 3",IF($M13349="PADD IV","PADD 4",IF($M13349="PADD V","PADD 5","")))))</f>
        <v/>
      </c>
      <c r="G13349" s="6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  <c r="N13349" s="6">
        <f>IF(OR($G13349="FCC",$G13349="Hydrocracker",$G13349="Reformer"),IF(COUNTIFS($D:$D,$D13349,$A:$A,$A13349,$B:$B,$B13349,$G:$G,"CDU",$J:$J,"PLANNED")&gt;0,"tied","standalone"),"")</f>
        <v/>
      </c>
    </row>
    <row r="13350" spans="6:14">
      <c r="F13350" s="6">
        <f>IF($M13350="PADD I","PADD 1",IF($M13350="PADD II","PADD 2",IF($M13350="PADD III","PADD 3",IF($M13350="PADD IV","PADD 4",IF($M13350="PADD V","PADD 5","")))))</f>
        <v/>
      </c>
      <c r="G13350" s="6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  <c r="N13350" s="6">
        <f>IF(OR($G13350="FCC",$G13350="Hydrocracker",$G13350="Reformer"),IF(COUNTIFS($D:$D,$D13350,$A:$A,$A13350,$B:$B,$B13350,$G:$G,"CDU",$J:$J,"PLANNED")&gt;0,"tied","standalone"),"")</f>
        <v/>
      </c>
    </row>
    <row r="13351" spans="6:14">
      <c r="F13351" s="6">
        <f>IF($M13351="PADD I","PADD 1",IF($M13351="PADD II","PADD 2",IF($M13351="PADD III","PADD 3",IF($M13351="PADD IV","PADD 4",IF($M13351="PADD V","PADD 5","")))))</f>
        <v/>
      </c>
      <c r="G13351" s="6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  <c r="N13351" s="6">
        <f>IF(OR($G13351="FCC",$G13351="Hydrocracker",$G13351="Reformer"),IF(COUNTIFS($D:$D,$D13351,$A:$A,$A13351,$B:$B,$B13351,$G:$G,"CDU",$J:$J,"PLANNED")&gt;0,"tied","standalone"),"")</f>
        <v/>
      </c>
    </row>
    <row r="13352" spans="6:14">
      <c r="F13352" s="6">
        <f>IF($M13352="PADD I","PADD 1",IF($M13352="PADD II","PADD 2",IF($M13352="PADD III","PADD 3",IF($M13352="PADD IV","PADD 4",IF($M13352="PADD V","PADD 5","")))))</f>
        <v/>
      </c>
      <c r="G13352" s="6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  <c r="N13352" s="6">
        <f>IF(OR($G13352="FCC",$G13352="Hydrocracker",$G13352="Reformer"),IF(COUNTIFS($D:$D,$D13352,$A:$A,$A13352,$B:$B,$B13352,$G:$G,"CDU",$J:$J,"PLANNED")&gt;0,"tied","standalone"),"")</f>
        <v/>
      </c>
    </row>
    <row r="13353" spans="6:14">
      <c r="F13353" s="6">
        <f>IF($M13353="PADD I","PADD 1",IF($M13353="PADD II","PADD 2",IF($M13353="PADD III","PADD 3",IF($M13353="PADD IV","PADD 4",IF($M13353="PADD V","PADD 5","")))))</f>
        <v/>
      </c>
      <c r="G13353" s="6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  <c r="N13353" s="6">
        <f>IF(OR($G13353="FCC",$G13353="Hydrocracker",$G13353="Reformer"),IF(COUNTIFS($D:$D,$D13353,$A:$A,$A13353,$B:$B,$B13353,$G:$G,"CDU",$J:$J,"PLANNED")&gt;0,"tied","standalone"),"")</f>
        <v/>
      </c>
    </row>
    <row r="13354" spans="6:14">
      <c r="F13354" s="6">
        <f>IF($M13354="PADD I","PADD 1",IF($M13354="PADD II","PADD 2",IF($M13354="PADD III","PADD 3",IF($M13354="PADD IV","PADD 4",IF($M13354="PADD V","PADD 5","")))))</f>
        <v/>
      </c>
      <c r="G13354" s="6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  <c r="N13354" s="6">
        <f>IF(OR($G13354="FCC",$G13354="Hydrocracker",$G13354="Reformer"),IF(COUNTIFS($D:$D,$D13354,$A:$A,$A13354,$B:$B,$B13354,$G:$G,"CDU",$J:$J,"PLANNED")&gt;0,"tied","standalone"),"")</f>
        <v/>
      </c>
    </row>
    <row r="13355" spans="6:14">
      <c r="F13355" s="6">
        <f>IF($M13355="PADD I","PADD 1",IF($M13355="PADD II","PADD 2",IF($M13355="PADD III","PADD 3",IF($M13355="PADD IV","PADD 4",IF($M13355="PADD V","PADD 5","")))))</f>
        <v/>
      </c>
      <c r="G13355" s="6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  <c r="N13355" s="6">
        <f>IF(OR($G13355="FCC",$G13355="Hydrocracker",$G13355="Reformer"),IF(COUNTIFS($D:$D,$D13355,$A:$A,$A13355,$B:$B,$B13355,$G:$G,"CDU",$J:$J,"PLANNED")&gt;0,"tied","standalone"),"")</f>
        <v/>
      </c>
    </row>
    <row r="13356" spans="6:14">
      <c r="F13356" s="6">
        <f>IF($M13356="PADD I","PADD 1",IF($M13356="PADD II","PADD 2",IF($M13356="PADD III","PADD 3",IF($M13356="PADD IV","PADD 4",IF($M13356="PADD V","PADD 5","")))))</f>
        <v/>
      </c>
      <c r="G13356" s="6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  <c r="N13356" s="6">
        <f>IF(OR($G13356="FCC",$G13356="Hydrocracker",$G13356="Reformer"),IF(COUNTIFS($D:$D,$D13356,$A:$A,$A13356,$B:$B,$B13356,$G:$G,"CDU",$J:$J,"PLANNED")&gt;0,"tied","standalone"),"")</f>
        <v/>
      </c>
    </row>
    <row r="13357" spans="6:14">
      <c r="F13357" s="6">
        <f>IF($M13357="PADD I","PADD 1",IF($M13357="PADD II","PADD 2",IF($M13357="PADD III","PADD 3",IF($M13357="PADD IV","PADD 4",IF($M13357="PADD V","PADD 5","")))))</f>
        <v/>
      </c>
      <c r="G13357" s="6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  <c r="N13357" s="6">
        <f>IF(OR($G13357="FCC",$G13357="Hydrocracker",$G13357="Reformer"),IF(COUNTIFS($D:$D,$D13357,$A:$A,$A13357,$B:$B,$B13357,$G:$G,"CDU",$J:$J,"PLANNED")&gt;0,"tied","standalone"),"")</f>
        <v/>
      </c>
    </row>
    <row r="13358" spans="6:14">
      <c r="F13358" s="6">
        <f>IF($M13358="PADD I","PADD 1",IF($M13358="PADD II","PADD 2",IF($M13358="PADD III","PADD 3",IF($M13358="PADD IV","PADD 4",IF($M13358="PADD V","PADD 5","")))))</f>
        <v/>
      </c>
      <c r="G13358" s="6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  <c r="N13358" s="6">
        <f>IF(OR($G13358="FCC",$G13358="Hydrocracker",$G13358="Reformer"),IF(COUNTIFS($D:$D,$D13358,$A:$A,$A13358,$B:$B,$B13358,$G:$G,"CDU",$J:$J,"PLANNED")&gt;0,"tied","standalone"),"")</f>
        <v/>
      </c>
    </row>
    <row r="13359" spans="6:14">
      <c r="F13359" s="6">
        <f>IF($M13359="PADD I","PADD 1",IF($M13359="PADD II","PADD 2",IF($M13359="PADD III","PADD 3",IF($M13359="PADD IV","PADD 4",IF($M13359="PADD V","PADD 5","")))))</f>
        <v/>
      </c>
      <c r="G13359" s="6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  <c r="N13359" s="6">
        <f>IF(OR($G13359="FCC",$G13359="Hydrocracker",$G13359="Reformer"),IF(COUNTIFS($D:$D,$D13359,$A:$A,$A13359,$B:$B,$B13359,$G:$G,"CDU",$J:$J,"PLANNED")&gt;0,"tied","standalone"),"")</f>
        <v/>
      </c>
    </row>
    <row r="13360" spans="6:14">
      <c r="F13360" s="6">
        <f>IF($M13360="PADD I","PADD 1",IF($M13360="PADD II","PADD 2",IF($M13360="PADD III","PADD 3",IF($M13360="PADD IV","PADD 4",IF($M13360="PADD V","PADD 5","")))))</f>
        <v/>
      </c>
      <c r="G13360" s="6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  <c r="N13360" s="6">
        <f>IF(OR($G13360="FCC",$G13360="Hydrocracker",$G13360="Reformer"),IF(COUNTIFS($D:$D,$D13360,$A:$A,$A13360,$B:$B,$B13360,$G:$G,"CDU",$J:$J,"PLANNED")&gt;0,"tied","standalone"),"")</f>
        <v/>
      </c>
    </row>
    <row r="13361" spans="6:14">
      <c r="F13361" s="6">
        <f>IF($M13361="PADD I","PADD 1",IF($M13361="PADD II","PADD 2",IF($M13361="PADD III","PADD 3",IF($M13361="PADD IV","PADD 4",IF($M13361="PADD V","PADD 5","")))))</f>
        <v/>
      </c>
      <c r="G13361" s="6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  <c r="N13361" s="6">
        <f>IF(OR($G13361="FCC",$G13361="Hydrocracker",$G13361="Reformer"),IF(COUNTIFS($D:$D,$D13361,$A:$A,$A13361,$B:$B,$B13361,$G:$G,"CDU",$J:$J,"PLANNED")&gt;0,"tied","standalone"),"")</f>
        <v/>
      </c>
    </row>
    <row r="13362" spans="6:14">
      <c r="F13362" s="6">
        <f>IF($M13362="PADD I","PADD 1",IF($M13362="PADD II","PADD 2",IF($M13362="PADD III","PADD 3",IF($M13362="PADD IV","PADD 4",IF($M13362="PADD V","PADD 5","")))))</f>
        <v/>
      </c>
      <c r="G13362" s="6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  <c r="N13362" s="6">
        <f>IF(OR($G13362="FCC",$G13362="Hydrocracker",$G13362="Reformer"),IF(COUNTIFS($D:$D,$D13362,$A:$A,$A13362,$B:$B,$B13362,$G:$G,"CDU",$J:$J,"PLANNED")&gt;0,"tied","standalone"),"")</f>
        <v/>
      </c>
    </row>
    <row r="13363" spans="6:14">
      <c r="F13363" s="6">
        <f>IF($M13363="PADD I","PADD 1",IF($M13363="PADD II","PADD 2",IF($M13363="PADD III","PADD 3",IF($M13363="PADD IV","PADD 4",IF($M13363="PADD V","PADD 5","")))))</f>
        <v/>
      </c>
      <c r="G13363" s="6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  <c r="N13363" s="6">
        <f>IF(OR($G13363="FCC",$G13363="Hydrocracker",$G13363="Reformer"),IF(COUNTIFS($D:$D,$D13363,$A:$A,$A13363,$B:$B,$B13363,$G:$G,"CDU",$J:$J,"PLANNED")&gt;0,"tied","standalone"),"")</f>
        <v/>
      </c>
    </row>
    <row r="13364" spans="6:14">
      <c r="F13364" s="6">
        <f>IF($M13364="PADD I","PADD 1",IF($M13364="PADD II","PADD 2",IF($M13364="PADD III","PADD 3",IF($M13364="PADD IV","PADD 4",IF($M13364="PADD V","PADD 5","")))))</f>
        <v/>
      </c>
      <c r="G13364" s="6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  <c r="N13364" s="6">
        <f>IF(OR($G13364="FCC",$G13364="Hydrocracker",$G13364="Reformer"),IF(COUNTIFS($D:$D,$D13364,$A:$A,$A13364,$B:$B,$B13364,$G:$G,"CDU",$J:$J,"PLANNED")&gt;0,"tied","standalone"),"")</f>
        <v/>
      </c>
    </row>
    <row r="13365" spans="6:14">
      <c r="F13365" s="6">
        <f>IF($M13365="PADD I","PADD 1",IF($M13365="PADD II","PADD 2",IF($M13365="PADD III","PADD 3",IF($M13365="PADD IV","PADD 4",IF($M13365="PADD V","PADD 5","")))))</f>
        <v/>
      </c>
      <c r="G13365" s="6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  <c r="N13365" s="6">
        <f>IF(OR($G13365="FCC",$G13365="Hydrocracker",$G13365="Reformer"),IF(COUNTIFS($D:$D,$D13365,$A:$A,$A13365,$B:$B,$B13365,$G:$G,"CDU",$J:$J,"PLANNED")&gt;0,"tied","standalone"),"")</f>
        <v/>
      </c>
    </row>
    <row r="13366" spans="6:14">
      <c r="F13366" s="6">
        <f>IF($M13366="PADD I","PADD 1",IF($M13366="PADD II","PADD 2",IF($M13366="PADD III","PADD 3",IF($M13366="PADD IV","PADD 4",IF($M13366="PADD V","PADD 5","")))))</f>
        <v/>
      </c>
      <c r="G13366" s="6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  <c r="N13366" s="6">
        <f>IF(OR($G13366="FCC",$G13366="Hydrocracker",$G13366="Reformer"),IF(COUNTIFS($D:$D,$D13366,$A:$A,$A13366,$B:$B,$B13366,$G:$G,"CDU",$J:$J,"PLANNED")&gt;0,"tied","standalone"),"")</f>
        <v/>
      </c>
    </row>
    <row r="13367" spans="6:14">
      <c r="F13367" s="6">
        <f>IF($M13367="PADD I","PADD 1",IF($M13367="PADD II","PADD 2",IF($M13367="PADD III","PADD 3",IF($M13367="PADD IV","PADD 4",IF($M13367="PADD V","PADD 5","")))))</f>
        <v/>
      </c>
      <c r="G13367" s="6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  <c r="N13367" s="6">
        <f>IF(OR($G13367="FCC",$G13367="Hydrocracker",$G13367="Reformer"),IF(COUNTIFS($D:$D,$D13367,$A:$A,$A13367,$B:$B,$B13367,$G:$G,"CDU",$J:$J,"PLANNED")&gt;0,"tied","standalone"),"")</f>
        <v/>
      </c>
    </row>
    <row r="13368" spans="6:14">
      <c r="F13368" s="6">
        <f>IF($M13368="PADD I","PADD 1",IF($M13368="PADD II","PADD 2",IF($M13368="PADD III","PADD 3",IF($M13368="PADD IV","PADD 4",IF($M13368="PADD V","PADD 5","")))))</f>
        <v/>
      </c>
      <c r="G13368" s="6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  <c r="N13368" s="6">
        <f>IF(OR($G13368="FCC",$G13368="Hydrocracker",$G13368="Reformer"),IF(COUNTIFS($D:$D,$D13368,$A:$A,$A13368,$B:$B,$B13368,$G:$G,"CDU",$J:$J,"PLANNED")&gt;0,"tied","standalone"),"")</f>
        <v/>
      </c>
    </row>
    <row r="13369" spans="6:14">
      <c r="F13369" s="6">
        <f>IF($M13369="PADD I","PADD 1",IF($M13369="PADD II","PADD 2",IF($M13369="PADD III","PADD 3",IF($M13369="PADD IV","PADD 4",IF($M13369="PADD V","PADD 5","")))))</f>
        <v/>
      </c>
      <c r="G13369" s="6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  <c r="N13369" s="6">
        <f>IF(OR($G13369="FCC",$G13369="Hydrocracker",$G13369="Reformer"),IF(COUNTIFS($D:$D,$D13369,$A:$A,$A13369,$B:$B,$B13369,$G:$G,"CDU",$J:$J,"PLANNED")&gt;0,"tied","standalone"),"")</f>
        <v/>
      </c>
    </row>
    <row r="13370" spans="6:14">
      <c r="F13370" s="6">
        <f>IF($M13370="PADD I","PADD 1",IF($M13370="PADD II","PADD 2",IF($M13370="PADD III","PADD 3",IF($M13370="PADD IV","PADD 4",IF($M13370="PADD V","PADD 5","")))))</f>
        <v/>
      </c>
      <c r="G13370" s="6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  <c r="N13370" s="6">
        <f>IF(OR($G13370="FCC",$G13370="Hydrocracker",$G13370="Reformer"),IF(COUNTIFS($D:$D,$D13370,$A:$A,$A13370,$B:$B,$B13370,$G:$G,"CDU",$J:$J,"PLANNED")&gt;0,"tied","standalone"),"")</f>
        <v/>
      </c>
    </row>
    <row r="13371" spans="6:14">
      <c r="F13371" s="6">
        <f>IF($M13371="PADD I","PADD 1",IF($M13371="PADD II","PADD 2",IF($M13371="PADD III","PADD 3",IF($M13371="PADD IV","PADD 4",IF($M13371="PADD V","PADD 5","")))))</f>
        <v/>
      </c>
      <c r="G13371" s="6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  <c r="N13371" s="6">
        <f>IF(OR($G13371="FCC",$G13371="Hydrocracker",$G13371="Reformer"),IF(COUNTIFS($D:$D,$D13371,$A:$A,$A13371,$B:$B,$B13371,$G:$G,"CDU",$J:$J,"PLANNED")&gt;0,"tied","standalone"),"")</f>
        <v/>
      </c>
    </row>
    <row r="13372" spans="6:14">
      <c r="F13372" s="6">
        <f>IF($M13372="PADD I","PADD 1",IF($M13372="PADD II","PADD 2",IF($M13372="PADD III","PADD 3",IF($M13372="PADD IV","PADD 4",IF($M13372="PADD V","PADD 5","")))))</f>
        <v/>
      </c>
      <c r="G13372" s="6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  <c r="N13372" s="6">
        <f>IF(OR($G13372="FCC",$G13372="Hydrocracker",$G13372="Reformer"),IF(COUNTIFS($D:$D,$D13372,$A:$A,$A13372,$B:$B,$B13372,$G:$G,"CDU",$J:$J,"PLANNED")&gt;0,"tied","standalone"),"")</f>
        <v/>
      </c>
    </row>
    <row r="13373" spans="6:14">
      <c r="F13373" s="6">
        <f>IF($M13373="PADD I","PADD 1",IF($M13373="PADD II","PADD 2",IF($M13373="PADD III","PADD 3",IF($M13373="PADD IV","PADD 4",IF($M13373="PADD V","PADD 5","")))))</f>
        <v/>
      </c>
      <c r="G13373" s="6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  <c r="N13373" s="6">
        <f>IF(OR($G13373="FCC",$G13373="Hydrocracker",$G13373="Reformer"),IF(COUNTIFS($D:$D,$D13373,$A:$A,$A13373,$B:$B,$B13373,$G:$G,"CDU",$J:$J,"PLANNED")&gt;0,"tied","standalone"),"")</f>
        <v/>
      </c>
    </row>
    <row r="13374" spans="6:14">
      <c r="F13374" s="6">
        <f>IF($M13374="PADD I","PADD 1",IF($M13374="PADD II","PADD 2",IF($M13374="PADD III","PADD 3",IF($M13374="PADD IV","PADD 4",IF($M13374="PADD V","PADD 5","")))))</f>
        <v/>
      </c>
      <c r="G13374" s="6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  <c r="N13374" s="6">
        <f>IF(OR($G13374="FCC",$G13374="Hydrocracker",$G13374="Reformer"),IF(COUNTIFS($D:$D,$D13374,$A:$A,$A13374,$B:$B,$B13374,$G:$G,"CDU",$J:$J,"PLANNED")&gt;0,"tied","standalone"),"")</f>
        <v/>
      </c>
    </row>
    <row r="13375" spans="6:14">
      <c r="F13375" s="6">
        <f>IF($M13375="PADD I","PADD 1",IF($M13375="PADD II","PADD 2",IF($M13375="PADD III","PADD 3",IF($M13375="PADD IV","PADD 4",IF($M13375="PADD V","PADD 5","")))))</f>
        <v/>
      </c>
      <c r="G13375" s="6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  <c r="N13375" s="6">
        <f>IF(OR($G13375="FCC",$G13375="Hydrocracker",$G13375="Reformer"),IF(COUNTIFS($D:$D,$D13375,$A:$A,$A13375,$B:$B,$B13375,$G:$G,"CDU",$J:$J,"PLANNED")&gt;0,"tied","standalone"),"")</f>
        <v/>
      </c>
    </row>
    <row r="13376" spans="6:14">
      <c r="F13376" s="6">
        <f>IF($M13376="PADD I","PADD 1",IF($M13376="PADD II","PADD 2",IF($M13376="PADD III","PADD 3",IF($M13376="PADD IV","PADD 4",IF($M13376="PADD V","PADD 5","")))))</f>
        <v/>
      </c>
      <c r="G13376" s="6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  <c r="N13376" s="6">
        <f>IF(OR($G13376="FCC",$G13376="Hydrocracker",$G13376="Reformer"),IF(COUNTIFS($D:$D,$D13376,$A:$A,$A13376,$B:$B,$B13376,$G:$G,"CDU",$J:$J,"PLANNED")&gt;0,"tied","standalone"),"")</f>
        <v/>
      </c>
    </row>
    <row r="13377" spans="6:14">
      <c r="F13377" s="6">
        <f>IF($M13377="PADD I","PADD 1",IF($M13377="PADD II","PADD 2",IF($M13377="PADD III","PADD 3",IF($M13377="PADD IV","PADD 4",IF($M13377="PADD V","PADD 5","")))))</f>
        <v/>
      </c>
      <c r="G13377" s="6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  <c r="N13377" s="6">
        <f>IF(OR($G13377="FCC",$G13377="Hydrocracker",$G13377="Reformer"),IF(COUNTIFS($D:$D,$D13377,$A:$A,$A13377,$B:$B,$B13377,$G:$G,"CDU",$J:$J,"PLANNED")&gt;0,"tied","standalone"),"")</f>
        <v/>
      </c>
    </row>
    <row r="13378" spans="6:14">
      <c r="F13378" s="6">
        <f>IF($M13378="PADD I","PADD 1",IF($M13378="PADD II","PADD 2",IF($M13378="PADD III","PADD 3",IF($M13378="PADD IV","PADD 4",IF($M13378="PADD V","PADD 5","")))))</f>
        <v/>
      </c>
      <c r="G13378" s="6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  <c r="N13378" s="6">
        <f>IF(OR($G13378="FCC",$G13378="Hydrocracker",$G13378="Reformer"),IF(COUNTIFS($D:$D,$D13378,$A:$A,$A13378,$B:$B,$B13378,$G:$G,"CDU",$J:$J,"PLANNED")&gt;0,"tied","standalone"),"")</f>
        <v/>
      </c>
    </row>
    <row r="13379" spans="6:14">
      <c r="F13379" s="6">
        <f>IF($M13379="PADD I","PADD 1",IF($M13379="PADD II","PADD 2",IF($M13379="PADD III","PADD 3",IF($M13379="PADD IV","PADD 4",IF($M13379="PADD V","PADD 5","")))))</f>
        <v/>
      </c>
      <c r="G13379" s="6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  <c r="N13379" s="6">
        <f>IF(OR($G13379="FCC",$G13379="Hydrocracker",$G13379="Reformer"),IF(COUNTIFS($D:$D,$D13379,$A:$A,$A13379,$B:$B,$B13379,$G:$G,"CDU",$J:$J,"PLANNED")&gt;0,"tied","standalone"),"")</f>
        <v/>
      </c>
    </row>
    <row r="13380" spans="6:14">
      <c r="F13380" s="6">
        <f>IF($M13380="PADD I","PADD 1",IF($M13380="PADD II","PADD 2",IF($M13380="PADD III","PADD 3",IF($M13380="PADD IV","PADD 4",IF($M13380="PADD V","PADD 5","")))))</f>
        <v/>
      </c>
      <c r="G13380" s="6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  <c r="N13380" s="6">
        <f>IF(OR($G13380="FCC",$G13380="Hydrocracker",$G13380="Reformer"),IF(COUNTIFS($D:$D,$D13380,$A:$A,$A13380,$B:$B,$B13380,$G:$G,"CDU",$J:$J,"PLANNED")&gt;0,"tied","standalone"),"")</f>
        <v/>
      </c>
    </row>
    <row r="13381" spans="6:14">
      <c r="F13381" s="6">
        <f>IF($M13381="PADD I","PADD 1",IF($M13381="PADD II","PADD 2",IF($M13381="PADD III","PADD 3",IF($M13381="PADD IV","PADD 4",IF($M13381="PADD V","PADD 5","")))))</f>
        <v/>
      </c>
      <c r="G13381" s="6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  <c r="N13381" s="6">
        <f>IF(OR($G13381="FCC",$G13381="Hydrocracker",$G13381="Reformer"),IF(COUNTIFS($D:$D,$D13381,$A:$A,$A13381,$B:$B,$B13381,$G:$G,"CDU",$J:$J,"PLANNED")&gt;0,"tied","standalone"),"")</f>
        <v/>
      </c>
    </row>
    <row r="13382" spans="6:14">
      <c r="F13382" s="6">
        <f>IF($M13382="PADD I","PADD 1",IF($M13382="PADD II","PADD 2",IF($M13382="PADD III","PADD 3",IF($M13382="PADD IV","PADD 4",IF($M13382="PADD V","PADD 5","")))))</f>
        <v/>
      </c>
      <c r="G13382" s="6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  <c r="N13382" s="6">
        <f>IF(OR($G13382="FCC",$G13382="Hydrocracker",$G13382="Reformer"),IF(COUNTIFS($D:$D,$D13382,$A:$A,$A13382,$B:$B,$B13382,$G:$G,"CDU",$J:$J,"PLANNED")&gt;0,"tied","standalone"),"")</f>
        <v/>
      </c>
    </row>
    <row r="13383" spans="6:14">
      <c r="F13383" s="6">
        <f>IF($M13383="PADD I","PADD 1",IF($M13383="PADD II","PADD 2",IF($M13383="PADD III","PADD 3",IF($M13383="PADD IV","PADD 4",IF($M13383="PADD V","PADD 5","")))))</f>
        <v/>
      </c>
      <c r="G13383" s="6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  <c r="N13383" s="6">
        <f>IF(OR($G13383="FCC",$G13383="Hydrocracker",$G13383="Reformer"),IF(COUNTIFS($D:$D,$D13383,$A:$A,$A13383,$B:$B,$B13383,$G:$G,"CDU",$J:$J,"PLANNED")&gt;0,"tied","standalone"),"")</f>
        <v/>
      </c>
    </row>
    <row r="13384" spans="6:14">
      <c r="F13384" s="6">
        <f>IF($M13384="PADD I","PADD 1",IF($M13384="PADD II","PADD 2",IF($M13384="PADD III","PADD 3",IF($M13384="PADD IV","PADD 4",IF($M13384="PADD V","PADD 5","")))))</f>
        <v/>
      </c>
      <c r="G13384" s="6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  <c r="N13384" s="6">
        <f>IF(OR($G13384="FCC",$G13384="Hydrocracker",$G13384="Reformer"),IF(COUNTIFS($D:$D,$D13384,$A:$A,$A13384,$B:$B,$B13384,$G:$G,"CDU",$J:$J,"PLANNED")&gt;0,"tied","standalone"),"")</f>
        <v/>
      </c>
    </row>
    <row r="13385" spans="6:14">
      <c r="F13385" s="6">
        <f>IF($M13385="PADD I","PADD 1",IF($M13385="PADD II","PADD 2",IF($M13385="PADD III","PADD 3",IF($M13385="PADD IV","PADD 4",IF($M13385="PADD V","PADD 5","")))))</f>
        <v/>
      </c>
      <c r="G13385" s="6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  <c r="N13385" s="6">
        <f>IF(OR($G13385="FCC",$G13385="Hydrocracker",$G13385="Reformer"),IF(COUNTIFS($D:$D,$D13385,$A:$A,$A13385,$B:$B,$B13385,$G:$G,"CDU",$J:$J,"PLANNED")&gt;0,"tied","standalone"),"")</f>
        <v/>
      </c>
    </row>
    <row r="13386" spans="6:14">
      <c r="F13386" s="6">
        <f>IF($M13386="PADD I","PADD 1",IF($M13386="PADD II","PADD 2",IF($M13386="PADD III","PADD 3",IF($M13386="PADD IV","PADD 4",IF($M13386="PADD V","PADD 5","")))))</f>
        <v/>
      </c>
      <c r="G13386" s="6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  <c r="N13386" s="6">
        <f>IF(OR($G13386="FCC",$G13386="Hydrocracker",$G13386="Reformer"),IF(COUNTIFS($D:$D,$D13386,$A:$A,$A13386,$B:$B,$B13386,$G:$G,"CDU",$J:$J,"PLANNED")&gt;0,"tied","standalone"),"")</f>
        <v/>
      </c>
    </row>
    <row r="13387" spans="6:14">
      <c r="F13387" s="6">
        <f>IF($M13387="PADD I","PADD 1",IF($M13387="PADD II","PADD 2",IF($M13387="PADD III","PADD 3",IF($M13387="PADD IV","PADD 4",IF($M13387="PADD V","PADD 5","")))))</f>
        <v/>
      </c>
      <c r="G13387" s="6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  <c r="N13387" s="6">
        <f>IF(OR($G13387="FCC",$G13387="Hydrocracker",$G13387="Reformer"),IF(COUNTIFS($D:$D,$D13387,$A:$A,$A13387,$B:$B,$B13387,$G:$G,"CDU",$J:$J,"PLANNED")&gt;0,"tied","standalone"),"")</f>
        <v/>
      </c>
    </row>
    <row r="13388" spans="6:14">
      <c r="F13388" s="6">
        <f>IF($M13388="PADD I","PADD 1",IF($M13388="PADD II","PADD 2",IF($M13388="PADD III","PADD 3",IF($M13388="PADD IV","PADD 4",IF($M13388="PADD V","PADD 5","")))))</f>
        <v/>
      </c>
      <c r="G13388" s="6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  <c r="N13388" s="6">
        <f>IF(OR($G13388="FCC",$G13388="Hydrocracker",$G13388="Reformer"),IF(COUNTIFS($D:$D,$D13388,$A:$A,$A13388,$B:$B,$B13388,$G:$G,"CDU",$J:$J,"PLANNED")&gt;0,"tied","standalone"),"")</f>
        <v/>
      </c>
    </row>
    <row r="13389" spans="6:14">
      <c r="F13389" s="6">
        <f>IF($M13389="PADD I","PADD 1",IF($M13389="PADD II","PADD 2",IF($M13389="PADD III","PADD 3",IF($M13389="PADD IV","PADD 4",IF($M13389="PADD V","PADD 5","")))))</f>
        <v/>
      </c>
      <c r="G13389" s="6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  <c r="N13389" s="6">
        <f>IF(OR($G13389="FCC",$G13389="Hydrocracker",$G13389="Reformer"),IF(COUNTIFS($D:$D,$D13389,$A:$A,$A13389,$B:$B,$B13389,$G:$G,"CDU",$J:$J,"PLANNED")&gt;0,"tied","standalone"),"")</f>
        <v/>
      </c>
    </row>
    <row r="13390" spans="6:14">
      <c r="F13390" s="6">
        <f>IF($M13390="PADD I","PADD 1",IF($M13390="PADD II","PADD 2",IF($M13390="PADD III","PADD 3",IF($M13390="PADD IV","PADD 4",IF($M13390="PADD V","PADD 5","")))))</f>
        <v/>
      </c>
      <c r="G13390" s="6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  <c r="N13390" s="6">
        <f>IF(OR($G13390="FCC",$G13390="Hydrocracker",$G13390="Reformer"),IF(COUNTIFS($D:$D,$D13390,$A:$A,$A13390,$B:$B,$B13390,$G:$G,"CDU",$J:$J,"PLANNED")&gt;0,"tied","standalone"),"")</f>
        <v/>
      </c>
    </row>
    <row r="13391" spans="6:14">
      <c r="F13391" s="6">
        <f>IF($M13391="PADD I","PADD 1",IF($M13391="PADD II","PADD 2",IF($M13391="PADD III","PADD 3",IF($M13391="PADD IV","PADD 4",IF($M13391="PADD V","PADD 5","")))))</f>
        <v/>
      </c>
      <c r="G13391" s="6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  <c r="N13391" s="6">
        <f>IF(OR($G13391="FCC",$G13391="Hydrocracker",$G13391="Reformer"),IF(COUNTIFS($D:$D,$D13391,$A:$A,$A13391,$B:$B,$B13391,$G:$G,"CDU",$J:$J,"PLANNED")&gt;0,"tied","standalone"),"")</f>
        <v/>
      </c>
    </row>
    <row r="13392" spans="6:14">
      <c r="F13392" s="6">
        <f>IF($M13392="PADD I","PADD 1",IF($M13392="PADD II","PADD 2",IF($M13392="PADD III","PADD 3",IF($M13392="PADD IV","PADD 4",IF($M13392="PADD V","PADD 5","")))))</f>
        <v/>
      </c>
      <c r="G13392" s="6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  <c r="N13392" s="6">
        <f>IF(OR($G13392="FCC",$G13392="Hydrocracker",$G13392="Reformer"),IF(COUNTIFS($D:$D,$D13392,$A:$A,$A13392,$B:$B,$B13392,$G:$G,"CDU",$J:$J,"PLANNED")&gt;0,"tied","standalone"),"")</f>
        <v/>
      </c>
    </row>
    <row r="13393" spans="6:14">
      <c r="F13393" s="6">
        <f>IF($M13393="PADD I","PADD 1",IF($M13393="PADD II","PADD 2",IF($M13393="PADD III","PADD 3",IF($M13393="PADD IV","PADD 4",IF($M13393="PADD V","PADD 5","")))))</f>
        <v/>
      </c>
      <c r="G13393" s="6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  <c r="N13393" s="6">
        <f>IF(OR($G13393="FCC",$G13393="Hydrocracker",$G13393="Reformer"),IF(COUNTIFS($D:$D,$D13393,$A:$A,$A13393,$B:$B,$B13393,$G:$G,"CDU",$J:$J,"PLANNED")&gt;0,"tied","standalone"),"")</f>
        <v/>
      </c>
    </row>
    <row r="13394" spans="6:14">
      <c r="F13394" s="6">
        <f>IF($M13394="PADD I","PADD 1",IF($M13394="PADD II","PADD 2",IF($M13394="PADD III","PADD 3",IF($M13394="PADD IV","PADD 4",IF($M13394="PADD V","PADD 5","")))))</f>
        <v/>
      </c>
      <c r="G13394" s="6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  <c r="N13394" s="6">
        <f>IF(OR($G13394="FCC",$G13394="Hydrocracker",$G13394="Reformer"),IF(COUNTIFS($D:$D,$D13394,$A:$A,$A13394,$B:$B,$B13394,$G:$G,"CDU",$J:$J,"PLANNED")&gt;0,"tied","standalone"),"")</f>
        <v/>
      </c>
    </row>
    <row r="13395" spans="6:14">
      <c r="F13395" s="6">
        <f>IF($M13395="PADD I","PADD 1",IF($M13395="PADD II","PADD 2",IF($M13395="PADD III","PADD 3",IF($M13395="PADD IV","PADD 4",IF($M13395="PADD V","PADD 5","")))))</f>
        <v/>
      </c>
      <c r="G13395" s="6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  <c r="N13395" s="6">
        <f>IF(OR($G13395="FCC",$G13395="Hydrocracker",$G13395="Reformer"),IF(COUNTIFS($D:$D,$D13395,$A:$A,$A13395,$B:$B,$B13395,$G:$G,"CDU",$J:$J,"PLANNED")&gt;0,"tied","standalone"),"")</f>
        <v/>
      </c>
    </row>
    <row r="13396" spans="6:14">
      <c r="F13396" s="6">
        <f>IF($M13396="PADD I","PADD 1",IF($M13396="PADD II","PADD 2",IF($M13396="PADD III","PADD 3",IF($M13396="PADD IV","PADD 4",IF($M13396="PADD V","PADD 5","")))))</f>
        <v/>
      </c>
      <c r="G13396" s="6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  <c r="N13396" s="6">
        <f>IF(OR($G13396="FCC",$G13396="Hydrocracker",$G13396="Reformer"),IF(COUNTIFS($D:$D,$D13396,$A:$A,$A13396,$B:$B,$B13396,$G:$G,"CDU",$J:$J,"PLANNED")&gt;0,"tied","standalone"),"")</f>
        <v/>
      </c>
    </row>
    <row r="13397" spans="6:14">
      <c r="F13397" s="6">
        <f>IF($M13397="PADD I","PADD 1",IF($M13397="PADD II","PADD 2",IF($M13397="PADD III","PADD 3",IF($M13397="PADD IV","PADD 4",IF($M13397="PADD V","PADD 5","")))))</f>
        <v/>
      </c>
      <c r="G13397" s="6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  <c r="N13397" s="6">
        <f>IF(OR($G13397="FCC",$G13397="Hydrocracker",$G13397="Reformer"),IF(COUNTIFS($D:$D,$D13397,$A:$A,$A13397,$B:$B,$B13397,$G:$G,"CDU",$J:$J,"PLANNED")&gt;0,"tied","standalone"),"")</f>
        <v/>
      </c>
    </row>
    <row r="13398" spans="6:14">
      <c r="F13398" s="6">
        <f>IF($M13398="PADD I","PADD 1",IF($M13398="PADD II","PADD 2",IF($M13398="PADD III","PADD 3",IF($M13398="PADD IV","PADD 4",IF($M13398="PADD V","PADD 5","")))))</f>
        <v/>
      </c>
      <c r="G13398" s="6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  <c r="N13398" s="6">
        <f>IF(OR($G13398="FCC",$G13398="Hydrocracker",$G13398="Reformer"),IF(COUNTIFS($D:$D,$D13398,$A:$A,$A13398,$B:$B,$B13398,$G:$G,"CDU",$J:$J,"PLANNED")&gt;0,"tied","standalone"),"")</f>
        <v/>
      </c>
    </row>
    <row r="13399" spans="6:14">
      <c r="F13399" s="6">
        <f>IF($M13399="PADD I","PADD 1",IF($M13399="PADD II","PADD 2",IF($M13399="PADD III","PADD 3",IF($M13399="PADD IV","PADD 4",IF($M13399="PADD V","PADD 5","")))))</f>
        <v/>
      </c>
      <c r="G13399" s="6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  <c r="N13399" s="6">
        <f>IF(OR($G13399="FCC",$G13399="Hydrocracker",$G13399="Reformer"),IF(COUNTIFS($D:$D,$D13399,$A:$A,$A13399,$B:$B,$B13399,$G:$G,"CDU",$J:$J,"PLANNED")&gt;0,"tied","standalone"),"")</f>
        <v/>
      </c>
    </row>
    <row r="13400" spans="6:14">
      <c r="F13400" s="6">
        <f>IF($M13400="PADD I","PADD 1",IF($M13400="PADD II","PADD 2",IF($M13400="PADD III","PADD 3",IF($M13400="PADD IV","PADD 4",IF($M13400="PADD V","PADD 5","")))))</f>
        <v/>
      </c>
      <c r="G13400" s="6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  <c r="N13400" s="6">
        <f>IF(OR($G13400="FCC",$G13400="Hydrocracker",$G13400="Reformer"),IF(COUNTIFS($D:$D,$D13400,$A:$A,$A13400,$B:$B,$B13400,$G:$G,"CDU",$J:$J,"PLANNED")&gt;0,"tied","standalone"),"")</f>
        <v/>
      </c>
    </row>
    <row r="13401" spans="6:14">
      <c r="F13401" s="6">
        <f>IF($M13401="PADD I","PADD 1",IF($M13401="PADD II","PADD 2",IF($M13401="PADD III","PADD 3",IF($M13401="PADD IV","PADD 4",IF($M13401="PADD V","PADD 5","")))))</f>
        <v/>
      </c>
      <c r="G13401" s="6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  <c r="N13401" s="6">
        <f>IF(OR($G13401="FCC",$G13401="Hydrocracker",$G13401="Reformer"),IF(COUNTIFS($D:$D,$D13401,$A:$A,$A13401,$B:$B,$B13401,$G:$G,"CDU",$J:$J,"PLANNED")&gt;0,"tied","standalone"),"")</f>
        <v/>
      </c>
    </row>
    <row r="13402" spans="6:14">
      <c r="F13402" s="6">
        <f>IF($M13402="PADD I","PADD 1",IF($M13402="PADD II","PADD 2",IF($M13402="PADD III","PADD 3",IF($M13402="PADD IV","PADD 4",IF($M13402="PADD V","PADD 5","")))))</f>
        <v/>
      </c>
      <c r="G13402" s="6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  <c r="N13402" s="6">
        <f>IF(OR($G13402="FCC",$G13402="Hydrocracker",$G13402="Reformer"),IF(COUNTIFS($D:$D,$D13402,$A:$A,$A13402,$B:$B,$B13402,$G:$G,"CDU",$J:$J,"PLANNED")&gt;0,"tied","standalone"),"")</f>
        <v/>
      </c>
    </row>
    <row r="13403" spans="6:14">
      <c r="F13403" s="6">
        <f>IF($M13403="PADD I","PADD 1",IF($M13403="PADD II","PADD 2",IF($M13403="PADD III","PADD 3",IF($M13403="PADD IV","PADD 4",IF($M13403="PADD V","PADD 5","")))))</f>
        <v/>
      </c>
      <c r="G13403" s="6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  <c r="N13403" s="6">
        <f>IF(OR($G13403="FCC",$G13403="Hydrocracker",$G13403="Reformer"),IF(COUNTIFS($D:$D,$D13403,$A:$A,$A13403,$B:$B,$B13403,$G:$G,"CDU",$J:$J,"PLANNED")&gt;0,"tied","standalone"),"")</f>
        <v/>
      </c>
    </row>
    <row r="13404" spans="6:14">
      <c r="F13404" s="6">
        <f>IF($M13404="PADD I","PADD 1",IF($M13404="PADD II","PADD 2",IF($M13404="PADD III","PADD 3",IF($M13404="PADD IV","PADD 4",IF($M13404="PADD V","PADD 5","")))))</f>
        <v/>
      </c>
      <c r="G13404" s="6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  <c r="N13404" s="6">
        <f>IF(OR($G13404="FCC",$G13404="Hydrocracker",$G13404="Reformer"),IF(COUNTIFS($D:$D,$D13404,$A:$A,$A13404,$B:$B,$B13404,$G:$G,"CDU",$J:$J,"PLANNED")&gt;0,"tied","standalone"),"")</f>
        <v/>
      </c>
    </row>
    <row r="13405" spans="6:14">
      <c r="F13405" s="6">
        <f>IF($M13405="PADD I","PADD 1",IF($M13405="PADD II","PADD 2",IF($M13405="PADD III","PADD 3",IF($M13405="PADD IV","PADD 4",IF($M13405="PADD V","PADD 5","")))))</f>
        <v/>
      </c>
      <c r="G13405" s="6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  <c r="N13405" s="6">
        <f>IF(OR($G13405="FCC",$G13405="Hydrocracker",$G13405="Reformer"),IF(COUNTIFS($D:$D,$D13405,$A:$A,$A13405,$B:$B,$B13405,$G:$G,"CDU",$J:$J,"PLANNED")&gt;0,"tied","standalone"),"")</f>
        <v/>
      </c>
    </row>
    <row r="13406" spans="6:14">
      <c r="F13406" s="6">
        <f>IF($M13406="PADD I","PADD 1",IF($M13406="PADD II","PADD 2",IF($M13406="PADD III","PADD 3",IF($M13406="PADD IV","PADD 4",IF($M13406="PADD V","PADD 5","")))))</f>
        <v/>
      </c>
      <c r="G13406" s="6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  <c r="N13406" s="6">
        <f>IF(OR($G13406="FCC",$G13406="Hydrocracker",$G13406="Reformer"),IF(COUNTIFS($D:$D,$D13406,$A:$A,$A13406,$B:$B,$B13406,$G:$G,"CDU",$J:$J,"PLANNED")&gt;0,"tied","standalone"),"")</f>
        <v/>
      </c>
    </row>
    <row r="13407" spans="6:14">
      <c r="F13407" s="6">
        <f>IF($M13407="PADD I","PADD 1",IF($M13407="PADD II","PADD 2",IF($M13407="PADD III","PADD 3",IF($M13407="PADD IV","PADD 4",IF($M13407="PADD V","PADD 5","")))))</f>
        <v/>
      </c>
      <c r="G13407" s="6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  <c r="N13407" s="6">
        <f>IF(OR($G13407="FCC",$G13407="Hydrocracker",$G13407="Reformer"),IF(COUNTIFS($D:$D,$D13407,$A:$A,$A13407,$B:$B,$B13407,$G:$G,"CDU",$J:$J,"PLANNED")&gt;0,"tied","standalone"),"")</f>
        <v/>
      </c>
    </row>
    <row r="13408" spans="6:14">
      <c r="F13408" s="6">
        <f>IF($M13408="PADD I","PADD 1",IF($M13408="PADD II","PADD 2",IF($M13408="PADD III","PADD 3",IF($M13408="PADD IV","PADD 4",IF($M13408="PADD V","PADD 5","")))))</f>
        <v/>
      </c>
      <c r="G13408" s="6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  <c r="N13408" s="6">
        <f>IF(OR($G13408="FCC",$G13408="Hydrocracker",$G13408="Reformer"),IF(COUNTIFS($D:$D,$D13408,$A:$A,$A13408,$B:$B,$B13408,$G:$G,"CDU",$J:$J,"PLANNED")&gt;0,"tied","standalone"),"")</f>
        <v/>
      </c>
    </row>
    <row r="13409" spans="6:14">
      <c r="F13409" s="6">
        <f>IF($M13409="PADD I","PADD 1",IF($M13409="PADD II","PADD 2",IF($M13409="PADD III","PADD 3",IF($M13409="PADD IV","PADD 4",IF($M13409="PADD V","PADD 5","")))))</f>
        <v/>
      </c>
      <c r="G13409" s="6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  <c r="N13409" s="6">
        <f>IF(OR($G13409="FCC",$G13409="Hydrocracker",$G13409="Reformer"),IF(COUNTIFS($D:$D,$D13409,$A:$A,$A13409,$B:$B,$B13409,$G:$G,"CDU",$J:$J,"PLANNED")&gt;0,"tied","standalone"),"")</f>
        <v/>
      </c>
    </row>
    <row r="13410" spans="6:14">
      <c r="F13410" s="6">
        <f>IF($M13410="PADD I","PADD 1",IF($M13410="PADD II","PADD 2",IF($M13410="PADD III","PADD 3",IF($M13410="PADD IV","PADD 4",IF($M13410="PADD V","PADD 5","")))))</f>
        <v/>
      </c>
      <c r="G13410" s="6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  <c r="N13410" s="6">
        <f>IF(OR($G13410="FCC",$G13410="Hydrocracker",$G13410="Reformer"),IF(COUNTIFS($D:$D,$D13410,$A:$A,$A13410,$B:$B,$B13410,$G:$G,"CDU",$J:$J,"PLANNED")&gt;0,"tied","standalone"),"")</f>
        <v/>
      </c>
    </row>
    <row r="13411" spans="6:14">
      <c r="F13411" s="6">
        <f>IF($M13411="PADD I","PADD 1",IF($M13411="PADD II","PADD 2",IF($M13411="PADD III","PADD 3",IF($M13411="PADD IV","PADD 4",IF($M13411="PADD V","PADD 5","")))))</f>
        <v/>
      </c>
      <c r="G13411" s="6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  <c r="N13411" s="6">
        <f>IF(OR($G13411="FCC",$G13411="Hydrocracker",$G13411="Reformer"),IF(COUNTIFS($D:$D,$D13411,$A:$A,$A13411,$B:$B,$B13411,$G:$G,"CDU",$J:$J,"PLANNED")&gt;0,"tied","standalone"),"")</f>
        <v/>
      </c>
    </row>
    <row r="13412" spans="6:14">
      <c r="F13412" s="6">
        <f>IF($M13412="PADD I","PADD 1",IF($M13412="PADD II","PADD 2",IF($M13412="PADD III","PADD 3",IF($M13412="PADD IV","PADD 4",IF($M13412="PADD V","PADD 5","")))))</f>
        <v/>
      </c>
      <c r="G13412" s="6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  <c r="N13412" s="6">
        <f>IF(OR($G13412="FCC",$G13412="Hydrocracker",$G13412="Reformer"),IF(COUNTIFS($D:$D,$D13412,$A:$A,$A13412,$B:$B,$B13412,$G:$G,"CDU",$J:$J,"PLANNED")&gt;0,"tied","standalone"),"")</f>
        <v/>
      </c>
    </row>
    <row r="13413" spans="6:14">
      <c r="F13413" s="6">
        <f>IF($M13413="PADD I","PADD 1",IF($M13413="PADD II","PADD 2",IF($M13413="PADD III","PADD 3",IF($M13413="PADD IV","PADD 4",IF($M13413="PADD V","PADD 5","")))))</f>
        <v/>
      </c>
      <c r="G13413" s="6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  <c r="N13413" s="6">
        <f>IF(OR($G13413="FCC",$G13413="Hydrocracker",$G13413="Reformer"),IF(COUNTIFS($D:$D,$D13413,$A:$A,$A13413,$B:$B,$B13413,$G:$G,"CDU",$J:$J,"PLANNED")&gt;0,"tied","standalone"),"")</f>
        <v/>
      </c>
    </row>
    <row r="13414" spans="6:14">
      <c r="F13414" s="6">
        <f>IF($M13414="PADD I","PADD 1",IF($M13414="PADD II","PADD 2",IF($M13414="PADD III","PADD 3",IF($M13414="PADD IV","PADD 4",IF($M13414="PADD V","PADD 5","")))))</f>
        <v/>
      </c>
      <c r="G13414" s="6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  <c r="N13414" s="6">
        <f>IF(OR($G13414="FCC",$G13414="Hydrocracker",$G13414="Reformer"),IF(COUNTIFS($D:$D,$D13414,$A:$A,$A13414,$B:$B,$B13414,$G:$G,"CDU",$J:$J,"PLANNED")&gt;0,"tied","standalone"),"")</f>
        <v/>
      </c>
    </row>
    <row r="13415" spans="6:14">
      <c r="F13415" s="6">
        <f>IF($M13415="PADD I","PADD 1",IF($M13415="PADD II","PADD 2",IF($M13415="PADD III","PADD 3",IF($M13415="PADD IV","PADD 4",IF($M13415="PADD V","PADD 5","")))))</f>
        <v/>
      </c>
      <c r="G13415" s="6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  <c r="N13415" s="6">
        <f>IF(OR($G13415="FCC",$G13415="Hydrocracker",$G13415="Reformer"),IF(COUNTIFS($D:$D,$D13415,$A:$A,$A13415,$B:$B,$B13415,$G:$G,"CDU",$J:$J,"PLANNED")&gt;0,"tied","standalone"),"")</f>
        <v/>
      </c>
    </row>
    <row r="13416" spans="6:14">
      <c r="F13416" s="6">
        <f>IF($M13416="PADD I","PADD 1",IF($M13416="PADD II","PADD 2",IF($M13416="PADD III","PADD 3",IF($M13416="PADD IV","PADD 4",IF($M13416="PADD V","PADD 5","")))))</f>
        <v/>
      </c>
      <c r="G13416" s="6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  <c r="N13416" s="6">
        <f>IF(OR($G13416="FCC",$G13416="Hydrocracker",$G13416="Reformer"),IF(COUNTIFS($D:$D,$D13416,$A:$A,$A13416,$B:$B,$B13416,$G:$G,"CDU",$J:$J,"PLANNED")&gt;0,"tied","standalone"),"")</f>
        <v/>
      </c>
    </row>
    <row r="13417" spans="6:14">
      <c r="F13417" s="6">
        <f>IF($M13417="PADD I","PADD 1",IF($M13417="PADD II","PADD 2",IF($M13417="PADD III","PADD 3",IF($M13417="PADD IV","PADD 4",IF($M13417="PADD V","PADD 5","")))))</f>
        <v/>
      </c>
      <c r="G13417" s="6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  <c r="N13417" s="6">
        <f>IF(OR($G13417="FCC",$G13417="Hydrocracker",$G13417="Reformer"),IF(COUNTIFS($D:$D,$D13417,$A:$A,$A13417,$B:$B,$B13417,$G:$G,"CDU",$J:$J,"PLANNED")&gt;0,"tied","standalone"),"")</f>
        <v/>
      </c>
    </row>
    <row r="13418" spans="6:14">
      <c r="F13418" s="6">
        <f>IF($M13418="PADD I","PADD 1",IF($M13418="PADD II","PADD 2",IF($M13418="PADD III","PADD 3",IF($M13418="PADD IV","PADD 4",IF($M13418="PADD V","PADD 5","")))))</f>
        <v/>
      </c>
      <c r="G13418" s="6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  <c r="N13418" s="6">
        <f>IF(OR($G13418="FCC",$G13418="Hydrocracker",$G13418="Reformer"),IF(COUNTIFS($D:$D,$D13418,$A:$A,$A13418,$B:$B,$B13418,$G:$G,"CDU",$J:$J,"PLANNED")&gt;0,"tied","standalone"),"")</f>
        <v/>
      </c>
    </row>
    <row r="13419" spans="6:14">
      <c r="F13419" s="6">
        <f>IF($M13419="PADD I","PADD 1",IF($M13419="PADD II","PADD 2",IF($M13419="PADD III","PADD 3",IF($M13419="PADD IV","PADD 4",IF($M13419="PADD V","PADD 5","")))))</f>
        <v/>
      </c>
      <c r="G13419" s="6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  <c r="N13419" s="6">
        <f>IF(OR($G13419="FCC",$G13419="Hydrocracker",$G13419="Reformer"),IF(COUNTIFS($D:$D,$D13419,$A:$A,$A13419,$B:$B,$B13419,$G:$G,"CDU",$J:$J,"PLANNED")&gt;0,"tied","standalone"),"")</f>
        <v/>
      </c>
    </row>
    <row r="13420" spans="6:14">
      <c r="F13420" s="6">
        <f>IF($M13420="PADD I","PADD 1",IF($M13420="PADD II","PADD 2",IF($M13420="PADD III","PADD 3",IF($M13420="PADD IV","PADD 4",IF($M13420="PADD V","PADD 5","")))))</f>
        <v/>
      </c>
      <c r="G13420" s="6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  <c r="N13420" s="6">
        <f>IF(OR($G13420="FCC",$G13420="Hydrocracker",$G13420="Reformer"),IF(COUNTIFS($D:$D,$D13420,$A:$A,$A13420,$B:$B,$B13420,$G:$G,"CDU",$J:$J,"PLANNED")&gt;0,"tied","standalone"),"")</f>
        <v/>
      </c>
    </row>
    <row r="13421" spans="6:14">
      <c r="F13421" s="6">
        <f>IF($M13421="PADD I","PADD 1",IF($M13421="PADD II","PADD 2",IF($M13421="PADD III","PADD 3",IF($M13421="PADD IV","PADD 4",IF($M13421="PADD V","PADD 5","")))))</f>
        <v/>
      </c>
      <c r="G13421" s="6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  <c r="N13421" s="6">
        <f>IF(OR($G13421="FCC",$G13421="Hydrocracker",$G13421="Reformer"),IF(COUNTIFS($D:$D,$D13421,$A:$A,$A13421,$B:$B,$B13421,$G:$G,"CDU",$J:$J,"PLANNED")&gt;0,"tied","standalone"),"")</f>
        <v/>
      </c>
    </row>
    <row r="13422" spans="6:14">
      <c r="F13422" s="6">
        <f>IF($M13422="PADD I","PADD 1",IF($M13422="PADD II","PADD 2",IF($M13422="PADD III","PADD 3",IF($M13422="PADD IV","PADD 4",IF($M13422="PADD V","PADD 5","")))))</f>
        <v/>
      </c>
      <c r="G13422" s="6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  <c r="N13422" s="6">
        <f>IF(OR($G13422="FCC",$G13422="Hydrocracker",$G13422="Reformer"),IF(COUNTIFS($D:$D,$D13422,$A:$A,$A13422,$B:$B,$B13422,$G:$G,"CDU",$J:$J,"PLANNED")&gt;0,"tied","standalone"),"")</f>
        <v/>
      </c>
    </row>
    <row r="13423" spans="6:14">
      <c r="F13423" s="6">
        <f>IF($M13423="PADD I","PADD 1",IF($M13423="PADD II","PADD 2",IF($M13423="PADD III","PADD 3",IF($M13423="PADD IV","PADD 4",IF($M13423="PADD V","PADD 5","")))))</f>
        <v/>
      </c>
      <c r="G13423" s="6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  <c r="N13423" s="6">
        <f>IF(OR($G13423="FCC",$G13423="Hydrocracker",$G13423="Reformer"),IF(COUNTIFS($D:$D,$D13423,$A:$A,$A13423,$B:$B,$B13423,$G:$G,"CDU",$J:$J,"PLANNED")&gt;0,"tied","standalone"),"")</f>
        <v/>
      </c>
    </row>
    <row r="13424" spans="6:14">
      <c r="F13424" s="6">
        <f>IF($M13424="PADD I","PADD 1",IF($M13424="PADD II","PADD 2",IF($M13424="PADD III","PADD 3",IF($M13424="PADD IV","PADD 4",IF($M13424="PADD V","PADD 5","")))))</f>
        <v/>
      </c>
      <c r="G13424" s="6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  <c r="N13424" s="6">
        <f>IF(OR($G13424="FCC",$G13424="Hydrocracker",$G13424="Reformer"),IF(COUNTIFS($D:$D,$D13424,$A:$A,$A13424,$B:$B,$B13424,$G:$G,"CDU",$J:$J,"PLANNED")&gt;0,"tied","standalone"),"")</f>
        <v/>
      </c>
    </row>
    <row r="13425" spans="6:14">
      <c r="F13425" s="6">
        <f>IF($M13425="PADD I","PADD 1",IF($M13425="PADD II","PADD 2",IF($M13425="PADD III","PADD 3",IF($M13425="PADD IV","PADD 4",IF($M13425="PADD V","PADD 5","")))))</f>
        <v/>
      </c>
      <c r="G13425" s="6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  <c r="N13425" s="6">
        <f>IF(OR($G13425="FCC",$G13425="Hydrocracker",$G13425="Reformer"),IF(COUNTIFS($D:$D,$D13425,$A:$A,$A13425,$B:$B,$B13425,$G:$G,"CDU",$J:$J,"PLANNED")&gt;0,"tied","standalone"),"")</f>
        <v/>
      </c>
    </row>
    <row r="13426" spans="6:14">
      <c r="F13426" s="6">
        <f>IF($M13426="PADD I","PADD 1",IF($M13426="PADD II","PADD 2",IF($M13426="PADD III","PADD 3",IF($M13426="PADD IV","PADD 4",IF($M13426="PADD V","PADD 5","")))))</f>
        <v/>
      </c>
      <c r="G13426" s="6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  <c r="N13426" s="6">
        <f>IF(OR($G13426="FCC",$G13426="Hydrocracker",$G13426="Reformer"),IF(COUNTIFS($D:$D,$D13426,$A:$A,$A13426,$B:$B,$B13426,$G:$G,"CDU",$J:$J,"PLANNED")&gt;0,"tied","standalone"),"")</f>
        <v/>
      </c>
    </row>
    <row r="13427" spans="6:14">
      <c r="F13427" s="6">
        <f>IF($M13427="PADD I","PADD 1",IF($M13427="PADD II","PADD 2",IF($M13427="PADD III","PADD 3",IF($M13427="PADD IV","PADD 4",IF($M13427="PADD V","PADD 5","")))))</f>
        <v/>
      </c>
      <c r="G13427" s="6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  <c r="N13427" s="6">
        <f>IF(OR($G13427="FCC",$G13427="Hydrocracker",$G13427="Reformer"),IF(COUNTIFS($D:$D,$D13427,$A:$A,$A13427,$B:$B,$B13427,$G:$G,"CDU",$J:$J,"PLANNED")&gt;0,"tied","standalone"),"")</f>
        <v/>
      </c>
    </row>
    <row r="13428" spans="6:14">
      <c r="F13428" s="6">
        <f>IF($M13428="PADD I","PADD 1",IF($M13428="PADD II","PADD 2",IF($M13428="PADD III","PADD 3",IF($M13428="PADD IV","PADD 4",IF($M13428="PADD V","PADD 5","")))))</f>
        <v/>
      </c>
      <c r="G13428" s="6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  <c r="N13428" s="6">
        <f>IF(OR($G13428="FCC",$G13428="Hydrocracker",$G13428="Reformer"),IF(COUNTIFS($D:$D,$D13428,$A:$A,$A13428,$B:$B,$B13428,$G:$G,"CDU",$J:$J,"PLANNED")&gt;0,"tied","standalone"),"")</f>
        <v/>
      </c>
    </row>
    <row r="13429" spans="6:14">
      <c r="F13429" s="6">
        <f>IF($M13429="PADD I","PADD 1",IF($M13429="PADD II","PADD 2",IF($M13429="PADD III","PADD 3",IF($M13429="PADD IV","PADD 4",IF($M13429="PADD V","PADD 5","")))))</f>
        <v/>
      </c>
      <c r="G13429" s="6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  <c r="N13429" s="6">
        <f>IF(OR($G13429="FCC",$G13429="Hydrocracker",$G13429="Reformer"),IF(COUNTIFS($D:$D,$D13429,$A:$A,$A13429,$B:$B,$B13429,$G:$G,"CDU",$J:$J,"PLANNED")&gt;0,"tied","standalone"),"")</f>
        <v/>
      </c>
    </row>
    <row r="13430" spans="6:14">
      <c r="F13430" s="6">
        <f>IF($M13430="PADD I","PADD 1",IF($M13430="PADD II","PADD 2",IF($M13430="PADD III","PADD 3",IF($M13430="PADD IV","PADD 4",IF($M13430="PADD V","PADD 5","")))))</f>
        <v/>
      </c>
      <c r="G13430" s="6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  <c r="N13430" s="6">
        <f>IF(OR($G13430="FCC",$G13430="Hydrocracker",$G13430="Reformer"),IF(COUNTIFS($D:$D,$D13430,$A:$A,$A13430,$B:$B,$B13430,$G:$G,"CDU",$J:$J,"PLANNED")&gt;0,"tied","standalone"),"")</f>
        <v/>
      </c>
    </row>
    <row r="13431" spans="6:14">
      <c r="F13431" s="6">
        <f>IF($M13431="PADD I","PADD 1",IF($M13431="PADD II","PADD 2",IF($M13431="PADD III","PADD 3",IF($M13431="PADD IV","PADD 4",IF($M13431="PADD V","PADD 5","")))))</f>
        <v/>
      </c>
      <c r="G13431" s="6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  <c r="N13431" s="6">
        <f>IF(OR($G13431="FCC",$G13431="Hydrocracker",$G13431="Reformer"),IF(COUNTIFS($D:$D,$D13431,$A:$A,$A13431,$B:$B,$B13431,$G:$G,"CDU",$J:$J,"PLANNED")&gt;0,"tied","standalone"),"")</f>
        <v/>
      </c>
    </row>
    <row r="13432" spans="6:14">
      <c r="F13432" s="6">
        <f>IF($M13432="PADD I","PADD 1",IF($M13432="PADD II","PADD 2",IF($M13432="PADD III","PADD 3",IF($M13432="PADD IV","PADD 4",IF($M13432="PADD V","PADD 5","")))))</f>
        <v/>
      </c>
      <c r="G13432" s="6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  <c r="N13432" s="6">
        <f>IF(OR($G13432="FCC",$G13432="Hydrocracker",$G13432="Reformer"),IF(COUNTIFS($D:$D,$D13432,$A:$A,$A13432,$B:$B,$B13432,$G:$G,"CDU",$J:$J,"PLANNED")&gt;0,"tied","standalone"),"")</f>
        <v/>
      </c>
    </row>
    <row r="13433" spans="6:14">
      <c r="F13433" s="6">
        <f>IF($M13433="PADD I","PADD 1",IF($M13433="PADD II","PADD 2",IF($M13433="PADD III","PADD 3",IF($M13433="PADD IV","PADD 4",IF($M13433="PADD V","PADD 5","")))))</f>
        <v/>
      </c>
      <c r="G13433" s="6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  <c r="N13433" s="6">
        <f>IF(OR($G13433="FCC",$G13433="Hydrocracker",$G13433="Reformer"),IF(COUNTIFS($D:$D,$D13433,$A:$A,$A13433,$B:$B,$B13433,$G:$G,"CDU",$J:$J,"PLANNED")&gt;0,"tied","standalone"),"")</f>
        <v/>
      </c>
    </row>
    <row r="13434" spans="6:14">
      <c r="F13434" s="6">
        <f>IF($M13434="PADD I","PADD 1",IF($M13434="PADD II","PADD 2",IF($M13434="PADD III","PADD 3",IF($M13434="PADD IV","PADD 4",IF($M13434="PADD V","PADD 5","")))))</f>
        <v/>
      </c>
      <c r="G13434" s="6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  <c r="N13434" s="6">
        <f>IF(OR($G13434="FCC",$G13434="Hydrocracker",$G13434="Reformer"),IF(COUNTIFS($D:$D,$D13434,$A:$A,$A13434,$B:$B,$B13434,$G:$G,"CDU",$J:$J,"PLANNED")&gt;0,"tied","standalone"),"")</f>
        <v/>
      </c>
    </row>
    <row r="13435" spans="6:14">
      <c r="F13435" s="6">
        <f>IF($M13435="PADD I","PADD 1",IF($M13435="PADD II","PADD 2",IF($M13435="PADD III","PADD 3",IF($M13435="PADD IV","PADD 4",IF($M13435="PADD V","PADD 5","")))))</f>
        <v/>
      </c>
      <c r="G13435" s="6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  <c r="N13435" s="6">
        <f>IF(OR($G13435="FCC",$G13435="Hydrocracker",$G13435="Reformer"),IF(COUNTIFS($D:$D,$D13435,$A:$A,$A13435,$B:$B,$B13435,$G:$G,"CDU",$J:$J,"PLANNED")&gt;0,"tied","standalone"),"")</f>
        <v/>
      </c>
    </row>
    <row r="13436" spans="6:14">
      <c r="F13436" s="6">
        <f>IF($M13436="PADD I","PADD 1",IF($M13436="PADD II","PADD 2",IF($M13436="PADD III","PADD 3",IF($M13436="PADD IV","PADD 4",IF($M13436="PADD V","PADD 5","")))))</f>
        <v/>
      </c>
      <c r="G13436" s="6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  <c r="N13436" s="6">
        <f>IF(OR($G13436="FCC",$G13436="Hydrocracker",$G13436="Reformer"),IF(COUNTIFS($D:$D,$D13436,$A:$A,$A13436,$B:$B,$B13436,$G:$G,"CDU",$J:$J,"PLANNED")&gt;0,"tied","standalone"),"")</f>
        <v/>
      </c>
    </row>
    <row r="13437" spans="6:14">
      <c r="F13437" s="6">
        <f>IF($M13437="PADD I","PADD 1",IF($M13437="PADD II","PADD 2",IF($M13437="PADD III","PADD 3",IF($M13437="PADD IV","PADD 4",IF($M13437="PADD V","PADD 5","")))))</f>
        <v/>
      </c>
      <c r="G13437" s="6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  <c r="N13437" s="6">
        <f>IF(OR($G13437="FCC",$G13437="Hydrocracker",$G13437="Reformer"),IF(COUNTIFS($D:$D,$D13437,$A:$A,$A13437,$B:$B,$B13437,$G:$G,"CDU",$J:$J,"PLANNED")&gt;0,"tied","standalone"),"")</f>
        <v/>
      </c>
    </row>
    <row r="13438" spans="6:14">
      <c r="F13438" s="6">
        <f>IF($M13438="PADD I","PADD 1",IF($M13438="PADD II","PADD 2",IF($M13438="PADD III","PADD 3",IF($M13438="PADD IV","PADD 4",IF($M13438="PADD V","PADD 5","")))))</f>
        <v/>
      </c>
      <c r="G13438" s="6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  <c r="N13438" s="6">
        <f>IF(OR($G13438="FCC",$G13438="Hydrocracker",$G13438="Reformer"),IF(COUNTIFS($D:$D,$D13438,$A:$A,$A13438,$B:$B,$B13438,$G:$G,"CDU",$J:$J,"PLANNED")&gt;0,"tied","standalone"),"")</f>
        <v/>
      </c>
    </row>
    <row r="13439" spans="6:14">
      <c r="F13439" s="6">
        <f>IF($M13439="PADD I","PADD 1",IF($M13439="PADD II","PADD 2",IF($M13439="PADD III","PADD 3",IF($M13439="PADD IV","PADD 4",IF($M13439="PADD V","PADD 5","")))))</f>
        <v/>
      </c>
      <c r="G13439" s="6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  <c r="N13439" s="6">
        <f>IF(OR($G13439="FCC",$G13439="Hydrocracker",$G13439="Reformer"),IF(COUNTIFS($D:$D,$D13439,$A:$A,$A13439,$B:$B,$B13439,$G:$G,"CDU",$J:$J,"PLANNED")&gt;0,"tied","standalone"),"")</f>
        <v/>
      </c>
    </row>
    <row r="13440" spans="6:14">
      <c r="F13440" s="6">
        <f>IF($M13440="PADD I","PADD 1",IF($M13440="PADD II","PADD 2",IF($M13440="PADD III","PADD 3",IF($M13440="PADD IV","PADD 4",IF($M13440="PADD V","PADD 5","")))))</f>
        <v/>
      </c>
      <c r="G13440" s="6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  <c r="N13440" s="6">
        <f>IF(OR($G13440="FCC",$G13440="Hydrocracker",$G13440="Reformer"),IF(COUNTIFS($D:$D,$D13440,$A:$A,$A13440,$B:$B,$B13440,$G:$G,"CDU",$J:$J,"PLANNED")&gt;0,"tied","standalone"),"")</f>
        <v/>
      </c>
    </row>
    <row r="13441" spans="6:14">
      <c r="F13441" s="6">
        <f>IF($M13441="PADD I","PADD 1",IF($M13441="PADD II","PADD 2",IF($M13441="PADD III","PADD 3",IF($M13441="PADD IV","PADD 4",IF($M13441="PADD V","PADD 5","")))))</f>
        <v/>
      </c>
      <c r="G13441" s="6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  <c r="N13441" s="6">
        <f>IF(OR($G13441="FCC",$G13441="Hydrocracker",$G13441="Reformer"),IF(COUNTIFS($D:$D,$D13441,$A:$A,$A13441,$B:$B,$B13441,$G:$G,"CDU",$J:$J,"PLANNED")&gt;0,"tied","standalone"),"")</f>
        <v/>
      </c>
    </row>
    <row r="13442" spans="6:14">
      <c r="F13442" s="6">
        <f>IF($M13442="PADD I","PADD 1",IF($M13442="PADD II","PADD 2",IF($M13442="PADD III","PADD 3",IF($M13442="PADD IV","PADD 4",IF($M13442="PADD V","PADD 5","")))))</f>
        <v/>
      </c>
      <c r="G13442" s="6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  <c r="N13442" s="6">
        <f>IF(OR($G13442="FCC",$G13442="Hydrocracker",$G13442="Reformer"),IF(COUNTIFS($D:$D,$D13442,$A:$A,$A13442,$B:$B,$B13442,$G:$G,"CDU",$J:$J,"PLANNED")&gt;0,"tied","standalone"),"")</f>
        <v/>
      </c>
    </row>
    <row r="13443" spans="6:14">
      <c r="F13443" s="6">
        <f>IF($M13443="PADD I","PADD 1",IF($M13443="PADD II","PADD 2",IF($M13443="PADD III","PADD 3",IF($M13443="PADD IV","PADD 4",IF($M13443="PADD V","PADD 5","")))))</f>
        <v/>
      </c>
      <c r="G13443" s="6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  <c r="N13443" s="6">
        <f>IF(OR($G13443="FCC",$G13443="Hydrocracker",$G13443="Reformer"),IF(COUNTIFS($D:$D,$D13443,$A:$A,$A13443,$B:$B,$B13443,$G:$G,"CDU",$J:$J,"PLANNED")&gt;0,"tied","standalone"),"")</f>
        <v/>
      </c>
    </row>
    <row r="13444" spans="6:14">
      <c r="F13444" s="6">
        <f>IF($M13444="PADD I","PADD 1",IF($M13444="PADD II","PADD 2",IF($M13444="PADD III","PADD 3",IF($M13444="PADD IV","PADD 4",IF($M13444="PADD V","PADD 5","")))))</f>
        <v/>
      </c>
      <c r="G13444" s="6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  <c r="N13444" s="6">
        <f>IF(OR($G13444="FCC",$G13444="Hydrocracker",$G13444="Reformer"),IF(COUNTIFS($D:$D,$D13444,$A:$A,$A13444,$B:$B,$B13444,$G:$G,"CDU",$J:$J,"PLANNED")&gt;0,"tied","standalone"),"")</f>
        <v/>
      </c>
    </row>
    <row r="13445" spans="6:14">
      <c r="F13445" s="6">
        <f>IF($M13445="PADD I","PADD 1",IF($M13445="PADD II","PADD 2",IF($M13445="PADD III","PADD 3",IF($M13445="PADD IV","PADD 4",IF($M13445="PADD V","PADD 5","")))))</f>
        <v/>
      </c>
      <c r="G13445" s="6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  <c r="N13445" s="6">
        <f>IF(OR($G13445="FCC",$G13445="Hydrocracker",$G13445="Reformer"),IF(COUNTIFS($D:$D,$D13445,$A:$A,$A13445,$B:$B,$B13445,$G:$G,"CDU",$J:$J,"PLANNED")&gt;0,"tied","standalone"),"")</f>
        <v/>
      </c>
    </row>
    <row r="13446" spans="6:14">
      <c r="F13446" s="6">
        <f>IF($M13446="PADD I","PADD 1",IF($M13446="PADD II","PADD 2",IF($M13446="PADD III","PADD 3",IF($M13446="PADD IV","PADD 4",IF($M13446="PADD V","PADD 5","")))))</f>
        <v/>
      </c>
      <c r="G13446" s="6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  <c r="N13446" s="6">
        <f>IF(OR($G13446="FCC",$G13446="Hydrocracker",$G13446="Reformer"),IF(COUNTIFS($D:$D,$D13446,$A:$A,$A13446,$B:$B,$B13446,$G:$G,"CDU",$J:$J,"PLANNED")&gt;0,"tied","standalone"),"")</f>
        <v/>
      </c>
    </row>
    <row r="13447" spans="6:14">
      <c r="F13447" s="6">
        <f>IF($M13447="PADD I","PADD 1",IF($M13447="PADD II","PADD 2",IF($M13447="PADD III","PADD 3",IF($M13447="PADD IV","PADD 4",IF($M13447="PADD V","PADD 5","")))))</f>
        <v/>
      </c>
      <c r="G13447" s="6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  <c r="N13447" s="6">
        <f>IF(OR($G13447="FCC",$G13447="Hydrocracker",$G13447="Reformer"),IF(COUNTIFS($D:$D,$D13447,$A:$A,$A13447,$B:$B,$B13447,$G:$G,"CDU",$J:$J,"PLANNED")&gt;0,"tied","standalone"),"")</f>
        <v/>
      </c>
    </row>
    <row r="13448" spans="6:14">
      <c r="F13448" s="6">
        <f>IF($M13448="PADD I","PADD 1",IF($M13448="PADD II","PADD 2",IF($M13448="PADD III","PADD 3",IF($M13448="PADD IV","PADD 4",IF($M13448="PADD V","PADD 5","")))))</f>
        <v/>
      </c>
      <c r="G13448" s="6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  <c r="N13448" s="6">
        <f>IF(OR($G13448="FCC",$G13448="Hydrocracker",$G13448="Reformer"),IF(COUNTIFS($D:$D,$D13448,$A:$A,$A13448,$B:$B,$B13448,$G:$G,"CDU",$J:$J,"PLANNED")&gt;0,"tied","standalone"),"")</f>
        <v/>
      </c>
    </row>
    <row r="13449" spans="6:14">
      <c r="F13449" s="6">
        <f>IF($M13449="PADD I","PADD 1",IF($M13449="PADD II","PADD 2",IF($M13449="PADD III","PADD 3",IF($M13449="PADD IV","PADD 4",IF($M13449="PADD V","PADD 5","")))))</f>
        <v/>
      </c>
      <c r="G13449" s="6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  <c r="N13449" s="6">
        <f>IF(OR($G13449="FCC",$G13449="Hydrocracker",$G13449="Reformer"),IF(COUNTIFS($D:$D,$D13449,$A:$A,$A13449,$B:$B,$B13449,$G:$G,"CDU",$J:$J,"PLANNED")&gt;0,"tied","standalone"),"")</f>
        <v/>
      </c>
    </row>
    <row r="13450" spans="6:14">
      <c r="F13450" s="6">
        <f>IF($M13450="PADD I","PADD 1",IF($M13450="PADD II","PADD 2",IF($M13450="PADD III","PADD 3",IF($M13450="PADD IV","PADD 4",IF($M13450="PADD V","PADD 5","")))))</f>
        <v/>
      </c>
      <c r="G13450" s="6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  <c r="N13450" s="6">
        <f>IF(OR($G13450="FCC",$G13450="Hydrocracker",$G13450="Reformer"),IF(COUNTIFS($D:$D,$D13450,$A:$A,$A13450,$B:$B,$B13450,$G:$G,"CDU",$J:$J,"PLANNED")&gt;0,"tied","standalone"),"")</f>
        <v/>
      </c>
    </row>
    <row r="13451" spans="6:14">
      <c r="F13451" s="6">
        <f>IF($M13451="PADD I","PADD 1",IF($M13451="PADD II","PADD 2",IF($M13451="PADD III","PADD 3",IF($M13451="PADD IV","PADD 4",IF($M13451="PADD V","PADD 5","")))))</f>
        <v/>
      </c>
      <c r="G13451" s="6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  <c r="N13451" s="6">
        <f>IF(OR($G13451="FCC",$G13451="Hydrocracker",$G13451="Reformer"),IF(COUNTIFS($D:$D,$D13451,$A:$A,$A13451,$B:$B,$B13451,$G:$G,"CDU",$J:$J,"PLANNED")&gt;0,"tied","standalone"),"")</f>
        <v/>
      </c>
    </row>
    <row r="13452" spans="6:14">
      <c r="F13452" s="6">
        <f>IF($M13452="PADD I","PADD 1",IF($M13452="PADD II","PADD 2",IF($M13452="PADD III","PADD 3",IF($M13452="PADD IV","PADD 4",IF($M13452="PADD V","PADD 5","")))))</f>
        <v/>
      </c>
      <c r="G13452" s="6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  <c r="N13452" s="6">
        <f>IF(OR($G13452="FCC",$G13452="Hydrocracker",$G13452="Reformer"),IF(COUNTIFS($D:$D,$D13452,$A:$A,$A13452,$B:$B,$B13452,$G:$G,"CDU",$J:$J,"PLANNED")&gt;0,"tied","standalone"),"")</f>
        <v/>
      </c>
    </row>
    <row r="13453" spans="6:14">
      <c r="F13453" s="6">
        <f>IF($M13453="PADD I","PADD 1",IF($M13453="PADD II","PADD 2",IF($M13453="PADD III","PADD 3",IF($M13453="PADD IV","PADD 4",IF($M13453="PADD V","PADD 5","")))))</f>
        <v/>
      </c>
      <c r="G13453" s="6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  <c r="N13453" s="6">
        <f>IF(OR($G13453="FCC",$G13453="Hydrocracker",$G13453="Reformer"),IF(COUNTIFS($D:$D,$D13453,$A:$A,$A13453,$B:$B,$B13453,$G:$G,"CDU",$J:$J,"PLANNED")&gt;0,"tied","standalone"),"")</f>
        <v/>
      </c>
    </row>
    <row r="13454" spans="6:14">
      <c r="F13454" s="6">
        <f>IF($M13454="PADD I","PADD 1",IF($M13454="PADD II","PADD 2",IF($M13454="PADD III","PADD 3",IF($M13454="PADD IV","PADD 4",IF($M13454="PADD V","PADD 5","")))))</f>
        <v/>
      </c>
      <c r="G13454" s="6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  <c r="N13454" s="6">
        <f>IF(OR($G13454="FCC",$G13454="Hydrocracker",$G13454="Reformer"),IF(COUNTIFS($D:$D,$D13454,$A:$A,$A13454,$B:$B,$B13454,$G:$G,"CDU",$J:$J,"PLANNED")&gt;0,"tied","standalone"),"")</f>
        <v/>
      </c>
    </row>
    <row r="13455" spans="6:14">
      <c r="F13455" s="6">
        <f>IF($M13455="PADD I","PADD 1",IF($M13455="PADD II","PADD 2",IF($M13455="PADD III","PADD 3",IF($M13455="PADD IV","PADD 4",IF($M13455="PADD V","PADD 5","")))))</f>
        <v/>
      </c>
      <c r="G13455" s="6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  <c r="N13455" s="6">
        <f>IF(OR($G13455="FCC",$G13455="Hydrocracker",$G13455="Reformer"),IF(COUNTIFS($D:$D,$D13455,$A:$A,$A13455,$B:$B,$B13455,$G:$G,"CDU",$J:$J,"PLANNED")&gt;0,"tied","standalone"),"")</f>
        <v/>
      </c>
    </row>
    <row r="13456" spans="6:14">
      <c r="F13456" s="6">
        <f>IF($M13456="PADD I","PADD 1",IF($M13456="PADD II","PADD 2",IF($M13456="PADD III","PADD 3",IF($M13456="PADD IV","PADD 4",IF($M13456="PADD V","PADD 5","")))))</f>
        <v/>
      </c>
      <c r="G13456" s="6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  <c r="N13456" s="6">
        <f>IF(OR($G13456="FCC",$G13456="Hydrocracker",$G13456="Reformer"),IF(COUNTIFS($D:$D,$D13456,$A:$A,$A13456,$B:$B,$B13456,$G:$G,"CDU",$J:$J,"PLANNED")&gt;0,"tied","standalone"),"")</f>
        <v/>
      </c>
    </row>
    <row r="13457" spans="6:14">
      <c r="F13457" s="6">
        <f>IF($M13457="PADD I","PADD 1",IF($M13457="PADD II","PADD 2",IF($M13457="PADD III","PADD 3",IF($M13457="PADD IV","PADD 4",IF($M13457="PADD V","PADD 5","")))))</f>
        <v/>
      </c>
      <c r="G13457" s="6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  <c r="N13457" s="6">
        <f>IF(OR($G13457="FCC",$G13457="Hydrocracker",$G13457="Reformer"),IF(COUNTIFS($D:$D,$D13457,$A:$A,$A13457,$B:$B,$B13457,$G:$G,"CDU",$J:$J,"PLANNED")&gt;0,"tied","standalone"),"")</f>
        <v/>
      </c>
    </row>
    <row r="13458" spans="6:14">
      <c r="F13458" s="6">
        <f>IF($M13458="PADD I","PADD 1",IF($M13458="PADD II","PADD 2",IF($M13458="PADD III","PADD 3",IF($M13458="PADD IV","PADD 4",IF($M13458="PADD V","PADD 5","")))))</f>
        <v/>
      </c>
      <c r="G13458" s="6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  <c r="N13458" s="6">
        <f>IF(OR($G13458="FCC",$G13458="Hydrocracker",$G13458="Reformer"),IF(COUNTIFS($D:$D,$D13458,$A:$A,$A13458,$B:$B,$B13458,$G:$G,"CDU",$J:$J,"PLANNED")&gt;0,"tied","standalone"),"")</f>
        <v/>
      </c>
    </row>
    <row r="13459" spans="6:14">
      <c r="F13459" s="6">
        <f>IF($M13459="PADD I","PADD 1",IF($M13459="PADD II","PADD 2",IF($M13459="PADD III","PADD 3",IF($M13459="PADD IV","PADD 4",IF($M13459="PADD V","PADD 5","")))))</f>
        <v/>
      </c>
      <c r="G13459" s="6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  <c r="N13459" s="6">
        <f>IF(OR($G13459="FCC",$G13459="Hydrocracker",$G13459="Reformer"),IF(COUNTIFS($D:$D,$D13459,$A:$A,$A13459,$B:$B,$B13459,$G:$G,"CDU",$J:$J,"PLANNED")&gt;0,"tied","standalone"),"")</f>
        <v/>
      </c>
    </row>
    <row r="13460" spans="6:14">
      <c r="F13460" s="6">
        <f>IF($M13460="PADD I","PADD 1",IF($M13460="PADD II","PADD 2",IF($M13460="PADD III","PADD 3",IF($M13460="PADD IV","PADD 4",IF($M13460="PADD V","PADD 5","")))))</f>
        <v/>
      </c>
      <c r="G13460" s="6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  <c r="N13460" s="6">
        <f>IF(OR($G13460="FCC",$G13460="Hydrocracker",$G13460="Reformer"),IF(COUNTIFS($D:$D,$D13460,$A:$A,$A13460,$B:$B,$B13460,$G:$G,"CDU",$J:$J,"PLANNED")&gt;0,"tied","standalone"),"")</f>
        <v/>
      </c>
    </row>
    <row r="13461" spans="6:14">
      <c r="F13461" s="6">
        <f>IF($M13461="PADD I","PADD 1",IF($M13461="PADD II","PADD 2",IF($M13461="PADD III","PADD 3",IF($M13461="PADD IV","PADD 4",IF($M13461="PADD V","PADD 5","")))))</f>
        <v/>
      </c>
      <c r="G13461" s="6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  <c r="N13461" s="6">
        <f>IF(OR($G13461="FCC",$G13461="Hydrocracker",$G13461="Reformer"),IF(COUNTIFS($D:$D,$D13461,$A:$A,$A13461,$B:$B,$B13461,$G:$G,"CDU",$J:$J,"PLANNED")&gt;0,"tied","standalone"),"")</f>
        <v/>
      </c>
    </row>
    <row r="13462" spans="6:14">
      <c r="F13462" s="6">
        <f>IF($M13462="PADD I","PADD 1",IF($M13462="PADD II","PADD 2",IF($M13462="PADD III","PADD 3",IF($M13462="PADD IV","PADD 4",IF($M13462="PADD V","PADD 5","")))))</f>
        <v/>
      </c>
      <c r="G13462" s="6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  <c r="N13462" s="6">
        <f>IF(OR($G13462="FCC",$G13462="Hydrocracker",$G13462="Reformer"),IF(COUNTIFS($D:$D,$D13462,$A:$A,$A13462,$B:$B,$B13462,$G:$G,"CDU",$J:$J,"PLANNED")&gt;0,"tied","standalone"),"")</f>
        <v/>
      </c>
    </row>
    <row r="13463" spans="6:14">
      <c r="F13463" s="6">
        <f>IF($M13463="PADD I","PADD 1",IF($M13463="PADD II","PADD 2",IF($M13463="PADD III","PADD 3",IF($M13463="PADD IV","PADD 4",IF($M13463="PADD V","PADD 5","")))))</f>
        <v/>
      </c>
      <c r="G13463" s="6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  <c r="N13463" s="6">
        <f>IF(OR($G13463="FCC",$G13463="Hydrocracker",$G13463="Reformer"),IF(COUNTIFS($D:$D,$D13463,$A:$A,$A13463,$B:$B,$B13463,$G:$G,"CDU",$J:$J,"PLANNED")&gt;0,"tied","standalone"),"")</f>
        <v/>
      </c>
    </row>
    <row r="13464" spans="6:14">
      <c r="F13464" s="6">
        <f>IF($M13464="PADD I","PADD 1",IF($M13464="PADD II","PADD 2",IF($M13464="PADD III","PADD 3",IF($M13464="PADD IV","PADD 4",IF($M13464="PADD V","PADD 5","")))))</f>
        <v/>
      </c>
      <c r="G13464" s="6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  <c r="N13464" s="6">
        <f>IF(OR($G13464="FCC",$G13464="Hydrocracker",$G13464="Reformer"),IF(COUNTIFS($D:$D,$D13464,$A:$A,$A13464,$B:$B,$B13464,$G:$G,"CDU",$J:$J,"PLANNED")&gt;0,"tied","standalone"),"")</f>
        <v/>
      </c>
    </row>
    <row r="13465" spans="6:14">
      <c r="F13465" s="6">
        <f>IF($M13465="PADD I","PADD 1",IF($M13465="PADD II","PADD 2",IF($M13465="PADD III","PADD 3",IF($M13465="PADD IV","PADD 4",IF($M13465="PADD V","PADD 5","")))))</f>
        <v/>
      </c>
      <c r="G13465" s="6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  <c r="N13465" s="6">
        <f>IF(OR($G13465="FCC",$G13465="Hydrocracker",$G13465="Reformer"),IF(COUNTIFS($D:$D,$D13465,$A:$A,$A13465,$B:$B,$B13465,$G:$G,"CDU",$J:$J,"PLANNED")&gt;0,"tied","standalone"),"")</f>
        <v/>
      </c>
    </row>
    <row r="13466" spans="6:14">
      <c r="F13466" s="6">
        <f>IF($M13466="PADD I","PADD 1",IF($M13466="PADD II","PADD 2",IF($M13466="PADD III","PADD 3",IF($M13466="PADD IV","PADD 4",IF($M13466="PADD V","PADD 5","")))))</f>
        <v/>
      </c>
      <c r="G13466" s="6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  <c r="N13466" s="6">
        <f>IF(OR($G13466="FCC",$G13466="Hydrocracker",$G13466="Reformer"),IF(COUNTIFS($D:$D,$D13466,$A:$A,$A13466,$B:$B,$B13466,$G:$G,"CDU",$J:$J,"PLANNED")&gt;0,"tied","standalone"),"")</f>
        <v/>
      </c>
    </row>
    <row r="13467" spans="6:14">
      <c r="F13467" s="6">
        <f>IF($M13467="PADD I","PADD 1",IF($M13467="PADD II","PADD 2",IF($M13467="PADD III","PADD 3",IF($M13467="PADD IV","PADD 4",IF($M13467="PADD V","PADD 5","")))))</f>
        <v/>
      </c>
      <c r="G13467" s="6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  <c r="N13467" s="6">
        <f>IF(OR($G13467="FCC",$G13467="Hydrocracker",$G13467="Reformer"),IF(COUNTIFS($D:$D,$D13467,$A:$A,$A13467,$B:$B,$B13467,$G:$G,"CDU",$J:$J,"PLANNED")&gt;0,"tied","standalone"),"")</f>
        <v/>
      </c>
    </row>
    <row r="13468" spans="6:14">
      <c r="F13468" s="6">
        <f>IF($M13468="PADD I","PADD 1",IF($M13468="PADD II","PADD 2",IF($M13468="PADD III","PADD 3",IF($M13468="PADD IV","PADD 4",IF($M13468="PADD V","PADD 5","")))))</f>
        <v/>
      </c>
      <c r="G13468" s="6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  <c r="N13468" s="6">
        <f>IF(OR($G13468="FCC",$G13468="Hydrocracker",$G13468="Reformer"),IF(COUNTIFS($D:$D,$D13468,$A:$A,$A13468,$B:$B,$B13468,$G:$G,"CDU",$J:$J,"PLANNED")&gt;0,"tied","standalone"),"")</f>
        <v/>
      </c>
    </row>
    <row r="13469" spans="6:14">
      <c r="F13469" s="6">
        <f>IF($M13469="PADD I","PADD 1",IF($M13469="PADD II","PADD 2",IF($M13469="PADD III","PADD 3",IF($M13469="PADD IV","PADD 4",IF($M13469="PADD V","PADD 5","")))))</f>
        <v/>
      </c>
      <c r="G13469" s="6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  <c r="N13469" s="6">
        <f>IF(OR($G13469="FCC",$G13469="Hydrocracker",$G13469="Reformer"),IF(COUNTIFS($D:$D,$D13469,$A:$A,$A13469,$B:$B,$B13469,$G:$G,"CDU",$J:$J,"PLANNED")&gt;0,"tied","standalone"),"")</f>
        <v/>
      </c>
    </row>
    <row r="13470" spans="6:14">
      <c r="F13470" s="6">
        <f>IF($M13470="PADD I","PADD 1",IF($M13470="PADD II","PADD 2",IF($M13470="PADD III","PADD 3",IF($M13470="PADD IV","PADD 4",IF($M13470="PADD V","PADD 5","")))))</f>
        <v/>
      </c>
      <c r="G13470" s="6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  <c r="N13470" s="6">
        <f>IF(OR($G13470="FCC",$G13470="Hydrocracker",$G13470="Reformer"),IF(COUNTIFS($D:$D,$D13470,$A:$A,$A13470,$B:$B,$B13470,$G:$G,"CDU",$J:$J,"PLANNED")&gt;0,"tied","standalone"),"")</f>
        <v/>
      </c>
    </row>
    <row r="13471" spans="6:14">
      <c r="F13471" s="6">
        <f>IF($M13471="PADD I","PADD 1",IF($M13471="PADD II","PADD 2",IF($M13471="PADD III","PADD 3",IF($M13471="PADD IV","PADD 4",IF($M13471="PADD V","PADD 5","")))))</f>
        <v/>
      </c>
      <c r="G13471" s="6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  <c r="N13471" s="6">
        <f>IF(OR($G13471="FCC",$G13471="Hydrocracker",$G13471="Reformer"),IF(COUNTIFS($D:$D,$D13471,$A:$A,$A13471,$B:$B,$B13471,$G:$G,"CDU",$J:$J,"PLANNED")&gt;0,"tied","standalone"),"")</f>
        <v/>
      </c>
    </row>
    <row r="13472" spans="6:14">
      <c r="F13472" s="6">
        <f>IF($M13472="PADD I","PADD 1",IF($M13472="PADD II","PADD 2",IF($M13472="PADD III","PADD 3",IF($M13472="PADD IV","PADD 4",IF($M13472="PADD V","PADD 5","")))))</f>
        <v/>
      </c>
      <c r="G13472" s="6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  <c r="N13472" s="6">
        <f>IF(OR($G13472="FCC",$G13472="Hydrocracker",$G13472="Reformer"),IF(COUNTIFS($D:$D,$D13472,$A:$A,$A13472,$B:$B,$B13472,$G:$G,"CDU",$J:$J,"PLANNED")&gt;0,"tied","standalone"),"")</f>
        <v/>
      </c>
    </row>
    <row r="13473" spans="6:14">
      <c r="F13473" s="6">
        <f>IF($M13473="PADD I","PADD 1",IF($M13473="PADD II","PADD 2",IF($M13473="PADD III","PADD 3",IF($M13473="PADD IV","PADD 4",IF($M13473="PADD V","PADD 5","")))))</f>
        <v/>
      </c>
      <c r="G13473" s="6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  <c r="N13473" s="6">
        <f>IF(OR($G13473="FCC",$G13473="Hydrocracker",$G13473="Reformer"),IF(COUNTIFS($D:$D,$D13473,$A:$A,$A13473,$B:$B,$B13473,$G:$G,"CDU",$J:$J,"PLANNED")&gt;0,"tied","standalone"),"")</f>
        <v/>
      </c>
    </row>
    <row r="13474" spans="6:14">
      <c r="F13474" s="6">
        <f>IF($M13474="PADD I","PADD 1",IF($M13474="PADD II","PADD 2",IF($M13474="PADD III","PADD 3",IF($M13474="PADD IV","PADD 4",IF($M13474="PADD V","PADD 5","")))))</f>
        <v/>
      </c>
      <c r="G13474" s="6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  <c r="N13474" s="6">
        <f>IF(OR($G13474="FCC",$G13474="Hydrocracker",$G13474="Reformer"),IF(COUNTIFS($D:$D,$D13474,$A:$A,$A13474,$B:$B,$B13474,$G:$G,"CDU",$J:$J,"PLANNED")&gt;0,"tied","standalone"),"")</f>
        <v/>
      </c>
    </row>
    <row r="13475" spans="6:14">
      <c r="F13475" s="6">
        <f>IF($M13475="PADD I","PADD 1",IF($M13475="PADD II","PADD 2",IF($M13475="PADD III","PADD 3",IF($M13475="PADD IV","PADD 4",IF($M13475="PADD V","PADD 5","")))))</f>
        <v/>
      </c>
      <c r="G13475" s="6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  <c r="N13475" s="6">
        <f>IF(OR($G13475="FCC",$G13475="Hydrocracker",$G13475="Reformer"),IF(COUNTIFS($D:$D,$D13475,$A:$A,$A13475,$B:$B,$B13475,$G:$G,"CDU",$J:$J,"PLANNED")&gt;0,"tied","standalone"),"")</f>
        <v/>
      </c>
    </row>
    <row r="13476" spans="6:14">
      <c r="F13476" s="6">
        <f>IF($M13476="PADD I","PADD 1",IF($M13476="PADD II","PADD 2",IF($M13476="PADD III","PADD 3",IF($M13476="PADD IV","PADD 4",IF($M13476="PADD V","PADD 5","")))))</f>
        <v/>
      </c>
      <c r="G13476" s="6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  <c r="N13476" s="6">
        <f>IF(OR($G13476="FCC",$G13476="Hydrocracker",$G13476="Reformer"),IF(COUNTIFS($D:$D,$D13476,$A:$A,$A13476,$B:$B,$B13476,$G:$G,"CDU",$J:$J,"PLANNED")&gt;0,"tied","standalone"),"")</f>
        <v/>
      </c>
    </row>
    <row r="13477" spans="6:14">
      <c r="F13477" s="6">
        <f>IF($M13477="PADD I","PADD 1",IF($M13477="PADD II","PADD 2",IF($M13477="PADD III","PADD 3",IF($M13477="PADD IV","PADD 4",IF($M13477="PADD V","PADD 5","")))))</f>
        <v/>
      </c>
      <c r="G13477" s="6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  <c r="N13477" s="6">
        <f>IF(OR($G13477="FCC",$G13477="Hydrocracker",$G13477="Reformer"),IF(COUNTIFS($D:$D,$D13477,$A:$A,$A13477,$B:$B,$B13477,$G:$G,"CDU",$J:$J,"PLANNED")&gt;0,"tied","standalone"),"")</f>
        <v/>
      </c>
    </row>
    <row r="13478" spans="6:14">
      <c r="F13478" s="6">
        <f>IF($M13478="PADD I","PADD 1",IF($M13478="PADD II","PADD 2",IF($M13478="PADD III","PADD 3",IF($M13478="PADD IV","PADD 4",IF($M13478="PADD V","PADD 5","")))))</f>
        <v/>
      </c>
      <c r="G13478" s="6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  <c r="N13478" s="6">
        <f>IF(OR($G13478="FCC",$G13478="Hydrocracker",$G13478="Reformer"),IF(COUNTIFS($D:$D,$D13478,$A:$A,$A13478,$B:$B,$B13478,$G:$G,"CDU",$J:$J,"PLANNED")&gt;0,"tied","standalone"),"")</f>
        <v/>
      </c>
    </row>
    <row r="13479" spans="6:14">
      <c r="F13479" s="6">
        <f>IF($M13479="PADD I","PADD 1",IF($M13479="PADD II","PADD 2",IF($M13479="PADD III","PADD 3",IF($M13479="PADD IV","PADD 4",IF($M13479="PADD V","PADD 5","")))))</f>
        <v/>
      </c>
      <c r="G13479" s="6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  <c r="N13479" s="6">
        <f>IF(OR($G13479="FCC",$G13479="Hydrocracker",$G13479="Reformer"),IF(COUNTIFS($D:$D,$D13479,$A:$A,$A13479,$B:$B,$B13479,$G:$G,"CDU",$J:$J,"PLANNED")&gt;0,"tied","standalone"),"")</f>
        <v/>
      </c>
    </row>
    <row r="13480" spans="6:14">
      <c r="F13480" s="6">
        <f>IF($M13480="PADD I","PADD 1",IF($M13480="PADD II","PADD 2",IF($M13480="PADD III","PADD 3",IF($M13480="PADD IV","PADD 4",IF($M13480="PADD V","PADD 5","")))))</f>
        <v/>
      </c>
      <c r="G13480" s="6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  <c r="N13480" s="6">
        <f>IF(OR($G13480="FCC",$G13480="Hydrocracker",$G13480="Reformer"),IF(COUNTIFS($D:$D,$D13480,$A:$A,$A13480,$B:$B,$B13480,$G:$G,"CDU",$J:$J,"PLANNED")&gt;0,"tied","standalone"),"")</f>
        <v/>
      </c>
    </row>
    <row r="13481" spans="6:14">
      <c r="F13481" s="6">
        <f>IF($M13481="PADD I","PADD 1",IF($M13481="PADD II","PADD 2",IF($M13481="PADD III","PADD 3",IF($M13481="PADD IV","PADD 4",IF($M13481="PADD V","PADD 5","")))))</f>
        <v/>
      </c>
      <c r="G13481" s="6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  <c r="N13481" s="6">
        <f>IF(OR($G13481="FCC",$G13481="Hydrocracker",$G13481="Reformer"),IF(COUNTIFS($D:$D,$D13481,$A:$A,$A13481,$B:$B,$B13481,$G:$G,"CDU",$J:$J,"PLANNED")&gt;0,"tied","standalone"),"")</f>
        <v/>
      </c>
    </row>
    <row r="13482" spans="6:14">
      <c r="F13482" s="6">
        <f>IF($M13482="PADD I","PADD 1",IF($M13482="PADD II","PADD 2",IF($M13482="PADD III","PADD 3",IF($M13482="PADD IV","PADD 4",IF($M13482="PADD V","PADD 5","")))))</f>
        <v/>
      </c>
      <c r="G13482" s="6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  <c r="N13482" s="6">
        <f>IF(OR($G13482="FCC",$G13482="Hydrocracker",$G13482="Reformer"),IF(COUNTIFS($D:$D,$D13482,$A:$A,$A13482,$B:$B,$B13482,$G:$G,"CDU",$J:$J,"PLANNED")&gt;0,"tied","standalone"),"")</f>
        <v/>
      </c>
    </row>
    <row r="13483" spans="6:14">
      <c r="F13483" s="6">
        <f>IF($M13483="PADD I","PADD 1",IF($M13483="PADD II","PADD 2",IF($M13483="PADD III","PADD 3",IF($M13483="PADD IV","PADD 4",IF($M13483="PADD V","PADD 5","")))))</f>
        <v/>
      </c>
      <c r="G13483" s="6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  <c r="N13483" s="6">
        <f>IF(OR($G13483="FCC",$G13483="Hydrocracker",$G13483="Reformer"),IF(COUNTIFS($D:$D,$D13483,$A:$A,$A13483,$B:$B,$B13483,$G:$G,"CDU",$J:$J,"PLANNED")&gt;0,"tied","standalone"),"")</f>
        <v/>
      </c>
    </row>
    <row r="13484" spans="6:14">
      <c r="F13484" s="6">
        <f>IF($M13484="PADD I","PADD 1",IF($M13484="PADD II","PADD 2",IF($M13484="PADD III","PADD 3",IF($M13484="PADD IV","PADD 4",IF($M13484="PADD V","PADD 5","")))))</f>
        <v/>
      </c>
      <c r="G13484" s="6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  <c r="N13484" s="6">
        <f>IF(OR($G13484="FCC",$G13484="Hydrocracker",$G13484="Reformer"),IF(COUNTIFS($D:$D,$D13484,$A:$A,$A13484,$B:$B,$B13484,$G:$G,"CDU",$J:$J,"PLANNED")&gt;0,"tied","standalone"),"")</f>
        <v/>
      </c>
    </row>
    <row r="13485" spans="6:14">
      <c r="F13485" s="6">
        <f>IF($M13485="PADD I","PADD 1",IF($M13485="PADD II","PADD 2",IF($M13485="PADD III","PADD 3",IF($M13485="PADD IV","PADD 4",IF($M13485="PADD V","PADD 5","")))))</f>
        <v/>
      </c>
      <c r="G13485" s="6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  <c r="N13485" s="6">
        <f>IF(OR($G13485="FCC",$G13485="Hydrocracker",$G13485="Reformer"),IF(COUNTIFS($D:$D,$D13485,$A:$A,$A13485,$B:$B,$B13485,$G:$G,"CDU",$J:$J,"PLANNED")&gt;0,"tied","standalone"),"")</f>
        <v/>
      </c>
    </row>
    <row r="13486" spans="6:14">
      <c r="F13486" s="6">
        <f>IF($M13486="PADD I","PADD 1",IF($M13486="PADD II","PADD 2",IF($M13486="PADD III","PADD 3",IF($M13486="PADD IV","PADD 4",IF($M13486="PADD V","PADD 5","")))))</f>
        <v/>
      </c>
      <c r="G13486" s="6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  <c r="N13486" s="6">
        <f>IF(OR($G13486="FCC",$G13486="Hydrocracker",$G13486="Reformer"),IF(COUNTIFS($D:$D,$D13486,$A:$A,$A13486,$B:$B,$B13486,$G:$G,"CDU",$J:$J,"PLANNED")&gt;0,"tied","standalone"),"")</f>
        <v/>
      </c>
    </row>
    <row r="13487" spans="6:14">
      <c r="F13487" s="6">
        <f>IF($M13487="PADD I","PADD 1",IF($M13487="PADD II","PADD 2",IF($M13487="PADD III","PADD 3",IF($M13487="PADD IV","PADD 4",IF($M13487="PADD V","PADD 5","")))))</f>
        <v/>
      </c>
      <c r="G13487" s="6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  <c r="N13487" s="6">
        <f>IF(OR($G13487="FCC",$G13487="Hydrocracker",$G13487="Reformer"),IF(COUNTIFS($D:$D,$D13487,$A:$A,$A13487,$B:$B,$B13487,$G:$G,"CDU",$J:$J,"PLANNED")&gt;0,"tied","standalone"),"")</f>
        <v/>
      </c>
    </row>
    <row r="13488" spans="6:14">
      <c r="F13488" s="6">
        <f>IF($M13488="PADD I","PADD 1",IF($M13488="PADD II","PADD 2",IF($M13488="PADD III","PADD 3",IF($M13488="PADD IV","PADD 4",IF($M13488="PADD V","PADD 5","")))))</f>
        <v/>
      </c>
      <c r="G13488" s="6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  <c r="N13488" s="6">
        <f>IF(OR($G13488="FCC",$G13488="Hydrocracker",$G13488="Reformer"),IF(COUNTIFS($D:$D,$D13488,$A:$A,$A13488,$B:$B,$B13488,$G:$G,"CDU",$J:$J,"PLANNED")&gt;0,"tied","standalone"),"")</f>
        <v/>
      </c>
    </row>
    <row r="13489" spans="6:14">
      <c r="F13489" s="6">
        <f>IF($M13489="PADD I","PADD 1",IF($M13489="PADD II","PADD 2",IF($M13489="PADD III","PADD 3",IF($M13489="PADD IV","PADD 4",IF($M13489="PADD V","PADD 5","")))))</f>
        <v/>
      </c>
      <c r="G13489" s="6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  <c r="N13489" s="6">
        <f>IF(OR($G13489="FCC",$G13489="Hydrocracker",$G13489="Reformer"),IF(COUNTIFS($D:$D,$D13489,$A:$A,$A13489,$B:$B,$B13489,$G:$G,"CDU",$J:$J,"PLANNED")&gt;0,"tied","standalone"),"")</f>
        <v/>
      </c>
    </row>
    <row r="13490" spans="6:14">
      <c r="F13490" s="6">
        <f>IF($M13490="PADD I","PADD 1",IF($M13490="PADD II","PADD 2",IF($M13490="PADD III","PADD 3",IF($M13490="PADD IV","PADD 4",IF($M13490="PADD V","PADD 5","")))))</f>
        <v/>
      </c>
      <c r="G13490" s="6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  <c r="N13490" s="6">
        <f>IF(OR($G13490="FCC",$G13490="Hydrocracker",$G13490="Reformer"),IF(COUNTIFS($D:$D,$D13490,$A:$A,$A13490,$B:$B,$B13490,$G:$G,"CDU",$J:$J,"PLANNED")&gt;0,"tied","standalone"),"")</f>
        <v/>
      </c>
    </row>
    <row r="13491" spans="6:14">
      <c r="F13491" s="6">
        <f>IF($M13491="PADD I","PADD 1",IF($M13491="PADD II","PADD 2",IF($M13491="PADD III","PADD 3",IF($M13491="PADD IV","PADD 4",IF($M13491="PADD V","PADD 5","")))))</f>
        <v/>
      </c>
      <c r="G13491" s="6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  <c r="N13491" s="6">
        <f>IF(OR($G13491="FCC",$G13491="Hydrocracker",$G13491="Reformer"),IF(COUNTIFS($D:$D,$D13491,$A:$A,$A13491,$B:$B,$B13491,$G:$G,"CDU",$J:$J,"PLANNED")&gt;0,"tied","standalone"),"")</f>
        <v/>
      </c>
    </row>
    <row r="13492" spans="6:14">
      <c r="F13492" s="6">
        <f>IF($M13492="PADD I","PADD 1",IF($M13492="PADD II","PADD 2",IF($M13492="PADD III","PADD 3",IF($M13492="PADD IV","PADD 4",IF($M13492="PADD V","PADD 5","")))))</f>
        <v/>
      </c>
      <c r="G13492" s="6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  <c r="N13492" s="6">
        <f>IF(OR($G13492="FCC",$G13492="Hydrocracker",$G13492="Reformer"),IF(COUNTIFS($D:$D,$D13492,$A:$A,$A13492,$B:$B,$B13492,$G:$G,"CDU",$J:$J,"PLANNED")&gt;0,"tied","standalone"),"")</f>
        <v/>
      </c>
    </row>
    <row r="13493" spans="6:14">
      <c r="F13493" s="6">
        <f>IF($M13493="PADD I","PADD 1",IF($M13493="PADD II","PADD 2",IF($M13493="PADD III","PADD 3",IF($M13493="PADD IV","PADD 4",IF($M13493="PADD V","PADD 5","")))))</f>
        <v/>
      </c>
      <c r="G13493" s="6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  <c r="N13493" s="6">
        <f>IF(OR($G13493="FCC",$G13493="Hydrocracker",$G13493="Reformer"),IF(COUNTIFS($D:$D,$D13493,$A:$A,$A13493,$B:$B,$B13493,$G:$G,"CDU",$J:$J,"PLANNED")&gt;0,"tied","standalone"),"")</f>
        <v/>
      </c>
    </row>
    <row r="13494" spans="6:14">
      <c r="F13494" s="6">
        <f>IF($M13494="PADD I","PADD 1",IF($M13494="PADD II","PADD 2",IF($M13494="PADD III","PADD 3",IF($M13494="PADD IV","PADD 4",IF($M13494="PADD V","PADD 5","")))))</f>
        <v/>
      </c>
      <c r="G13494" s="6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  <c r="N13494" s="6">
        <f>IF(OR($G13494="FCC",$G13494="Hydrocracker",$G13494="Reformer"),IF(COUNTIFS($D:$D,$D13494,$A:$A,$A13494,$B:$B,$B13494,$G:$G,"CDU",$J:$J,"PLANNED")&gt;0,"tied","standalone"),"")</f>
        <v/>
      </c>
    </row>
    <row r="13495" spans="6:14">
      <c r="F13495" s="6">
        <f>IF($M13495="PADD I","PADD 1",IF($M13495="PADD II","PADD 2",IF($M13495="PADD III","PADD 3",IF($M13495="PADD IV","PADD 4",IF($M13495="PADD V","PADD 5","")))))</f>
        <v/>
      </c>
      <c r="G13495" s="6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  <c r="N13495" s="6">
        <f>IF(OR($G13495="FCC",$G13495="Hydrocracker",$G13495="Reformer"),IF(COUNTIFS($D:$D,$D13495,$A:$A,$A13495,$B:$B,$B13495,$G:$G,"CDU",$J:$J,"PLANNED")&gt;0,"tied","standalone"),"")</f>
        <v/>
      </c>
    </row>
    <row r="13496" spans="6:14">
      <c r="F13496" s="6">
        <f>IF($M13496="PADD I","PADD 1",IF($M13496="PADD II","PADD 2",IF($M13496="PADD III","PADD 3",IF($M13496="PADD IV","PADD 4",IF($M13496="PADD V","PADD 5","")))))</f>
        <v/>
      </c>
      <c r="G13496" s="6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  <c r="N13496" s="6">
        <f>IF(OR($G13496="FCC",$G13496="Hydrocracker",$G13496="Reformer"),IF(COUNTIFS($D:$D,$D13496,$A:$A,$A13496,$B:$B,$B13496,$G:$G,"CDU",$J:$J,"PLANNED")&gt;0,"tied","standalone"),"")</f>
        <v/>
      </c>
    </row>
    <row r="13497" spans="6:14">
      <c r="F13497" s="6">
        <f>IF($M13497="PADD I","PADD 1",IF($M13497="PADD II","PADD 2",IF($M13497="PADD III","PADD 3",IF($M13497="PADD IV","PADD 4",IF($M13497="PADD V","PADD 5","")))))</f>
        <v/>
      </c>
      <c r="G13497" s="6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  <c r="N13497" s="6">
        <f>IF(OR($G13497="FCC",$G13497="Hydrocracker",$G13497="Reformer"),IF(COUNTIFS($D:$D,$D13497,$A:$A,$A13497,$B:$B,$B13497,$G:$G,"CDU",$J:$J,"PLANNED")&gt;0,"tied","standalone"),"")</f>
        <v/>
      </c>
    </row>
    <row r="13498" spans="6:14">
      <c r="F13498" s="6">
        <f>IF($M13498="PADD I","PADD 1",IF($M13498="PADD II","PADD 2",IF($M13498="PADD III","PADD 3",IF($M13498="PADD IV","PADD 4",IF($M13498="PADD V","PADD 5","")))))</f>
        <v/>
      </c>
      <c r="G13498" s="6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  <c r="N13498" s="6">
        <f>IF(OR($G13498="FCC",$G13498="Hydrocracker",$G13498="Reformer"),IF(COUNTIFS($D:$D,$D13498,$A:$A,$A13498,$B:$B,$B13498,$G:$G,"CDU",$J:$J,"PLANNED")&gt;0,"tied","standalone"),"")</f>
        <v/>
      </c>
    </row>
    <row r="13499" spans="6:14">
      <c r="F13499" s="6">
        <f>IF($M13499="PADD I","PADD 1",IF($M13499="PADD II","PADD 2",IF($M13499="PADD III","PADD 3",IF($M13499="PADD IV","PADD 4",IF($M13499="PADD V","PADD 5","")))))</f>
        <v/>
      </c>
      <c r="G13499" s="6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  <c r="N13499" s="6">
        <f>IF(OR($G13499="FCC",$G13499="Hydrocracker",$G13499="Reformer"),IF(COUNTIFS($D:$D,$D13499,$A:$A,$A13499,$B:$B,$B13499,$G:$G,"CDU",$J:$J,"PLANNED")&gt;0,"tied","standalone"),"")</f>
        <v/>
      </c>
    </row>
    <row r="13500" spans="6:14">
      <c r="F13500" s="6">
        <f>IF($M13500="PADD I","PADD 1",IF($M13500="PADD II","PADD 2",IF($M13500="PADD III","PADD 3",IF($M13500="PADD IV","PADD 4",IF($M13500="PADD V","PADD 5","")))))</f>
        <v/>
      </c>
      <c r="G13500" s="6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  <c r="N13500" s="6">
        <f>IF(OR($G13500="FCC",$G13500="Hydrocracker",$G13500="Reformer"),IF(COUNTIFS($D:$D,$D13500,$A:$A,$A13500,$B:$B,$B13500,$G:$G,"CDU",$J:$J,"PLANNED")&gt;0,"tied","standalone"),"")</f>
        <v/>
      </c>
    </row>
    <row r="13501" spans="6:14">
      <c r="F13501" s="6">
        <f>IF($M13501="PADD I","PADD 1",IF($M13501="PADD II","PADD 2",IF($M13501="PADD III","PADD 3",IF($M13501="PADD IV","PADD 4",IF($M13501="PADD V","PADD 5","")))))</f>
        <v/>
      </c>
      <c r="G13501" s="6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  <c r="N13501" s="6">
        <f>IF(OR($G13501="FCC",$G13501="Hydrocracker",$G13501="Reformer"),IF(COUNTIFS($D:$D,$D13501,$A:$A,$A13501,$B:$B,$B13501,$G:$G,"CDU",$J:$J,"PLANNED")&gt;0,"tied","standalone"),"")</f>
        <v/>
      </c>
    </row>
    <row r="13502" spans="6:14">
      <c r="F13502" s="6">
        <f>IF($M13502="PADD I","PADD 1",IF($M13502="PADD II","PADD 2",IF($M13502="PADD III","PADD 3",IF($M13502="PADD IV","PADD 4",IF($M13502="PADD V","PADD 5","")))))</f>
        <v/>
      </c>
      <c r="G13502" s="6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  <c r="N13502" s="6">
        <f>IF(OR($G13502="FCC",$G13502="Hydrocracker",$G13502="Reformer"),IF(COUNTIFS($D:$D,$D13502,$A:$A,$A13502,$B:$B,$B13502,$G:$G,"CDU",$J:$J,"PLANNED")&gt;0,"tied","standalone"),"")</f>
        <v/>
      </c>
    </row>
    <row r="13503" spans="6:14">
      <c r="F13503" s="6">
        <f>IF($M13503="PADD I","PADD 1",IF($M13503="PADD II","PADD 2",IF($M13503="PADD III","PADD 3",IF($M13503="PADD IV","PADD 4",IF($M13503="PADD V","PADD 5","")))))</f>
        <v/>
      </c>
      <c r="G13503" s="6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  <c r="N13503" s="6">
        <f>IF(OR($G13503="FCC",$G13503="Hydrocracker",$G13503="Reformer"),IF(COUNTIFS($D:$D,$D13503,$A:$A,$A13503,$B:$B,$B13503,$G:$G,"CDU",$J:$J,"PLANNED")&gt;0,"tied","standalone"),"")</f>
        <v/>
      </c>
    </row>
    <row r="13504" spans="6:14">
      <c r="F13504" s="6">
        <f>IF($M13504="PADD I","PADD 1",IF($M13504="PADD II","PADD 2",IF($M13504="PADD III","PADD 3",IF($M13504="PADD IV","PADD 4",IF($M13504="PADD V","PADD 5","")))))</f>
        <v/>
      </c>
      <c r="G13504" s="6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  <c r="N13504" s="6">
        <f>IF(OR($G13504="FCC",$G13504="Hydrocracker",$G13504="Reformer"),IF(COUNTIFS($D:$D,$D13504,$A:$A,$A13504,$B:$B,$B13504,$G:$G,"CDU",$J:$J,"PLANNED")&gt;0,"tied","standalone"),"")</f>
        <v/>
      </c>
    </row>
    <row r="13505" spans="6:14">
      <c r="F13505" s="6">
        <f>IF($M13505="PADD I","PADD 1",IF($M13505="PADD II","PADD 2",IF($M13505="PADD III","PADD 3",IF($M13505="PADD IV","PADD 4",IF($M13505="PADD V","PADD 5","")))))</f>
        <v/>
      </c>
      <c r="G13505" s="6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  <c r="N13505" s="6">
        <f>IF(OR($G13505="FCC",$G13505="Hydrocracker",$G13505="Reformer"),IF(COUNTIFS($D:$D,$D13505,$A:$A,$A13505,$B:$B,$B13505,$G:$G,"CDU",$J:$J,"PLANNED")&gt;0,"tied","standalone"),"")</f>
        <v/>
      </c>
    </row>
    <row r="13506" spans="6:14">
      <c r="F13506" s="6">
        <f>IF($M13506="PADD I","PADD 1",IF($M13506="PADD II","PADD 2",IF($M13506="PADD III","PADD 3",IF($M13506="PADD IV","PADD 4",IF($M13506="PADD V","PADD 5","")))))</f>
        <v/>
      </c>
      <c r="G13506" s="6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  <c r="N13506" s="6">
        <f>IF(OR($G13506="FCC",$G13506="Hydrocracker",$G13506="Reformer"),IF(COUNTIFS($D:$D,$D13506,$A:$A,$A13506,$B:$B,$B13506,$G:$G,"CDU",$J:$J,"PLANNED")&gt;0,"tied","standalone"),"")</f>
        <v/>
      </c>
    </row>
    <row r="13507" spans="6:14">
      <c r="F13507" s="6">
        <f>IF($M13507="PADD I","PADD 1",IF($M13507="PADD II","PADD 2",IF($M13507="PADD III","PADD 3",IF($M13507="PADD IV","PADD 4",IF($M13507="PADD V","PADD 5","")))))</f>
        <v/>
      </c>
      <c r="G13507" s="6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  <c r="N13507" s="6">
        <f>IF(OR($G13507="FCC",$G13507="Hydrocracker",$G13507="Reformer"),IF(COUNTIFS($D:$D,$D13507,$A:$A,$A13507,$B:$B,$B13507,$G:$G,"CDU",$J:$J,"PLANNED")&gt;0,"tied","standalone"),"")</f>
        <v/>
      </c>
    </row>
    <row r="13508" spans="6:14">
      <c r="F13508" s="6">
        <f>IF($M13508="PADD I","PADD 1",IF($M13508="PADD II","PADD 2",IF($M13508="PADD III","PADD 3",IF($M13508="PADD IV","PADD 4",IF($M13508="PADD V","PADD 5","")))))</f>
        <v/>
      </c>
      <c r="G13508" s="6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  <c r="N13508" s="6">
        <f>IF(OR($G13508="FCC",$G13508="Hydrocracker",$G13508="Reformer"),IF(COUNTIFS($D:$D,$D13508,$A:$A,$A13508,$B:$B,$B13508,$G:$G,"CDU",$J:$J,"PLANNED")&gt;0,"tied","standalone"),"")</f>
        <v/>
      </c>
    </row>
    <row r="13509" spans="6:14">
      <c r="F13509" s="6">
        <f>IF($M13509="PADD I","PADD 1",IF($M13509="PADD II","PADD 2",IF($M13509="PADD III","PADD 3",IF($M13509="PADD IV","PADD 4",IF($M13509="PADD V","PADD 5","")))))</f>
        <v/>
      </c>
      <c r="G13509" s="6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  <c r="N13509" s="6">
        <f>IF(OR($G13509="FCC",$G13509="Hydrocracker",$G13509="Reformer"),IF(COUNTIFS($D:$D,$D13509,$A:$A,$A13509,$B:$B,$B13509,$G:$G,"CDU",$J:$J,"PLANNED")&gt;0,"tied","standalone"),"")</f>
        <v/>
      </c>
    </row>
    <row r="13510" spans="6:14">
      <c r="F13510" s="6">
        <f>IF($M13510="PADD I","PADD 1",IF($M13510="PADD II","PADD 2",IF($M13510="PADD III","PADD 3",IF($M13510="PADD IV","PADD 4",IF($M13510="PADD V","PADD 5","")))))</f>
        <v/>
      </c>
      <c r="G13510" s="6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  <c r="N13510" s="6">
        <f>IF(OR($G13510="FCC",$G13510="Hydrocracker",$G13510="Reformer"),IF(COUNTIFS($D:$D,$D13510,$A:$A,$A13510,$B:$B,$B13510,$G:$G,"CDU",$J:$J,"PLANNED")&gt;0,"tied","standalone"),"")</f>
        <v/>
      </c>
    </row>
    <row r="13511" spans="6:14">
      <c r="F13511" s="6">
        <f>IF($M13511="PADD I","PADD 1",IF($M13511="PADD II","PADD 2",IF($M13511="PADD III","PADD 3",IF($M13511="PADD IV","PADD 4",IF($M13511="PADD V","PADD 5","")))))</f>
        <v/>
      </c>
      <c r="G13511" s="6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  <c r="N13511" s="6">
        <f>IF(OR($G13511="FCC",$G13511="Hydrocracker",$G13511="Reformer"),IF(COUNTIFS($D:$D,$D13511,$A:$A,$A13511,$B:$B,$B13511,$G:$G,"CDU",$J:$J,"PLANNED")&gt;0,"tied","standalone"),"")</f>
        <v/>
      </c>
    </row>
    <row r="13512" spans="6:14">
      <c r="F13512" s="6">
        <f>IF($M13512="PADD I","PADD 1",IF($M13512="PADD II","PADD 2",IF($M13512="PADD III","PADD 3",IF($M13512="PADD IV","PADD 4",IF($M13512="PADD V","PADD 5","")))))</f>
        <v/>
      </c>
      <c r="G13512" s="6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  <c r="N13512" s="6">
        <f>IF(OR($G13512="FCC",$G13512="Hydrocracker",$G13512="Reformer"),IF(COUNTIFS($D:$D,$D13512,$A:$A,$A13512,$B:$B,$B13512,$G:$G,"CDU",$J:$J,"PLANNED")&gt;0,"tied","standalone"),"")</f>
        <v/>
      </c>
    </row>
    <row r="13513" spans="6:14">
      <c r="F13513" s="6">
        <f>IF($M13513="PADD I","PADD 1",IF($M13513="PADD II","PADD 2",IF($M13513="PADD III","PADD 3",IF($M13513="PADD IV","PADD 4",IF($M13513="PADD V","PADD 5","")))))</f>
        <v/>
      </c>
      <c r="G13513" s="6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  <c r="N13513" s="6">
        <f>IF(OR($G13513="FCC",$G13513="Hydrocracker",$G13513="Reformer"),IF(COUNTIFS($D:$D,$D13513,$A:$A,$A13513,$B:$B,$B13513,$G:$G,"CDU",$J:$J,"PLANNED")&gt;0,"tied","standalone"),"")</f>
        <v/>
      </c>
    </row>
    <row r="13514" spans="6:14">
      <c r="F13514" s="6">
        <f>IF($M13514="PADD I","PADD 1",IF($M13514="PADD II","PADD 2",IF($M13514="PADD III","PADD 3",IF($M13514="PADD IV","PADD 4",IF($M13514="PADD V","PADD 5","")))))</f>
        <v/>
      </c>
      <c r="G13514" s="6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  <c r="N13514" s="6">
        <f>IF(OR($G13514="FCC",$G13514="Hydrocracker",$G13514="Reformer"),IF(COUNTIFS($D:$D,$D13514,$A:$A,$A13514,$B:$B,$B13514,$G:$G,"CDU",$J:$J,"PLANNED")&gt;0,"tied","standalone"),"")</f>
        <v/>
      </c>
    </row>
    <row r="13515" spans="6:14">
      <c r="F13515" s="6">
        <f>IF($M13515="PADD I","PADD 1",IF($M13515="PADD II","PADD 2",IF($M13515="PADD III","PADD 3",IF($M13515="PADD IV","PADD 4",IF($M13515="PADD V","PADD 5","")))))</f>
        <v/>
      </c>
      <c r="G13515" s="6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  <c r="N13515" s="6">
        <f>IF(OR($G13515="FCC",$G13515="Hydrocracker",$G13515="Reformer"),IF(COUNTIFS($D:$D,$D13515,$A:$A,$A13515,$B:$B,$B13515,$G:$G,"CDU",$J:$J,"PLANNED")&gt;0,"tied","standalone"),"")</f>
        <v/>
      </c>
    </row>
    <row r="13516" spans="6:14">
      <c r="F13516" s="6">
        <f>IF($M13516="PADD I","PADD 1",IF($M13516="PADD II","PADD 2",IF($M13516="PADD III","PADD 3",IF($M13516="PADD IV","PADD 4",IF($M13516="PADD V","PADD 5","")))))</f>
        <v/>
      </c>
      <c r="G13516" s="6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  <c r="N13516" s="6">
        <f>IF(OR($G13516="FCC",$G13516="Hydrocracker",$G13516="Reformer"),IF(COUNTIFS($D:$D,$D13516,$A:$A,$A13516,$B:$B,$B13516,$G:$G,"CDU",$J:$J,"PLANNED")&gt;0,"tied","standalone"),"")</f>
        <v/>
      </c>
    </row>
    <row r="13517" spans="6:14">
      <c r="F13517" s="6">
        <f>IF($M13517="PADD I","PADD 1",IF($M13517="PADD II","PADD 2",IF($M13517="PADD III","PADD 3",IF($M13517="PADD IV","PADD 4",IF($M13517="PADD V","PADD 5","")))))</f>
        <v/>
      </c>
      <c r="G13517" s="6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  <c r="N13517" s="6">
        <f>IF(OR($G13517="FCC",$G13517="Hydrocracker",$G13517="Reformer"),IF(COUNTIFS($D:$D,$D13517,$A:$A,$A13517,$B:$B,$B13517,$G:$G,"CDU",$J:$J,"PLANNED")&gt;0,"tied","standalone"),"")</f>
        <v/>
      </c>
    </row>
    <row r="13518" spans="6:14">
      <c r="F13518" s="6">
        <f>IF($M13518="PADD I","PADD 1",IF($M13518="PADD II","PADD 2",IF($M13518="PADD III","PADD 3",IF($M13518="PADD IV","PADD 4",IF($M13518="PADD V","PADD 5","")))))</f>
        <v/>
      </c>
      <c r="G13518" s="6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  <c r="N13518" s="6">
        <f>IF(OR($G13518="FCC",$G13518="Hydrocracker",$G13518="Reformer"),IF(COUNTIFS($D:$D,$D13518,$A:$A,$A13518,$B:$B,$B13518,$G:$G,"CDU",$J:$J,"PLANNED")&gt;0,"tied","standalone"),"")</f>
        <v/>
      </c>
    </row>
    <row r="13519" spans="6:14">
      <c r="F13519" s="6">
        <f>IF($M13519="PADD I","PADD 1",IF($M13519="PADD II","PADD 2",IF($M13519="PADD III","PADD 3",IF($M13519="PADD IV","PADD 4",IF($M13519="PADD V","PADD 5","")))))</f>
        <v/>
      </c>
      <c r="G13519" s="6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  <c r="N13519" s="6">
        <f>IF(OR($G13519="FCC",$G13519="Hydrocracker",$G13519="Reformer"),IF(COUNTIFS($D:$D,$D13519,$A:$A,$A13519,$B:$B,$B13519,$G:$G,"CDU",$J:$J,"PLANNED")&gt;0,"tied","standalone"),"")</f>
        <v/>
      </c>
    </row>
    <row r="13520" spans="6:14">
      <c r="F13520" s="6">
        <f>IF($M13520="PADD I","PADD 1",IF($M13520="PADD II","PADD 2",IF($M13520="PADD III","PADD 3",IF($M13520="PADD IV","PADD 4",IF($M13520="PADD V","PADD 5","")))))</f>
        <v/>
      </c>
      <c r="G13520" s="6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  <c r="N13520" s="6">
        <f>IF(OR($G13520="FCC",$G13520="Hydrocracker",$G13520="Reformer"),IF(COUNTIFS($D:$D,$D13520,$A:$A,$A13520,$B:$B,$B13520,$G:$G,"CDU",$J:$J,"PLANNED")&gt;0,"tied","standalone"),"")</f>
        <v/>
      </c>
    </row>
    <row r="13521" spans="6:14">
      <c r="F13521" s="6">
        <f>IF($M13521="PADD I","PADD 1",IF($M13521="PADD II","PADD 2",IF($M13521="PADD III","PADD 3",IF($M13521="PADD IV","PADD 4",IF($M13521="PADD V","PADD 5","")))))</f>
        <v/>
      </c>
      <c r="G13521" s="6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  <c r="N13521" s="6">
        <f>IF(OR($G13521="FCC",$G13521="Hydrocracker",$G13521="Reformer"),IF(COUNTIFS($D:$D,$D13521,$A:$A,$A13521,$B:$B,$B13521,$G:$G,"CDU",$J:$J,"PLANNED")&gt;0,"tied","standalone"),"")</f>
        <v/>
      </c>
    </row>
    <row r="13522" spans="6:14">
      <c r="F13522" s="6">
        <f>IF($M13522="PADD I","PADD 1",IF($M13522="PADD II","PADD 2",IF($M13522="PADD III","PADD 3",IF($M13522="PADD IV","PADD 4",IF($M13522="PADD V","PADD 5","")))))</f>
        <v/>
      </c>
      <c r="G13522" s="6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  <c r="N13522" s="6">
        <f>IF(OR($G13522="FCC",$G13522="Hydrocracker",$G13522="Reformer"),IF(COUNTIFS($D:$D,$D13522,$A:$A,$A13522,$B:$B,$B13522,$G:$G,"CDU",$J:$J,"PLANNED")&gt;0,"tied","standalone"),"")</f>
        <v/>
      </c>
    </row>
    <row r="13523" spans="6:14">
      <c r="F13523" s="6">
        <f>IF($M13523="PADD I","PADD 1",IF($M13523="PADD II","PADD 2",IF($M13523="PADD III","PADD 3",IF($M13523="PADD IV","PADD 4",IF($M13523="PADD V","PADD 5","")))))</f>
        <v/>
      </c>
      <c r="G13523" s="6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  <c r="N13523" s="6">
        <f>IF(OR($G13523="FCC",$G13523="Hydrocracker",$G13523="Reformer"),IF(COUNTIFS($D:$D,$D13523,$A:$A,$A13523,$B:$B,$B13523,$G:$G,"CDU",$J:$J,"PLANNED")&gt;0,"tied","standalone"),"")</f>
        <v/>
      </c>
    </row>
    <row r="13524" spans="6:14">
      <c r="F13524" s="6">
        <f>IF($M13524="PADD I","PADD 1",IF($M13524="PADD II","PADD 2",IF($M13524="PADD III","PADD 3",IF($M13524="PADD IV","PADD 4",IF($M13524="PADD V","PADD 5","")))))</f>
        <v/>
      </c>
      <c r="G13524" s="6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  <c r="N13524" s="6">
        <f>IF(OR($G13524="FCC",$G13524="Hydrocracker",$G13524="Reformer"),IF(COUNTIFS($D:$D,$D13524,$A:$A,$A13524,$B:$B,$B13524,$G:$G,"CDU",$J:$J,"PLANNED")&gt;0,"tied","standalone"),"")</f>
        <v/>
      </c>
    </row>
    <row r="13525" spans="6:14">
      <c r="F13525" s="6">
        <f>IF($M13525="PADD I","PADD 1",IF($M13525="PADD II","PADD 2",IF($M13525="PADD III","PADD 3",IF($M13525="PADD IV","PADD 4",IF($M13525="PADD V","PADD 5","")))))</f>
        <v/>
      </c>
      <c r="G13525" s="6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  <c r="N13525" s="6">
        <f>IF(OR($G13525="FCC",$G13525="Hydrocracker",$G13525="Reformer"),IF(COUNTIFS($D:$D,$D13525,$A:$A,$A13525,$B:$B,$B13525,$G:$G,"CDU",$J:$J,"PLANNED")&gt;0,"tied","standalone"),"")</f>
        <v/>
      </c>
    </row>
    <row r="13526" spans="6:14">
      <c r="F13526" s="6">
        <f>IF($M13526="PADD I","PADD 1",IF($M13526="PADD II","PADD 2",IF($M13526="PADD III","PADD 3",IF($M13526="PADD IV","PADD 4",IF($M13526="PADD V","PADD 5","")))))</f>
        <v/>
      </c>
      <c r="G13526" s="6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  <c r="N13526" s="6">
        <f>IF(OR($G13526="FCC",$G13526="Hydrocracker",$G13526="Reformer"),IF(COUNTIFS($D:$D,$D13526,$A:$A,$A13526,$B:$B,$B13526,$G:$G,"CDU",$J:$J,"PLANNED")&gt;0,"tied","standalone"),"")</f>
        <v/>
      </c>
    </row>
    <row r="13527" spans="6:14">
      <c r="F13527" s="6">
        <f>IF($M13527="PADD I","PADD 1",IF($M13527="PADD II","PADD 2",IF($M13527="PADD III","PADD 3",IF($M13527="PADD IV","PADD 4",IF($M13527="PADD V","PADD 5","")))))</f>
        <v/>
      </c>
      <c r="G13527" s="6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  <c r="N13527" s="6">
        <f>IF(OR($G13527="FCC",$G13527="Hydrocracker",$G13527="Reformer"),IF(COUNTIFS($D:$D,$D13527,$A:$A,$A13527,$B:$B,$B13527,$G:$G,"CDU",$J:$J,"PLANNED")&gt;0,"tied","standalone"),"")</f>
        <v/>
      </c>
    </row>
    <row r="13528" spans="6:14">
      <c r="F13528" s="6">
        <f>IF($M13528="PADD I","PADD 1",IF($M13528="PADD II","PADD 2",IF($M13528="PADD III","PADD 3",IF($M13528="PADD IV","PADD 4",IF($M13528="PADD V","PADD 5","")))))</f>
        <v/>
      </c>
      <c r="G13528" s="6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  <c r="N13528" s="6">
        <f>IF(OR($G13528="FCC",$G13528="Hydrocracker",$G13528="Reformer"),IF(COUNTIFS($D:$D,$D13528,$A:$A,$A13528,$B:$B,$B13528,$G:$G,"CDU",$J:$J,"PLANNED")&gt;0,"tied","standalone"),"")</f>
        <v/>
      </c>
    </row>
    <row r="13529" spans="6:14">
      <c r="F13529" s="6">
        <f>IF($M13529="PADD I","PADD 1",IF($M13529="PADD II","PADD 2",IF($M13529="PADD III","PADD 3",IF($M13529="PADD IV","PADD 4",IF($M13529="PADD V","PADD 5","")))))</f>
        <v/>
      </c>
      <c r="G13529" s="6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  <c r="N13529" s="6">
        <f>IF(OR($G13529="FCC",$G13529="Hydrocracker",$G13529="Reformer"),IF(COUNTIFS($D:$D,$D13529,$A:$A,$A13529,$B:$B,$B13529,$G:$G,"CDU",$J:$J,"PLANNED")&gt;0,"tied","standalone"),"")</f>
        <v/>
      </c>
    </row>
    <row r="13530" spans="6:14">
      <c r="F13530" s="6">
        <f>IF($M13530="PADD I","PADD 1",IF($M13530="PADD II","PADD 2",IF($M13530="PADD III","PADD 3",IF($M13530="PADD IV","PADD 4",IF($M13530="PADD V","PADD 5","")))))</f>
        <v/>
      </c>
      <c r="G13530" s="6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  <c r="N13530" s="6">
        <f>IF(OR($G13530="FCC",$G13530="Hydrocracker",$G13530="Reformer"),IF(COUNTIFS($D:$D,$D13530,$A:$A,$A13530,$B:$B,$B13530,$G:$G,"CDU",$J:$J,"PLANNED")&gt;0,"tied","standalone"),"")</f>
        <v/>
      </c>
    </row>
    <row r="13531" spans="6:14">
      <c r="F13531" s="6">
        <f>IF($M13531="PADD I","PADD 1",IF($M13531="PADD II","PADD 2",IF($M13531="PADD III","PADD 3",IF($M13531="PADD IV","PADD 4",IF($M13531="PADD V","PADD 5","")))))</f>
        <v/>
      </c>
      <c r="G13531" s="6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  <c r="N13531" s="6">
        <f>IF(OR($G13531="FCC",$G13531="Hydrocracker",$G13531="Reformer"),IF(COUNTIFS($D:$D,$D13531,$A:$A,$A13531,$B:$B,$B13531,$G:$G,"CDU",$J:$J,"PLANNED")&gt;0,"tied","standalone"),"")</f>
        <v/>
      </c>
    </row>
    <row r="13532" spans="6:14">
      <c r="F13532" s="6">
        <f>IF($M13532="PADD I","PADD 1",IF($M13532="PADD II","PADD 2",IF($M13532="PADD III","PADD 3",IF($M13532="PADD IV","PADD 4",IF($M13532="PADD V","PADD 5","")))))</f>
        <v/>
      </c>
      <c r="G13532" s="6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  <c r="N13532" s="6">
        <f>IF(OR($G13532="FCC",$G13532="Hydrocracker",$G13532="Reformer"),IF(COUNTIFS($D:$D,$D13532,$A:$A,$A13532,$B:$B,$B13532,$G:$G,"CDU",$J:$J,"PLANNED")&gt;0,"tied","standalone"),"")</f>
        <v/>
      </c>
    </row>
    <row r="13533" spans="6:14">
      <c r="F13533" s="6">
        <f>IF($M13533="PADD I","PADD 1",IF($M13533="PADD II","PADD 2",IF($M13533="PADD III","PADD 3",IF($M13533="PADD IV","PADD 4",IF($M13533="PADD V","PADD 5","")))))</f>
        <v/>
      </c>
      <c r="G13533" s="6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  <c r="N13533" s="6">
        <f>IF(OR($G13533="FCC",$G13533="Hydrocracker",$G13533="Reformer"),IF(COUNTIFS($D:$D,$D13533,$A:$A,$A13533,$B:$B,$B13533,$G:$G,"CDU",$J:$J,"PLANNED")&gt;0,"tied","standalone"),"")</f>
        <v/>
      </c>
    </row>
    <row r="13534" spans="6:14">
      <c r="F13534" s="6">
        <f>IF($M13534="PADD I","PADD 1",IF($M13534="PADD II","PADD 2",IF($M13534="PADD III","PADD 3",IF($M13534="PADD IV","PADD 4",IF($M13534="PADD V","PADD 5","")))))</f>
        <v/>
      </c>
      <c r="G13534" s="6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  <c r="N13534" s="6">
        <f>IF(OR($G13534="FCC",$G13534="Hydrocracker",$G13534="Reformer"),IF(COUNTIFS($D:$D,$D13534,$A:$A,$A13534,$B:$B,$B13534,$G:$G,"CDU",$J:$J,"PLANNED")&gt;0,"tied","standalone"),"")</f>
        <v/>
      </c>
    </row>
    <row r="13535" spans="6:14">
      <c r="F13535" s="6">
        <f>IF($M13535="PADD I","PADD 1",IF($M13535="PADD II","PADD 2",IF($M13535="PADD III","PADD 3",IF($M13535="PADD IV","PADD 4",IF($M13535="PADD V","PADD 5","")))))</f>
        <v/>
      </c>
      <c r="G13535" s="6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  <c r="N13535" s="6">
        <f>IF(OR($G13535="FCC",$G13535="Hydrocracker",$G13535="Reformer"),IF(COUNTIFS($D:$D,$D13535,$A:$A,$A13535,$B:$B,$B13535,$G:$G,"CDU",$J:$J,"PLANNED")&gt;0,"tied","standalone"),"")</f>
        <v/>
      </c>
    </row>
    <row r="13536" spans="6:14">
      <c r="F13536" s="6">
        <f>IF($M13536="PADD I","PADD 1",IF($M13536="PADD II","PADD 2",IF($M13536="PADD III","PADD 3",IF($M13536="PADD IV","PADD 4",IF($M13536="PADD V","PADD 5","")))))</f>
        <v/>
      </c>
      <c r="G13536" s="6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  <c r="N13536" s="6">
        <f>IF(OR($G13536="FCC",$G13536="Hydrocracker",$G13536="Reformer"),IF(COUNTIFS($D:$D,$D13536,$A:$A,$A13536,$B:$B,$B13536,$G:$G,"CDU",$J:$J,"PLANNED")&gt;0,"tied","standalone"),"")</f>
        <v/>
      </c>
    </row>
    <row r="13537" spans="6:14">
      <c r="F13537" s="6">
        <f>IF($M13537="PADD I","PADD 1",IF($M13537="PADD II","PADD 2",IF($M13537="PADD III","PADD 3",IF($M13537="PADD IV","PADD 4",IF($M13537="PADD V","PADD 5","")))))</f>
        <v/>
      </c>
      <c r="G13537" s="6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  <c r="N13537" s="6">
        <f>IF(OR($G13537="FCC",$G13537="Hydrocracker",$G13537="Reformer"),IF(COUNTIFS($D:$D,$D13537,$A:$A,$A13537,$B:$B,$B13537,$G:$G,"CDU",$J:$J,"PLANNED")&gt;0,"tied","standalone"),"")</f>
        <v/>
      </c>
    </row>
    <row r="13538" spans="6:14">
      <c r="F13538" s="6">
        <f>IF($M13538="PADD I","PADD 1",IF($M13538="PADD II","PADD 2",IF($M13538="PADD III","PADD 3",IF($M13538="PADD IV","PADD 4",IF($M13538="PADD V","PADD 5","")))))</f>
        <v/>
      </c>
      <c r="G13538" s="6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  <c r="N13538" s="6">
        <f>IF(OR($G13538="FCC",$G13538="Hydrocracker",$G13538="Reformer"),IF(COUNTIFS($D:$D,$D13538,$A:$A,$A13538,$B:$B,$B13538,$G:$G,"CDU",$J:$J,"PLANNED")&gt;0,"tied","standalone"),"")</f>
        <v/>
      </c>
    </row>
    <row r="13539" spans="6:14">
      <c r="F13539" s="6">
        <f>IF($M13539="PADD I","PADD 1",IF($M13539="PADD II","PADD 2",IF($M13539="PADD III","PADD 3",IF($M13539="PADD IV","PADD 4",IF($M13539="PADD V","PADD 5","")))))</f>
        <v/>
      </c>
      <c r="G13539" s="6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  <c r="N13539" s="6">
        <f>IF(OR($G13539="FCC",$G13539="Hydrocracker",$G13539="Reformer"),IF(COUNTIFS($D:$D,$D13539,$A:$A,$A13539,$B:$B,$B13539,$G:$G,"CDU",$J:$J,"PLANNED")&gt;0,"tied","standalone"),"")</f>
        <v/>
      </c>
    </row>
    <row r="13540" spans="6:14">
      <c r="F13540" s="6">
        <f>IF($M13540="PADD I","PADD 1",IF($M13540="PADD II","PADD 2",IF($M13540="PADD III","PADD 3",IF($M13540="PADD IV","PADD 4",IF($M13540="PADD V","PADD 5","")))))</f>
        <v/>
      </c>
      <c r="G13540" s="6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  <c r="N13540" s="6">
        <f>IF(OR($G13540="FCC",$G13540="Hydrocracker",$G13540="Reformer"),IF(COUNTIFS($D:$D,$D13540,$A:$A,$A13540,$B:$B,$B13540,$G:$G,"CDU",$J:$J,"PLANNED")&gt;0,"tied","standalone"),"")</f>
        <v/>
      </c>
    </row>
    <row r="13541" spans="6:14">
      <c r="F13541" s="6">
        <f>IF($M13541="PADD I","PADD 1",IF($M13541="PADD II","PADD 2",IF($M13541="PADD III","PADD 3",IF($M13541="PADD IV","PADD 4",IF($M13541="PADD V","PADD 5","")))))</f>
        <v/>
      </c>
      <c r="G13541" s="6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  <c r="N13541" s="6">
        <f>IF(OR($G13541="FCC",$G13541="Hydrocracker",$G13541="Reformer"),IF(COUNTIFS($D:$D,$D13541,$A:$A,$A13541,$B:$B,$B13541,$G:$G,"CDU",$J:$J,"PLANNED")&gt;0,"tied","standalone"),"")</f>
        <v/>
      </c>
    </row>
    <row r="13542" spans="6:14">
      <c r="F13542" s="6">
        <f>IF($M13542="PADD I","PADD 1",IF($M13542="PADD II","PADD 2",IF($M13542="PADD III","PADD 3",IF($M13542="PADD IV","PADD 4",IF($M13542="PADD V","PADD 5","")))))</f>
        <v/>
      </c>
      <c r="G13542" s="6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  <c r="N13542" s="6">
        <f>IF(OR($G13542="FCC",$G13542="Hydrocracker",$G13542="Reformer"),IF(COUNTIFS($D:$D,$D13542,$A:$A,$A13542,$B:$B,$B13542,$G:$G,"CDU",$J:$J,"PLANNED")&gt;0,"tied","standalone"),"")</f>
        <v/>
      </c>
    </row>
    <row r="13543" spans="6:14">
      <c r="F13543" s="6">
        <f>IF($M13543="PADD I","PADD 1",IF($M13543="PADD II","PADD 2",IF($M13543="PADD III","PADD 3",IF($M13543="PADD IV","PADD 4",IF($M13543="PADD V","PADD 5","")))))</f>
        <v/>
      </c>
      <c r="G13543" s="6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  <c r="N13543" s="6">
        <f>IF(OR($G13543="FCC",$G13543="Hydrocracker",$G13543="Reformer"),IF(COUNTIFS($D:$D,$D13543,$A:$A,$A13543,$B:$B,$B13543,$G:$G,"CDU",$J:$J,"PLANNED")&gt;0,"tied","standalone"),"")</f>
        <v/>
      </c>
    </row>
    <row r="13544" spans="6:14">
      <c r="F13544" s="6">
        <f>IF($M13544="PADD I","PADD 1",IF($M13544="PADD II","PADD 2",IF($M13544="PADD III","PADD 3",IF($M13544="PADD IV","PADD 4",IF($M13544="PADD V","PADD 5","")))))</f>
        <v/>
      </c>
      <c r="G13544" s="6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  <c r="N13544" s="6">
        <f>IF(OR($G13544="FCC",$G13544="Hydrocracker",$G13544="Reformer"),IF(COUNTIFS($D:$D,$D13544,$A:$A,$A13544,$B:$B,$B13544,$G:$G,"CDU",$J:$J,"PLANNED")&gt;0,"tied","standalone"),"")</f>
        <v/>
      </c>
    </row>
    <row r="13545" spans="6:14">
      <c r="F13545" s="6">
        <f>IF($M13545="PADD I","PADD 1",IF($M13545="PADD II","PADD 2",IF($M13545="PADD III","PADD 3",IF($M13545="PADD IV","PADD 4",IF($M13545="PADD V","PADD 5","")))))</f>
        <v/>
      </c>
      <c r="G13545" s="6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  <c r="N13545" s="6">
        <f>IF(OR($G13545="FCC",$G13545="Hydrocracker",$G13545="Reformer"),IF(COUNTIFS($D:$D,$D13545,$A:$A,$A13545,$B:$B,$B13545,$G:$G,"CDU",$J:$J,"PLANNED")&gt;0,"tied","standalone"),"")</f>
        <v/>
      </c>
    </row>
    <row r="13546" spans="6:14">
      <c r="F13546" s="6">
        <f>IF($M13546="PADD I","PADD 1",IF($M13546="PADD II","PADD 2",IF($M13546="PADD III","PADD 3",IF($M13546="PADD IV","PADD 4",IF($M13546="PADD V","PADD 5","")))))</f>
        <v/>
      </c>
      <c r="G13546" s="6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  <c r="N13546" s="6">
        <f>IF(OR($G13546="FCC",$G13546="Hydrocracker",$G13546="Reformer"),IF(COUNTIFS($D:$D,$D13546,$A:$A,$A13546,$B:$B,$B13546,$G:$G,"CDU",$J:$J,"PLANNED")&gt;0,"tied","standalone"),"")</f>
        <v/>
      </c>
    </row>
    <row r="13547" spans="6:14">
      <c r="F13547" s="6">
        <f>IF($M13547="PADD I","PADD 1",IF($M13547="PADD II","PADD 2",IF($M13547="PADD III","PADD 3",IF($M13547="PADD IV","PADD 4",IF($M13547="PADD V","PADD 5","")))))</f>
        <v/>
      </c>
      <c r="G13547" s="6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  <c r="N13547" s="6">
        <f>IF(OR($G13547="FCC",$G13547="Hydrocracker",$G13547="Reformer"),IF(COUNTIFS($D:$D,$D13547,$A:$A,$A13547,$B:$B,$B13547,$G:$G,"CDU",$J:$J,"PLANNED")&gt;0,"tied","standalone"),"")</f>
        <v/>
      </c>
    </row>
    <row r="13548" spans="6:14">
      <c r="F13548" s="6">
        <f>IF($M13548="PADD I","PADD 1",IF($M13548="PADD II","PADD 2",IF($M13548="PADD III","PADD 3",IF($M13548="PADD IV","PADD 4",IF($M13548="PADD V","PADD 5","")))))</f>
        <v/>
      </c>
      <c r="G13548" s="6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  <c r="N13548" s="6">
        <f>IF(OR($G13548="FCC",$G13548="Hydrocracker",$G13548="Reformer"),IF(COUNTIFS($D:$D,$D13548,$A:$A,$A13548,$B:$B,$B13548,$G:$G,"CDU",$J:$J,"PLANNED")&gt;0,"tied","standalone"),"")</f>
        <v/>
      </c>
    </row>
    <row r="13549" spans="6:14">
      <c r="F13549" s="6">
        <f>IF($M13549="PADD I","PADD 1",IF($M13549="PADD II","PADD 2",IF($M13549="PADD III","PADD 3",IF($M13549="PADD IV","PADD 4",IF($M13549="PADD V","PADD 5","")))))</f>
        <v/>
      </c>
      <c r="G13549" s="6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  <c r="N13549" s="6">
        <f>IF(OR($G13549="FCC",$G13549="Hydrocracker",$G13549="Reformer"),IF(COUNTIFS($D:$D,$D13549,$A:$A,$A13549,$B:$B,$B13549,$G:$G,"CDU",$J:$J,"PLANNED")&gt;0,"tied","standalone"),"")</f>
        <v/>
      </c>
    </row>
    <row r="13550" spans="6:14">
      <c r="F13550" s="6">
        <f>IF($M13550="PADD I","PADD 1",IF($M13550="PADD II","PADD 2",IF($M13550="PADD III","PADD 3",IF($M13550="PADD IV","PADD 4",IF($M13550="PADD V","PADD 5","")))))</f>
        <v/>
      </c>
      <c r="G13550" s="6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  <c r="N13550" s="6">
        <f>IF(OR($G13550="FCC",$G13550="Hydrocracker",$G13550="Reformer"),IF(COUNTIFS($D:$D,$D13550,$A:$A,$A13550,$B:$B,$B13550,$G:$G,"CDU",$J:$J,"PLANNED")&gt;0,"tied","standalone"),"")</f>
        <v/>
      </c>
    </row>
    <row r="13551" spans="6:14">
      <c r="F13551" s="6">
        <f>IF($M13551="PADD I","PADD 1",IF($M13551="PADD II","PADD 2",IF($M13551="PADD III","PADD 3",IF($M13551="PADD IV","PADD 4",IF($M13551="PADD V","PADD 5","")))))</f>
        <v/>
      </c>
      <c r="G13551" s="6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  <c r="N13551" s="6">
        <f>IF(OR($G13551="FCC",$G13551="Hydrocracker",$G13551="Reformer"),IF(COUNTIFS($D:$D,$D13551,$A:$A,$A13551,$B:$B,$B13551,$G:$G,"CDU",$J:$J,"PLANNED")&gt;0,"tied","standalone"),"")</f>
        <v/>
      </c>
    </row>
    <row r="13552" spans="6:14">
      <c r="F13552" s="6">
        <f>IF($M13552="PADD I","PADD 1",IF($M13552="PADD II","PADD 2",IF($M13552="PADD III","PADD 3",IF($M13552="PADD IV","PADD 4",IF($M13552="PADD V","PADD 5","")))))</f>
        <v/>
      </c>
      <c r="G13552" s="6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  <c r="N13552" s="6">
        <f>IF(OR($G13552="FCC",$G13552="Hydrocracker",$G13552="Reformer"),IF(COUNTIFS($D:$D,$D13552,$A:$A,$A13552,$B:$B,$B13552,$G:$G,"CDU",$J:$J,"PLANNED")&gt;0,"tied","standalone"),"")</f>
        <v/>
      </c>
    </row>
    <row r="13553" spans="6:14">
      <c r="F13553" s="6">
        <f>IF($M13553="PADD I","PADD 1",IF($M13553="PADD II","PADD 2",IF($M13553="PADD III","PADD 3",IF($M13553="PADD IV","PADD 4",IF($M13553="PADD V","PADD 5","")))))</f>
        <v/>
      </c>
      <c r="G13553" s="6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  <c r="N13553" s="6">
        <f>IF(OR($G13553="FCC",$G13553="Hydrocracker",$G13553="Reformer"),IF(COUNTIFS($D:$D,$D13553,$A:$A,$A13553,$B:$B,$B13553,$G:$G,"CDU",$J:$J,"PLANNED")&gt;0,"tied","standalone"),"")</f>
        <v/>
      </c>
    </row>
    <row r="13554" spans="6:14">
      <c r="F13554" s="6">
        <f>IF($M13554="PADD I","PADD 1",IF($M13554="PADD II","PADD 2",IF($M13554="PADD III","PADD 3",IF($M13554="PADD IV","PADD 4",IF($M13554="PADD V","PADD 5","")))))</f>
        <v/>
      </c>
      <c r="G13554" s="6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  <c r="N13554" s="6">
        <f>IF(OR($G13554="FCC",$G13554="Hydrocracker",$G13554="Reformer"),IF(COUNTIFS($D:$D,$D13554,$A:$A,$A13554,$B:$B,$B13554,$G:$G,"CDU",$J:$J,"PLANNED")&gt;0,"tied","standalone"),"")</f>
        <v/>
      </c>
    </row>
    <row r="13555" spans="6:14">
      <c r="F13555" s="6">
        <f>IF($M13555="PADD I","PADD 1",IF($M13555="PADD II","PADD 2",IF($M13555="PADD III","PADD 3",IF($M13555="PADD IV","PADD 4",IF($M13555="PADD V","PADD 5","")))))</f>
        <v/>
      </c>
      <c r="G13555" s="6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  <c r="N13555" s="6">
        <f>IF(OR($G13555="FCC",$G13555="Hydrocracker",$G13555="Reformer"),IF(COUNTIFS($D:$D,$D13555,$A:$A,$A13555,$B:$B,$B13555,$G:$G,"CDU",$J:$J,"PLANNED")&gt;0,"tied","standalone"),"")</f>
        <v/>
      </c>
    </row>
    <row r="13556" spans="6:14">
      <c r="F13556" s="6">
        <f>IF($M13556="PADD I","PADD 1",IF($M13556="PADD II","PADD 2",IF($M13556="PADD III","PADD 3",IF($M13556="PADD IV","PADD 4",IF($M13556="PADD V","PADD 5","")))))</f>
        <v/>
      </c>
      <c r="G13556" s="6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  <c r="N13556" s="6">
        <f>IF(OR($G13556="FCC",$G13556="Hydrocracker",$G13556="Reformer"),IF(COUNTIFS($D:$D,$D13556,$A:$A,$A13556,$B:$B,$B13556,$G:$G,"CDU",$J:$J,"PLANNED")&gt;0,"tied","standalone"),"")</f>
        <v/>
      </c>
    </row>
    <row r="13557" spans="6:14">
      <c r="F13557" s="6">
        <f>IF($M13557="PADD I","PADD 1",IF($M13557="PADD II","PADD 2",IF($M13557="PADD III","PADD 3",IF($M13557="PADD IV","PADD 4",IF($M13557="PADD V","PADD 5","")))))</f>
        <v/>
      </c>
      <c r="G13557" s="6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  <c r="N13557" s="6">
        <f>IF(OR($G13557="FCC",$G13557="Hydrocracker",$G13557="Reformer"),IF(COUNTIFS($D:$D,$D13557,$A:$A,$A13557,$B:$B,$B13557,$G:$G,"CDU",$J:$J,"PLANNED")&gt;0,"tied","standalone"),"")</f>
        <v/>
      </c>
    </row>
    <row r="13558" spans="6:14">
      <c r="F13558" s="6">
        <f>IF($M13558="PADD I","PADD 1",IF($M13558="PADD II","PADD 2",IF($M13558="PADD III","PADD 3",IF($M13558="PADD IV","PADD 4",IF($M13558="PADD V","PADD 5","")))))</f>
        <v/>
      </c>
      <c r="G13558" s="6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  <c r="N13558" s="6">
        <f>IF(OR($G13558="FCC",$G13558="Hydrocracker",$G13558="Reformer"),IF(COUNTIFS($D:$D,$D13558,$A:$A,$A13558,$B:$B,$B13558,$G:$G,"CDU",$J:$J,"PLANNED")&gt;0,"tied","standalone"),"")</f>
        <v/>
      </c>
    </row>
    <row r="13559" spans="6:14">
      <c r="F13559" s="6">
        <f>IF($M13559="PADD I","PADD 1",IF($M13559="PADD II","PADD 2",IF($M13559="PADD III","PADD 3",IF($M13559="PADD IV","PADD 4",IF($M13559="PADD V","PADD 5","")))))</f>
        <v/>
      </c>
      <c r="G13559" s="6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  <c r="N13559" s="6">
        <f>IF(OR($G13559="FCC",$G13559="Hydrocracker",$G13559="Reformer"),IF(COUNTIFS($D:$D,$D13559,$A:$A,$A13559,$B:$B,$B13559,$G:$G,"CDU",$J:$J,"PLANNED")&gt;0,"tied","standalone"),"")</f>
        <v/>
      </c>
    </row>
    <row r="13560" spans="6:14">
      <c r="F13560" s="6">
        <f>IF($M13560="PADD I","PADD 1",IF($M13560="PADD II","PADD 2",IF($M13560="PADD III","PADD 3",IF($M13560="PADD IV","PADD 4",IF($M13560="PADD V","PADD 5","")))))</f>
        <v/>
      </c>
      <c r="G13560" s="6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  <c r="N13560" s="6">
        <f>IF(OR($G13560="FCC",$G13560="Hydrocracker",$G13560="Reformer"),IF(COUNTIFS($D:$D,$D13560,$A:$A,$A13560,$B:$B,$B13560,$G:$G,"CDU",$J:$J,"PLANNED")&gt;0,"tied","standalone"),"")</f>
        <v/>
      </c>
    </row>
    <row r="13561" spans="6:14">
      <c r="F13561" s="6">
        <f>IF($M13561="PADD I","PADD 1",IF($M13561="PADD II","PADD 2",IF($M13561="PADD III","PADD 3",IF($M13561="PADD IV","PADD 4",IF($M13561="PADD V","PADD 5","")))))</f>
        <v/>
      </c>
      <c r="G13561" s="6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  <c r="N13561" s="6">
        <f>IF(OR($G13561="FCC",$G13561="Hydrocracker",$G13561="Reformer"),IF(COUNTIFS($D:$D,$D13561,$A:$A,$A13561,$B:$B,$B13561,$G:$G,"CDU",$J:$J,"PLANNED")&gt;0,"tied","standalone"),"")</f>
        <v/>
      </c>
    </row>
    <row r="13562" spans="6:14">
      <c r="F13562" s="6">
        <f>IF($M13562="PADD I","PADD 1",IF($M13562="PADD II","PADD 2",IF($M13562="PADD III","PADD 3",IF($M13562="PADD IV","PADD 4",IF($M13562="PADD V","PADD 5","")))))</f>
        <v/>
      </c>
      <c r="G13562" s="6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  <c r="N13562" s="6">
        <f>IF(OR($G13562="FCC",$G13562="Hydrocracker",$G13562="Reformer"),IF(COUNTIFS($D:$D,$D13562,$A:$A,$A13562,$B:$B,$B13562,$G:$G,"CDU",$J:$J,"PLANNED")&gt;0,"tied","standalone"),"")</f>
        <v/>
      </c>
    </row>
    <row r="13563" spans="6:14">
      <c r="F13563" s="6">
        <f>IF($M13563="PADD I","PADD 1",IF($M13563="PADD II","PADD 2",IF($M13563="PADD III","PADD 3",IF($M13563="PADD IV","PADD 4",IF($M13563="PADD V","PADD 5","")))))</f>
        <v/>
      </c>
      <c r="G13563" s="6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  <c r="N13563" s="6">
        <f>IF(OR($G13563="FCC",$G13563="Hydrocracker",$G13563="Reformer"),IF(COUNTIFS($D:$D,$D13563,$A:$A,$A13563,$B:$B,$B13563,$G:$G,"CDU",$J:$J,"PLANNED")&gt;0,"tied","standalone"),"")</f>
        <v/>
      </c>
    </row>
    <row r="13564" spans="6:14">
      <c r="F13564" s="6">
        <f>IF($M13564="PADD I","PADD 1",IF($M13564="PADD II","PADD 2",IF($M13564="PADD III","PADD 3",IF($M13564="PADD IV","PADD 4",IF($M13564="PADD V","PADD 5","")))))</f>
        <v/>
      </c>
      <c r="G13564" s="6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  <c r="N13564" s="6">
        <f>IF(OR($G13564="FCC",$G13564="Hydrocracker",$G13564="Reformer"),IF(COUNTIFS($D:$D,$D13564,$A:$A,$A13564,$B:$B,$B13564,$G:$G,"CDU",$J:$J,"PLANNED")&gt;0,"tied","standalone"),"")</f>
        <v/>
      </c>
    </row>
    <row r="13565" spans="6:14">
      <c r="F13565" s="6">
        <f>IF($M13565="PADD I","PADD 1",IF($M13565="PADD II","PADD 2",IF($M13565="PADD III","PADD 3",IF($M13565="PADD IV","PADD 4",IF($M13565="PADD V","PADD 5","")))))</f>
        <v/>
      </c>
      <c r="G13565" s="6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  <c r="N13565" s="6">
        <f>IF(OR($G13565="FCC",$G13565="Hydrocracker",$G13565="Reformer"),IF(COUNTIFS($D:$D,$D13565,$A:$A,$A13565,$B:$B,$B13565,$G:$G,"CDU",$J:$J,"PLANNED")&gt;0,"tied","standalone"),"")</f>
        <v/>
      </c>
    </row>
    <row r="13566" spans="6:14">
      <c r="F13566" s="6">
        <f>IF($M13566="PADD I","PADD 1",IF($M13566="PADD II","PADD 2",IF($M13566="PADD III","PADD 3",IF($M13566="PADD IV","PADD 4",IF($M13566="PADD V","PADD 5","")))))</f>
        <v/>
      </c>
      <c r="G13566" s="6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  <c r="N13566" s="6">
        <f>IF(OR($G13566="FCC",$G13566="Hydrocracker",$G13566="Reformer"),IF(COUNTIFS($D:$D,$D13566,$A:$A,$A13566,$B:$B,$B13566,$G:$G,"CDU",$J:$J,"PLANNED")&gt;0,"tied","standalone"),"")</f>
        <v/>
      </c>
    </row>
    <row r="13567" spans="6:14">
      <c r="F13567" s="6">
        <f>IF($M13567="PADD I","PADD 1",IF($M13567="PADD II","PADD 2",IF($M13567="PADD III","PADD 3",IF($M13567="PADD IV","PADD 4",IF($M13567="PADD V","PADD 5","")))))</f>
        <v/>
      </c>
      <c r="G13567" s="6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  <c r="N13567" s="6">
        <f>IF(OR($G13567="FCC",$G13567="Hydrocracker",$G13567="Reformer"),IF(COUNTIFS($D:$D,$D13567,$A:$A,$A13567,$B:$B,$B13567,$G:$G,"CDU",$J:$J,"PLANNED")&gt;0,"tied","standalone"),"")</f>
        <v/>
      </c>
    </row>
    <row r="13568" spans="6:14">
      <c r="F13568" s="6">
        <f>IF($M13568="PADD I","PADD 1",IF($M13568="PADD II","PADD 2",IF($M13568="PADD III","PADD 3",IF($M13568="PADD IV","PADD 4",IF($M13568="PADD V","PADD 5","")))))</f>
        <v/>
      </c>
      <c r="G13568" s="6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  <c r="N13568" s="6">
        <f>IF(OR($G13568="FCC",$G13568="Hydrocracker",$G13568="Reformer"),IF(COUNTIFS($D:$D,$D13568,$A:$A,$A13568,$B:$B,$B13568,$G:$G,"CDU",$J:$J,"PLANNED")&gt;0,"tied","standalone"),"")</f>
        <v/>
      </c>
    </row>
    <row r="13569" spans="6:14">
      <c r="F13569" s="6">
        <f>IF($M13569="PADD I","PADD 1",IF($M13569="PADD II","PADD 2",IF($M13569="PADD III","PADD 3",IF($M13569="PADD IV","PADD 4",IF($M13569="PADD V","PADD 5","")))))</f>
        <v/>
      </c>
      <c r="G13569" s="6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  <c r="N13569" s="6">
        <f>IF(OR($G13569="FCC",$G13569="Hydrocracker",$G13569="Reformer"),IF(COUNTIFS($D:$D,$D13569,$A:$A,$A13569,$B:$B,$B13569,$G:$G,"CDU",$J:$J,"PLANNED")&gt;0,"tied","standalone"),"")</f>
        <v/>
      </c>
    </row>
    <row r="13570" spans="6:14">
      <c r="F13570" s="6">
        <f>IF($M13570="PADD I","PADD 1",IF($M13570="PADD II","PADD 2",IF($M13570="PADD III","PADD 3",IF($M13570="PADD IV","PADD 4",IF($M13570="PADD V","PADD 5","")))))</f>
        <v/>
      </c>
      <c r="G13570" s="6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  <c r="N13570" s="6">
        <f>IF(OR($G13570="FCC",$G13570="Hydrocracker",$G13570="Reformer"),IF(COUNTIFS($D:$D,$D13570,$A:$A,$A13570,$B:$B,$B13570,$G:$G,"CDU",$J:$J,"PLANNED")&gt;0,"tied","standalone"),"")</f>
        <v/>
      </c>
    </row>
    <row r="13571" spans="6:14">
      <c r="F13571" s="6">
        <f>IF($M13571="PADD I","PADD 1",IF($M13571="PADD II","PADD 2",IF($M13571="PADD III","PADD 3",IF($M13571="PADD IV","PADD 4",IF($M13571="PADD V","PADD 5","")))))</f>
        <v/>
      </c>
      <c r="G13571" s="6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  <c r="N13571" s="6">
        <f>IF(OR($G13571="FCC",$G13571="Hydrocracker",$G13571="Reformer"),IF(COUNTIFS($D:$D,$D13571,$A:$A,$A13571,$B:$B,$B13571,$G:$G,"CDU",$J:$J,"PLANNED")&gt;0,"tied","standalone"),"")</f>
        <v/>
      </c>
    </row>
    <row r="13572" spans="6:14">
      <c r="F13572" s="6">
        <f>IF($M13572="PADD I","PADD 1",IF($M13572="PADD II","PADD 2",IF($M13572="PADD III","PADD 3",IF($M13572="PADD IV","PADD 4",IF($M13572="PADD V","PADD 5","")))))</f>
        <v/>
      </c>
      <c r="G13572" s="6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  <c r="N13572" s="6">
        <f>IF(OR($G13572="FCC",$G13572="Hydrocracker",$G13572="Reformer"),IF(COUNTIFS($D:$D,$D13572,$A:$A,$A13572,$B:$B,$B13572,$G:$G,"CDU",$J:$J,"PLANNED")&gt;0,"tied","standalone"),"")</f>
        <v/>
      </c>
    </row>
    <row r="13573" spans="6:14">
      <c r="F13573" s="6">
        <f>IF($M13573="PADD I","PADD 1",IF($M13573="PADD II","PADD 2",IF($M13573="PADD III","PADD 3",IF($M13573="PADD IV","PADD 4",IF($M13573="PADD V","PADD 5","")))))</f>
        <v/>
      </c>
      <c r="G13573" s="6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  <c r="N13573" s="6">
        <f>IF(OR($G13573="FCC",$G13573="Hydrocracker",$G13573="Reformer"),IF(COUNTIFS($D:$D,$D13573,$A:$A,$A13573,$B:$B,$B13573,$G:$G,"CDU",$J:$J,"PLANNED")&gt;0,"tied","standalone"),"")</f>
        <v/>
      </c>
    </row>
    <row r="13574" spans="6:14">
      <c r="F13574" s="6">
        <f>IF($M13574="PADD I","PADD 1",IF($M13574="PADD II","PADD 2",IF($M13574="PADD III","PADD 3",IF($M13574="PADD IV","PADD 4",IF($M13574="PADD V","PADD 5","")))))</f>
        <v/>
      </c>
      <c r="G13574" s="6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  <c r="N13574" s="6">
        <f>IF(OR($G13574="FCC",$G13574="Hydrocracker",$G13574="Reformer"),IF(COUNTIFS($D:$D,$D13574,$A:$A,$A13574,$B:$B,$B13574,$G:$G,"CDU",$J:$J,"PLANNED")&gt;0,"tied","standalone"),"")</f>
        <v/>
      </c>
    </row>
    <row r="13575" spans="6:14">
      <c r="F13575" s="6">
        <f>IF($M13575="PADD I","PADD 1",IF($M13575="PADD II","PADD 2",IF($M13575="PADD III","PADD 3",IF($M13575="PADD IV","PADD 4",IF($M13575="PADD V","PADD 5","")))))</f>
        <v/>
      </c>
      <c r="G13575" s="6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  <c r="N13575" s="6">
        <f>IF(OR($G13575="FCC",$G13575="Hydrocracker",$G13575="Reformer"),IF(COUNTIFS($D:$D,$D13575,$A:$A,$A13575,$B:$B,$B13575,$G:$G,"CDU",$J:$J,"PLANNED")&gt;0,"tied","standalone"),"")</f>
        <v/>
      </c>
    </row>
    <row r="13576" spans="6:14">
      <c r="F13576" s="6">
        <f>IF($M13576="PADD I","PADD 1",IF($M13576="PADD II","PADD 2",IF($M13576="PADD III","PADD 3",IF($M13576="PADD IV","PADD 4",IF($M13576="PADD V","PADD 5","")))))</f>
        <v/>
      </c>
      <c r="G13576" s="6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  <c r="N13576" s="6">
        <f>IF(OR($G13576="FCC",$G13576="Hydrocracker",$G13576="Reformer"),IF(COUNTIFS($D:$D,$D13576,$A:$A,$A13576,$B:$B,$B13576,$G:$G,"CDU",$J:$J,"PLANNED")&gt;0,"tied","standalone"),"")</f>
        <v/>
      </c>
    </row>
    <row r="13577" spans="6:14">
      <c r="F13577" s="6">
        <f>IF($M13577="PADD I","PADD 1",IF($M13577="PADD II","PADD 2",IF($M13577="PADD III","PADD 3",IF($M13577="PADD IV","PADD 4",IF($M13577="PADD V","PADD 5","")))))</f>
        <v/>
      </c>
      <c r="G13577" s="6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  <c r="N13577" s="6">
        <f>IF(OR($G13577="FCC",$G13577="Hydrocracker",$G13577="Reformer"),IF(COUNTIFS($D:$D,$D13577,$A:$A,$A13577,$B:$B,$B13577,$G:$G,"CDU",$J:$J,"PLANNED")&gt;0,"tied","standalone"),"")</f>
        <v/>
      </c>
    </row>
    <row r="13578" spans="6:14">
      <c r="F13578" s="6">
        <f>IF($M13578="PADD I","PADD 1",IF($M13578="PADD II","PADD 2",IF($M13578="PADD III","PADD 3",IF($M13578="PADD IV","PADD 4",IF($M13578="PADD V","PADD 5","")))))</f>
        <v/>
      </c>
      <c r="G13578" s="6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  <c r="N13578" s="6">
        <f>IF(OR($G13578="FCC",$G13578="Hydrocracker",$G13578="Reformer"),IF(COUNTIFS($D:$D,$D13578,$A:$A,$A13578,$B:$B,$B13578,$G:$G,"CDU",$J:$J,"PLANNED")&gt;0,"tied","standalone"),"")</f>
        <v/>
      </c>
    </row>
    <row r="13579" spans="6:14">
      <c r="F13579" s="6">
        <f>IF($M13579="PADD I","PADD 1",IF($M13579="PADD II","PADD 2",IF($M13579="PADD III","PADD 3",IF($M13579="PADD IV","PADD 4",IF($M13579="PADD V","PADD 5","")))))</f>
        <v/>
      </c>
      <c r="G13579" s="6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  <c r="N13579" s="6">
        <f>IF(OR($G13579="FCC",$G13579="Hydrocracker",$G13579="Reformer"),IF(COUNTIFS($D:$D,$D13579,$A:$A,$A13579,$B:$B,$B13579,$G:$G,"CDU",$J:$J,"PLANNED")&gt;0,"tied","standalone"),"")</f>
        <v/>
      </c>
    </row>
    <row r="13580" spans="6:14">
      <c r="F13580" s="6">
        <f>IF($M13580="PADD I","PADD 1",IF($M13580="PADD II","PADD 2",IF($M13580="PADD III","PADD 3",IF($M13580="PADD IV","PADD 4",IF($M13580="PADD V","PADD 5","")))))</f>
        <v/>
      </c>
      <c r="G13580" s="6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  <c r="N13580" s="6">
        <f>IF(OR($G13580="FCC",$G13580="Hydrocracker",$G13580="Reformer"),IF(COUNTIFS($D:$D,$D13580,$A:$A,$A13580,$B:$B,$B13580,$G:$G,"CDU",$J:$J,"PLANNED")&gt;0,"tied","standalone"),"")</f>
        <v/>
      </c>
    </row>
    <row r="13581" spans="6:14">
      <c r="F13581" s="6">
        <f>IF($M13581="PADD I","PADD 1",IF($M13581="PADD II","PADD 2",IF($M13581="PADD III","PADD 3",IF($M13581="PADD IV","PADD 4",IF($M13581="PADD V","PADD 5","")))))</f>
        <v/>
      </c>
      <c r="G13581" s="6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  <c r="N13581" s="6">
        <f>IF(OR($G13581="FCC",$G13581="Hydrocracker",$G13581="Reformer"),IF(COUNTIFS($D:$D,$D13581,$A:$A,$A13581,$B:$B,$B13581,$G:$G,"CDU",$J:$J,"PLANNED")&gt;0,"tied","standalone"),"")</f>
        <v/>
      </c>
    </row>
    <row r="13582" spans="6:14">
      <c r="F13582" s="6">
        <f>IF($M13582="PADD I","PADD 1",IF($M13582="PADD II","PADD 2",IF($M13582="PADD III","PADD 3",IF($M13582="PADD IV","PADD 4",IF($M13582="PADD V","PADD 5","")))))</f>
        <v/>
      </c>
      <c r="G13582" s="6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  <c r="N13582" s="6">
        <f>IF(OR($G13582="FCC",$G13582="Hydrocracker",$G13582="Reformer"),IF(COUNTIFS($D:$D,$D13582,$A:$A,$A13582,$B:$B,$B13582,$G:$G,"CDU",$J:$J,"PLANNED")&gt;0,"tied","standalone"),"")</f>
        <v/>
      </c>
    </row>
    <row r="13583" spans="6:14">
      <c r="F13583" s="6">
        <f>IF($M13583="PADD I","PADD 1",IF($M13583="PADD II","PADD 2",IF($M13583="PADD III","PADD 3",IF($M13583="PADD IV","PADD 4",IF($M13583="PADD V","PADD 5","")))))</f>
        <v/>
      </c>
      <c r="G13583" s="6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  <c r="N13583" s="6">
        <f>IF(OR($G13583="FCC",$G13583="Hydrocracker",$G13583="Reformer"),IF(COUNTIFS($D:$D,$D13583,$A:$A,$A13583,$B:$B,$B13583,$G:$G,"CDU",$J:$J,"PLANNED")&gt;0,"tied","standalone"),"")</f>
        <v/>
      </c>
    </row>
    <row r="13584" spans="6:14">
      <c r="F13584" s="6">
        <f>IF($M13584="PADD I","PADD 1",IF($M13584="PADD II","PADD 2",IF($M13584="PADD III","PADD 3",IF($M13584="PADD IV","PADD 4",IF($M13584="PADD V","PADD 5","")))))</f>
        <v/>
      </c>
      <c r="G13584" s="6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  <c r="N13584" s="6">
        <f>IF(OR($G13584="FCC",$G13584="Hydrocracker",$G13584="Reformer"),IF(COUNTIFS($D:$D,$D13584,$A:$A,$A13584,$B:$B,$B13584,$G:$G,"CDU",$J:$J,"PLANNED")&gt;0,"tied","standalone"),"")</f>
        <v/>
      </c>
    </row>
    <row r="13585" spans="6:14">
      <c r="F13585" s="6">
        <f>IF($M13585="PADD I","PADD 1",IF($M13585="PADD II","PADD 2",IF($M13585="PADD III","PADD 3",IF($M13585="PADD IV","PADD 4",IF($M13585="PADD V","PADD 5","")))))</f>
        <v/>
      </c>
      <c r="G13585" s="6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  <c r="N13585" s="6">
        <f>IF(OR($G13585="FCC",$G13585="Hydrocracker",$G13585="Reformer"),IF(COUNTIFS($D:$D,$D13585,$A:$A,$A13585,$B:$B,$B13585,$G:$G,"CDU",$J:$J,"PLANNED")&gt;0,"tied","standalone"),"")</f>
        <v/>
      </c>
    </row>
    <row r="13586" spans="6:14">
      <c r="F13586" s="6">
        <f>IF($M13586="PADD I","PADD 1",IF($M13586="PADD II","PADD 2",IF($M13586="PADD III","PADD 3",IF($M13586="PADD IV","PADD 4",IF($M13586="PADD V","PADD 5","")))))</f>
        <v/>
      </c>
      <c r="G13586" s="6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  <c r="N13586" s="6">
        <f>IF(OR($G13586="FCC",$G13586="Hydrocracker",$G13586="Reformer"),IF(COUNTIFS($D:$D,$D13586,$A:$A,$A13586,$B:$B,$B13586,$G:$G,"CDU",$J:$J,"PLANNED")&gt;0,"tied","standalone"),"")</f>
        <v/>
      </c>
    </row>
    <row r="13587" spans="6:14">
      <c r="F13587" s="6">
        <f>IF($M13587="PADD I","PADD 1",IF($M13587="PADD II","PADD 2",IF($M13587="PADD III","PADD 3",IF($M13587="PADD IV","PADD 4",IF($M13587="PADD V","PADD 5","")))))</f>
        <v/>
      </c>
      <c r="G13587" s="6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  <c r="N13587" s="6">
        <f>IF(OR($G13587="FCC",$G13587="Hydrocracker",$G13587="Reformer"),IF(COUNTIFS($D:$D,$D13587,$A:$A,$A13587,$B:$B,$B13587,$G:$G,"CDU",$J:$J,"PLANNED")&gt;0,"tied","standalone"),"")</f>
        <v/>
      </c>
    </row>
    <row r="13588" spans="6:14">
      <c r="F13588" s="6">
        <f>IF($M13588="PADD I","PADD 1",IF($M13588="PADD II","PADD 2",IF($M13588="PADD III","PADD 3",IF($M13588="PADD IV","PADD 4",IF($M13588="PADD V","PADD 5","")))))</f>
        <v/>
      </c>
      <c r="G13588" s="6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  <c r="N13588" s="6">
        <f>IF(OR($G13588="FCC",$G13588="Hydrocracker",$G13588="Reformer"),IF(COUNTIFS($D:$D,$D13588,$A:$A,$A13588,$B:$B,$B13588,$G:$G,"CDU",$J:$J,"PLANNED")&gt;0,"tied","standalone"),"")</f>
        <v/>
      </c>
    </row>
    <row r="13589" spans="6:14">
      <c r="F13589" s="6">
        <f>IF($M13589="PADD I","PADD 1",IF($M13589="PADD II","PADD 2",IF($M13589="PADD III","PADD 3",IF($M13589="PADD IV","PADD 4",IF($M13589="PADD V","PADD 5","")))))</f>
        <v/>
      </c>
      <c r="G13589" s="6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  <c r="N13589" s="6">
        <f>IF(OR($G13589="FCC",$G13589="Hydrocracker",$G13589="Reformer"),IF(COUNTIFS($D:$D,$D13589,$A:$A,$A13589,$B:$B,$B13589,$G:$G,"CDU",$J:$J,"PLANNED")&gt;0,"tied","standalone"),"")</f>
        <v/>
      </c>
    </row>
    <row r="13590" spans="6:14">
      <c r="F13590" s="6">
        <f>IF($M13590="PADD I","PADD 1",IF($M13590="PADD II","PADD 2",IF($M13590="PADD III","PADD 3",IF($M13590="PADD IV","PADD 4",IF($M13590="PADD V","PADD 5","")))))</f>
        <v/>
      </c>
      <c r="G13590" s="6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  <c r="N13590" s="6">
        <f>IF(OR($G13590="FCC",$G13590="Hydrocracker",$G13590="Reformer"),IF(COUNTIFS($D:$D,$D13590,$A:$A,$A13590,$B:$B,$B13590,$G:$G,"CDU",$J:$J,"PLANNED")&gt;0,"tied","standalone"),"")</f>
        <v/>
      </c>
    </row>
    <row r="13591" spans="6:14">
      <c r="F13591" s="6">
        <f>IF($M13591="PADD I","PADD 1",IF($M13591="PADD II","PADD 2",IF($M13591="PADD III","PADD 3",IF($M13591="PADD IV","PADD 4",IF($M13591="PADD V","PADD 5","")))))</f>
        <v/>
      </c>
      <c r="G13591" s="6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  <c r="N13591" s="6">
        <f>IF(OR($G13591="FCC",$G13591="Hydrocracker",$G13591="Reformer"),IF(COUNTIFS($D:$D,$D13591,$A:$A,$A13591,$B:$B,$B13591,$G:$G,"CDU",$J:$J,"PLANNED")&gt;0,"tied","standalone"),"")</f>
        <v/>
      </c>
    </row>
    <row r="13592" spans="6:14">
      <c r="F13592" s="6">
        <f>IF($M13592="PADD I","PADD 1",IF($M13592="PADD II","PADD 2",IF($M13592="PADD III","PADD 3",IF($M13592="PADD IV","PADD 4",IF($M13592="PADD V","PADD 5","")))))</f>
        <v/>
      </c>
      <c r="G13592" s="6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  <c r="N13592" s="6">
        <f>IF(OR($G13592="FCC",$G13592="Hydrocracker",$G13592="Reformer"),IF(COUNTIFS($D:$D,$D13592,$A:$A,$A13592,$B:$B,$B13592,$G:$G,"CDU",$J:$J,"PLANNED")&gt;0,"tied","standalone"),"")</f>
        <v/>
      </c>
    </row>
    <row r="13593" spans="6:14">
      <c r="F13593" s="6">
        <f>IF($M13593="PADD I","PADD 1",IF($M13593="PADD II","PADD 2",IF($M13593="PADD III","PADD 3",IF($M13593="PADD IV","PADD 4",IF($M13593="PADD V","PADD 5","")))))</f>
        <v/>
      </c>
      <c r="G13593" s="6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  <c r="N13593" s="6">
        <f>IF(OR($G13593="FCC",$G13593="Hydrocracker",$G13593="Reformer"),IF(COUNTIFS($D:$D,$D13593,$A:$A,$A13593,$B:$B,$B13593,$G:$G,"CDU",$J:$J,"PLANNED")&gt;0,"tied","standalone"),"")</f>
        <v/>
      </c>
    </row>
    <row r="13594" spans="6:14">
      <c r="F13594" s="6">
        <f>IF($M13594="PADD I","PADD 1",IF($M13594="PADD II","PADD 2",IF($M13594="PADD III","PADD 3",IF($M13594="PADD IV","PADD 4",IF($M13594="PADD V","PADD 5","")))))</f>
        <v/>
      </c>
      <c r="G13594" s="6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  <c r="N13594" s="6">
        <f>IF(OR($G13594="FCC",$G13594="Hydrocracker",$G13594="Reformer"),IF(COUNTIFS($D:$D,$D13594,$A:$A,$A13594,$B:$B,$B13594,$G:$G,"CDU",$J:$J,"PLANNED")&gt;0,"tied","standalone"),"")</f>
        <v/>
      </c>
    </row>
    <row r="13595" spans="6:14">
      <c r="F13595" s="6">
        <f>IF($M13595="PADD I","PADD 1",IF($M13595="PADD II","PADD 2",IF($M13595="PADD III","PADD 3",IF($M13595="PADD IV","PADD 4",IF($M13595="PADD V","PADD 5","")))))</f>
        <v/>
      </c>
      <c r="G13595" s="6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  <c r="N13595" s="6">
        <f>IF(OR($G13595="FCC",$G13595="Hydrocracker",$G13595="Reformer"),IF(COUNTIFS($D:$D,$D13595,$A:$A,$A13595,$B:$B,$B13595,$G:$G,"CDU",$J:$J,"PLANNED")&gt;0,"tied","standalone"),"")</f>
        <v/>
      </c>
    </row>
    <row r="13596" spans="6:14">
      <c r="F13596" s="6">
        <f>IF($M13596="PADD I","PADD 1",IF($M13596="PADD II","PADD 2",IF($M13596="PADD III","PADD 3",IF($M13596="PADD IV","PADD 4",IF($M13596="PADD V","PADD 5","")))))</f>
        <v/>
      </c>
      <c r="G13596" s="6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  <c r="N13596" s="6">
        <f>IF(OR($G13596="FCC",$G13596="Hydrocracker",$G13596="Reformer"),IF(COUNTIFS($D:$D,$D13596,$A:$A,$A13596,$B:$B,$B13596,$G:$G,"CDU",$J:$J,"PLANNED")&gt;0,"tied","standalone"),"")</f>
        <v/>
      </c>
    </row>
    <row r="13597" spans="6:14">
      <c r="F13597" s="6">
        <f>IF($M13597="PADD I","PADD 1",IF($M13597="PADD II","PADD 2",IF($M13597="PADD III","PADD 3",IF($M13597="PADD IV","PADD 4",IF($M13597="PADD V","PADD 5","")))))</f>
        <v/>
      </c>
      <c r="G13597" s="6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  <c r="N13597" s="6">
        <f>IF(OR($G13597="FCC",$G13597="Hydrocracker",$G13597="Reformer"),IF(COUNTIFS($D:$D,$D13597,$A:$A,$A13597,$B:$B,$B13597,$G:$G,"CDU",$J:$J,"PLANNED")&gt;0,"tied","standalone"),"")</f>
        <v/>
      </c>
    </row>
    <row r="13598" spans="6:14">
      <c r="F13598" s="6">
        <f>IF($M13598="PADD I","PADD 1",IF($M13598="PADD II","PADD 2",IF($M13598="PADD III","PADD 3",IF($M13598="PADD IV","PADD 4",IF($M13598="PADD V","PADD 5","")))))</f>
        <v/>
      </c>
      <c r="G13598" s="6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  <c r="N13598" s="6">
        <f>IF(OR($G13598="FCC",$G13598="Hydrocracker",$G13598="Reformer"),IF(COUNTIFS($D:$D,$D13598,$A:$A,$A13598,$B:$B,$B13598,$G:$G,"CDU",$J:$J,"PLANNED")&gt;0,"tied","standalone"),"")</f>
        <v/>
      </c>
    </row>
    <row r="13599" spans="6:14">
      <c r="F13599" s="6">
        <f>IF($M13599="PADD I","PADD 1",IF($M13599="PADD II","PADD 2",IF($M13599="PADD III","PADD 3",IF($M13599="PADD IV","PADD 4",IF($M13599="PADD V","PADD 5","")))))</f>
        <v/>
      </c>
      <c r="G13599" s="6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  <c r="N13599" s="6">
        <f>IF(OR($G13599="FCC",$G13599="Hydrocracker",$G13599="Reformer"),IF(COUNTIFS($D:$D,$D13599,$A:$A,$A13599,$B:$B,$B13599,$G:$G,"CDU",$J:$J,"PLANNED")&gt;0,"tied","standalone"),"")</f>
        <v/>
      </c>
    </row>
    <row r="13600" spans="6:14">
      <c r="F13600" s="6">
        <f>IF($M13600="PADD I","PADD 1",IF($M13600="PADD II","PADD 2",IF($M13600="PADD III","PADD 3",IF($M13600="PADD IV","PADD 4",IF($M13600="PADD V","PADD 5","")))))</f>
        <v/>
      </c>
      <c r="G13600" s="6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  <c r="N13600" s="6">
        <f>IF(OR($G13600="FCC",$G13600="Hydrocracker",$G13600="Reformer"),IF(COUNTIFS($D:$D,$D13600,$A:$A,$A13600,$B:$B,$B13600,$G:$G,"CDU",$J:$J,"PLANNED")&gt;0,"tied","standalone"),"")</f>
        <v/>
      </c>
    </row>
    <row r="13601" spans="6:14">
      <c r="F13601" s="6">
        <f>IF($M13601="PADD I","PADD 1",IF($M13601="PADD II","PADD 2",IF($M13601="PADD III","PADD 3",IF($M13601="PADD IV","PADD 4",IF($M13601="PADD V","PADD 5","")))))</f>
        <v/>
      </c>
      <c r="G13601" s="6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  <c r="N13601" s="6">
        <f>IF(OR($G13601="FCC",$G13601="Hydrocracker",$G13601="Reformer"),IF(COUNTIFS($D:$D,$D13601,$A:$A,$A13601,$B:$B,$B13601,$G:$G,"CDU",$J:$J,"PLANNED")&gt;0,"tied","standalone"),"")</f>
        <v/>
      </c>
    </row>
    <row r="13602" spans="6:14">
      <c r="F13602" s="6">
        <f>IF($M13602="PADD I","PADD 1",IF($M13602="PADD II","PADD 2",IF($M13602="PADD III","PADD 3",IF($M13602="PADD IV","PADD 4",IF($M13602="PADD V","PADD 5","")))))</f>
        <v/>
      </c>
      <c r="G13602" s="6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  <c r="N13602" s="6">
        <f>IF(OR($G13602="FCC",$G13602="Hydrocracker",$G13602="Reformer"),IF(COUNTIFS($D:$D,$D13602,$A:$A,$A13602,$B:$B,$B13602,$G:$G,"CDU",$J:$J,"PLANNED")&gt;0,"tied","standalone"),"")</f>
        <v/>
      </c>
    </row>
    <row r="13603" spans="6:14">
      <c r="F13603" s="6">
        <f>IF($M13603="PADD I","PADD 1",IF($M13603="PADD II","PADD 2",IF($M13603="PADD III","PADD 3",IF($M13603="PADD IV","PADD 4",IF($M13603="PADD V","PADD 5","")))))</f>
        <v/>
      </c>
      <c r="G13603" s="6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  <c r="N13603" s="6">
        <f>IF(OR($G13603="FCC",$G13603="Hydrocracker",$G13603="Reformer"),IF(COUNTIFS($D:$D,$D13603,$A:$A,$A13603,$B:$B,$B13603,$G:$G,"CDU",$J:$J,"PLANNED")&gt;0,"tied","standalone"),"")</f>
        <v/>
      </c>
    </row>
    <row r="13604" spans="6:14">
      <c r="F13604" s="6">
        <f>IF($M13604="PADD I","PADD 1",IF($M13604="PADD II","PADD 2",IF($M13604="PADD III","PADD 3",IF($M13604="PADD IV","PADD 4",IF($M13604="PADD V","PADD 5","")))))</f>
        <v/>
      </c>
      <c r="G13604" s="6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  <c r="N13604" s="6">
        <f>IF(OR($G13604="FCC",$G13604="Hydrocracker",$G13604="Reformer"),IF(COUNTIFS($D:$D,$D13604,$A:$A,$A13604,$B:$B,$B13604,$G:$G,"CDU",$J:$J,"PLANNED")&gt;0,"tied","standalone"),"")</f>
        <v/>
      </c>
    </row>
    <row r="13605" spans="6:14">
      <c r="F13605" s="6">
        <f>IF($M13605="PADD I","PADD 1",IF($M13605="PADD II","PADD 2",IF($M13605="PADD III","PADD 3",IF($M13605="PADD IV","PADD 4",IF($M13605="PADD V","PADD 5","")))))</f>
        <v/>
      </c>
      <c r="G13605" s="6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  <c r="N13605" s="6">
        <f>IF(OR($G13605="FCC",$G13605="Hydrocracker",$G13605="Reformer"),IF(COUNTIFS($D:$D,$D13605,$A:$A,$A13605,$B:$B,$B13605,$G:$G,"CDU",$J:$J,"PLANNED")&gt;0,"tied","standalone"),"")</f>
        <v/>
      </c>
    </row>
    <row r="13606" spans="6:14">
      <c r="F13606" s="6">
        <f>IF($M13606="PADD I","PADD 1",IF($M13606="PADD II","PADD 2",IF($M13606="PADD III","PADD 3",IF($M13606="PADD IV","PADD 4",IF($M13606="PADD V","PADD 5","")))))</f>
        <v/>
      </c>
      <c r="G13606" s="6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  <c r="N13606" s="6">
        <f>IF(OR($G13606="FCC",$G13606="Hydrocracker",$G13606="Reformer"),IF(COUNTIFS($D:$D,$D13606,$A:$A,$A13606,$B:$B,$B13606,$G:$G,"CDU",$J:$J,"PLANNED")&gt;0,"tied","standalone"),"")</f>
        <v/>
      </c>
    </row>
    <row r="13607" spans="6:14">
      <c r="F13607" s="6">
        <f>IF($M13607="PADD I","PADD 1",IF($M13607="PADD II","PADD 2",IF($M13607="PADD III","PADD 3",IF($M13607="PADD IV","PADD 4",IF($M13607="PADD V","PADD 5","")))))</f>
        <v/>
      </c>
      <c r="G13607" s="6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  <c r="N13607" s="6">
        <f>IF(OR($G13607="FCC",$G13607="Hydrocracker",$G13607="Reformer"),IF(COUNTIFS($D:$D,$D13607,$A:$A,$A13607,$B:$B,$B13607,$G:$G,"CDU",$J:$J,"PLANNED")&gt;0,"tied","standalone"),"")</f>
        <v/>
      </c>
    </row>
    <row r="13608" spans="6:14">
      <c r="F13608" s="6">
        <f>IF($M13608="PADD I","PADD 1",IF($M13608="PADD II","PADD 2",IF($M13608="PADD III","PADD 3",IF($M13608="PADD IV","PADD 4",IF($M13608="PADD V","PADD 5","")))))</f>
        <v/>
      </c>
      <c r="G13608" s="6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  <c r="N13608" s="6">
        <f>IF(OR($G13608="FCC",$G13608="Hydrocracker",$G13608="Reformer"),IF(COUNTIFS($D:$D,$D13608,$A:$A,$A13608,$B:$B,$B13608,$G:$G,"CDU",$J:$J,"PLANNED")&gt;0,"tied","standalone"),"")</f>
        <v/>
      </c>
    </row>
    <row r="13609" spans="6:14">
      <c r="F13609" s="6">
        <f>IF($M13609="PADD I","PADD 1",IF($M13609="PADD II","PADD 2",IF($M13609="PADD III","PADD 3",IF($M13609="PADD IV","PADD 4",IF($M13609="PADD V","PADD 5","")))))</f>
        <v/>
      </c>
      <c r="G13609" s="6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  <c r="N13609" s="6">
        <f>IF(OR($G13609="FCC",$G13609="Hydrocracker",$G13609="Reformer"),IF(COUNTIFS($D:$D,$D13609,$A:$A,$A13609,$B:$B,$B13609,$G:$G,"CDU",$J:$J,"PLANNED")&gt;0,"tied","standalone"),"")</f>
        <v/>
      </c>
    </row>
    <row r="13610" spans="6:14">
      <c r="F13610" s="6">
        <f>IF($M13610="PADD I","PADD 1",IF($M13610="PADD II","PADD 2",IF($M13610="PADD III","PADD 3",IF($M13610="PADD IV","PADD 4",IF($M13610="PADD V","PADD 5","")))))</f>
        <v/>
      </c>
      <c r="G13610" s="6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  <c r="N13610" s="6">
        <f>IF(OR($G13610="FCC",$G13610="Hydrocracker",$G13610="Reformer"),IF(COUNTIFS($D:$D,$D13610,$A:$A,$A13610,$B:$B,$B13610,$G:$G,"CDU",$J:$J,"PLANNED")&gt;0,"tied","standalone"),"")</f>
        <v/>
      </c>
    </row>
    <row r="13611" spans="6:14">
      <c r="F13611" s="6">
        <f>IF($M13611="PADD I","PADD 1",IF($M13611="PADD II","PADD 2",IF($M13611="PADD III","PADD 3",IF($M13611="PADD IV","PADD 4",IF($M13611="PADD V","PADD 5","")))))</f>
        <v/>
      </c>
      <c r="G13611" s="6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  <c r="N13611" s="6">
        <f>IF(OR($G13611="FCC",$G13611="Hydrocracker",$G13611="Reformer"),IF(COUNTIFS($D:$D,$D13611,$A:$A,$A13611,$B:$B,$B13611,$G:$G,"CDU",$J:$J,"PLANNED")&gt;0,"tied","standalone"),"")</f>
        <v/>
      </c>
    </row>
    <row r="13612" spans="6:14">
      <c r="F13612" s="6">
        <f>IF($M13612="PADD I","PADD 1",IF($M13612="PADD II","PADD 2",IF($M13612="PADD III","PADD 3",IF($M13612="PADD IV","PADD 4",IF($M13612="PADD V","PADD 5","")))))</f>
        <v/>
      </c>
      <c r="G13612" s="6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  <c r="N13612" s="6">
        <f>IF(OR($G13612="FCC",$G13612="Hydrocracker",$G13612="Reformer"),IF(COUNTIFS($D:$D,$D13612,$A:$A,$A13612,$B:$B,$B13612,$G:$G,"CDU",$J:$J,"PLANNED")&gt;0,"tied","standalone"),"")</f>
        <v/>
      </c>
    </row>
    <row r="13613" spans="6:14">
      <c r="F13613" s="6">
        <f>IF($M13613="PADD I","PADD 1",IF($M13613="PADD II","PADD 2",IF($M13613="PADD III","PADD 3",IF($M13613="PADD IV","PADD 4",IF($M13613="PADD V","PADD 5","")))))</f>
        <v/>
      </c>
      <c r="G13613" s="6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  <c r="N13613" s="6">
        <f>IF(OR($G13613="FCC",$G13613="Hydrocracker",$G13613="Reformer"),IF(COUNTIFS($D:$D,$D13613,$A:$A,$A13613,$B:$B,$B13613,$G:$G,"CDU",$J:$J,"PLANNED")&gt;0,"tied","standalone"),"")</f>
        <v/>
      </c>
    </row>
    <row r="13614" spans="6:14">
      <c r="F13614" s="6">
        <f>IF($M13614="PADD I","PADD 1",IF($M13614="PADD II","PADD 2",IF($M13614="PADD III","PADD 3",IF($M13614="PADD IV","PADD 4",IF($M13614="PADD V","PADD 5","")))))</f>
        <v/>
      </c>
      <c r="G13614" s="6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  <c r="N13614" s="6">
        <f>IF(OR($G13614="FCC",$G13614="Hydrocracker",$G13614="Reformer"),IF(COUNTIFS($D:$D,$D13614,$A:$A,$A13614,$B:$B,$B13614,$G:$G,"CDU",$J:$J,"PLANNED")&gt;0,"tied","standalone"),"")</f>
        <v/>
      </c>
    </row>
    <row r="13615" spans="6:14">
      <c r="F13615" s="6">
        <f>IF($M13615="PADD I","PADD 1",IF($M13615="PADD II","PADD 2",IF($M13615="PADD III","PADD 3",IF($M13615="PADD IV","PADD 4",IF($M13615="PADD V","PADD 5","")))))</f>
        <v/>
      </c>
      <c r="G13615" s="6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  <c r="N13615" s="6">
        <f>IF(OR($G13615="FCC",$G13615="Hydrocracker",$G13615="Reformer"),IF(COUNTIFS($D:$D,$D13615,$A:$A,$A13615,$B:$B,$B13615,$G:$G,"CDU",$J:$J,"PLANNED")&gt;0,"tied","standalone"),"")</f>
        <v/>
      </c>
    </row>
    <row r="13616" spans="6:14">
      <c r="F13616" s="6">
        <f>IF($M13616="PADD I","PADD 1",IF($M13616="PADD II","PADD 2",IF($M13616="PADD III","PADD 3",IF($M13616="PADD IV","PADD 4",IF($M13616="PADD V","PADD 5","")))))</f>
        <v/>
      </c>
      <c r="G13616" s="6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  <c r="N13616" s="6">
        <f>IF(OR($G13616="FCC",$G13616="Hydrocracker",$G13616="Reformer"),IF(COUNTIFS($D:$D,$D13616,$A:$A,$A13616,$B:$B,$B13616,$G:$G,"CDU",$J:$J,"PLANNED")&gt;0,"tied","standalone"),"")</f>
        <v/>
      </c>
    </row>
    <row r="13617" spans="6:14">
      <c r="F13617" s="6">
        <f>IF($M13617="PADD I","PADD 1",IF($M13617="PADD II","PADD 2",IF($M13617="PADD III","PADD 3",IF($M13617="PADD IV","PADD 4",IF($M13617="PADD V","PADD 5","")))))</f>
        <v/>
      </c>
      <c r="G13617" s="6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  <c r="N13617" s="6">
        <f>IF(OR($G13617="FCC",$G13617="Hydrocracker",$G13617="Reformer"),IF(COUNTIFS($D:$D,$D13617,$A:$A,$A13617,$B:$B,$B13617,$G:$G,"CDU",$J:$J,"PLANNED")&gt;0,"tied","standalone"),"")</f>
        <v/>
      </c>
    </row>
    <row r="13618" spans="6:14">
      <c r="F13618" s="6">
        <f>IF($M13618="PADD I","PADD 1",IF($M13618="PADD II","PADD 2",IF($M13618="PADD III","PADD 3",IF($M13618="PADD IV","PADD 4",IF($M13618="PADD V","PADD 5","")))))</f>
        <v/>
      </c>
      <c r="G13618" s="6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  <c r="N13618" s="6">
        <f>IF(OR($G13618="FCC",$G13618="Hydrocracker",$G13618="Reformer"),IF(COUNTIFS($D:$D,$D13618,$A:$A,$A13618,$B:$B,$B13618,$G:$G,"CDU",$J:$J,"PLANNED")&gt;0,"tied","standalone"),"")</f>
        <v/>
      </c>
    </row>
    <row r="13619" spans="6:14">
      <c r="F13619" s="6">
        <f>IF($M13619="PADD I","PADD 1",IF($M13619="PADD II","PADD 2",IF($M13619="PADD III","PADD 3",IF($M13619="PADD IV","PADD 4",IF($M13619="PADD V","PADD 5","")))))</f>
        <v/>
      </c>
      <c r="G13619" s="6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  <c r="N13619" s="6">
        <f>IF(OR($G13619="FCC",$G13619="Hydrocracker",$G13619="Reformer"),IF(COUNTIFS($D:$D,$D13619,$A:$A,$A13619,$B:$B,$B13619,$G:$G,"CDU",$J:$J,"PLANNED")&gt;0,"tied","standalone"),"")</f>
        <v/>
      </c>
    </row>
    <row r="13620" spans="6:14">
      <c r="F13620" s="6">
        <f>IF($M13620="PADD I","PADD 1",IF($M13620="PADD II","PADD 2",IF($M13620="PADD III","PADD 3",IF($M13620="PADD IV","PADD 4",IF($M13620="PADD V","PADD 5","")))))</f>
        <v/>
      </c>
      <c r="G13620" s="6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  <c r="N13620" s="6">
        <f>IF(OR($G13620="FCC",$G13620="Hydrocracker",$G13620="Reformer"),IF(COUNTIFS($D:$D,$D13620,$A:$A,$A13620,$B:$B,$B13620,$G:$G,"CDU",$J:$J,"PLANNED")&gt;0,"tied","standalone"),"")</f>
        <v/>
      </c>
    </row>
    <row r="13621" spans="6:14">
      <c r="F13621" s="6">
        <f>IF($M13621="PADD I","PADD 1",IF($M13621="PADD II","PADD 2",IF($M13621="PADD III","PADD 3",IF($M13621="PADD IV","PADD 4",IF($M13621="PADD V","PADD 5","")))))</f>
        <v/>
      </c>
      <c r="G13621" s="6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  <c r="N13621" s="6">
        <f>IF(OR($G13621="FCC",$G13621="Hydrocracker",$G13621="Reformer"),IF(COUNTIFS($D:$D,$D13621,$A:$A,$A13621,$B:$B,$B13621,$G:$G,"CDU",$J:$J,"PLANNED")&gt;0,"tied","standalone"),"")</f>
        <v/>
      </c>
    </row>
    <row r="13622" spans="6:14">
      <c r="F13622" s="6">
        <f>IF($M13622="PADD I","PADD 1",IF($M13622="PADD II","PADD 2",IF($M13622="PADD III","PADD 3",IF($M13622="PADD IV","PADD 4",IF($M13622="PADD V","PADD 5","")))))</f>
        <v/>
      </c>
      <c r="G13622" s="6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  <c r="N13622" s="6">
        <f>IF(OR($G13622="FCC",$G13622="Hydrocracker",$G13622="Reformer"),IF(COUNTIFS($D:$D,$D13622,$A:$A,$A13622,$B:$B,$B13622,$G:$G,"CDU",$J:$J,"PLANNED")&gt;0,"tied","standalone"),"")</f>
        <v/>
      </c>
    </row>
    <row r="13623" spans="6:14">
      <c r="F13623" s="6">
        <f>IF($M13623="PADD I","PADD 1",IF($M13623="PADD II","PADD 2",IF($M13623="PADD III","PADD 3",IF($M13623="PADD IV","PADD 4",IF($M13623="PADD V","PADD 5","")))))</f>
        <v/>
      </c>
      <c r="G13623" s="6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  <c r="N13623" s="6">
        <f>IF(OR($G13623="FCC",$G13623="Hydrocracker",$G13623="Reformer"),IF(COUNTIFS($D:$D,$D13623,$A:$A,$A13623,$B:$B,$B13623,$G:$G,"CDU",$J:$J,"PLANNED")&gt;0,"tied","standalone"),"")</f>
        <v/>
      </c>
    </row>
    <row r="13624" spans="6:14">
      <c r="F13624" s="6">
        <f>IF($M13624="PADD I","PADD 1",IF($M13624="PADD II","PADD 2",IF($M13624="PADD III","PADD 3",IF($M13624="PADD IV","PADD 4",IF($M13624="PADD V","PADD 5","")))))</f>
        <v/>
      </c>
      <c r="G13624" s="6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  <c r="N13624" s="6">
        <f>IF(OR($G13624="FCC",$G13624="Hydrocracker",$G13624="Reformer"),IF(COUNTIFS($D:$D,$D13624,$A:$A,$A13624,$B:$B,$B13624,$G:$G,"CDU",$J:$J,"PLANNED")&gt;0,"tied","standalone"),"")</f>
        <v/>
      </c>
    </row>
    <row r="13625" spans="6:14">
      <c r="F13625" s="6">
        <f>IF($M13625="PADD I","PADD 1",IF($M13625="PADD II","PADD 2",IF($M13625="PADD III","PADD 3",IF($M13625="PADD IV","PADD 4",IF($M13625="PADD V","PADD 5","")))))</f>
        <v/>
      </c>
      <c r="G13625" s="6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  <c r="N13625" s="6">
        <f>IF(OR($G13625="FCC",$G13625="Hydrocracker",$G13625="Reformer"),IF(COUNTIFS($D:$D,$D13625,$A:$A,$A13625,$B:$B,$B13625,$G:$G,"CDU",$J:$J,"PLANNED")&gt;0,"tied","standalone"),"")</f>
        <v/>
      </c>
    </row>
    <row r="13626" spans="6:14">
      <c r="F13626" s="6">
        <f>IF($M13626="PADD I","PADD 1",IF($M13626="PADD II","PADD 2",IF($M13626="PADD III","PADD 3",IF($M13626="PADD IV","PADD 4",IF($M13626="PADD V","PADD 5","")))))</f>
        <v/>
      </c>
      <c r="G13626" s="6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  <c r="N13626" s="6">
        <f>IF(OR($G13626="FCC",$G13626="Hydrocracker",$G13626="Reformer"),IF(COUNTIFS($D:$D,$D13626,$A:$A,$A13626,$B:$B,$B13626,$G:$G,"CDU",$J:$J,"PLANNED")&gt;0,"tied","standalone"),"")</f>
        <v/>
      </c>
    </row>
    <row r="13627" spans="6:14">
      <c r="F13627" s="6">
        <f>IF($M13627="PADD I","PADD 1",IF($M13627="PADD II","PADD 2",IF($M13627="PADD III","PADD 3",IF($M13627="PADD IV","PADD 4",IF($M13627="PADD V","PADD 5","")))))</f>
        <v/>
      </c>
      <c r="G13627" s="6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  <c r="N13627" s="6">
        <f>IF(OR($G13627="FCC",$G13627="Hydrocracker",$G13627="Reformer"),IF(COUNTIFS($D:$D,$D13627,$A:$A,$A13627,$B:$B,$B13627,$G:$G,"CDU",$J:$J,"PLANNED")&gt;0,"tied","standalone"),"")</f>
        <v/>
      </c>
    </row>
    <row r="13628" spans="6:14">
      <c r="F13628" s="6">
        <f>IF($M13628="PADD I","PADD 1",IF($M13628="PADD II","PADD 2",IF($M13628="PADD III","PADD 3",IF($M13628="PADD IV","PADD 4",IF($M13628="PADD V","PADD 5","")))))</f>
        <v/>
      </c>
      <c r="G13628" s="6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  <c r="N13628" s="6">
        <f>IF(OR($G13628="FCC",$G13628="Hydrocracker",$G13628="Reformer"),IF(COUNTIFS($D:$D,$D13628,$A:$A,$A13628,$B:$B,$B13628,$G:$G,"CDU",$J:$J,"PLANNED")&gt;0,"tied","standalone"),"")</f>
        <v/>
      </c>
    </row>
    <row r="13629" spans="6:14">
      <c r="F13629" s="6">
        <f>IF($M13629="PADD I","PADD 1",IF($M13629="PADD II","PADD 2",IF($M13629="PADD III","PADD 3",IF($M13629="PADD IV","PADD 4",IF($M13629="PADD V","PADD 5","")))))</f>
        <v/>
      </c>
      <c r="G13629" s="6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  <c r="N13629" s="6">
        <f>IF(OR($G13629="FCC",$G13629="Hydrocracker",$G13629="Reformer"),IF(COUNTIFS($D:$D,$D13629,$A:$A,$A13629,$B:$B,$B13629,$G:$G,"CDU",$J:$J,"PLANNED")&gt;0,"tied","standalone"),"")</f>
        <v/>
      </c>
    </row>
    <row r="13630" spans="6:14">
      <c r="F13630" s="6">
        <f>IF($M13630="PADD I","PADD 1",IF($M13630="PADD II","PADD 2",IF($M13630="PADD III","PADD 3",IF($M13630="PADD IV","PADD 4",IF($M13630="PADD V","PADD 5","")))))</f>
        <v/>
      </c>
      <c r="G13630" s="6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  <c r="N13630" s="6">
        <f>IF(OR($G13630="FCC",$G13630="Hydrocracker",$G13630="Reformer"),IF(COUNTIFS($D:$D,$D13630,$A:$A,$A13630,$B:$B,$B13630,$G:$G,"CDU",$J:$J,"PLANNED")&gt;0,"tied","standalone"),"")</f>
        <v/>
      </c>
    </row>
    <row r="13631" spans="6:14">
      <c r="F13631" s="6">
        <f>IF($M13631="PADD I","PADD 1",IF($M13631="PADD II","PADD 2",IF($M13631="PADD III","PADD 3",IF($M13631="PADD IV","PADD 4",IF($M13631="PADD V","PADD 5","")))))</f>
        <v/>
      </c>
      <c r="G13631" s="6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  <c r="N13631" s="6">
        <f>IF(OR($G13631="FCC",$G13631="Hydrocracker",$G13631="Reformer"),IF(COUNTIFS($D:$D,$D13631,$A:$A,$A13631,$B:$B,$B13631,$G:$G,"CDU",$J:$J,"PLANNED")&gt;0,"tied","standalone"),"")</f>
        <v/>
      </c>
    </row>
    <row r="13632" spans="6:14">
      <c r="F13632" s="6">
        <f>IF($M13632="PADD I","PADD 1",IF($M13632="PADD II","PADD 2",IF($M13632="PADD III","PADD 3",IF($M13632="PADD IV","PADD 4",IF($M13632="PADD V","PADD 5","")))))</f>
        <v/>
      </c>
      <c r="G13632" s="6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  <c r="N13632" s="6">
        <f>IF(OR($G13632="FCC",$G13632="Hydrocracker",$G13632="Reformer"),IF(COUNTIFS($D:$D,$D13632,$A:$A,$A13632,$B:$B,$B13632,$G:$G,"CDU",$J:$J,"PLANNED")&gt;0,"tied","standalone"),"")</f>
        <v/>
      </c>
    </row>
    <row r="13633" spans="6:14">
      <c r="F13633" s="6">
        <f>IF($M13633="PADD I","PADD 1",IF($M13633="PADD II","PADD 2",IF($M13633="PADD III","PADD 3",IF($M13633="PADD IV","PADD 4",IF($M13633="PADD V","PADD 5","")))))</f>
        <v/>
      </c>
      <c r="G13633" s="6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  <c r="N13633" s="6">
        <f>IF(OR($G13633="FCC",$G13633="Hydrocracker",$G13633="Reformer"),IF(COUNTIFS($D:$D,$D13633,$A:$A,$A13633,$B:$B,$B13633,$G:$G,"CDU",$J:$J,"PLANNED")&gt;0,"tied","standalone"),"")</f>
        <v/>
      </c>
    </row>
    <row r="13634" spans="6:14">
      <c r="F13634" s="6">
        <f>IF($M13634="PADD I","PADD 1",IF($M13634="PADD II","PADD 2",IF($M13634="PADD III","PADD 3",IF($M13634="PADD IV","PADD 4",IF($M13634="PADD V","PADD 5","")))))</f>
        <v/>
      </c>
      <c r="G13634" s="6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  <c r="N13634" s="6">
        <f>IF(OR($G13634="FCC",$G13634="Hydrocracker",$G13634="Reformer"),IF(COUNTIFS($D:$D,$D13634,$A:$A,$A13634,$B:$B,$B13634,$G:$G,"CDU",$J:$J,"PLANNED")&gt;0,"tied","standalone"),"")</f>
        <v/>
      </c>
    </row>
    <row r="13635" spans="6:14">
      <c r="F13635" s="6">
        <f>IF($M13635="PADD I","PADD 1",IF($M13635="PADD II","PADD 2",IF($M13635="PADD III","PADD 3",IF($M13635="PADD IV","PADD 4",IF($M13635="PADD V","PADD 5","")))))</f>
        <v/>
      </c>
      <c r="G13635" s="6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  <c r="N13635" s="6">
        <f>IF(OR($G13635="FCC",$G13635="Hydrocracker",$G13635="Reformer"),IF(COUNTIFS($D:$D,$D13635,$A:$A,$A13635,$B:$B,$B13635,$G:$G,"CDU",$J:$J,"PLANNED")&gt;0,"tied","standalone"),"")</f>
        <v/>
      </c>
    </row>
    <row r="13636" spans="6:14">
      <c r="F13636" s="6">
        <f>IF($M13636="PADD I","PADD 1",IF($M13636="PADD II","PADD 2",IF($M13636="PADD III","PADD 3",IF($M13636="PADD IV","PADD 4",IF($M13636="PADD V","PADD 5","")))))</f>
        <v/>
      </c>
      <c r="G13636" s="6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  <c r="N13636" s="6">
        <f>IF(OR($G13636="FCC",$G13636="Hydrocracker",$G13636="Reformer"),IF(COUNTIFS($D:$D,$D13636,$A:$A,$A13636,$B:$B,$B13636,$G:$G,"CDU",$J:$J,"PLANNED")&gt;0,"tied","standalone"),"")</f>
        <v/>
      </c>
    </row>
    <row r="13637" spans="6:14">
      <c r="F13637" s="6">
        <f>IF($M13637="PADD I","PADD 1",IF($M13637="PADD II","PADD 2",IF($M13637="PADD III","PADD 3",IF($M13637="PADD IV","PADD 4",IF($M13637="PADD V","PADD 5","")))))</f>
        <v/>
      </c>
      <c r="G13637" s="6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  <c r="N13637" s="6">
        <f>IF(OR($G13637="FCC",$G13637="Hydrocracker",$G13637="Reformer"),IF(COUNTIFS($D:$D,$D13637,$A:$A,$A13637,$B:$B,$B13637,$G:$G,"CDU",$J:$J,"PLANNED")&gt;0,"tied","standalone"),"")</f>
        <v/>
      </c>
    </row>
    <row r="13638" spans="6:14">
      <c r="F13638" s="6">
        <f>IF($M13638="PADD I","PADD 1",IF($M13638="PADD II","PADD 2",IF($M13638="PADD III","PADD 3",IF($M13638="PADD IV","PADD 4",IF($M13638="PADD V","PADD 5","")))))</f>
        <v/>
      </c>
      <c r="G13638" s="6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  <c r="N13638" s="6">
        <f>IF(OR($G13638="FCC",$G13638="Hydrocracker",$G13638="Reformer"),IF(COUNTIFS($D:$D,$D13638,$A:$A,$A13638,$B:$B,$B13638,$G:$G,"CDU",$J:$J,"PLANNED")&gt;0,"tied","standalone"),"")</f>
        <v/>
      </c>
    </row>
    <row r="13639" spans="6:14">
      <c r="F13639" s="6">
        <f>IF($M13639="PADD I","PADD 1",IF($M13639="PADD II","PADD 2",IF($M13639="PADD III","PADD 3",IF($M13639="PADD IV","PADD 4",IF($M13639="PADD V","PADD 5","")))))</f>
        <v/>
      </c>
      <c r="G13639" s="6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  <c r="N13639" s="6">
        <f>IF(OR($G13639="FCC",$G13639="Hydrocracker",$G13639="Reformer"),IF(COUNTIFS($D:$D,$D13639,$A:$A,$A13639,$B:$B,$B13639,$G:$G,"CDU",$J:$J,"PLANNED")&gt;0,"tied","standalone"),"")</f>
        <v/>
      </c>
    </row>
    <row r="13640" spans="6:14">
      <c r="F13640" s="6">
        <f>IF($M13640="PADD I","PADD 1",IF($M13640="PADD II","PADD 2",IF($M13640="PADD III","PADD 3",IF($M13640="PADD IV","PADD 4",IF($M13640="PADD V","PADD 5","")))))</f>
        <v/>
      </c>
      <c r="G13640" s="6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  <c r="N13640" s="6">
        <f>IF(OR($G13640="FCC",$G13640="Hydrocracker",$G13640="Reformer"),IF(COUNTIFS($D:$D,$D13640,$A:$A,$A13640,$B:$B,$B13640,$G:$G,"CDU",$J:$J,"PLANNED")&gt;0,"tied","standalone"),"")</f>
        <v/>
      </c>
    </row>
    <row r="13641" spans="6:14">
      <c r="F13641" s="6">
        <f>IF($M13641="PADD I","PADD 1",IF($M13641="PADD II","PADD 2",IF($M13641="PADD III","PADD 3",IF($M13641="PADD IV","PADD 4",IF($M13641="PADD V","PADD 5","")))))</f>
        <v/>
      </c>
      <c r="G13641" s="6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  <c r="N13641" s="6">
        <f>IF(OR($G13641="FCC",$G13641="Hydrocracker",$G13641="Reformer"),IF(COUNTIFS($D:$D,$D13641,$A:$A,$A13641,$B:$B,$B13641,$G:$G,"CDU",$J:$J,"PLANNED")&gt;0,"tied","standalone"),"")</f>
        <v/>
      </c>
    </row>
    <row r="13642" spans="6:14">
      <c r="F13642" s="6">
        <f>IF($M13642="PADD I","PADD 1",IF($M13642="PADD II","PADD 2",IF($M13642="PADD III","PADD 3",IF($M13642="PADD IV","PADD 4",IF($M13642="PADD V","PADD 5","")))))</f>
        <v/>
      </c>
      <c r="G13642" s="6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  <c r="N13642" s="6">
        <f>IF(OR($G13642="FCC",$G13642="Hydrocracker",$G13642="Reformer"),IF(COUNTIFS($D:$D,$D13642,$A:$A,$A13642,$B:$B,$B13642,$G:$G,"CDU",$J:$J,"PLANNED")&gt;0,"tied","standalone"),"")</f>
        <v/>
      </c>
    </row>
    <row r="13643" spans="6:14">
      <c r="F13643" s="6">
        <f>IF($M13643="PADD I","PADD 1",IF($M13643="PADD II","PADD 2",IF($M13643="PADD III","PADD 3",IF($M13643="PADD IV","PADD 4",IF($M13643="PADD V","PADD 5","")))))</f>
        <v/>
      </c>
      <c r="G13643" s="6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  <c r="N13643" s="6">
        <f>IF(OR($G13643="FCC",$G13643="Hydrocracker",$G13643="Reformer"),IF(COUNTIFS($D:$D,$D13643,$A:$A,$A13643,$B:$B,$B13643,$G:$G,"CDU",$J:$J,"PLANNED")&gt;0,"tied","standalone"),"")</f>
        <v/>
      </c>
    </row>
    <row r="13644" spans="6:14">
      <c r="F13644" s="6">
        <f>IF($M13644="PADD I","PADD 1",IF($M13644="PADD II","PADD 2",IF($M13644="PADD III","PADD 3",IF($M13644="PADD IV","PADD 4",IF($M13644="PADD V","PADD 5","")))))</f>
        <v/>
      </c>
      <c r="G13644" s="6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  <c r="N13644" s="6">
        <f>IF(OR($G13644="FCC",$G13644="Hydrocracker",$G13644="Reformer"),IF(COUNTIFS($D:$D,$D13644,$A:$A,$A13644,$B:$B,$B13644,$G:$G,"CDU",$J:$J,"PLANNED")&gt;0,"tied","standalone"),"")</f>
        <v/>
      </c>
    </row>
    <row r="13645" spans="6:14">
      <c r="F13645" s="6">
        <f>IF($M13645="PADD I","PADD 1",IF($M13645="PADD II","PADD 2",IF($M13645="PADD III","PADD 3",IF($M13645="PADD IV","PADD 4",IF($M13645="PADD V","PADD 5","")))))</f>
        <v/>
      </c>
      <c r="G13645" s="6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  <c r="N13645" s="6">
        <f>IF(OR($G13645="FCC",$G13645="Hydrocracker",$G13645="Reformer"),IF(COUNTIFS($D:$D,$D13645,$A:$A,$A13645,$B:$B,$B13645,$G:$G,"CDU",$J:$J,"PLANNED")&gt;0,"tied","standalone"),"")</f>
        <v/>
      </c>
    </row>
    <row r="13646" spans="6:14">
      <c r="F13646" s="6">
        <f>IF($M13646="PADD I","PADD 1",IF($M13646="PADD II","PADD 2",IF($M13646="PADD III","PADD 3",IF($M13646="PADD IV","PADD 4",IF($M13646="PADD V","PADD 5","")))))</f>
        <v/>
      </c>
      <c r="G13646" s="6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  <c r="N13646" s="6">
        <f>IF(OR($G13646="FCC",$G13646="Hydrocracker",$G13646="Reformer"),IF(COUNTIFS($D:$D,$D13646,$A:$A,$A13646,$B:$B,$B13646,$G:$G,"CDU",$J:$J,"PLANNED")&gt;0,"tied","standalone"),"")</f>
        <v/>
      </c>
    </row>
    <row r="13647" spans="6:14">
      <c r="F13647" s="6">
        <f>IF($M13647="PADD I","PADD 1",IF($M13647="PADD II","PADD 2",IF($M13647="PADD III","PADD 3",IF($M13647="PADD IV","PADD 4",IF($M13647="PADD V","PADD 5","")))))</f>
        <v/>
      </c>
      <c r="G13647" s="6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  <c r="N13647" s="6">
        <f>IF(OR($G13647="FCC",$G13647="Hydrocracker",$G13647="Reformer"),IF(COUNTIFS($D:$D,$D13647,$A:$A,$A13647,$B:$B,$B13647,$G:$G,"CDU",$J:$J,"PLANNED")&gt;0,"tied","standalone"),"")</f>
        <v/>
      </c>
    </row>
    <row r="13648" spans="6:14">
      <c r="F13648" s="6">
        <f>IF($M13648="PADD I","PADD 1",IF($M13648="PADD II","PADD 2",IF($M13648="PADD III","PADD 3",IF($M13648="PADD IV","PADD 4",IF($M13648="PADD V","PADD 5","")))))</f>
        <v/>
      </c>
      <c r="G13648" s="6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  <c r="N13648" s="6">
        <f>IF(OR($G13648="FCC",$G13648="Hydrocracker",$G13648="Reformer"),IF(COUNTIFS($D:$D,$D13648,$A:$A,$A13648,$B:$B,$B13648,$G:$G,"CDU",$J:$J,"PLANNED")&gt;0,"tied","standalone"),"")</f>
        <v/>
      </c>
    </row>
    <row r="13649" spans="6:14">
      <c r="F13649" s="6">
        <f>IF($M13649="PADD I","PADD 1",IF($M13649="PADD II","PADD 2",IF($M13649="PADD III","PADD 3",IF($M13649="PADD IV","PADD 4",IF($M13649="PADD V","PADD 5","")))))</f>
        <v/>
      </c>
      <c r="G13649" s="6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  <c r="N13649" s="6">
        <f>IF(OR($G13649="FCC",$G13649="Hydrocracker",$G13649="Reformer"),IF(COUNTIFS($D:$D,$D13649,$A:$A,$A13649,$B:$B,$B13649,$G:$G,"CDU",$J:$J,"PLANNED")&gt;0,"tied","standalone"),"")</f>
        <v/>
      </c>
    </row>
    <row r="13650" spans="6:14">
      <c r="F13650" s="6">
        <f>IF($M13650="PADD I","PADD 1",IF($M13650="PADD II","PADD 2",IF($M13650="PADD III","PADD 3",IF($M13650="PADD IV","PADD 4",IF($M13650="PADD V","PADD 5","")))))</f>
        <v/>
      </c>
      <c r="G13650" s="6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  <c r="N13650" s="6">
        <f>IF(OR($G13650="FCC",$G13650="Hydrocracker",$G13650="Reformer"),IF(COUNTIFS($D:$D,$D13650,$A:$A,$A13650,$B:$B,$B13650,$G:$G,"CDU",$J:$J,"PLANNED")&gt;0,"tied","standalone"),"")</f>
        <v/>
      </c>
    </row>
    <row r="13651" spans="6:14">
      <c r="F13651" s="6">
        <f>IF($M13651="PADD I","PADD 1",IF($M13651="PADD II","PADD 2",IF($M13651="PADD III","PADD 3",IF($M13651="PADD IV","PADD 4",IF($M13651="PADD V","PADD 5","")))))</f>
        <v/>
      </c>
      <c r="G13651" s="6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  <c r="N13651" s="6">
        <f>IF(OR($G13651="FCC",$G13651="Hydrocracker",$G13651="Reformer"),IF(COUNTIFS($D:$D,$D13651,$A:$A,$A13651,$B:$B,$B13651,$G:$G,"CDU",$J:$J,"PLANNED")&gt;0,"tied","standalone"),"")</f>
        <v/>
      </c>
    </row>
    <row r="13652" spans="6:14">
      <c r="F13652" s="6">
        <f>IF($M13652="PADD I","PADD 1",IF($M13652="PADD II","PADD 2",IF($M13652="PADD III","PADD 3",IF($M13652="PADD IV","PADD 4",IF($M13652="PADD V","PADD 5","")))))</f>
        <v/>
      </c>
      <c r="G13652" s="6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  <c r="N13652" s="6">
        <f>IF(OR($G13652="FCC",$G13652="Hydrocracker",$G13652="Reformer"),IF(COUNTIFS($D:$D,$D13652,$A:$A,$A13652,$B:$B,$B13652,$G:$G,"CDU",$J:$J,"PLANNED")&gt;0,"tied","standalone"),"")</f>
        <v/>
      </c>
    </row>
    <row r="13653" spans="6:14">
      <c r="F13653" s="6">
        <f>IF($M13653="PADD I","PADD 1",IF($M13653="PADD II","PADD 2",IF($M13653="PADD III","PADD 3",IF($M13653="PADD IV","PADD 4",IF($M13653="PADD V","PADD 5","")))))</f>
        <v/>
      </c>
      <c r="G13653" s="6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  <c r="N13653" s="6">
        <f>IF(OR($G13653="FCC",$G13653="Hydrocracker",$G13653="Reformer"),IF(COUNTIFS($D:$D,$D13653,$A:$A,$A13653,$B:$B,$B13653,$G:$G,"CDU",$J:$J,"PLANNED")&gt;0,"tied","standalone"),"")</f>
        <v/>
      </c>
    </row>
    <row r="13654" spans="6:14">
      <c r="F13654" s="6">
        <f>IF($M13654="PADD I","PADD 1",IF($M13654="PADD II","PADD 2",IF($M13654="PADD III","PADD 3",IF($M13654="PADD IV","PADD 4",IF($M13654="PADD V","PADD 5","")))))</f>
        <v/>
      </c>
      <c r="G13654" s="6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  <c r="N13654" s="6">
        <f>IF(OR($G13654="FCC",$G13654="Hydrocracker",$G13654="Reformer"),IF(COUNTIFS($D:$D,$D13654,$A:$A,$A13654,$B:$B,$B13654,$G:$G,"CDU",$J:$J,"PLANNED")&gt;0,"tied","standalone"),"")</f>
        <v/>
      </c>
    </row>
    <row r="13655" spans="6:14">
      <c r="F13655" s="6">
        <f>IF($M13655="PADD I","PADD 1",IF($M13655="PADD II","PADD 2",IF($M13655="PADD III","PADD 3",IF($M13655="PADD IV","PADD 4",IF($M13655="PADD V","PADD 5","")))))</f>
        <v/>
      </c>
      <c r="G13655" s="6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  <c r="N13655" s="6">
        <f>IF(OR($G13655="FCC",$G13655="Hydrocracker",$G13655="Reformer"),IF(COUNTIFS($D:$D,$D13655,$A:$A,$A13655,$B:$B,$B13655,$G:$G,"CDU",$J:$J,"PLANNED")&gt;0,"tied","standalone"),"")</f>
        <v/>
      </c>
    </row>
    <row r="13656" spans="6:14">
      <c r="F13656" s="6">
        <f>IF($M13656="PADD I","PADD 1",IF($M13656="PADD II","PADD 2",IF($M13656="PADD III","PADD 3",IF($M13656="PADD IV","PADD 4",IF($M13656="PADD V","PADD 5","")))))</f>
        <v/>
      </c>
      <c r="G13656" s="6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  <c r="N13656" s="6">
        <f>IF(OR($G13656="FCC",$G13656="Hydrocracker",$G13656="Reformer"),IF(COUNTIFS($D:$D,$D13656,$A:$A,$A13656,$B:$B,$B13656,$G:$G,"CDU",$J:$J,"PLANNED")&gt;0,"tied","standalone"),"")</f>
        <v/>
      </c>
    </row>
    <row r="13657" spans="6:14">
      <c r="F13657" s="6">
        <f>IF($M13657="PADD I","PADD 1",IF($M13657="PADD II","PADD 2",IF($M13657="PADD III","PADD 3",IF($M13657="PADD IV","PADD 4",IF($M13657="PADD V","PADD 5","")))))</f>
        <v/>
      </c>
      <c r="G13657" s="6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  <c r="N13657" s="6">
        <f>IF(OR($G13657="FCC",$G13657="Hydrocracker",$G13657="Reformer"),IF(COUNTIFS($D:$D,$D13657,$A:$A,$A13657,$B:$B,$B13657,$G:$G,"CDU",$J:$J,"PLANNED")&gt;0,"tied","standalone"),"")</f>
        <v/>
      </c>
    </row>
    <row r="13658" spans="6:14">
      <c r="F13658" s="6">
        <f>IF($M13658="PADD I","PADD 1",IF($M13658="PADD II","PADD 2",IF($M13658="PADD III","PADD 3",IF($M13658="PADD IV","PADD 4",IF($M13658="PADD V","PADD 5","")))))</f>
        <v/>
      </c>
      <c r="G13658" s="6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  <c r="N13658" s="6">
        <f>IF(OR($G13658="FCC",$G13658="Hydrocracker",$G13658="Reformer"),IF(COUNTIFS($D:$D,$D13658,$A:$A,$A13658,$B:$B,$B13658,$G:$G,"CDU",$J:$J,"PLANNED")&gt;0,"tied","standalone"),"")</f>
        <v/>
      </c>
    </row>
    <row r="13659" spans="6:14">
      <c r="F13659" s="6">
        <f>IF($M13659="PADD I","PADD 1",IF($M13659="PADD II","PADD 2",IF($M13659="PADD III","PADD 3",IF($M13659="PADD IV","PADD 4",IF($M13659="PADD V","PADD 5","")))))</f>
        <v/>
      </c>
      <c r="G13659" s="6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  <c r="N13659" s="6">
        <f>IF(OR($G13659="FCC",$G13659="Hydrocracker",$G13659="Reformer"),IF(COUNTIFS($D:$D,$D13659,$A:$A,$A13659,$B:$B,$B13659,$G:$G,"CDU",$J:$J,"PLANNED")&gt;0,"tied","standalone"),"")</f>
        <v/>
      </c>
    </row>
    <row r="13660" spans="6:14">
      <c r="F13660" s="6">
        <f>IF($M13660="PADD I","PADD 1",IF($M13660="PADD II","PADD 2",IF($M13660="PADD III","PADD 3",IF($M13660="PADD IV","PADD 4",IF($M13660="PADD V","PADD 5","")))))</f>
        <v/>
      </c>
      <c r="G13660" s="6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  <c r="N13660" s="6">
        <f>IF(OR($G13660="FCC",$G13660="Hydrocracker",$G13660="Reformer"),IF(COUNTIFS($D:$D,$D13660,$A:$A,$A13660,$B:$B,$B13660,$G:$G,"CDU",$J:$J,"PLANNED")&gt;0,"tied","standalone"),"")</f>
        <v/>
      </c>
    </row>
    <row r="13661" spans="6:14">
      <c r="F13661" s="6">
        <f>IF($M13661="PADD I","PADD 1",IF($M13661="PADD II","PADD 2",IF($M13661="PADD III","PADD 3",IF($M13661="PADD IV","PADD 4",IF($M13661="PADD V","PADD 5","")))))</f>
        <v/>
      </c>
      <c r="G13661" s="6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  <c r="N13661" s="6">
        <f>IF(OR($G13661="FCC",$G13661="Hydrocracker",$G13661="Reformer"),IF(COUNTIFS($D:$D,$D13661,$A:$A,$A13661,$B:$B,$B13661,$G:$G,"CDU",$J:$J,"PLANNED")&gt;0,"tied","standalone"),"")</f>
        <v/>
      </c>
    </row>
    <row r="13662" spans="6:14">
      <c r="F13662" s="6">
        <f>IF($M13662="PADD I","PADD 1",IF($M13662="PADD II","PADD 2",IF($M13662="PADD III","PADD 3",IF($M13662="PADD IV","PADD 4",IF($M13662="PADD V","PADD 5","")))))</f>
        <v/>
      </c>
      <c r="G13662" s="6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  <c r="N13662" s="6">
        <f>IF(OR($G13662="FCC",$G13662="Hydrocracker",$G13662="Reformer"),IF(COUNTIFS($D:$D,$D13662,$A:$A,$A13662,$B:$B,$B13662,$G:$G,"CDU",$J:$J,"PLANNED")&gt;0,"tied","standalone"),"")</f>
        <v/>
      </c>
    </row>
    <row r="13663" spans="6:14">
      <c r="F13663" s="6">
        <f>IF($M13663="PADD I","PADD 1",IF($M13663="PADD II","PADD 2",IF($M13663="PADD III","PADD 3",IF($M13663="PADD IV","PADD 4",IF($M13663="PADD V","PADD 5","")))))</f>
        <v/>
      </c>
      <c r="G13663" s="6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  <c r="N13663" s="6">
        <f>IF(OR($G13663="FCC",$G13663="Hydrocracker",$G13663="Reformer"),IF(COUNTIFS($D:$D,$D13663,$A:$A,$A13663,$B:$B,$B13663,$G:$G,"CDU",$J:$J,"PLANNED")&gt;0,"tied","standalone"),"")</f>
        <v/>
      </c>
    </row>
    <row r="13664" spans="6:14">
      <c r="F13664" s="6">
        <f>IF($M13664="PADD I","PADD 1",IF($M13664="PADD II","PADD 2",IF($M13664="PADD III","PADD 3",IF($M13664="PADD IV","PADD 4",IF($M13664="PADD V","PADD 5","")))))</f>
        <v/>
      </c>
      <c r="G13664" s="6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  <c r="N13664" s="6">
        <f>IF(OR($G13664="FCC",$G13664="Hydrocracker",$G13664="Reformer"),IF(COUNTIFS($D:$D,$D13664,$A:$A,$A13664,$B:$B,$B13664,$G:$G,"CDU",$J:$J,"PLANNED")&gt;0,"tied","standalone"),"")</f>
        <v/>
      </c>
    </row>
    <row r="13665" spans="6:14">
      <c r="F13665" s="6">
        <f>IF($M13665="PADD I","PADD 1",IF($M13665="PADD II","PADD 2",IF($M13665="PADD III","PADD 3",IF($M13665="PADD IV","PADD 4",IF($M13665="PADD V","PADD 5","")))))</f>
        <v/>
      </c>
      <c r="G13665" s="6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  <c r="N13665" s="6">
        <f>IF(OR($G13665="FCC",$G13665="Hydrocracker",$G13665="Reformer"),IF(COUNTIFS($D:$D,$D13665,$A:$A,$A13665,$B:$B,$B13665,$G:$G,"CDU",$J:$J,"PLANNED")&gt;0,"tied","standalone"),"")</f>
        <v/>
      </c>
    </row>
    <row r="13666" spans="6:14">
      <c r="F13666" s="6">
        <f>IF($M13666="PADD I","PADD 1",IF($M13666="PADD II","PADD 2",IF($M13666="PADD III","PADD 3",IF($M13666="PADD IV","PADD 4",IF($M13666="PADD V","PADD 5","")))))</f>
        <v/>
      </c>
      <c r="G13666" s="6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  <c r="N13666" s="6">
        <f>IF(OR($G13666="FCC",$G13666="Hydrocracker",$G13666="Reformer"),IF(COUNTIFS($D:$D,$D13666,$A:$A,$A13666,$B:$B,$B13666,$G:$G,"CDU",$J:$J,"PLANNED")&gt;0,"tied","standalone"),"")</f>
        <v/>
      </c>
    </row>
    <row r="13667" spans="6:14">
      <c r="F13667" s="6">
        <f>IF($M13667="PADD I","PADD 1",IF($M13667="PADD II","PADD 2",IF($M13667="PADD III","PADD 3",IF($M13667="PADD IV","PADD 4",IF($M13667="PADD V","PADD 5","")))))</f>
        <v/>
      </c>
      <c r="G13667" s="6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  <c r="N13667" s="6">
        <f>IF(OR($G13667="FCC",$G13667="Hydrocracker",$G13667="Reformer"),IF(COUNTIFS($D:$D,$D13667,$A:$A,$A13667,$B:$B,$B13667,$G:$G,"CDU",$J:$J,"PLANNED")&gt;0,"tied","standalone"),"")</f>
        <v/>
      </c>
    </row>
    <row r="13668" spans="6:14">
      <c r="F13668" s="6">
        <f>IF($M13668="PADD I","PADD 1",IF($M13668="PADD II","PADD 2",IF($M13668="PADD III","PADD 3",IF($M13668="PADD IV","PADD 4",IF($M13668="PADD V","PADD 5","")))))</f>
        <v/>
      </c>
      <c r="G13668" s="6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  <c r="N13668" s="6">
        <f>IF(OR($G13668="FCC",$G13668="Hydrocracker",$G13668="Reformer"),IF(COUNTIFS($D:$D,$D13668,$A:$A,$A13668,$B:$B,$B13668,$G:$G,"CDU",$J:$J,"PLANNED")&gt;0,"tied","standalone"),"")</f>
        <v/>
      </c>
    </row>
    <row r="13669" spans="6:14">
      <c r="F13669" s="6">
        <f>IF($M13669="PADD I","PADD 1",IF($M13669="PADD II","PADD 2",IF($M13669="PADD III","PADD 3",IF($M13669="PADD IV","PADD 4",IF($M13669="PADD V","PADD 5","")))))</f>
        <v/>
      </c>
      <c r="G13669" s="6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  <c r="N13669" s="6">
        <f>IF(OR($G13669="FCC",$G13669="Hydrocracker",$G13669="Reformer"),IF(COUNTIFS($D:$D,$D13669,$A:$A,$A13669,$B:$B,$B13669,$G:$G,"CDU",$J:$J,"PLANNED")&gt;0,"tied","standalone"),"")</f>
        <v/>
      </c>
    </row>
    <row r="13670" spans="6:14">
      <c r="F13670" s="6">
        <f>IF($M13670="PADD I","PADD 1",IF($M13670="PADD II","PADD 2",IF($M13670="PADD III","PADD 3",IF($M13670="PADD IV","PADD 4",IF($M13670="PADD V","PADD 5","")))))</f>
        <v/>
      </c>
      <c r="G13670" s="6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  <c r="N13670" s="6">
        <f>IF(OR($G13670="FCC",$G13670="Hydrocracker",$G13670="Reformer"),IF(COUNTIFS($D:$D,$D13670,$A:$A,$A13670,$B:$B,$B13670,$G:$G,"CDU",$J:$J,"PLANNED")&gt;0,"tied","standalone"),"")</f>
        <v/>
      </c>
    </row>
    <row r="13671" spans="6:14">
      <c r="F13671" s="6">
        <f>IF($M13671="PADD I","PADD 1",IF($M13671="PADD II","PADD 2",IF($M13671="PADD III","PADD 3",IF($M13671="PADD IV","PADD 4",IF($M13671="PADD V","PADD 5","")))))</f>
        <v/>
      </c>
      <c r="G13671" s="6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  <c r="N13671" s="6">
        <f>IF(OR($G13671="FCC",$G13671="Hydrocracker",$G13671="Reformer"),IF(COUNTIFS($D:$D,$D13671,$A:$A,$A13671,$B:$B,$B13671,$G:$G,"CDU",$J:$J,"PLANNED")&gt;0,"tied","standalone"),"")</f>
        <v/>
      </c>
    </row>
    <row r="13672" spans="6:14">
      <c r="F13672" s="6">
        <f>IF($M13672="PADD I","PADD 1",IF($M13672="PADD II","PADD 2",IF($M13672="PADD III","PADD 3",IF($M13672="PADD IV","PADD 4",IF($M13672="PADD V","PADD 5","")))))</f>
        <v/>
      </c>
      <c r="G13672" s="6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  <c r="N13672" s="6">
        <f>IF(OR($G13672="FCC",$G13672="Hydrocracker",$G13672="Reformer"),IF(COUNTIFS($D:$D,$D13672,$A:$A,$A13672,$B:$B,$B13672,$G:$G,"CDU",$J:$J,"PLANNED")&gt;0,"tied","standalone"),"")</f>
        <v/>
      </c>
    </row>
    <row r="13673" spans="6:14">
      <c r="F13673" s="6">
        <f>IF($M13673="PADD I","PADD 1",IF($M13673="PADD II","PADD 2",IF($M13673="PADD III","PADD 3",IF($M13673="PADD IV","PADD 4",IF($M13673="PADD V","PADD 5","")))))</f>
        <v/>
      </c>
      <c r="G13673" s="6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  <c r="N13673" s="6">
        <f>IF(OR($G13673="FCC",$G13673="Hydrocracker",$G13673="Reformer"),IF(COUNTIFS($D:$D,$D13673,$A:$A,$A13673,$B:$B,$B13673,$G:$G,"CDU",$J:$J,"PLANNED")&gt;0,"tied","standalone"),"")</f>
        <v/>
      </c>
    </row>
    <row r="13674" spans="6:14">
      <c r="F13674" s="6">
        <f>IF($M13674="PADD I","PADD 1",IF($M13674="PADD II","PADD 2",IF($M13674="PADD III","PADD 3",IF($M13674="PADD IV","PADD 4",IF($M13674="PADD V","PADD 5","")))))</f>
        <v/>
      </c>
      <c r="G13674" s="6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  <c r="N13674" s="6">
        <f>IF(OR($G13674="FCC",$G13674="Hydrocracker",$G13674="Reformer"),IF(COUNTIFS($D:$D,$D13674,$A:$A,$A13674,$B:$B,$B13674,$G:$G,"CDU",$J:$J,"PLANNED")&gt;0,"tied","standalone"),"")</f>
        <v/>
      </c>
    </row>
    <row r="13675" spans="6:14">
      <c r="F13675" s="6">
        <f>IF($M13675="PADD I","PADD 1",IF($M13675="PADD II","PADD 2",IF($M13675="PADD III","PADD 3",IF($M13675="PADD IV","PADD 4",IF($M13675="PADD V","PADD 5","")))))</f>
        <v/>
      </c>
      <c r="G13675" s="6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  <c r="N13675" s="6">
        <f>IF(OR($G13675="FCC",$G13675="Hydrocracker",$G13675="Reformer"),IF(COUNTIFS($D:$D,$D13675,$A:$A,$A13675,$B:$B,$B13675,$G:$G,"CDU",$J:$J,"PLANNED")&gt;0,"tied","standalone"),"")</f>
        <v/>
      </c>
    </row>
    <row r="13676" spans="6:14">
      <c r="F13676" s="6">
        <f>IF($M13676="PADD I","PADD 1",IF($M13676="PADD II","PADD 2",IF($M13676="PADD III","PADD 3",IF($M13676="PADD IV","PADD 4",IF($M13676="PADD V","PADD 5","")))))</f>
        <v/>
      </c>
      <c r="G13676" s="6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  <c r="N13676" s="6">
        <f>IF(OR($G13676="FCC",$G13676="Hydrocracker",$G13676="Reformer"),IF(COUNTIFS($D:$D,$D13676,$A:$A,$A13676,$B:$B,$B13676,$G:$G,"CDU",$J:$J,"PLANNED")&gt;0,"tied","standalone"),"")</f>
        <v/>
      </c>
    </row>
    <row r="13677" spans="6:14">
      <c r="F13677" s="6">
        <f>IF($M13677="PADD I","PADD 1",IF($M13677="PADD II","PADD 2",IF($M13677="PADD III","PADD 3",IF($M13677="PADD IV","PADD 4",IF($M13677="PADD V","PADD 5","")))))</f>
        <v/>
      </c>
      <c r="G13677" s="6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  <c r="N13677" s="6">
        <f>IF(OR($G13677="FCC",$G13677="Hydrocracker",$G13677="Reformer"),IF(COUNTIFS($D:$D,$D13677,$A:$A,$A13677,$B:$B,$B13677,$G:$G,"CDU",$J:$J,"PLANNED")&gt;0,"tied","standalone"),"")</f>
        <v/>
      </c>
    </row>
    <row r="13678" spans="6:14">
      <c r="F13678" s="6">
        <f>IF($M13678="PADD I","PADD 1",IF($M13678="PADD II","PADD 2",IF($M13678="PADD III","PADD 3",IF($M13678="PADD IV","PADD 4",IF($M13678="PADD V","PADD 5","")))))</f>
        <v/>
      </c>
      <c r="G13678" s="6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  <c r="N13678" s="6">
        <f>IF(OR($G13678="FCC",$G13678="Hydrocracker",$G13678="Reformer"),IF(COUNTIFS($D:$D,$D13678,$A:$A,$A13678,$B:$B,$B13678,$G:$G,"CDU",$J:$J,"PLANNED")&gt;0,"tied","standalone"),"")</f>
        <v/>
      </c>
    </row>
    <row r="13679" spans="6:14">
      <c r="F13679" s="6">
        <f>IF($M13679="PADD I","PADD 1",IF($M13679="PADD II","PADD 2",IF($M13679="PADD III","PADD 3",IF($M13679="PADD IV","PADD 4",IF($M13679="PADD V","PADD 5","")))))</f>
        <v/>
      </c>
      <c r="G13679" s="6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  <c r="N13679" s="6">
        <f>IF(OR($G13679="FCC",$G13679="Hydrocracker",$G13679="Reformer"),IF(COUNTIFS($D:$D,$D13679,$A:$A,$A13679,$B:$B,$B13679,$G:$G,"CDU",$J:$J,"PLANNED")&gt;0,"tied","standalone"),"")</f>
        <v/>
      </c>
    </row>
    <row r="13680" spans="6:14">
      <c r="F13680" s="6">
        <f>IF($M13680="PADD I","PADD 1",IF($M13680="PADD II","PADD 2",IF($M13680="PADD III","PADD 3",IF($M13680="PADD IV","PADD 4",IF($M13680="PADD V","PADD 5","")))))</f>
        <v/>
      </c>
      <c r="G13680" s="6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  <c r="N13680" s="6">
        <f>IF(OR($G13680="FCC",$G13680="Hydrocracker",$G13680="Reformer"),IF(COUNTIFS($D:$D,$D13680,$A:$A,$A13680,$B:$B,$B13680,$G:$G,"CDU",$J:$J,"PLANNED")&gt;0,"tied","standalone"),"")</f>
        <v/>
      </c>
    </row>
    <row r="13681" spans="6:14">
      <c r="F13681" s="6">
        <f>IF($M13681="PADD I","PADD 1",IF($M13681="PADD II","PADD 2",IF($M13681="PADD III","PADD 3",IF($M13681="PADD IV","PADD 4",IF($M13681="PADD V","PADD 5","")))))</f>
        <v/>
      </c>
      <c r="G13681" s="6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  <c r="N13681" s="6">
        <f>IF(OR($G13681="FCC",$G13681="Hydrocracker",$G13681="Reformer"),IF(COUNTIFS($D:$D,$D13681,$A:$A,$A13681,$B:$B,$B13681,$G:$G,"CDU",$J:$J,"PLANNED")&gt;0,"tied","standalone"),"")</f>
        <v/>
      </c>
    </row>
    <row r="13682" spans="6:14">
      <c r="F13682" s="6">
        <f>IF($M13682="PADD I","PADD 1",IF($M13682="PADD II","PADD 2",IF($M13682="PADD III","PADD 3",IF($M13682="PADD IV","PADD 4",IF($M13682="PADD V","PADD 5","")))))</f>
        <v/>
      </c>
      <c r="G13682" s="6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  <c r="N13682" s="6">
        <f>IF(OR($G13682="FCC",$G13682="Hydrocracker",$G13682="Reformer"),IF(COUNTIFS($D:$D,$D13682,$A:$A,$A13682,$B:$B,$B13682,$G:$G,"CDU",$J:$J,"PLANNED")&gt;0,"tied","standalone"),"")</f>
        <v/>
      </c>
    </row>
    <row r="13683" spans="6:14">
      <c r="F13683" s="6">
        <f>IF($M13683="PADD I","PADD 1",IF($M13683="PADD II","PADD 2",IF($M13683="PADD III","PADD 3",IF($M13683="PADD IV","PADD 4",IF($M13683="PADD V","PADD 5","")))))</f>
        <v/>
      </c>
      <c r="G13683" s="6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  <c r="N13683" s="6">
        <f>IF(OR($G13683="FCC",$G13683="Hydrocracker",$G13683="Reformer"),IF(COUNTIFS($D:$D,$D13683,$A:$A,$A13683,$B:$B,$B13683,$G:$G,"CDU",$J:$J,"PLANNED")&gt;0,"tied","standalone"),"")</f>
        <v/>
      </c>
    </row>
    <row r="13684" spans="6:14">
      <c r="F13684" s="6">
        <f>IF($M13684="PADD I","PADD 1",IF($M13684="PADD II","PADD 2",IF($M13684="PADD III","PADD 3",IF($M13684="PADD IV","PADD 4",IF($M13684="PADD V","PADD 5","")))))</f>
        <v/>
      </c>
      <c r="G13684" s="6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  <c r="N13684" s="6">
        <f>IF(OR($G13684="FCC",$G13684="Hydrocracker",$G13684="Reformer"),IF(COUNTIFS($D:$D,$D13684,$A:$A,$A13684,$B:$B,$B13684,$G:$G,"CDU",$J:$J,"PLANNED")&gt;0,"tied","standalone"),"")</f>
        <v/>
      </c>
    </row>
    <row r="13685" spans="6:14">
      <c r="F13685" s="6">
        <f>IF($M13685="PADD I","PADD 1",IF($M13685="PADD II","PADD 2",IF($M13685="PADD III","PADD 3",IF($M13685="PADD IV","PADD 4",IF($M13685="PADD V","PADD 5","")))))</f>
        <v/>
      </c>
      <c r="G13685" s="6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  <c r="N13685" s="6">
        <f>IF(OR($G13685="FCC",$G13685="Hydrocracker",$G13685="Reformer"),IF(COUNTIFS($D:$D,$D13685,$A:$A,$A13685,$B:$B,$B13685,$G:$G,"CDU",$J:$J,"PLANNED")&gt;0,"tied","standalone"),"")</f>
        <v/>
      </c>
    </row>
    <row r="13686" spans="6:14">
      <c r="F13686" s="6">
        <f>IF($M13686="PADD I","PADD 1",IF($M13686="PADD II","PADD 2",IF($M13686="PADD III","PADD 3",IF($M13686="PADD IV","PADD 4",IF($M13686="PADD V","PADD 5","")))))</f>
        <v/>
      </c>
      <c r="G13686" s="6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  <c r="N13686" s="6">
        <f>IF(OR($G13686="FCC",$G13686="Hydrocracker",$G13686="Reformer"),IF(COUNTIFS($D:$D,$D13686,$A:$A,$A13686,$B:$B,$B13686,$G:$G,"CDU",$J:$J,"PLANNED")&gt;0,"tied","standalone"),"")</f>
        <v/>
      </c>
    </row>
    <row r="13687" spans="6:14">
      <c r="F13687" s="6">
        <f>IF($M13687="PADD I","PADD 1",IF($M13687="PADD II","PADD 2",IF($M13687="PADD III","PADD 3",IF($M13687="PADD IV","PADD 4",IF($M13687="PADD V","PADD 5","")))))</f>
        <v/>
      </c>
      <c r="G13687" s="6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  <c r="N13687" s="6">
        <f>IF(OR($G13687="FCC",$G13687="Hydrocracker",$G13687="Reformer"),IF(COUNTIFS($D:$D,$D13687,$A:$A,$A13687,$B:$B,$B13687,$G:$G,"CDU",$J:$J,"PLANNED")&gt;0,"tied","standalone"),"")</f>
        <v/>
      </c>
    </row>
    <row r="13688" spans="6:14">
      <c r="F13688" s="6">
        <f>IF($M13688="PADD I","PADD 1",IF($M13688="PADD II","PADD 2",IF($M13688="PADD III","PADD 3",IF($M13688="PADD IV","PADD 4",IF($M13688="PADD V","PADD 5","")))))</f>
        <v/>
      </c>
      <c r="G13688" s="6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  <c r="N13688" s="6">
        <f>IF(OR($G13688="FCC",$G13688="Hydrocracker",$G13688="Reformer"),IF(COUNTIFS($D:$D,$D13688,$A:$A,$A13688,$B:$B,$B13688,$G:$G,"CDU",$J:$J,"PLANNED")&gt;0,"tied","standalone"),"")</f>
        <v/>
      </c>
    </row>
    <row r="13689" spans="6:14">
      <c r="F13689" s="6">
        <f>IF($M13689="PADD I","PADD 1",IF($M13689="PADD II","PADD 2",IF($M13689="PADD III","PADD 3",IF($M13689="PADD IV","PADD 4",IF($M13689="PADD V","PADD 5","")))))</f>
        <v/>
      </c>
      <c r="G13689" s="6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  <c r="N13689" s="6">
        <f>IF(OR($G13689="FCC",$G13689="Hydrocracker",$G13689="Reformer"),IF(COUNTIFS($D:$D,$D13689,$A:$A,$A13689,$B:$B,$B13689,$G:$G,"CDU",$J:$J,"PLANNED")&gt;0,"tied","standalone"),"")</f>
        <v/>
      </c>
    </row>
    <row r="13690" spans="6:14">
      <c r="F13690" s="6">
        <f>IF($M13690="PADD I","PADD 1",IF($M13690="PADD II","PADD 2",IF($M13690="PADD III","PADD 3",IF($M13690="PADD IV","PADD 4",IF($M13690="PADD V","PADD 5","")))))</f>
        <v/>
      </c>
      <c r="G13690" s="6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  <c r="N13690" s="6">
        <f>IF(OR($G13690="FCC",$G13690="Hydrocracker",$G13690="Reformer"),IF(COUNTIFS($D:$D,$D13690,$A:$A,$A13690,$B:$B,$B13690,$G:$G,"CDU",$J:$J,"PLANNED")&gt;0,"tied","standalone"),"")</f>
        <v/>
      </c>
    </row>
    <row r="13691" spans="6:14">
      <c r="F13691" s="6">
        <f>IF($M13691="PADD I","PADD 1",IF($M13691="PADD II","PADD 2",IF($M13691="PADD III","PADD 3",IF($M13691="PADD IV","PADD 4",IF($M13691="PADD V","PADD 5","")))))</f>
        <v/>
      </c>
      <c r="G13691" s="6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  <c r="N13691" s="6">
        <f>IF(OR($G13691="FCC",$G13691="Hydrocracker",$G13691="Reformer"),IF(COUNTIFS($D:$D,$D13691,$A:$A,$A13691,$B:$B,$B13691,$G:$G,"CDU",$J:$J,"PLANNED")&gt;0,"tied","standalone"),"")</f>
        <v/>
      </c>
    </row>
    <row r="13692" spans="6:14">
      <c r="F13692" s="6">
        <f>IF($M13692="PADD I","PADD 1",IF($M13692="PADD II","PADD 2",IF($M13692="PADD III","PADD 3",IF($M13692="PADD IV","PADD 4",IF($M13692="PADD V","PADD 5","")))))</f>
        <v/>
      </c>
      <c r="G13692" s="6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  <c r="N13692" s="6">
        <f>IF(OR($G13692="FCC",$G13692="Hydrocracker",$G13692="Reformer"),IF(COUNTIFS($D:$D,$D13692,$A:$A,$A13692,$B:$B,$B13692,$G:$G,"CDU",$J:$J,"PLANNED")&gt;0,"tied","standalone"),"")</f>
        <v/>
      </c>
    </row>
    <row r="13693" spans="6:14">
      <c r="F13693" s="6">
        <f>IF($M13693="PADD I","PADD 1",IF($M13693="PADD II","PADD 2",IF($M13693="PADD III","PADD 3",IF($M13693="PADD IV","PADD 4",IF($M13693="PADD V","PADD 5","")))))</f>
        <v/>
      </c>
      <c r="G13693" s="6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  <c r="N13693" s="6">
        <f>IF(OR($G13693="FCC",$G13693="Hydrocracker",$G13693="Reformer"),IF(COUNTIFS($D:$D,$D13693,$A:$A,$A13693,$B:$B,$B13693,$G:$G,"CDU",$J:$J,"PLANNED")&gt;0,"tied","standalone"),"")</f>
        <v/>
      </c>
    </row>
    <row r="13694" spans="6:14">
      <c r="F13694" s="6">
        <f>IF($M13694="PADD I","PADD 1",IF($M13694="PADD II","PADD 2",IF($M13694="PADD III","PADD 3",IF($M13694="PADD IV","PADD 4",IF($M13694="PADD V","PADD 5","")))))</f>
        <v/>
      </c>
      <c r="G13694" s="6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  <c r="N13694" s="6">
        <f>IF(OR($G13694="FCC",$G13694="Hydrocracker",$G13694="Reformer"),IF(COUNTIFS($D:$D,$D13694,$A:$A,$A13694,$B:$B,$B13694,$G:$G,"CDU",$J:$J,"PLANNED")&gt;0,"tied","standalone"),"")</f>
        <v/>
      </c>
    </row>
    <row r="13695" spans="6:14">
      <c r="F13695" s="6">
        <f>IF($M13695="PADD I","PADD 1",IF($M13695="PADD II","PADD 2",IF($M13695="PADD III","PADD 3",IF($M13695="PADD IV","PADD 4",IF($M13695="PADD V","PADD 5","")))))</f>
        <v/>
      </c>
      <c r="G13695" s="6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  <c r="N13695" s="6">
        <f>IF(OR($G13695="FCC",$G13695="Hydrocracker",$G13695="Reformer"),IF(COUNTIFS($D:$D,$D13695,$A:$A,$A13695,$B:$B,$B13695,$G:$G,"CDU",$J:$J,"PLANNED")&gt;0,"tied","standalone"),"")</f>
        <v/>
      </c>
    </row>
    <row r="13696" spans="6:14">
      <c r="F13696" s="6">
        <f>IF($M13696="PADD I","PADD 1",IF($M13696="PADD II","PADD 2",IF($M13696="PADD III","PADD 3",IF($M13696="PADD IV","PADD 4",IF($M13696="PADD V","PADD 5","")))))</f>
        <v/>
      </c>
      <c r="G13696" s="6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  <c r="N13696" s="6">
        <f>IF(OR($G13696="FCC",$G13696="Hydrocracker",$G13696="Reformer"),IF(COUNTIFS($D:$D,$D13696,$A:$A,$A13696,$B:$B,$B13696,$G:$G,"CDU",$J:$J,"PLANNED")&gt;0,"tied","standalone"),"")</f>
        <v/>
      </c>
    </row>
    <row r="13697" spans="6:14">
      <c r="F13697" s="6">
        <f>IF($M13697="PADD I","PADD 1",IF($M13697="PADD II","PADD 2",IF($M13697="PADD III","PADD 3",IF($M13697="PADD IV","PADD 4",IF($M13697="PADD V","PADD 5","")))))</f>
        <v/>
      </c>
      <c r="G13697" s="6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  <c r="N13697" s="6">
        <f>IF(OR($G13697="FCC",$G13697="Hydrocracker",$G13697="Reformer"),IF(COUNTIFS($D:$D,$D13697,$A:$A,$A13697,$B:$B,$B13697,$G:$G,"CDU",$J:$J,"PLANNED")&gt;0,"tied","standalone"),"")</f>
        <v/>
      </c>
    </row>
    <row r="13698" spans="6:14">
      <c r="F13698" s="6">
        <f>IF($M13698="PADD I","PADD 1",IF($M13698="PADD II","PADD 2",IF($M13698="PADD III","PADD 3",IF($M13698="PADD IV","PADD 4",IF($M13698="PADD V","PADD 5","")))))</f>
        <v/>
      </c>
      <c r="G13698" s="6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  <c r="N13698" s="6">
        <f>IF(OR($G13698="FCC",$G13698="Hydrocracker",$G13698="Reformer"),IF(COUNTIFS($D:$D,$D13698,$A:$A,$A13698,$B:$B,$B13698,$G:$G,"CDU",$J:$J,"PLANNED")&gt;0,"tied","standalone"),"")</f>
        <v/>
      </c>
    </row>
    <row r="13699" spans="6:14">
      <c r="F13699" s="6">
        <f>IF($M13699="PADD I","PADD 1",IF($M13699="PADD II","PADD 2",IF($M13699="PADD III","PADD 3",IF($M13699="PADD IV","PADD 4",IF($M13699="PADD V","PADD 5","")))))</f>
        <v/>
      </c>
      <c r="G13699" s="6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  <c r="N13699" s="6">
        <f>IF(OR($G13699="FCC",$G13699="Hydrocracker",$G13699="Reformer"),IF(COUNTIFS($D:$D,$D13699,$A:$A,$A13699,$B:$B,$B13699,$G:$G,"CDU",$J:$J,"PLANNED")&gt;0,"tied","standalone"),"")</f>
        <v/>
      </c>
    </row>
    <row r="13700" spans="6:14">
      <c r="F13700" s="6">
        <f>IF($M13700="PADD I","PADD 1",IF($M13700="PADD II","PADD 2",IF($M13700="PADD III","PADD 3",IF($M13700="PADD IV","PADD 4",IF($M13700="PADD V","PADD 5","")))))</f>
        <v/>
      </c>
      <c r="G13700" s="6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  <c r="N13700" s="6">
        <f>IF(OR($G13700="FCC",$G13700="Hydrocracker",$G13700="Reformer"),IF(COUNTIFS($D:$D,$D13700,$A:$A,$A13700,$B:$B,$B13700,$G:$G,"CDU",$J:$J,"PLANNED")&gt;0,"tied","standalone"),"")</f>
        <v/>
      </c>
    </row>
    <row r="13701" spans="6:14">
      <c r="F13701" s="6">
        <f>IF($M13701="PADD I","PADD 1",IF($M13701="PADD II","PADD 2",IF($M13701="PADD III","PADD 3",IF($M13701="PADD IV","PADD 4",IF($M13701="PADD V","PADD 5","")))))</f>
        <v/>
      </c>
      <c r="G13701" s="6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  <c r="N13701" s="6">
        <f>IF(OR($G13701="FCC",$G13701="Hydrocracker",$G13701="Reformer"),IF(COUNTIFS($D:$D,$D13701,$A:$A,$A13701,$B:$B,$B13701,$G:$G,"CDU",$J:$J,"PLANNED")&gt;0,"tied","standalone"),"")</f>
        <v/>
      </c>
    </row>
    <row r="13702" spans="6:14">
      <c r="F13702" s="6">
        <f>IF($M13702="PADD I","PADD 1",IF($M13702="PADD II","PADD 2",IF($M13702="PADD III","PADD 3",IF($M13702="PADD IV","PADD 4",IF($M13702="PADD V","PADD 5","")))))</f>
        <v/>
      </c>
      <c r="G13702" s="6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  <c r="N13702" s="6">
        <f>IF(OR($G13702="FCC",$G13702="Hydrocracker",$G13702="Reformer"),IF(COUNTIFS($D:$D,$D13702,$A:$A,$A13702,$B:$B,$B13702,$G:$G,"CDU",$J:$J,"PLANNED")&gt;0,"tied","standalone"),"")</f>
        <v/>
      </c>
    </row>
    <row r="13703" spans="6:14">
      <c r="F13703" s="6">
        <f>IF($M13703="PADD I","PADD 1",IF($M13703="PADD II","PADD 2",IF($M13703="PADD III","PADD 3",IF($M13703="PADD IV","PADD 4",IF($M13703="PADD V","PADD 5","")))))</f>
        <v/>
      </c>
      <c r="G13703" s="6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  <c r="N13703" s="6">
        <f>IF(OR($G13703="FCC",$G13703="Hydrocracker",$G13703="Reformer"),IF(COUNTIFS($D:$D,$D13703,$A:$A,$A13703,$B:$B,$B13703,$G:$G,"CDU",$J:$J,"PLANNED")&gt;0,"tied","standalone"),"")</f>
        <v/>
      </c>
    </row>
    <row r="13704" spans="6:14">
      <c r="F13704" s="6">
        <f>IF($M13704="PADD I","PADD 1",IF($M13704="PADD II","PADD 2",IF($M13704="PADD III","PADD 3",IF($M13704="PADD IV","PADD 4",IF($M13704="PADD V","PADD 5","")))))</f>
        <v/>
      </c>
      <c r="G13704" s="6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  <c r="N13704" s="6">
        <f>IF(OR($G13704="FCC",$G13704="Hydrocracker",$G13704="Reformer"),IF(COUNTIFS($D:$D,$D13704,$A:$A,$A13704,$B:$B,$B13704,$G:$G,"CDU",$J:$J,"PLANNED")&gt;0,"tied","standalone"),"")</f>
        <v/>
      </c>
    </row>
    <row r="13705" spans="6:14">
      <c r="F13705" s="6">
        <f>IF($M13705="PADD I","PADD 1",IF($M13705="PADD II","PADD 2",IF($M13705="PADD III","PADD 3",IF($M13705="PADD IV","PADD 4",IF($M13705="PADD V","PADD 5","")))))</f>
        <v/>
      </c>
      <c r="G13705" s="6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  <c r="N13705" s="6">
        <f>IF(OR($G13705="FCC",$G13705="Hydrocracker",$G13705="Reformer"),IF(COUNTIFS($D:$D,$D13705,$A:$A,$A13705,$B:$B,$B13705,$G:$G,"CDU",$J:$J,"PLANNED")&gt;0,"tied","standalone"),"")</f>
        <v/>
      </c>
    </row>
    <row r="13706" spans="6:14">
      <c r="F13706" s="6">
        <f>IF($M13706="PADD I","PADD 1",IF($M13706="PADD II","PADD 2",IF($M13706="PADD III","PADD 3",IF($M13706="PADD IV","PADD 4",IF($M13706="PADD V","PADD 5","")))))</f>
        <v/>
      </c>
      <c r="G13706" s="6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  <c r="N13706" s="6">
        <f>IF(OR($G13706="FCC",$G13706="Hydrocracker",$G13706="Reformer"),IF(COUNTIFS($D:$D,$D13706,$A:$A,$A13706,$B:$B,$B13706,$G:$G,"CDU",$J:$J,"PLANNED")&gt;0,"tied","standalone"),"")</f>
        <v/>
      </c>
    </row>
    <row r="13707" spans="6:14">
      <c r="F13707" s="6">
        <f>IF($M13707="PADD I","PADD 1",IF($M13707="PADD II","PADD 2",IF($M13707="PADD III","PADD 3",IF($M13707="PADD IV","PADD 4",IF($M13707="PADD V","PADD 5","")))))</f>
        <v/>
      </c>
      <c r="G13707" s="6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  <c r="N13707" s="6">
        <f>IF(OR($G13707="FCC",$G13707="Hydrocracker",$G13707="Reformer"),IF(COUNTIFS($D:$D,$D13707,$A:$A,$A13707,$B:$B,$B13707,$G:$G,"CDU",$J:$J,"PLANNED")&gt;0,"tied","standalone"),"")</f>
        <v/>
      </c>
    </row>
    <row r="13708" spans="6:14">
      <c r="F13708" s="6">
        <f>IF($M13708="PADD I","PADD 1",IF($M13708="PADD II","PADD 2",IF($M13708="PADD III","PADD 3",IF($M13708="PADD IV","PADD 4",IF($M13708="PADD V","PADD 5","")))))</f>
        <v/>
      </c>
      <c r="G13708" s="6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  <c r="N13708" s="6">
        <f>IF(OR($G13708="FCC",$G13708="Hydrocracker",$G13708="Reformer"),IF(COUNTIFS($D:$D,$D13708,$A:$A,$A13708,$B:$B,$B13708,$G:$G,"CDU",$J:$J,"PLANNED")&gt;0,"tied","standalone"),"")</f>
        <v/>
      </c>
    </row>
    <row r="13709" spans="6:14">
      <c r="F13709" s="6">
        <f>IF($M13709="PADD I","PADD 1",IF($M13709="PADD II","PADD 2",IF($M13709="PADD III","PADD 3",IF($M13709="PADD IV","PADD 4",IF($M13709="PADD V","PADD 5","")))))</f>
        <v/>
      </c>
      <c r="G13709" s="6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  <c r="N13709" s="6">
        <f>IF(OR($G13709="FCC",$G13709="Hydrocracker",$G13709="Reformer"),IF(COUNTIFS($D:$D,$D13709,$A:$A,$A13709,$B:$B,$B13709,$G:$G,"CDU",$J:$J,"PLANNED")&gt;0,"tied","standalone"),"")</f>
        <v/>
      </c>
    </row>
    <row r="13710" spans="6:14">
      <c r="F13710" s="6">
        <f>IF($M13710="PADD I","PADD 1",IF($M13710="PADD II","PADD 2",IF($M13710="PADD III","PADD 3",IF($M13710="PADD IV","PADD 4",IF($M13710="PADD V","PADD 5","")))))</f>
        <v/>
      </c>
      <c r="G13710" s="6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  <c r="N13710" s="6">
        <f>IF(OR($G13710="FCC",$G13710="Hydrocracker",$G13710="Reformer"),IF(COUNTIFS($D:$D,$D13710,$A:$A,$A13710,$B:$B,$B13710,$G:$G,"CDU",$J:$J,"PLANNED")&gt;0,"tied","standalone"),"")</f>
        <v/>
      </c>
    </row>
    <row r="13711" spans="6:14">
      <c r="F13711" s="6">
        <f>IF($M13711="PADD I","PADD 1",IF($M13711="PADD II","PADD 2",IF($M13711="PADD III","PADD 3",IF($M13711="PADD IV","PADD 4",IF($M13711="PADD V","PADD 5","")))))</f>
        <v/>
      </c>
      <c r="G13711" s="6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  <c r="N13711" s="6">
        <f>IF(OR($G13711="FCC",$G13711="Hydrocracker",$G13711="Reformer"),IF(COUNTIFS($D:$D,$D13711,$A:$A,$A13711,$B:$B,$B13711,$G:$G,"CDU",$J:$J,"PLANNED")&gt;0,"tied","standalone"),"")</f>
        <v/>
      </c>
    </row>
    <row r="13712" spans="6:14">
      <c r="F13712" s="6">
        <f>IF($M13712="PADD I","PADD 1",IF($M13712="PADD II","PADD 2",IF($M13712="PADD III","PADD 3",IF($M13712="PADD IV","PADD 4",IF($M13712="PADD V","PADD 5","")))))</f>
        <v/>
      </c>
      <c r="G13712" s="6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  <c r="N13712" s="6">
        <f>IF(OR($G13712="FCC",$G13712="Hydrocracker",$G13712="Reformer"),IF(COUNTIFS($D:$D,$D13712,$A:$A,$A13712,$B:$B,$B13712,$G:$G,"CDU",$J:$J,"PLANNED")&gt;0,"tied","standalone"),"")</f>
        <v/>
      </c>
    </row>
    <row r="13713" spans="6:14">
      <c r="F13713" s="6">
        <f>IF($M13713="PADD I","PADD 1",IF($M13713="PADD II","PADD 2",IF($M13713="PADD III","PADD 3",IF($M13713="PADD IV","PADD 4",IF($M13713="PADD V","PADD 5","")))))</f>
        <v/>
      </c>
      <c r="G13713" s="6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  <c r="N13713" s="6">
        <f>IF(OR($G13713="FCC",$G13713="Hydrocracker",$G13713="Reformer"),IF(COUNTIFS($D:$D,$D13713,$A:$A,$A13713,$B:$B,$B13713,$G:$G,"CDU",$J:$J,"PLANNED")&gt;0,"tied","standalone"),"")</f>
        <v/>
      </c>
    </row>
    <row r="13714" spans="6:14">
      <c r="F13714" s="6">
        <f>IF($M13714="PADD I","PADD 1",IF($M13714="PADD II","PADD 2",IF($M13714="PADD III","PADD 3",IF($M13714="PADD IV","PADD 4",IF($M13714="PADD V","PADD 5","")))))</f>
        <v/>
      </c>
      <c r="G13714" s="6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  <c r="N13714" s="6">
        <f>IF(OR($G13714="FCC",$G13714="Hydrocracker",$G13714="Reformer"),IF(COUNTIFS($D:$D,$D13714,$A:$A,$A13714,$B:$B,$B13714,$G:$G,"CDU",$J:$J,"PLANNED")&gt;0,"tied","standalone"),"")</f>
        <v/>
      </c>
    </row>
    <row r="13715" spans="6:14">
      <c r="F13715" s="6">
        <f>IF($M13715="PADD I","PADD 1",IF($M13715="PADD II","PADD 2",IF($M13715="PADD III","PADD 3",IF($M13715="PADD IV","PADD 4",IF($M13715="PADD V","PADD 5","")))))</f>
        <v/>
      </c>
      <c r="G13715" s="6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  <c r="N13715" s="6">
        <f>IF(OR($G13715="FCC",$G13715="Hydrocracker",$G13715="Reformer"),IF(COUNTIFS($D:$D,$D13715,$A:$A,$A13715,$B:$B,$B13715,$G:$G,"CDU",$J:$J,"PLANNED")&gt;0,"tied","standalone"),"")</f>
        <v/>
      </c>
    </row>
    <row r="13716" spans="6:14">
      <c r="F13716" s="6">
        <f>IF($M13716="PADD I","PADD 1",IF($M13716="PADD II","PADD 2",IF($M13716="PADD III","PADD 3",IF($M13716="PADD IV","PADD 4",IF($M13716="PADD V","PADD 5","")))))</f>
        <v/>
      </c>
      <c r="G13716" s="6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  <c r="N13716" s="6">
        <f>IF(OR($G13716="FCC",$G13716="Hydrocracker",$G13716="Reformer"),IF(COUNTIFS($D:$D,$D13716,$A:$A,$A13716,$B:$B,$B13716,$G:$G,"CDU",$J:$J,"PLANNED")&gt;0,"tied","standalone"),"")</f>
        <v/>
      </c>
    </row>
    <row r="13717" spans="6:14">
      <c r="F13717" s="6">
        <f>IF($M13717="PADD I","PADD 1",IF($M13717="PADD II","PADD 2",IF($M13717="PADD III","PADD 3",IF($M13717="PADD IV","PADD 4",IF($M13717="PADD V","PADD 5","")))))</f>
        <v/>
      </c>
      <c r="G13717" s="6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  <c r="N13717" s="6">
        <f>IF(OR($G13717="FCC",$G13717="Hydrocracker",$G13717="Reformer"),IF(COUNTIFS($D:$D,$D13717,$A:$A,$A13717,$B:$B,$B13717,$G:$G,"CDU",$J:$J,"PLANNED")&gt;0,"tied","standalone"),"")</f>
        <v/>
      </c>
    </row>
    <row r="13718" spans="6:14">
      <c r="F13718" s="6">
        <f>IF($M13718="PADD I","PADD 1",IF($M13718="PADD II","PADD 2",IF($M13718="PADD III","PADD 3",IF($M13718="PADD IV","PADD 4",IF($M13718="PADD V","PADD 5","")))))</f>
        <v/>
      </c>
      <c r="G13718" s="6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  <c r="N13718" s="6">
        <f>IF(OR($G13718="FCC",$G13718="Hydrocracker",$G13718="Reformer"),IF(COUNTIFS($D:$D,$D13718,$A:$A,$A13718,$B:$B,$B13718,$G:$G,"CDU",$J:$J,"PLANNED")&gt;0,"tied","standalone"),"")</f>
        <v/>
      </c>
    </row>
    <row r="13719" spans="6:14">
      <c r="F13719" s="6">
        <f>IF($M13719="PADD I","PADD 1",IF($M13719="PADD II","PADD 2",IF($M13719="PADD III","PADD 3",IF($M13719="PADD IV","PADD 4",IF($M13719="PADD V","PADD 5","")))))</f>
        <v/>
      </c>
      <c r="G13719" s="6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  <c r="N13719" s="6">
        <f>IF(OR($G13719="FCC",$G13719="Hydrocracker",$G13719="Reformer"),IF(COUNTIFS($D:$D,$D13719,$A:$A,$A13719,$B:$B,$B13719,$G:$G,"CDU",$J:$J,"PLANNED")&gt;0,"tied","standalone"),"")</f>
        <v/>
      </c>
    </row>
    <row r="13720" spans="6:14">
      <c r="F13720" s="6">
        <f>IF($M13720="PADD I","PADD 1",IF($M13720="PADD II","PADD 2",IF($M13720="PADD III","PADD 3",IF($M13720="PADD IV","PADD 4",IF($M13720="PADD V","PADD 5","")))))</f>
        <v/>
      </c>
      <c r="G13720" s="6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  <c r="N13720" s="6">
        <f>IF(OR($G13720="FCC",$G13720="Hydrocracker",$G13720="Reformer"),IF(COUNTIFS($D:$D,$D13720,$A:$A,$A13720,$B:$B,$B13720,$G:$G,"CDU",$J:$J,"PLANNED")&gt;0,"tied","standalone"),"")</f>
        <v/>
      </c>
    </row>
    <row r="13721" spans="6:14">
      <c r="F13721" s="6">
        <f>IF($M13721="PADD I","PADD 1",IF($M13721="PADD II","PADD 2",IF($M13721="PADD III","PADD 3",IF($M13721="PADD IV","PADD 4",IF($M13721="PADD V","PADD 5","")))))</f>
        <v/>
      </c>
      <c r="G13721" s="6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  <c r="N13721" s="6">
        <f>IF(OR($G13721="FCC",$G13721="Hydrocracker",$G13721="Reformer"),IF(COUNTIFS($D:$D,$D13721,$A:$A,$A13721,$B:$B,$B13721,$G:$G,"CDU",$J:$J,"PLANNED")&gt;0,"tied","standalone"),"")</f>
        <v/>
      </c>
    </row>
    <row r="13722" spans="6:14">
      <c r="F13722" s="6">
        <f>IF($M13722="PADD I","PADD 1",IF($M13722="PADD II","PADD 2",IF($M13722="PADD III","PADD 3",IF($M13722="PADD IV","PADD 4",IF($M13722="PADD V","PADD 5","")))))</f>
        <v/>
      </c>
      <c r="G13722" s="6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  <c r="N13722" s="6">
        <f>IF(OR($G13722="FCC",$G13722="Hydrocracker",$G13722="Reformer"),IF(COUNTIFS($D:$D,$D13722,$A:$A,$A13722,$B:$B,$B13722,$G:$G,"CDU",$J:$J,"PLANNED")&gt;0,"tied","standalone"),"")</f>
        <v/>
      </c>
    </row>
    <row r="13723" spans="6:14">
      <c r="F13723" s="6">
        <f>IF($M13723="PADD I","PADD 1",IF($M13723="PADD II","PADD 2",IF($M13723="PADD III","PADD 3",IF($M13723="PADD IV","PADD 4",IF($M13723="PADD V","PADD 5","")))))</f>
        <v/>
      </c>
      <c r="G13723" s="6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  <c r="N13723" s="6">
        <f>IF(OR($G13723="FCC",$G13723="Hydrocracker",$G13723="Reformer"),IF(COUNTIFS($D:$D,$D13723,$A:$A,$A13723,$B:$B,$B13723,$G:$G,"CDU",$J:$J,"PLANNED")&gt;0,"tied","standalone"),"")</f>
        <v/>
      </c>
    </row>
    <row r="13724" spans="6:14">
      <c r="F13724" s="6">
        <f>IF($M13724="PADD I","PADD 1",IF($M13724="PADD II","PADD 2",IF($M13724="PADD III","PADD 3",IF($M13724="PADD IV","PADD 4",IF($M13724="PADD V","PADD 5","")))))</f>
        <v/>
      </c>
      <c r="G13724" s="6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  <c r="N13724" s="6">
        <f>IF(OR($G13724="FCC",$G13724="Hydrocracker",$G13724="Reformer"),IF(COUNTIFS($D:$D,$D13724,$A:$A,$A13724,$B:$B,$B13724,$G:$G,"CDU",$J:$J,"PLANNED")&gt;0,"tied","standalone"),"")</f>
        <v/>
      </c>
    </row>
    <row r="13725" spans="6:14">
      <c r="F13725" s="6">
        <f>IF($M13725="PADD I","PADD 1",IF($M13725="PADD II","PADD 2",IF($M13725="PADD III","PADD 3",IF($M13725="PADD IV","PADD 4",IF($M13725="PADD V","PADD 5","")))))</f>
        <v/>
      </c>
      <c r="G13725" s="6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  <c r="N13725" s="6">
        <f>IF(OR($G13725="FCC",$G13725="Hydrocracker",$G13725="Reformer"),IF(COUNTIFS($D:$D,$D13725,$A:$A,$A13725,$B:$B,$B13725,$G:$G,"CDU",$J:$J,"PLANNED")&gt;0,"tied","standalone"),"")</f>
        <v/>
      </c>
    </row>
    <row r="13726" spans="6:14">
      <c r="F13726" s="6">
        <f>IF($M13726="PADD I","PADD 1",IF($M13726="PADD II","PADD 2",IF($M13726="PADD III","PADD 3",IF($M13726="PADD IV","PADD 4",IF($M13726="PADD V","PADD 5","")))))</f>
        <v/>
      </c>
      <c r="G13726" s="6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  <c r="N13726" s="6">
        <f>IF(OR($G13726="FCC",$G13726="Hydrocracker",$G13726="Reformer"),IF(COUNTIFS($D:$D,$D13726,$A:$A,$A13726,$B:$B,$B13726,$G:$G,"CDU",$J:$J,"PLANNED")&gt;0,"tied","standalone"),"")</f>
        <v/>
      </c>
    </row>
    <row r="13727" spans="6:14">
      <c r="F13727" s="6">
        <f>IF($M13727="PADD I","PADD 1",IF($M13727="PADD II","PADD 2",IF($M13727="PADD III","PADD 3",IF($M13727="PADD IV","PADD 4",IF($M13727="PADD V","PADD 5","")))))</f>
        <v/>
      </c>
      <c r="G13727" s="6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  <c r="N13727" s="6">
        <f>IF(OR($G13727="FCC",$G13727="Hydrocracker",$G13727="Reformer"),IF(COUNTIFS($D:$D,$D13727,$A:$A,$A13727,$B:$B,$B13727,$G:$G,"CDU",$J:$J,"PLANNED")&gt;0,"tied","standalone"),"")</f>
        <v/>
      </c>
    </row>
    <row r="13728" spans="6:14">
      <c r="F13728" s="6">
        <f>IF($M13728="PADD I","PADD 1",IF($M13728="PADD II","PADD 2",IF($M13728="PADD III","PADD 3",IF($M13728="PADD IV","PADD 4",IF($M13728="PADD V","PADD 5","")))))</f>
        <v/>
      </c>
      <c r="G13728" s="6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  <c r="N13728" s="6">
        <f>IF(OR($G13728="FCC",$G13728="Hydrocracker",$G13728="Reformer"),IF(COUNTIFS($D:$D,$D13728,$A:$A,$A13728,$B:$B,$B13728,$G:$G,"CDU",$J:$J,"PLANNED")&gt;0,"tied","standalone"),"")</f>
        <v/>
      </c>
    </row>
    <row r="13729" spans="6:14">
      <c r="F13729" s="6">
        <f>IF($M13729="PADD I","PADD 1",IF($M13729="PADD II","PADD 2",IF($M13729="PADD III","PADD 3",IF($M13729="PADD IV","PADD 4",IF($M13729="PADD V","PADD 5","")))))</f>
        <v/>
      </c>
      <c r="G13729" s="6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  <c r="N13729" s="6">
        <f>IF(OR($G13729="FCC",$G13729="Hydrocracker",$G13729="Reformer"),IF(COUNTIFS($D:$D,$D13729,$A:$A,$A13729,$B:$B,$B13729,$G:$G,"CDU",$J:$J,"PLANNED")&gt;0,"tied","standalone"),"")</f>
        <v/>
      </c>
    </row>
    <row r="13730" spans="6:14">
      <c r="F13730" s="6">
        <f>IF($M13730="PADD I","PADD 1",IF($M13730="PADD II","PADD 2",IF($M13730="PADD III","PADD 3",IF($M13730="PADD IV","PADD 4",IF($M13730="PADD V","PADD 5","")))))</f>
        <v/>
      </c>
      <c r="G13730" s="6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  <c r="N13730" s="6">
        <f>IF(OR($G13730="FCC",$G13730="Hydrocracker",$G13730="Reformer"),IF(COUNTIFS($D:$D,$D13730,$A:$A,$A13730,$B:$B,$B13730,$G:$G,"CDU",$J:$J,"PLANNED")&gt;0,"tied","standalone"),"")</f>
        <v/>
      </c>
    </row>
    <row r="13731" spans="6:14">
      <c r="F13731" s="6">
        <f>IF($M13731="PADD I","PADD 1",IF($M13731="PADD II","PADD 2",IF($M13731="PADD III","PADD 3",IF($M13731="PADD IV","PADD 4",IF($M13731="PADD V","PADD 5","")))))</f>
        <v/>
      </c>
      <c r="G13731" s="6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  <c r="N13731" s="6">
        <f>IF(OR($G13731="FCC",$G13731="Hydrocracker",$G13731="Reformer"),IF(COUNTIFS($D:$D,$D13731,$A:$A,$A13731,$B:$B,$B13731,$G:$G,"CDU",$J:$J,"PLANNED")&gt;0,"tied","standalone"),"")</f>
        <v/>
      </c>
    </row>
    <row r="13732" spans="6:14">
      <c r="F13732" s="6">
        <f>IF($M13732="PADD I","PADD 1",IF($M13732="PADD II","PADD 2",IF($M13732="PADD III","PADD 3",IF($M13732="PADD IV","PADD 4",IF($M13732="PADD V","PADD 5","")))))</f>
        <v/>
      </c>
      <c r="G13732" s="6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  <c r="N13732" s="6">
        <f>IF(OR($G13732="FCC",$G13732="Hydrocracker",$G13732="Reformer"),IF(COUNTIFS($D:$D,$D13732,$A:$A,$A13732,$B:$B,$B13732,$G:$G,"CDU",$J:$J,"PLANNED")&gt;0,"tied","standalone"),"")</f>
        <v/>
      </c>
    </row>
    <row r="13733" spans="6:14">
      <c r="F13733" s="6">
        <f>IF($M13733="PADD I","PADD 1",IF($M13733="PADD II","PADD 2",IF($M13733="PADD III","PADD 3",IF($M13733="PADD IV","PADD 4",IF($M13733="PADD V","PADD 5","")))))</f>
        <v/>
      </c>
      <c r="G13733" s="6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  <c r="N13733" s="6">
        <f>IF(OR($G13733="FCC",$G13733="Hydrocracker",$G13733="Reformer"),IF(COUNTIFS($D:$D,$D13733,$A:$A,$A13733,$B:$B,$B13733,$G:$G,"CDU",$J:$J,"PLANNED")&gt;0,"tied","standalone"),"")</f>
        <v/>
      </c>
    </row>
    <row r="13734" spans="6:14">
      <c r="F13734" s="6">
        <f>IF($M13734="PADD I","PADD 1",IF($M13734="PADD II","PADD 2",IF($M13734="PADD III","PADD 3",IF($M13734="PADD IV","PADD 4",IF($M13734="PADD V","PADD 5","")))))</f>
        <v/>
      </c>
      <c r="G13734" s="6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  <c r="N13734" s="6">
        <f>IF(OR($G13734="FCC",$G13734="Hydrocracker",$G13734="Reformer"),IF(COUNTIFS($D:$D,$D13734,$A:$A,$A13734,$B:$B,$B13734,$G:$G,"CDU",$J:$J,"PLANNED")&gt;0,"tied","standalone"),"")</f>
        <v/>
      </c>
    </row>
    <row r="13735" spans="6:14">
      <c r="F13735" s="6">
        <f>IF($M13735="PADD I","PADD 1",IF($M13735="PADD II","PADD 2",IF($M13735="PADD III","PADD 3",IF($M13735="PADD IV","PADD 4",IF($M13735="PADD V","PADD 5","")))))</f>
        <v/>
      </c>
      <c r="G13735" s="6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  <c r="N13735" s="6">
        <f>IF(OR($G13735="FCC",$G13735="Hydrocracker",$G13735="Reformer"),IF(COUNTIFS($D:$D,$D13735,$A:$A,$A13735,$B:$B,$B13735,$G:$G,"CDU",$J:$J,"PLANNED")&gt;0,"tied","standalone"),"")</f>
        <v/>
      </c>
    </row>
    <row r="13736" spans="6:14">
      <c r="F13736" s="6">
        <f>IF($M13736="PADD I","PADD 1",IF($M13736="PADD II","PADD 2",IF($M13736="PADD III","PADD 3",IF($M13736="PADD IV","PADD 4",IF($M13736="PADD V","PADD 5","")))))</f>
        <v/>
      </c>
      <c r="G13736" s="6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  <c r="N13736" s="6">
        <f>IF(OR($G13736="FCC",$G13736="Hydrocracker",$G13736="Reformer"),IF(COUNTIFS($D:$D,$D13736,$A:$A,$A13736,$B:$B,$B13736,$G:$G,"CDU",$J:$J,"PLANNED")&gt;0,"tied","standalone"),"")</f>
        <v/>
      </c>
    </row>
    <row r="13737" spans="6:14">
      <c r="F13737" s="6">
        <f>IF($M13737="PADD I","PADD 1",IF($M13737="PADD II","PADD 2",IF($M13737="PADD III","PADD 3",IF($M13737="PADD IV","PADD 4",IF($M13737="PADD V","PADD 5","")))))</f>
        <v/>
      </c>
      <c r="G13737" s="6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  <c r="N13737" s="6">
        <f>IF(OR($G13737="FCC",$G13737="Hydrocracker",$G13737="Reformer"),IF(COUNTIFS($D:$D,$D13737,$A:$A,$A13737,$B:$B,$B13737,$G:$G,"CDU",$J:$J,"PLANNED")&gt;0,"tied","standalone"),"")</f>
        <v/>
      </c>
    </row>
    <row r="13738" spans="6:14">
      <c r="F13738" s="6">
        <f>IF($M13738="PADD I","PADD 1",IF($M13738="PADD II","PADD 2",IF($M13738="PADD III","PADD 3",IF($M13738="PADD IV","PADD 4",IF($M13738="PADD V","PADD 5","")))))</f>
        <v/>
      </c>
      <c r="G13738" s="6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  <c r="N13738" s="6">
        <f>IF(OR($G13738="FCC",$G13738="Hydrocracker",$G13738="Reformer"),IF(COUNTIFS($D:$D,$D13738,$A:$A,$A13738,$B:$B,$B13738,$G:$G,"CDU",$J:$J,"PLANNED")&gt;0,"tied","standalone"),"")</f>
        <v/>
      </c>
    </row>
    <row r="13739" spans="6:14">
      <c r="F13739" s="6">
        <f>IF($M13739="PADD I","PADD 1",IF($M13739="PADD II","PADD 2",IF($M13739="PADD III","PADD 3",IF($M13739="PADD IV","PADD 4",IF($M13739="PADD V","PADD 5","")))))</f>
        <v/>
      </c>
      <c r="G13739" s="6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  <c r="N13739" s="6">
        <f>IF(OR($G13739="FCC",$G13739="Hydrocracker",$G13739="Reformer"),IF(COUNTIFS($D:$D,$D13739,$A:$A,$A13739,$B:$B,$B13739,$G:$G,"CDU",$J:$J,"PLANNED")&gt;0,"tied","standalone"),"")</f>
        <v/>
      </c>
    </row>
    <row r="13740" spans="6:14">
      <c r="F13740" s="6">
        <f>IF($M13740="PADD I","PADD 1",IF($M13740="PADD II","PADD 2",IF($M13740="PADD III","PADD 3",IF($M13740="PADD IV","PADD 4",IF($M13740="PADD V","PADD 5","")))))</f>
        <v/>
      </c>
      <c r="G13740" s="6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  <c r="N13740" s="6">
        <f>IF(OR($G13740="FCC",$G13740="Hydrocracker",$G13740="Reformer"),IF(COUNTIFS($D:$D,$D13740,$A:$A,$A13740,$B:$B,$B13740,$G:$G,"CDU",$J:$J,"PLANNED")&gt;0,"tied","standalone"),"")</f>
        <v/>
      </c>
    </row>
    <row r="13741" spans="6:14">
      <c r="F13741" s="6">
        <f>IF($M13741="PADD I","PADD 1",IF($M13741="PADD II","PADD 2",IF($M13741="PADD III","PADD 3",IF($M13741="PADD IV","PADD 4",IF($M13741="PADD V","PADD 5","")))))</f>
        <v/>
      </c>
      <c r="G13741" s="6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  <c r="N13741" s="6">
        <f>IF(OR($G13741="FCC",$G13741="Hydrocracker",$G13741="Reformer"),IF(COUNTIFS($D:$D,$D13741,$A:$A,$A13741,$B:$B,$B13741,$G:$G,"CDU",$J:$J,"PLANNED")&gt;0,"tied","standalone"),"")</f>
        <v/>
      </c>
    </row>
    <row r="13742" spans="6:14">
      <c r="F13742" s="6">
        <f>IF($M13742="PADD I","PADD 1",IF($M13742="PADD II","PADD 2",IF($M13742="PADD III","PADD 3",IF($M13742="PADD IV","PADD 4",IF($M13742="PADD V","PADD 5","")))))</f>
        <v/>
      </c>
      <c r="G13742" s="6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  <c r="N13742" s="6">
        <f>IF(OR($G13742="FCC",$G13742="Hydrocracker",$G13742="Reformer"),IF(COUNTIFS($D:$D,$D13742,$A:$A,$A13742,$B:$B,$B13742,$G:$G,"CDU",$J:$J,"PLANNED")&gt;0,"tied","standalone"),"")</f>
        <v/>
      </c>
    </row>
    <row r="13743" spans="6:14">
      <c r="F13743" s="6">
        <f>IF($M13743="PADD I","PADD 1",IF($M13743="PADD II","PADD 2",IF($M13743="PADD III","PADD 3",IF($M13743="PADD IV","PADD 4",IF($M13743="PADD V","PADD 5","")))))</f>
        <v/>
      </c>
      <c r="G13743" s="6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  <c r="N13743" s="6">
        <f>IF(OR($G13743="FCC",$G13743="Hydrocracker",$G13743="Reformer"),IF(COUNTIFS($D:$D,$D13743,$A:$A,$A13743,$B:$B,$B13743,$G:$G,"CDU",$J:$J,"PLANNED")&gt;0,"tied","standalone"),"")</f>
        <v/>
      </c>
    </row>
    <row r="13744" spans="6:14">
      <c r="F13744" s="6">
        <f>IF($M13744="PADD I","PADD 1",IF($M13744="PADD II","PADD 2",IF($M13744="PADD III","PADD 3",IF($M13744="PADD IV","PADD 4",IF($M13744="PADD V","PADD 5","")))))</f>
        <v/>
      </c>
      <c r="G13744" s="6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  <c r="N13744" s="6">
        <f>IF(OR($G13744="FCC",$G13744="Hydrocracker",$G13744="Reformer"),IF(COUNTIFS($D:$D,$D13744,$A:$A,$A13744,$B:$B,$B13744,$G:$G,"CDU",$J:$J,"PLANNED")&gt;0,"tied","standalone"),"")</f>
        <v/>
      </c>
    </row>
    <row r="13745" spans="6:14">
      <c r="F13745" s="6">
        <f>IF($M13745="PADD I","PADD 1",IF($M13745="PADD II","PADD 2",IF($M13745="PADD III","PADD 3",IF($M13745="PADD IV","PADD 4",IF($M13745="PADD V","PADD 5","")))))</f>
        <v/>
      </c>
      <c r="G13745" s="6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  <c r="N13745" s="6">
        <f>IF(OR($G13745="FCC",$G13745="Hydrocracker",$G13745="Reformer"),IF(COUNTIFS($D:$D,$D13745,$A:$A,$A13745,$B:$B,$B13745,$G:$G,"CDU",$J:$J,"PLANNED")&gt;0,"tied","standalone"),"")</f>
        <v/>
      </c>
    </row>
    <row r="13746" spans="6:14">
      <c r="F13746" s="6">
        <f>IF($M13746="PADD I","PADD 1",IF($M13746="PADD II","PADD 2",IF($M13746="PADD III","PADD 3",IF($M13746="PADD IV","PADD 4",IF($M13746="PADD V","PADD 5","")))))</f>
        <v/>
      </c>
      <c r="G13746" s="6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  <c r="N13746" s="6">
        <f>IF(OR($G13746="FCC",$G13746="Hydrocracker",$G13746="Reformer"),IF(COUNTIFS($D:$D,$D13746,$A:$A,$A13746,$B:$B,$B13746,$G:$G,"CDU",$J:$J,"PLANNED")&gt;0,"tied","standalone"),"")</f>
        <v/>
      </c>
    </row>
    <row r="13747" spans="6:14">
      <c r="F13747" s="6">
        <f>IF($M13747="PADD I","PADD 1",IF($M13747="PADD II","PADD 2",IF($M13747="PADD III","PADD 3",IF($M13747="PADD IV","PADD 4",IF($M13747="PADD V","PADD 5","")))))</f>
        <v/>
      </c>
      <c r="G13747" s="6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  <c r="N13747" s="6">
        <f>IF(OR($G13747="FCC",$G13747="Hydrocracker",$G13747="Reformer"),IF(COUNTIFS($D:$D,$D13747,$A:$A,$A13747,$B:$B,$B13747,$G:$G,"CDU",$J:$J,"PLANNED")&gt;0,"tied","standalone"),"")</f>
        <v/>
      </c>
    </row>
    <row r="13748" spans="6:14">
      <c r="F13748" s="6">
        <f>IF($M13748="PADD I","PADD 1",IF($M13748="PADD II","PADD 2",IF($M13748="PADD III","PADD 3",IF($M13748="PADD IV","PADD 4",IF($M13748="PADD V","PADD 5","")))))</f>
        <v/>
      </c>
      <c r="G13748" s="6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  <c r="N13748" s="6">
        <f>IF(OR($G13748="FCC",$G13748="Hydrocracker",$G13748="Reformer"),IF(COUNTIFS($D:$D,$D13748,$A:$A,$A13748,$B:$B,$B13748,$G:$G,"CDU",$J:$J,"PLANNED")&gt;0,"tied","standalone"),"")</f>
        <v/>
      </c>
    </row>
    <row r="13749" spans="6:14">
      <c r="F13749" s="6">
        <f>IF($M13749="PADD I","PADD 1",IF($M13749="PADD II","PADD 2",IF($M13749="PADD III","PADD 3",IF($M13749="PADD IV","PADD 4",IF($M13749="PADD V","PADD 5","")))))</f>
        <v/>
      </c>
      <c r="G13749" s="6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  <c r="N13749" s="6">
        <f>IF(OR($G13749="FCC",$G13749="Hydrocracker",$G13749="Reformer"),IF(COUNTIFS($D:$D,$D13749,$A:$A,$A13749,$B:$B,$B13749,$G:$G,"CDU",$J:$J,"PLANNED")&gt;0,"tied","standalone"),"")</f>
        <v/>
      </c>
    </row>
    <row r="13750" spans="6:14">
      <c r="F13750" s="6">
        <f>IF($M13750="PADD I","PADD 1",IF($M13750="PADD II","PADD 2",IF($M13750="PADD III","PADD 3",IF($M13750="PADD IV","PADD 4",IF($M13750="PADD V","PADD 5","")))))</f>
        <v/>
      </c>
      <c r="G13750" s="6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  <c r="N13750" s="6">
        <f>IF(OR($G13750="FCC",$G13750="Hydrocracker",$G13750="Reformer"),IF(COUNTIFS($D:$D,$D13750,$A:$A,$A13750,$B:$B,$B13750,$G:$G,"CDU",$J:$J,"PLANNED")&gt;0,"tied","standalone"),"")</f>
        <v/>
      </c>
    </row>
    <row r="13751" spans="6:14">
      <c r="F13751" s="6">
        <f>IF($M13751="PADD I","PADD 1",IF($M13751="PADD II","PADD 2",IF($M13751="PADD III","PADD 3",IF($M13751="PADD IV","PADD 4",IF($M13751="PADD V","PADD 5","")))))</f>
        <v/>
      </c>
      <c r="G13751" s="6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  <c r="N13751" s="6">
        <f>IF(OR($G13751="FCC",$G13751="Hydrocracker",$G13751="Reformer"),IF(COUNTIFS($D:$D,$D13751,$A:$A,$A13751,$B:$B,$B13751,$G:$G,"CDU",$J:$J,"PLANNED")&gt;0,"tied","standalone"),"")</f>
        <v/>
      </c>
    </row>
    <row r="13752" spans="6:14">
      <c r="F13752" s="6">
        <f>IF($M13752="PADD I","PADD 1",IF($M13752="PADD II","PADD 2",IF($M13752="PADD III","PADD 3",IF($M13752="PADD IV","PADD 4",IF($M13752="PADD V","PADD 5","")))))</f>
        <v/>
      </c>
      <c r="G13752" s="6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  <c r="N13752" s="6">
        <f>IF(OR($G13752="FCC",$G13752="Hydrocracker",$G13752="Reformer"),IF(COUNTIFS($D:$D,$D13752,$A:$A,$A13752,$B:$B,$B13752,$G:$G,"CDU",$J:$J,"PLANNED")&gt;0,"tied","standalone"),"")</f>
        <v/>
      </c>
    </row>
    <row r="13753" spans="6:14">
      <c r="F13753" s="6">
        <f>IF($M13753="PADD I","PADD 1",IF($M13753="PADD II","PADD 2",IF($M13753="PADD III","PADD 3",IF($M13753="PADD IV","PADD 4",IF($M13753="PADD V","PADD 5","")))))</f>
        <v/>
      </c>
      <c r="G13753" s="6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  <c r="N13753" s="6">
        <f>IF(OR($G13753="FCC",$G13753="Hydrocracker",$G13753="Reformer"),IF(COUNTIFS($D:$D,$D13753,$A:$A,$A13753,$B:$B,$B13753,$G:$G,"CDU",$J:$J,"PLANNED")&gt;0,"tied","standalone"),"")</f>
        <v/>
      </c>
    </row>
    <row r="13754" spans="6:14">
      <c r="F13754" s="6">
        <f>IF($M13754="PADD I","PADD 1",IF($M13754="PADD II","PADD 2",IF($M13754="PADD III","PADD 3",IF($M13754="PADD IV","PADD 4",IF($M13754="PADD V","PADD 5","")))))</f>
        <v/>
      </c>
      <c r="G13754" s="6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  <c r="N13754" s="6">
        <f>IF(OR($G13754="FCC",$G13754="Hydrocracker",$G13754="Reformer"),IF(COUNTIFS($D:$D,$D13754,$A:$A,$A13754,$B:$B,$B13754,$G:$G,"CDU",$J:$J,"PLANNED")&gt;0,"tied","standalone"),"")</f>
        <v/>
      </c>
    </row>
    <row r="13755" spans="6:14">
      <c r="F13755" s="6">
        <f>IF($M13755="PADD I","PADD 1",IF($M13755="PADD II","PADD 2",IF($M13755="PADD III","PADD 3",IF($M13755="PADD IV","PADD 4",IF($M13755="PADD V","PADD 5","")))))</f>
        <v/>
      </c>
      <c r="G13755" s="6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  <c r="N13755" s="6">
        <f>IF(OR($G13755="FCC",$G13755="Hydrocracker",$G13755="Reformer"),IF(COUNTIFS($D:$D,$D13755,$A:$A,$A13755,$B:$B,$B13755,$G:$G,"CDU",$J:$J,"PLANNED")&gt;0,"tied","standalone"),"")</f>
        <v/>
      </c>
    </row>
    <row r="13756" spans="6:14">
      <c r="F13756" s="6">
        <f>IF($M13756="PADD I","PADD 1",IF($M13756="PADD II","PADD 2",IF($M13756="PADD III","PADD 3",IF($M13756="PADD IV","PADD 4",IF($M13756="PADD V","PADD 5","")))))</f>
        <v/>
      </c>
      <c r="G13756" s="6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  <c r="N13756" s="6">
        <f>IF(OR($G13756="FCC",$G13756="Hydrocracker",$G13756="Reformer"),IF(COUNTIFS($D:$D,$D13756,$A:$A,$A13756,$B:$B,$B13756,$G:$G,"CDU",$J:$J,"PLANNED")&gt;0,"tied","standalone"),"")</f>
        <v/>
      </c>
    </row>
    <row r="13757" spans="6:14">
      <c r="F13757" s="6">
        <f>IF($M13757="PADD I","PADD 1",IF($M13757="PADD II","PADD 2",IF($M13757="PADD III","PADD 3",IF($M13757="PADD IV","PADD 4",IF($M13757="PADD V","PADD 5","")))))</f>
        <v/>
      </c>
      <c r="G13757" s="6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  <c r="N13757" s="6">
        <f>IF(OR($G13757="FCC",$G13757="Hydrocracker",$G13757="Reformer"),IF(COUNTIFS($D:$D,$D13757,$A:$A,$A13757,$B:$B,$B13757,$G:$G,"CDU",$J:$J,"PLANNED")&gt;0,"tied","standalone"),"")</f>
        <v/>
      </c>
    </row>
    <row r="13758" spans="6:14">
      <c r="F13758" s="6">
        <f>IF($M13758="PADD I","PADD 1",IF($M13758="PADD II","PADD 2",IF($M13758="PADD III","PADD 3",IF($M13758="PADD IV","PADD 4",IF($M13758="PADD V","PADD 5","")))))</f>
        <v/>
      </c>
      <c r="G13758" s="6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  <c r="N13758" s="6">
        <f>IF(OR($G13758="FCC",$G13758="Hydrocracker",$G13758="Reformer"),IF(COUNTIFS($D:$D,$D13758,$A:$A,$A13758,$B:$B,$B13758,$G:$G,"CDU",$J:$J,"PLANNED")&gt;0,"tied","standalone"),"")</f>
        <v/>
      </c>
    </row>
    <row r="13759" spans="6:14">
      <c r="F13759" s="6">
        <f>IF($M13759="PADD I","PADD 1",IF($M13759="PADD II","PADD 2",IF($M13759="PADD III","PADD 3",IF($M13759="PADD IV","PADD 4",IF($M13759="PADD V","PADD 5","")))))</f>
        <v/>
      </c>
      <c r="G13759" s="6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  <c r="N13759" s="6">
        <f>IF(OR($G13759="FCC",$G13759="Hydrocracker",$G13759="Reformer"),IF(COUNTIFS($D:$D,$D13759,$A:$A,$A13759,$B:$B,$B13759,$G:$G,"CDU",$J:$J,"PLANNED")&gt;0,"tied","standalone"),"")</f>
        <v/>
      </c>
    </row>
    <row r="13760" spans="6:14">
      <c r="F13760" s="6">
        <f>IF($M13760="PADD I","PADD 1",IF($M13760="PADD II","PADD 2",IF($M13760="PADD III","PADD 3",IF($M13760="PADD IV","PADD 4",IF($M13760="PADD V","PADD 5","")))))</f>
        <v/>
      </c>
      <c r="G13760" s="6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  <c r="N13760" s="6">
        <f>IF(OR($G13760="FCC",$G13760="Hydrocracker",$G13760="Reformer"),IF(COUNTIFS($D:$D,$D13760,$A:$A,$A13760,$B:$B,$B13760,$G:$G,"CDU",$J:$J,"PLANNED")&gt;0,"tied","standalone"),"")</f>
        <v/>
      </c>
    </row>
    <row r="13761" spans="6:14">
      <c r="F13761" s="6">
        <f>IF($M13761="PADD I","PADD 1",IF($M13761="PADD II","PADD 2",IF($M13761="PADD III","PADD 3",IF($M13761="PADD IV","PADD 4",IF($M13761="PADD V","PADD 5","")))))</f>
        <v/>
      </c>
      <c r="G13761" s="6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  <c r="N13761" s="6">
        <f>IF(OR($G13761="FCC",$G13761="Hydrocracker",$G13761="Reformer"),IF(COUNTIFS($D:$D,$D13761,$A:$A,$A13761,$B:$B,$B13761,$G:$G,"CDU",$J:$J,"PLANNED")&gt;0,"tied","standalone"),"")</f>
        <v/>
      </c>
    </row>
    <row r="13762" spans="6:14">
      <c r="F13762" s="6">
        <f>IF($M13762="PADD I","PADD 1",IF($M13762="PADD II","PADD 2",IF($M13762="PADD III","PADD 3",IF($M13762="PADD IV","PADD 4",IF($M13762="PADD V","PADD 5","")))))</f>
        <v/>
      </c>
      <c r="G13762" s="6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  <c r="N13762" s="6">
        <f>IF(OR($G13762="FCC",$G13762="Hydrocracker",$G13762="Reformer"),IF(COUNTIFS($D:$D,$D13762,$A:$A,$A13762,$B:$B,$B13762,$G:$G,"CDU",$J:$J,"PLANNED")&gt;0,"tied","standalone"),"")</f>
        <v/>
      </c>
    </row>
    <row r="13763" spans="6:14">
      <c r="F13763" s="6">
        <f>IF($M13763="PADD I","PADD 1",IF($M13763="PADD II","PADD 2",IF($M13763="PADD III","PADD 3",IF($M13763="PADD IV","PADD 4",IF($M13763="PADD V","PADD 5","")))))</f>
        <v/>
      </c>
      <c r="G13763" s="6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  <c r="N13763" s="6">
        <f>IF(OR($G13763="FCC",$G13763="Hydrocracker",$G13763="Reformer"),IF(COUNTIFS($D:$D,$D13763,$A:$A,$A13763,$B:$B,$B13763,$G:$G,"CDU",$J:$J,"PLANNED")&gt;0,"tied","standalone"),"")</f>
        <v/>
      </c>
    </row>
    <row r="13764" spans="6:14">
      <c r="F13764" s="6">
        <f>IF($M13764="PADD I","PADD 1",IF($M13764="PADD II","PADD 2",IF($M13764="PADD III","PADD 3",IF($M13764="PADD IV","PADD 4",IF($M13764="PADD V","PADD 5","")))))</f>
        <v/>
      </c>
      <c r="G13764" s="6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  <c r="N13764" s="6">
        <f>IF(OR($G13764="FCC",$G13764="Hydrocracker",$G13764="Reformer"),IF(COUNTIFS($D:$D,$D13764,$A:$A,$A13764,$B:$B,$B13764,$G:$G,"CDU",$J:$J,"PLANNED")&gt;0,"tied","standalone"),"")</f>
        <v/>
      </c>
    </row>
    <row r="13765" spans="6:14">
      <c r="F13765" s="6">
        <f>IF($M13765="PADD I","PADD 1",IF($M13765="PADD II","PADD 2",IF($M13765="PADD III","PADD 3",IF($M13765="PADD IV","PADD 4",IF($M13765="PADD V","PADD 5","")))))</f>
        <v/>
      </c>
      <c r="G13765" s="6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  <c r="N13765" s="6">
        <f>IF(OR($G13765="FCC",$G13765="Hydrocracker",$G13765="Reformer"),IF(COUNTIFS($D:$D,$D13765,$A:$A,$A13765,$B:$B,$B13765,$G:$G,"CDU",$J:$J,"PLANNED")&gt;0,"tied","standalone"),"")</f>
        <v/>
      </c>
    </row>
    <row r="13766" spans="6:14">
      <c r="F13766" s="6">
        <f>IF($M13766="PADD I","PADD 1",IF($M13766="PADD II","PADD 2",IF($M13766="PADD III","PADD 3",IF($M13766="PADD IV","PADD 4",IF($M13766="PADD V","PADD 5","")))))</f>
        <v/>
      </c>
      <c r="G13766" s="6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  <c r="N13766" s="6">
        <f>IF(OR($G13766="FCC",$G13766="Hydrocracker",$G13766="Reformer"),IF(COUNTIFS($D:$D,$D13766,$A:$A,$A13766,$B:$B,$B13766,$G:$G,"CDU",$J:$J,"PLANNED")&gt;0,"tied","standalone"),"")</f>
        <v/>
      </c>
    </row>
    <row r="13767" spans="6:14">
      <c r="F13767" s="6">
        <f>IF($M13767="PADD I","PADD 1",IF($M13767="PADD II","PADD 2",IF($M13767="PADD III","PADD 3",IF($M13767="PADD IV","PADD 4",IF($M13767="PADD V","PADD 5","")))))</f>
        <v/>
      </c>
      <c r="G13767" s="6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  <c r="N13767" s="6">
        <f>IF(OR($G13767="FCC",$G13767="Hydrocracker",$G13767="Reformer"),IF(COUNTIFS($D:$D,$D13767,$A:$A,$A13767,$B:$B,$B13767,$G:$G,"CDU",$J:$J,"PLANNED")&gt;0,"tied","standalone"),"")</f>
        <v/>
      </c>
    </row>
    <row r="13768" spans="6:14">
      <c r="F13768" s="6">
        <f>IF($M13768="PADD I","PADD 1",IF($M13768="PADD II","PADD 2",IF($M13768="PADD III","PADD 3",IF($M13768="PADD IV","PADD 4",IF($M13768="PADD V","PADD 5","")))))</f>
        <v/>
      </c>
      <c r="G13768" s="6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  <c r="N13768" s="6">
        <f>IF(OR($G13768="FCC",$G13768="Hydrocracker",$G13768="Reformer"),IF(COUNTIFS($D:$D,$D13768,$A:$A,$A13768,$B:$B,$B13768,$G:$G,"CDU",$J:$J,"PLANNED")&gt;0,"tied","standalone"),"")</f>
        <v/>
      </c>
    </row>
    <row r="13769" spans="6:14">
      <c r="F13769" s="6">
        <f>IF($M13769="PADD I","PADD 1",IF($M13769="PADD II","PADD 2",IF($M13769="PADD III","PADD 3",IF($M13769="PADD IV","PADD 4",IF($M13769="PADD V","PADD 5","")))))</f>
        <v/>
      </c>
      <c r="G13769" s="6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  <c r="N13769" s="6">
        <f>IF(OR($G13769="FCC",$G13769="Hydrocracker",$G13769="Reformer"),IF(COUNTIFS($D:$D,$D13769,$A:$A,$A13769,$B:$B,$B13769,$G:$G,"CDU",$J:$J,"PLANNED")&gt;0,"tied","standalone"),"")</f>
        <v/>
      </c>
    </row>
    <row r="13770" spans="6:14">
      <c r="F13770" s="6">
        <f>IF($M13770="PADD I","PADD 1",IF($M13770="PADD II","PADD 2",IF($M13770="PADD III","PADD 3",IF($M13770="PADD IV","PADD 4",IF($M13770="PADD V","PADD 5","")))))</f>
        <v/>
      </c>
      <c r="G13770" s="6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  <c r="N13770" s="6">
        <f>IF(OR($G13770="FCC",$G13770="Hydrocracker",$G13770="Reformer"),IF(COUNTIFS($D:$D,$D13770,$A:$A,$A13770,$B:$B,$B13770,$G:$G,"CDU",$J:$J,"PLANNED")&gt;0,"tied","standalone"),"")</f>
        <v/>
      </c>
    </row>
    <row r="13771" spans="6:14">
      <c r="F13771" s="6">
        <f>IF($M13771="PADD I","PADD 1",IF($M13771="PADD II","PADD 2",IF($M13771="PADD III","PADD 3",IF($M13771="PADD IV","PADD 4",IF($M13771="PADD V","PADD 5","")))))</f>
        <v/>
      </c>
      <c r="G13771" s="6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  <c r="N13771" s="6">
        <f>IF(OR($G13771="FCC",$G13771="Hydrocracker",$G13771="Reformer"),IF(COUNTIFS($D:$D,$D13771,$A:$A,$A13771,$B:$B,$B13771,$G:$G,"CDU",$J:$J,"PLANNED")&gt;0,"tied","standalone"),"")</f>
        <v/>
      </c>
    </row>
    <row r="13772" spans="6:14">
      <c r="F13772" s="6">
        <f>IF($M13772="PADD I","PADD 1",IF($M13772="PADD II","PADD 2",IF($M13772="PADD III","PADD 3",IF($M13772="PADD IV","PADD 4",IF($M13772="PADD V","PADD 5","")))))</f>
        <v/>
      </c>
      <c r="G13772" s="6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  <c r="N13772" s="6">
        <f>IF(OR($G13772="FCC",$G13772="Hydrocracker",$G13772="Reformer"),IF(COUNTIFS($D:$D,$D13772,$A:$A,$A13772,$B:$B,$B13772,$G:$G,"CDU",$J:$J,"PLANNED")&gt;0,"tied","standalone"),"")</f>
        <v/>
      </c>
    </row>
    <row r="13773" spans="6:14">
      <c r="F13773" s="6">
        <f>IF($M13773="PADD I","PADD 1",IF($M13773="PADD II","PADD 2",IF($M13773="PADD III","PADD 3",IF($M13773="PADD IV","PADD 4",IF($M13773="PADD V","PADD 5","")))))</f>
        <v/>
      </c>
      <c r="G13773" s="6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  <c r="N13773" s="6">
        <f>IF(OR($G13773="FCC",$G13773="Hydrocracker",$G13773="Reformer"),IF(COUNTIFS($D:$D,$D13773,$A:$A,$A13773,$B:$B,$B13773,$G:$G,"CDU",$J:$J,"PLANNED")&gt;0,"tied","standalone"),"")</f>
        <v/>
      </c>
    </row>
    <row r="13774" spans="6:14">
      <c r="F13774" s="6">
        <f>IF($M13774="PADD I","PADD 1",IF($M13774="PADD II","PADD 2",IF($M13774="PADD III","PADD 3",IF($M13774="PADD IV","PADD 4",IF($M13774="PADD V","PADD 5","")))))</f>
        <v/>
      </c>
      <c r="G13774" s="6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  <c r="N13774" s="6">
        <f>IF(OR($G13774="FCC",$G13774="Hydrocracker",$G13774="Reformer"),IF(COUNTIFS($D:$D,$D13774,$A:$A,$A13774,$B:$B,$B13774,$G:$G,"CDU",$J:$J,"PLANNED")&gt;0,"tied","standalone"),"")</f>
        <v/>
      </c>
    </row>
    <row r="13775" spans="6:14">
      <c r="F13775" s="6">
        <f>IF($M13775="PADD I","PADD 1",IF($M13775="PADD II","PADD 2",IF($M13775="PADD III","PADD 3",IF($M13775="PADD IV","PADD 4",IF($M13775="PADD V","PADD 5","")))))</f>
        <v/>
      </c>
      <c r="G13775" s="6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  <c r="N13775" s="6">
        <f>IF(OR($G13775="FCC",$G13775="Hydrocracker",$G13775="Reformer"),IF(COUNTIFS($D:$D,$D13775,$A:$A,$A13775,$B:$B,$B13775,$G:$G,"CDU",$J:$J,"PLANNED")&gt;0,"tied","standalone"),"")</f>
        <v/>
      </c>
    </row>
    <row r="13776" spans="6:14">
      <c r="F13776" s="6">
        <f>IF($M13776="PADD I","PADD 1",IF($M13776="PADD II","PADD 2",IF($M13776="PADD III","PADD 3",IF($M13776="PADD IV","PADD 4",IF($M13776="PADD V","PADD 5","")))))</f>
        <v/>
      </c>
      <c r="G13776" s="6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  <c r="N13776" s="6">
        <f>IF(OR($G13776="FCC",$G13776="Hydrocracker",$G13776="Reformer"),IF(COUNTIFS($D:$D,$D13776,$A:$A,$A13776,$B:$B,$B13776,$G:$G,"CDU",$J:$J,"PLANNED")&gt;0,"tied","standalone"),"")</f>
        <v/>
      </c>
    </row>
    <row r="13777" spans="6:14">
      <c r="F13777" s="6">
        <f>IF($M13777="PADD I","PADD 1",IF($M13777="PADD II","PADD 2",IF($M13777="PADD III","PADD 3",IF($M13777="PADD IV","PADD 4",IF($M13777="PADD V","PADD 5","")))))</f>
        <v/>
      </c>
      <c r="G13777" s="6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  <c r="N13777" s="6">
        <f>IF(OR($G13777="FCC",$G13777="Hydrocracker",$G13777="Reformer"),IF(COUNTIFS($D:$D,$D13777,$A:$A,$A13777,$B:$B,$B13777,$G:$G,"CDU",$J:$J,"PLANNED")&gt;0,"tied","standalone"),"")</f>
        <v/>
      </c>
    </row>
    <row r="13778" spans="6:14">
      <c r="F13778" s="6">
        <f>IF($M13778="PADD I","PADD 1",IF($M13778="PADD II","PADD 2",IF($M13778="PADD III","PADD 3",IF($M13778="PADD IV","PADD 4",IF($M13778="PADD V","PADD 5","")))))</f>
        <v/>
      </c>
      <c r="G13778" s="6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  <c r="N13778" s="6">
        <f>IF(OR($G13778="FCC",$G13778="Hydrocracker",$G13778="Reformer"),IF(COUNTIFS($D:$D,$D13778,$A:$A,$A13778,$B:$B,$B13778,$G:$G,"CDU",$J:$J,"PLANNED")&gt;0,"tied","standalone"),"")</f>
        <v/>
      </c>
    </row>
    <row r="13779" spans="6:14">
      <c r="F13779" s="6">
        <f>IF($M13779="PADD I","PADD 1",IF($M13779="PADD II","PADD 2",IF($M13779="PADD III","PADD 3",IF($M13779="PADD IV","PADD 4",IF($M13779="PADD V","PADD 5","")))))</f>
        <v/>
      </c>
      <c r="G13779" s="6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  <c r="N13779" s="6">
        <f>IF(OR($G13779="FCC",$G13779="Hydrocracker",$G13779="Reformer"),IF(COUNTIFS($D:$D,$D13779,$A:$A,$A13779,$B:$B,$B13779,$G:$G,"CDU",$J:$J,"PLANNED")&gt;0,"tied","standalone"),"")</f>
        <v/>
      </c>
    </row>
    <row r="13780" spans="6:14">
      <c r="F13780" s="6">
        <f>IF($M13780="PADD I","PADD 1",IF($M13780="PADD II","PADD 2",IF($M13780="PADD III","PADD 3",IF($M13780="PADD IV","PADD 4",IF($M13780="PADD V","PADD 5","")))))</f>
        <v/>
      </c>
      <c r="G13780" s="6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  <c r="N13780" s="6">
        <f>IF(OR($G13780="FCC",$G13780="Hydrocracker",$G13780="Reformer"),IF(COUNTIFS($D:$D,$D13780,$A:$A,$A13780,$B:$B,$B13780,$G:$G,"CDU",$J:$J,"PLANNED")&gt;0,"tied","standalone"),"")</f>
        <v/>
      </c>
    </row>
    <row r="13781" spans="6:14">
      <c r="F13781" s="6">
        <f>IF($M13781="PADD I","PADD 1",IF($M13781="PADD II","PADD 2",IF($M13781="PADD III","PADD 3",IF($M13781="PADD IV","PADD 4",IF($M13781="PADD V","PADD 5","")))))</f>
        <v/>
      </c>
      <c r="G13781" s="6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  <c r="N13781" s="6">
        <f>IF(OR($G13781="FCC",$G13781="Hydrocracker",$G13781="Reformer"),IF(COUNTIFS($D:$D,$D13781,$A:$A,$A13781,$B:$B,$B13781,$G:$G,"CDU",$J:$J,"PLANNED")&gt;0,"tied","standalone"),"")</f>
        <v/>
      </c>
    </row>
    <row r="13782" spans="6:14">
      <c r="F13782" s="6">
        <f>IF($M13782="PADD I","PADD 1",IF($M13782="PADD II","PADD 2",IF($M13782="PADD III","PADD 3",IF($M13782="PADD IV","PADD 4",IF($M13782="PADD V","PADD 5","")))))</f>
        <v/>
      </c>
      <c r="G13782" s="6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  <c r="N13782" s="6">
        <f>IF(OR($G13782="FCC",$G13782="Hydrocracker",$G13782="Reformer"),IF(COUNTIFS($D:$D,$D13782,$A:$A,$A13782,$B:$B,$B13782,$G:$G,"CDU",$J:$J,"PLANNED")&gt;0,"tied","standalone"),"")</f>
        <v/>
      </c>
    </row>
    <row r="13783" spans="6:14">
      <c r="F13783" s="6">
        <f>IF($M13783="PADD I","PADD 1",IF($M13783="PADD II","PADD 2",IF($M13783="PADD III","PADD 3",IF($M13783="PADD IV","PADD 4",IF($M13783="PADD V","PADD 5","")))))</f>
        <v/>
      </c>
      <c r="G13783" s="6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  <c r="N13783" s="6">
        <f>IF(OR($G13783="FCC",$G13783="Hydrocracker",$G13783="Reformer"),IF(COUNTIFS($D:$D,$D13783,$A:$A,$A13783,$B:$B,$B13783,$G:$G,"CDU",$J:$J,"PLANNED")&gt;0,"tied","standalone"),"")</f>
        <v/>
      </c>
    </row>
    <row r="13784" spans="6:14">
      <c r="F13784" s="6">
        <f>IF($M13784="PADD I","PADD 1",IF($M13784="PADD II","PADD 2",IF($M13784="PADD III","PADD 3",IF($M13784="PADD IV","PADD 4",IF($M13784="PADD V","PADD 5","")))))</f>
        <v/>
      </c>
      <c r="G13784" s="6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  <c r="N13784" s="6">
        <f>IF(OR($G13784="FCC",$G13784="Hydrocracker",$G13784="Reformer"),IF(COUNTIFS($D:$D,$D13784,$A:$A,$A13784,$B:$B,$B13784,$G:$G,"CDU",$J:$J,"PLANNED")&gt;0,"tied","standalone"),"")</f>
        <v/>
      </c>
    </row>
    <row r="13785" spans="6:14">
      <c r="F13785" s="6">
        <f>IF($M13785="PADD I","PADD 1",IF($M13785="PADD II","PADD 2",IF($M13785="PADD III","PADD 3",IF($M13785="PADD IV","PADD 4",IF($M13785="PADD V","PADD 5","")))))</f>
        <v/>
      </c>
      <c r="G13785" s="6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  <c r="N13785" s="6">
        <f>IF(OR($G13785="FCC",$G13785="Hydrocracker",$G13785="Reformer"),IF(COUNTIFS($D:$D,$D13785,$A:$A,$A13785,$B:$B,$B13785,$G:$G,"CDU",$J:$J,"PLANNED")&gt;0,"tied","standalone"),"")</f>
        <v/>
      </c>
    </row>
    <row r="13786" spans="6:14">
      <c r="F13786" s="6">
        <f>IF($M13786="PADD I","PADD 1",IF($M13786="PADD II","PADD 2",IF($M13786="PADD III","PADD 3",IF($M13786="PADD IV","PADD 4",IF($M13786="PADD V","PADD 5","")))))</f>
        <v/>
      </c>
      <c r="G13786" s="6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  <c r="N13786" s="6">
        <f>IF(OR($G13786="FCC",$G13786="Hydrocracker",$G13786="Reformer"),IF(COUNTIFS($D:$D,$D13786,$A:$A,$A13786,$B:$B,$B13786,$G:$G,"CDU",$J:$J,"PLANNED")&gt;0,"tied","standalone"),"")</f>
        <v/>
      </c>
    </row>
    <row r="13787" spans="6:14">
      <c r="F13787" s="6">
        <f>IF($M13787="PADD I","PADD 1",IF($M13787="PADD II","PADD 2",IF($M13787="PADD III","PADD 3",IF($M13787="PADD IV","PADD 4",IF($M13787="PADD V","PADD 5","")))))</f>
        <v/>
      </c>
      <c r="G13787" s="6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  <c r="N13787" s="6">
        <f>IF(OR($G13787="FCC",$G13787="Hydrocracker",$G13787="Reformer"),IF(COUNTIFS($D:$D,$D13787,$A:$A,$A13787,$B:$B,$B13787,$G:$G,"CDU",$J:$J,"PLANNED")&gt;0,"tied","standalone"),"")</f>
        <v/>
      </c>
    </row>
    <row r="13788" spans="6:14">
      <c r="F13788" s="6">
        <f>IF($M13788="PADD I","PADD 1",IF($M13788="PADD II","PADD 2",IF($M13788="PADD III","PADD 3",IF($M13788="PADD IV","PADD 4",IF($M13788="PADD V","PADD 5","")))))</f>
        <v/>
      </c>
      <c r="G13788" s="6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  <c r="N13788" s="6">
        <f>IF(OR($G13788="FCC",$G13788="Hydrocracker",$G13788="Reformer"),IF(COUNTIFS($D:$D,$D13788,$A:$A,$A13788,$B:$B,$B13788,$G:$G,"CDU",$J:$J,"PLANNED")&gt;0,"tied","standalone"),"")</f>
        <v/>
      </c>
    </row>
    <row r="13789" spans="6:14">
      <c r="F13789" s="6">
        <f>IF($M13789="PADD I","PADD 1",IF($M13789="PADD II","PADD 2",IF($M13789="PADD III","PADD 3",IF($M13789="PADD IV","PADD 4",IF($M13789="PADD V","PADD 5","")))))</f>
        <v/>
      </c>
      <c r="G13789" s="6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  <c r="N13789" s="6">
        <f>IF(OR($G13789="FCC",$G13789="Hydrocracker",$G13789="Reformer"),IF(COUNTIFS($D:$D,$D13789,$A:$A,$A13789,$B:$B,$B13789,$G:$G,"CDU",$J:$J,"PLANNED")&gt;0,"tied","standalone"),"")</f>
        <v/>
      </c>
    </row>
    <row r="13790" spans="6:14">
      <c r="F13790" s="6">
        <f>IF($M13790="PADD I","PADD 1",IF($M13790="PADD II","PADD 2",IF($M13790="PADD III","PADD 3",IF($M13790="PADD IV","PADD 4",IF($M13790="PADD V","PADD 5","")))))</f>
        <v/>
      </c>
      <c r="G13790" s="6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  <c r="N13790" s="6">
        <f>IF(OR($G13790="FCC",$G13790="Hydrocracker",$G13790="Reformer"),IF(COUNTIFS($D:$D,$D13790,$A:$A,$A13790,$B:$B,$B13790,$G:$G,"CDU",$J:$J,"PLANNED")&gt;0,"tied","standalone"),"")</f>
        <v/>
      </c>
    </row>
    <row r="13791" spans="6:14">
      <c r="F13791" s="6">
        <f>IF($M13791="PADD I","PADD 1",IF($M13791="PADD II","PADD 2",IF($M13791="PADD III","PADD 3",IF($M13791="PADD IV","PADD 4",IF($M13791="PADD V","PADD 5","")))))</f>
        <v/>
      </c>
      <c r="G13791" s="6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  <c r="N13791" s="6">
        <f>IF(OR($G13791="FCC",$G13791="Hydrocracker",$G13791="Reformer"),IF(COUNTIFS($D:$D,$D13791,$A:$A,$A13791,$B:$B,$B13791,$G:$G,"CDU",$J:$J,"PLANNED")&gt;0,"tied","standalone"),"")</f>
        <v/>
      </c>
    </row>
    <row r="13792" spans="6:14">
      <c r="F13792" s="6">
        <f>IF($M13792="PADD I","PADD 1",IF($M13792="PADD II","PADD 2",IF($M13792="PADD III","PADD 3",IF($M13792="PADD IV","PADD 4",IF($M13792="PADD V","PADD 5","")))))</f>
        <v/>
      </c>
      <c r="G13792" s="6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  <c r="N13792" s="6">
        <f>IF(OR($G13792="FCC",$G13792="Hydrocracker",$G13792="Reformer"),IF(COUNTIFS($D:$D,$D13792,$A:$A,$A13792,$B:$B,$B13792,$G:$G,"CDU",$J:$J,"PLANNED")&gt;0,"tied","standalone"),"")</f>
        <v/>
      </c>
    </row>
    <row r="13793" spans="6:14">
      <c r="F13793" s="6">
        <f>IF($M13793="PADD I","PADD 1",IF($M13793="PADD II","PADD 2",IF($M13793="PADD III","PADD 3",IF($M13793="PADD IV","PADD 4",IF($M13793="PADD V","PADD 5","")))))</f>
        <v/>
      </c>
      <c r="G13793" s="6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  <c r="N13793" s="6">
        <f>IF(OR($G13793="FCC",$G13793="Hydrocracker",$G13793="Reformer"),IF(COUNTIFS($D:$D,$D13793,$A:$A,$A13793,$B:$B,$B13793,$G:$G,"CDU",$J:$J,"PLANNED")&gt;0,"tied","standalone"),"")</f>
        <v/>
      </c>
    </row>
    <row r="13794" spans="6:14">
      <c r="F13794" s="6">
        <f>IF($M13794="PADD I","PADD 1",IF($M13794="PADD II","PADD 2",IF($M13794="PADD III","PADD 3",IF($M13794="PADD IV","PADD 4",IF($M13794="PADD V","PADD 5","")))))</f>
        <v/>
      </c>
      <c r="G13794" s="6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  <c r="N13794" s="6">
        <f>IF(OR($G13794="FCC",$G13794="Hydrocracker",$G13794="Reformer"),IF(COUNTIFS($D:$D,$D13794,$A:$A,$A13794,$B:$B,$B13794,$G:$G,"CDU",$J:$J,"PLANNED")&gt;0,"tied","standalone"),"")</f>
        <v/>
      </c>
    </row>
    <row r="13795" spans="6:14">
      <c r="F13795" s="6">
        <f>IF($M13795="PADD I","PADD 1",IF($M13795="PADD II","PADD 2",IF($M13795="PADD III","PADD 3",IF($M13795="PADD IV","PADD 4",IF($M13795="PADD V","PADD 5","")))))</f>
        <v/>
      </c>
      <c r="G13795" s="6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  <c r="N13795" s="6">
        <f>IF(OR($G13795="FCC",$G13795="Hydrocracker",$G13795="Reformer"),IF(COUNTIFS($D:$D,$D13795,$A:$A,$A13795,$B:$B,$B13795,$G:$G,"CDU",$J:$J,"PLANNED")&gt;0,"tied","standalone"),"")</f>
        <v/>
      </c>
    </row>
    <row r="13796" spans="6:14">
      <c r="F13796" s="6">
        <f>IF($M13796="PADD I","PADD 1",IF($M13796="PADD II","PADD 2",IF($M13796="PADD III","PADD 3",IF($M13796="PADD IV","PADD 4",IF($M13796="PADD V","PADD 5","")))))</f>
        <v/>
      </c>
      <c r="G13796" s="6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  <c r="N13796" s="6">
        <f>IF(OR($G13796="FCC",$G13796="Hydrocracker",$G13796="Reformer"),IF(COUNTIFS($D:$D,$D13796,$A:$A,$A13796,$B:$B,$B13796,$G:$G,"CDU",$J:$J,"PLANNED")&gt;0,"tied","standalone"),"")</f>
        <v/>
      </c>
    </row>
    <row r="13797" spans="6:14">
      <c r="F13797" s="6">
        <f>IF($M13797="PADD I","PADD 1",IF($M13797="PADD II","PADD 2",IF($M13797="PADD III","PADD 3",IF($M13797="PADD IV","PADD 4",IF($M13797="PADD V","PADD 5","")))))</f>
        <v/>
      </c>
      <c r="G13797" s="6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  <c r="N13797" s="6">
        <f>IF(OR($G13797="FCC",$G13797="Hydrocracker",$G13797="Reformer"),IF(COUNTIFS($D:$D,$D13797,$A:$A,$A13797,$B:$B,$B13797,$G:$G,"CDU",$J:$J,"PLANNED")&gt;0,"tied","standalone"),"")</f>
        <v/>
      </c>
    </row>
    <row r="13798" spans="6:14">
      <c r="F13798" s="6">
        <f>IF($M13798="PADD I","PADD 1",IF($M13798="PADD II","PADD 2",IF($M13798="PADD III","PADD 3",IF($M13798="PADD IV","PADD 4",IF($M13798="PADD V","PADD 5","")))))</f>
        <v/>
      </c>
      <c r="G13798" s="6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  <c r="N13798" s="6">
        <f>IF(OR($G13798="FCC",$G13798="Hydrocracker",$G13798="Reformer"),IF(COUNTIFS($D:$D,$D13798,$A:$A,$A13798,$B:$B,$B13798,$G:$G,"CDU",$J:$J,"PLANNED")&gt;0,"tied","standalone"),"")</f>
        <v/>
      </c>
    </row>
    <row r="13799" spans="6:14">
      <c r="F13799" s="6">
        <f>IF($M13799="PADD I","PADD 1",IF($M13799="PADD II","PADD 2",IF($M13799="PADD III","PADD 3",IF($M13799="PADD IV","PADD 4",IF($M13799="PADD V","PADD 5","")))))</f>
        <v/>
      </c>
      <c r="G13799" s="6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  <c r="N13799" s="6">
        <f>IF(OR($G13799="FCC",$G13799="Hydrocracker",$G13799="Reformer"),IF(COUNTIFS($D:$D,$D13799,$A:$A,$A13799,$B:$B,$B13799,$G:$G,"CDU",$J:$J,"PLANNED")&gt;0,"tied","standalone"),"")</f>
        <v/>
      </c>
    </row>
    <row r="13800" spans="6:14">
      <c r="F13800" s="6">
        <f>IF($M13800="PADD I","PADD 1",IF($M13800="PADD II","PADD 2",IF($M13800="PADD III","PADD 3",IF($M13800="PADD IV","PADD 4",IF($M13800="PADD V","PADD 5","")))))</f>
        <v/>
      </c>
      <c r="G13800" s="6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  <c r="N13800" s="6">
        <f>IF(OR($G13800="FCC",$G13800="Hydrocracker",$G13800="Reformer"),IF(COUNTIFS($D:$D,$D13800,$A:$A,$A13800,$B:$B,$B13800,$G:$G,"CDU",$J:$J,"PLANNED")&gt;0,"tied","standalone"),"")</f>
        <v/>
      </c>
    </row>
    <row r="13801" spans="6:14">
      <c r="F13801" s="6">
        <f>IF($M13801="PADD I","PADD 1",IF($M13801="PADD II","PADD 2",IF($M13801="PADD III","PADD 3",IF($M13801="PADD IV","PADD 4",IF($M13801="PADD V","PADD 5","")))))</f>
        <v/>
      </c>
      <c r="G13801" s="6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  <c r="N13801" s="6">
        <f>IF(OR($G13801="FCC",$G13801="Hydrocracker",$G13801="Reformer"),IF(COUNTIFS($D:$D,$D13801,$A:$A,$A13801,$B:$B,$B13801,$G:$G,"CDU",$J:$J,"PLANNED")&gt;0,"tied","standalone"),"")</f>
        <v/>
      </c>
    </row>
    <row r="13802" spans="6:14">
      <c r="F13802" s="6">
        <f>IF($M13802="PADD I","PADD 1",IF($M13802="PADD II","PADD 2",IF($M13802="PADD III","PADD 3",IF($M13802="PADD IV","PADD 4",IF($M13802="PADD V","PADD 5","")))))</f>
        <v/>
      </c>
      <c r="G13802" s="6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  <c r="N13802" s="6">
        <f>IF(OR($G13802="FCC",$G13802="Hydrocracker",$G13802="Reformer"),IF(COUNTIFS($D:$D,$D13802,$A:$A,$A13802,$B:$B,$B13802,$G:$G,"CDU",$J:$J,"PLANNED")&gt;0,"tied","standalone"),"")</f>
        <v/>
      </c>
    </row>
    <row r="13803" spans="6:14">
      <c r="F13803" s="6">
        <f>IF($M13803="PADD I","PADD 1",IF($M13803="PADD II","PADD 2",IF($M13803="PADD III","PADD 3",IF($M13803="PADD IV","PADD 4",IF($M13803="PADD V","PADD 5","")))))</f>
        <v/>
      </c>
      <c r="G13803" s="6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  <c r="N13803" s="6">
        <f>IF(OR($G13803="FCC",$G13803="Hydrocracker",$G13803="Reformer"),IF(COUNTIFS($D:$D,$D13803,$A:$A,$A13803,$B:$B,$B13803,$G:$G,"CDU",$J:$J,"PLANNED")&gt;0,"tied","standalone"),"")</f>
        <v/>
      </c>
    </row>
    <row r="13804" spans="6:14">
      <c r="F13804" s="6">
        <f>IF($M13804="PADD I","PADD 1",IF($M13804="PADD II","PADD 2",IF($M13804="PADD III","PADD 3",IF($M13804="PADD IV","PADD 4",IF($M13804="PADD V","PADD 5","")))))</f>
        <v/>
      </c>
      <c r="G13804" s="6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  <c r="N13804" s="6">
        <f>IF(OR($G13804="FCC",$G13804="Hydrocracker",$G13804="Reformer"),IF(COUNTIFS($D:$D,$D13804,$A:$A,$A13804,$B:$B,$B13804,$G:$G,"CDU",$J:$J,"PLANNED")&gt;0,"tied","standalone"),"")</f>
        <v/>
      </c>
    </row>
    <row r="13805" spans="6:14">
      <c r="F13805" s="6">
        <f>IF($M13805="PADD I","PADD 1",IF($M13805="PADD II","PADD 2",IF($M13805="PADD III","PADD 3",IF($M13805="PADD IV","PADD 4",IF($M13805="PADD V","PADD 5","")))))</f>
        <v/>
      </c>
      <c r="G13805" s="6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  <c r="N13805" s="6">
        <f>IF(OR($G13805="FCC",$G13805="Hydrocracker",$G13805="Reformer"),IF(COUNTIFS($D:$D,$D13805,$A:$A,$A13805,$B:$B,$B13805,$G:$G,"CDU",$J:$J,"PLANNED")&gt;0,"tied","standalone"),"")</f>
        <v/>
      </c>
    </row>
    <row r="13806" spans="6:14">
      <c r="F13806" s="6">
        <f>IF($M13806="PADD I","PADD 1",IF($M13806="PADD II","PADD 2",IF($M13806="PADD III","PADD 3",IF($M13806="PADD IV","PADD 4",IF($M13806="PADD V","PADD 5","")))))</f>
        <v/>
      </c>
      <c r="G13806" s="6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  <c r="N13806" s="6">
        <f>IF(OR($G13806="FCC",$G13806="Hydrocracker",$G13806="Reformer"),IF(COUNTIFS($D:$D,$D13806,$A:$A,$A13806,$B:$B,$B13806,$G:$G,"CDU",$J:$J,"PLANNED")&gt;0,"tied","standalone"),"")</f>
        <v/>
      </c>
    </row>
    <row r="13807" spans="6:14">
      <c r="F13807" s="6">
        <f>IF($M13807="PADD I","PADD 1",IF($M13807="PADD II","PADD 2",IF($M13807="PADD III","PADD 3",IF($M13807="PADD IV","PADD 4",IF($M13807="PADD V","PADD 5","")))))</f>
        <v/>
      </c>
      <c r="G13807" s="6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  <c r="N13807" s="6">
        <f>IF(OR($G13807="FCC",$G13807="Hydrocracker",$G13807="Reformer"),IF(COUNTIFS($D:$D,$D13807,$A:$A,$A13807,$B:$B,$B13807,$G:$G,"CDU",$J:$J,"PLANNED")&gt;0,"tied","standalone"),"")</f>
        <v/>
      </c>
    </row>
    <row r="13808" spans="6:14">
      <c r="F13808" s="6">
        <f>IF($M13808="PADD I","PADD 1",IF($M13808="PADD II","PADD 2",IF($M13808="PADD III","PADD 3",IF($M13808="PADD IV","PADD 4",IF($M13808="PADD V","PADD 5","")))))</f>
        <v/>
      </c>
      <c r="G13808" s="6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  <c r="N13808" s="6">
        <f>IF(OR($G13808="FCC",$G13808="Hydrocracker",$G13808="Reformer"),IF(COUNTIFS($D:$D,$D13808,$A:$A,$A13808,$B:$B,$B13808,$G:$G,"CDU",$J:$J,"PLANNED")&gt;0,"tied","standalone"),"")</f>
        <v/>
      </c>
    </row>
    <row r="13809" spans="6:14">
      <c r="F13809" s="6">
        <f>IF($M13809="PADD I","PADD 1",IF($M13809="PADD II","PADD 2",IF($M13809="PADD III","PADD 3",IF($M13809="PADD IV","PADD 4",IF($M13809="PADD V","PADD 5","")))))</f>
        <v/>
      </c>
      <c r="G13809" s="6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  <c r="N13809" s="6">
        <f>IF(OR($G13809="FCC",$G13809="Hydrocracker",$G13809="Reformer"),IF(COUNTIFS($D:$D,$D13809,$A:$A,$A13809,$B:$B,$B13809,$G:$G,"CDU",$J:$J,"PLANNED")&gt;0,"tied","standalone"),"")</f>
        <v/>
      </c>
    </row>
    <row r="13810" spans="6:14">
      <c r="F13810" s="6">
        <f>IF($M13810="PADD I","PADD 1",IF($M13810="PADD II","PADD 2",IF($M13810="PADD III","PADD 3",IF($M13810="PADD IV","PADD 4",IF($M13810="PADD V","PADD 5","")))))</f>
        <v/>
      </c>
      <c r="G13810" s="6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  <c r="N13810" s="6">
        <f>IF(OR($G13810="FCC",$G13810="Hydrocracker",$G13810="Reformer"),IF(COUNTIFS($D:$D,$D13810,$A:$A,$A13810,$B:$B,$B13810,$G:$G,"CDU",$J:$J,"PLANNED")&gt;0,"tied","standalone"),"")</f>
        <v/>
      </c>
    </row>
    <row r="13811" spans="6:14">
      <c r="F13811" s="6">
        <f>IF($M13811="PADD I","PADD 1",IF($M13811="PADD II","PADD 2",IF($M13811="PADD III","PADD 3",IF($M13811="PADD IV","PADD 4",IF($M13811="PADD V","PADD 5","")))))</f>
        <v/>
      </c>
      <c r="G13811" s="6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  <c r="N13811" s="6">
        <f>IF(OR($G13811="FCC",$G13811="Hydrocracker",$G13811="Reformer"),IF(COUNTIFS($D:$D,$D13811,$A:$A,$A13811,$B:$B,$B13811,$G:$G,"CDU",$J:$J,"PLANNED")&gt;0,"tied","standalone"),"")</f>
        <v/>
      </c>
    </row>
    <row r="13812" spans="6:14">
      <c r="F13812" s="6">
        <f>IF($M13812="PADD I","PADD 1",IF($M13812="PADD II","PADD 2",IF($M13812="PADD III","PADD 3",IF($M13812="PADD IV","PADD 4",IF($M13812="PADD V","PADD 5","")))))</f>
        <v/>
      </c>
      <c r="G13812" s="6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  <c r="N13812" s="6">
        <f>IF(OR($G13812="FCC",$G13812="Hydrocracker",$G13812="Reformer"),IF(COUNTIFS($D:$D,$D13812,$A:$A,$A13812,$B:$B,$B13812,$G:$G,"CDU",$J:$J,"PLANNED")&gt;0,"tied","standalone"),"")</f>
        <v/>
      </c>
    </row>
    <row r="13813" spans="6:14">
      <c r="F13813" s="6">
        <f>IF($M13813="PADD I","PADD 1",IF($M13813="PADD II","PADD 2",IF($M13813="PADD III","PADD 3",IF($M13813="PADD IV","PADD 4",IF($M13813="PADD V","PADD 5","")))))</f>
        <v/>
      </c>
      <c r="G13813" s="6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  <c r="N13813" s="6">
        <f>IF(OR($G13813="FCC",$G13813="Hydrocracker",$G13813="Reformer"),IF(COUNTIFS($D:$D,$D13813,$A:$A,$A13813,$B:$B,$B13813,$G:$G,"CDU",$J:$J,"PLANNED")&gt;0,"tied","standalone"),"")</f>
        <v/>
      </c>
    </row>
    <row r="13814" spans="6:14">
      <c r="F13814" s="6">
        <f>IF($M13814="PADD I","PADD 1",IF($M13814="PADD II","PADD 2",IF($M13814="PADD III","PADD 3",IF($M13814="PADD IV","PADD 4",IF($M13814="PADD V","PADD 5","")))))</f>
        <v/>
      </c>
      <c r="G13814" s="6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  <c r="N13814" s="6">
        <f>IF(OR($G13814="FCC",$G13814="Hydrocracker",$G13814="Reformer"),IF(COUNTIFS($D:$D,$D13814,$A:$A,$A13814,$B:$B,$B13814,$G:$G,"CDU",$J:$J,"PLANNED")&gt;0,"tied","standalone"),"")</f>
        <v/>
      </c>
    </row>
    <row r="13815" spans="6:14">
      <c r="F13815" s="6">
        <f>IF($M13815="PADD I","PADD 1",IF($M13815="PADD II","PADD 2",IF($M13815="PADD III","PADD 3",IF($M13815="PADD IV","PADD 4",IF($M13815="PADD V","PADD 5","")))))</f>
        <v/>
      </c>
      <c r="G13815" s="6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  <c r="N13815" s="6">
        <f>IF(OR($G13815="FCC",$G13815="Hydrocracker",$G13815="Reformer"),IF(COUNTIFS($D:$D,$D13815,$A:$A,$A13815,$B:$B,$B13815,$G:$G,"CDU",$J:$J,"PLANNED")&gt;0,"tied","standalone"),"")</f>
        <v/>
      </c>
    </row>
    <row r="13816" spans="6:14">
      <c r="F13816" s="6">
        <f>IF($M13816="PADD I","PADD 1",IF($M13816="PADD II","PADD 2",IF($M13816="PADD III","PADD 3",IF($M13816="PADD IV","PADD 4",IF($M13816="PADD V","PADD 5","")))))</f>
        <v/>
      </c>
      <c r="G13816" s="6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  <c r="N13816" s="6">
        <f>IF(OR($G13816="FCC",$G13816="Hydrocracker",$G13816="Reformer"),IF(COUNTIFS($D:$D,$D13816,$A:$A,$A13816,$B:$B,$B13816,$G:$G,"CDU",$J:$J,"PLANNED")&gt;0,"tied","standalone"),"")</f>
        <v/>
      </c>
    </row>
    <row r="13817" spans="6:14">
      <c r="F13817" s="6">
        <f>IF($M13817="PADD I","PADD 1",IF($M13817="PADD II","PADD 2",IF($M13817="PADD III","PADD 3",IF($M13817="PADD IV","PADD 4",IF($M13817="PADD V","PADD 5","")))))</f>
        <v/>
      </c>
      <c r="G13817" s="6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  <c r="N13817" s="6">
        <f>IF(OR($G13817="FCC",$G13817="Hydrocracker",$G13817="Reformer"),IF(COUNTIFS($D:$D,$D13817,$A:$A,$A13817,$B:$B,$B13817,$G:$G,"CDU",$J:$J,"PLANNED")&gt;0,"tied","standalone"),"")</f>
        <v/>
      </c>
    </row>
    <row r="13818" spans="6:14">
      <c r="F13818" s="6">
        <f>IF($M13818="PADD I","PADD 1",IF($M13818="PADD II","PADD 2",IF($M13818="PADD III","PADD 3",IF($M13818="PADD IV","PADD 4",IF($M13818="PADD V","PADD 5","")))))</f>
        <v/>
      </c>
      <c r="G13818" s="6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  <c r="N13818" s="6">
        <f>IF(OR($G13818="FCC",$G13818="Hydrocracker",$G13818="Reformer"),IF(COUNTIFS($D:$D,$D13818,$A:$A,$A13818,$B:$B,$B13818,$G:$G,"CDU",$J:$J,"PLANNED")&gt;0,"tied","standalone"),"")</f>
        <v/>
      </c>
    </row>
    <row r="13819" spans="6:14">
      <c r="F13819" s="6">
        <f>IF($M13819="PADD I","PADD 1",IF($M13819="PADD II","PADD 2",IF($M13819="PADD III","PADD 3",IF($M13819="PADD IV","PADD 4",IF($M13819="PADD V","PADD 5","")))))</f>
        <v/>
      </c>
      <c r="G13819" s="6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  <c r="N13819" s="6">
        <f>IF(OR($G13819="FCC",$G13819="Hydrocracker",$G13819="Reformer"),IF(COUNTIFS($D:$D,$D13819,$A:$A,$A13819,$B:$B,$B13819,$G:$G,"CDU",$J:$J,"PLANNED")&gt;0,"tied","standalone"),"")</f>
        <v/>
      </c>
    </row>
    <row r="13820" spans="6:14">
      <c r="F13820" s="6">
        <f>IF($M13820="PADD I","PADD 1",IF($M13820="PADD II","PADD 2",IF($M13820="PADD III","PADD 3",IF($M13820="PADD IV","PADD 4",IF($M13820="PADD V","PADD 5","")))))</f>
        <v/>
      </c>
      <c r="G13820" s="6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  <c r="N13820" s="6">
        <f>IF(OR($G13820="FCC",$G13820="Hydrocracker",$G13820="Reformer"),IF(COUNTIFS($D:$D,$D13820,$A:$A,$A13820,$B:$B,$B13820,$G:$G,"CDU",$J:$J,"PLANNED")&gt;0,"tied","standalone"),"")</f>
        <v/>
      </c>
    </row>
    <row r="13821" spans="6:14">
      <c r="F13821" s="6">
        <f>IF($M13821="PADD I","PADD 1",IF($M13821="PADD II","PADD 2",IF($M13821="PADD III","PADD 3",IF($M13821="PADD IV","PADD 4",IF($M13821="PADD V","PADD 5","")))))</f>
        <v/>
      </c>
      <c r="G13821" s="6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  <c r="N13821" s="6">
        <f>IF(OR($G13821="FCC",$G13821="Hydrocracker",$G13821="Reformer"),IF(COUNTIFS($D:$D,$D13821,$A:$A,$A13821,$B:$B,$B13821,$G:$G,"CDU",$J:$J,"PLANNED")&gt;0,"tied","standalone"),"")</f>
        <v/>
      </c>
    </row>
    <row r="13822" spans="6:14">
      <c r="F13822" s="6">
        <f>IF($M13822="PADD I","PADD 1",IF($M13822="PADD II","PADD 2",IF($M13822="PADD III","PADD 3",IF($M13822="PADD IV","PADD 4",IF($M13822="PADD V","PADD 5","")))))</f>
        <v/>
      </c>
      <c r="G13822" s="6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  <c r="N13822" s="6">
        <f>IF(OR($G13822="FCC",$G13822="Hydrocracker",$G13822="Reformer"),IF(COUNTIFS($D:$D,$D13822,$A:$A,$A13822,$B:$B,$B13822,$G:$G,"CDU",$J:$J,"PLANNED")&gt;0,"tied","standalone"),"")</f>
        <v/>
      </c>
    </row>
    <row r="13823" spans="6:14">
      <c r="F13823" s="6">
        <f>IF($M13823="PADD I","PADD 1",IF($M13823="PADD II","PADD 2",IF($M13823="PADD III","PADD 3",IF($M13823="PADD IV","PADD 4",IF($M13823="PADD V","PADD 5","")))))</f>
        <v/>
      </c>
      <c r="G13823" s="6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  <c r="N13823" s="6">
        <f>IF(OR($G13823="FCC",$G13823="Hydrocracker",$G13823="Reformer"),IF(COUNTIFS($D:$D,$D13823,$A:$A,$A13823,$B:$B,$B13823,$G:$G,"CDU",$J:$J,"PLANNED")&gt;0,"tied","standalone"),"")</f>
        <v/>
      </c>
    </row>
    <row r="13824" spans="6:14">
      <c r="F13824" s="6">
        <f>IF($M13824="PADD I","PADD 1",IF($M13824="PADD II","PADD 2",IF($M13824="PADD III","PADD 3",IF($M13824="PADD IV","PADD 4",IF($M13824="PADD V","PADD 5","")))))</f>
        <v/>
      </c>
      <c r="G13824" s="6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  <c r="N13824" s="6">
        <f>IF(OR($G13824="FCC",$G13824="Hydrocracker",$G13824="Reformer"),IF(COUNTIFS($D:$D,$D13824,$A:$A,$A13824,$B:$B,$B13824,$G:$G,"CDU",$J:$J,"PLANNED")&gt;0,"tied","standalone"),"")</f>
        <v/>
      </c>
    </row>
    <row r="13825" spans="6:14">
      <c r="F13825" s="6">
        <f>IF($M13825="PADD I","PADD 1",IF($M13825="PADD II","PADD 2",IF($M13825="PADD III","PADD 3",IF($M13825="PADD IV","PADD 4",IF($M13825="PADD V","PADD 5","")))))</f>
        <v/>
      </c>
      <c r="G13825" s="6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  <c r="N13825" s="6">
        <f>IF(OR($G13825="FCC",$G13825="Hydrocracker",$G13825="Reformer"),IF(COUNTIFS($D:$D,$D13825,$A:$A,$A13825,$B:$B,$B13825,$G:$G,"CDU",$J:$J,"PLANNED")&gt;0,"tied","standalone"),"")</f>
        <v/>
      </c>
    </row>
    <row r="13826" spans="6:14">
      <c r="F13826" s="6">
        <f>IF($M13826="PADD I","PADD 1",IF($M13826="PADD II","PADD 2",IF($M13826="PADD III","PADD 3",IF($M13826="PADD IV","PADD 4",IF($M13826="PADD V","PADD 5","")))))</f>
        <v/>
      </c>
      <c r="G13826" s="6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  <c r="N13826" s="6">
        <f>IF(OR($G13826="FCC",$G13826="Hydrocracker",$G13826="Reformer"),IF(COUNTIFS($D:$D,$D13826,$A:$A,$A13826,$B:$B,$B13826,$G:$G,"CDU",$J:$J,"PLANNED")&gt;0,"tied","standalone"),"")</f>
        <v/>
      </c>
    </row>
    <row r="13827" spans="6:14">
      <c r="F13827" s="6">
        <f>IF($M13827="PADD I","PADD 1",IF($M13827="PADD II","PADD 2",IF($M13827="PADD III","PADD 3",IF($M13827="PADD IV","PADD 4",IF($M13827="PADD V","PADD 5","")))))</f>
        <v/>
      </c>
      <c r="G13827" s="6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  <c r="N13827" s="6">
        <f>IF(OR($G13827="FCC",$G13827="Hydrocracker",$G13827="Reformer"),IF(COUNTIFS($D:$D,$D13827,$A:$A,$A13827,$B:$B,$B13827,$G:$G,"CDU",$J:$J,"PLANNED")&gt;0,"tied","standalone"),"")</f>
        <v/>
      </c>
    </row>
    <row r="13828" spans="6:14">
      <c r="F13828" s="6">
        <f>IF($M13828="PADD I","PADD 1",IF($M13828="PADD II","PADD 2",IF($M13828="PADD III","PADD 3",IF($M13828="PADD IV","PADD 4",IF($M13828="PADD V","PADD 5","")))))</f>
        <v/>
      </c>
      <c r="G13828" s="6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  <c r="N13828" s="6">
        <f>IF(OR($G13828="FCC",$G13828="Hydrocracker",$G13828="Reformer"),IF(COUNTIFS($D:$D,$D13828,$A:$A,$A13828,$B:$B,$B13828,$G:$G,"CDU",$J:$J,"PLANNED")&gt;0,"tied","standalone"),"")</f>
        <v/>
      </c>
    </row>
    <row r="13829" spans="6:14">
      <c r="F13829" s="6">
        <f>IF($M13829="PADD I","PADD 1",IF($M13829="PADD II","PADD 2",IF($M13829="PADD III","PADD 3",IF($M13829="PADD IV","PADD 4",IF($M13829="PADD V","PADD 5","")))))</f>
        <v/>
      </c>
      <c r="G13829" s="6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  <c r="N13829" s="6">
        <f>IF(OR($G13829="FCC",$G13829="Hydrocracker",$G13829="Reformer"),IF(COUNTIFS($D:$D,$D13829,$A:$A,$A13829,$B:$B,$B13829,$G:$G,"CDU",$J:$J,"PLANNED")&gt;0,"tied","standalone"),"")</f>
        <v/>
      </c>
    </row>
    <row r="13830" spans="6:14">
      <c r="F13830" s="6">
        <f>IF($M13830="PADD I","PADD 1",IF($M13830="PADD II","PADD 2",IF($M13830="PADD III","PADD 3",IF($M13830="PADD IV","PADD 4",IF($M13830="PADD V","PADD 5","")))))</f>
        <v/>
      </c>
      <c r="G13830" s="6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  <c r="N13830" s="6">
        <f>IF(OR($G13830="FCC",$G13830="Hydrocracker",$G13830="Reformer"),IF(COUNTIFS($D:$D,$D13830,$A:$A,$A13830,$B:$B,$B13830,$G:$G,"CDU",$J:$J,"PLANNED")&gt;0,"tied","standalone"),"")</f>
        <v/>
      </c>
    </row>
    <row r="13831" spans="6:14">
      <c r="F13831" s="6">
        <f>IF($M13831="PADD I","PADD 1",IF($M13831="PADD II","PADD 2",IF($M13831="PADD III","PADD 3",IF($M13831="PADD IV","PADD 4",IF($M13831="PADD V","PADD 5","")))))</f>
        <v/>
      </c>
      <c r="G13831" s="6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  <c r="N13831" s="6">
        <f>IF(OR($G13831="FCC",$G13831="Hydrocracker",$G13831="Reformer"),IF(COUNTIFS($D:$D,$D13831,$A:$A,$A13831,$B:$B,$B13831,$G:$G,"CDU",$J:$J,"PLANNED")&gt;0,"tied","standalone"),"")</f>
        <v/>
      </c>
    </row>
    <row r="13832" spans="6:14">
      <c r="F13832" s="6">
        <f>IF($M13832="PADD I","PADD 1",IF($M13832="PADD II","PADD 2",IF($M13832="PADD III","PADD 3",IF($M13832="PADD IV","PADD 4",IF($M13832="PADD V","PADD 5","")))))</f>
        <v/>
      </c>
      <c r="G13832" s="6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  <c r="N13832" s="6">
        <f>IF(OR($G13832="FCC",$G13832="Hydrocracker",$G13832="Reformer"),IF(COUNTIFS($D:$D,$D13832,$A:$A,$A13832,$B:$B,$B13832,$G:$G,"CDU",$J:$J,"PLANNED")&gt;0,"tied","standalone"),"")</f>
        <v/>
      </c>
    </row>
    <row r="13833" spans="6:14">
      <c r="F13833" s="6">
        <f>IF($M13833="PADD I","PADD 1",IF($M13833="PADD II","PADD 2",IF($M13833="PADD III","PADD 3",IF($M13833="PADD IV","PADD 4",IF($M13833="PADD V","PADD 5","")))))</f>
        <v/>
      </c>
      <c r="G13833" s="6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  <c r="N13833" s="6">
        <f>IF(OR($G13833="FCC",$G13833="Hydrocracker",$G13833="Reformer"),IF(COUNTIFS($D:$D,$D13833,$A:$A,$A13833,$B:$B,$B13833,$G:$G,"CDU",$J:$J,"PLANNED")&gt;0,"tied","standalone"),"")</f>
        <v/>
      </c>
    </row>
    <row r="13834" spans="6:14">
      <c r="F13834" s="6">
        <f>IF($M13834="PADD I","PADD 1",IF($M13834="PADD II","PADD 2",IF($M13834="PADD III","PADD 3",IF($M13834="PADD IV","PADD 4",IF($M13834="PADD V","PADD 5","")))))</f>
        <v/>
      </c>
      <c r="G13834" s="6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  <c r="N13834" s="6">
        <f>IF(OR($G13834="FCC",$G13834="Hydrocracker",$G13834="Reformer"),IF(COUNTIFS($D:$D,$D13834,$A:$A,$A13834,$B:$B,$B13834,$G:$G,"CDU",$J:$J,"PLANNED")&gt;0,"tied","standalone"),"")</f>
        <v/>
      </c>
    </row>
    <row r="13835" spans="6:14">
      <c r="F13835" s="6">
        <f>IF($M13835="PADD I","PADD 1",IF($M13835="PADD II","PADD 2",IF($M13835="PADD III","PADD 3",IF($M13835="PADD IV","PADD 4",IF($M13835="PADD V","PADD 5","")))))</f>
        <v/>
      </c>
      <c r="G13835" s="6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  <c r="N13835" s="6">
        <f>IF(OR($G13835="FCC",$G13835="Hydrocracker",$G13835="Reformer"),IF(COUNTIFS($D:$D,$D13835,$A:$A,$A13835,$B:$B,$B13835,$G:$G,"CDU",$J:$J,"PLANNED")&gt;0,"tied","standalone"),"")</f>
        <v/>
      </c>
    </row>
    <row r="13836" spans="6:14">
      <c r="F13836" s="6">
        <f>IF($M13836="PADD I","PADD 1",IF($M13836="PADD II","PADD 2",IF($M13836="PADD III","PADD 3",IF($M13836="PADD IV","PADD 4",IF($M13836="PADD V","PADD 5","")))))</f>
        <v/>
      </c>
      <c r="G13836" s="6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  <c r="N13836" s="6">
        <f>IF(OR($G13836="FCC",$G13836="Hydrocracker",$G13836="Reformer"),IF(COUNTIFS($D:$D,$D13836,$A:$A,$A13836,$B:$B,$B13836,$G:$G,"CDU",$J:$J,"PLANNED")&gt;0,"tied","standalone"),"")</f>
        <v/>
      </c>
    </row>
    <row r="13837" spans="6:14">
      <c r="F13837" s="6">
        <f>IF($M13837="PADD I","PADD 1",IF($M13837="PADD II","PADD 2",IF($M13837="PADD III","PADD 3",IF($M13837="PADD IV","PADD 4",IF($M13837="PADD V","PADD 5","")))))</f>
        <v/>
      </c>
      <c r="G13837" s="6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  <c r="N13837" s="6">
        <f>IF(OR($G13837="FCC",$G13837="Hydrocracker",$G13837="Reformer"),IF(COUNTIFS($D:$D,$D13837,$A:$A,$A13837,$B:$B,$B13837,$G:$G,"CDU",$J:$J,"PLANNED")&gt;0,"tied","standalone"),"")</f>
        <v/>
      </c>
    </row>
    <row r="13838" spans="6:14">
      <c r="F13838" s="6">
        <f>IF($M13838="PADD I","PADD 1",IF($M13838="PADD II","PADD 2",IF($M13838="PADD III","PADD 3",IF($M13838="PADD IV","PADD 4",IF($M13838="PADD V","PADD 5","")))))</f>
        <v/>
      </c>
      <c r="G13838" s="6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  <c r="N13838" s="6">
        <f>IF(OR($G13838="FCC",$G13838="Hydrocracker",$G13838="Reformer"),IF(COUNTIFS($D:$D,$D13838,$A:$A,$A13838,$B:$B,$B13838,$G:$G,"CDU",$J:$J,"PLANNED")&gt;0,"tied","standalone"),"")</f>
        <v/>
      </c>
    </row>
    <row r="13839" spans="6:14">
      <c r="F13839" s="6">
        <f>IF($M13839="PADD I","PADD 1",IF($M13839="PADD II","PADD 2",IF($M13839="PADD III","PADD 3",IF($M13839="PADD IV","PADD 4",IF($M13839="PADD V","PADD 5","")))))</f>
        <v/>
      </c>
      <c r="G13839" s="6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  <c r="N13839" s="6">
        <f>IF(OR($G13839="FCC",$G13839="Hydrocracker",$G13839="Reformer"),IF(COUNTIFS($D:$D,$D13839,$A:$A,$A13839,$B:$B,$B13839,$G:$G,"CDU",$J:$J,"PLANNED")&gt;0,"tied","standalone"),"")</f>
        <v/>
      </c>
    </row>
    <row r="13840" spans="6:14">
      <c r="F13840" s="6">
        <f>IF($M13840="PADD I","PADD 1",IF($M13840="PADD II","PADD 2",IF($M13840="PADD III","PADD 3",IF($M13840="PADD IV","PADD 4",IF($M13840="PADD V","PADD 5","")))))</f>
        <v/>
      </c>
      <c r="G13840" s="6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  <c r="N13840" s="6">
        <f>IF(OR($G13840="FCC",$G13840="Hydrocracker",$G13840="Reformer"),IF(COUNTIFS($D:$D,$D13840,$A:$A,$A13840,$B:$B,$B13840,$G:$G,"CDU",$J:$J,"PLANNED")&gt;0,"tied","standalone"),"")</f>
        <v/>
      </c>
    </row>
    <row r="13841" spans="6:14">
      <c r="F13841" s="6">
        <f>IF($M13841="PADD I","PADD 1",IF($M13841="PADD II","PADD 2",IF($M13841="PADD III","PADD 3",IF($M13841="PADD IV","PADD 4",IF($M13841="PADD V","PADD 5","")))))</f>
        <v/>
      </c>
      <c r="G13841" s="6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  <c r="N13841" s="6">
        <f>IF(OR($G13841="FCC",$G13841="Hydrocracker",$G13841="Reformer"),IF(COUNTIFS($D:$D,$D13841,$A:$A,$A13841,$B:$B,$B13841,$G:$G,"CDU",$J:$J,"PLANNED")&gt;0,"tied","standalone"),"")</f>
        <v/>
      </c>
    </row>
    <row r="13842" spans="6:14">
      <c r="F13842" s="6">
        <f>IF($M13842="PADD I","PADD 1",IF($M13842="PADD II","PADD 2",IF($M13842="PADD III","PADD 3",IF($M13842="PADD IV","PADD 4",IF($M13842="PADD V","PADD 5","")))))</f>
        <v/>
      </c>
      <c r="G13842" s="6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  <c r="N13842" s="6">
        <f>IF(OR($G13842="FCC",$G13842="Hydrocracker",$G13842="Reformer"),IF(COUNTIFS($D:$D,$D13842,$A:$A,$A13842,$B:$B,$B13842,$G:$G,"CDU",$J:$J,"PLANNED")&gt;0,"tied","standalone"),"")</f>
        <v/>
      </c>
    </row>
    <row r="13843" spans="6:14">
      <c r="F13843" s="6">
        <f>IF($M13843="PADD I","PADD 1",IF($M13843="PADD II","PADD 2",IF($M13843="PADD III","PADD 3",IF($M13843="PADD IV","PADD 4",IF($M13843="PADD V","PADD 5","")))))</f>
        <v/>
      </c>
      <c r="G13843" s="6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  <c r="N13843" s="6">
        <f>IF(OR($G13843="FCC",$G13843="Hydrocracker",$G13843="Reformer"),IF(COUNTIFS($D:$D,$D13843,$A:$A,$A13843,$B:$B,$B13843,$G:$G,"CDU",$J:$J,"PLANNED")&gt;0,"tied","standalone"),"")</f>
        <v/>
      </c>
    </row>
    <row r="13844" spans="6:14">
      <c r="F13844" s="6">
        <f>IF($M13844="PADD I","PADD 1",IF($M13844="PADD II","PADD 2",IF($M13844="PADD III","PADD 3",IF($M13844="PADD IV","PADD 4",IF($M13844="PADD V","PADD 5","")))))</f>
        <v/>
      </c>
      <c r="G13844" s="6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  <c r="N13844" s="6">
        <f>IF(OR($G13844="FCC",$G13844="Hydrocracker",$G13844="Reformer"),IF(COUNTIFS($D:$D,$D13844,$A:$A,$A13844,$B:$B,$B13844,$G:$G,"CDU",$J:$J,"PLANNED")&gt;0,"tied","standalone"),"")</f>
        <v/>
      </c>
    </row>
    <row r="13845" spans="6:14">
      <c r="F13845" s="6">
        <f>IF($M13845="PADD I","PADD 1",IF($M13845="PADD II","PADD 2",IF($M13845="PADD III","PADD 3",IF($M13845="PADD IV","PADD 4",IF($M13845="PADD V","PADD 5","")))))</f>
        <v/>
      </c>
      <c r="G13845" s="6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  <c r="N13845" s="6">
        <f>IF(OR($G13845="FCC",$G13845="Hydrocracker",$G13845="Reformer"),IF(COUNTIFS($D:$D,$D13845,$A:$A,$A13845,$B:$B,$B13845,$G:$G,"CDU",$J:$J,"PLANNED")&gt;0,"tied","standalone"),"")</f>
        <v/>
      </c>
    </row>
    <row r="13846" spans="6:14">
      <c r="F13846" s="6">
        <f>IF($M13846="PADD I","PADD 1",IF($M13846="PADD II","PADD 2",IF($M13846="PADD III","PADD 3",IF($M13846="PADD IV","PADD 4",IF($M13846="PADD V","PADD 5","")))))</f>
        <v/>
      </c>
      <c r="G13846" s="6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  <c r="N13846" s="6">
        <f>IF(OR($G13846="FCC",$G13846="Hydrocracker",$G13846="Reformer"),IF(COUNTIFS($D:$D,$D13846,$A:$A,$A13846,$B:$B,$B13846,$G:$G,"CDU",$J:$J,"PLANNED")&gt;0,"tied","standalone"),"")</f>
        <v/>
      </c>
    </row>
    <row r="13847" spans="6:14">
      <c r="F13847" s="6">
        <f>IF($M13847="PADD I","PADD 1",IF($M13847="PADD II","PADD 2",IF($M13847="PADD III","PADD 3",IF($M13847="PADD IV","PADD 4",IF($M13847="PADD V","PADD 5","")))))</f>
        <v/>
      </c>
      <c r="G13847" s="6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  <c r="N13847" s="6">
        <f>IF(OR($G13847="FCC",$G13847="Hydrocracker",$G13847="Reformer"),IF(COUNTIFS($D:$D,$D13847,$A:$A,$A13847,$B:$B,$B13847,$G:$G,"CDU",$J:$J,"PLANNED")&gt;0,"tied","standalone"),"")</f>
        <v/>
      </c>
    </row>
    <row r="13848" spans="6:14">
      <c r="F13848" s="6">
        <f>IF($M13848="PADD I","PADD 1",IF($M13848="PADD II","PADD 2",IF($M13848="PADD III","PADD 3",IF($M13848="PADD IV","PADD 4",IF($M13848="PADD V","PADD 5","")))))</f>
        <v/>
      </c>
      <c r="G13848" s="6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  <c r="N13848" s="6">
        <f>IF(OR($G13848="FCC",$G13848="Hydrocracker",$G13848="Reformer"),IF(COUNTIFS($D:$D,$D13848,$A:$A,$A13848,$B:$B,$B13848,$G:$G,"CDU",$J:$J,"PLANNED")&gt;0,"tied","standalone"),"")</f>
        <v/>
      </c>
    </row>
    <row r="13849" spans="6:14">
      <c r="F13849" s="6">
        <f>IF($M13849="PADD I","PADD 1",IF($M13849="PADD II","PADD 2",IF($M13849="PADD III","PADD 3",IF($M13849="PADD IV","PADD 4",IF($M13849="PADD V","PADD 5","")))))</f>
        <v/>
      </c>
      <c r="G13849" s="6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  <c r="N13849" s="6">
        <f>IF(OR($G13849="FCC",$G13849="Hydrocracker",$G13849="Reformer"),IF(COUNTIFS($D:$D,$D13849,$A:$A,$A13849,$B:$B,$B13849,$G:$G,"CDU",$J:$J,"PLANNED")&gt;0,"tied","standalone"),"")</f>
        <v/>
      </c>
    </row>
    <row r="13850" spans="6:14">
      <c r="F13850" s="6">
        <f>IF($M13850="PADD I","PADD 1",IF($M13850="PADD II","PADD 2",IF($M13850="PADD III","PADD 3",IF($M13850="PADD IV","PADD 4",IF($M13850="PADD V","PADD 5","")))))</f>
        <v/>
      </c>
      <c r="G13850" s="6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  <c r="N13850" s="6">
        <f>IF(OR($G13850="FCC",$G13850="Hydrocracker",$G13850="Reformer"),IF(COUNTIFS($D:$D,$D13850,$A:$A,$A13850,$B:$B,$B13850,$G:$G,"CDU",$J:$J,"PLANNED")&gt;0,"tied","standalone"),"")</f>
        <v/>
      </c>
    </row>
    <row r="13851" spans="6:14">
      <c r="F13851" s="6">
        <f>IF($M13851="PADD I","PADD 1",IF($M13851="PADD II","PADD 2",IF($M13851="PADD III","PADD 3",IF($M13851="PADD IV","PADD 4",IF($M13851="PADD V","PADD 5","")))))</f>
        <v/>
      </c>
      <c r="G13851" s="6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  <c r="N13851" s="6">
        <f>IF(OR($G13851="FCC",$G13851="Hydrocracker",$G13851="Reformer"),IF(COUNTIFS($D:$D,$D13851,$A:$A,$A13851,$B:$B,$B13851,$G:$G,"CDU",$J:$J,"PLANNED")&gt;0,"tied","standalone"),"")</f>
        <v/>
      </c>
    </row>
    <row r="13852" spans="6:14">
      <c r="F13852" s="6">
        <f>IF($M13852="PADD I","PADD 1",IF($M13852="PADD II","PADD 2",IF($M13852="PADD III","PADD 3",IF($M13852="PADD IV","PADD 4",IF($M13852="PADD V","PADD 5","")))))</f>
        <v/>
      </c>
      <c r="G13852" s="6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  <c r="N13852" s="6">
        <f>IF(OR($G13852="FCC",$G13852="Hydrocracker",$G13852="Reformer"),IF(COUNTIFS($D:$D,$D13852,$A:$A,$A13852,$B:$B,$B13852,$G:$G,"CDU",$J:$J,"PLANNED")&gt;0,"tied","standalone"),"")</f>
        <v/>
      </c>
    </row>
    <row r="13853" spans="6:14">
      <c r="F13853" s="6">
        <f>IF($M13853="PADD I","PADD 1",IF($M13853="PADD II","PADD 2",IF($M13853="PADD III","PADD 3",IF($M13853="PADD IV","PADD 4",IF($M13853="PADD V","PADD 5","")))))</f>
        <v/>
      </c>
      <c r="G13853" s="6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  <c r="N13853" s="6">
        <f>IF(OR($G13853="FCC",$G13853="Hydrocracker",$G13853="Reformer"),IF(COUNTIFS($D:$D,$D13853,$A:$A,$A13853,$B:$B,$B13853,$G:$G,"CDU",$J:$J,"PLANNED")&gt;0,"tied","standalone"),"")</f>
        <v/>
      </c>
    </row>
    <row r="13854" spans="6:14">
      <c r="F13854" s="6">
        <f>IF($M13854="PADD I","PADD 1",IF($M13854="PADD II","PADD 2",IF($M13854="PADD III","PADD 3",IF($M13854="PADD IV","PADD 4",IF($M13854="PADD V","PADD 5","")))))</f>
        <v/>
      </c>
      <c r="G13854" s="6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  <c r="N13854" s="6">
        <f>IF(OR($G13854="FCC",$G13854="Hydrocracker",$G13854="Reformer"),IF(COUNTIFS($D:$D,$D13854,$A:$A,$A13854,$B:$B,$B13854,$G:$G,"CDU",$J:$J,"PLANNED")&gt;0,"tied","standalone"),"")</f>
        <v/>
      </c>
    </row>
    <row r="13855" spans="6:14">
      <c r="F13855" s="6">
        <f>IF($M13855="PADD I","PADD 1",IF($M13855="PADD II","PADD 2",IF($M13855="PADD III","PADD 3",IF($M13855="PADD IV","PADD 4",IF($M13855="PADD V","PADD 5","")))))</f>
        <v/>
      </c>
      <c r="G13855" s="6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  <c r="N13855" s="6">
        <f>IF(OR($G13855="FCC",$G13855="Hydrocracker",$G13855="Reformer"),IF(COUNTIFS($D:$D,$D13855,$A:$A,$A13855,$B:$B,$B13855,$G:$G,"CDU",$J:$J,"PLANNED")&gt;0,"tied","standalone"),"")</f>
        <v/>
      </c>
    </row>
    <row r="13856" spans="6:14">
      <c r="F13856" s="6">
        <f>IF($M13856="PADD I","PADD 1",IF($M13856="PADD II","PADD 2",IF($M13856="PADD III","PADD 3",IF($M13856="PADD IV","PADD 4",IF($M13856="PADD V","PADD 5","")))))</f>
        <v/>
      </c>
      <c r="G13856" s="6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  <c r="N13856" s="6">
        <f>IF(OR($G13856="FCC",$G13856="Hydrocracker",$G13856="Reformer"),IF(COUNTIFS($D:$D,$D13856,$A:$A,$A13856,$B:$B,$B13856,$G:$G,"CDU",$J:$J,"PLANNED")&gt;0,"tied","standalone"),"")</f>
        <v/>
      </c>
    </row>
    <row r="13857" spans="6:14">
      <c r="F13857" s="6">
        <f>IF($M13857="PADD I","PADD 1",IF($M13857="PADD II","PADD 2",IF($M13857="PADD III","PADD 3",IF($M13857="PADD IV","PADD 4",IF($M13857="PADD V","PADD 5","")))))</f>
        <v/>
      </c>
      <c r="G13857" s="6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  <c r="N13857" s="6">
        <f>IF(OR($G13857="FCC",$G13857="Hydrocracker",$G13857="Reformer"),IF(COUNTIFS($D:$D,$D13857,$A:$A,$A13857,$B:$B,$B13857,$G:$G,"CDU",$J:$J,"PLANNED")&gt;0,"tied","standalone"),"")</f>
        <v/>
      </c>
    </row>
    <row r="13858" spans="6:14">
      <c r="F13858" s="6">
        <f>IF($M13858="PADD I","PADD 1",IF($M13858="PADD II","PADD 2",IF($M13858="PADD III","PADD 3",IF($M13858="PADD IV","PADD 4",IF($M13858="PADD V","PADD 5","")))))</f>
        <v/>
      </c>
      <c r="G13858" s="6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  <c r="N13858" s="6">
        <f>IF(OR($G13858="FCC",$G13858="Hydrocracker",$G13858="Reformer"),IF(COUNTIFS($D:$D,$D13858,$A:$A,$A13858,$B:$B,$B13858,$G:$G,"CDU",$J:$J,"PLANNED")&gt;0,"tied","standalone"),"")</f>
        <v/>
      </c>
    </row>
    <row r="13859" spans="6:14">
      <c r="F13859" s="6">
        <f>IF($M13859="PADD I","PADD 1",IF($M13859="PADD II","PADD 2",IF($M13859="PADD III","PADD 3",IF($M13859="PADD IV","PADD 4",IF($M13859="PADD V","PADD 5","")))))</f>
        <v/>
      </c>
      <c r="G13859" s="6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  <c r="N13859" s="6">
        <f>IF(OR($G13859="FCC",$G13859="Hydrocracker",$G13859="Reformer"),IF(COUNTIFS($D:$D,$D13859,$A:$A,$A13859,$B:$B,$B13859,$G:$G,"CDU",$J:$J,"PLANNED")&gt;0,"tied","standalone"),"")</f>
        <v/>
      </c>
    </row>
    <row r="13860" spans="6:14">
      <c r="F13860" s="6">
        <f>IF($M13860="PADD I","PADD 1",IF($M13860="PADD II","PADD 2",IF($M13860="PADD III","PADD 3",IF($M13860="PADD IV","PADD 4",IF($M13860="PADD V","PADD 5","")))))</f>
        <v/>
      </c>
      <c r="G13860" s="6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  <c r="N13860" s="6">
        <f>IF(OR($G13860="FCC",$G13860="Hydrocracker",$G13860="Reformer"),IF(COUNTIFS($D:$D,$D13860,$A:$A,$A13860,$B:$B,$B13860,$G:$G,"CDU",$J:$J,"PLANNED")&gt;0,"tied","standalone"),"")</f>
        <v/>
      </c>
    </row>
    <row r="13861" spans="6:14">
      <c r="F13861" s="6">
        <f>IF($M13861="PADD I","PADD 1",IF($M13861="PADD II","PADD 2",IF($M13861="PADD III","PADD 3",IF($M13861="PADD IV","PADD 4",IF($M13861="PADD V","PADD 5","")))))</f>
        <v/>
      </c>
      <c r="G13861" s="6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  <c r="N13861" s="6">
        <f>IF(OR($G13861="FCC",$G13861="Hydrocracker",$G13861="Reformer"),IF(COUNTIFS($D:$D,$D13861,$A:$A,$A13861,$B:$B,$B13861,$G:$G,"CDU",$J:$J,"PLANNED")&gt;0,"tied","standalone"),"")</f>
        <v/>
      </c>
    </row>
    <row r="13862" spans="6:14">
      <c r="F13862" s="6">
        <f>IF($M13862="PADD I","PADD 1",IF($M13862="PADD II","PADD 2",IF($M13862="PADD III","PADD 3",IF($M13862="PADD IV","PADD 4",IF($M13862="PADD V","PADD 5","")))))</f>
        <v/>
      </c>
      <c r="G13862" s="6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  <c r="N13862" s="6">
        <f>IF(OR($G13862="FCC",$G13862="Hydrocracker",$G13862="Reformer"),IF(COUNTIFS($D:$D,$D13862,$A:$A,$A13862,$B:$B,$B13862,$G:$G,"CDU",$J:$J,"PLANNED")&gt;0,"tied","standalone"),"")</f>
        <v/>
      </c>
    </row>
    <row r="13863" spans="6:14">
      <c r="F13863" s="6">
        <f>IF($M13863="PADD I","PADD 1",IF($M13863="PADD II","PADD 2",IF($M13863="PADD III","PADD 3",IF($M13863="PADD IV","PADD 4",IF($M13863="PADD V","PADD 5","")))))</f>
        <v/>
      </c>
      <c r="G13863" s="6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  <c r="N13863" s="6">
        <f>IF(OR($G13863="FCC",$G13863="Hydrocracker",$G13863="Reformer"),IF(COUNTIFS($D:$D,$D13863,$A:$A,$A13863,$B:$B,$B13863,$G:$G,"CDU",$J:$J,"PLANNED")&gt;0,"tied","standalone"),"")</f>
        <v/>
      </c>
    </row>
    <row r="13864" spans="6:14">
      <c r="F13864" s="6">
        <f>IF($M13864="PADD I","PADD 1",IF($M13864="PADD II","PADD 2",IF($M13864="PADD III","PADD 3",IF($M13864="PADD IV","PADD 4",IF($M13864="PADD V","PADD 5","")))))</f>
        <v/>
      </c>
      <c r="G13864" s="6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  <c r="N13864" s="6">
        <f>IF(OR($G13864="FCC",$G13864="Hydrocracker",$G13864="Reformer"),IF(COUNTIFS($D:$D,$D13864,$A:$A,$A13864,$B:$B,$B13864,$G:$G,"CDU",$J:$J,"PLANNED")&gt;0,"tied","standalone"),"")</f>
        <v/>
      </c>
    </row>
    <row r="13865" spans="6:14">
      <c r="F13865" s="6">
        <f>IF($M13865="PADD I","PADD 1",IF($M13865="PADD II","PADD 2",IF($M13865="PADD III","PADD 3",IF($M13865="PADD IV","PADD 4",IF($M13865="PADD V","PADD 5","")))))</f>
        <v/>
      </c>
      <c r="G13865" s="6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  <c r="N13865" s="6">
        <f>IF(OR($G13865="FCC",$G13865="Hydrocracker",$G13865="Reformer"),IF(COUNTIFS($D:$D,$D13865,$A:$A,$A13865,$B:$B,$B13865,$G:$G,"CDU",$J:$J,"PLANNED")&gt;0,"tied","standalone"),"")</f>
        <v/>
      </c>
    </row>
    <row r="13866" spans="6:14">
      <c r="F13866" s="6">
        <f>IF($M13866="PADD I","PADD 1",IF($M13866="PADD II","PADD 2",IF($M13866="PADD III","PADD 3",IF($M13866="PADD IV","PADD 4",IF($M13866="PADD V","PADD 5","")))))</f>
        <v/>
      </c>
      <c r="G13866" s="6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  <c r="N13866" s="6">
        <f>IF(OR($G13866="FCC",$G13866="Hydrocracker",$G13866="Reformer"),IF(COUNTIFS($D:$D,$D13866,$A:$A,$A13866,$B:$B,$B13866,$G:$G,"CDU",$J:$J,"PLANNED")&gt;0,"tied","standalone"),"")</f>
        <v/>
      </c>
    </row>
    <row r="13867" spans="6:14">
      <c r="F13867" s="6">
        <f>IF($M13867="PADD I","PADD 1",IF($M13867="PADD II","PADD 2",IF($M13867="PADD III","PADD 3",IF($M13867="PADD IV","PADD 4",IF($M13867="PADD V","PADD 5","")))))</f>
        <v/>
      </c>
      <c r="G13867" s="6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  <c r="N13867" s="6">
        <f>IF(OR($G13867="FCC",$G13867="Hydrocracker",$G13867="Reformer"),IF(COUNTIFS($D:$D,$D13867,$A:$A,$A13867,$B:$B,$B13867,$G:$G,"CDU",$J:$J,"PLANNED")&gt;0,"tied","standalone"),"")</f>
        <v/>
      </c>
    </row>
    <row r="13868" spans="6:14">
      <c r="F13868" s="6">
        <f>IF($M13868="PADD I","PADD 1",IF($M13868="PADD II","PADD 2",IF($M13868="PADD III","PADD 3",IF($M13868="PADD IV","PADD 4",IF($M13868="PADD V","PADD 5","")))))</f>
        <v/>
      </c>
      <c r="G13868" s="6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  <c r="N13868" s="6">
        <f>IF(OR($G13868="FCC",$G13868="Hydrocracker",$G13868="Reformer"),IF(COUNTIFS($D:$D,$D13868,$A:$A,$A13868,$B:$B,$B13868,$G:$G,"CDU",$J:$J,"PLANNED")&gt;0,"tied","standalone"),"")</f>
        <v/>
      </c>
    </row>
    <row r="13869" spans="6:14">
      <c r="F13869" s="6">
        <f>IF($M13869="PADD I","PADD 1",IF($M13869="PADD II","PADD 2",IF($M13869="PADD III","PADD 3",IF($M13869="PADD IV","PADD 4",IF($M13869="PADD V","PADD 5","")))))</f>
        <v/>
      </c>
      <c r="G13869" s="6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  <c r="N13869" s="6">
        <f>IF(OR($G13869="FCC",$G13869="Hydrocracker",$G13869="Reformer"),IF(COUNTIFS($D:$D,$D13869,$A:$A,$A13869,$B:$B,$B13869,$G:$G,"CDU",$J:$J,"PLANNED")&gt;0,"tied","standalone"),"")</f>
        <v/>
      </c>
    </row>
    <row r="13870" spans="6:14">
      <c r="F13870" s="6">
        <f>IF($M13870="PADD I","PADD 1",IF($M13870="PADD II","PADD 2",IF($M13870="PADD III","PADD 3",IF($M13870="PADD IV","PADD 4",IF($M13870="PADD V","PADD 5","")))))</f>
        <v/>
      </c>
      <c r="G13870" s="6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  <c r="N13870" s="6">
        <f>IF(OR($G13870="FCC",$G13870="Hydrocracker",$G13870="Reformer"),IF(COUNTIFS($D:$D,$D13870,$A:$A,$A13870,$B:$B,$B13870,$G:$G,"CDU",$J:$J,"PLANNED")&gt;0,"tied","standalone"),"")</f>
        <v/>
      </c>
    </row>
    <row r="13871" spans="6:14">
      <c r="F13871" s="6">
        <f>IF($M13871="PADD I","PADD 1",IF($M13871="PADD II","PADD 2",IF($M13871="PADD III","PADD 3",IF($M13871="PADD IV","PADD 4",IF($M13871="PADD V","PADD 5","")))))</f>
        <v/>
      </c>
      <c r="G13871" s="6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  <c r="N13871" s="6">
        <f>IF(OR($G13871="FCC",$G13871="Hydrocracker",$G13871="Reformer"),IF(COUNTIFS($D:$D,$D13871,$A:$A,$A13871,$B:$B,$B13871,$G:$G,"CDU",$J:$J,"PLANNED")&gt;0,"tied","standalone"),"")</f>
        <v/>
      </c>
    </row>
    <row r="13872" spans="6:14">
      <c r="F13872" s="6">
        <f>IF($M13872="PADD I","PADD 1",IF($M13872="PADD II","PADD 2",IF($M13872="PADD III","PADD 3",IF($M13872="PADD IV","PADD 4",IF($M13872="PADD V","PADD 5","")))))</f>
        <v/>
      </c>
      <c r="G13872" s="6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  <c r="N13872" s="6">
        <f>IF(OR($G13872="FCC",$G13872="Hydrocracker",$G13872="Reformer"),IF(COUNTIFS($D:$D,$D13872,$A:$A,$A13872,$B:$B,$B13872,$G:$G,"CDU",$J:$J,"PLANNED")&gt;0,"tied","standalone"),"")</f>
        <v/>
      </c>
    </row>
    <row r="13873" spans="6:14">
      <c r="F13873" s="6">
        <f>IF($M13873="PADD I","PADD 1",IF($M13873="PADD II","PADD 2",IF($M13873="PADD III","PADD 3",IF($M13873="PADD IV","PADD 4",IF($M13873="PADD V","PADD 5","")))))</f>
        <v/>
      </c>
      <c r="G13873" s="6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  <c r="N13873" s="6">
        <f>IF(OR($G13873="FCC",$G13873="Hydrocracker",$G13873="Reformer"),IF(COUNTIFS($D:$D,$D13873,$A:$A,$A13873,$B:$B,$B13873,$G:$G,"CDU",$J:$J,"PLANNED")&gt;0,"tied","standalone"),"")</f>
        <v/>
      </c>
    </row>
    <row r="13874" spans="6:14">
      <c r="F13874" s="6">
        <f>IF($M13874="PADD I","PADD 1",IF($M13874="PADD II","PADD 2",IF($M13874="PADD III","PADD 3",IF($M13874="PADD IV","PADD 4",IF($M13874="PADD V","PADD 5","")))))</f>
        <v/>
      </c>
      <c r="G13874" s="6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  <c r="N13874" s="6">
        <f>IF(OR($G13874="FCC",$G13874="Hydrocracker",$G13874="Reformer"),IF(COUNTIFS($D:$D,$D13874,$A:$A,$A13874,$B:$B,$B13874,$G:$G,"CDU",$J:$J,"PLANNED")&gt;0,"tied","standalone"),"")</f>
        <v/>
      </c>
    </row>
    <row r="13875" spans="6:14">
      <c r="F13875" s="6">
        <f>IF($M13875="PADD I","PADD 1",IF($M13875="PADD II","PADD 2",IF($M13875="PADD III","PADD 3",IF($M13875="PADD IV","PADD 4",IF($M13875="PADD V","PADD 5","")))))</f>
        <v/>
      </c>
      <c r="G13875" s="6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  <c r="N13875" s="6">
        <f>IF(OR($G13875="FCC",$G13875="Hydrocracker",$G13875="Reformer"),IF(COUNTIFS($D:$D,$D13875,$A:$A,$A13875,$B:$B,$B13875,$G:$G,"CDU",$J:$J,"PLANNED")&gt;0,"tied","standalone"),"")</f>
        <v/>
      </c>
    </row>
    <row r="13876" spans="6:14">
      <c r="F13876" s="6">
        <f>IF($M13876="PADD I","PADD 1",IF($M13876="PADD II","PADD 2",IF($M13876="PADD III","PADD 3",IF($M13876="PADD IV","PADD 4",IF($M13876="PADD V","PADD 5","")))))</f>
        <v/>
      </c>
      <c r="G13876" s="6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  <c r="N13876" s="6">
        <f>IF(OR($G13876="FCC",$G13876="Hydrocracker",$G13876="Reformer"),IF(COUNTIFS($D:$D,$D13876,$A:$A,$A13876,$B:$B,$B13876,$G:$G,"CDU",$J:$J,"PLANNED")&gt;0,"tied","standalone"),"")</f>
        <v/>
      </c>
    </row>
    <row r="13877" spans="6:14">
      <c r="F13877" s="6">
        <f>IF($M13877="PADD I","PADD 1",IF($M13877="PADD II","PADD 2",IF($M13877="PADD III","PADD 3",IF($M13877="PADD IV","PADD 4",IF($M13877="PADD V","PADD 5","")))))</f>
        <v/>
      </c>
      <c r="G13877" s="6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  <c r="N13877" s="6">
        <f>IF(OR($G13877="FCC",$G13877="Hydrocracker",$G13877="Reformer"),IF(COUNTIFS($D:$D,$D13877,$A:$A,$A13877,$B:$B,$B13877,$G:$G,"CDU",$J:$J,"PLANNED")&gt;0,"tied","standalone"),"")</f>
        <v/>
      </c>
    </row>
    <row r="13878" spans="6:14">
      <c r="F13878" s="6">
        <f>IF($M13878="PADD I","PADD 1",IF($M13878="PADD II","PADD 2",IF($M13878="PADD III","PADD 3",IF($M13878="PADD IV","PADD 4",IF($M13878="PADD V","PADD 5","")))))</f>
        <v/>
      </c>
      <c r="G13878" s="6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  <c r="N13878" s="6">
        <f>IF(OR($G13878="FCC",$G13878="Hydrocracker",$G13878="Reformer"),IF(COUNTIFS($D:$D,$D13878,$A:$A,$A13878,$B:$B,$B13878,$G:$G,"CDU",$J:$J,"PLANNED")&gt;0,"tied","standalone"),"")</f>
        <v/>
      </c>
    </row>
    <row r="13879" spans="6:14">
      <c r="F13879" s="6">
        <f>IF($M13879="PADD I","PADD 1",IF($M13879="PADD II","PADD 2",IF($M13879="PADD III","PADD 3",IF($M13879="PADD IV","PADD 4",IF($M13879="PADD V","PADD 5","")))))</f>
        <v/>
      </c>
      <c r="G13879" s="6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  <c r="N13879" s="6">
        <f>IF(OR($G13879="FCC",$G13879="Hydrocracker",$G13879="Reformer"),IF(COUNTIFS($D:$D,$D13879,$A:$A,$A13879,$B:$B,$B13879,$G:$G,"CDU",$J:$J,"PLANNED")&gt;0,"tied","standalone"),"")</f>
        <v/>
      </c>
    </row>
    <row r="13880" spans="6:14">
      <c r="F13880" s="6">
        <f>IF($M13880="PADD I","PADD 1",IF($M13880="PADD II","PADD 2",IF($M13880="PADD III","PADD 3",IF($M13880="PADD IV","PADD 4",IF($M13880="PADD V","PADD 5","")))))</f>
        <v/>
      </c>
      <c r="G13880" s="6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  <c r="N13880" s="6">
        <f>IF(OR($G13880="FCC",$G13880="Hydrocracker",$G13880="Reformer"),IF(COUNTIFS($D:$D,$D13880,$A:$A,$A13880,$B:$B,$B13880,$G:$G,"CDU",$J:$J,"PLANNED")&gt;0,"tied","standalone"),"")</f>
        <v/>
      </c>
    </row>
    <row r="13881" spans="6:14">
      <c r="F13881" s="6">
        <f>IF($M13881="PADD I","PADD 1",IF($M13881="PADD II","PADD 2",IF($M13881="PADD III","PADD 3",IF($M13881="PADD IV","PADD 4",IF($M13881="PADD V","PADD 5","")))))</f>
        <v/>
      </c>
      <c r="G13881" s="6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  <c r="N13881" s="6">
        <f>IF(OR($G13881="FCC",$G13881="Hydrocracker",$G13881="Reformer"),IF(COUNTIFS($D:$D,$D13881,$A:$A,$A13881,$B:$B,$B13881,$G:$G,"CDU",$J:$J,"PLANNED")&gt;0,"tied","standalone"),"")</f>
        <v/>
      </c>
    </row>
    <row r="13882" spans="6:14">
      <c r="F13882" s="6">
        <f>IF($M13882="PADD I","PADD 1",IF($M13882="PADD II","PADD 2",IF($M13882="PADD III","PADD 3",IF($M13882="PADD IV","PADD 4",IF($M13882="PADD V","PADD 5","")))))</f>
        <v/>
      </c>
      <c r="G13882" s="6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  <c r="N13882" s="6">
        <f>IF(OR($G13882="FCC",$G13882="Hydrocracker",$G13882="Reformer"),IF(COUNTIFS($D:$D,$D13882,$A:$A,$A13882,$B:$B,$B13882,$G:$G,"CDU",$J:$J,"PLANNED")&gt;0,"tied","standalone"),"")</f>
        <v/>
      </c>
    </row>
    <row r="13883" spans="6:14">
      <c r="F13883" s="6">
        <f>IF($M13883="PADD I","PADD 1",IF($M13883="PADD II","PADD 2",IF($M13883="PADD III","PADD 3",IF($M13883="PADD IV","PADD 4",IF($M13883="PADD V","PADD 5","")))))</f>
        <v/>
      </c>
      <c r="G13883" s="6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  <c r="N13883" s="6">
        <f>IF(OR($G13883="FCC",$G13883="Hydrocracker",$G13883="Reformer"),IF(COUNTIFS($D:$D,$D13883,$A:$A,$A13883,$B:$B,$B13883,$G:$G,"CDU",$J:$J,"PLANNED")&gt;0,"tied","standalone"),"")</f>
        <v/>
      </c>
    </row>
    <row r="13884" spans="6:14">
      <c r="F13884" s="6">
        <f>IF($M13884="PADD I","PADD 1",IF($M13884="PADD II","PADD 2",IF($M13884="PADD III","PADD 3",IF($M13884="PADD IV","PADD 4",IF($M13884="PADD V","PADD 5","")))))</f>
        <v/>
      </c>
      <c r="G13884" s="6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  <c r="N13884" s="6">
        <f>IF(OR($G13884="FCC",$G13884="Hydrocracker",$G13884="Reformer"),IF(COUNTIFS($D:$D,$D13884,$A:$A,$A13884,$B:$B,$B13884,$G:$G,"CDU",$J:$J,"PLANNED")&gt;0,"tied","standalone"),"")</f>
        <v/>
      </c>
    </row>
    <row r="13885" spans="6:14">
      <c r="F13885" s="6">
        <f>IF($M13885="PADD I","PADD 1",IF($M13885="PADD II","PADD 2",IF($M13885="PADD III","PADD 3",IF($M13885="PADD IV","PADD 4",IF($M13885="PADD V","PADD 5","")))))</f>
        <v/>
      </c>
      <c r="G13885" s="6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  <c r="N13885" s="6">
        <f>IF(OR($G13885="FCC",$G13885="Hydrocracker",$G13885="Reformer"),IF(COUNTIFS($D:$D,$D13885,$A:$A,$A13885,$B:$B,$B13885,$G:$G,"CDU",$J:$J,"PLANNED")&gt;0,"tied","standalone"),"")</f>
        <v/>
      </c>
    </row>
    <row r="13886" spans="6:14">
      <c r="F13886" s="6">
        <f>IF($M13886="PADD I","PADD 1",IF($M13886="PADD II","PADD 2",IF($M13886="PADD III","PADD 3",IF($M13886="PADD IV","PADD 4",IF($M13886="PADD V","PADD 5","")))))</f>
        <v/>
      </c>
      <c r="G13886" s="6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  <c r="N13886" s="6">
        <f>IF(OR($G13886="FCC",$G13886="Hydrocracker",$G13886="Reformer"),IF(COUNTIFS($D:$D,$D13886,$A:$A,$A13886,$B:$B,$B13886,$G:$G,"CDU",$J:$J,"PLANNED")&gt;0,"tied","standalone"),"")</f>
        <v/>
      </c>
    </row>
    <row r="13887" spans="6:14">
      <c r="F13887" s="6">
        <f>IF($M13887="PADD I","PADD 1",IF($M13887="PADD II","PADD 2",IF($M13887="PADD III","PADD 3",IF($M13887="PADD IV","PADD 4",IF($M13887="PADD V","PADD 5","")))))</f>
        <v/>
      </c>
      <c r="G13887" s="6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  <c r="N13887" s="6">
        <f>IF(OR($G13887="FCC",$G13887="Hydrocracker",$G13887="Reformer"),IF(COUNTIFS($D:$D,$D13887,$A:$A,$A13887,$B:$B,$B13887,$G:$G,"CDU",$J:$J,"PLANNED")&gt;0,"tied","standalone"),"")</f>
        <v/>
      </c>
    </row>
    <row r="13888" spans="6:14">
      <c r="F13888" s="6">
        <f>IF($M13888="PADD I","PADD 1",IF($M13888="PADD II","PADD 2",IF($M13888="PADD III","PADD 3",IF($M13888="PADD IV","PADD 4",IF($M13888="PADD V","PADD 5","")))))</f>
        <v/>
      </c>
      <c r="G13888" s="6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  <c r="N13888" s="6">
        <f>IF(OR($G13888="FCC",$G13888="Hydrocracker",$G13888="Reformer"),IF(COUNTIFS($D:$D,$D13888,$A:$A,$A13888,$B:$B,$B13888,$G:$G,"CDU",$J:$J,"PLANNED")&gt;0,"tied","standalone"),"")</f>
        <v/>
      </c>
    </row>
    <row r="13889" spans="6:14">
      <c r="F13889" s="6">
        <f>IF($M13889="PADD I","PADD 1",IF($M13889="PADD II","PADD 2",IF($M13889="PADD III","PADD 3",IF($M13889="PADD IV","PADD 4",IF($M13889="PADD V","PADD 5","")))))</f>
        <v/>
      </c>
      <c r="G13889" s="6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  <c r="N13889" s="6">
        <f>IF(OR($G13889="FCC",$G13889="Hydrocracker",$G13889="Reformer"),IF(COUNTIFS($D:$D,$D13889,$A:$A,$A13889,$B:$B,$B13889,$G:$G,"CDU",$J:$J,"PLANNED")&gt;0,"tied","standalone"),"")</f>
        <v/>
      </c>
    </row>
    <row r="13890" spans="6:14">
      <c r="F13890" s="6">
        <f>IF($M13890="PADD I","PADD 1",IF($M13890="PADD II","PADD 2",IF($M13890="PADD III","PADD 3",IF($M13890="PADD IV","PADD 4",IF($M13890="PADD V","PADD 5","")))))</f>
        <v/>
      </c>
      <c r="G13890" s="6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  <c r="N13890" s="6">
        <f>IF(OR($G13890="FCC",$G13890="Hydrocracker",$G13890="Reformer"),IF(COUNTIFS($D:$D,$D13890,$A:$A,$A13890,$B:$B,$B13890,$G:$G,"CDU",$J:$J,"PLANNED")&gt;0,"tied","standalone"),"")</f>
        <v/>
      </c>
    </row>
    <row r="13891" spans="6:14">
      <c r="F13891" s="6">
        <f>IF($M13891="PADD I","PADD 1",IF($M13891="PADD II","PADD 2",IF($M13891="PADD III","PADD 3",IF($M13891="PADD IV","PADD 4",IF($M13891="PADD V","PADD 5","")))))</f>
        <v/>
      </c>
      <c r="G13891" s="6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  <c r="N13891" s="6">
        <f>IF(OR($G13891="FCC",$G13891="Hydrocracker",$G13891="Reformer"),IF(COUNTIFS($D:$D,$D13891,$A:$A,$A13891,$B:$B,$B13891,$G:$G,"CDU",$J:$J,"PLANNED")&gt;0,"tied","standalone"),"")</f>
        <v/>
      </c>
    </row>
    <row r="13892" spans="6:14">
      <c r="F13892" s="6">
        <f>IF($M13892="PADD I","PADD 1",IF($M13892="PADD II","PADD 2",IF($M13892="PADD III","PADD 3",IF($M13892="PADD IV","PADD 4",IF($M13892="PADD V","PADD 5","")))))</f>
        <v/>
      </c>
      <c r="G13892" s="6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  <c r="N13892" s="6">
        <f>IF(OR($G13892="FCC",$G13892="Hydrocracker",$G13892="Reformer"),IF(COUNTIFS($D:$D,$D13892,$A:$A,$A13892,$B:$B,$B13892,$G:$G,"CDU",$J:$J,"PLANNED")&gt;0,"tied","standalone"),"")</f>
        <v/>
      </c>
    </row>
    <row r="13893" spans="6:14">
      <c r="F13893" s="6">
        <f>IF($M13893="PADD I","PADD 1",IF($M13893="PADD II","PADD 2",IF($M13893="PADD III","PADD 3",IF($M13893="PADD IV","PADD 4",IF($M13893="PADD V","PADD 5","")))))</f>
        <v/>
      </c>
      <c r="G13893" s="6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  <c r="N13893" s="6">
        <f>IF(OR($G13893="FCC",$G13893="Hydrocracker",$G13893="Reformer"),IF(COUNTIFS($D:$D,$D13893,$A:$A,$A13893,$B:$B,$B13893,$G:$G,"CDU",$J:$J,"PLANNED")&gt;0,"tied","standalone"),"")</f>
        <v/>
      </c>
    </row>
    <row r="13894" spans="6:14">
      <c r="F13894" s="6">
        <f>IF($M13894="PADD I","PADD 1",IF($M13894="PADD II","PADD 2",IF($M13894="PADD III","PADD 3",IF($M13894="PADD IV","PADD 4",IF($M13894="PADD V","PADD 5","")))))</f>
        <v/>
      </c>
      <c r="G13894" s="6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  <c r="N13894" s="6">
        <f>IF(OR($G13894="FCC",$G13894="Hydrocracker",$G13894="Reformer"),IF(COUNTIFS($D:$D,$D13894,$A:$A,$A13894,$B:$B,$B13894,$G:$G,"CDU",$J:$J,"PLANNED")&gt;0,"tied","standalone"),"")</f>
        <v/>
      </c>
    </row>
    <row r="13895" spans="6:14">
      <c r="F13895" s="6">
        <f>IF($M13895="PADD I","PADD 1",IF($M13895="PADD II","PADD 2",IF($M13895="PADD III","PADD 3",IF($M13895="PADD IV","PADD 4",IF($M13895="PADD V","PADD 5","")))))</f>
        <v/>
      </c>
      <c r="G13895" s="6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  <c r="N13895" s="6">
        <f>IF(OR($G13895="FCC",$G13895="Hydrocracker",$G13895="Reformer"),IF(COUNTIFS($D:$D,$D13895,$A:$A,$A13895,$B:$B,$B13895,$G:$G,"CDU",$J:$J,"PLANNED")&gt;0,"tied","standalone"),"")</f>
        <v/>
      </c>
    </row>
    <row r="13896" spans="6:14">
      <c r="F13896" s="6">
        <f>IF($M13896="PADD I","PADD 1",IF($M13896="PADD II","PADD 2",IF($M13896="PADD III","PADD 3",IF($M13896="PADD IV","PADD 4",IF($M13896="PADD V","PADD 5","")))))</f>
        <v/>
      </c>
      <c r="G13896" s="6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  <c r="N13896" s="6">
        <f>IF(OR($G13896="FCC",$G13896="Hydrocracker",$G13896="Reformer"),IF(COUNTIFS($D:$D,$D13896,$A:$A,$A13896,$B:$B,$B13896,$G:$G,"CDU",$J:$J,"PLANNED")&gt;0,"tied","standalone"),"")</f>
        <v/>
      </c>
    </row>
    <row r="13897" spans="6:14">
      <c r="F13897" s="6">
        <f>IF($M13897="PADD I","PADD 1",IF($M13897="PADD II","PADD 2",IF($M13897="PADD III","PADD 3",IF($M13897="PADD IV","PADD 4",IF($M13897="PADD V","PADD 5","")))))</f>
        <v/>
      </c>
      <c r="G13897" s="6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  <c r="N13897" s="6">
        <f>IF(OR($G13897="FCC",$G13897="Hydrocracker",$G13897="Reformer"),IF(COUNTIFS($D:$D,$D13897,$A:$A,$A13897,$B:$B,$B13897,$G:$G,"CDU",$J:$J,"PLANNED")&gt;0,"tied","standalone"),"")</f>
        <v/>
      </c>
    </row>
    <row r="13898" spans="6:14">
      <c r="F13898" s="6">
        <f>IF($M13898="PADD I","PADD 1",IF($M13898="PADD II","PADD 2",IF($M13898="PADD III","PADD 3",IF($M13898="PADD IV","PADD 4",IF($M13898="PADD V","PADD 5","")))))</f>
        <v/>
      </c>
      <c r="G13898" s="6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  <c r="N13898" s="6">
        <f>IF(OR($G13898="FCC",$G13898="Hydrocracker",$G13898="Reformer"),IF(COUNTIFS($D:$D,$D13898,$A:$A,$A13898,$B:$B,$B13898,$G:$G,"CDU",$J:$J,"PLANNED")&gt;0,"tied","standalone"),"")</f>
        <v/>
      </c>
    </row>
    <row r="13899" spans="6:14">
      <c r="F13899" s="6">
        <f>IF($M13899="PADD I","PADD 1",IF($M13899="PADD II","PADD 2",IF($M13899="PADD III","PADD 3",IF($M13899="PADD IV","PADD 4",IF($M13899="PADD V","PADD 5","")))))</f>
        <v/>
      </c>
      <c r="G13899" s="6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  <c r="N13899" s="6">
        <f>IF(OR($G13899="FCC",$G13899="Hydrocracker",$G13899="Reformer"),IF(COUNTIFS($D:$D,$D13899,$A:$A,$A13899,$B:$B,$B13899,$G:$G,"CDU",$J:$J,"PLANNED")&gt;0,"tied","standalone"),"")</f>
        <v/>
      </c>
    </row>
    <row r="13900" spans="6:14">
      <c r="F13900" s="6">
        <f>IF($M13900="PADD I","PADD 1",IF($M13900="PADD II","PADD 2",IF($M13900="PADD III","PADD 3",IF($M13900="PADD IV","PADD 4",IF($M13900="PADD V","PADD 5","")))))</f>
        <v/>
      </c>
      <c r="G13900" s="6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  <c r="N13900" s="6">
        <f>IF(OR($G13900="FCC",$G13900="Hydrocracker",$G13900="Reformer"),IF(COUNTIFS($D:$D,$D13900,$A:$A,$A13900,$B:$B,$B13900,$G:$G,"CDU",$J:$J,"PLANNED")&gt;0,"tied","standalone"),"")</f>
        <v/>
      </c>
    </row>
    <row r="13901" spans="6:14">
      <c r="F13901" s="6">
        <f>IF($M13901="PADD I","PADD 1",IF($M13901="PADD II","PADD 2",IF($M13901="PADD III","PADD 3",IF($M13901="PADD IV","PADD 4",IF($M13901="PADD V","PADD 5","")))))</f>
        <v/>
      </c>
      <c r="G13901" s="6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  <c r="N13901" s="6">
        <f>IF(OR($G13901="FCC",$G13901="Hydrocracker",$G13901="Reformer"),IF(COUNTIFS($D:$D,$D13901,$A:$A,$A13901,$B:$B,$B13901,$G:$G,"CDU",$J:$J,"PLANNED")&gt;0,"tied","standalone"),"")</f>
        <v/>
      </c>
    </row>
    <row r="13902" spans="6:14">
      <c r="F13902" s="6">
        <f>IF($M13902="PADD I","PADD 1",IF($M13902="PADD II","PADD 2",IF($M13902="PADD III","PADD 3",IF($M13902="PADD IV","PADD 4",IF($M13902="PADD V","PADD 5","")))))</f>
        <v/>
      </c>
      <c r="G13902" s="6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  <c r="N13902" s="6">
        <f>IF(OR($G13902="FCC",$G13902="Hydrocracker",$G13902="Reformer"),IF(COUNTIFS($D:$D,$D13902,$A:$A,$A13902,$B:$B,$B13902,$G:$G,"CDU",$J:$J,"PLANNED")&gt;0,"tied","standalone"),"")</f>
        <v/>
      </c>
    </row>
    <row r="13903" spans="6:14">
      <c r="F13903" s="6">
        <f>IF($M13903="PADD I","PADD 1",IF($M13903="PADD II","PADD 2",IF($M13903="PADD III","PADD 3",IF($M13903="PADD IV","PADD 4",IF($M13903="PADD V","PADD 5","")))))</f>
        <v/>
      </c>
      <c r="G13903" s="6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  <c r="N13903" s="6">
        <f>IF(OR($G13903="FCC",$G13903="Hydrocracker",$G13903="Reformer"),IF(COUNTIFS($D:$D,$D13903,$A:$A,$A13903,$B:$B,$B13903,$G:$G,"CDU",$J:$J,"PLANNED")&gt;0,"tied","standalone"),"")</f>
        <v/>
      </c>
    </row>
    <row r="13904" spans="6:14">
      <c r="F13904" s="6">
        <f>IF($M13904="PADD I","PADD 1",IF($M13904="PADD II","PADD 2",IF($M13904="PADD III","PADD 3",IF($M13904="PADD IV","PADD 4",IF($M13904="PADD V","PADD 5","")))))</f>
        <v/>
      </c>
      <c r="G13904" s="6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  <c r="N13904" s="6">
        <f>IF(OR($G13904="FCC",$G13904="Hydrocracker",$G13904="Reformer"),IF(COUNTIFS($D:$D,$D13904,$A:$A,$A13904,$B:$B,$B13904,$G:$G,"CDU",$J:$J,"PLANNED")&gt;0,"tied","standalone"),"")</f>
        <v/>
      </c>
    </row>
    <row r="13905" spans="6:14">
      <c r="F13905" s="6">
        <f>IF($M13905="PADD I","PADD 1",IF($M13905="PADD II","PADD 2",IF($M13905="PADD III","PADD 3",IF($M13905="PADD IV","PADD 4",IF($M13905="PADD V","PADD 5","")))))</f>
        <v/>
      </c>
      <c r="G13905" s="6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  <c r="N13905" s="6">
        <f>IF(OR($G13905="FCC",$G13905="Hydrocracker",$G13905="Reformer"),IF(COUNTIFS($D:$D,$D13905,$A:$A,$A13905,$B:$B,$B13905,$G:$G,"CDU",$J:$J,"PLANNED")&gt;0,"tied","standalone"),"")</f>
        <v/>
      </c>
    </row>
    <row r="13906" spans="6:14">
      <c r="F13906" s="6">
        <f>IF($M13906="PADD I","PADD 1",IF($M13906="PADD II","PADD 2",IF($M13906="PADD III","PADD 3",IF($M13906="PADD IV","PADD 4",IF($M13906="PADD V","PADD 5","")))))</f>
        <v/>
      </c>
      <c r="G13906" s="6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  <c r="N13906" s="6">
        <f>IF(OR($G13906="FCC",$G13906="Hydrocracker",$G13906="Reformer"),IF(COUNTIFS($D:$D,$D13906,$A:$A,$A13906,$B:$B,$B13906,$G:$G,"CDU",$J:$J,"PLANNED")&gt;0,"tied","standalone"),"")</f>
        <v/>
      </c>
    </row>
    <row r="13907" spans="6:14">
      <c r="F13907" s="6">
        <f>IF($M13907="PADD I","PADD 1",IF($M13907="PADD II","PADD 2",IF($M13907="PADD III","PADD 3",IF($M13907="PADD IV","PADD 4",IF($M13907="PADD V","PADD 5","")))))</f>
        <v/>
      </c>
      <c r="G13907" s="6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  <c r="N13907" s="6">
        <f>IF(OR($G13907="FCC",$G13907="Hydrocracker",$G13907="Reformer"),IF(COUNTIFS($D:$D,$D13907,$A:$A,$A13907,$B:$B,$B13907,$G:$G,"CDU",$J:$J,"PLANNED")&gt;0,"tied","standalone"),"")</f>
        <v/>
      </c>
    </row>
    <row r="13908" spans="6:14">
      <c r="F13908" s="6">
        <f>IF($M13908="PADD I","PADD 1",IF($M13908="PADD II","PADD 2",IF($M13908="PADD III","PADD 3",IF($M13908="PADD IV","PADD 4",IF($M13908="PADD V","PADD 5","")))))</f>
        <v/>
      </c>
      <c r="G13908" s="6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  <c r="N13908" s="6">
        <f>IF(OR($G13908="FCC",$G13908="Hydrocracker",$G13908="Reformer"),IF(COUNTIFS($D:$D,$D13908,$A:$A,$A13908,$B:$B,$B13908,$G:$G,"CDU",$J:$J,"PLANNED")&gt;0,"tied","standalone"),"")</f>
        <v/>
      </c>
    </row>
    <row r="13909" spans="6:14">
      <c r="F13909" s="6">
        <f>IF($M13909="PADD I","PADD 1",IF($M13909="PADD II","PADD 2",IF($M13909="PADD III","PADD 3",IF($M13909="PADD IV","PADD 4",IF($M13909="PADD V","PADD 5","")))))</f>
        <v/>
      </c>
      <c r="G13909" s="6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  <c r="N13909" s="6">
        <f>IF(OR($G13909="FCC",$G13909="Hydrocracker",$G13909="Reformer"),IF(COUNTIFS($D:$D,$D13909,$A:$A,$A13909,$B:$B,$B13909,$G:$G,"CDU",$J:$J,"PLANNED")&gt;0,"tied","standalone"),"")</f>
        <v/>
      </c>
    </row>
    <row r="13910" spans="6:14">
      <c r="F13910" s="6">
        <f>IF($M13910="PADD I","PADD 1",IF($M13910="PADD II","PADD 2",IF($M13910="PADD III","PADD 3",IF($M13910="PADD IV","PADD 4",IF($M13910="PADD V","PADD 5","")))))</f>
        <v/>
      </c>
      <c r="G13910" s="6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  <c r="N13910" s="6">
        <f>IF(OR($G13910="FCC",$G13910="Hydrocracker",$G13910="Reformer"),IF(COUNTIFS($D:$D,$D13910,$A:$A,$A13910,$B:$B,$B13910,$G:$G,"CDU",$J:$J,"PLANNED")&gt;0,"tied","standalone"),"")</f>
        <v/>
      </c>
    </row>
    <row r="13911" spans="6:14">
      <c r="F13911" s="6">
        <f>IF($M13911="PADD I","PADD 1",IF($M13911="PADD II","PADD 2",IF($M13911="PADD III","PADD 3",IF($M13911="PADD IV","PADD 4",IF($M13911="PADD V","PADD 5","")))))</f>
        <v/>
      </c>
      <c r="G13911" s="6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  <c r="N13911" s="6">
        <f>IF(OR($G13911="FCC",$G13911="Hydrocracker",$G13911="Reformer"),IF(COUNTIFS($D:$D,$D13911,$A:$A,$A13911,$B:$B,$B13911,$G:$G,"CDU",$J:$J,"PLANNED")&gt;0,"tied","standalone"),"")</f>
        <v/>
      </c>
    </row>
    <row r="13912" spans="6:14">
      <c r="F13912" s="6">
        <f>IF($M13912="PADD I","PADD 1",IF($M13912="PADD II","PADD 2",IF($M13912="PADD III","PADD 3",IF($M13912="PADD IV","PADD 4",IF($M13912="PADD V","PADD 5","")))))</f>
        <v/>
      </c>
      <c r="G13912" s="6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  <c r="N13912" s="6">
        <f>IF(OR($G13912="FCC",$G13912="Hydrocracker",$G13912="Reformer"),IF(COUNTIFS($D:$D,$D13912,$A:$A,$A13912,$B:$B,$B13912,$G:$G,"CDU",$J:$J,"PLANNED")&gt;0,"tied","standalone"),"")</f>
        <v/>
      </c>
    </row>
    <row r="13913" spans="6:14">
      <c r="F13913" s="6">
        <f>IF($M13913="PADD I","PADD 1",IF($M13913="PADD II","PADD 2",IF($M13913="PADD III","PADD 3",IF($M13913="PADD IV","PADD 4",IF($M13913="PADD V","PADD 5","")))))</f>
        <v/>
      </c>
      <c r="G13913" s="6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  <c r="N13913" s="6">
        <f>IF(OR($G13913="FCC",$G13913="Hydrocracker",$G13913="Reformer"),IF(COUNTIFS($D:$D,$D13913,$A:$A,$A13913,$B:$B,$B13913,$G:$G,"CDU",$J:$J,"PLANNED")&gt;0,"tied","standalone"),"")</f>
        <v/>
      </c>
    </row>
    <row r="13914" spans="6:14">
      <c r="F13914" s="6">
        <f>IF($M13914="PADD I","PADD 1",IF($M13914="PADD II","PADD 2",IF($M13914="PADD III","PADD 3",IF($M13914="PADD IV","PADD 4",IF($M13914="PADD V","PADD 5","")))))</f>
        <v/>
      </c>
      <c r="G13914" s="6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  <c r="N13914" s="6">
        <f>IF(OR($G13914="FCC",$G13914="Hydrocracker",$G13914="Reformer"),IF(COUNTIFS($D:$D,$D13914,$A:$A,$A13914,$B:$B,$B13914,$G:$G,"CDU",$J:$J,"PLANNED")&gt;0,"tied","standalone"),"")</f>
        <v/>
      </c>
    </row>
    <row r="13915" spans="6:14">
      <c r="F13915" s="6">
        <f>IF($M13915="PADD I","PADD 1",IF($M13915="PADD II","PADD 2",IF($M13915="PADD III","PADD 3",IF($M13915="PADD IV","PADD 4",IF($M13915="PADD V","PADD 5","")))))</f>
        <v/>
      </c>
      <c r="G13915" s="6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  <c r="N13915" s="6">
        <f>IF(OR($G13915="FCC",$G13915="Hydrocracker",$G13915="Reformer"),IF(COUNTIFS($D:$D,$D13915,$A:$A,$A13915,$B:$B,$B13915,$G:$G,"CDU",$J:$J,"PLANNED")&gt;0,"tied","standalone"),"")</f>
        <v/>
      </c>
    </row>
    <row r="13916" spans="6:14">
      <c r="F13916" s="6">
        <f>IF($M13916="PADD I","PADD 1",IF($M13916="PADD II","PADD 2",IF($M13916="PADD III","PADD 3",IF($M13916="PADD IV","PADD 4",IF($M13916="PADD V","PADD 5","")))))</f>
        <v/>
      </c>
      <c r="G13916" s="6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  <c r="N13916" s="6">
        <f>IF(OR($G13916="FCC",$G13916="Hydrocracker",$G13916="Reformer"),IF(COUNTIFS($D:$D,$D13916,$A:$A,$A13916,$B:$B,$B13916,$G:$G,"CDU",$J:$J,"PLANNED")&gt;0,"tied","standalone"),"")</f>
        <v/>
      </c>
    </row>
    <row r="13917" spans="6:14">
      <c r="F13917" s="6">
        <f>IF($M13917="PADD I","PADD 1",IF($M13917="PADD II","PADD 2",IF($M13917="PADD III","PADD 3",IF($M13917="PADD IV","PADD 4",IF($M13917="PADD V","PADD 5","")))))</f>
        <v/>
      </c>
      <c r="G13917" s="6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  <c r="N13917" s="6">
        <f>IF(OR($G13917="FCC",$G13917="Hydrocracker",$G13917="Reformer"),IF(COUNTIFS($D:$D,$D13917,$A:$A,$A13917,$B:$B,$B13917,$G:$G,"CDU",$J:$J,"PLANNED")&gt;0,"tied","standalone"),"")</f>
        <v/>
      </c>
    </row>
    <row r="13918" spans="6:14">
      <c r="F13918" s="6">
        <f>IF($M13918="PADD I","PADD 1",IF($M13918="PADD II","PADD 2",IF($M13918="PADD III","PADD 3",IF($M13918="PADD IV","PADD 4",IF($M13918="PADD V","PADD 5","")))))</f>
        <v/>
      </c>
      <c r="G13918" s="6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  <c r="N13918" s="6">
        <f>IF(OR($G13918="FCC",$G13918="Hydrocracker",$G13918="Reformer"),IF(COUNTIFS($D:$D,$D13918,$A:$A,$A13918,$B:$B,$B13918,$G:$G,"CDU",$J:$J,"PLANNED")&gt;0,"tied","standalone"),"")</f>
        <v/>
      </c>
    </row>
    <row r="13919" spans="6:14">
      <c r="F13919" s="6">
        <f>IF($M13919="PADD I","PADD 1",IF($M13919="PADD II","PADD 2",IF($M13919="PADD III","PADD 3",IF($M13919="PADD IV","PADD 4",IF($M13919="PADD V","PADD 5","")))))</f>
        <v/>
      </c>
      <c r="G13919" s="6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  <c r="N13919" s="6">
        <f>IF(OR($G13919="FCC",$G13919="Hydrocracker",$G13919="Reformer"),IF(COUNTIFS($D:$D,$D13919,$A:$A,$A13919,$B:$B,$B13919,$G:$G,"CDU",$J:$J,"PLANNED")&gt;0,"tied","standalone"),"")</f>
        <v/>
      </c>
    </row>
    <row r="13920" spans="6:14">
      <c r="F13920" s="6">
        <f>IF($M13920="PADD I","PADD 1",IF($M13920="PADD II","PADD 2",IF($M13920="PADD III","PADD 3",IF($M13920="PADD IV","PADD 4",IF($M13920="PADD V","PADD 5","")))))</f>
        <v/>
      </c>
      <c r="G13920" s="6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  <c r="N13920" s="6">
        <f>IF(OR($G13920="FCC",$G13920="Hydrocracker",$G13920="Reformer"),IF(COUNTIFS($D:$D,$D13920,$A:$A,$A13920,$B:$B,$B13920,$G:$G,"CDU",$J:$J,"PLANNED")&gt;0,"tied","standalone"),"")</f>
        <v/>
      </c>
    </row>
    <row r="13921" spans="6:14">
      <c r="F13921" s="6">
        <f>IF($M13921="PADD I","PADD 1",IF($M13921="PADD II","PADD 2",IF($M13921="PADD III","PADD 3",IF($M13921="PADD IV","PADD 4",IF($M13921="PADD V","PADD 5","")))))</f>
        <v/>
      </c>
      <c r="G13921" s="6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  <c r="N13921" s="6">
        <f>IF(OR($G13921="FCC",$G13921="Hydrocracker",$G13921="Reformer"),IF(COUNTIFS($D:$D,$D13921,$A:$A,$A13921,$B:$B,$B13921,$G:$G,"CDU",$J:$J,"PLANNED")&gt;0,"tied","standalone"),"")</f>
        <v/>
      </c>
    </row>
    <row r="13922" spans="6:14">
      <c r="F13922" s="6">
        <f>IF($M13922="PADD I","PADD 1",IF($M13922="PADD II","PADD 2",IF($M13922="PADD III","PADD 3",IF($M13922="PADD IV","PADD 4",IF($M13922="PADD V","PADD 5","")))))</f>
        <v/>
      </c>
      <c r="G13922" s="6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  <c r="N13922" s="6">
        <f>IF(OR($G13922="FCC",$G13922="Hydrocracker",$G13922="Reformer"),IF(COUNTIFS($D:$D,$D13922,$A:$A,$A13922,$B:$B,$B13922,$G:$G,"CDU",$J:$J,"PLANNED")&gt;0,"tied","standalone"),"")</f>
        <v/>
      </c>
    </row>
    <row r="13923" spans="6:14">
      <c r="F13923" s="6">
        <f>IF($M13923="PADD I","PADD 1",IF($M13923="PADD II","PADD 2",IF($M13923="PADD III","PADD 3",IF($M13923="PADD IV","PADD 4",IF($M13923="PADD V","PADD 5","")))))</f>
        <v/>
      </c>
      <c r="G13923" s="6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  <c r="N13923" s="6">
        <f>IF(OR($G13923="FCC",$G13923="Hydrocracker",$G13923="Reformer"),IF(COUNTIFS($D:$D,$D13923,$A:$A,$A13923,$B:$B,$B13923,$G:$G,"CDU",$J:$J,"PLANNED")&gt;0,"tied","standalone"),"")</f>
        <v/>
      </c>
    </row>
    <row r="13924" spans="6:14">
      <c r="F13924" s="6">
        <f>IF($M13924="PADD I","PADD 1",IF($M13924="PADD II","PADD 2",IF($M13924="PADD III","PADD 3",IF($M13924="PADD IV","PADD 4",IF($M13924="PADD V","PADD 5","")))))</f>
        <v/>
      </c>
      <c r="G13924" s="6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  <c r="N13924" s="6">
        <f>IF(OR($G13924="FCC",$G13924="Hydrocracker",$G13924="Reformer"),IF(COUNTIFS($D:$D,$D13924,$A:$A,$A13924,$B:$B,$B13924,$G:$G,"CDU",$J:$J,"PLANNED")&gt;0,"tied","standalone"),"")</f>
        <v/>
      </c>
    </row>
    <row r="13925" spans="6:14">
      <c r="F13925" s="6">
        <f>IF($M13925="PADD I","PADD 1",IF($M13925="PADD II","PADD 2",IF($M13925="PADD III","PADD 3",IF($M13925="PADD IV","PADD 4",IF($M13925="PADD V","PADD 5","")))))</f>
        <v/>
      </c>
      <c r="G13925" s="6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  <c r="N13925" s="6">
        <f>IF(OR($G13925="FCC",$G13925="Hydrocracker",$G13925="Reformer"),IF(COUNTIFS($D:$D,$D13925,$A:$A,$A13925,$B:$B,$B13925,$G:$G,"CDU",$J:$J,"PLANNED")&gt;0,"tied","standalone"),"")</f>
        <v/>
      </c>
    </row>
    <row r="13926" spans="6:14">
      <c r="F13926" s="6">
        <f>IF($M13926="PADD I","PADD 1",IF($M13926="PADD II","PADD 2",IF($M13926="PADD III","PADD 3",IF($M13926="PADD IV","PADD 4",IF($M13926="PADD V","PADD 5","")))))</f>
        <v/>
      </c>
      <c r="G13926" s="6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  <c r="N13926" s="6">
        <f>IF(OR($G13926="FCC",$G13926="Hydrocracker",$G13926="Reformer"),IF(COUNTIFS($D:$D,$D13926,$A:$A,$A13926,$B:$B,$B13926,$G:$G,"CDU",$J:$J,"PLANNED")&gt;0,"tied","standalone"),"")</f>
        <v/>
      </c>
    </row>
    <row r="13927" spans="6:14">
      <c r="F13927" s="6">
        <f>IF($M13927="PADD I","PADD 1",IF($M13927="PADD II","PADD 2",IF($M13927="PADD III","PADD 3",IF($M13927="PADD IV","PADD 4",IF($M13927="PADD V","PADD 5","")))))</f>
        <v/>
      </c>
      <c r="G13927" s="6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  <c r="N13927" s="6">
        <f>IF(OR($G13927="FCC",$G13927="Hydrocracker",$G13927="Reformer"),IF(COUNTIFS($D:$D,$D13927,$A:$A,$A13927,$B:$B,$B13927,$G:$G,"CDU",$J:$J,"PLANNED")&gt;0,"tied","standalone"),"")</f>
        <v/>
      </c>
    </row>
    <row r="13928" spans="6:14">
      <c r="F13928" s="6">
        <f>IF($M13928="PADD I","PADD 1",IF($M13928="PADD II","PADD 2",IF($M13928="PADD III","PADD 3",IF($M13928="PADD IV","PADD 4",IF($M13928="PADD V","PADD 5","")))))</f>
        <v/>
      </c>
      <c r="G13928" s="6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  <c r="N13928" s="6">
        <f>IF(OR($G13928="FCC",$G13928="Hydrocracker",$G13928="Reformer"),IF(COUNTIFS($D:$D,$D13928,$A:$A,$A13928,$B:$B,$B13928,$G:$G,"CDU",$J:$J,"PLANNED")&gt;0,"tied","standalone"),"")</f>
        <v/>
      </c>
    </row>
    <row r="13929" spans="6:14">
      <c r="F13929" s="6">
        <f>IF($M13929="PADD I","PADD 1",IF($M13929="PADD II","PADD 2",IF($M13929="PADD III","PADD 3",IF($M13929="PADD IV","PADD 4",IF($M13929="PADD V","PADD 5","")))))</f>
        <v/>
      </c>
      <c r="G13929" s="6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  <c r="N13929" s="6">
        <f>IF(OR($G13929="FCC",$G13929="Hydrocracker",$G13929="Reformer"),IF(COUNTIFS($D:$D,$D13929,$A:$A,$A13929,$B:$B,$B13929,$G:$G,"CDU",$J:$J,"PLANNED")&gt;0,"tied","standalone"),"")</f>
        <v/>
      </c>
    </row>
    <row r="13930" spans="6:14">
      <c r="F13930" s="6">
        <f>IF($M13930="PADD I","PADD 1",IF($M13930="PADD II","PADD 2",IF($M13930="PADD III","PADD 3",IF($M13930="PADD IV","PADD 4",IF($M13930="PADD V","PADD 5","")))))</f>
        <v/>
      </c>
      <c r="G13930" s="6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  <c r="N13930" s="6">
        <f>IF(OR($G13930="FCC",$G13930="Hydrocracker",$G13930="Reformer"),IF(COUNTIFS($D:$D,$D13930,$A:$A,$A13930,$B:$B,$B13930,$G:$G,"CDU",$J:$J,"PLANNED")&gt;0,"tied","standalone"),"")</f>
        <v/>
      </c>
    </row>
    <row r="13931" spans="6:14">
      <c r="F13931" s="6">
        <f>IF($M13931="PADD I","PADD 1",IF($M13931="PADD II","PADD 2",IF($M13931="PADD III","PADD 3",IF($M13931="PADD IV","PADD 4",IF($M13931="PADD V","PADD 5","")))))</f>
        <v/>
      </c>
      <c r="G13931" s="6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  <c r="N13931" s="6">
        <f>IF(OR($G13931="FCC",$G13931="Hydrocracker",$G13931="Reformer"),IF(COUNTIFS($D:$D,$D13931,$A:$A,$A13931,$B:$B,$B13931,$G:$G,"CDU",$J:$J,"PLANNED")&gt;0,"tied","standalone"),"")</f>
        <v/>
      </c>
    </row>
    <row r="13932" spans="6:14">
      <c r="F13932" s="6">
        <f>IF($M13932="PADD I","PADD 1",IF($M13932="PADD II","PADD 2",IF($M13932="PADD III","PADD 3",IF($M13932="PADD IV","PADD 4",IF($M13932="PADD V","PADD 5","")))))</f>
        <v/>
      </c>
      <c r="G13932" s="6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  <c r="N13932" s="6">
        <f>IF(OR($G13932="FCC",$G13932="Hydrocracker",$G13932="Reformer"),IF(COUNTIFS($D:$D,$D13932,$A:$A,$A13932,$B:$B,$B13932,$G:$G,"CDU",$J:$J,"PLANNED")&gt;0,"tied","standalone"),"")</f>
        <v/>
      </c>
    </row>
    <row r="13933" spans="6:14">
      <c r="F13933" s="6">
        <f>IF($M13933="PADD I","PADD 1",IF($M13933="PADD II","PADD 2",IF($M13933="PADD III","PADD 3",IF($M13933="PADD IV","PADD 4",IF($M13933="PADD V","PADD 5","")))))</f>
        <v/>
      </c>
      <c r="G13933" s="6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  <c r="N13933" s="6">
        <f>IF(OR($G13933="FCC",$G13933="Hydrocracker",$G13933="Reformer"),IF(COUNTIFS($D:$D,$D13933,$A:$A,$A13933,$B:$B,$B13933,$G:$G,"CDU",$J:$J,"PLANNED")&gt;0,"tied","standalone"),"")</f>
        <v/>
      </c>
    </row>
    <row r="13934" spans="6:14">
      <c r="F13934" s="6">
        <f>IF($M13934="PADD I","PADD 1",IF($M13934="PADD II","PADD 2",IF($M13934="PADD III","PADD 3",IF($M13934="PADD IV","PADD 4",IF($M13934="PADD V","PADD 5","")))))</f>
        <v/>
      </c>
      <c r="G13934" s="6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  <c r="N13934" s="6">
        <f>IF(OR($G13934="FCC",$G13934="Hydrocracker",$G13934="Reformer"),IF(COUNTIFS($D:$D,$D13934,$A:$A,$A13934,$B:$B,$B13934,$G:$G,"CDU",$J:$J,"PLANNED")&gt;0,"tied","standalone"),"")</f>
        <v/>
      </c>
    </row>
    <row r="13935" spans="6:14">
      <c r="F13935" s="6">
        <f>IF($M13935="PADD I","PADD 1",IF($M13935="PADD II","PADD 2",IF($M13935="PADD III","PADD 3",IF($M13935="PADD IV","PADD 4",IF($M13935="PADD V","PADD 5","")))))</f>
        <v/>
      </c>
      <c r="G13935" s="6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  <c r="N13935" s="6">
        <f>IF(OR($G13935="FCC",$G13935="Hydrocracker",$G13935="Reformer"),IF(COUNTIFS($D:$D,$D13935,$A:$A,$A13935,$B:$B,$B13935,$G:$G,"CDU",$J:$J,"PLANNED")&gt;0,"tied","standalone"),"")</f>
        <v/>
      </c>
    </row>
    <row r="13936" spans="6:14">
      <c r="F13936" s="6">
        <f>IF($M13936="PADD I","PADD 1",IF($M13936="PADD II","PADD 2",IF($M13936="PADD III","PADD 3",IF($M13936="PADD IV","PADD 4",IF($M13936="PADD V","PADD 5","")))))</f>
        <v/>
      </c>
      <c r="G13936" s="6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  <c r="N13936" s="6">
        <f>IF(OR($G13936="FCC",$G13936="Hydrocracker",$G13936="Reformer"),IF(COUNTIFS($D:$D,$D13936,$A:$A,$A13936,$B:$B,$B13936,$G:$G,"CDU",$J:$J,"PLANNED")&gt;0,"tied","standalone"),"")</f>
        <v/>
      </c>
    </row>
    <row r="13937" spans="6:14">
      <c r="F13937" s="6">
        <f>IF($M13937="PADD I","PADD 1",IF($M13937="PADD II","PADD 2",IF($M13937="PADD III","PADD 3",IF($M13937="PADD IV","PADD 4",IF($M13937="PADD V","PADD 5","")))))</f>
        <v/>
      </c>
      <c r="G13937" s="6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  <c r="N13937" s="6">
        <f>IF(OR($G13937="FCC",$G13937="Hydrocracker",$G13937="Reformer"),IF(COUNTIFS($D:$D,$D13937,$A:$A,$A13937,$B:$B,$B13937,$G:$G,"CDU",$J:$J,"PLANNED")&gt;0,"tied","standalone"),"")</f>
        <v/>
      </c>
    </row>
    <row r="13938" spans="6:14">
      <c r="F13938" s="6">
        <f>IF($M13938="PADD I","PADD 1",IF($M13938="PADD II","PADD 2",IF($M13938="PADD III","PADD 3",IF($M13938="PADD IV","PADD 4",IF($M13938="PADD V","PADD 5","")))))</f>
        <v/>
      </c>
      <c r="G13938" s="6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  <c r="N13938" s="6">
        <f>IF(OR($G13938="FCC",$G13938="Hydrocracker",$G13938="Reformer"),IF(COUNTIFS($D:$D,$D13938,$A:$A,$A13938,$B:$B,$B13938,$G:$G,"CDU",$J:$J,"PLANNED")&gt;0,"tied","standalone"),"")</f>
        <v/>
      </c>
    </row>
    <row r="13939" spans="6:14">
      <c r="F13939" s="6">
        <f>IF($M13939="PADD I","PADD 1",IF($M13939="PADD II","PADD 2",IF($M13939="PADD III","PADD 3",IF($M13939="PADD IV","PADD 4",IF($M13939="PADD V","PADD 5","")))))</f>
        <v/>
      </c>
      <c r="G13939" s="6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  <c r="N13939" s="6">
        <f>IF(OR($G13939="FCC",$G13939="Hydrocracker",$G13939="Reformer"),IF(COUNTIFS($D:$D,$D13939,$A:$A,$A13939,$B:$B,$B13939,$G:$G,"CDU",$J:$J,"PLANNED")&gt;0,"tied","standalone"),"")</f>
        <v/>
      </c>
    </row>
    <row r="13940" spans="6:14">
      <c r="F13940" s="6">
        <f>IF($M13940="PADD I","PADD 1",IF($M13940="PADD II","PADD 2",IF($M13940="PADD III","PADD 3",IF($M13940="PADD IV","PADD 4",IF($M13940="PADD V","PADD 5","")))))</f>
        <v/>
      </c>
      <c r="G13940" s="6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  <c r="N13940" s="6">
        <f>IF(OR($G13940="FCC",$G13940="Hydrocracker",$G13940="Reformer"),IF(COUNTIFS($D:$D,$D13940,$A:$A,$A13940,$B:$B,$B13940,$G:$G,"CDU",$J:$J,"PLANNED")&gt;0,"tied","standalone"),"")</f>
        <v/>
      </c>
    </row>
    <row r="13941" spans="6:14">
      <c r="F13941" s="6">
        <f>IF($M13941="PADD I","PADD 1",IF($M13941="PADD II","PADD 2",IF($M13941="PADD III","PADD 3",IF($M13941="PADD IV","PADD 4",IF($M13941="PADD V","PADD 5","")))))</f>
        <v/>
      </c>
      <c r="G13941" s="6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  <c r="N13941" s="6">
        <f>IF(OR($G13941="FCC",$G13941="Hydrocracker",$G13941="Reformer"),IF(COUNTIFS($D:$D,$D13941,$A:$A,$A13941,$B:$B,$B13941,$G:$G,"CDU",$J:$J,"PLANNED")&gt;0,"tied","standalone"),"")</f>
        <v/>
      </c>
    </row>
    <row r="13942" spans="6:14">
      <c r="F13942" s="6">
        <f>IF($M13942="PADD I","PADD 1",IF($M13942="PADD II","PADD 2",IF($M13942="PADD III","PADD 3",IF($M13942="PADD IV","PADD 4",IF($M13942="PADD V","PADD 5","")))))</f>
        <v/>
      </c>
      <c r="G13942" s="6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  <c r="N13942" s="6">
        <f>IF(OR($G13942="FCC",$G13942="Hydrocracker",$G13942="Reformer"),IF(COUNTIFS($D:$D,$D13942,$A:$A,$A13942,$B:$B,$B13942,$G:$G,"CDU",$J:$J,"PLANNED")&gt;0,"tied","standalone"),"")</f>
        <v/>
      </c>
    </row>
    <row r="13943" spans="6:14">
      <c r="F13943" s="6">
        <f>IF($M13943="PADD I","PADD 1",IF($M13943="PADD II","PADD 2",IF($M13943="PADD III","PADD 3",IF($M13943="PADD IV","PADD 4",IF($M13943="PADD V","PADD 5","")))))</f>
        <v/>
      </c>
      <c r="G13943" s="6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  <c r="N13943" s="6">
        <f>IF(OR($G13943="FCC",$G13943="Hydrocracker",$G13943="Reformer"),IF(COUNTIFS($D:$D,$D13943,$A:$A,$A13943,$B:$B,$B13943,$G:$G,"CDU",$J:$J,"PLANNED")&gt;0,"tied","standalone"),"")</f>
        <v/>
      </c>
    </row>
    <row r="13944" spans="6:14">
      <c r="F13944" s="6">
        <f>IF($M13944="PADD I","PADD 1",IF($M13944="PADD II","PADD 2",IF($M13944="PADD III","PADD 3",IF($M13944="PADD IV","PADD 4",IF($M13944="PADD V","PADD 5","")))))</f>
        <v/>
      </c>
      <c r="G13944" s="6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  <c r="N13944" s="6">
        <f>IF(OR($G13944="FCC",$G13944="Hydrocracker",$G13944="Reformer"),IF(COUNTIFS($D:$D,$D13944,$A:$A,$A13944,$B:$B,$B13944,$G:$G,"CDU",$J:$J,"PLANNED")&gt;0,"tied","standalone"),"")</f>
        <v/>
      </c>
    </row>
    <row r="13945" spans="6:14">
      <c r="F13945" s="6">
        <f>IF($M13945="PADD I","PADD 1",IF($M13945="PADD II","PADD 2",IF($M13945="PADD III","PADD 3",IF($M13945="PADD IV","PADD 4",IF($M13945="PADD V","PADD 5","")))))</f>
        <v/>
      </c>
      <c r="G13945" s="6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  <c r="N13945" s="6">
        <f>IF(OR($G13945="FCC",$G13945="Hydrocracker",$G13945="Reformer"),IF(COUNTIFS($D:$D,$D13945,$A:$A,$A13945,$B:$B,$B13945,$G:$G,"CDU",$J:$J,"PLANNED")&gt;0,"tied","standalone"),"")</f>
        <v/>
      </c>
    </row>
    <row r="13946" spans="6:14">
      <c r="F13946" s="6">
        <f>IF($M13946="PADD I","PADD 1",IF($M13946="PADD II","PADD 2",IF($M13946="PADD III","PADD 3",IF($M13946="PADD IV","PADD 4",IF($M13946="PADD V","PADD 5","")))))</f>
        <v/>
      </c>
      <c r="G13946" s="6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  <c r="N13946" s="6">
        <f>IF(OR($G13946="FCC",$G13946="Hydrocracker",$G13946="Reformer"),IF(COUNTIFS($D:$D,$D13946,$A:$A,$A13946,$B:$B,$B13946,$G:$G,"CDU",$J:$J,"PLANNED")&gt;0,"tied","standalone"),"")</f>
        <v/>
      </c>
    </row>
    <row r="13947" spans="6:14">
      <c r="F13947" s="6">
        <f>IF($M13947="PADD I","PADD 1",IF($M13947="PADD II","PADD 2",IF($M13947="PADD III","PADD 3",IF($M13947="PADD IV","PADD 4",IF($M13947="PADD V","PADD 5","")))))</f>
        <v/>
      </c>
      <c r="G13947" s="6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  <c r="N13947" s="6">
        <f>IF(OR($G13947="FCC",$G13947="Hydrocracker",$G13947="Reformer"),IF(COUNTIFS($D:$D,$D13947,$A:$A,$A13947,$B:$B,$B13947,$G:$G,"CDU",$J:$J,"PLANNED")&gt;0,"tied","standalone"),"")</f>
        <v/>
      </c>
    </row>
    <row r="13948" spans="6:14">
      <c r="F13948" s="6">
        <f>IF($M13948="PADD I","PADD 1",IF($M13948="PADD II","PADD 2",IF($M13948="PADD III","PADD 3",IF($M13948="PADD IV","PADD 4",IF($M13948="PADD V","PADD 5","")))))</f>
        <v/>
      </c>
      <c r="G13948" s="6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  <c r="N13948" s="6">
        <f>IF(OR($G13948="FCC",$G13948="Hydrocracker",$G13948="Reformer"),IF(COUNTIFS($D:$D,$D13948,$A:$A,$A13948,$B:$B,$B13948,$G:$G,"CDU",$J:$J,"PLANNED")&gt;0,"tied","standalone"),"")</f>
        <v/>
      </c>
    </row>
    <row r="13949" spans="6:14">
      <c r="F13949" s="6">
        <f>IF($M13949="PADD I","PADD 1",IF($M13949="PADD II","PADD 2",IF($M13949="PADD III","PADD 3",IF($M13949="PADD IV","PADD 4",IF($M13949="PADD V","PADD 5","")))))</f>
        <v/>
      </c>
      <c r="G13949" s="6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  <c r="N13949" s="6">
        <f>IF(OR($G13949="FCC",$G13949="Hydrocracker",$G13949="Reformer"),IF(COUNTIFS($D:$D,$D13949,$A:$A,$A13949,$B:$B,$B13949,$G:$G,"CDU",$J:$J,"PLANNED")&gt;0,"tied","standalone"),"")</f>
        <v/>
      </c>
    </row>
    <row r="13950" spans="6:14">
      <c r="F13950" s="6">
        <f>IF($M13950="PADD I","PADD 1",IF($M13950="PADD II","PADD 2",IF($M13950="PADD III","PADD 3",IF($M13950="PADD IV","PADD 4",IF($M13950="PADD V","PADD 5","")))))</f>
        <v/>
      </c>
      <c r="G13950" s="6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  <c r="N13950" s="6">
        <f>IF(OR($G13950="FCC",$G13950="Hydrocracker",$G13950="Reformer"),IF(COUNTIFS($D:$D,$D13950,$A:$A,$A13950,$B:$B,$B13950,$G:$G,"CDU",$J:$J,"PLANNED")&gt;0,"tied","standalone"),"")</f>
        <v/>
      </c>
    </row>
    <row r="13951" spans="6:14">
      <c r="F13951" s="6">
        <f>IF($M13951="PADD I","PADD 1",IF($M13951="PADD II","PADD 2",IF($M13951="PADD III","PADD 3",IF($M13951="PADD IV","PADD 4",IF($M13951="PADD V","PADD 5","")))))</f>
        <v/>
      </c>
      <c r="G13951" s="6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  <c r="N13951" s="6">
        <f>IF(OR($G13951="FCC",$G13951="Hydrocracker",$G13951="Reformer"),IF(COUNTIFS($D:$D,$D13951,$A:$A,$A13951,$B:$B,$B13951,$G:$G,"CDU",$J:$J,"PLANNED")&gt;0,"tied","standalone"),"")</f>
        <v/>
      </c>
    </row>
    <row r="13952" spans="6:14">
      <c r="F13952" s="6">
        <f>IF($M13952="PADD I","PADD 1",IF($M13952="PADD II","PADD 2",IF($M13952="PADD III","PADD 3",IF($M13952="PADD IV","PADD 4",IF($M13952="PADD V","PADD 5","")))))</f>
        <v/>
      </c>
      <c r="G13952" s="6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  <c r="N13952" s="6">
        <f>IF(OR($G13952="FCC",$G13952="Hydrocracker",$G13952="Reformer"),IF(COUNTIFS($D:$D,$D13952,$A:$A,$A13952,$B:$B,$B13952,$G:$G,"CDU",$J:$J,"PLANNED")&gt;0,"tied","standalone"),"")</f>
        <v/>
      </c>
    </row>
    <row r="13953" spans="6:14">
      <c r="F13953" s="6">
        <f>IF($M13953="PADD I","PADD 1",IF($M13953="PADD II","PADD 2",IF($M13953="PADD III","PADD 3",IF($M13953="PADD IV","PADD 4",IF($M13953="PADD V","PADD 5","")))))</f>
        <v/>
      </c>
      <c r="G13953" s="6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  <c r="N13953" s="6">
        <f>IF(OR($G13953="FCC",$G13953="Hydrocracker",$G13953="Reformer"),IF(COUNTIFS($D:$D,$D13953,$A:$A,$A13953,$B:$B,$B13953,$G:$G,"CDU",$J:$J,"PLANNED")&gt;0,"tied","standalone"),"")</f>
        <v/>
      </c>
    </row>
    <row r="13954" spans="6:14">
      <c r="F13954" s="6">
        <f>IF($M13954="PADD I","PADD 1",IF($M13954="PADD II","PADD 2",IF($M13954="PADD III","PADD 3",IF($M13954="PADD IV","PADD 4",IF($M13954="PADD V","PADD 5","")))))</f>
        <v/>
      </c>
      <c r="G13954" s="6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  <c r="N13954" s="6">
        <f>IF(OR($G13954="FCC",$G13954="Hydrocracker",$G13954="Reformer"),IF(COUNTIFS($D:$D,$D13954,$A:$A,$A13954,$B:$B,$B13954,$G:$G,"CDU",$J:$J,"PLANNED")&gt;0,"tied","standalone"),"")</f>
        <v/>
      </c>
    </row>
    <row r="13955" spans="6:14">
      <c r="F13955" s="6">
        <f>IF($M13955="PADD I","PADD 1",IF($M13955="PADD II","PADD 2",IF($M13955="PADD III","PADD 3",IF($M13955="PADD IV","PADD 4",IF($M13955="PADD V","PADD 5","")))))</f>
        <v/>
      </c>
      <c r="G13955" s="6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  <c r="N13955" s="6">
        <f>IF(OR($G13955="FCC",$G13955="Hydrocracker",$G13955="Reformer"),IF(COUNTIFS($D:$D,$D13955,$A:$A,$A13955,$B:$B,$B13955,$G:$G,"CDU",$J:$J,"PLANNED")&gt;0,"tied","standalone"),"")</f>
        <v/>
      </c>
    </row>
    <row r="13956" spans="6:14">
      <c r="F13956" s="6">
        <f>IF($M13956="PADD I","PADD 1",IF($M13956="PADD II","PADD 2",IF($M13956="PADD III","PADD 3",IF($M13956="PADD IV","PADD 4",IF($M13956="PADD V","PADD 5","")))))</f>
        <v/>
      </c>
      <c r="G13956" s="6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  <c r="N13956" s="6">
        <f>IF(OR($G13956="FCC",$G13956="Hydrocracker",$G13956="Reformer"),IF(COUNTIFS($D:$D,$D13956,$A:$A,$A13956,$B:$B,$B13956,$G:$G,"CDU",$J:$J,"PLANNED")&gt;0,"tied","standalone"),"")</f>
        <v/>
      </c>
    </row>
    <row r="13957" spans="6:14">
      <c r="F13957" s="6">
        <f>IF($M13957="PADD I","PADD 1",IF($M13957="PADD II","PADD 2",IF($M13957="PADD III","PADD 3",IF($M13957="PADD IV","PADD 4",IF($M13957="PADD V","PADD 5","")))))</f>
        <v/>
      </c>
      <c r="G13957" s="6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  <c r="N13957" s="6">
        <f>IF(OR($G13957="FCC",$G13957="Hydrocracker",$G13957="Reformer"),IF(COUNTIFS($D:$D,$D13957,$A:$A,$A13957,$B:$B,$B13957,$G:$G,"CDU",$J:$J,"PLANNED")&gt;0,"tied","standalone"),"")</f>
        <v/>
      </c>
    </row>
    <row r="13958" spans="6:14">
      <c r="F13958" s="6">
        <f>IF($M13958="PADD I","PADD 1",IF($M13958="PADD II","PADD 2",IF($M13958="PADD III","PADD 3",IF($M13958="PADD IV","PADD 4",IF($M13958="PADD V","PADD 5","")))))</f>
        <v/>
      </c>
      <c r="G13958" s="6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  <c r="N13958" s="6">
        <f>IF(OR($G13958="FCC",$G13958="Hydrocracker",$G13958="Reformer"),IF(COUNTIFS($D:$D,$D13958,$A:$A,$A13958,$B:$B,$B13958,$G:$G,"CDU",$J:$J,"PLANNED")&gt;0,"tied","standalone"),"")</f>
        <v/>
      </c>
    </row>
    <row r="13959" spans="6:14">
      <c r="F13959" s="6">
        <f>IF($M13959="PADD I","PADD 1",IF($M13959="PADD II","PADD 2",IF($M13959="PADD III","PADD 3",IF($M13959="PADD IV","PADD 4",IF($M13959="PADD V","PADD 5","")))))</f>
        <v/>
      </c>
      <c r="G13959" s="6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  <c r="N13959" s="6">
        <f>IF(OR($G13959="FCC",$G13959="Hydrocracker",$G13959="Reformer"),IF(COUNTIFS($D:$D,$D13959,$A:$A,$A13959,$B:$B,$B13959,$G:$G,"CDU",$J:$J,"PLANNED")&gt;0,"tied","standalone"),"")</f>
        <v/>
      </c>
    </row>
    <row r="13960" spans="6:14">
      <c r="F13960" s="6">
        <f>IF($M13960="PADD I","PADD 1",IF($M13960="PADD II","PADD 2",IF($M13960="PADD III","PADD 3",IF($M13960="PADD IV","PADD 4",IF($M13960="PADD V","PADD 5","")))))</f>
        <v/>
      </c>
      <c r="G13960" s="6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  <c r="N13960" s="6">
        <f>IF(OR($G13960="FCC",$G13960="Hydrocracker",$G13960="Reformer"),IF(COUNTIFS($D:$D,$D13960,$A:$A,$A13960,$B:$B,$B13960,$G:$G,"CDU",$J:$J,"PLANNED")&gt;0,"tied","standalone"),"")</f>
        <v/>
      </c>
    </row>
    <row r="13961" spans="6:14">
      <c r="F13961" s="6">
        <f>IF($M13961="PADD I","PADD 1",IF($M13961="PADD II","PADD 2",IF($M13961="PADD III","PADD 3",IF($M13961="PADD IV","PADD 4",IF($M13961="PADD V","PADD 5","")))))</f>
        <v/>
      </c>
      <c r="G13961" s="6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  <c r="N13961" s="6">
        <f>IF(OR($G13961="FCC",$G13961="Hydrocracker",$G13961="Reformer"),IF(COUNTIFS($D:$D,$D13961,$A:$A,$A13961,$B:$B,$B13961,$G:$G,"CDU",$J:$J,"PLANNED")&gt;0,"tied","standalone"),"")</f>
        <v/>
      </c>
    </row>
    <row r="13962" spans="6:14">
      <c r="F13962" s="6">
        <f>IF($M13962="PADD I","PADD 1",IF($M13962="PADD II","PADD 2",IF($M13962="PADD III","PADD 3",IF($M13962="PADD IV","PADD 4",IF($M13962="PADD V","PADD 5","")))))</f>
        <v/>
      </c>
      <c r="G13962" s="6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  <c r="N13962" s="6">
        <f>IF(OR($G13962="FCC",$G13962="Hydrocracker",$G13962="Reformer"),IF(COUNTIFS($D:$D,$D13962,$A:$A,$A13962,$B:$B,$B13962,$G:$G,"CDU",$J:$J,"PLANNED")&gt;0,"tied","standalone"),"")</f>
        <v/>
      </c>
    </row>
    <row r="13963" spans="6:14">
      <c r="F13963" s="6">
        <f>IF($M13963="PADD I","PADD 1",IF($M13963="PADD II","PADD 2",IF($M13963="PADD III","PADD 3",IF($M13963="PADD IV","PADD 4",IF($M13963="PADD V","PADD 5","")))))</f>
        <v/>
      </c>
      <c r="G13963" s="6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  <c r="N13963" s="6">
        <f>IF(OR($G13963="FCC",$G13963="Hydrocracker",$G13963="Reformer"),IF(COUNTIFS($D:$D,$D13963,$A:$A,$A13963,$B:$B,$B13963,$G:$G,"CDU",$J:$J,"PLANNED")&gt;0,"tied","standalone"),"")</f>
        <v/>
      </c>
    </row>
    <row r="13964" spans="6:14">
      <c r="F13964" s="6">
        <f>IF($M13964="PADD I","PADD 1",IF($M13964="PADD II","PADD 2",IF($M13964="PADD III","PADD 3",IF($M13964="PADD IV","PADD 4",IF($M13964="PADD V","PADD 5","")))))</f>
        <v/>
      </c>
      <c r="G13964" s="6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  <c r="N13964" s="6">
        <f>IF(OR($G13964="FCC",$G13964="Hydrocracker",$G13964="Reformer"),IF(COUNTIFS($D:$D,$D13964,$A:$A,$A13964,$B:$B,$B13964,$G:$G,"CDU",$J:$J,"PLANNED")&gt;0,"tied","standalone"),"")</f>
        <v/>
      </c>
    </row>
    <row r="13965" spans="6:14">
      <c r="F13965" s="6">
        <f>IF($M13965="PADD I","PADD 1",IF($M13965="PADD II","PADD 2",IF($M13965="PADD III","PADD 3",IF($M13965="PADD IV","PADD 4",IF($M13965="PADD V","PADD 5","")))))</f>
        <v/>
      </c>
      <c r="G13965" s="6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  <c r="N13965" s="6">
        <f>IF(OR($G13965="FCC",$G13965="Hydrocracker",$G13965="Reformer"),IF(COUNTIFS($D:$D,$D13965,$A:$A,$A13965,$B:$B,$B13965,$G:$G,"CDU",$J:$J,"PLANNED")&gt;0,"tied","standalone"),"")</f>
        <v/>
      </c>
    </row>
    <row r="13966" spans="6:14">
      <c r="F13966" s="6">
        <f>IF($M13966="PADD I","PADD 1",IF($M13966="PADD II","PADD 2",IF($M13966="PADD III","PADD 3",IF($M13966="PADD IV","PADD 4",IF($M13966="PADD V","PADD 5","")))))</f>
        <v/>
      </c>
      <c r="G13966" s="6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  <c r="N13966" s="6">
        <f>IF(OR($G13966="FCC",$G13966="Hydrocracker",$G13966="Reformer"),IF(COUNTIFS($D:$D,$D13966,$A:$A,$A13966,$B:$B,$B13966,$G:$G,"CDU",$J:$J,"PLANNED")&gt;0,"tied","standalone"),"")</f>
        <v/>
      </c>
    </row>
    <row r="13967" spans="6:14">
      <c r="F13967" s="6">
        <f>IF($M13967="PADD I","PADD 1",IF($M13967="PADD II","PADD 2",IF($M13967="PADD III","PADD 3",IF($M13967="PADD IV","PADD 4",IF($M13967="PADD V","PADD 5","")))))</f>
        <v/>
      </c>
      <c r="G13967" s="6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  <c r="N13967" s="6">
        <f>IF(OR($G13967="FCC",$G13967="Hydrocracker",$G13967="Reformer"),IF(COUNTIFS($D:$D,$D13967,$A:$A,$A13967,$B:$B,$B13967,$G:$G,"CDU",$J:$J,"PLANNED")&gt;0,"tied","standalone"),"")</f>
        <v/>
      </c>
    </row>
    <row r="13968" spans="6:14">
      <c r="F13968" s="6">
        <f>IF($M13968="PADD I","PADD 1",IF($M13968="PADD II","PADD 2",IF($M13968="PADD III","PADD 3",IF($M13968="PADD IV","PADD 4",IF($M13968="PADD V","PADD 5","")))))</f>
        <v/>
      </c>
      <c r="G13968" s="6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  <c r="N13968" s="6">
        <f>IF(OR($G13968="FCC",$G13968="Hydrocracker",$G13968="Reformer"),IF(COUNTIFS($D:$D,$D13968,$A:$A,$A13968,$B:$B,$B13968,$G:$G,"CDU",$J:$J,"PLANNED")&gt;0,"tied","standalone"),"")</f>
        <v/>
      </c>
    </row>
    <row r="13969" spans="6:14">
      <c r="F13969" s="6">
        <f>IF($M13969="PADD I","PADD 1",IF($M13969="PADD II","PADD 2",IF($M13969="PADD III","PADD 3",IF($M13969="PADD IV","PADD 4",IF($M13969="PADD V","PADD 5","")))))</f>
        <v/>
      </c>
      <c r="G13969" s="6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  <c r="N13969" s="6">
        <f>IF(OR($G13969="FCC",$G13969="Hydrocracker",$G13969="Reformer"),IF(COUNTIFS($D:$D,$D13969,$A:$A,$A13969,$B:$B,$B13969,$G:$G,"CDU",$J:$J,"PLANNED")&gt;0,"tied","standalone"),"")</f>
        <v/>
      </c>
    </row>
    <row r="13970" spans="6:14">
      <c r="F13970" s="6">
        <f>IF($M13970="PADD I","PADD 1",IF($M13970="PADD II","PADD 2",IF($M13970="PADD III","PADD 3",IF($M13970="PADD IV","PADD 4",IF($M13970="PADD V","PADD 5","")))))</f>
        <v/>
      </c>
      <c r="G13970" s="6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  <c r="N13970" s="6">
        <f>IF(OR($G13970="FCC",$G13970="Hydrocracker",$G13970="Reformer"),IF(COUNTIFS($D:$D,$D13970,$A:$A,$A13970,$B:$B,$B13970,$G:$G,"CDU",$J:$J,"PLANNED")&gt;0,"tied","standalone"),"")</f>
        <v/>
      </c>
    </row>
    <row r="13971" spans="6:14">
      <c r="F13971" s="6">
        <f>IF($M13971="PADD I","PADD 1",IF($M13971="PADD II","PADD 2",IF($M13971="PADD III","PADD 3",IF($M13971="PADD IV","PADD 4",IF($M13971="PADD V","PADD 5","")))))</f>
        <v/>
      </c>
      <c r="G13971" s="6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  <c r="N13971" s="6">
        <f>IF(OR($G13971="FCC",$G13971="Hydrocracker",$G13971="Reformer"),IF(COUNTIFS($D:$D,$D13971,$A:$A,$A13971,$B:$B,$B13971,$G:$G,"CDU",$J:$J,"PLANNED")&gt;0,"tied","standalone"),"")</f>
        <v/>
      </c>
    </row>
    <row r="13972" spans="6:14">
      <c r="F13972" s="6">
        <f>IF($M13972="PADD I","PADD 1",IF($M13972="PADD II","PADD 2",IF($M13972="PADD III","PADD 3",IF($M13972="PADD IV","PADD 4",IF($M13972="PADD V","PADD 5","")))))</f>
        <v/>
      </c>
      <c r="G13972" s="6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  <c r="N13972" s="6">
        <f>IF(OR($G13972="FCC",$G13972="Hydrocracker",$G13972="Reformer"),IF(COUNTIFS($D:$D,$D13972,$A:$A,$A13972,$B:$B,$B13972,$G:$G,"CDU",$J:$J,"PLANNED")&gt;0,"tied","standalone"),"")</f>
        <v/>
      </c>
    </row>
    <row r="13973" spans="6:14">
      <c r="F13973" s="6">
        <f>IF($M13973="PADD I","PADD 1",IF($M13973="PADD II","PADD 2",IF($M13973="PADD III","PADD 3",IF($M13973="PADD IV","PADD 4",IF($M13973="PADD V","PADD 5","")))))</f>
        <v/>
      </c>
      <c r="G13973" s="6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  <c r="N13973" s="6">
        <f>IF(OR($G13973="FCC",$G13973="Hydrocracker",$G13973="Reformer"),IF(COUNTIFS($D:$D,$D13973,$A:$A,$A13973,$B:$B,$B13973,$G:$G,"CDU",$J:$J,"PLANNED")&gt;0,"tied","standalone"),"")</f>
        <v/>
      </c>
    </row>
    <row r="13974" spans="6:14">
      <c r="F13974" s="6">
        <f>IF($M13974="PADD I","PADD 1",IF($M13974="PADD II","PADD 2",IF($M13974="PADD III","PADD 3",IF($M13974="PADD IV","PADD 4",IF($M13974="PADD V","PADD 5","")))))</f>
        <v/>
      </c>
      <c r="G13974" s="6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  <c r="N13974" s="6">
        <f>IF(OR($G13974="FCC",$G13974="Hydrocracker",$G13974="Reformer"),IF(COUNTIFS($D:$D,$D13974,$A:$A,$A13974,$B:$B,$B13974,$G:$G,"CDU",$J:$J,"PLANNED")&gt;0,"tied","standalone"),"")</f>
        <v/>
      </c>
    </row>
    <row r="13975" spans="6:14">
      <c r="F13975" s="6">
        <f>IF($M13975="PADD I","PADD 1",IF($M13975="PADD II","PADD 2",IF($M13975="PADD III","PADD 3",IF($M13975="PADD IV","PADD 4",IF($M13975="PADD V","PADD 5","")))))</f>
        <v/>
      </c>
      <c r="G13975" s="6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  <c r="N13975" s="6">
        <f>IF(OR($G13975="FCC",$G13975="Hydrocracker",$G13975="Reformer"),IF(COUNTIFS($D:$D,$D13975,$A:$A,$A13975,$B:$B,$B13975,$G:$G,"CDU",$J:$J,"PLANNED")&gt;0,"tied","standalone"),"")</f>
        <v/>
      </c>
    </row>
    <row r="13976" spans="6:14">
      <c r="F13976" s="6">
        <f>IF($M13976="PADD I","PADD 1",IF($M13976="PADD II","PADD 2",IF($M13976="PADD III","PADD 3",IF($M13976="PADD IV","PADD 4",IF($M13976="PADD V","PADD 5","")))))</f>
        <v/>
      </c>
      <c r="G13976" s="6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  <c r="N13976" s="6">
        <f>IF(OR($G13976="FCC",$G13976="Hydrocracker",$G13976="Reformer"),IF(COUNTIFS($D:$D,$D13976,$A:$A,$A13976,$B:$B,$B13976,$G:$G,"CDU",$J:$J,"PLANNED")&gt;0,"tied","standalone"),"")</f>
        <v/>
      </c>
    </row>
    <row r="13977" spans="6:14">
      <c r="F13977" s="6">
        <f>IF($M13977="PADD I","PADD 1",IF($M13977="PADD II","PADD 2",IF($M13977="PADD III","PADD 3",IF($M13977="PADD IV","PADD 4",IF($M13977="PADD V","PADD 5","")))))</f>
        <v/>
      </c>
      <c r="G13977" s="6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  <c r="N13977" s="6">
        <f>IF(OR($G13977="FCC",$G13977="Hydrocracker",$G13977="Reformer"),IF(COUNTIFS($D:$D,$D13977,$A:$A,$A13977,$B:$B,$B13977,$G:$G,"CDU",$J:$J,"PLANNED")&gt;0,"tied","standalone"),"")</f>
        <v/>
      </c>
    </row>
    <row r="13978" spans="6:14">
      <c r="F13978" s="6">
        <f>IF($M13978="PADD I","PADD 1",IF($M13978="PADD II","PADD 2",IF($M13978="PADD III","PADD 3",IF($M13978="PADD IV","PADD 4",IF($M13978="PADD V","PADD 5","")))))</f>
        <v/>
      </c>
      <c r="G13978" s="6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  <c r="N13978" s="6">
        <f>IF(OR($G13978="FCC",$G13978="Hydrocracker",$G13978="Reformer"),IF(COUNTIFS($D:$D,$D13978,$A:$A,$A13978,$B:$B,$B13978,$G:$G,"CDU",$J:$J,"PLANNED")&gt;0,"tied","standalone"),"")</f>
        <v/>
      </c>
    </row>
    <row r="13979" spans="6:14">
      <c r="F13979" s="6">
        <f>IF($M13979="PADD I","PADD 1",IF($M13979="PADD II","PADD 2",IF($M13979="PADD III","PADD 3",IF($M13979="PADD IV","PADD 4",IF($M13979="PADD V","PADD 5","")))))</f>
        <v/>
      </c>
      <c r="G13979" s="6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  <c r="N13979" s="6">
        <f>IF(OR($G13979="FCC",$G13979="Hydrocracker",$G13979="Reformer"),IF(COUNTIFS($D:$D,$D13979,$A:$A,$A13979,$B:$B,$B13979,$G:$G,"CDU",$J:$J,"PLANNED")&gt;0,"tied","standalone"),"")</f>
        <v/>
      </c>
    </row>
    <row r="13980" spans="6:14">
      <c r="F13980" s="6">
        <f>IF($M13980="PADD I","PADD 1",IF($M13980="PADD II","PADD 2",IF($M13980="PADD III","PADD 3",IF($M13980="PADD IV","PADD 4",IF($M13980="PADD V","PADD 5","")))))</f>
        <v/>
      </c>
      <c r="G13980" s="6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  <c r="N13980" s="6">
        <f>IF(OR($G13980="FCC",$G13980="Hydrocracker",$G13980="Reformer"),IF(COUNTIFS($D:$D,$D13980,$A:$A,$A13980,$B:$B,$B13980,$G:$G,"CDU",$J:$J,"PLANNED")&gt;0,"tied","standalone"),"")</f>
        <v/>
      </c>
    </row>
    <row r="13981" spans="6:14">
      <c r="F13981" s="6">
        <f>IF($M13981="PADD I","PADD 1",IF($M13981="PADD II","PADD 2",IF($M13981="PADD III","PADD 3",IF($M13981="PADD IV","PADD 4",IF($M13981="PADD V","PADD 5","")))))</f>
        <v/>
      </c>
      <c r="G13981" s="6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  <c r="N13981" s="6">
        <f>IF(OR($G13981="FCC",$G13981="Hydrocracker",$G13981="Reformer"),IF(COUNTIFS($D:$D,$D13981,$A:$A,$A13981,$B:$B,$B13981,$G:$G,"CDU",$J:$J,"PLANNED")&gt;0,"tied","standalone"),"")</f>
        <v/>
      </c>
    </row>
    <row r="13982" spans="6:14">
      <c r="F13982" s="6">
        <f>IF($M13982="PADD I","PADD 1",IF($M13982="PADD II","PADD 2",IF($M13982="PADD III","PADD 3",IF($M13982="PADD IV","PADD 4",IF($M13982="PADD V","PADD 5","")))))</f>
        <v/>
      </c>
      <c r="G13982" s="6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  <c r="N13982" s="6">
        <f>IF(OR($G13982="FCC",$G13982="Hydrocracker",$G13982="Reformer"),IF(COUNTIFS($D:$D,$D13982,$A:$A,$A13982,$B:$B,$B13982,$G:$G,"CDU",$J:$J,"PLANNED")&gt;0,"tied","standalone"),"")</f>
        <v/>
      </c>
    </row>
    <row r="13983" spans="6:14">
      <c r="F13983" s="6">
        <f>IF($M13983="PADD I","PADD 1",IF($M13983="PADD II","PADD 2",IF($M13983="PADD III","PADD 3",IF($M13983="PADD IV","PADD 4",IF($M13983="PADD V","PADD 5","")))))</f>
        <v/>
      </c>
      <c r="G13983" s="6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  <c r="N13983" s="6">
        <f>IF(OR($G13983="FCC",$G13983="Hydrocracker",$G13983="Reformer"),IF(COUNTIFS($D:$D,$D13983,$A:$A,$A13983,$B:$B,$B13983,$G:$G,"CDU",$J:$J,"PLANNED")&gt;0,"tied","standalone"),"")</f>
        <v/>
      </c>
    </row>
    <row r="13984" spans="6:14">
      <c r="F13984" s="6">
        <f>IF($M13984="PADD I","PADD 1",IF($M13984="PADD II","PADD 2",IF($M13984="PADD III","PADD 3",IF($M13984="PADD IV","PADD 4",IF($M13984="PADD V","PADD 5","")))))</f>
        <v/>
      </c>
      <c r="G13984" s="6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  <c r="N13984" s="6">
        <f>IF(OR($G13984="FCC",$G13984="Hydrocracker",$G13984="Reformer"),IF(COUNTIFS($D:$D,$D13984,$A:$A,$A13984,$B:$B,$B13984,$G:$G,"CDU",$J:$J,"PLANNED")&gt;0,"tied","standalone"),"")</f>
        <v/>
      </c>
    </row>
    <row r="13985" spans="6:14">
      <c r="F13985" s="6">
        <f>IF($M13985="PADD I","PADD 1",IF($M13985="PADD II","PADD 2",IF($M13985="PADD III","PADD 3",IF($M13985="PADD IV","PADD 4",IF($M13985="PADD V","PADD 5","")))))</f>
        <v/>
      </c>
      <c r="G13985" s="6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  <c r="N13985" s="6">
        <f>IF(OR($G13985="FCC",$G13985="Hydrocracker",$G13985="Reformer"),IF(COUNTIFS($D:$D,$D13985,$A:$A,$A13985,$B:$B,$B13985,$G:$G,"CDU",$J:$J,"PLANNED")&gt;0,"tied","standalone"),"")</f>
        <v/>
      </c>
    </row>
    <row r="13986" spans="6:14">
      <c r="F13986" s="6">
        <f>IF($M13986="PADD I","PADD 1",IF($M13986="PADD II","PADD 2",IF($M13986="PADD III","PADD 3",IF($M13986="PADD IV","PADD 4",IF($M13986="PADD V","PADD 5","")))))</f>
        <v/>
      </c>
      <c r="G13986" s="6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  <c r="N13986" s="6">
        <f>IF(OR($G13986="FCC",$G13986="Hydrocracker",$G13986="Reformer"),IF(COUNTIFS($D:$D,$D13986,$A:$A,$A13986,$B:$B,$B13986,$G:$G,"CDU",$J:$J,"PLANNED")&gt;0,"tied","standalone"),"")</f>
        <v/>
      </c>
    </row>
    <row r="13987" spans="6:14">
      <c r="F13987" s="6">
        <f>IF($M13987="PADD I","PADD 1",IF($M13987="PADD II","PADD 2",IF($M13987="PADD III","PADD 3",IF($M13987="PADD IV","PADD 4",IF($M13987="PADD V","PADD 5","")))))</f>
        <v/>
      </c>
      <c r="G13987" s="6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  <c r="N13987" s="6">
        <f>IF(OR($G13987="FCC",$G13987="Hydrocracker",$G13987="Reformer"),IF(COUNTIFS($D:$D,$D13987,$A:$A,$A13987,$B:$B,$B13987,$G:$G,"CDU",$J:$J,"PLANNED")&gt;0,"tied","standalone"),"")</f>
        <v/>
      </c>
    </row>
    <row r="13988" spans="6:14">
      <c r="F13988" s="6">
        <f>IF($M13988="PADD I","PADD 1",IF($M13988="PADD II","PADD 2",IF($M13988="PADD III","PADD 3",IF($M13988="PADD IV","PADD 4",IF($M13988="PADD V","PADD 5","")))))</f>
        <v/>
      </c>
      <c r="G13988" s="6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  <c r="N13988" s="6">
        <f>IF(OR($G13988="FCC",$G13988="Hydrocracker",$G13988="Reformer"),IF(COUNTIFS($D:$D,$D13988,$A:$A,$A13988,$B:$B,$B13988,$G:$G,"CDU",$J:$J,"PLANNED")&gt;0,"tied","standalone"),"")</f>
        <v/>
      </c>
    </row>
    <row r="13989" spans="6:14">
      <c r="F13989" s="6">
        <f>IF($M13989="PADD I","PADD 1",IF($M13989="PADD II","PADD 2",IF($M13989="PADD III","PADD 3",IF($M13989="PADD IV","PADD 4",IF($M13989="PADD V","PADD 5","")))))</f>
        <v/>
      </c>
      <c r="G13989" s="6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  <c r="N13989" s="6">
        <f>IF(OR($G13989="FCC",$G13989="Hydrocracker",$G13989="Reformer"),IF(COUNTIFS($D:$D,$D13989,$A:$A,$A13989,$B:$B,$B13989,$G:$G,"CDU",$J:$J,"PLANNED")&gt;0,"tied","standalone"),"")</f>
        <v/>
      </c>
    </row>
    <row r="13990" spans="6:14">
      <c r="F13990" s="6">
        <f>IF($M13990="PADD I","PADD 1",IF($M13990="PADD II","PADD 2",IF($M13990="PADD III","PADD 3",IF($M13990="PADD IV","PADD 4",IF($M13990="PADD V","PADD 5","")))))</f>
        <v/>
      </c>
      <c r="G13990" s="6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  <c r="N13990" s="6">
        <f>IF(OR($G13990="FCC",$G13990="Hydrocracker",$G13990="Reformer"),IF(COUNTIFS($D:$D,$D13990,$A:$A,$A13990,$B:$B,$B13990,$G:$G,"CDU",$J:$J,"PLANNED")&gt;0,"tied","standalone"),"")</f>
        <v/>
      </c>
    </row>
    <row r="13991" spans="6:14">
      <c r="F13991" s="6">
        <f>IF($M13991="PADD I","PADD 1",IF($M13991="PADD II","PADD 2",IF($M13991="PADD III","PADD 3",IF($M13991="PADD IV","PADD 4",IF($M13991="PADD V","PADD 5","")))))</f>
        <v/>
      </c>
      <c r="G13991" s="6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  <c r="N13991" s="6">
        <f>IF(OR($G13991="FCC",$G13991="Hydrocracker",$G13991="Reformer"),IF(COUNTIFS($D:$D,$D13991,$A:$A,$A13991,$B:$B,$B13991,$G:$G,"CDU",$J:$J,"PLANNED")&gt;0,"tied","standalone"),"")</f>
        <v/>
      </c>
    </row>
    <row r="13992" spans="6:14">
      <c r="F13992" s="6">
        <f>IF($M13992="PADD I","PADD 1",IF($M13992="PADD II","PADD 2",IF($M13992="PADD III","PADD 3",IF($M13992="PADD IV","PADD 4",IF($M13992="PADD V","PADD 5","")))))</f>
        <v/>
      </c>
      <c r="G13992" s="6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  <c r="N13992" s="6">
        <f>IF(OR($G13992="FCC",$G13992="Hydrocracker",$G13992="Reformer"),IF(COUNTIFS($D:$D,$D13992,$A:$A,$A13992,$B:$B,$B13992,$G:$G,"CDU",$J:$J,"PLANNED")&gt;0,"tied","standalone"),"")</f>
        <v/>
      </c>
    </row>
    <row r="13993" spans="6:14">
      <c r="F13993" s="6">
        <f>IF($M13993="PADD I","PADD 1",IF($M13993="PADD II","PADD 2",IF($M13993="PADD III","PADD 3",IF($M13993="PADD IV","PADD 4",IF($M13993="PADD V","PADD 5","")))))</f>
        <v/>
      </c>
      <c r="G13993" s="6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  <c r="N13993" s="6">
        <f>IF(OR($G13993="FCC",$G13993="Hydrocracker",$G13993="Reformer"),IF(COUNTIFS($D:$D,$D13993,$A:$A,$A13993,$B:$B,$B13993,$G:$G,"CDU",$J:$J,"PLANNED")&gt;0,"tied","standalone"),"")</f>
        <v/>
      </c>
    </row>
    <row r="13994" spans="6:14">
      <c r="F13994" s="6">
        <f>IF($M13994="PADD I","PADD 1",IF($M13994="PADD II","PADD 2",IF($M13994="PADD III","PADD 3",IF($M13994="PADD IV","PADD 4",IF($M13994="PADD V","PADD 5","")))))</f>
        <v/>
      </c>
      <c r="G13994" s="6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  <c r="N13994" s="6">
        <f>IF(OR($G13994="FCC",$G13994="Hydrocracker",$G13994="Reformer"),IF(COUNTIFS($D:$D,$D13994,$A:$A,$A13994,$B:$B,$B13994,$G:$G,"CDU",$J:$J,"PLANNED")&gt;0,"tied","standalone"),"")</f>
        <v/>
      </c>
    </row>
    <row r="13995" spans="6:14">
      <c r="F13995" s="6">
        <f>IF($M13995="PADD I","PADD 1",IF($M13995="PADD II","PADD 2",IF($M13995="PADD III","PADD 3",IF($M13995="PADD IV","PADD 4",IF($M13995="PADD V","PADD 5","")))))</f>
        <v/>
      </c>
      <c r="G13995" s="6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  <c r="N13995" s="6">
        <f>IF(OR($G13995="FCC",$G13995="Hydrocracker",$G13995="Reformer"),IF(COUNTIFS($D:$D,$D13995,$A:$A,$A13995,$B:$B,$B13995,$G:$G,"CDU",$J:$J,"PLANNED")&gt;0,"tied","standalone"),"")</f>
        <v/>
      </c>
    </row>
    <row r="13996" spans="6:14">
      <c r="F13996" s="6">
        <f>IF($M13996="PADD I","PADD 1",IF($M13996="PADD II","PADD 2",IF($M13996="PADD III","PADD 3",IF($M13996="PADD IV","PADD 4",IF($M13996="PADD V","PADD 5","")))))</f>
        <v/>
      </c>
      <c r="G13996" s="6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  <c r="N13996" s="6">
        <f>IF(OR($G13996="FCC",$G13996="Hydrocracker",$G13996="Reformer"),IF(COUNTIFS($D:$D,$D13996,$A:$A,$A13996,$B:$B,$B13996,$G:$G,"CDU",$J:$J,"PLANNED")&gt;0,"tied","standalone"),"")</f>
        <v/>
      </c>
    </row>
    <row r="13997" spans="6:14">
      <c r="F13997" s="6">
        <f>IF($M13997="PADD I","PADD 1",IF($M13997="PADD II","PADD 2",IF($M13997="PADD III","PADD 3",IF($M13997="PADD IV","PADD 4",IF($M13997="PADD V","PADD 5","")))))</f>
        <v/>
      </c>
      <c r="G13997" s="6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  <c r="N13997" s="6">
        <f>IF(OR($G13997="FCC",$G13997="Hydrocracker",$G13997="Reformer"),IF(COUNTIFS($D:$D,$D13997,$A:$A,$A13997,$B:$B,$B13997,$G:$G,"CDU",$J:$J,"PLANNED")&gt;0,"tied","standalone"),"")</f>
        <v/>
      </c>
    </row>
    <row r="13998" spans="6:14">
      <c r="F13998" s="6">
        <f>IF($M13998="PADD I","PADD 1",IF($M13998="PADD II","PADD 2",IF($M13998="PADD III","PADD 3",IF($M13998="PADD IV","PADD 4",IF($M13998="PADD V","PADD 5","")))))</f>
        <v/>
      </c>
      <c r="G13998" s="6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  <c r="N13998" s="6">
        <f>IF(OR($G13998="FCC",$G13998="Hydrocracker",$G13998="Reformer"),IF(COUNTIFS($D:$D,$D13998,$A:$A,$A13998,$B:$B,$B13998,$G:$G,"CDU",$J:$J,"PLANNED")&gt;0,"tied","standalone"),"")</f>
        <v/>
      </c>
    </row>
    <row r="13999" spans="6:14">
      <c r="F13999" s="6">
        <f>IF($M13999="PADD I","PADD 1",IF($M13999="PADD II","PADD 2",IF($M13999="PADD III","PADD 3",IF($M13999="PADD IV","PADD 4",IF($M13999="PADD V","PADD 5","")))))</f>
        <v/>
      </c>
      <c r="G13999" s="6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  <c r="N13999" s="6">
        <f>IF(OR($G13999="FCC",$G13999="Hydrocracker",$G13999="Reformer"),IF(COUNTIFS($D:$D,$D13999,$A:$A,$A13999,$B:$B,$B13999,$G:$G,"CDU",$J:$J,"PLANNED")&gt;0,"tied","standalone"),"")</f>
        <v/>
      </c>
    </row>
    <row r="14000" spans="6:14">
      <c r="F14000" s="6">
        <f>IF($M14000="PADD I","PADD 1",IF($M14000="PADD II","PADD 2",IF($M14000="PADD III","PADD 3",IF($M14000="PADD IV","PADD 4",IF($M14000="PADD V","PADD 5","")))))</f>
        <v/>
      </c>
      <c r="G14000" s="6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  <c r="N14000" s="6">
        <f>IF(OR($G14000="FCC",$G14000="Hydrocracker",$G14000="Reformer"),IF(COUNTIFS($D:$D,$D14000,$A:$A,$A14000,$B:$B,$B14000,$G:$G,"CDU",$J:$J,"PLANNED")&gt;0,"tied","standalone"),"")</f>
        <v/>
      </c>
    </row>
    <row r="14001" spans="6:14">
      <c r="F14001" s="6">
        <f>IF($M14001="PADD I","PADD 1",IF($M14001="PADD II","PADD 2",IF($M14001="PADD III","PADD 3",IF($M14001="PADD IV","PADD 4",IF($M14001="PADD V","PADD 5","")))))</f>
        <v/>
      </c>
      <c r="G14001" s="6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  <c r="N14001" s="6">
        <f>IF(OR($G14001="FCC",$G14001="Hydrocracker",$G14001="Reformer"),IF(COUNTIFS($D:$D,$D14001,$A:$A,$A14001,$B:$B,$B14001,$G:$G,"CDU",$J:$J,"PLANNED")&gt;0,"tied","standalone"),"")</f>
        <v/>
      </c>
    </row>
    <row r="14002" spans="6:14">
      <c r="F14002" s="6">
        <f>IF($M14002="PADD I","PADD 1",IF($M14002="PADD II","PADD 2",IF($M14002="PADD III","PADD 3",IF($M14002="PADD IV","PADD 4",IF($M14002="PADD V","PADD 5","")))))</f>
        <v/>
      </c>
      <c r="G14002" s="6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  <c r="N14002" s="6">
        <f>IF(OR($G14002="FCC",$G14002="Hydrocracker",$G14002="Reformer"),IF(COUNTIFS($D:$D,$D14002,$A:$A,$A14002,$B:$B,$B14002,$G:$G,"CDU",$J:$J,"PLANNED")&gt;0,"tied","standalone"),"")</f>
        <v/>
      </c>
    </row>
    <row r="14003" spans="6:14">
      <c r="F14003" s="6">
        <f>IF($M14003="PADD I","PADD 1",IF($M14003="PADD II","PADD 2",IF($M14003="PADD III","PADD 3",IF($M14003="PADD IV","PADD 4",IF($M14003="PADD V","PADD 5","")))))</f>
        <v/>
      </c>
      <c r="G14003" s="6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  <c r="N14003" s="6">
        <f>IF(OR($G14003="FCC",$G14003="Hydrocracker",$G14003="Reformer"),IF(COUNTIFS($D:$D,$D14003,$A:$A,$A14003,$B:$B,$B14003,$G:$G,"CDU",$J:$J,"PLANNED")&gt;0,"tied","standalone"),"")</f>
        <v/>
      </c>
    </row>
    <row r="14004" spans="6:14">
      <c r="F14004" s="6">
        <f>IF($M14004="PADD I","PADD 1",IF($M14004="PADD II","PADD 2",IF($M14004="PADD III","PADD 3",IF($M14004="PADD IV","PADD 4",IF($M14004="PADD V","PADD 5","")))))</f>
        <v/>
      </c>
      <c r="G14004" s="6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  <c r="N14004" s="6">
        <f>IF(OR($G14004="FCC",$G14004="Hydrocracker",$G14004="Reformer"),IF(COUNTIFS($D:$D,$D14004,$A:$A,$A14004,$B:$B,$B14004,$G:$G,"CDU",$J:$J,"PLANNED")&gt;0,"tied","standalone"),"")</f>
        <v/>
      </c>
    </row>
    <row r="14005" spans="6:14">
      <c r="F14005" s="6">
        <f>IF($M14005="PADD I","PADD 1",IF($M14005="PADD II","PADD 2",IF($M14005="PADD III","PADD 3",IF($M14005="PADD IV","PADD 4",IF($M14005="PADD V","PADD 5","")))))</f>
        <v/>
      </c>
      <c r="G14005" s="6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  <c r="N14005" s="6">
        <f>IF(OR($G14005="FCC",$G14005="Hydrocracker",$G14005="Reformer"),IF(COUNTIFS($D:$D,$D14005,$A:$A,$A14005,$B:$B,$B14005,$G:$G,"CDU",$J:$J,"PLANNED")&gt;0,"tied","standalone"),"")</f>
        <v/>
      </c>
    </row>
    <row r="14006" spans="6:14">
      <c r="F14006" s="6">
        <f>IF($M14006="PADD I","PADD 1",IF($M14006="PADD II","PADD 2",IF($M14006="PADD III","PADD 3",IF($M14006="PADD IV","PADD 4",IF($M14006="PADD V","PADD 5","")))))</f>
        <v/>
      </c>
      <c r="G14006" s="6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  <c r="N14006" s="6">
        <f>IF(OR($G14006="FCC",$G14006="Hydrocracker",$G14006="Reformer"),IF(COUNTIFS($D:$D,$D14006,$A:$A,$A14006,$B:$B,$B14006,$G:$G,"CDU",$J:$J,"PLANNED")&gt;0,"tied","standalone"),"")</f>
        <v/>
      </c>
    </row>
    <row r="14007" spans="6:14">
      <c r="F14007" s="6">
        <f>IF($M14007="PADD I","PADD 1",IF($M14007="PADD II","PADD 2",IF($M14007="PADD III","PADD 3",IF($M14007="PADD IV","PADD 4",IF($M14007="PADD V","PADD 5","")))))</f>
        <v/>
      </c>
      <c r="G14007" s="6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  <c r="N14007" s="6">
        <f>IF(OR($G14007="FCC",$G14007="Hydrocracker",$G14007="Reformer"),IF(COUNTIFS($D:$D,$D14007,$A:$A,$A14007,$B:$B,$B14007,$G:$G,"CDU",$J:$J,"PLANNED")&gt;0,"tied","standalone"),"")</f>
        <v/>
      </c>
    </row>
    <row r="14008" spans="6:14">
      <c r="F14008" s="6">
        <f>IF($M14008="PADD I","PADD 1",IF($M14008="PADD II","PADD 2",IF($M14008="PADD III","PADD 3",IF($M14008="PADD IV","PADD 4",IF($M14008="PADD V","PADD 5","")))))</f>
        <v/>
      </c>
      <c r="G14008" s="6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  <c r="N14008" s="6">
        <f>IF(OR($G14008="FCC",$G14008="Hydrocracker",$G14008="Reformer"),IF(COUNTIFS($D:$D,$D14008,$A:$A,$A14008,$B:$B,$B14008,$G:$G,"CDU",$J:$J,"PLANNED")&gt;0,"tied","standalone"),"")</f>
        <v/>
      </c>
    </row>
    <row r="14009" spans="6:14">
      <c r="F14009" s="6">
        <f>IF($M14009="PADD I","PADD 1",IF($M14009="PADD II","PADD 2",IF($M14009="PADD III","PADD 3",IF($M14009="PADD IV","PADD 4",IF($M14009="PADD V","PADD 5","")))))</f>
        <v/>
      </c>
      <c r="G14009" s="6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  <c r="N14009" s="6">
        <f>IF(OR($G14009="FCC",$G14009="Hydrocracker",$G14009="Reformer"),IF(COUNTIFS($D:$D,$D14009,$A:$A,$A14009,$B:$B,$B14009,$G:$G,"CDU",$J:$J,"PLANNED")&gt;0,"tied","standalone"),"")</f>
        <v/>
      </c>
    </row>
    <row r="14010" spans="6:14">
      <c r="F14010" s="6">
        <f>IF($M14010="PADD I","PADD 1",IF($M14010="PADD II","PADD 2",IF($M14010="PADD III","PADD 3",IF($M14010="PADD IV","PADD 4",IF($M14010="PADD V","PADD 5","")))))</f>
        <v/>
      </c>
      <c r="G14010" s="6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  <c r="N14010" s="6">
        <f>IF(OR($G14010="FCC",$G14010="Hydrocracker",$G14010="Reformer"),IF(COUNTIFS($D:$D,$D14010,$A:$A,$A14010,$B:$B,$B14010,$G:$G,"CDU",$J:$J,"PLANNED")&gt;0,"tied","standalone"),"")</f>
        <v/>
      </c>
    </row>
    <row r="14011" spans="6:14">
      <c r="F14011" s="6">
        <f>IF($M14011="PADD I","PADD 1",IF($M14011="PADD II","PADD 2",IF($M14011="PADD III","PADD 3",IF($M14011="PADD IV","PADD 4",IF($M14011="PADD V","PADD 5","")))))</f>
        <v/>
      </c>
      <c r="G14011" s="6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  <c r="N14011" s="6">
        <f>IF(OR($G14011="FCC",$G14011="Hydrocracker",$G14011="Reformer"),IF(COUNTIFS($D:$D,$D14011,$A:$A,$A14011,$B:$B,$B14011,$G:$G,"CDU",$J:$J,"PLANNED")&gt;0,"tied","standalone"),"")</f>
        <v/>
      </c>
    </row>
    <row r="14012" spans="6:14">
      <c r="F14012" s="6">
        <f>IF($M14012="PADD I","PADD 1",IF($M14012="PADD II","PADD 2",IF($M14012="PADD III","PADD 3",IF($M14012="PADD IV","PADD 4",IF($M14012="PADD V","PADD 5","")))))</f>
        <v/>
      </c>
      <c r="G14012" s="6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  <c r="N14012" s="6">
        <f>IF(OR($G14012="FCC",$G14012="Hydrocracker",$G14012="Reformer"),IF(COUNTIFS($D:$D,$D14012,$A:$A,$A14012,$B:$B,$B14012,$G:$G,"CDU",$J:$J,"PLANNED")&gt;0,"tied","standalone"),"")</f>
        <v/>
      </c>
    </row>
    <row r="14013" spans="6:14">
      <c r="F14013" s="6">
        <f>IF($M14013="PADD I","PADD 1",IF($M14013="PADD II","PADD 2",IF($M14013="PADD III","PADD 3",IF($M14013="PADD IV","PADD 4",IF($M14013="PADD V","PADD 5","")))))</f>
        <v/>
      </c>
      <c r="G14013" s="6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  <c r="N14013" s="6">
        <f>IF(OR($G14013="FCC",$G14013="Hydrocracker",$G14013="Reformer"),IF(COUNTIFS($D:$D,$D14013,$A:$A,$A14013,$B:$B,$B14013,$G:$G,"CDU",$J:$J,"PLANNED")&gt;0,"tied","standalone"),"")</f>
        <v/>
      </c>
    </row>
    <row r="14014" spans="6:14">
      <c r="F14014" s="6">
        <f>IF($M14014="PADD I","PADD 1",IF($M14014="PADD II","PADD 2",IF($M14014="PADD III","PADD 3",IF($M14014="PADD IV","PADD 4",IF($M14014="PADD V","PADD 5","")))))</f>
        <v/>
      </c>
      <c r="G14014" s="6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  <c r="N14014" s="6">
        <f>IF(OR($G14014="FCC",$G14014="Hydrocracker",$G14014="Reformer"),IF(COUNTIFS($D:$D,$D14014,$A:$A,$A14014,$B:$B,$B14014,$G:$G,"CDU",$J:$J,"PLANNED")&gt;0,"tied","standalone"),"")</f>
        <v/>
      </c>
    </row>
    <row r="14015" spans="6:14">
      <c r="F14015" s="6">
        <f>IF($M14015="PADD I","PADD 1",IF($M14015="PADD II","PADD 2",IF($M14015="PADD III","PADD 3",IF($M14015="PADD IV","PADD 4",IF($M14015="PADD V","PADD 5","")))))</f>
        <v/>
      </c>
      <c r="G14015" s="6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  <c r="N14015" s="6">
        <f>IF(OR($G14015="FCC",$G14015="Hydrocracker",$G14015="Reformer"),IF(COUNTIFS($D:$D,$D14015,$A:$A,$A14015,$B:$B,$B14015,$G:$G,"CDU",$J:$J,"PLANNED")&gt;0,"tied","standalone"),"")</f>
        <v/>
      </c>
    </row>
    <row r="14016" spans="6:14">
      <c r="F14016" s="6">
        <f>IF($M14016="PADD I","PADD 1",IF($M14016="PADD II","PADD 2",IF($M14016="PADD III","PADD 3",IF($M14016="PADD IV","PADD 4",IF($M14016="PADD V","PADD 5","")))))</f>
        <v/>
      </c>
      <c r="G14016" s="6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  <c r="N14016" s="6">
        <f>IF(OR($G14016="FCC",$G14016="Hydrocracker",$G14016="Reformer"),IF(COUNTIFS($D:$D,$D14016,$A:$A,$A14016,$B:$B,$B14016,$G:$G,"CDU",$J:$J,"PLANNED")&gt;0,"tied","standalone"),"")</f>
        <v/>
      </c>
    </row>
    <row r="14017" spans="6:14">
      <c r="F14017" s="6">
        <f>IF($M14017="PADD I","PADD 1",IF($M14017="PADD II","PADD 2",IF($M14017="PADD III","PADD 3",IF($M14017="PADD IV","PADD 4",IF($M14017="PADD V","PADD 5","")))))</f>
        <v/>
      </c>
      <c r="G14017" s="6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  <c r="N14017" s="6">
        <f>IF(OR($G14017="FCC",$G14017="Hydrocracker",$G14017="Reformer"),IF(COUNTIFS($D:$D,$D14017,$A:$A,$A14017,$B:$B,$B14017,$G:$G,"CDU",$J:$J,"PLANNED")&gt;0,"tied","standalone"),"")</f>
        <v/>
      </c>
    </row>
    <row r="14018" spans="6:14">
      <c r="F14018" s="6">
        <f>IF($M14018="PADD I","PADD 1",IF($M14018="PADD II","PADD 2",IF($M14018="PADD III","PADD 3",IF($M14018="PADD IV","PADD 4",IF($M14018="PADD V","PADD 5","")))))</f>
        <v/>
      </c>
      <c r="G14018" s="6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  <c r="N14018" s="6">
        <f>IF(OR($G14018="FCC",$G14018="Hydrocracker",$G14018="Reformer"),IF(COUNTIFS($D:$D,$D14018,$A:$A,$A14018,$B:$B,$B14018,$G:$G,"CDU",$J:$J,"PLANNED")&gt;0,"tied","standalone"),"")</f>
        <v/>
      </c>
    </row>
    <row r="14019" spans="6:14">
      <c r="F14019" s="6">
        <f>IF($M14019="PADD I","PADD 1",IF($M14019="PADD II","PADD 2",IF($M14019="PADD III","PADD 3",IF($M14019="PADD IV","PADD 4",IF($M14019="PADD V","PADD 5","")))))</f>
        <v/>
      </c>
      <c r="G14019" s="6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  <c r="N14019" s="6">
        <f>IF(OR($G14019="FCC",$G14019="Hydrocracker",$G14019="Reformer"),IF(COUNTIFS($D:$D,$D14019,$A:$A,$A14019,$B:$B,$B14019,$G:$G,"CDU",$J:$J,"PLANNED")&gt;0,"tied","standalone"),"")</f>
        <v/>
      </c>
    </row>
    <row r="14020" spans="6:14">
      <c r="F14020" s="6">
        <f>IF($M14020="PADD I","PADD 1",IF($M14020="PADD II","PADD 2",IF($M14020="PADD III","PADD 3",IF($M14020="PADD IV","PADD 4",IF($M14020="PADD V","PADD 5","")))))</f>
        <v/>
      </c>
      <c r="G14020" s="6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  <c r="N14020" s="6">
        <f>IF(OR($G14020="FCC",$G14020="Hydrocracker",$G14020="Reformer"),IF(COUNTIFS($D:$D,$D14020,$A:$A,$A14020,$B:$B,$B14020,$G:$G,"CDU",$J:$J,"PLANNED")&gt;0,"tied","standalone"),"")</f>
        <v/>
      </c>
    </row>
    <row r="14021" spans="6:14">
      <c r="F14021" s="6">
        <f>IF($M14021="PADD I","PADD 1",IF($M14021="PADD II","PADD 2",IF($M14021="PADD III","PADD 3",IF($M14021="PADD IV","PADD 4",IF($M14021="PADD V","PADD 5","")))))</f>
        <v/>
      </c>
      <c r="G14021" s="6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  <c r="N14021" s="6">
        <f>IF(OR($G14021="FCC",$G14021="Hydrocracker",$G14021="Reformer"),IF(COUNTIFS($D:$D,$D14021,$A:$A,$A14021,$B:$B,$B14021,$G:$G,"CDU",$J:$J,"PLANNED")&gt;0,"tied","standalone"),"")</f>
        <v/>
      </c>
    </row>
    <row r="14022" spans="6:14">
      <c r="F14022" s="6">
        <f>IF($M14022="PADD I","PADD 1",IF($M14022="PADD II","PADD 2",IF($M14022="PADD III","PADD 3",IF($M14022="PADD IV","PADD 4",IF($M14022="PADD V","PADD 5","")))))</f>
        <v/>
      </c>
      <c r="G14022" s="6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  <c r="N14022" s="6">
        <f>IF(OR($G14022="FCC",$G14022="Hydrocracker",$G14022="Reformer"),IF(COUNTIFS($D:$D,$D14022,$A:$A,$A14022,$B:$B,$B14022,$G:$G,"CDU",$J:$J,"PLANNED")&gt;0,"tied","standalone"),"")</f>
        <v/>
      </c>
    </row>
    <row r="14023" spans="6:14">
      <c r="F14023" s="6">
        <f>IF($M14023="PADD I","PADD 1",IF($M14023="PADD II","PADD 2",IF($M14023="PADD III","PADD 3",IF($M14023="PADD IV","PADD 4",IF($M14023="PADD V","PADD 5","")))))</f>
        <v/>
      </c>
      <c r="G14023" s="6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  <c r="N14023" s="6">
        <f>IF(OR($G14023="FCC",$G14023="Hydrocracker",$G14023="Reformer"),IF(COUNTIFS($D:$D,$D14023,$A:$A,$A14023,$B:$B,$B14023,$G:$G,"CDU",$J:$J,"PLANNED")&gt;0,"tied","standalone"),"")</f>
        <v/>
      </c>
    </row>
    <row r="14024" spans="6:14">
      <c r="F14024" s="6">
        <f>IF($M14024="PADD I","PADD 1",IF($M14024="PADD II","PADD 2",IF($M14024="PADD III","PADD 3",IF($M14024="PADD IV","PADD 4",IF($M14024="PADD V","PADD 5","")))))</f>
        <v/>
      </c>
      <c r="G14024" s="6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  <c r="N14024" s="6">
        <f>IF(OR($G14024="FCC",$G14024="Hydrocracker",$G14024="Reformer"),IF(COUNTIFS($D:$D,$D14024,$A:$A,$A14024,$B:$B,$B14024,$G:$G,"CDU",$J:$J,"PLANNED")&gt;0,"tied","standalone"),"")</f>
        <v/>
      </c>
    </row>
    <row r="14025" spans="6:14">
      <c r="F14025" s="6">
        <f>IF($M14025="PADD I","PADD 1",IF($M14025="PADD II","PADD 2",IF($M14025="PADD III","PADD 3",IF($M14025="PADD IV","PADD 4",IF($M14025="PADD V","PADD 5","")))))</f>
        <v/>
      </c>
      <c r="G14025" s="6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  <c r="N14025" s="6">
        <f>IF(OR($G14025="FCC",$G14025="Hydrocracker",$G14025="Reformer"),IF(COUNTIFS($D:$D,$D14025,$A:$A,$A14025,$B:$B,$B14025,$G:$G,"CDU",$J:$J,"PLANNED")&gt;0,"tied","standalone"),"")</f>
        <v/>
      </c>
    </row>
    <row r="14026" spans="6:14">
      <c r="F14026" s="6">
        <f>IF($M14026="PADD I","PADD 1",IF($M14026="PADD II","PADD 2",IF($M14026="PADD III","PADD 3",IF($M14026="PADD IV","PADD 4",IF($M14026="PADD V","PADD 5","")))))</f>
        <v/>
      </c>
      <c r="G14026" s="6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  <c r="N14026" s="6">
        <f>IF(OR($G14026="FCC",$G14026="Hydrocracker",$G14026="Reformer"),IF(COUNTIFS($D:$D,$D14026,$A:$A,$A14026,$B:$B,$B14026,$G:$G,"CDU",$J:$J,"PLANNED")&gt;0,"tied","standalone"),"")</f>
        <v/>
      </c>
    </row>
    <row r="14027" spans="6:14">
      <c r="F14027" s="6">
        <f>IF($M14027="PADD I","PADD 1",IF($M14027="PADD II","PADD 2",IF($M14027="PADD III","PADD 3",IF($M14027="PADD IV","PADD 4",IF($M14027="PADD V","PADD 5","")))))</f>
        <v/>
      </c>
      <c r="G14027" s="6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  <c r="N14027" s="6">
        <f>IF(OR($G14027="FCC",$G14027="Hydrocracker",$G14027="Reformer"),IF(COUNTIFS($D:$D,$D14027,$A:$A,$A14027,$B:$B,$B14027,$G:$G,"CDU",$J:$J,"PLANNED")&gt;0,"tied","standalone"),"")</f>
        <v/>
      </c>
    </row>
    <row r="14028" spans="6:14">
      <c r="F14028" s="6">
        <f>IF($M14028="PADD I","PADD 1",IF($M14028="PADD II","PADD 2",IF($M14028="PADD III","PADD 3",IF($M14028="PADD IV","PADD 4",IF($M14028="PADD V","PADD 5","")))))</f>
        <v/>
      </c>
      <c r="G14028" s="6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  <c r="N14028" s="6">
        <f>IF(OR($G14028="FCC",$G14028="Hydrocracker",$G14028="Reformer"),IF(COUNTIFS($D:$D,$D14028,$A:$A,$A14028,$B:$B,$B14028,$G:$G,"CDU",$J:$J,"PLANNED")&gt;0,"tied","standalone"),"")</f>
        <v/>
      </c>
    </row>
    <row r="14029" spans="6:14">
      <c r="F14029" s="6">
        <f>IF($M14029="PADD I","PADD 1",IF($M14029="PADD II","PADD 2",IF($M14029="PADD III","PADD 3",IF($M14029="PADD IV","PADD 4",IF($M14029="PADD V","PADD 5","")))))</f>
        <v/>
      </c>
      <c r="G14029" s="6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  <c r="N14029" s="6">
        <f>IF(OR($G14029="FCC",$G14029="Hydrocracker",$G14029="Reformer"),IF(COUNTIFS($D:$D,$D14029,$A:$A,$A14029,$B:$B,$B14029,$G:$G,"CDU",$J:$J,"PLANNED")&gt;0,"tied","standalone"),"")</f>
        <v/>
      </c>
    </row>
    <row r="14030" spans="6:14">
      <c r="F14030" s="6">
        <f>IF($M14030="PADD I","PADD 1",IF($M14030="PADD II","PADD 2",IF($M14030="PADD III","PADD 3",IF($M14030="PADD IV","PADD 4",IF($M14030="PADD V","PADD 5","")))))</f>
        <v/>
      </c>
      <c r="G14030" s="6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  <c r="N14030" s="6">
        <f>IF(OR($G14030="FCC",$G14030="Hydrocracker",$G14030="Reformer"),IF(COUNTIFS($D:$D,$D14030,$A:$A,$A14030,$B:$B,$B14030,$G:$G,"CDU",$J:$J,"PLANNED")&gt;0,"tied","standalone"),"")</f>
        <v/>
      </c>
    </row>
    <row r="14031" spans="6:14">
      <c r="F14031" s="6">
        <f>IF($M14031="PADD I","PADD 1",IF($M14031="PADD II","PADD 2",IF($M14031="PADD III","PADD 3",IF($M14031="PADD IV","PADD 4",IF($M14031="PADD V","PADD 5","")))))</f>
        <v/>
      </c>
      <c r="G14031" s="6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  <c r="N14031" s="6">
        <f>IF(OR($G14031="FCC",$G14031="Hydrocracker",$G14031="Reformer"),IF(COUNTIFS($D:$D,$D14031,$A:$A,$A14031,$B:$B,$B14031,$G:$G,"CDU",$J:$J,"PLANNED")&gt;0,"tied","standalone"),"")</f>
        <v/>
      </c>
    </row>
    <row r="14032" spans="6:14">
      <c r="F14032" s="6">
        <f>IF($M14032="PADD I","PADD 1",IF($M14032="PADD II","PADD 2",IF($M14032="PADD III","PADD 3",IF($M14032="PADD IV","PADD 4",IF($M14032="PADD V","PADD 5","")))))</f>
        <v/>
      </c>
      <c r="G14032" s="6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  <c r="N14032" s="6">
        <f>IF(OR($G14032="FCC",$G14032="Hydrocracker",$G14032="Reformer"),IF(COUNTIFS($D:$D,$D14032,$A:$A,$A14032,$B:$B,$B14032,$G:$G,"CDU",$J:$J,"PLANNED")&gt;0,"tied","standalone"),"")</f>
        <v/>
      </c>
    </row>
    <row r="14033" spans="6:14">
      <c r="F14033" s="6">
        <f>IF($M14033="PADD I","PADD 1",IF($M14033="PADD II","PADD 2",IF($M14033="PADD III","PADD 3",IF($M14033="PADD IV","PADD 4",IF($M14033="PADD V","PADD 5","")))))</f>
        <v/>
      </c>
      <c r="G14033" s="6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  <c r="N14033" s="6">
        <f>IF(OR($G14033="FCC",$G14033="Hydrocracker",$G14033="Reformer"),IF(COUNTIFS($D:$D,$D14033,$A:$A,$A14033,$B:$B,$B14033,$G:$G,"CDU",$J:$J,"PLANNED")&gt;0,"tied","standalone"),"")</f>
        <v/>
      </c>
    </row>
    <row r="14034" spans="6:14">
      <c r="F14034" s="6">
        <f>IF($M14034="PADD I","PADD 1",IF($M14034="PADD II","PADD 2",IF($M14034="PADD III","PADD 3",IF($M14034="PADD IV","PADD 4",IF($M14034="PADD V","PADD 5","")))))</f>
        <v/>
      </c>
      <c r="G14034" s="6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  <c r="N14034" s="6">
        <f>IF(OR($G14034="FCC",$G14034="Hydrocracker",$G14034="Reformer"),IF(COUNTIFS($D:$D,$D14034,$A:$A,$A14034,$B:$B,$B14034,$G:$G,"CDU",$J:$J,"PLANNED")&gt;0,"tied","standalone"),"")</f>
        <v/>
      </c>
    </row>
    <row r="14035" spans="6:14">
      <c r="F14035" s="6">
        <f>IF($M14035="PADD I","PADD 1",IF($M14035="PADD II","PADD 2",IF($M14035="PADD III","PADD 3",IF($M14035="PADD IV","PADD 4",IF($M14035="PADD V","PADD 5","")))))</f>
        <v/>
      </c>
      <c r="G14035" s="6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  <c r="N14035" s="6">
        <f>IF(OR($G14035="FCC",$G14035="Hydrocracker",$G14035="Reformer"),IF(COUNTIFS($D:$D,$D14035,$A:$A,$A14035,$B:$B,$B14035,$G:$G,"CDU",$J:$J,"PLANNED")&gt;0,"tied","standalone"),"")</f>
        <v/>
      </c>
    </row>
    <row r="14036" spans="6:14">
      <c r="F14036" s="6">
        <f>IF($M14036="PADD I","PADD 1",IF($M14036="PADD II","PADD 2",IF($M14036="PADD III","PADD 3",IF($M14036="PADD IV","PADD 4",IF($M14036="PADD V","PADD 5","")))))</f>
        <v/>
      </c>
      <c r="G14036" s="6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  <c r="N14036" s="6">
        <f>IF(OR($G14036="FCC",$G14036="Hydrocracker",$G14036="Reformer"),IF(COUNTIFS($D:$D,$D14036,$A:$A,$A14036,$B:$B,$B14036,$G:$G,"CDU",$J:$J,"PLANNED")&gt;0,"tied","standalone"),"")</f>
        <v/>
      </c>
    </row>
    <row r="14037" spans="6:14">
      <c r="F14037" s="6">
        <f>IF($M14037="PADD I","PADD 1",IF($M14037="PADD II","PADD 2",IF($M14037="PADD III","PADD 3",IF($M14037="PADD IV","PADD 4",IF($M14037="PADD V","PADD 5","")))))</f>
        <v/>
      </c>
      <c r="G14037" s="6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  <c r="N14037" s="6">
        <f>IF(OR($G14037="FCC",$G14037="Hydrocracker",$G14037="Reformer"),IF(COUNTIFS($D:$D,$D14037,$A:$A,$A14037,$B:$B,$B14037,$G:$G,"CDU",$J:$J,"PLANNED")&gt;0,"tied","standalone"),"")</f>
        <v/>
      </c>
    </row>
    <row r="14038" spans="6:14">
      <c r="F14038" s="6">
        <f>IF($M14038="PADD I","PADD 1",IF($M14038="PADD II","PADD 2",IF($M14038="PADD III","PADD 3",IF($M14038="PADD IV","PADD 4",IF($M14038="PADD V","PADD 5","")))))</f>
        <v/>
      </c>
      <c r="G14038" s="6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  <c r="N14038" s="6">
        <f>IF(OR($G14038="FCC",$G14038="Hydrocracker",$G14038="Reformer"),IF(COUNTIFS($D:$D,$D14038,$A:$A,$A14038,$B:$B,$B14038,$G:$G,"CDU",$J:$J,"PLANNED")&gt;0,"tied","standalone"),"")</f>
        <v/>
      </c>
    </row>
    <row r="14039" spans="6:14">
      <c r="F14039" s="6">
        <f>IF($M14039="PADD I","PADD 1",IF($M14039="PADD II","PADD 2",IF($M14039="PADD III","PADD 3",IF($M14039="PADD IV","PADD 4",IF($M14039="PADD V","PADD 5","")))))</f>
        <v/>
      </c>
      <c r="G14039" s="6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  <c r="N14039" s="6">
        <f>IF(OR($G14039="FCC",$G14039="Hydrocracker",$G14039="Reformer"),IF(COUNTIFS($D:$D,$D14039,$A:$A,$A14039,$B:$B,$B14039,$G:$G,"CDU",$J:$J,"PLANNED")&gt;0,"tied","standalone"),"")</f>
        <v/>
      </c>
    </row>
    <row r="14040" spans="6:14">
      <c r="F14040" s="6">
        <f>IF($M14040="PADD I","PADD 1",IF($M14040="PADD II","PADD 2",IF($M14040="PADD III","PADD 3",IF($M14040="PADD IV","PADD 4",IF($M14040="PADD V","PADD 5","")))))</f>
        <v/>
      </c>
      <c r="G14040" s="6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  <c r="N14040" s="6">
        <f>IF(OR($G14040="FCC",$G14040="Hydrocracker",$G14040="Reformer"),IF(COUNTIFS($D:$D,$D14040,$A:$A,$A14040,$B:$B,$B14040,$G:$G,"CDU",$J:$J,"PLANNED")&gt;0,"tied","standalone"),"")</f>
        <v/>
      </c>
    </row>
    <row r="14041" spans="6:14">
      <c r="F14041" s="6">
        <f>IF($M14041="PADD I","PADD 1",IF($M14041="PADD II","PADD 2",IF($M14041="PADD III","PADD 3",IF($M14041="PADD IV","PADD 4",IF($M14041="PADD V","PADD 5","")))))</f>
        <v/>
      </c>
      <c r="G14041" s="6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  <c r="N14041" s="6">
        <f>IF(OR($G14041="FCC",$G14041="Hydrocracker",$G14041="Reformer"),IF(COUNTIFS($D:$D,$D14041,$A:$A,$A14041,$B:$B,$B14041,$G:$G,"CDU",$J:$J,"PLANNED")&gt;0,"tied","standalone"),"")</f>
        <v/>
      </c>
    </row>
    <row r="14042" spans="6:14">
      <c r="F14042" s="6">
        <f>IF($M14042="PADD I","PADD 1",IF($M14042="PADD II","PADD 2",IF($M14042="PADD III","PADD 3",IF($M14042="PADD IV","PADD 4",IF($M14042="PADD V","PADD 5","")))))</f>
        <v/>
      </c>
      <c r="G14042" s="6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  <c r="N14042" s="6">
        <f>IF(OR($G14042="FCC",$G14042="Hydrocracker",$G14042="Reformer"),IF(COUNTIFS($D:$D,$D14042,$A:$A,$A14042,$B:$B,$B14042,$G:$G,"CDU",$J:$J,"PLANNED")&gt;0,"tied","standalone"),"")</f>
        <v/>
      </c>
    </row>
    <row r="14043" spans="6:14">
      <c r="F14043" s="6">
        <f>IF($M14043="PADD I","PADD 1",IF($M14043="PADD II","PADD 2",IF($M14043="PADD III","PADD 3",IF($M14043="PADD IV","PADD 4",IF($M14043="PADD V","PADD 5","")))))</f>
        <v/>
      </c>
      <c r="G14043" s="6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  <c r="N14043" s="6">
        <f>IF(OR($G14043="FCC",$G14043="Hydrocracker",$G14043="Reformer"),IF(COUNTIFS($D:$D,$D14043,$A:$A,$A14043,$B:$B,$B14043,$G:$G,"CDU",$J:$J,"PLANNED")&gt;0,"tied","standalone"),"")</f>
        <v/>
      </c>
    </row>
    <row r="14044" spans="6:14">
      <c r="F14044" s="6">
        <f>IF($M14044="PADD I","PADD 1",IF($M14044="PADD II","PADD 2",IF($M14044="PADD III","PADD 3",IF($M14044="PADD IV","PADD 4",IF($M14044="PADD V","PADD 5","")))))</f>
        <v/>
      </c>
      <c r="G14044" s="6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  <c r="N14044" s="6">
        <f>IF(OR($G14044="FCC",$G14044="Hydrocracker",$G14044="Reformer"),IF(COUNTIFS($D:$D,$D14044,$A:$A,$A14044,$B:$B,$B14044,$G:$G,"CDU",$J:$J,"PLANNED")&gt;0,"tied","standalone"),"")</f>
        <v/>
      </c>
    </row>
    <row r="14045" spans="6:14">
      <c r="F14045" s="6">
        <f>IF($M14045="PADD I","PADD 1",IF($M14045="PADD II","PADD 2",IF($M14045="PADD III","PADD 3",IF($M14045="PADD IV","PADD 4",IF($M14045="PADD V","PADD 5","")))))</f>
        <v/>
      </c>
      <c r="G14045" s="6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  <c r="N14045" s="6">
        <f>IF(OR($G14045="FCC",$G14045="Hydrocracker",$G14045="Reformer"),IF(COUNTIFS($D:$D,$D14045,$A:$A,$A14045,$B:$B,$B14045,$G:$G,"CDU",$J:$J,"PLANNED")&gt;0,"tied","standalone"),"")</f>
        <v/>
      </c>
    </row>
    <row r="14046" spans="6:14">
      <c r="F14046" s="6">
        <f>IF($M14046="PADD I","PADD 1",IF($M14046="PADD II","PADD 2",IF($M14046="PADD III","PADD 3",IF($M14046="PADD IV","PADD 4",IF($M14046="PADD V","PADD 5","")))))</f>
        <v/>
      </c>
      <c r="G14046" s="6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  <c r="N14046" s="6">
        <f>IF(OR($G14046="FCC",$G14046="Hydrocracker",$G14046="Reformer"),IF(COUNTIFS($D:$D,$D14046,$A:$A,$A14046,$B:$B,$B14046,$G:$G,"CDU",$J:$J,"PLANNED")&gt;0,"tied","standalone"),"")</f>
        <v/>
      </c>
    </row>
    <row r="14047" spans="6:14">
      <c r="F14047" s="6">
        <f>IF($M14047="PADD I","PADD 1",IF($M14047="PADD II","PADD 2",IF($M14047="PADD III","PADD 3",IF($M14047="PADD IV","PADD 4",IF($M14047="PADD V","PADD 5","")))))</f>
        <v/>
      </c>
      <c r="G14047" s="6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  <c r="N14047" s="6">
        <f>IF(OR($G14047="FCC",$G14047="Hydrocracker",$G14047="Reformer"),IF(COUNTIFS($D:$D,$D14047,$A:$A,$A14047,$B:$B,$B14047,$G:$G,"CDU",$J:$J,"PLANNED")&gt;0,"tied","standalone"),"")</f>
        <v/>
      </c>
    </row>
    <row r="14048" spans="6:14">
      <c r="F14048" s="6">
        <f>IF($M14048="PADD I","PADD 1",IF($M14048="PADD II","PADD 2",IF($M14048="PADD III","PADD 3",IF($M14048="PADD IV","PADD 4",IF($M14048="PADD V","PADD 5","")))))</f>
        <v/>
      </c>
      <c r="G14048" s="6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  <c r="N14048" s="6">
        <f>IF(OR($G14048="FCC",$G14048="Hydrocracker",$G14048="Reformer"),IF(COUNTIFS($D:$D,$D14048,$A:$A,$A14048,$B:$B,$B14048,$G:$G,"CDU",$J:$J,"PLANNED")&gt;0,"tied","standalone"),"")</f>
        <v/>
      </c>
    </row>
    <row r="14049" spans="6:14">
      <c r="F14049" s="6">
        <f>IF($M14049="PADD I","PADD 1",IF($M14049="PADD II","PADD 2",IF($M14049="PADD III","PADD 3",IF($M14049="PADD IV","PADD 4",IF($M14049="PADD V","PADD 5","")))))</f>
        <v/>
      </c>
      <c r="G14049" s="6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  <c r="N14049" s="6">
        <f>IF(OR($G14049="FCC",$G14049="Hydrocracker",$G14049="Reformer"),IF(COUNTIFS($D:$D,$D14049,$A:$A,$A14049,$B:$B,$B14049,$G:$G,"CDU",$J:$J,"PLANNED")&gt;0,"tied","standalone"),"")</f>
        <v/>
      </c>
    </row>
    <row r="14050" spans="6:14">
      <c r="F14050" s="6">
        <f>IF($M14050="PADD I","PADD 1",IF($M14050="PADD II","PADD 2",IF($M14050="PADD III","PADD 3",IF($M14050="PADD IV","PADD 4",IF($M14050="PADD V","PADD 5","")))))</f>
        <v/>
      </c>
      <c r="G14050" s="6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  <c r="N14050" s="6">
        <f>IF(OR($G14050="FCC",$G14050="Hydrocracker",$G14050="Reformer"),IF(COUNTIFS($D:$D,$D14050,$A:$A,$A14050,$B:$B,$B14050,$G:$G,"CDU",$J:$J,"PLANNED")&gt;0,"tied","standalone"),"")</f>
        <v/>
      </c>
    </row>
    <row r="14051" spans="6:14">
      <c r="F14051" s="6">
        <f>IF($M14051="PADD I","PADD 1",IF($M14051="PADD II","PADD 2",IF($M14051="PADD III","PADD 3",IF($M14051="PADD IV","PADD 4",IF($M14051="PADD V","PADD 5","")))))</f>
        <v/>
      </c>
      <c r="G14051" s="6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  <c r="N14051" s="6">
        <f>IF(OR($G14051="FCC",$G14051="Hydrocracker",$G14051="Reformer"),IF(COUNTIFS($D:$D,$D14051,$A:$A,$A14051,$B:$B,$B14051,$G:$G,"CDU",$J:$J,"PLANNED")&gt;0,"tied","standalone"),"")</f>
        <v/>
      </c>
    </row>
    <row r="14052" spans="6:14">
      <c r="F14052" s="6">
        <f>IF($M14052="PADD I","PADD 1",IF($M14052="PADD II","PADD 2",IF($M14052="PADD III","PADD 3",IF($M14052="PADD IV","PADD 4",IF($M14052="PADD V","PADD 5","")))))</f>
        <v/>
      </c>
      <c r="G14052" s="6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  <c r="N14052" s="6">
        <f>IF(OR($G14052="FCC",$G14052="Hydrocracker",$G14052="Reformer"),IF(COUNTIFS($D:$D,$D14052,$A:$A,$A14052,$B:$B,$B14052,$G:$G,"CDU",$J:$J,"PLANNED")&gt;0,"tied","standalone"),"")</f>
        <v/>
      </c>
    </row>
    <row r="14053" spans="6:14">
      <c r="F14053" s="6">
        <f>IF($M14053="PADD I","PADD 1",IF($M14053="PADD II","PADD 2",IF($M14053="PADD III","PADD 3",IF($M14053="PADD IV","PADD 4",IF($M14053="PADD V","PADD 5","")))))</f>
        <v/>
      </c>
      <c r="G14053" s="6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  <c r="N14053" s="6">
        <f>IF(OR($G14053="FCC",$G14053="Hydrocracker",$G14053="Reformer"),IF(COUNTIFS($D:$D,$D14053,$A:$A,$A14053,$B:$B,$B14053,$G:$G,"CDU",$J:$J,"PLANNED")&gt;0,"tied","standalone"),"")</f>
        <v/>
      </c>
    </row>
    <row r="14054" spans="6:14">
      <c r="F14054" s="6">
        <f>IF($M14054="PADD I","PADD 1",IF($M14054="PADD II","PADD 2",IF($M14054="PADD III","PADD 3",IF($M14054="PADD IV","PADD 4",IF($M14054="PADD V","PADD 5","")))))</f>
        <v/>
      </c>
      <c r="G14054" s="6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  <c r="N14054" s="6">
        <f>IF(OR($G14054="FCC",$G14054="Hydrocracker",$G14054="Reformer"),IF(COUNTIFS($D:$D,$D14054,$A:$A,$A14054,$B:$B,$B14054,$G:$G,"CDU",$J:$J,"PLANNED")&gt;0,"tied","standalone"),"")</f>
        <v/>
      </c>
    </row>
    <row r="14055" spans="6:14">
      <c r="F14055" s="6">
        <f>IF($M14055="PADD I","PADD 1",IF($M14055="PADD II","PADD 2",IF($M14055="PADD III","PADD 3",IF($M14055="PADD IV","PADD 4",IF($M14055="PADD V","PADD 5","")))))</f>
        <v/>
      </c>
      <c r="G14055" s="6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  <c r="N14055" s="6">
        <f>IF(OR($G14055="FCC",$G14055="Hydrocracker",$G14055="Reformer"),IF(COUNTIFS($D:$D,$D14055,$A:$A,$A14055,$B:$B,$B14055,$G:$G,"CDU",$J:$J,"PLANNED")&gt;0,"tied","standalone"),"")</f>
        <v/>
      </c>
    </row>
    <row r="14056" spans="6:14">
      <c r="F14056" s="6">
        <f>IF($M14056="PADD I","PADD 1",IF($M14056="PADD II","PADD 2",IF($M14056="PADD III","PADD 3",IF($M14056="PADD IV","PADD 4",IF($M14056="PADD V","PADD 5","")))))</f>
        <v/>
      </c>
      <c r="G14056" s="6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  <c r="N14056" s="6">
        <f>IF(OR($G14056="FCC",$G14056="Hydrocracker",$G14056="Reformer"),IF(COUNTIFS($D:$D,$D14056,$A:$A,$A14056,$B:$B,$B14056,$G:$G,"CDU",$J:$J,"PLANNED")&gt;0,"tied","standalone"),"")</f>
        <v/>
      </c>
    </row>
    <row r="14057" spans="6:14">
      <c r="F14057" s="6">
        <f>IF($M14057="PADD I","PADD 1",IF($M14057="PADD II","PADD 2",IF($M14057="PADD III","PADD 3",IF($M14057="PADD IV","PADD 4",IF($M14057="PADD V","PADD 5","")))))</f>
        <v/>
      </c>
      <c r="G14057" s="6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  <c r="N14057" s="6">
        <f>IF(OR($G14057="FCC",$G14057="Hydrocracker",$G14057="Reformer"),IF(COUNTIFS($D:$D,$D14057,$A:$A,$A14057,$B:$B,$B14057,$G:$G,"CDU",$J:$J,"PLANNED")&gt;0,"tied","standalone"),"")</f>
        <v/>
      </c>
    </row>
    <row r="14058" spans="6:14">
      <c r="F14058" s="6">
        <f>IF($M14058="PADD I","PADD 1",IF($M14058="PADD II","PADD 2",IF($M14058="PADD III","PADD 3",IF($M14058="PADD IV","PADD 4",IF($M14058="PADD V","PADD 5","")))))</f>
        <v/>
      </c>
      <c r="G14058" s="6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  <c r="N14058" s="6">
        <f>IF(OR($G14058="FCC",$G14058="Hydrocracker",$G14058="Reformer"),IF(COUNTIFS($D:$D,$D14058,$A:$A,$A14058,$B:$B,$B14058,$G:$G,"CDU",$J:$J,"PLANNED")&gt;0,"tied","standalone"),"")</f>
        <v/>
      </c>
    </row>
    <row r="14059" spans="6:14">
      <c r="F14059" s="6">
        <f>IF($M14059="PADD I","PADD 1",IF($M14059="PADD II","PADD 2",IF($M14059="PADD III","PADD 3",IF($M14059="PADD IV","PADD 4",IF($M14059="PADD V","PADD 5","")))))</f>
        <v/>
      </c>
      <c r="G14059" s="6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  <c r="N14059" s="6">
        <f>IF(OR($G14059="FCC",$G14059="Hydrocracker",$G14059="Reformer"),IF(COUNTIFS($D:$D,$D14059,$A:$A,$A14059,$B:$B,$B14059,$G:$G,"CDU",$J:$J,"PLANNED")&gt;0,"tied","standalone"),"")</f>
        <v/>
      </c>
    </row>
    <row r="14060" spans="6:14">
      <c r="F14060" s="6">
        <f>IF($M14060="PADD I","PADD 1",IF($M14060="PADD II","PADD 2",IF($M14060="PADD III","PADD 3",IF($M14060="PADD IV","PADD 4",IF($M14060="PADD V","PADD 5","")))))</f>
        <v/>
      </c>
      <c r="G14060" s="6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  <c r="N14060" s="6">
        <f>IF(OR($G14060="FCC",$G14060="Hydrocracker",$G14060="Reformer"),IF(COUNTIFS($D:$D,$D14060,$A:$A,$A14060,$B:$B,$B14060,$G:$G,"CDU",$J:$J,"PLANNED")&gt;0,"tied","standalone"),"")</f>
        <v/>
      </c>
    </row>
    <row r="14061" spans="6:14">
      <c r="F14061" s="6">
        <f>IF($M14061="PADD I","PADD 1",IF($M14061="PADD II","PADD 2",IF($M14061="PADD III","PADD 3",IF($M14061="PADD IV","PADD 4",IF($M14061="PADD V","PADD 5","")))))</f>
        <v/>
      </c>
      <c r="G14061" s="6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  <c r="N14061" s="6">
        <f>IF(OR($G14061="FCC",$G14061="Hydrocracker",$G14061="Reformer"),IF(COUNTIFS($D:$D,$D14061,$A:$A,$A14061,$B:$B,$B14061,$G:$G,"CDU",$J:$J,"PLANNED")&gt;0,"tied","standalone"),"")</f>
        <v/>
      </c>
    </row>
    <row r="14062" spans="6:14">
      <c r="F14062" s="6">
        <f>IF($M14062="PADD I","PADD 1",IF($M14062="PADD II","PADD 2",IF($M14062="PADD III","PADD 3",IF($M14062="PADD IV","PADD 4",IF($M14062="PADD V","PADD 5","")))))</f>
        <v/>
      </c>
      <c r="G14062" s="6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  <c r="N14062" s="6">
        <f>IF(OR($G14062="FCC",$G14062="Hydrocracker",$G14062="Reformer"),IF(COUNTIFS($D:$D,$D14062,$A:$A,$A14062,$B:$B,$B14062,$G:$G,"CDU",$J:$J,"PLANNED")&gt;0,"tied","standalone"),"")</f>
        <v/>
      </c>
    </row>
    <row r="14063" spans="6:14">
      <c r="F14063" s="6">
        <f>IF($M14063="PADD I","PADD 1",IF($M14063="PADD II","PADD 2",IF($M14063="PADD III","PADD 3",IF($M14063="PADD IV","PADD 4",IF($M14063="PADD V","PADD 5","")))))</f>
        <v/>
      </c>
      <c r="G14063" s="6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  <c r="N14063" s="6">
        <f>IF(OR($G14063="FCC",$G14063="Hydrocracker",$G14063="Reformer"),IF(COUNTIFS($D:$D,$D14063,$A:$A,$A14063,$B:$B,$B14063,$G:$G,"CDU",$J:$J,"PLANNED")&gt;0,"tied","standalone"),"")</f>
        <v/>
      </c>
    </row>
    <row r="14064" spans="6:14">
      <c r="F14064" s="6">
        <f>IF($M14064="PADD I","PADD 1",IF($M14064="PADD II","PADD 2",IF($M14064="PADD III","PADD 3",IF($M14064="PADD IV","PADD 4",IF($M14064="PADD V","PADD 5","")))))</f>
        <v/>
      </c>
      <c r="G14064" s="6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  <c r="N14064" s="6">
        <f>IF(OR($G14064="FCC",$G14064="Hydrocracker",$G14064="Reformer"),IF(COUNTIFS($D:$D,$D14064,$A:$A,$A14064,$B:$B,$B14064,$G:$G,"CDU",$J:$J,"PLANNED")&gt;0,"tied","standalone"),"")</f>
        <v/>
      </c>
    </row>
    <row r="14065" spans="6:14">
      <c r="F14065" s="6">
        <f>IF($M14065="PADD I","PADD 1",IF($M14065="PADD II","PADD 2",IF($M14065="PADD III","PADD 3",IF($M14065="PADD IV","PADD 4",IF($M14065="PADD V","PADD 5","")))))</f>
        <v/>
      </c>
      <c r="G14065" s="6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  <c r="N14065" s="6">
        <f>IF(OR($G14065="FCC",$G14065="Hydrocracker",$G14065="Reformer"),IF(COUNTIFS($D:$D,$D14065,$A:$A,$A14065,$B:$B,$B14065,$G:$G,"CDU",$J:$J,"PLANNED")&gt;0,"tied","standalone"),"")</f>
        <v/>
      </c>
    </row>
    <row r="14066" spans="6:14">
      <c r="F14066" s="6">
        <f>IF($M14066="PADD I","PADD 1",IF($M14066="PADD II","PADD 2",IF($M14066="PADD III","PADD 3",IF($M14066="PADD IV","PADD 4",IF($M14066="PADD V","PADD 5","")))))</f>
        <v/>
      </c>
      <c r="G14066" s="6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  <c r="N14066" s="6">
        <f>IF(OR($G14066="FCC",$G14066="Hydrocracker",$G14066="Reformer"),IF(COUNTIFS($D:$D,$D14066,$A:$A,$A14066,$B:$B,$B14066,$G:$G,"CDU",$J:$J,"PLANNED")&gt;0,"tied","standalone"),"")</f>
        <v/>
      </c>
    </row>
    <row r="14067" spans="6:14">
      <c r="F14067" s="6">
        <f>IF($M14067="PADD I","PADD 1",IF($M14067="PADD II","PADD 2",IF($M14067="PADD III","PADD 3",IF($M14067="PADD IV","PADD 4",IF($M14067="PADD V","PADD 5","")))))</f>
        <v/>
      </c>
      <c r="G14067" s="6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  <c r="N14067" s="6">
        <f>IF(OR($G14067="FCC",$G14067="Hydrocracker",$G14067="Reformer"),IF(COUNTIFS($D:$D,$D14067,$A:$A,$A14067,$B:$B,$B14067,$G:$G,"CDU",$J:$J,"PLANNED")&gt;0,"tied","standalone"),"")</f>
        <v/>
      </c>
    </row>
    <row r="14068" spans="6:14">
      <c r="F14068" s="6">
        <f>IF($M14068="PADD I","PADD 1",IF($M14068="PADD II","PADD 2",IF($M14068="PADD III","PADD 3",IF($M14068="PADD IV","PADD 4",IF($M14068="PADD V","PADD 5","")))))</f>
        <v/>
      </c>
      <c r="G14068" s="6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  <c r="N14068" s="6">
        <f>IF(OR($G14068="FCC",$G14068="Hydrocracker",$G14068="Reformer"),IF(COUNTIFS($D:$D,$D14068,$A:$A,$A14068,$B:$B,$B14068,$G:$G,"CDU",$J:$J,"PLANNED")&gt;0,"tied","standalone"),"")</f>
        <v/>
      </c>
    </row>
    <row r="14069" spans="6:14">
      <c r="F14069" s="6">
        <f>IF($M14069="PADD I","PADD 1",IF($M14069="PADD II","PADD 2",IF($M14069="PADD III","PADD 3",IF($M14069="PADD IV","PADD 4",IF($M14069="PADD V","PADD 5","")))))</f>
        <v/>
      </c>
      <c r="G14069" s="6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  <c r="N14069" s="6">
        <f>IF(OR($G14069="FCC",$G14069="Hydrocracker",$G14069="Reformer"),IF(COUNTIFS($D:$D,$D14069,$A:$A,$A14069,$B:$B,$B14069,$G:$G,"CDU",$J:$J,"PLANNED")&gt;0,"tied","standalone"),"")</f>
        <v/>
      </c>
    </row>
    <row r="14070" spans="6:14">
      <c r="F14070" s="6">
        <f>IF($M14070="PADD I","PADD 1",IF($M14070="PADD II","PADD 2",IF($M14070="PADD III","PADD 3",IF($M14070="PADD IV","PADD 4",IF($M14070="PADD V","PADD 5","")))))</f>
        <v/>
      </c>
      <c r="G14070" s="6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  <c r="N14070" s="6">
        <f>IF(OR($G14070="FCC",$G14070="Hydrocracker",$G14070="Reformer"),IF(COUNTIFS($D:$D,$D14070,$A:$A,$A14070,$B:$B,$B14070,$G:$G,"CDU",$J:$J,"PLANNED")&gt;0,"tied","standalone"),"")</f>
        <v/>
      </c>
    </row>
    <row r="14071" spans="6:14">
      <c r="F14071" s="6">
        <f>IF($M14071="PADD I","PADD 1",IF($M14071="PADD II","PADD 2",IF($M14071="PADD III","PADD 3",IF($M14071="PADD IV","PADD 4",IF($M14071="PADD V","PADD 5","")))))</f>
        <v/>
      </c>
      <c r="G14071" s="6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  <c r="N14071" s="6">
        <f>IF(OR($G14071="FCC",$G14071="Hydrocracker",$G14071="Reformer"),IF(COUNTIFS($D:$D,$D14071,$A:$A,$A14071,$B:$B,$B14071,$G:$G,"CDU",$J:$J,"PLANNED")&gt;0,"tied","standalone"),"")</f>
        <v/>
      </c>
    </row>
    <row r="14072" spans="6:14">
      <c r="F14072" s="6">
        <f>IF($M14072="PADD I","PADD 1",IF($M14072="PADD II","PADD 2",IF($M14072="PADD III","PADD 3",IF($M14072="PADD IV","PADD 4",IF($M14072="PADD V","PADD 5","")))))</f>
        <v/>
      </c>
      <c r="G14072" s="6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  <c r="N14072" s="6">
        <f>IF(OR($G14072="FCC",$G14072="Hydrocracker",$G14072="Reformer"),IF(COUNTIFS($D:$D,$D14072,$A:$A,$A14072,$B:$B,$B14072,$G:$G,"CDU",$J:$J,"PLANNED")&gt;0,"tied","standalone"),"")</f>
        <v/>
      </c>
    </row>
    <row r="14073" spans="6:14">
      <c r="F14073" s="6">
        <f>IF($M14073="PADD I","PADD 1",IF($M14073="PADD II","PADD 2",IF($M14073="PADD III","PADD 3",IF($M14073="PADD IV","PADD 4",IF($M14073="PADD V","PADD 5","")))))</f>
        <v/>
      </c>
      <c r="G14073" s="6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  <c r="N14073" s="6">
        <f>IF(OR($G14073="FCC",$G14073="Hydrocracker",$G14073="Reformer"),IF(COUNTIFS($D:$D,$D14073,$A:$A,$A14073,$B:$B,$B14073,$G:$G,"CDU",$J:$J,"PLANNED")&gt;0,"tied","standalone"),"")</f>
        <v/>
      </c>
    </row>
    <row r="14074" spans="6:14">
      <c r="F14074" s="6">
        <f>IF($M14074="PADD I","PADD 1",IF($M14074="PADD II","PADD 2",IF($M14074="PADD III","PADD 3",IF($M14074="PADD IV","PADD 4",IF($M14074="PADD V","PADD 5","")))))</f>
        <v/>
      </c>
      <c r="G14074" s="6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  <c r="N14074" s="6">
        <f>IF(OR($G14074="FCC",$G14074="Hydrocracker",$G14074="Reformer"),IF(COUNTIFS($D:$D,$D14074,$A:$A,$A14074,$B:$B,$B14074,$G:$G,"CDU",$J:$J,"PLANNED")&gt;0,"tied","standalone"),"")</f>
        <v/>
      </c>
    </row>
    <row r="14075" spans="6:14">
      <c r="F14075" s="6">
        <f>IF($M14075="PADD I","PADD 1",IF($M14075="PADD II","PADD 2",IF($M14075="PADD III","PADD 3",IF($M14075="PADD IV","PADD 4",IF($M14075="PADD V","PADD 5","")))))</f>
        <v/>
      </c>
      <c r="G14075" s="6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  <c r="N14075" s="6">
        <f>IF(OR($G14075="FCC",$G14075="Hydrocracker",$G14075="Reformer"),IF(COUNTIFS($D:$D,$D14075,$A:$A,$A14075,$B:$B,$B14075,$G:$G,"CDU",$J:$J,"PLANNED")&gt;0,"tied","standalone"),"")</f>
        <v/>
      </c>
    </row>
    <row r="14076" spans="6:14">
      <c r="F14076" s="6">
        <f>IF($M14076="PADD I","PADD 1",IF($M14076="PADD II","PADD 2",IF($M14076="PADD III","PADD 3",IF($M14076="PADD IV","PADD 4",IF($M14076="PADD V","PADD 5","")))))</f>
        <v/>
      </c>
      <c r="G14076" s="6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  <c r="N14076" s="6">
        <f>IF(OR($G14076="FCC",$G14076="Hydrocracker",$G14076="Reformer"),IF(COUNTIFS($D:$D,$D14076,$A:$A,$A14076,$B:$B,$B14076,$G:$G,"CDU",$J:$J,"PLANNED")&gt;0,"tied","standalone"),"")</f>
        <v/>
      </c>
    </row>
    <row r="14077" spans="6:14">
      <c r="F14077" s="6">
        <f>IF($M14077="PADD I","PADD 1",IF($M14077="PADD II","PADD 2",IF($M14077="PADD III","PADD 3",IF($M14077="PADD IV","PADD 4",IF($M14077="PADD V","PADD 5","")))))</f>
        <v/>
      </c>
      <c r="G14077" s="6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  <c r="N14077" s="6">
        <f>IF(OR($G14077="FCC",$G14077="Hydrocracker",$G14077="Reformer"),IF(COUNTIFS($D:$D,$D14077,$A:$A,$A14077,$B:$B,$B14077,$G:$G,"CDU",$J:$J,"PLANNED")&gt;0,"tied","standalone"),"")</f>
        <v/>
      </c>
    </row>
    <row r="14078" spans="6:14">
      <c r="F14078" s="6">
        <f>IF($M14078="PADD I","PADD 1",IF($M14078="PADD II","PADD 2",IF($M14078="PADD III","PADD 3",IF($M14078="PADD IV","PADD 4",IF($M14078="PADD V","PADD 5","")))))</f>
        <v/>
      </c>
      <c r="G14078" s="6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  <c r="N14078" s="6">
        <f>IF(OR($G14078="FCC",$G14078="Hydrocracker",$G14078="Reformer"),IF(COUNTIFS($D:$D,$D14078,$A:$A,$A14078,$B:$B,$B14078,$G:$G,"CDU",$J:$J,"PLANNED")&gt;0,"tied","standalone"),"")</f>
        <v/>
      </c>
    </row>
    <row r="14079" spans="6:14">
      <c r="F14079" s="6">
        <f>IF($M14079="PADD I","PADD 1",IF($M14079="PADD II","PADD 2",IF($M14079="PADD III","PADD 3",IF($M14079="PADD IV","PADD 4",IF($M14079="PADD V","PADD 5","")))))</f>
        <v/>
      </c>
      <c r="G14079" s="6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  <c r="N14079" s="6">
        <f>IF(OR($G14079="FCC",$G14079="Hydrocracker",$G14079="Reformer"),IF(COUNTIFS($D:$D,$D14079,$A:$A,$A14079,$B:$B,$B14079,$G:$G,"CDU",$J:$J,"PLANNED")&gt;0,"tied","standalone"),"")</f>
        <v/>
      </c>
    </row>
    <row r="14080" spans="6:14">
      <c r="F14080" s="6">
        <f>IF($M14080="PADD I","PADD 1",IF($M14080="PADD II","PADD 2",IF($M14080="PADD III","PADD 3",IF($M14080="PADD IV","PADD 4",IF($M14080="PADD V","PADD 5","")))))</f>
        <v/>
      </c>
      <c r="G14080" s="6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  <c r="N14080" s="6">
        <f>IF(OR($G14080="FCC",$G14080="Hydrocracker",$G14080="Reformer"),IF(COUNTIFS($D:$D,$D14080,$A:$A,$A14080,$B:$B,$B14080,$G:$G,"CDU",$J:$J,"PLANNED")&gt;0,"tied","standalone"),"")</f>
        <v/>
      </c>
    </row>
    <row r="14081" spans="6:14">
      <c r="F14081" s="6">
        <f>IF($M14081="PADD I","PADD 1",IF($M14081="PADD II","PADD 2",IF($M14081="PADD III","PADD 3",IF($M14081="PADD IV","PADD 4",IF($M14081="PADD V","PADD 5","")))))</f>
        <v/>
      </c>
      <c r="G14081" s="6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  <c r="N14081" s="6">
        <f>IF(OR($G14081="FCC",$G14081="Hydrocracker",$G14081="Reformer"),IF(COUNTIFS($D:$D,$D14081,$A:$A,$A14081,$B:$B,$B14081,$G:$G,"CDU",$J:$J,"PLANNED")&gt;0,"tied","standalone"),"")</f>
        <v/>
      </c>
    </row>
    <row r="14082" spans="6:14">
      <c r="F14082" s="6">
        <f>IF($M14082="PADD I","PADD 1",IF($M14082="PADD II","PADD 2",IF($M14082="PADD III","PADD 3",IF($M14082="PADD IV","PADD 4",IF($M14082="PADD V","PADD 5","")))))</f>
        <v/>
      </c>
      <c r="G14082" s="6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  <c r="N14082" s="6">
        <f>IF(OR($G14082="FCC",$G14082="Hydrocracker",$G14082="Reformer"),IF(COUNTIFS($D:$D,$D14082,$A:$A,$A14082,$B:$B,$B14082,$G:$G,"CDU",$J:$J,"PLANNED")&gt;0,"tied","standalone"),"")</f>
        <v/>
      </c>
    </row>
    <row r="14083" spans="6:14">
      <c r="F14083" s="6">
        <f>IF($M14083="PADD I","PADD 1",IF($M14083="PADD II","PADD 2",IF($M14083="PADD III","PADD 3",IF($M14083="PADD IV","PADD 4",IF($M14083="PADD V","PADD 5","")))))</f>
        <v/>
      </c>
      <c r="G14083" s="6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  <c r="N14083" s="6">
        <f>IF(OR($G14083="FCC",$G14083="Hydrocracker",$G14083="Reformer"),IF(COUNTIFS($D:$D,$D14083,$A:$A,$A14083,$B:$B,$B14083,$G:$G,"CDU",$J:$J,"PLANNED")&gt;0,"tied","standalone"),"")</f>
        <v/>
      </c>
    </row>
    <row r="14084" spans="6:14">
      <c r="F14084" s="6">
        <f>IF($M14084="PADD I","PADD 1",IF($M14084="PADD II","PADD 2",IF($M14084="PADD III","PADD 3",IF($M14084="PADD IV","PADD 4",IF($M14084="PADD V","PADD 5","")))))</f>
        <v/>
      </c>
      <c r="G14084" s="6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  <c r="N14084" s="6">
        <f>IF(OR($G14084="FCC",$G14084="Hydrocracker",$G14084="Reformer"),IF(COUNTIFS($D:$D,$D14084,$A:$A,$A14084,$B:$B,$B14084,$G:$G,"CDU",$J:$J,"PLANNED")&gt;0,"tied","standalone"),"")</f>
        <v/>
      </c>
    </row>
    <row r="14085" spans="6:14">
      <c r="F14085" s="6">
        <f>IF($M14085="PADD I","PADD 1",IF($M14085="PADD II","PADD 2",IF($M14085="PADD III","PADD 3",IF($M14085="PADD IV","PADD 4",IF($M14085="PADD V","PADD 5","")))))</f>
        <v/>
      </c>
      <c r="G14085" s="6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  <c r="N14085" s="6">
        <f>IF(OR($G14085="FCC",$G14085="Hydrocracker",$G14085="Reformer"),IF(COUNTIFS($D:$D,$D14085,$A:$A,$A14085,$B:$B,$B14085,$G:$G,"CDU",$J:$J,"PLANNED")&gt;0,"tied","standalone"),"")</f>
        <v/>
      </c>
    </row>
    <row r="14086" spans="6:14">
      <c r="F14086" s="6">
        <f>IF($M14086="PADD I","PADD 1",IF($M14086="PADD II","PADD 2",IF($M14086="PADD III","PADD 3",IF($M14086="PADD IV","PADD 4",IF($M14086="PADD V","PADD 5","")))))</f>
        <v/>
      </c>
      <c r="G14086" s="6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  <c r="N14086" s="6">
        <f>IF(OR($G14086="FCC",$G14086="Hydrocracker",$G14086="Reformer"),IF(COUNTIFS($D:$D,$D14086,$A:$A,$A14086,$B:$B,$B14086,$G:$G,"CDU",$J:$J,"PLANNED")&gt;0,"tied","standalone"),"")</f>
        <v/>
      </c>
    </row>
    <row r="14087" spans="6:14">
      <c r="F14087" s="6">
        <f>IF($M14087="PADD I","PADD 1",IF($M14087="PADD II","PADD 2",IF($M14087="PADD III","PADD 3",IF($M14087="PADD IV","PADD 4",IF($M14087="PADD V","PADD 5","")))))</f>
        <v/>
      </c>
      <c r="G14087" s="6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  <c r="N14087" s="6">
        <f>IF(OR($G14087="FCC",$G14087="Hydrocracker",$G14087="Reformer"),IF(COUNTIFS($D:$D,$D14087,$A:$A,$A14087,$B:$B,$B14087,$G:$G,"CDU",$J:$J,"PLANNED")&gt;0,"tied","standalone"),"")</f>
        <v/>
      </c>
    </row>
    <row r="14088" spans="6:14">
      <c r="F14088" s="6">
        <f>IF($M14088="PADD I","PADD 1",IF($M14088="PADD II","PADD 2",IF($M14088="PADD III","PADD 3",IF($M14088="PADD IV","PADD 4",IF($M14088="PADD V","PADD 5","")))))</f>
        <v/>
      </c>
      <c r="G14088" s="6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  <c r="N14088" s="6">
        <f>IF(OR($G14088="FCC",$G14088="Hydrocracker",$G14088="Reformer"),IF(COUNTIFS($D:$D,$D14088,$A:$A,$A14088,$B:$B,$B14088,$G:$G,"CDU",$J:$J,"PLANNED")&gt;0,"tied","standalone"),"")</f>
        <v/>
      </c>
    </row>
    <row r="14089" spans="6:14">
      <c r="F14089" s="6">
        <f>IF($M14089="PADD I","PADD 1",IF($M14089="PADD II","PADD 2",IF($M14089="PADD III","PADD 3",IF($M14089="PADD IV","PADD 4",IF($M14089="PADD V","PADD 5","")))))</f>
        <v/>
      </c>
      <c r="G14089" s="6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  <c r="N14089" s="6">
        <f>IF(OR($G14089="FCC",$G14089="Hydrocracker",$G14089="Reformer"),IF(COUNTIFS($D:$D,$D14089,$A:$A,$A14089,$B:$B,$B14089,$G:$G,"CDU",$J:$J,"PLANNED")&gt;0,"tied","standalone"),"")</f>
        <v/>
      </c>
    </row>
    <row r="14090" spans="6:14">
      <c r="F14090" s="6">
        <f>IF($M14090="PADD I","PADD 1",IF($M14090="PADD II","PADD 2",IF($M14090="PADD III","PADD 3",IF($M14090="PADD IV","PADD 4",IF($M14090="PADD V","PADD 5","")))))</f>
        <v/>
      </c>
      <c r="G14090" s="6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  <c r="N14090" s="6">
        <f>IF(OR($G14090="FCC",$G14090="Hydrocracker",$G14090="Reformer"),IF(COUNTIFS($D:$D,$D14090,$A:$A,$A14090,$B:$B,$B14090,$G:$G,"CDU",$J:$J,"PLANNED")&gt;0,"tied","standalone"),"")</f>
        <v/>
      </c>
    </row>
    <row r="14091" spans="6:14">
      <c r="F14091" s="6">
        <f>IF($M14091="PADD I","PADD 1",IF($M14091="PADD II","PADD 2",IF($M14091="PADD III","PADD 3",IF($M14091="PADD IV","PADD 4",IF($M14091="PADD V","PADD 5","")))))</f>
        <v/>
      </c>
      <c r="G14091" s="6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  <c r="N14091" s="6">
        <f>IF(OR($G14091="FCC",$G14091="Hydrocracker",$G14091="Reformer"),IF(COUNTIFS($D:$D,$D14091,$A:$A,$A14091,$B:$B,$B14091,$G:$G,"CDU",$J:$J,"PLANNED")&gt;0,"tied","standalone"),"")</f>
        <v/>
      </c>
    </row>
    <row r="14092" spans="6:14">
      <c r="F14092" s="6">
        <f>IF($M14092="PADD I","PADD 1",IF($M14092="PADD II","PADD 2",IF($M14092="PADD III","PADD 3",IF($M14092="PADD IV","PADD 4",IF($M14092="PADD V","PADD 5","")))))</f>
        <v/>
      </c>
      <c r="G14092" s="6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  <c r="N14092" s="6">
        <f>IF(OR($G14092="FCC",$G14092="Hydrocracker",$G14092="Reformer"),IF(COUNTIFS($D:$D,$D14092,$A:$A,$A14092,$B:$B,$B14092,$G:$G,"CDU",$J:$J,"PLANNED")&gt;0,"tied","standalone"),"")</f>
        <v/>
      </c>
    </row>
    <row r="14093" spans="6:14">
      <c r="F14093" s="6">
        <f>IF($M14093="PADD I","PADD 1",IF($M14093="PADD II","PADD 2",IF($M14093="PADD III","PADD 3",IF($M14093="PADD IV","PADD 4",IF($M14093="PADD V","PADD 5","")))))</f>
        <v/>
      </c>
      <c r="G14093" s="6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  <c r="N14093" s="6">
        <f>IF(OR($G14093="FCC",$G14093="Hydrocracker",$G14093="Reformer"),IF(COUNTIFS($D:$D,$D14093,$A:$A,$A14093,$B:$B,$B14093,$G:$G,"CDU",$J:$J,"PLANNED")&gt;0,"tied","standalone"),"")</f>
        <v/>
      </c>
    </row>
    <row r="14094" spans="6:14">
      <c r="F14094" s="6">
        <f>IF($M14094="PADD I","PADD 1",IF($M14094="PADD II","PADD 2",IF($M14094="PADD III","PADD 3",IF($M14094="PADD IV","PADD 4",IF($M14094="PADD V","PADD 5","")))))</f>
        <v/>
      </c>
      <c r="G14094" s="6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  <c r="N14094" s="6">
        <f>IF(OR($G14094="FCC",$G14094="Hydrocracker",$G14094="Reformer"),IF(COUNTIFS($D:$D,$D14094,$A:$A,$A14094,$B:$B,$B14094,$G:$G,"CDU",$J:$J,"PLANNED")&gt;0,"tied","standalone"),"")</f>
        <v/>
      </c>
    </row>
    <row r="14095" spans="6:14">
      <c r="F14095" s="6">
        <f>IF($M14095="PADD I","PADD 1",IF($M14095="PADD II","PADD 2",IF($M14095="PADD III","PADD 3",IF($M14095="PADD IV","PADD 4",IF($M14095="PADD V","PADD 5","")))))</f>
        <v/>
      </c>
      <c r="G14095" s="6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  <c r="N14095" s="6">
        <f>IF(OR($G14095="FCC",$G14095="Hydrocracker",$G14095="Reformer"),IF(COUNTIFS($D:$D,$D14095,$A:$A,$A14095,$B:$B,$B14095,$G:$G,"CDU",$J:$J,"PLANNED")&gt;0,"tied","standalone"),"")</f>
        <v/>
      </c>
    </row>
    <row r="14096" spans="6:14">
      <c r="F14096" s="6">
        <f>IF($M14096="PADD I","PADD 1",IF($M14096="PADD II","PADD 2",IF($M14096="PADD III","PADD 3",IF($M14096="PADD IV","PADD 4",IF($M14096="PADD V","PADD 5","")))))</f>
        <v/>
      </c>
      <c r="G14096" s="6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  <c r="N14096" s="6">
        <f>IF(OR($G14096="FCC",$G14096="Hydrocracker",$G14096="Reformer"),IF(COUNTIFS($D:$D,$D14096,$A:$A,$A14096,$B:$B,$B14096,$G:$G,"CDU",$J:$J,"PLANNED")&gt;0,"tied","standalone"),"")</f>
        <v/>
      </c>
    </row>
    <row r="14097" spans="6:14">
      <c r="F14097" s="6">
        <f>IF($M14097="PADD I","PADD 1",IF($M14097="PADD II","PADD 2",IF($M14097="PADD III","PADD 3",IF($M14097="PADD IV","PADD 4",IF($M14097="PADD V","PADD 5","")))))</f>
        <v/>
      </c>
      <c r="G14097" s="6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  <c r="N14097" s="6">
        <f>IF(OR($G14097="FCC",$G14097="Hydrocracker",$G14097="Reformer"),IF(COUNTIFS($D:$D,$D14097,$A:$A,$A14097,$B:$B,$B14097,$G:$G,"CDU",$J:$J,"PLANNED")&gt;0,"tied","standalone"),"")</f>
        <v/>
      </c>
    </row>
    <row r="14098" spans="6:14">
      <c r="F14098" s="6">
        <f>IF($M14098="PADD I","PADD 1",IF($M14098="PADD II","PADD 2",IF($M14098="PADD III","PADD 3",IF($M14098="PADD IV","PADD 4",IF($M14098="PADD V","PADD 5","")))))</f>
        <v/>
      </c>
      <c r="G14098" s="6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  <c r="N14098" s="6">
        <f>IF(OR($G14098="FCC",$G14098="Hydrocracker",$G14098="Reformer"),IF(COUNTIFS($D:$D,$D14098,$A:$A,$A14098,$B:$B,$B14098,$G:$G,"CDU",$J:$J,"PLANNED")&gt;0,"tied","standalone"),"")</f>
        <v/>
      </c>
    </row>
    <row r="14099" spans="6:14">
      <c r="F14099" s="6">
        <f>IF($M14099="PADD I","PADD 1",IF($M14099="PADD II","PADD 2",IF($M14099="PADD III","PADD 3",IF($M14099="PADD IV","PADD 4",IF($M14099="PADD V","PADD 5","")))))</f>
        <v/>
      </c>
      <c r="G14099" s="6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  <c r="N14099" s="6">
        <f>IF(OR($G14099="FCC",$G14099="Hydrocracker",$G14099="Reformer"),IF(COUNTIFS($D:$D,$D14099,$A:$A,$A14099,$B:$B,$B14099,$G:$G,"CDU",$J:$J,"PLANNED")&gt;0,"tied","standalone"),"")</f>
        <v/>
      </c>
    </row>
    <row r="14100" spans="6:14">
      <c r="F14100" s="6">
        <f>IF($M14100="PADD I","PADD 1",IF($M14100="PADD II","PADD 2",IF($M14100="PADD III","PADD 3",IF($M14100="PADD IV","PADD 4",IF($M14100="PADD V","PADD 5","")))))</f>
        <v/>
      </c>
      <c r="G14100" s="6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  <c r="N14100" s="6">
        <f>IF(OR($G14100="FCC",$G14100="Hydrocracker",$G14100="Reformer"),IF(COUNTIFS($D:$D,$D14100,$A:$A,$A14100,$B:$B,$B14100,$G:$G,"CDU",$J:$J,"PLANNED")&gt;0,"tied","standalone"),"")</f>
        <v/>
      </c>
    </row>
    <row r="14101" spans="6:14">
      <c r="F14101" s="6">
        <f>IF($M14101="PADD I","PADD 1",IF($M14101="PADD II","PADD 2",IF($M14101="PADD III","PADD 3",IF($M14101="PADD IV","PADD 4",IF($M14101="PADD V","PADD 5","")))))</f>
        <v/>
      </c>
      <c r="G14101" s="6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  <c r="N14101" s="6">
        <f>IF(OR($G14101="FCC",$G14101="Hydrocracker",$G14101="Reformer"),IF(COUNTIFS($D:$D,$D14101,$A:$A,$A14101,$B:$B,$B14101,$G:$G,"CDU",$J:$J,"PLANNED")&gt;0,"tied","standalone"),"")</f>
        <v/>
      </c>
    </row>
    <row r="14102" spans="6:14">
      <c r="F14102" s="6">
        <f>IF($M14102="PADD I","PADD 1",IF($M14102="PADD II","PADD 2",IF($M14102="PADD III","PADD 3",IF($M14102="PADD IV","PADD 4",IF($M14102="PADD V","PADD 5","")))))</f>
        <v/>
      </c>
      <c r="G14102" s="6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  <c r="N14102" s="6">
        <f>IF(OR($G14102="FCC",$G14102="Hydrocracker",$G14102="Reformer"),IF(COUNTIFS($D:$D,$D14102,$A:$A,$A14102,$B:$B,$B14102,$G:$G,"CDU",$J:$J,"PLANNED")&gt;0,"tied","standalone"),"")</f>
        <v/>
      </c>
    </row>
    <row r="14103" spans="6:14">
      <c r="F14103" s="6">
        <f>IF($M14103="PADD I","PADD 1",IF($M14103="PADD II","PADD 2",IF($M14103="PADD III","PADD 3",IF($M14103="PADD IV","PADD 4",IF($M14103="PADD V","PADD 5","")))))</f>
        <v/>
      </c>
      <c r="G14103" s="6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  <c r="N14103" s="6">
        <f>IF(OR($G14103="FCC",$G14103="Hydrocracker",$G14103="Reformer"),IF(COUNTIFS($D:$D,$D14103,$A:$A,$A14103,$B:$B,$B14103,$G:$G,"CDU",$J:$J,"PLANNED")&gt;0,"tied","standalone"),"")</f>
        <v/>
      </c>
    </row>
    <row r="14104" spans="6:14">
      <c r="F14104" s="6">
        <f>IF($M14104="PADD I","PADD 1",IF($M14104="PADD II","PADD 2",IF($M14104="PADD III","PADD 3",IF($M14104="PADD IV","PADD 4",IF($M14104="PADD V","PADD 5","")))))</f>
        <v/>
      </c>
      <c r="G14104" s="6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  <c r="N14104" s="6">
        <f>IF(OR($G14104="FCC",$G14104="Hydrocracker",$G14104="Reformer"),IF(COUNTIFS($D:$D,$D14104,$A:$A,$A14104,$B:$B,$B14104,$G:$G,"CDU",$J:$J,"PLANNED")&gt;0,"tied","standalone"),"")</f>
        <v/>
      </c>
    </row>
    <row r="14105" spans="6:14">
      <c r="F14105" s="6">
        <f>IF($M14105="PADD I","PADD 1",IF($M14105="PADD II","PADD 2",IF($M14105="PADD III","PADD 3",IF($M14105="PADD IV","PADD 4",IF($M14105="PADD V","PADD 5","")))))</f>
        <v/>
      </c>
      <c r="G14105" s="6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  <c r="N14105" s="6">
        <f>IF(OR($G14105="FCC",$G14105="Hydrocracker",$G14105="Reformer"),IF(COUNTIFS($D:$D,$D14105,$A:$A,$A14105,$B:$B,$B14105,$G:$G,"CDU",$J:$J,"PLANNED")&gt;0,"tied","standalone"),"")</f>
        <v/>
      </c>
    </row>
    <row r="14106" spans="6:14">
      <c r="F14106" s="6">
        <f>IF($M14106="PADD I","PADD 1",IF($M14106="PADD II","PADD 2",IF($M14106="PADD III","PADD 3",IF($M14106="PADD IV","PADD 4",IF($M14106="PADD V","PADD 5","")))))</f>
        <v/>
      </c>
      <c r="G14106" s="6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  <c r="N14106" s="6">
        <f>IF(OR($G14106="FCC",$G14106="Hydrocracker",$G14106="Reformer"),IF(COUNTIFS($D:$D,$D14106,$A:$A,$A14106,$B:$B,$B14106,$G:$G,"CDU",$J:$J,"PLANNED")&gt;0,"tied","standalone"),"")</f>
        <v/>
      </c>
    </row>
    <row r="14107" spans="6:14">
      <c r="F14107" s="6">
        <f>IF($M14107="PADD I","PADD 1",IF($M14107="PADD II","PADD 2",IF($M14107="PADD III","PADD 3",IF($M14107="PADD IV","PADD 4",IF($M14107="PADD V","PADD 5","")))))</f>
        <v/>
      </c>
      <c r="G14107" s="6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  <c r="N14107" s="6">
        <f>IF(OR($G14107="FCC",$G14107="Hydrocracker",$G14107="Reformer"),IF(COUNTIFS($D:$D,$D14107,$A:$A,$A14107,$B:$B,$B14107,$G:$G,"CDU",$J:$J,"PLANNED")&gt;0,"tied","standalone"),"")</f>
        <v/>
      </c>
    </row>
    <row r="14108" spans="6:14">
      <c r="F14108" s="6">
        <f>IF($M14108="PADD I","PADD 1",IF($M14108="PADD II","PADD 2",IF($M14108="PADD III","PADD 3",IF($M14108="PADD IV","PADD 4",IF($M14108="PADD V","PADD 5","")))))</f>
        <v/>
      </c>
      <c r="G14108" s="6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  <c r="N14108" s="6">
        <f>IF(OR($G14108="FCC",$G14108="Hydrocracker",$G14108="Reformer"),IF(COUNTIFS($D:$D,$D14108,$A:$A,$A14108,$B:$B,$B14108,$G:$G,"CDU",$J:$J,"PLANNED")&gt;0,"tied","standalone"),"")</f>
        <v/>
      </c>
    </row>
    <row r="14109" spans="6:14">
      <c r="F14109" s="6">
        <f>IF($M14109="PADD I","PADD 1",IF($M14109="PADD II","PADD 2",IF($M14109="PADD III","PADD 3",IF($M14109="PADD IV","PADD 4",IF($M14109="PADD V","PADD 5","")))))</f>
        <v/>
      </c>
      <c r="G14109" s="6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  <c r="N14109" s="6">
        <f>IF(OR($G14109="FCC",$G14109="Hydrocracker",$G14109="Reformer"),IF(COUNTIFS($D:$D,$D14109,$A:$A,$A14109,$B:$B,$B14109,$G:$G,"CDU",$J:$J,"PLANNED")&gt;0,"tied","standalone"),"")</f>
        <v/>
      </c>
    </row>
    <row r="14110" spans="6:14">
      <c r="F14110" s="6">
        <f>IF($M14110="PADD I","PADD 1",IF($M14110="PADD II","PADD 2",IF($M14110="PADD III","PADD 3",IF($M14110="PADD IV","PADD 4",IF($M14110="PADD V","PADD 5","")))))</f>
        <v/>
      </c>
      <c r="G14110" s="6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  <c r="N14110" s="6">
        <f>IF(OR($G14110="FCC",$G14110="Hydrocracker",$G14110="Reformer"),IF(COUNTIFS($D:$D,$D14110,$A:$A,$A14110,$B:$B,$B14110,$G:$G,"CDU",$J:$J,"PLANNED")&gt;0,"tied","standalone"),"")</f>
        <v/>
      </c>
    </row>
    <row r="14111" spans="6:14">
      <c r="F14111" s="6">
        <f>IF($M14111="PADD I","PADD 1",IF($M14111="PADD II","PADD 2",IF($M14111="PADD III","PADD 3",IF($M14111="PADD IV","PADD 4",IF($M14111="PADD V","PADD 5","")))))</f>
        <v/>
      </c>
      <c r="G14111" s="6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  <c r="N14111" s="6">
        <f>IF(OR($G14111="FCC",$G14111="Hydrocracker",$G14111="Reformer"),IF(COUNTIFS($D:$D,$D14111,$A:$A,$A14111,$B:$B,$B14111,$G:$G,"CDU",$J:$J,"PLANNED")&gt;0,"tied","standalone"),"")</f>
        <v/>
      </c>
    </row>
    <row r="14112" spans="6:14">
      <c r="F14112" s="6">
        <f>IF($M14112="PADD I","PADD 1",IF($M14112="PADD II","PADD 2",IF($M14112="PADD III","PADD 3",IF($M14112="PADD IV","PADD 4",IF($M14112="PADD V","PADD 5","")))))</f>
        <v/>
      </c>
      <c r="G14112" s="6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  <c r="N14112" s="6">
        <f>IF(OR($G14112="FCC",$G14112="Hydrocracker",$G14112="Reformer"),IF(COUNTIFS($D:$D,$D14112,$A:$A,$A14112,$B:$B,$B14112,$G:$G,"CDU",$J:$J,"PLANNED")&gt;0,"tied","standalone"),"")</f>
        <v/>
      </c>
    </row>
    <row r="14113" spans="6:14">
      <c r="F14113" s="6">
        <f>IF($M14113="PADD I","PADD 1",IF($M14113="PADD II","PADD 2",IF($M14113="PADD III","PADD 3",IF($M14113="PADD IV","PADD 4",IF($M14113="PADD V","PADD 5","")))))</f>
        <v/>
      </c>
      <c r="G14113" s="6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  <c r="N14113" s="6">
        <f>IF(OR($G14113="FCC",$G14113="Hydrocracker",$G14113="Reformer"),IF(COUNTIFS($D:$D,$D14113,$A:$A,$A14113,$B:$B,$B14113,$G:$G,"CDU",$J:$J,"PLANNED")&gt;0,"tied","standalone"),"")</f>
        <v/>
      </c>
    </row>
    <row r="14114" spans="6:14">
      <c r="F14114" s="6">
        <f>IF($M14114="PADD I","PADD 1",IF($M14114="PADD II","PADD 2",IF($M14114="PADD III","PADD 3",IF($M14114="PADD IV","PADD 4",IF($M14114="PADD V","PADD 5","")))))</f>
        <v/>
      </c>
      <c r="G14114" s="6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  <c r="N14114" s="6">
        <f>IF(OR($G14114="FCC",$G14114="Hydrocracker",$G14114="Reformer"),IF(COUNTIFS($D:$D,$D14114,$A:$A,$A14114,$B:$B,$B14114,$G:$G,"CDU",$J:$J,"PLANNED")&gt;0,"tied","standalone"),"")</f>
        <v/>
      </c>
    </row>
    <row r="14115" spans="6:14">
      <c r="F14115" s="6">
        <f>IF($M14115="PADD I","PADD 1",IF($M14115="PADD II","PADD 2",IF($M14115="PADD III","PADD 3",IF($M14115="PADD IV","PADD 4",IF($M14115="PADD V","PADD 5","")))))</f>
        <v/>
      </c>
      <c r="G14115" s="6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  <c r="N14115" s="6">
        <f>IF(OR($G14115="FCC",$G14115="Hydrocracker",$G14115="Reformer"),IF(COUNTIFS($D:$D,$D14115,$A:$A,$A14115,$B:$B,$B14115,$G:$G,"CDU",$J:$J,"PLANNED")&gt;0,"tied","standalone"),"")</f>
        <v/>
      </c>
    </row>
    <row r="14116" spans="6:14">
      <c r="F14116" s="6">
        <f>IF($M14116="PADD I","PADD 1",IF($M14116="PADD II","PADD 2",IF($M14116="PADD III","PADD 3",IF($M14116="PADD IV","PADD 4",IF($M14116="PADD V","PADD 5","")))))</f>
        <v/>
      </c>
      <c r="G14116" s="6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  <c r="N14116" s="6">
        <f>IF(OR($G14116="FCC",$G14116="Hydrocracker",$G14116="Reformer"),IF(COUNTIFS($D:$D,$D14116,$A:$A,$A14116,$B:$B,$B14116,$G:$G,"CDU",$J:$J,"PLANNED")&gt;0,"tied","standalone"),"")</f>
        <v/>
      </c>
    </row>
    <row r="14117" spans="6:14">
      <c r="F14117" s="6">
        <f>IF($M14117="PADD I","PADD 1",IF($M14117="PADD II","PADD 2",IF($M14117="PADD III","PADD 3",IF($M14117="PADD IV","PADD 4",IF($M14117="PADD V","PADD 5","")))))</f>
        <v/>
      </c>
      <c r="G14117" s="6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  <c r="N14117" s="6">
        <f>IF(OR($G14117="FCC",$G14117="Hydrocracker",$G14117="Reformer"),IF(COUNTIFS($D:$D,$D14117,$A:$A,$A14117,$B:$B,$B14117,$G:$G,"CDU",$J:$J,"PLANNED")&gt;0,"tied","standalone"),"")</f>
        <v/>
      </c>
    </row>
    <row r="14118" spans="6:14">
      <c r="F14118" s="6">
        <f>IF($M14118="PADD I","PADD 1",IF($M14118="PADD II","PADD 2",IF($M14118="PADD III","PADD 3",IF($M14118="PADD IV","PADD 4",IF($M14118="PADD V","PADD 5","")))))</f>
        <v/>
      </c>
      <c r="G14118" s="6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  <c r="N14118" s="6">
        <f>IF(OR($G14118="FCC",$G14118="Hydrocracker",$G14118="Reformer"),IF(COUNTIFS($D:$D,$D14118,$A:$A,$A14118,$B:$B,$B14118,$G:$G,"CDU",$J:$J,"PLANNED")&gt;0,"tied","standalone"),"")</f>
        <v/>
      </c>
    </row>
    <row r="14119" spans="6:14">
      <c r="F14119" s="6">
        <f>IF($M14119="PADD I","PADD 1",IF($M14119="PADD II","PADD 2",IF($M14119="PADD III","PADD 3",IF($M14119="PADD IV","PADD 4",IF($M14119="PADD V","PADD 5","")))))</f>
        <v/>
      </c>
      <c r="G14119" s="6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  <c r="N14119" s="6">
        <f>IF(OR($G14119="FCC",$G14119="Hydrocracker",$G14119="Reformer"),IF(COUNTIFS($D:$D,$D14119,$A:$A,$A14119,$B:$B,$B14119,$G:$G,"CDU",$J:$J,"PLANNED")&gt;0,"tied","standalone"),"")</f>
        <v/>
      </c>
    </row>
    <row r="14120" spans="6:14">
      <c r="F14120" s="6">
        <f>IF($M14120="PADD I","PADD 1",IF($M14120="PADD II","PADD 2",IF($M14120="PADD III","PADD 3",IF($M14120="PADD IV","PADD 4",IF($M14120="PADD V","PADD 5","")))))</f>
        <v/>
      </c>
      <c r="G14120" s="6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  <c r="N14120" s="6">
        <f>IF(OR($G14120="FCC",$G14120="Hydrocracker",$G14120="Reformer"),IF(COUNTIFS($D:$D,$D14120,$A:$A,$A14120,$B:$B,$B14120,$G:$G,"CDU",$J:$J,"PLANNED")&gt;0,"tied","standalone"),"")</f>
        <v/>
      </c>
    </row>
    <row r="14121" spans="6:14">
      <c r="F14121" s="6">
        <f>IF($M14121="PADD I","PADD 1",IF($M14121="PADD II","PADD 2",IF($M14121="PADD III","PADD 3",IF($M14121="PADD IV","PADD 4",IF($M14121="PADD V","PADD 5","")))))</f>
        <v/>
      </c>
      <c r="G14121" s="6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  <c r="N14121" s="6">
        <f>IF(OR($G14121="FCC",$G14121="Hydrocracker",$G14121="Reformer"),IF(COUNTIFS($D:$D,$D14121,$A:$A,$A14121,$B:$B,$B14121,$G:$G,"CDU",$J:$J,"PLANNED")&gt;0,"tied","standalone"),"")</f>
        <v/>
      </c>
    </row>
    <row r="14122" spans="6:14">
      <c r="F14122" s="6">
        <f>IF($M14122="PADD I","PADD 1",IF($M14122="PADD II","PADD 2",IF($M14122="PADD III","PADD 3",IF($M14122="PADD IV","PADD 4",IF($M14122="PADD V","PADD 5","")))))</f>
        <v/>
      </c>
      <c r="G14122" s="6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  <c r="N14122" s="6">
        <f>IF(OR($G14122="FCC",$G14122="Hydrocracker",$G14122="Reformer"),IF(COUNTIFS($D:$D,$D14122,$A:$A,$A14122,$B:$B,$B14122,$G:$G,"CDU",$J:$J,"PLANNED")&gt;0,"tied","standalone"),"")</f>
        <v/>
      </c>
    </row>
    <row r="14123" spans="6:14">
      <c r="F14123" s="6">
        <f>IF($M14123="PADD I","PADD 1",IF($M14123="PADD II","PADD 2",IF($M14123="PADD III","PADD 3",IF($M14123="PADD IV","PADD 4",IF($M14123="PADD V","PADD 5","")))))</f>
        <v/>
      </c>
      <c r="G14123" s="6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  <c r="N14123" s="6">
        <f>IF(OR($G14123="FCC",$G14123="Hydrocracker",$G14123="Reformer"),IF(COUNTIFS($D:$D,$D14123,$A:$A,$A14123,$B:$B,$B14123,$G:$G,"CDU",$J:$J,"PLANNED")&gt;0,"tied","standalone"),"")</f>
        <v/>
      </c>
    </row>
    <row r="14124" spans="6:14">
      <c r="F14124" s="6">
        <f>IF($M14124="PADD I","PADD 1",IF($M14124="PADD II","PADD 2",IF($M14124="PADD III","PADD 3",IF($M14124="PADD IV","PADD 4",IF($M14124="PADD V","PADD 5","")))))</f>
        <v/>
      </c>
      <c r="G14124" s="6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  <c r="N14124" s="6">
        <f>IF(OR($G14124="FCC",$G14124="Hydrocracker",$G14124="Reformer"),IF(COUNTIFS($D:$D,$D14124,$A:$A,$A14124,$B:$B,$B14124,$G:$G,"CDU",$J:$J,"PLANNED")&gt;0,"tied","standalone"),"")</f>
        <v/>
      </c>
    </row>
    <row r="14125" spans="6:14">
      <c r="F14125" s="6">
        <f>IF($M14125="PADD I","PADD 1",IF($M14125="PADD II","PADD 2",IF($M14125="PADD III","PADD 3",IF($M14125="PADD IV","PADD 4",IF($M14125="PADD V","PADD 5","")))))</f>
        <v/>
      </c>
      <c r="G14125" s="6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  <c r="N14125" s="6">
        <f>IF(OR($G14125="FCC",$G14125="Hydrocracker",$G14125="Reformer"),IF(COUNTIFS($D:$D,$D14125,$A:$A,$A14125,$B:$B,$B14125,$G:$G,"CDU",$J:$J,"PLANNED")&gt;0,"tied","standalone"),"")</f>
        <v/>
      </c>
    </row>
    <row r="14126" spans="6:14">
      <c r="F14126" s="6">
        <f>IF($M14126="PADD I","PADD 1",IF($M14126="PADD II","PADD 2",IF($M14126="PADD III","PADD 3",IF($M14126="PADD IV","PADD 4",IF($M14126="PADD V","PADD 5","")))))</f>
        <v/>
      </c>
      <c r="G14126" s="6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  <c r="N14126" s="6">
        <f>IF(OR($G14126="FCC",$G14126="Hydrocracker",$G14126="Reformer"),IF(COUNTIFS($D:$D,$D14126,$A:$A,$A14126,$B:$B,$B14126,$G:$G,"CDU",$J:$J,"PLANNED")&gt;0,"tied","standalone"),"")</f>
        <v/>
      </c>
    </row>
    <row r="14127" spans="6:14">
      <c r="F14127" s="6">
        <f>IF($M14127="PADD I","PADD 1",IF($M14127="PADD II","PADD 2",IF($M14127="PADD III","PADD 3",IF($M14127="PADD IV","PADD 4",IF($M14127="PADD V","PADD 5","")))))</f>
        <v/>
      </c>
      <c r="G14127" s="6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  <c r="N14127" s="6">
        <f>IF(OR($G14127="FCC",$G14127="Hydrocracker",$G14127="Reformer"),IF(COUNTIFS($D:$D,$D14127,$A:$A,$A14127,$B:$B,$B14127,$G:$G,"CDU",$J:$J,"PLANNED")&gt;0,"tied","standalone"),"")</f>
        <v/>
      </c>
    </row>
    <row r="14128" spans="6:14">
      <c r="F14128" s="6">
        <f>IF($M14128="PADD I","PADD 1",IF($M14128="PADD II","PADD 2",IF($M14128="PADD III","PADD 3",IF($M14128="PADD IV","PADD 4",IF($M14128="PADD V","PADD 5","")))))</f>
        <v/>
      </c>
      <c r="G14128" s="6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  <c r="N14128" s="6">
        <f>IF(OR($G14128="FCC",$G14128="Hydrocracker",$G14128="Reformer"),IF(COUNTIFS($D:$D,$D14128,$A:$A,$A14128,$B:$B,$B14128,$G:$G,"CDU",$J:$J,"PLANNED")&gt;0,"tied","standalone"),"")</f>
        <v/>
      </c>
    </row>
    <row r="14129" spans="6:14">
      <c r="F14129" s="6">
        <f>IF($M14129="PADD I","PADD 1",IF($M14129="PADD II","PADD 2",IF($M14129="PADD III","PADD 3",IF($M14129="PADD IV","PADD 4",IF($M14129="PADD V","PADD 5","")))))</f>
        <v/>
      </c>
      <c r="G14129" s="6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  <c r="N14129" s="6">
        <f>IF(OR($G14129="FCC",$G14129="Hydrocracker",$G14129="Reformer"),IF(COUNTIFS($D:$D,$D14129,$A:$A,$A14129,$B:$B,$B14129,$G:$G,"CDU",$J:$J,"PLANNED")&gt;0,"tied","standalone"),"")</f>
        <v/>
      </c>
    </row>
    <row r="14130" spans="6:14">
      <c r="F14130" s="6">
        <f>IF($M14130="PADD I","PADD 1",IF($M14130="PADD II","PADD 2",IF($M14130="PADD III","PADD 3",IF($M14130="PADD IV","PADD 4",IF($M14130="PADD V","PADD 5","")))))</f>
        <v/>
      </c>
      <c r="G14130" s="6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  <c r="N14130" s="6">
        <f>IF(OR($G14130="FCC",$G14130="Hydrocracker",$G14130="Reformer"),IF(COUNTIFS($D:$D,$D14130,$A:$A,$A14130,$B:$B,$B14130,$G:$G,"CDU",$J:$J,"PLANNED")&gt;0,"tied","standalone"),"")</f>
        <v/>
      </c>
    </row>
    <row r="14131" spans="6:14">
      <c r="F14131" s="6">
        <f>IF($M14131="PADD I","PADD 1",IF($M14131="PADD II","PADD 2",IF($M14131="PADD III","PADD 3",IF($M14131="PADD IV","PADD 4",IF($M14131="PADD V","PADD 5","")))))</f>
        <v/>
      </c>
      <c r="G14131" s="6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  <c r="N14131" s="6">
        <f>IF(OR($G14131="FCC",$G14131="Hydrocracker",$G14131="Reformer"),IF(COUNTIFS($D:$D,$D14131,$A:$A,$A14131,$B:$B,$B14131,$G:$G,"CDU",$J:$J,"PLANNED")&gt;0,"tied","standalone"),"")</f>
        <v/>
      </c>
    </row>
    <row r="14132" spans="6:14">
      <c r="F14132" s="6">
        <f>IF($M14132="PADD I","PADD 1",IF($M14132="PADD II","PADD 2",IF($M14132="PADD III","PADD 3",IF($M14132="PADD IV","PADD 4",IF($M14132="PADD V","PADD 5","")))))</f>
        <v/>
      </c>
      <c r="G14132" s="6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  <c r="N14132" s="6">
        <f>IF(OR($G14132="FCC",$G14132="Hydrocracker",$G14132="Reformer"),IF(COUNTIFS($D:$D,$D14132,$A:$A,$A14132,$B:$B,$B14132,$G:$G,"CDU",$J:$J,"PLANNED")&gt;0,"tied","standalone"),"")</f>
        <v/>
      </c>
    </row>
    <row r="14133" spans="6:14">
      <c r="F14133" s="6">
        <f>IF($M14133="PADD I","PADD 1",IF($M14133="PADD II","PADD 2",IF($M14133="PADD III","PADD 3",IF($M14133="PADD IV","PADD 4",IF($M14133="PADD V","PADD 5","")))))</f>
        <v/>
      </c>
      <c r="G14133" s="6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  <c r="N14133" s="6">
        <f>IF(OR($G14133="FCC",$G14133="Hydrocracker",$G14133="Reformer"),IF(COUNTIFS($D:$D,$D14133,$A:$A,$A14133,$B:$B,$B14133,$G:$G,"CDU",$J:$J,"PLANNED")&gt;0,"tied","standalone"),"")</f>
        <v/>
      </c>
    </row>
    <row r="14134" spans="6:14">
      <c r="F14134" s="6">
        <f>IF($M14134="PADD I","PADD 1",IF($M14134="PADD II","PADD 2",IF($M14134="PADD III","PADD 3",IF($M14134="PADD IV","PADD 4",IF($M14134="PADD V","PADD 5","")))))</f>
        <v/>
      </c>
      <c r="G14134" s="6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  <c r="N14134" s="6">
        <f>IF(OR($G14134="FCC",$G14134="Hydrocracker",$G14134="Reformer"),IF(COUNTIFS($D:$D,$D14134,$A:$A,$A14134,$B:$B,$B14134,$G:$G,"CDU",$J:$J,"PLANNED")&gt;0,"tied","standalone"),"")</f>
        <v/>
      </c>
    </row>
    <row r="14135" spans="6:14">
      <c r="F14135" s="6">
        <f>IF($M14135="PADD I","PADD 1",IF($M14135="PADD II","PADD 2",IF($M14135="PADD III","PADD 3",IF($M14135="PADD IV","PADD 4",IF($M14135="PADD V","PADD 5","")))))</f>
        <v/>
      </c>
      <c r="G14135" s="6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  <c r="N14135" s="6">
        <f>IF(OR($G14135="FCC",$G14135="Hydrocracker",$G14135="Reformer"),IF(COUNTIFS($D:$D,$D14135,$A:$A,$A14135,$B:$B,$B14135,$G:$G,"CDU",$J:$J,"PLANNED")&gt;0,"tied","standalone"),"")</f>
        <v/>
      </c>
    </row>
    <row r="14136" spans="6:14">
      <c r="F14136" s="6">
        <f>IF($M14136="PADD I","PADD 1",IF($M14136="PADD II","PADD 2",IF($M14136="PADD III","PADD 3",IF($M14136="PADD IV","PADD 4",IF($M14136="PADD V","PADD 5","")))))</f>
        <v/>
      </c>
      <c r="G14136" s="6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  <c r="N14136" s="6">
        <f>IF(OR($G14136="FCC",$G14136="Hydrocracker",$G14136="Reformer"),IF(COUNTIFS($D:$D,$D14136,$A:$A,$A14136,$B:$B,$B14136,$G:$G,"CDU",$J:$J,"PLANNED")&gt;0,"tied","standalone"),"")</f>
        <v/>
      </c>
    </row>
    <row r="14137" spans="6:14">
      <c r="F14137" s="6">
        <f>IF($M14137="PADD I","PADD 1",IF($M14137="PADD II","PADD 2",IF($M14137="PADD III","PADD 3",IF($M14137="PADD IV","PADD 4",IF($M14137="PADD V","PADD 5","")))))</f>
        <v/>
      </c>
      <c r="G14137" s="6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  <c r="N14137" s="6">
        <f>IF(OR($G14137="FCC",$G14137="Hydrocracker",$G14137="Reformer"),IF(COUNTIFS($D:$D,$D14137,$A:$A,$A14137,$B:$B,$B14137,$G:$G,"CDU",$J:$J,"PLANNED")&gt;0,"tied","standalone"),"")</f>
        <v/>
      </c>
    </row>
    <row r="14138" spans="6:14">
      <c r="F14138" s="6">
        <f>IF($M14138="PADD I","PADD 1",IF($M14138="PADD II","PADD 2",IF($M14138="PADD III","PADD 3",IF($M14138="PADD IV","PADD 4",IF($M14138="PADD V","PADD 5","")))))</f>
        <v/>
      </c>
      <c r="G14138" s="6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  <c r="N14138" s="6">
        <f>IF(OR($G14138="FCC",$G14138="Hydrocracker",$G14138="Reformer"),IF(COUNTIFS($D:$D,$D14138,$A:$A,$A14138,$B:$B,$B14138,$G:$G,"CDU",$J:$J,"PLANNED")&gt;0,"tied","standalone"),"")</f>
        <v/>
      </c>
    </row>
    <row r="14139" spans="6:14">
      <c r="F14139" s="6">
        <f>IF($M14139="PADD I","PADD 1",IF($M14139="PADD II","PADD 2",IF($M14139="PADD III","PADD 3",IF($M14139="PADD IV","PADD 4",IF($M14139="PADD V","PADD 5","")))))</f>
        <v/>
      </c>
      <c r="G14139" s="6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  <c r="N14139" s="6">
        <f>IF(OR($G14139="FCC",$G14139="Hydrocracker",$G14139="Reformer"),IF(COUNTIFS($D:$D,$D14139,$A:$A,$A14139,$B:$B,$B14139,$G:$G,"CDU",$J:$J,"PLANNED")&gt;0,"tied","standalone"),"")</f>
        <v/>
      </c>
    </row>
    <row r="14140" spans="6:14">
      <c r="F14140" s="6">
        <f>IF($M14140="PADD I","PADD 1",IF($M14140="PADD II","PADD 2",IF($M14140="PADD III","PADD 3",IF($M14140="PADD IV","PADD 4",IF($M14140="PADD V","PADD 5","")))))</f>
        <v/>
      </c>
      <c r="G14140" s="6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  <c r="N14140" s="6">
        <f>IF(OR($G14140="FCC",$G14140="Hydrocracker",$G14140="Reformer"),IF(COUNTIFS($D:$D,$D14140,$A:$A,$A14140,$B:$B,$B14140,$G:$G,"CDU",$J:$J,"PLANNED")&gt;0,"tied","standalone"),"")</f>
        <v/>
      </c>
    </row>
    <row r="14141" spans="6:14">
      <c r="F14141" s="6">
        <f>IF($M14141="PADD I","PADD 1",IF($M14141="PADD II","PADD 2",IF($M14141="PADD III","PADD 3",IF($M14141="PADD IV","PADD 4",IF($M14141="PADD V","PADD 5","")))))</f>
        <v/>
      </c>
      <c r="G14141" s="6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  <c r="N14141" s="6">
        <f>IF(OR($G14141="FCC",$G14141="Hydrocracker",$G14141="Reformer"),IF(COUNTIFS($D:$D,$D14141,$A:$A,$A14141,$B:$B,$B14141,$G:$G,"CDU",$J:$J,"PLANNED")&gt;0,"tied","standalone"),"")</f>
        <v/>
      </c>
    </row>
    <row r="14142" spans="6:14">
      <c r="F14142" s="6">
        <f>IF($M14142="PADD I","PADD 1",IF($M14142="PADD II","PADD 2",IF($M14142="PADD III","PADD 3",IF($M14142="PADD IV","PADD 4",IF($M14142="PADD V","PADD 5","")))))</f>
        <v/>
      </c>
      <c r="G14142" s="6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  <c r="N14142" s="6">
        <f>IF(OR($G14142="FCC",$G14142="Hydrocracker",$G14142="Reformer"),IF(COUNTIFS($D:$D,$D14142,$A:$A,$A14142,$B:$B,$B14142,$G:$G,"CDU",$J:$J,"PLANNED")&gt;0,"tied","standalone"),"")</f>
        <v/>
      </c>
    </row>
    <row r="14143" spans="6:14">
      <c r="F14143" s="6">
        <f>IF($M14143="PADD I","PADD 1",IF($M14143="PADD II","PADD 2",IF($M14143="PADD III","PADD 3",IF($M14143="PADD IV","PADD 4",IF($M14143="PADD V","PADD 5","")))))</f>
        <v/>
      </c>
      <c r="G14143" s="6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  <c r="N14143" s="6">
        <f>IF(OR($G14143="FCC",$G14143="Hydrocracker",$G14143="Reformer"),IF(COUNTIFS($D:$D,$D14143,$A:$A,$A14143,$B:$B,$B14143,$G:$G,"CDU",$J:$J,"PLANNED")&gt;0,"tied","standalone"),"")</f>
        <v/>
      </c>
    </row>
    <row r="14144" spans="6:14">
      <c r="F14144" s="6">
        <f>IF($M14144="PADD I","PADD 1",IF($M14144="PADD II","PADD 2",IF($M14144="PADD III","PADD 3",IF($M14144="PADD IV","PADD 4",IF($M14144="PADD V","PADD 5","")))))</f>
        <v/>
      </c>
      <c r="G14144" s="6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  <c r="N14144" s="6">
        <f>IF(OR($G14144="FCC",$G14144="Hydrocracker",$G14144="Reformer"),IF(COUNTIFS($D:$D,$D14144,$A:$A,$A14144,$B:$B,$B14144,$G:$G,"CDU",$J:$J,"PLANNED")&gt;0,"tied","standalone"),"")</f>
        <v/>
      </c>
    </row>
    <row r="14145" spans="6:14">
      <c r="F14145" s="6">
        <f>IF($M14145="PADD I","PADD 1",IF($M14145="PADD II","PADD 2",IF($M14145="PADD III","PADD 3",IF($M14145="PADD IV","PADD 4",IF($M14145="PADD V","PADD 5","")))))</f>
        <v/>
      </c>
      <c r="G14145" s="6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  <c r="N14145" s="6">
        <f>IF(OR($G14145="FCC",$G14145="Hydrocracker",$G14145="Reformer"),IF(COUNTIFS($D:$D,$D14145,$A:$A,$A14145,$B:$B,$B14145,$G:$G,"CDU",$J:$J,"PLANNED")&gt;0,"tied","standalone"),"")</f>
        <v/>
      </c>
    </row>
    <row r="14146" spans="6:14">
      <c r="F14146" s="6">
        <f>IF($M14146="PADD I","PADD 1",IF($M14146="PADD II","PADD 2",IF($M14146="PADD III","PADD 3",IF($M14146="PADD IV","PADD 4",IF($M14146="PADD V","PADD 5","")))))</f>
        <v/>
      </c>
      <c r="G14146" s="6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  <c r="N14146" s="6">
        <f>IF(OR($G14146="FCC",$G14146="Hydrocracker",$G14146="Reformer"),IF(COUNTIFS($D:$D,$D14146,$A:$A,$A14146,$B:$B,$B14146,$G:$G,"CDU",$J:$J,"PLANNED")&gt;0,"tied","standalone"),"")</f>
        <v/>
      </c>
    </row>
    <row r="14147" spans="6:14">
      <c r="F14147" s="6">
        <f>IF($M14147="PADD I","PADD 1",IF($M14147="PADD II","PADD 2",IF($M14147="PADD III","PADD 3",IF($M14147="PADD IV","PADD 4",IF($M14147="PADD V","PADD 5","")))))</f>
        <v/>
      </c>
      <c r="G14147" s="6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  <c r="N14147" s="6">
        <f>IF(OR($G14147="FCC",$G14147="Hydrocracker",$G14147="Reformer"),IF(COUNTIFS($D:$D,$D14147,$A:$A,$A14147,$B:$B,$B14147,$G:$G,"CDU",$J:$J,"PLANNED")&gt;0,"tied","standalone"),"")</f>
        <v/>
      </c>
    </row>
    <row r="14148" spans="6:14">
      <c r="F14148" s="6">
        <f>IF($M14148="PADD I","PADD 1",IF($M14148="PADD II","PADD 2",IF($M14148="PADD III","PADD 3",IF($M14148="PADD IV","PADD 4",IF($M14148="PADD V","PADD 5","")))))</f>
        <v/>
      </c>
      <c r="G14148" s="6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  <c r="N14148" s="6">
        <f>IF(OR($G14148="FCC",$G14148="Hydrocracker",$G14148="Reformer"),IF(COUNTIFS($D:$D,$D14148,$A:$A,$A14148,$B:$B,$B14148,$G:$G,"CDU",$J:$J,"PLANNED")&gt;0,"tied","standalone"),"")</f>
        <v/>
      </c>
    </row>
    <row r="14149" spans="6:14">
      <c r="F14149" s="6">
        <f>IF($M14149="PADD I","PADD 1",IF($M14149="PADD II","PADD 2",IF($M14149="PADD III","PADD 3",IF($M14149="PADD IV","PADD 4",IF($M14149="PADD V","PADD 5","")))))</f>
        <v/>
      </c>
      <c r="G14149" s="6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  <c r="N14149" s="6">
        <f>IF(OR($G14149="FCC",$G14149="Hydrocracker",$G14149="Reformer"),IF(COUNTIFS($D:$D,$D14149,$A:$A,$A14149,$B:$B,$B14149,$G:$G,"CDU",$J:$J,"PLANNED")&gt;0,"tied","standalone"),"")</f>
        <v/>
      </c>
    </row>
    <row r="14150" spans="6:14">
      <c r="F14150" s="6">
        <f>IF($M14150="PADD I","PADD 1",IF($M14150="PADD II","PADD 2",IF($M14150="PADD III","PADD 3",IF($M14150="PADD IV","PADD 4",IF($M14150="PADD V","PADD 5","")))))</f>
        <v/>
      </c>
      <c r="G14150" s="6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  <c r="N14150" s="6">
        <f>IF(OR($G14150="FCC",$G14150="Hydrocracker",$G14150="Reformer"),IF(COUNTIFS($D:$D,$D14150,$A:$A,$A14150,$B:$B,$B14150,$G:$G,"CDU",$J:$J,"PLANNED")&gt;0,"tied","standalone"),"")</f>
        <v/>
      </c>
    </row>
    <row r="14151" spans="6:14">
      <c r="F14151" s="6">
        <f>IF($M14151="PADD I","PADD 1",IF($M14151="PADD II","PADD 2",IF($M14151="PADD III","PADD 3",IF($M14151="PADD IV","PADD 4",IF($M14151="PADD V","PADD 5","")))))</f>
        <v/>
      </c>
      <c r="G14151" s="6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  <c r="N14151" s="6">
        <f>IF(OR($G14151="FCC",$G14151="Hydrocracker",$G14151="Reformer"),IF(COUNTIFS($D:$D,$D14151,$A:$A,$A14151,$B:$B,$B14151,$G:$G,"CDU",$J:$J,"PLANNED")&gt;0,"tied","standalone"),"")</f>
        <v/>
      </c>
    </row>
    <row r="14152" spans="6:14">
      <c r="F14152" s="6">
        <f>IF($M14152="PADD I","PADD 1",IF($M14152="PADD II","PADD 2",IF($M14152="PADD III","PADD 3",IF($M14152="PADD IV","PADD 4",IF($M14152="PADD V","PADD 5","")))))</f>
        <v/>
      </c>
      <c r="G14152" s="6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  <c r="N14152" s="6">
        <f>IF(OR($G14152="FCC",$G14152="Hydrocracker",$G14152="Reformer"),IF(COUNTIFS($D:$D,$D14152,$A:$A,$A14152,$B:$B,$B14152,$G:$G,"CDU",$J:$J,"PLANNED")&gt;0,"tied","standalone"),"")</f>
        <v/>
      </c>
    </row>
    <row r="14153" spans="6:14">
      <c r="F14153" s="6">
        <f>IF($M14153="PADD I","PADD 1",IF($M14153="PADD II","PADD 2",IF($M14153="PADD III","PADD 3",IF($M14153="PADD IV","PADD 4",IF($M14153="PADD V","PADD 5","")))))</f>
        <v/>
      </c>
      <c r="G14153" s="6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  <c r="N14153" s="6">
        <f>IF(OR($G14153="FCC",$G14153="Hydrocracker",$G14153="Reformer"),IF(COUNTIFS($D:$D,$D14153,$A:$A,$A14153,$B:$B,$B14153,$G:$G,"CDU",$J:$J,"PLANNED")&gt;0,"tied","standalone"),"")</f>
        <v/>
      </c>
    </row>
    <row r="14154" spans="6:14">
      <c r="F14154" s="6">
        <f>IF($M14154="PADD I","PADD 1",IF($M14154="PADD II","PADD 2",IF($M14154="PADD III","PADD 3",IF($M14154="PADD IV","PADD 4",IF($M14154="PADD V","PADD 5","")))))</f>
        <v/>
      </c>
      <c r="G14154" s="6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  <c r="N14154" s="6">
        <f>IF(OR($G14154="FCC",$G14154="Hydrocracker",$G14154="Reformer"),IF(COUNTIFS($D:$D,$D14154,$A:$A,$A14154,$B:$B,$B14154,$G:$G,"CDU",$J:$J,"PLANNED")&gt;0,"tied","standalone"),"")</f>
        <v/>
      </c>
    </row>
    <row r="14155" spans="6:14">
      <c r="F14155" s="6">
        <f>IF($M14155="PADD I","PADD 1",IF($M14155="PADD II","PADD 2",IF($M14155="PADD III","PADD 3",IF($M14155="PADD IV","PADD 4",IF($M14155="PADD V","PADD 5","")))))</f>
        <v/>
      </c>
      <c r="G14155" s="6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  <c r="N14155" s="6">
        <f>IF(OR($G14155="FCC",$G14155="Hydrocracker",$G14155="Reformer"),IF(COUNTIFS($D:$D,$D14155,$A:$A,$A14155,$B:$B,$B14155,$G:$G,"CDU",$J:$J,"PLANNED")&gt;0,"tied","standalone"),"")</f>
        <v/>
      </c>
    </row>
    <row r="14156" spans="6:14">
      <c r="F14156" s="6">
        <f>IF($M14156="PADD I","PADD 1",IF($M14156="PADD II","PADD 2",IF($M14156="PADD III","PADD 3",IF($M14156="PADD IV","PADD 4",IF($M14156="PADD V","PADD 5","")))))</f>
        <v/>
      </c>
      <c r="G14156" s="6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  <c r="N14156" s="6">
        <f>IF(OR($G14156="FCC",$G14156="Hydrocracker",$G14156="Reformer"),IF(COUNTIFS($D:$D,$D14156,$A:$A,$A14156,$B:$B,$B14156,$G:$G,"CDU",$J:$J,"PLANNED")&gt;0,"tied","standalone"),"")</f>
        <v/>
      </c>
    </row>
    <row r="14157" spans="6:14">
      <c r="F14157" s="6">
        <f>IF($M14157="PADD I","PADD 1",IF($M14157="PADD II","PADD 2",IF($M14157="PADD III","PADD 3",IF($M14157="PADD IV","PADD 4",IF($M14157="PADD V","PADD 5","")))))</f>
        <v/>
      </c>
      <c r="G14157" s="6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  <c r="N14157" s="6">
        <f>IF(OR($G14157="FCC",$G14157="Hydrocracker",$G14157="Reformer"),IF(COUNTIFS($D:$D,$D14157,$A:$A,$A14157,$B:$B,$B14157,$G:$G,"CDU",$J:$J,"PLANNED")&gt;0,"tied","standalone"),"")</f>
        <v/>
      </c>
    </row>
    <row r="14158" spans="6:14">
      <c r="F14158" s="6">
        <f>IF($M14158="PADD I","PADD 1",IF($M14158="PADD II","PADD 2",IF($M14158="PADD III","PADD 3",IF($M14158="PADD IV","PADD 4",IF($M14158="PADD V","PADD 5","")))))</f>
        <v/>
      </c>
      <c r="G14158" s="6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  <c r="N14158" s="6">
        <f>IF(OR($G14158="FCC",$G14158="Hydrocracker",$G14158="Reformer"),IF(COUNTIFS($D:$D,$D14158,$A:$A,$A14158,$B:$B,$B14158,$G:$G,"CDU",$J:$J,"PLANNED")&gt;0,"tied","standalone"),"")</f>
        <v/>
      </c>
    </row>
    <row r="14159" spans="6:14">
      <c r="F14159" s="6">
        <f>IF($M14159="PADD I","PADD 1",IF($M14159="PADD II","PADD 2",IF($M14159="PADD III","PADD 3",IF($M14159="PADD IV","PADD 4",IF($M14159="PADD V","PADD 5","")))))</f>
        <v/>
      </c>
      <c r="G14159" s="6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  <c r="N14159" s="6">
        <f>IF(OR($G14159="FCC",$G14159="Hydrocracker",$G14159="Reformer"),IF(COUNTIFS($D:$D,$D14159,$A:$A,$A14159,$B:$B,$B14159,$G:$G,"CDU",$J:$J,"PLANNED")&gt;0,"tied","standalone"),"")</f>
        <v/>
      </c>
    </row>
    <row r="14160" spans="6:14">
      <c r="F14160" s="6">
        <f>IF($M14160="PADD I","PADD 1",IF($M14160="PADD II","PADD 2",IF($M14160="PADD III","PADD 3",IF($M14160="PADD IV","PADD 4",IF($M14160="PADD V","PADD 5","")))))</f>
        <v/>
      </c>
      <c r="G14160" s="6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  <c r="N14160" s="6">
        <f>IF(OR($G14160="FCC",$G14160="Hydrocracker",$G14160="Reformer"),IF(COUNTIFS($D:$D,$D14160,$A:$A,$A14160,$B:$B,$B14160,$G:$G,"CDU",$J:$J,"PLANNED")&gt;0,"tied","standalone"),"")</f>
        <v/>
      </c>
    </row>
    <row r="14161" spans="6:14">
      <c r="F14161" s="6">
        <f>IF($M14161="PADD I","PADD 1",IF($M14161="PADD II","PADD 2",IF($M14161="PADD III","PADD 3",IF($M14161="PADD IV","PADD 4",IF($M14161="PADD V","PADD 5","")))))</f>
        <v/>
      </c>
      <c r="G14161" s="6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  <c r="N14161" s="6">
        <f>IF(OR($G14161="FCC",$G14161="Hydrocracker",$G14161="Reformer"),IF(COUNTIFS($D:$D,$D14161,$A:$A,$A14161,$B:$B,$B14161,$G:$G,"CDU",$J:$J,"PLANNED")&gt;0,"tied","standalone"),"")</f>
        <v/>
      </c>
    </row>
    <row r="14162" spans="6:14">
      <c r="F14162" s="6">
        <f>IF($M14162="PADD I","PADD 1",IF($M14162="PADD II","PADD 2",IF($M14162="PADD III","PADD 3",IF($M14162="PADD IV","PADD 4",IF($M14162="PADD V","PADD 5","")))))</f>
        <v/>
      </c>
      <c r="G14162" s="6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  <c r="N14162" s="6">
        <f>IF(OR($G14162="FCC",$G14162="Hydrocracker",$G14162="Reformer"),IF(COUNTIFS($D:$D,$D14162,$A:$A,$A14162,$B:$B,$B14162,$G:$G,"CDU",$J:$J,"PLANNED")&gt;0,"tied","standalone"),"")</f>
        <v/>
      </c>
    </row>
    <row r="14163" spans="6:14">
      <c r="F14163" s="6">
        <f>IF($M14163="PADD I","PADD 1",IF($M14163="PADD II","PADD 2",IF($M14163="PADD III","PADD 3",IF($M14163="PADD IV","PADD 4",IF($M14163="PADD V","PADD 5","")))))</f>
        <v/>
      </c>
      <c r="G14163" s="6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  <c r="N14163" s="6">
        <f>IF(OR($G14163="FCC",$G14163="Hydrocracker",$G14163="Reformer"),IF(COUNTIFS($D:$D,$D14163,$A:$A,$A14163,$B:$B,$B14163,$G:$G,"CDU",$J:$J,"PLANNED")&gt;0,"tied","standalone"),"")</f>
        <v/>
      </c>
    </row>
    <row r="14164" spans="6:14">
      <c r="F14164" s="6">
        <f>IF($M14164="PADD I","PADD 1",IF($M14164="PADD II","PADD 2",IF($M14164="PADD III","PADD 3",IF($M14164="PADD IV","PADD 4",IF($M14164="PADD V","PADD 5","")))))</f>
        <v/>
      </c>
      <c r="G14164" s="6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  <c r="N14164" s="6">
        <f>IF(OR($G14164="FCC",$G14164="Hydrocracker",$G14164="Reformer"),IF(COUNTIFS($D:$D,$D14164,$A:$A,$A14164,$B:$B,$B14164,$G:$G,"CDU",$J:$J,"PLANNED")&gt;0,"tied","standalone"),"")</f>
        <v/>
      </c>
    </row>
    <row r="14165" spans="6:14">
      <c r="F14165" s="6">
        <f>IF($M14165="PADD I","PADD 1",IF($M14165="PADD II","PADD 2",IF($M14165="PADD III","PADD 3",IF($M14165="PADD IV","PADD 4",IF($M14165="PADD V","PADD 5","")))))</f>
        <v/>
      </c>
      <c r="G14165" s="6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  <c r="N14165" s="6">
        <f>IF(OR($G14165="FCC",$G14165="Hydrocracker",$G14165="Reformer"),IF(COUNTIFS($D:$D,$D14165,$A:$A,$A14165,$B:$B,$B14165,$G:$G,"CDU",$J:$J,"PLANNED")&gt;0,"tied","standalone"),"")</f>
        <v/>
      </c>
    </row>
    <row r="14166" spans="6:14">
      <c r="F14166" s="6">
        <f>IF($M14166="PADD I","PADD 1",IF($M14166="PADD II","PADD 2",IF($M14166="PADD III","PADD 3",IF($M14166="PADD IV","PADD 4",IF($M14166="PADD V","PADD 5","")))))</f>
        <v/>
      </c>
      <c r="G14166" s="6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  <c r="N14166" s="6">
        <f>IF(OR($G14166="FCC",$G14166="Hydrocracker",$G14166="Reformer"),IF(COUNTIFS($D:$D,$D14166,$A:$A,$A14166,$B:$B,$B14166,$G:$G,"CDU",$J:$J,"PLANNED")&gt;0,"tied","standalone"),"")</f>
        <v/>
      </c>
    </row>
    <row r="14167" spans="6:14">
      <c r="F14167" s="6">
        <f>IF($M14167="PADD I","PADD 1",IF($M14167="PADD II","PADD 2",IF($M14167="PADD III","PADD 3",IF($M14167="PADD IV","PADD 4",IF($M14167="PADD V","PADD 5","")))))</f>
        <v/>
      </c>
      <c r="G14167" s="6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  <c r="N14167" s="6">
        <f>IF(OR($G14167="FCC",$G14167="Hydrocracker",$G14167="Reformer"),IF(COUNTIFS($D:$D,$D14167,$A:$A,$A14167,$B:$B,$B14167,$G:$G,"CDU",$J:$J,"PLANNED")&gt;0,"tied","standalone"),"")</f>
        <v/>
      </c>
    </row>
    <row r="14168" spans="6:14">
      <c r="F14168" s="6">
        <f>IF($M14168="PADD I","PADD 1",IF($M14168="PADD II","PADD 2",IF($M14168="PADD III","PADD 3",IF($M14168="PADD IV","PADD 4",IF($M14168="PADD V","PADD 5","")))))</f>
        <v/>
      </c>
      <c r="G14168" s="6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  <c r="N14168" s="6">
        <f>IF(OR($G14168="FCC",$G14168="Hydrocracker",$G14168="Reformer"),IF(COUNTIFS($D:$D,$D14168,$A:$A,$A14168,$B:$B,$B14168,$G:$G,"CDU",$J:$J,"PLANNED")&gt;0,"tied","standalone"),"")</f>
        <v/>
      </c>
    </row>
    <row r="14169" spans="6:14">
      <c r="F14169" s="6">
        <f>IF($M14169="PADD I","PADD 1",IF($M14169="PADD II","PADD 2",IF($M14169="PADD III","PADD 3",IF($M14169="PADD IV","PADD 4",IF($M14169="PADD V","PADD 5","")))))</f>
        <v/>
      </c>
      <c r="G14169" s="6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  <c r="N14169" s="6">
        <f>IF(OR($G14169="FCC",$G14169="Hydrocracker",$G14169="Reformer"),IF(COUNTIFS($D:$D,$D14169,$A:$A,$A14169,$B:$B,$B14169,$G:$G,"CDU",$J:$J,"PLANNED")&gt;0,"tied","standalone"),"")</f>
        <v/>
      </c>
    </row>
    <row r="14170" spans="6:14">
      <c r="F14170" s="6">
        <f>IF($M14170="PADD I","PADD 1",IF($M14170="PADD II","PADD 2",IF($M14170="PADD III","PADD 3",IF($M14170="PADD IV","PADD 4",IF($M14170="PADD V","PADD 5","")))))</f>
        <v/>
      </c>
      <c r="G14170" s="6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  <c r="N14170" s="6">
        <f>IF(OR($G14170="FCC",$G14170="Hydrocracker",$G14170="Reformer"),IF(COUNTIFS($D:$D,$D14170,$A:$A,$A14170,$B:$B,$B14170,$G:$G,"CDU",$J:$J,"PLANNED")&gt;0,"tied","standalone"),"")</f>
        <v/>
      </c>
    </row>
    <row r="14171" spans="6:14">
      <c r="F14171" s="6">
        <f>IF($M14171="PADD I","PADD 1",IF($M14171="PADD II","PADD 2",IF($M14171="PADD III","PADD 3",IF($M14171="PADD IV","PADD 4",IF($M14171="PADD V","PADD 5","")))))</f>
        <v/>
      </c>
      <c r="G14171" s="6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  <c r="N14171" s="6">
        <f>IF(OR($G14171="FCC",$G14171="Hydrocracker",$G14171="Reformer"),IF(COUNTIFS($D:$D,$D14171,$A:$A,$A14171,$B:$B,$B14171,$G:$G,"CDU",$J:$J,"PLANNED")&gt;0,"tied","standalone"),"")</f>
        <v/>
      </c>
    </row>
    <row r="14172" spans="6:14">
      <c r="F14172" s="6">
        <f>IF($M14172="PADD I","PADD 1",IF($M14172="PADD II","PADD 2",IF($M14172="PADD III","PADD 3",IF($M14172="PADD IV","PADD 4",IF($M14172="PADD V","PADD 5","")))))</f>
        <v/>
      </c>
      <c r="G14172" s="6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  <c r="N14172" s="6">
        <f>IF(OR($G14172="FCC",$G14172="Hydrocracker",$G14172="Reformer"),IF(COUNTIFS($D:$D,$D14172,$A:$A,$A14172,$B:$B,$B14172,$G:$G,"CDU",$J:$J,"PLANNED")&gt;0,"tied","standalone"),"")</f>
        <v/>
      </c>
    </row>
    <row r="14173" spans="6:14">
      <c r="F14173" s="6">
        <f>IF($M14173="PADD I","PADD 1",IF($M14173="PADD II","PADD 2",IF($M14173="PADD III","PADD 3",IF($M14173="PADD IV","PADD 4",IF($M14173="PADD V","PADD 5","")))))</f>
        <v/>
      </c>
      <c r="G14173" s="6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  <c r="N14173" s="6">
        <f>IF(OR($G14173="FCC",$G14173="Hydrocracker",$G14173="Reformer"),IF(COUNTIFS($D:$D,$D14173,$A:$A,$A14173,$B:$B,$B14173,$G:$G,"CDU",$J:$J,"PLANNED")&gt;0,"tied","standalone"),"")</f>
        <v/>
      </c>
    </row>
    <row r="14174" spans="6:14">
      <c r="F14174" s="6">
        <f>IF($M14174="PADD I","PADD 1",IF($M14174="PADD II","PADD 2",IF($M14174="PADD III","PADD 3",IF($M14174="PADD IV","PADD 4",IF($M14174="PADD V","PADD 5","")))))</f>
        <v/>
      </c>
      <c r="G14174" s="6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  <c r="N14174" s="6">
        <f>IF(OR($G14174="FCC",$G14174="Hydrocracker",$G14174="Reformer"),IF(COUNTIFS($D:$D,$D14174,$A:$A,$A14174,$B:$B,$B14174,$G:$G,"CDU",$J:$J,"PLANNED")&gt;0,"tied","standalone"),"")</f>
        <v/>
      </c>
    </row>
    <row r="14175" spans="6:14">
      <c r="F14175" s="6">
        <f>IF($M14175="PADD I","PADD 1",IF($M14175="PADD II","PADD 2",IF($M14175="PADD III","PADD 3",IF($M14175="PADD IV","PADD 4",IF($M14175="PADD V","PADD 5","")))))</f>
        <v/>
      </c>
      <c r="G14175" s="6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  <c r="N14175" s="6">
        <f>IF(OR($G14175="FCC",$G14175="Hydrocracker",$G14175="Reformer"),IF(COUNTIFS($D:$D,$D14175,$A:$A,$A14175,$B:$B,$B14175,$G:$G,"CDU",$J:$J,"PLANNED")&gt;0,"tied","standalone"),"")</f>
        <v/>
      </c>
    </row>
    <row r="14176" spans="6:14">
      <c r="F14176" s="6">
        <f>IF($M14176="PADD I","PADD 1",IF($M14176="PADD II","PADD 2",IF($M14176="PADD III","PADD 3",IF($M14176="PADD IV","PADD 4",IF($M14176="PADD V","PADD 5","")))))</f>
        <v/>
      </c>
      <c r="G14176" s="6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  <c r="N14176" s="6">
        <f>IF(OR($G14176="FCC",$G14176="Hydrocracker",$G14176="Reformer"),IF(COUNTIFS($D:$D,$D14176,$A:$A,$A14176,$B:$B,$B14176,$G:$G,"CDU",$J:$J,"PLANNED")&gt;0,"tied","standalone"),"")</f>
        <v/>
      </c>
    </row>
    <row r="14177" spans="6:14">
      <c r="F14177" s="6">
        <f>IF($M14177="PADD I","PADD 1",IF($M14177="PADD II","PADD 2",IF($M14177="PADD III","PADD 3",IF($M14177="PADD IV","PADD 4",IF($M14177="PADD V","PADD 5","")))))</f>
        <v/>
      </c>
      <c r="G14177" s="6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  <c r="N14177" s="6">
        <f>IF(OR($G14177="FCC",$G14177="Hydrocracker",$G14177="Reformer"),IF(COUNTIFS($D:$D,$D14177,$A:$A,$A14177,$B:$B,$B14177,$G:$G,"CDU",$J:$J,"PLANNED")&gt;0,"tied","standalone"),"")</f>
        <v/>
      </c>
    </row>
    <row r="14178" spans="6:14">
      <c r="F14178" s="6">
        <f>IF($M14178="PADD I","PADD 1",IF($M14178="PADD II","PADD 2",IF($M14178="PADD III","PADD 3",IF($M14178="PADD IV","PADD 4",IF($M14178="PADD V","PADD 5","")))))</f>
        <v/>
      </c>
      <c r="G14178" s="6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  <c r="N14178" s="6">
        <f>IF(OR($G14178="FCC",$G14178="Hydrocracker",$G14178="Reformer"),IF(COUNTIFS($D:$D,$D14178,$A:$A,$A14178,$B:$B,$B14178,$G:$G,"CDU",$J:$J,"PLANNED")&gt;0,"tied","standalone"),"")</f>
        <v/>
      </c>
    </row>
    <row r="14179" spans="6:14">
      <c r="F14179" s="6">
        <f>IF($M14179="PADD I","PADD 1",IF($M14179="PADD II","PADD 2",IF($M14179="PADD III","PADD 3",IF($M14179="PADD IV","PADD 4",IF($M14179="PADD V","PADD 5","")))))</f>
        <v/>
      </c>
      <c r="G14179" s="6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  <c r="N14179" s="6">
        <f>IF(OR($G14179="FCC",$G14179="Hydrocracker",$G14179="Reformer"),IF(COUNTIFS($D:$D,$D14179,$A:$A,$A14179,$B:$B,$B14179,$G:$G,"CDU",$J:$J,"PLANNED")&gt;0,"tied","standalone"),"")</f>
        <v/>
      </c>
    </row>
    <row r="14180" spans="6:14">
      <c r="F14180" s="6">
        <f>IF($M14180="PADD I","PADD 1",IF($M14180="PADD II","PADD 2",IF($M14180="PADD III","PADD 3",IF($M14180="PADD IV","PADD 4",IF($M14180="PADD V","PADD 5","")))))</f>
        <v/>
      </c>
      <c r="G14180" s="6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  <c r="N14180" s="6">
        <f>IF(OR($G14180="FCC",$G14180="Hydrocracker",$G14180="Reformer"),IF(COUNTIFS($D:$D,$D14180,$A:$A,$A14180,$B:$B,$B14180,$G:$G,"CDU",$J:$J,"PLANNED")&gt;0,"tied","standalone"),"")</f>
        <v/>
      </c>
    </row>
    <row r="14181" spans="6:14">
      <c r="F14181" s="6">
        <f>IF($M14181="PADD I","PADD 1",IF($M14181="PADD II","PADD 2",IF($M14181="PADD III","PADD 3",IF($M14181="PADD IV","PADD 4",IF($M14181="PADD V","PADD 5","")))))</f>
        <v/>
      </c>
      <c r="G14181" s="6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  <c r="N14181" s="6">
        <f>IF(OR($G14181="FCC",$G14181="Hydrocracker",$G14181="Reformer"),IF(COUNTIFS($D:$D,$D14181,$A:$A,$A14181,$B:$B,$B14181,$G:$G,"CDU",$J:$J,"PLANNED")&gt;0,"tied","standalone"),"")</f>
        <v/>
      </c>
    </row>
    <row r="14182" spans="6:14">
      <c r="F14182" s="6">
        <f>IF($M14182="PADD I","PADD 1",IF($M14182="PADD II","PADD 2",IF($M14182="PADD III","PADD 3",IF($M14182="PADD IV","PADD 4",IF($M14182="PADD V","PADD 5","")))))</f>
        <v/>
      </c>
      <c r="G14182" s="6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  <c r="N14182" s="6">
        <f>IF(OR($G14182="FCC",$G14182="Hydrocracker",$G14182="Reformer"),IF(COUNTIFS($D:$D,$D14182,$A:$A,$A14182,$B:$B,$B14182,$G:$G,"CDU",$J:$J,"PLANNED")&gt;0,"tied","standalone"),"")</f>
        <v/>
      </c>
    </row>
    <row r="14183" spans="6:14">
      <c r="F14183" s="6">
        <f>IF($M14183="PADD I","PADD 1",IF($M14183="PADD II","PADD 2",IF($M14183="PADD III","PADD 3",IF($M14183="PADD IV","PADD 4",IF($M14183="PADD V","PADD 5","")))))</f>
        <v/>
      </c>
      <c r="G14183" s="6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  <c r="N14183" s="6">
        <f>IF(OR($G14183="FCC",$G14183="Hydrocracker",$G14183="Reformer"),IF(COUNTIFS($D:$D,$D14183,$A:$A,$A14183,$B:$B,$B14183,$G:$G,"CDU",$J:$J,"PLANNED")&gt;0,"tied","standalone"),"")</f>
        <v/>
      </c>
    </row>
    <row r="14184" spans="6:14">
      <c r="F14184" s="6">
        <f>IF($M14184="PADD I","PADD 1",IF($M14184="PADD II","PADD 2",IF($M14184="PADD III","PADD 3",IF($M14184="PADD IV","PADD 4",IF($M14184="PADD V","PADD 5","")))))</f>
        <v/>
      </c>
      <c r="G14184" s="6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  <c r="N14184" s="6">
        <f>IF(OR($G14184="FCC",$G14184="Hydrocracker",$G14184="Reformer"),IF(COUNTIFS($D:$D,$D14184,$A:$A,$A14184,$B:$B,$B14184,$G:$G,"CDU",$J:$J,"PLANNED")&gt;0,"tied","standalone"),"")</f>
        <v/>
      </c>
    </row>
    <row r="14185" spans="6:14">
      <c r="F14185" s="6">
        <f>IF($M14185="PADD I","PADD 1",IF($M14185="PADD II","PADD 2",IF($M14185="PADD III","PADD 3",IF($M14185="PADD IV","PADD 4",IF($M14185="PADD V","PADD 5","")))))</f>
        <v/>
      </c>
      <c r="G14185" s="6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  <c r="N14185" s="6">
        <f>IF(OR($G14185="FCC",$G14185="Hydrocracker",$G14185="Reformer"),IF(COUNTIFS($D:$D,$D14185,$A:$A,$A14185,$B:$B,$B14185,$G:$G,"CDU",$J:$J,"PLANNED")&gt;0,"tied","standalone"),"")</f>
        <v/>
      </c>
    </row>
    <row r="14186" spans="6:14">
      <c r="F14186" s="6">
        <f>IF($M14186="PADD I","PADD 1",IF($M14186="PADD II","PADD 2",IF($M14186="PADD III","PADD 3",IF($M14186="PADD IV","PADD 4",IF($M14186="PADD V","PADD 5","")))))</f>
        <v/>
      </c>
      <c r="G14186" s="6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  <c r="N14186" s="6">
        <f>IF(OR($G14186="FCC",$G14186="Hydrocracker",$G14186="Reformer"),IF(COUNTIFS($D:$D,$D14186,$A:$A,$A14186,$B:$B,$B14186,$G:$G,"CDU",$J:$J,"PLANNED")&gt;0,"tied","standalone"),"")</f>
        <v/>
      </c>
    </row>
    <row r="14187" spans="6:14">
      <c r="F14187" s="6">
        <f>IF($M14187="PADD I","PADD 1",IF($M14187="PADD II","PADD 2",IF($M14187="PADD III","PADD 3",IF($M14187="PADD IV","PADD 4",IF($M14187="PADD V","PADD 5","")))))</f>
        <v/>
      </c>
      <c r="G14187" s="6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  <c r="N14187" s="6">
        <f>IF(OR($G14187="FCC",$G14187="Hydrocracker",$G14187="Reformer"),IF(COUNTIFS($D:$D,$D14187,$A:$A,$A14187,$B:$B,$B14187,$G:$G,"CDU",$J:$J,"PLANNED")&gt;0,"tied","standalone"),"")</f>
        <v/>
      </c>
    </row>
    <row r="14188" spans="6:14">
      <c r="F14188" s="6">
        <f>IF($M14188="PADD I","PADD 1",IF($M14188="PADD II","PADD 2",IF($M14188="PADD III","PADD 3",IF($M14188="PADD IV","PADD 4",IF($M14188="PADD V","PADD 5","")))))</f>
        <v/>
      </c>
      <c r="G14188" s="6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  <c r="N14188" s="6">
        <f>IF(OR($G14188="FCC",$G14188="Hydrocracker",$G14188="Reformer"),IF(COUNTIFS($D:$D,$D14188,$A:$A,$A14188,$B:$B,$B14188,$G:$G,"CDU",$J:$J,"PLANNED")&gt;0,"tied","standalone"),"")</f>
        <v/>
      </c>
    </row>
    <row r="14189" spans="6:14">
      <c r="F14189" s="6">
        <f>IF($M14189="PADD I","PADD 1",IF($M14189="PADD II","PADD 2",IF($M14189="PADD III","PADD 3",IF($M14189="PADD IV","PADD 4",IF($M14189="PADD V","PADD 5","")))))</f>
        <v/>
      </c>
      <c r="G14189" s="6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  <c r="N14189" s="6">
        <f>IF(OR($G14189="FCC",$G14189="Hydrocracker",$G14189="Reformer"),IF(COUNTIFS($D:$D,$D14189,$A:$A,$A14189,$B:$B,$B14189,$G:$G,"CDU",$J:$J,"PLANNED")&gt;0,"tied","standalone"),"")</f>
        <v/>
      </c>
    </row>
    <row r="14190" spans="6:14">
      <c r="F14190" s="6">
        <f>IF($M14190="PADD I","PADD 1",IF($M14190="PADD II","PADD 2",IF($M14190="PADD III","PADD 3",IF($M14190="PADD IV","PADD 4",IF($M14190="PADD V","PADD 5","")))))</f>
        <v/>
      </c>
      <c r="G14190" s="6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  <c r="N14190" s="6">
        <f>IF(OR($G14190="FCC",$G14190="Hydrocracker",$G14190="Reformer"),IF(COUNTIFS($D:$D,$D14190,$A:$A,$A14190,$B:$B,$B14190,$G:$G,"CDU",$J:$J,"PLANNED")&gt;0,"tied","standalone"),"")</f>
        <v/>
      </c>
    </row>
    <row r="14191" spans="6:14">
      <c r="F14191" s="6">
        <f>IF($M14191="PADD I","PADD 1",IF($M14191="PADD II","PADD 2",IF($M14191="PADD III","PADD 3",IF($M14191="PADD IV","PADD 4",IF($M14191="PADD V","PADD 5","")))))</f>
        <v/>
      </c>
      <c r="G14191" s="6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  <c r="N14191" s="6">
        <f>IF(OR($G14191="FCC",$G14191="Hydrocracker",$G14191="Reformer"),IF(COUNTIFS($D:$D,$D14191,$A:$A,$A14191,$B:$B,$B14191,$G:$G,"CDU",$J:$J,"PLANNED")&gt;0,"tied","standalone"),"")</f>
        <v/>
      </c>
    </row>
    <row r="14192" spans="6:14">
      <c r="F14192" s="6">
        <f>IF($M14192="PADD I","PADD 1",IF($M14192="PADD II","PADD 2",IF($M14192="PADD III","PADD 3",IF($M14192="PADD IV","PADD 4",IF($M14192="PADD V","PADD 5","")))))</f>
        <v/>
      </c>
      <c r="G14192" s="6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  <c r="N14192" s="6">
        <f>IF(OR($G14192="FCC",$G14192="Hydrocracker",$G14192="Reformer"),IF(COUNTIFS($D:$D,$D14192,$A:$A,$A14192,$B:$B,$B14192,$G:$G,"CDU",$J:$J,"PLANNED")&gt;0,"tied","standalone"),"")</f>
        <v/>
      </c>
    </row>
    <row r="14193" spans="6:14">
      <c r="F14193" s="6">
        <f>IF($M14193="PADD I","PADD 1",IF($M14193="PADD II","PADD 2",IF($M14193="PADD III","PADD 3",IF($M14193="PADD IV","PADD 4",IF($M14193="PADD V","PADD 5","")))))</f>
        <v/>
      </c>
      <c r="G14193" s="6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  <c r="N14193" s="6">
        <f>IF(OR($G14193="FCC",$G14193="Hydrocracker",$G14193="Reformer"),IF(COUNTIFS($D:$D,$D14193,$A:$A,$A14193,$B:$B,$B14193,$G:$G,"CDU",$J:$J,"PLANNED")&gt;0,"tied","standalone"),"")</f>
        <v/>
      </c>
    </row>
    <row r="14194" spans="6:14">
      <c r="F14194" s="6">
        <f>IF($M14194="PADD I","PADD 1",IF($M14194="PADD II","PADD 2",IF($M14194="PADD III","PADD 3",IF($M14194="PADD IV","PADD 4",IF($M14194="PADD V","PADD 5","")))))</f>
        <v/>
      </c>
      <c r="G14194" s="6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  <c r="N14194" s="6">
        <f>IF(OR($G14194="FCC",$G14194="Hydrocracker",$G14194="Reformer"),IF(COUNTIFS($D:$D,$D14194,$A:$A,$A14194,$B:$B,$B14194,$G:$G,"CDU",$J:$J,"PLANNED")&gt;0,"tied","standalone"),"")</f>
        <v/>
      </c>
    </row>
    <row r="14195" spans="6:14">
      <c r="F14195" s="6">
        <f>IF($M14195="PADD I","PADD 1",IF($M14195="PADD II","PADD 2",IF($M14195="PADD III","PADD 3",IF($M14195="PADD IV","PADD 4",IF($M14195="PADD V","PADD 5","")))))</f>
        <v/>
      </c>
      <c r="G14195" s="6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  <c r="N14195" s="6">
        <f>IF(OR($G14195="FCC",$G14195="Hydrocracker",$G14195="Reformer"),IF(COUNTIFS($D:$D,$D14195,$A:$A,$A14195,$B:$B,$B14195,$G:$G,"CDU",$J:$J,"PLANNED")&gt;0,"tied","standalone"),"")</f>
        <v/>
      </c>
    </row>
    <row r="14196" spans="6:14">
      <c r="F14196" s="6">
        <f>IF($M14196="PADD I","PADD 1",IF($M14196="PADD II","PADD 2",IF($M14196="PADD III","PADD 3",IF($M14196="PADD IV","PADD 4",IF($M14196="PADD V","PADD 5","")))))</f>
        <v/>
      </c>
      <c r="G14196" s="6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  <c r="N14196" s="6">
        <f>IF(OR($G14196="FCC",$G14196="Hydrocracker",$G14196="Reformer"),IF(COUNTIFS($D:$D,$D14196,$A:$A,$A14196,$B:$B,$B14196,$G:$G,"CDU",$J:$J,"PLANNED")&gt;0,"tied","standalone"),"")</f>
        <v/>
      </c>
    </row>
    <row r="14197" spans="6:14">
      <c r="F14197" s="6">
        <f>IF($M14197="PADD I","PADD 1",IF($M14197="PADD II","PADD 2",IF($M14197="PADD III","PADD 3",IF($M14197="PADD IV","PADD 4",IF($M14197="PADD V","PADD 5","")))))</f>
        <v/>
      </c>
      <c r="G14197" s="6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  <c r="N14197" s="6">
        <f>IF(OR($G14197="FCC",$G14197="Hydrocracker",$G14197="Reformer"),IF(COUNTIFS($D:$D,$D14197,$A:$A,$A14197,$B:$B,$B14197,$G:$G,"CDU",$J:$J,"PLANNED")&gt;0,"tied","standalone"),"")</f>
        <v/>
      </c>
    </row>
    <row r="14198" spans="6:14">
      <c r="F14198" s="6">
        <f>IF($M14198="PADD I","PADD 1",IF($M14198="PADD II","PADD 2",IF($M14198="PADD III","PADD 3",IF($M14198="PADD IV","PADD 4",IF($M14198="PADD V","PADD 5","")))))</f>
        <v/>
      </c>
      <c r="G14198" s="6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  <c r="N14198" s="6">
        <f>IF(OR($G14198="FCC",$G14198="Hydrocracker",$G14198="Reformer"),IF(COUNTIFS($D:$D,$D14198,$A:$A,$A14198,$B:$B,$B14198,$G:$G,"CDU",$J:$J,"PLANNED")&gt;0,"tied","standalone"),"")</f>
        <v/>
      </c>
    </row>
    <row r="14199" spans="6:14">
      <c r="F14199" s="6">
        <f>IF($M14199="PADD I","PADD 1",IF($M14199="PADD II","PADD 2",IF($M14199="PADD III","PADD 3",IF($M14199="PADD IV","PADD 4",IF($M14199="PADD V","PADD 5","")))))</f>
        <v/>
      </c>
      <c r="G14199" s="6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  <c r="N14199" s="6">
        <f>IF(OR($G14199="FCC",$G14199="Hydrocracker",$G14199="Reformer"),IF(COUNTIFS($D:$D,$D14199,$A:$A,$A14199,$B:$B,$B14199,$G:$G,"CDU",$J:$J,"PLANNED")&gt;0,"tied","standalone"),"")</f>
        <v/>
      </c>
    </row>
    <row r="14200" spans="6:14">
      <c r="F14200" s="6">
        <f>IF($M14200="PADD I","PADD 1",IF($M14200="PADD II","PADD 2",IF($M14200="PADD III","PADD 3",IF($M14200="PADD IV","PADD 4",IF($M14200="PADD V","PADD 5","")))))</f>
        <v/>
      </c>
      <c r="G14200" s="6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  <c r="N14200" s="6">
        <f>IF(OR($G14200="FCC",$G14200="Hydrocracker",$G14200="Reformer"),IF(COUNTIFS($D:$D,$D14200,$A:$A,$A14200,$B:$B,$B14200,$G:$G,"CDU",$J:$J,"PLANNED")&gt;0,"tied","standalone"),"")</f>
        <v/>
      </c>
    </row>
    <row r="14201" spans="6:14">
      <c r="F14201" s="6">
        <f>IF($M14201="PADD I","PADD 1",IF($M14201="PADD II","PADD 2",IF($M14201="PADD III","PADD 3",IF($M14201="PADD IV","PADD 4",IF($M14201="PADD V","PADD 5","")))))</f>
        <v/>
      </c>
      <c r="G14201" s="6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  <c r="N14201" s="6">
        <f>IF(OR($G14201="FCC",$G14201="Hydrocracker",$G14201="Reformer"),IF(COUNTIFS($D:$D,$D14201,$A:$A,$A14201,$B:$B,$B14201,$G:$G,"CDU",$J:$J,"PLANNED")&gt;0,"tied","standalone"),"")</f>
        <v/>
      </c>
    </row>
    <row r="14202" spans="6:14">
      <c r="F14202" s="6">
        <f>IF($M14202="PADD I","PADD 1",IF($M14202="PADD II","PADD 2",IF($M14202="PADD III","PADD 3",IF($M14202="PADD IV","PADD 4",IF($M14202="PADD V","PADD 5","")))))</f>
        <v/>
      </c>
      <c r="G14202" s="6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  <c r="N14202" s="6">
        <f>IF(OR($G14202="FCC",$G14202="Hydrocracker",$G14202="Reformer"),IF(COUNTIFS($D:$D,$D14202,$A:$A,$A14202,$B:$B,$B14202,$G:$G,"CDU",$J:$J,"PLANNED")&gt;0,"tied","standalone"),"")</f>
        <v/>
      </c>
    </row>
    <row r="14203" spans="6:14">
      <c r="F14203" s="6">
        <f>IF($M14203="PADD I","PADD 1",IF($M14203="PADD II","PADD 2",IF($M14203="PADD III","PADD 3",IF($M14203="PADD IV","PADD 4",IF($M14203="PADD V","PADD 5","")))))</f>
        <v/>
      </c>
      <c r="G14203" s="6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  <c r="N14203" s="6">
        <f>IF(OR($G14203="FCC",$G14203="Hydrocracker",$G14203="Reformer"),IF(COUNTIFS($D:$D,$D14203,$A:$A,$A14203,$B:$B,$B14203,$G:$G,"CDU",$J:$J,"PLANNED")&gt;0,"tied","standalone"),"")</f>
        <v/>
      </c>
    </row>
    <row r="14204" spans="6:14">
      <c r="F14204" s="6">
        <f>IF($M14204="PADD I","PADD 1",IF($M14204="PADD II","PADD 2",IF($M14204="PADD III","PADD 3",IF($M14204="PADD IV","PADD 4",IF($M14204="PADD V","PADD 5","")))))</f>
        <v/>
      </c>
      <c r="G14204" s="6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  <c r="N14204" s="6">
        <f>IF(OR($G14204="FCC",$G14204="Hydrocracker",$G14204="Reformer"),IF(COUNTIFS($D:$D,$D14204,$A:$A,$A14204,$B:$B,$B14204,$G:$G,"CDU",$J:$J,"PLANNED")&gt;0,"tied","standalone"),"")</f>
        <v/>
      </c>
    </row>
    <row r="14205" spans="6:14">
      <c r="F14205" s="6">
        <f>IF($M14205="PADD I","PADD 1",IF($M14205="PADD II","PADD 2",IF($M14205="PADD III","PADD 3",IF($M14205="PADD IV","PADD 4",IF($M14205="PADD V","PADD 5","")))))</f>
        <v/>
      </c>
      <c r="G14205" s="6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  <c r="N14205" s="6">
        <f>IF(OR($G14205="FCC",$G14205="Hydrocracker",$G14205="Reformer"),IF(COUNTIFS($D:$D,$D14205,$A:$A,$A14205,$B:$B,$B14205,$G:$G,"CDU",$J:$J,"PLANNED")&gt;0,"tied","standalone"),"")</f>
        <v/>
      </c>
    </row>
    <row r="14206" spans="6:14">
      <c r="F14206" s="6">
        <f>IF($M14206="PADD I","PADD 1",IF($M14206="PADD II","PADD 2",IF($M14206="PADD III","PADD 3",IF($M14206="PADD IV","PADD 4",IF($M14206="PADD V","PADD 5","")))))</f>
        <v/>
      </c>
      <c r="G14206" s="6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  <c r="N14206" s="6">
        <f>IF(OR($G14206="FCC",$G14206="Hydrocracker",$G14206="Reformer"),IF(COUNTIFS($D:$D,$D14206,$A:$A,$A14206,$B:$B,$B14206,$G:$G,"CDU",$J:$J,"PLANNED")&gt;0,"tied","standalone"),"")</f>
        <v/>
      </c>
    </row>
    <row r="14207" spans="6:14">
      <c r="F14207" s="6">
        <f>IF($M14207="PADD I","PADD 1",IF($M14207="PADD II","PADD 2",IF($M14207="PADD III","PADD 3",IF($M14207="PADD IV","PADD 4",IF($M14207="PADD V","PADD 5","")))))</f>
        <v/>
      </c>
      <c r="G14207" s="6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  <c r="N14207" s="6">
        <f>IF(OR($G14207="FCC",$G14207="Hydrocracker",$G14207="Reformer"),IF(COUNTIFS($D:$D,$D14207,$A:$A,$A14207,$B:$B,$B14207,$G:$G,"CDU",$J:$J,"PLANNED")&gt;0,"tied","standalone"),"")</f>
        <v/>
      </c>
    </row>
    <row r="14208" spans="6:14">
      <c r="F14208" s="6">
        <f>IF($M14208="PADD I","PADD 1",IF($M14208="PADD II","PADD 2",IF($M14208="PADD III","PADD 3",IF($M14208="PADD IV","PADD 4",IF($M14208="PADD V","PADD 5","")))))</f>
        <v/>
      </c>
      <c r="G14208" s="6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  <c r="N14208" s="6">
        <f>IF(OR($G14208="FCC",$G14208="Hydrocracker",$G14208="Reformer"),IF(COUNTIFS($D:$D,$D14208,$A:$A,$A14208,$B:$B,$B14208,$G:$G,"CDU",$J:$J,"PLANNED")&gt;0,"tied","standalone"),"")</f>
        <v/>
      </c>
    </row>
    <row r="14209" spans="6:14">
      <c r="F14209" s="6">
        <f>IF($M14209="PADD I","PADD 1",IF($M14209="PADD II","PADD 2",IF($M14209="PADD III","PADD 3",IF($M14209="PADD IV","PADD 4",IF($M14209="PADD V","PADD 5","")))))</f>
        <v/>
      </c>
      <c r="G14209" s="6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  <c r="N14209" s="6">
        <f>IF(OR($G14209="FCC",$G14209="Hydrocracker",$G14209="Reformer"),IF(COUNTIFS($D:$D,$D14209,$A:$A,$A14209,$B:$B,$B14209,$G:$G,"CDU",$J:$J,"PLANNED")&gt;0,"tied","standalone"),"")</f>
        <v/>
      </c>
    </row>
    <row r="14210" spans="6:14">
      <c r="F14210" s="6">
        <f>IF($M14210="PADD I","PADD 1",IF($M14210="PADD II","PADD 2",IF($M14210="PADD III","PADD 3",IF($M14210="PADD IV","PADD 4",IF($M14210="PADD V","PADD 5","")))))</f>
        <v/>
      </c>
      <c r="G14210" s="6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  <c r="N14210" s="6">
        <f>IF(OR($G14210="FCC",$G14210="Hydrocracker",$G14210="Reformer"),IF(COUNTIFS($D:$D,$D14210,$A:$A,$A14210,$B:$B,$B14210,$G:$G,"CDU",$J:$J,"PLANNED")&gt;0,"tied","standalone"),"")</f>
        <v/>
      </c>
    </row>
    <row r="14211" spans="6:14">
      <c r="F14211" s="6">
        <f>IF($M14211="PADD I","PADD 1",IF($M14211="PADD II","PADD 2",IF($M14211="PADD III","PADD 3",IF($M14211="PADD IV","PADD 4",IF($M14211="PADD V","PADD 5","")))))</f>
        <v/>
      </c>
      <c r="G14211" s="6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  <c r="N14211" s="6">
        <f>IF(OR($G14211="FCC",$G14211="Hydrocracker",$G14211="Reformer"),IF(COUNTIFS($D:$D,$D14211,$A:$A,$A14211,$B:$B,$B14211,$G:$G,"CDU",$J:$J,"PLANNED")&gt;0,"tied","standalone"),"")</f>
        <v/>
      </c>
    </row>
    <row r="14212" spans="6:14">
      <c r="F14212" s="6">
        <f>IF($M14212="PADD I","PADD 1",IF($M14212="PADD II","PADD 2",IF($M14212="PADD III","PADD 3",IF($M14212="PADD IV","PADD 4",IF($M14212="PADD V","PADD 5","")))))</f>
        <v/>
      </c>
      <c r="G14212" s="6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  <c r="N14212" s="6">
        <f>IF(OR($G14212="FCC",$G14212="Hydrocracker",$G14212="Reformer"),IF(COUNTIFS($D:$D,$D14212,$A:$A,$A14212,$B:$B,$B14212,$G:$G,"CDU",$J:$J,"PLANNED")&gt;0,"tied","standalone"),"")</f>
        <v/>
      </c>
    </row>
    <row r="14213" spans="6:14">
      <c r="F14213" s="6">
        <f>IF($M14213="PADD I","PADD 1",IF($M14213="PADD II","PADD 2",IF($M14213="PADD III","PADD 3",IF($M14213="PADD IV","PADD 4",IF($M14213="PADD V","PADD 5","")))))</f>
        <v/>
      </c>
      <c r="G14213" s="6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  <c r="N14213" s="6">
        <f>IF(OR($G14213="FCC",$G14213="Hydrocracker",$G14213="Reformer"),IF(COUNTIFS($D:$D,$D14213,$A:$A,$A14213,$B:$B,$B14213,$G:$G,"CDU",$J:$J,"PLANNED")&gt;0,"tied","standalone"),"")</f>
        <v/>
      </c>
    </row>
    <row r="14214" spans="6:14">
      <c r="F14214" s="6">
        <f>IF($M14214="PADD I","PADD 1",IF($M14214="PADD II","PADD 2",IF($M14214="PADD III","PADD 3",IF($M14214="PADD IV","PADD 4",IF($M14214="PADD V","PADD 5","")))))</f>
        <v/>
      </c>
      <c r="G14214" s="6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  <c r="N14214" s="6">
        <f>IF(OR($G14214="FCC",$G14214="Hydrocracker",$G14214="Reformer"),IF(COUNTIFS($D:$D,$D14214,$A:$A,$A14214,$B:$B,$B14214,$G:$G,"CDU",$J:$J,"PLANNED")&gt;0,"tied","standalone"),"")</f>
        <v/>
      </c>
    </row>
    <row r="14215" spans="6:14">
      <c r="F14215" s="6">
        <f>IF($M14215="PADD I","PADD 1",IF($M14215="PADD II","PADD 2",IF($M14215="PADD III","PADD 3",IF($M14215="PADD IV","PADD 4",IF($M14215="PADD V","PADD 5","")))))</f>
        <v/>
      </c>
      <c r="G14215" s="6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  <c r="N14215" s="6">
        <f>IF(OR($G14215="FCC",$G14215="Hydrocracker",$G14215="Reformer"),IF(COUNTIFS($D:$D,$D14215,$A:$A,$A14215,$B:$B,$B14215,$G:$G,"CDU",$J:$J,"PLANNED")&gt;0,"tied","standalone"),"")</f>
        <v/>
      </c>
    </row>
    <row r="14216" spans="6:14">
      <c r="F14216" s="6">
        <f>IF($M14216="PADD I","PADD 1",IF($M14216="PADD II","PADD 2",IF($M14216="PADD III","PADD 3",IF($M14216="PADD IV","PADD 4",IF($M14216="PADD V","PADD 5","")))))</f>
        <v/>
      </c>
      <c r="G14216" s="6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  <c r="N14216" s="6">
        <f>IF(OR($G14216="FCC",$G14216="Hydrocracker",$G14216="Reformer"),IF(COUNTIFS($D:$D,$D14216,$A:$A,$A14216,$B:$B,$B14216,$G:$G,"CDU",$J:$J,"PLANNED")&gt;0,"tied","standalone"),"")</f>
        <v/>
      </c>
    </row>
    <row r="14217" spans="6:14">
      <c r="F14217" s="6">
        <f>IF($M14217="PADD I","PADD 1",IF($M14217="PADD II","PADD 2",IF($M14217="PADD III","PADD 3",IF($M14217="PADD IV","PADD 4",IF($M14217="PADD V","PADD 5","")))))</f>
        <v/>
      </c>
      <c r="G14217" s="6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  <c r="N14217" s="6">
        <f>IF(OR($G14217="FCC",$G14217="Hydrocracker",$G14217="Reformer"),IF(COUNTIFS($D:$D,$D14217,$A:$A,$A14217,$B:$B,$B14217,$G:$G,"CDU",$J:$J,"PLANNED")&gt;0,"tied","standalone"),"")</f>
        <v/>
      </c>
    </row>
    <row r="14218" spans="6:14">
      <c r="F14218" s="6">
        <f>IF($M14218="PADD I","PADD 1",IF($M14218="PADD II","PADD 2",IF($M14218="PADD III","PADD 3",IF($M14218="PADD IV","PADD 4",IF($M14218="PADD V","PADD 5","")))))</f>
        <v/>
      </c>
      <c r="G14218" s="6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  <c r="N14218" s="6">
        <f>IF(OR($G14218="FCC",$G14218="Hydrocracker",$G14218="Reformer"),IF(COUNTIFS($D:$D,$D14218,$A:$A,$A14218,$B:$B,$B14218,$G:$G,"CDU",$J:$J,"PLANNED")&gt;0,"tied","standalone"),"")</f>
        <v/>
      </c>
    </row>
    <row r="14219" spans="6:14">
      <c r="F14219" s="6">
        <f>IF($M14219="PADD I","PADD 1",IF($M14219="PADD II","PADD 2",IF($M14219="PADD III","PADD 3",IF($M14219="PADD IV","PADD 4",IF($M14219="PADD V","PADD 5","")))))</f>
        <v/>
      </c>
      <c r="G14219" s="6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  <c r="N14219" s="6">
        <f>IF(OR($G14219="FCC",$G14219="Hydrocracker",$G14219="Reformer"),IF(COUNTIFS($D:$D,$D14219,$A:$A,$A14219,$B:$B,$B14219,$G:$G,"CDU",$J:$J,"PLANNED")&gt;0,"tied","standalone"),"")</f>
        <v/>
      </c>
    </row>
    <row r="14220" spans="6:14">
      <c r="F14220" s="6">
        <f>IF($M14220="PADD I","PADD 1",IF($M14220="PADD II","PADD 2",IF($M14220="PADD III","PADD 3",IF($M14220="PADD IV","PADD 4",IF($M14220="PADD V","PADD 5","")))))</f>
        <v/>
      </c>
      <c r="G14220" s="6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  <c r="N14220" s="6">
        <f>IF(OR($G14220="FCC",$G14220="Hydrocracker",$G14220="Reformer"),IF(COUNTIFS($D:$D,$D14220,$A:$A,$A14220,$B:$B,$B14220,$G:$G,"CDU",$J:$J,"PLANNED")&gt;0,"tied","standalone"),"")</f>
        <v/>
      </c>
    </row>
    <row r="14221" spans="6:14">
      <c r="F14221" s="6">
        <f>IF($M14221="PADD I","PADD 1",IF($M14221="PADD II","PADD 2",IF($M14221="PADD III","PADD 3",IF($M14221="PADD IV","PADD 4",IF($M14221="PADD V","PADD 5","")))))</f>
        <v/>
      </c>
      <c r="G14221" s="6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  <c r="N14221" s="6">
        <f>IF(OR($G14221="FCC",$G14221="Hydrocracker",$G14221="Reformer"),IF(COUNTIFS($D:$D,$D14221,$A:$A,$A14221,$B:$B,$B14221,$G:$G,"CDU",$J:$J,"PLANNED")&gt;0,"tied","standalone"),"")</f>
        <v/>
      </c>
    </row>
    <row r="14222" spans="6:14">
      <c r="F14222" s="6">
        <f>IF($M14222="PADD I","PADD 1",IF($M14222="PADD II","PADD 2",IF($M14222="PADD III","PADD 3",IF($M14222="PADD IV","PADD 4",IF($M14222="PADD V","PADD 5","")))))</f>
        <v/>
      </c>
      <c r="G14222" s="6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  <c r="N14222" s="6">
        <f>IF(OR($G14222="FCC",$G14222="Hydrocracker",$G14222="Reformer"),IF(COUNTIFS($D:$D,$D14222,$A:$A,$A14222,$B:$B,$B14222,$G:$G,"CDU",$J:$J,"PLANNED")&gt;0,"tied","standalone"),"")</f>
        <v/>
      </c>
    </row>
    <row r="14223" spans="6:14">
      <c r="F14223" s="6">
        <f>IF($M14223="PADD I","PADD 1",IF($M14223="PADD II","PADD 2",IF($M14223="PADD III","PADD 3",IF($M14223="PADD IV","PADD 4",IF($M14223="PADD V","PADD 5","")))))</f>
        <v/>
      </c>
      <c r="G14223" s="6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  <c r="N14223" s="6">
        <f>IF(OR($G14223="FCC",$G14223="Hydrocracker",$G14223="Reformer"),IF(COUNTIFS($D:$D,$D14223,$A:$A,$A14223,$B:$B,$B14223,$G:$G,"CDU",$J:$J,"PLANNED")&gt;0,"tied","standalone"),"")</f>
        <v/>
      </c>
    </row>
    <row r="14224" spans="6:14">
      <c r="F14224" s="6">
        <f>IF($M14224="PADD I","PADD 1",IF($M14224="PADD II","PADD 2",IF($M14224="PADD III","PADD 3",IF($M14224="PADD IV","PADD 4",IF($M14224="PADD V","PADD 5","")))))</f>
        <v/>
      </c>
      <c r="G14224" s="6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  <c r="N14224" s="6">
        <f>IF(OR($G14224="FCC",$G14224="Hydrocracker",$G14224="Reformer"),IF(COUNTIFS($D:$D,$D14224,$A:$A,$A14224,$B:$B,$B14224,$G:$G,"CDU",$J:$J,"PLANNED")&gt;0,"tied","standalone"),"")</f>
        <v/>
      </c>
    </row>
    <row r="14225" spans="6:14">
      <c r="F14225" s="6">
        <f>IF($M14225="PADD I","PADD 1",IF($M14225="PADD II","PADD 2",IF($M14225="PADD III","PADD 3",IF($M14225="PADD IV","PADD 4",IF($M14225="PADD V","PADD 5","")))))</f>
        <v/>
      </c>
      <c r="G14225" s="6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  <c r="N14225" s="6">
        <f>IF(OR($G14225="FCC",$G14225="Hydrocracker",$G14225="Reformer"),IF(COUNTIFS($D:$D,$D14225,$A:$A,$A14225,$B:$B,$B14225,$G:$G,"CDU",$J:$J,"PLANNED")&gt;0,"tied","standalone"),"")</f>
        <v/>
      </c>
    </row>
    <row r="14226" spans="6:14">
      <c r="F14226" s="6">
        <f>IF($M14226="PADD I","PADD 1",IF($M14226="PADD II","PADD 2",IF($M14226="PADD III","PADD 3",IF($M14226="PADD IV","PADD 4",IF($M14226="PADD V","PADD 5","")))))</f>
        <v/>
      </c>
      <c r="G14226" s="6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  <c r="N14226" s="6">
        <f>IF(OR($G14226="FCC",$G14226="Hydrocracker",$G14226="Reformer"),IF(COUNTIFS($D:$D,$D14226,$A:$A,$A14226,$B:$B,$B14226,$G:$G,"CDU",$J:$J,"PLANNED")&gt;0,"tied","standalone"),"")</f>
        <v/>
      </c>
    </row>
    <row r="14227" spans="6:14">
      <c r="F14227" s="6">
        <f>IF($M14227="PADD I","PADD 1",IF($M14227="PADD II","PADD 2",IF($M14227="PADD III","PADD 3",IF($M14227="PADD IV","PADD 4",IF($M14227="PADD V","PADD 5","")))))</f>
        <v/>
      </c>
      <c r="G14227" s="6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  <c r="N14227" s="6">
        <f>IF(OR($G14227="FCC",$G14227="Hydrocracker",$G14227="Reformer"),IF(COUNTIFS($D:$D,$D14227,$A:$A,$A14227,$B:$B,$B14227,$G:$G,"CDU",$J:$J,"PLANNED")&gt;0,"tied","standalone"),"")</f>
        <v/>
      </c>
    </row>
    <row r="14228" spans="6:14">
      <c r="F14228" s="6">
        <f>IF($M14228="PADD I","PADD 1",IF($M14228="PADD II","PADD 2",IF($M14228="PADD III","PADD 3",IF($M14228="PADD IV","PADD 4",IF($M14228="PADD V","PADD 5","")))))</f>
        <v/>
      </c>
      <c r="G14228" s="6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  <c r="N14228" s="6">
        <f>IF(OR($G14228="FCC",$G14228="Hydrocracker",$G14228="Reformer"),IF(COUNTIFS($D:$D,$D14228,$A:$A,$A14228,$B:$B,$B14228,$G:$G,"CDU",$J:$J,"PLANNED")&gt;0,"tied","standalone"),"")</f>
        <v/>
      </c>
    </row>
    <row r="14229" spans="6:14">
      <c r="F14229" s="6">
        <f>IF($M14229="PADD I","PADD 1",IF($M14229="PADD II","PADD 2",IF($M14229="PADD III","PADD 3",IF($M14229="PADD IV","PADD 4",IF($M14229="PADD V","PADD 5","")))))</f>
        <v/>
      </c>
      <c r="G14229" s="6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  <c r="N14229" s="6">
        <f>IF(OR($G14229="FCC",$G14229="Hydrocracker",$G14229="Reformer"),IF(COUNTIFS($D:$D,$D14229,$A:$A,$A14229,$B:$B,$B14229,$G:$G,"CDU",$J:$J,"PLANNED")&gt;0,"tied","standalone"),"")</f>
        <v/>
      </c>
    </row>
    <row r="14230" spans="6:14">
      <c r="F14230" s="6">
        <f>IF($M14230="PADD I","PADD 1",IF($M14230="PADD II","PADD 2",IF($M14230="PADD III","PADD 3",IF($M14230="PADD IV","PADD 4",IF($M14230="PADD V","PADD 5","")))))</f>
        <v/>
      </c>
      <c r="G14230" s="6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  <c r="N14230" s="6">
        <f>IF(OR($G14230="FCC",$G14230="Hydrocracker",$G14230="Reformer"),IF(COUNTIFS($D:$D,$D14230,$A:$A,$A14230,$B:$B,$B14230,$G:$G,"CDU",$J:$J,"PLANNED")&gt;0,"tied","standalone"),"")</f>
        <v/>
      </c>
    </row>
    <row r="14231" spans="6:14">
      <c r="F14231" s="6">
        <f>IF($M14231="PADD I","PADD 1",IF($M14231="PADD II","PADD 2",IF($M14231="PADD III","PADD 3",IF($M14231="PADD IV","PADD 4",IF($M14231="PADD V","PADD 5","")))))</f>
        <v/>
      </c>
      <c r="G14231" s="6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  <c r="N14231" s="6">
        <f>IF(OR($G14231="FCC",$G14231="Hydrocracker",$G14231="Reformer"),IF(COUNTIFS($D:$D,$D14231,$A:$A,$A14231,$B:$B,$B14231,$G:$G,"CDU",$J:$J,"PLANNED")&gt;0,"tied","standalone"),"")</f>
        <v/>
      </c>
    </row>
    <row r="14232" spans="6:14">
      <c r="F14232" s="6">
        <f>IF($M14232="PADD I","PADD 1",IF($M14232="PADD II","PADD 2",IF($M14232="PADD III","PADD 3",IF($M14232="PADD IV","PADD 4",IF($M14232="PADD V","PADD 5","")))))</f>
        <v/>
      </c>
      <c r="G14232" s="6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  <c r="N14232" s="6">
        <f>IF(OR($G14232="FCC",$G14232="Hydrocracker",$G14232="Reformer"),IF(COUNTIFS($D:$D,$D14232,$A:$A,$A14232,$B:$B,$B14232,$G:$G,"CDU",$J:$J,"PLANNED")&gt;0,"tied","standalone"),"")</f>
        <v/>
      </c>
    </row>
    <row r="14233" spans="6:14">
      <c r="F14233" s="6">
        <f>IF($M14233="PADD I","PADD 1",IF($M14233="PADD II","PADD 2",IF($M14233="PADD III","PADD 3",IF($M14233="PADD IV","PADD 4",IF($M14233="PADD V","PADD 5","")))))</f>
        <v/>
      </c>
      <c r="G14233" s="6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  <c r="N14233" s="6">
        <f>IF(OR($G14233="FCC",$G14233="Hydrocracker",$G14233="Reformer"),IF(COUNTIFS($D:$D,$D14233,$A:$A,$A14233,$B:$B,$B14233,$G:$G,"CDU",$J:$J,"PLANNED")&gt;0,"tied","standalone"),"")</f>
        <v/>
      </c>
    </row>
    <row r="14234" spans="6:14">
      <c r="F14234" s="6">
        <f>IF($M14234="PADD I","PADD 1",IF($M14234="PADD II","PADD 2",IF($M14234="PADD III","PADD 3",IF($M14234="PADD IV","PADD 4",IF($M14234="PADD V","PADD 5","")))))</f>
        <v/>
      </c>
      <c r="G14234" s="6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  <c r="N14234" s="6">
        <f>IF(OR($G14234="FCC",$G14234="Hydrocracker",$G14234="Reformer"),IF(COUNTIFS($D:$D,$D14234,$A:$A,$A14234,$B:$B,$B14234,$G:$G,"CDU",$J:$J,"PLANNED")&gt;0,"tied","standalone"),"")</f>
        <v/>
      </c>
    </row>
    <row r="14235" spans="6:14">
      <c r="F14235" s="6">
        <f>IF($M14235="PADD I","PADD 1",IF($M14235="PADD II","PADD 2",IF($M14235="PADD III","PADD 3",IF($M14235="PADD IV","PADD 4",IF($M14235="PADD V","PADD 5","")))))</f>
        <v/>
      </c>
      <c r="G14235" s="6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  <c r="N14235" s="6">
        <f>IF(OR($G14235="FCC",$G14235="Hydrocracker",$G14235="Reformer"),IF(COUNTIFS($D:$D,$D14235,$A:$A,$A14235,$B:$B,$B14235,$G:$G,"CDU",$J:$J,"PLANNED")&gt;0,"tied","standalone"),"")</f>
        <v/>
      </c>
    </row>
    <row r="14236" spans="6:14">
      <c r="F14236" s="6">
        <f>IF($M14236="PADD I","PADD 1",IF($M14236="PADD II","PADD 2",IF($M14236="PADD III","PADD 3",IF($M14236="PADD IV","PADD 4",IF($M14236="PADD V","PADD 5","")))))</f>
        <v/>
      </c>
      <c r="G14236" s="6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  <c r="N14236" s="6">
        <f>IF(OR($G14236="FCC",$G14236="Hydrocracker",$G14236="Reformer"),IF(COUNTIFS($D:$D,$D14236,$A:$A,$A14236,$B:$B,$B14236,$G:$G,"CDU",$J:$J,"PLANNED")&gt;0,"tied","standalone"),"")</f>
        <v/>
      </c>
    </row>
    <row r="14237" spans="6:14">
      <c r="F14237" s="6">
        <f>IF($M14237="PADD I","PADD 1",IF($M14237="PADD II","PADD 2",IF($M14237="PADD III","PADD 3",IF($M14237="PADD IV","PADD 4",IF($M14237="PADD V","PADD 5","")))))</f>
        <v/>
      </c>
      <c r="G14237" s="6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  <c r="N14237" s="6">
        <f>IF(OR($G14237="FCC",$G14237="Hydrocracker",$G14237="Reformer"),IF(COUNTIFS($D:$D,$D14237,$A:$A,$A14237,$B:$B,$B14237,$G:$G,"CDU",$J:$J,"PLANNED")&gt;0,"tied","standalone"),"")</f>
        <v/>
      </c>
    </row>
    <row r="14238" spans="6:14">
      <c r="F14238" s="6">
        <f>IF($M14238="PADD I","PADD 1",IF($M14238="PADD II","PADD 2",IF($M14238="PADD III","PADD 3",IF($M14238="PADD IV","PADD 4",IF($M14238="PADD V","PADD 5","")))))</f>
        <v/>
      </c>
      <c r="G14238" s="6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  <c r="N14238" s="6">
        <f>IF(OR($G14238="FCC",$G14238="Hydrocracker",$G14238="Reformer"),IF(COUNTIFS($D:$D,$D14238,$A:$A,$A14238,$B:$B,$B14238,$G:$G,"CDU",$J:$J,"PLANNED")&gt;0,"tied","standalone"),"")</f>
        <v/>
      </c>
    </row>
    <row r="14239" spans="6:14">
      <c r="F14239" s="6">
        <f>IF($M14239="PADD I","PADD 1",IF($M14239="PADD II","PADD 2",IF($M14239="PADD III","PADD 3",IF($M14239="PADD IV","PADD 4",IF($M14239="PADD V","PADD 5","")))))</f>
        <v/>
      </c>
      <c r="G14239" s="6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  <c r="N14239" s="6">
        <f>IF(OR($G14239="FCC",$G14239="Hydrocracker",$G14239="Reformer"),IF(COUNTIFS($D:$D,$D14239,$A:$A,$A14239,$B:$B,$B14239,$G:$G,"CDU",$J:$J,"PLANNED")&gt;0,"tied","standalone"),"")</f>
        <v/>
      </c>
    </row>
    <row r="14240" spans="6:14">
      <c r="F14240" s="6">
        <f>IF($M14240="PADD I","PADD 1",IF($M14240="PADD II","PADD 2",IF($M14240="PADD III","PADD 3",IF($M14240="PADD IV","PADD 4",IF($M14240="PADD V","PADD 5","")))))</f>
        <v/>
      </c>
      <c r="G14240" s="6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  <c r="N14240" s="6">
        <f>IF(OR($G14240="FCC",$G14240="Hydrocracker",$G14240="Reformer"),IF(COUNTIFS($D:$D,$D14240,$A:$A,$A14240,$B:$B,$B14240,$G:$G,"CDU",$J:$J,"PLANNED")&gt;0,"tied","standalone"),"")</f>
        <v/>
      </c>
    </row>
    <row r="14241" spans="6:14">
      <c r="F14241" s="6">
        <f>IF($M14241="PADD I","PADD 1",IF($M14241="PADD II","PADD 2",IF($M14241="PADD III","PADD 3",IF($M14241="PADD IV","PADD 4",IF($M14241="PADD V","PADD 5","")))))</f>
        <v/>
      </c>
      <c r="G14241" s="6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  <c r="N14241" s="6">
        <f>IF(OR($G14241="FCC",$G14241="Hydrocracker",$G14241="Reformer"),IF(COUNTIFS($D:$D,$D14241,$A:$A,$A14241,$B:$B,$B14241,$G:$G,"CDU",$J:$J,"PLANNED")&gt;0,"tied","standalone"),"")</f>
        <v/>
      </c>
    </row>
    <row r="14242" spans="6:14">
      <c r="F14242" s="6">
        <f>IF($M14242="PADD I","PADD 1",IF($M14242="PADD II","PADD 2",IF($M14242="PADD III","PADD 3",IF($M14242="PADD IV","PADD 4",IF($M14242="PADD V","PADD 5","")))))</f>
        <v/>
      </c>
      <c r="G14242" s="6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  <c r="N14242" s="6">
        <f>IF(OR($G14242="FCC",$G14242="Hydrocracker",$G14242="Reformer"),IF(COUNTIFS($D:$D,$D14242,$A:$A,$A14242,$B:$B,$B14242,$G:$G,"CDU",$J:$J,"PLANNED")&gt;0,"tied","standalone"),"")</f>
        <v/>
      </c>
    </row>
    <row r="14243" spans="6:14">
      <c r="F14243" s="6">
        <f>IF($M14243="PADD I","PADD 1",IF($M14243="PADD II","PADD 2",IF($M14243="PADD III","PADD 3",IF($M14243="PADD IV","PADD 4",IF($M14243="PADD V","PADD 5","")))))</f>
        <v/>
      </c>
      <c r="G14243" s="6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  <c r="N14243" s="6">
        <f>IF(OR($G14243="FCC",$G14243="Hydrocracker",$G14243="Reformer"),IF(COUNTIFS($D:$D,$D14243,$A:$A,$A14243,$B:$B,$B14243,$G:$G,"CDU",$J:$J,"PLANNED")&gt;0,"tied","standalone"),"")</f>
        <v/>
      </c>
    </row>
    <row r="14244" spans="6:14">
      <c r="F14244" s="6">
        <f>IF($M14244="PADD I","PADD 1",IF($M14244="PADD II","PADD 2",IF($M14244="PADD III","PADD 3",IF($M14244="PADD IV","PADD 4",IF($M14244="PADD V","PADD 5","")))))</f>
        <v/>
      </c>
      <c r="G14244" s="6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  <c r="N14244" s="6">
        <f>IF(OR($G14244="FCC",$G14244="Hydrocracker",$G14244="Reformer"),IF(COUNTIFS($D:$D,$D14244,$A:$A,$A14244,$B:$B,$B14244,$G:$G,"CDU",$J:$J,"PLANNED")&gt;0,"tied","standalone"),"")</f>
        <v/>
      </c>
    </row>
    <row r="14245" spans="6:14">
      <c r="F14245" s="6">
        <f>IF($M14245="PADD I","PADD 1",IF($M14245="PADD II","PADD 2",IF($M14245="PADD III","PADD 3",IF($M14245="PADD IV","PADD 4",IF($M14245="PADD V","PADD 5","")))))</f>
        <v/>
      </c>
      <c r="G14245" s="6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  <c r="N14245" s="6">
        <f>IF(OR($G14245="FCC",$G14245="Hydrocracker",$G14245="Reformer"),IF(COUNTIFS($D:$D,$D14245,$A:$A,$A14245,$B:$B,$B14245,$G:$G,"CDU",$J:$J,"PLANNED")&gt;0,"tied","standalone"),"")</f>
        <v/>
      </c>
    </row>
    <row r="14246" spans="6:14">
      <c r="F14246" s="6">
        <f>IF($M14246="PADD I","PADD 1",IF($M14246="PADD II","PADD 2",IF($M14246="PADD III","PADD 3",IF($M14246="PADD IV","PADD 4",IF($M14246="PADD V","PADD 5","")))))</f>
        <v/>
      </c>
      <c r="G14246" s="6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  <c r="N14246" s="6">
        <f>IF(OR($G14246="FCC",$G14246="Hydrocracker",$G14246="Reformer"),IF(COUNTIFS($D:$D,$D14246,$A:$A,$A14246,$B:$B,$B14246,$G:$G,"CDU",$J:$J,"PLANNED")&gt;0,"tied","standalone"),"")</f>
        <v/>
      </c>
    </row>
    <row r="14247" spans="6:14">
      <c r="F14247" s="6">
        <f>IF($M14247="PADD I","PADD 1",IF($M14247="PADD II","PADD 2",IF($M14247="PADD III","PADD 3",IF($M14247="PADD IV","PADD 4",IF($M14247="PADD V","PADD 5","")))))</f>
        <v/>
      </c>
      <c r="G14247" s="6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  <c r="N14247" s="6">
        <f>IF(OR($G14247="FCC",$G14247="Hydrocracker",$G14247="Reformer"),IF(COUNTIFS($D:$D,$D14247,$A:$A,$A14247,$B:$B,$B14247,$G:$G,"CDU",$J:$J,"PLANNED")&gt;0,"tied","standalone"),"")</f>
        <v/>
      </c>
    </row>
    <row r="14248" spans="6:14">
      <c r="F14248" s="6">
        <f>IF($M14248="PADD I","PADD 1",IF($M14248="PADD II","PADD 2",IF($M14248="PADD III","PADD 3",IF($M14248="PADD IV","PADD 4",IF($M14248="PADD V","PADD 5","")))))</f>
        <v/>
      </c>
      <c r="G14248" s="6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  <c r="N14248" s="6">
        <f>IF(OR($G14248="FCC",$G14248="Hydrocracker",$G14248="Reformer"),IF(COUNTIFS($D:$D,$D14248,$A:$A,$A14248,$B:$B,$B14248,$G:$G,"CDU",$J:$J,"PLANNED")&gt;0,"tied","standalone"),"")</f>
        <v/>
      </c>
    </row>
    <row r="14249" spans="6:14">
      <c r="F14249" s="6">
        <f>IF($M14249="PADD I","PADD 1",IF($M14249="PADD II","PADD 2",IF($M14249="PADD III","PADD 3",IF($M14249="PADD IV","PADD 4",IF($M14249="PADD V","PADD 5","")))))</f>
        <v/>
      </c>
      <c r="G14249" s="6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  <c r="N14249" s="6">
        <f>IF(OR($G14249="FCC",$G14249="Hydrocracker",$G14249="Reformer"),IF(COUNTIFS($D:$D,$D14249,$A:$A,$A14249,$B:$B,$B14249,$G:$G,"CDU",$J:$J,"PLANNED")&gt;0,"tied","standalone"),"")</f>
        <v/>
      </c>
    </row>
    <row r="14250" spans="6:14">
      <c r="F14250" s="6">
        <f>IF($M14250="PADD I","PADD 1",IF($M14250="PADD II","PADD 2",IF($M14250="PADD III","PADD 3",IF($M14250="PADD IV","PADD 4",IF($M14250="PADD V","PADD 5","")))))</f>
        <v/>
      </c>
      <c r="G14250" s="6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  <c r="N14250" s="6">
        <f>IF(OR($G14250="FCC",$G14250="Hydrocracker",$G14250="Reformer"),IF(COUNTIFS($D:$D,$D14250,$A:$A,$A14250,$B:$B,$B14250,$G:$G,"CDU",$J:$J,"PLANNED")&gt;0,"tied","standalone"),"")</f>
        <v/>
      </c>
    </row>
    <row r="14251" spans="6:14">
      <c r="F14251" s="6">
        <f>IF($M14251="PADD I","PADD 1",IF($M14251="PADD II","PADD 2",IF($M14251="PADD III","PADD 3",IF($M14251="PADD IV","PADD 4",IF($M14251="PADD V","PADD 5","")))))</f>
        <v/>
      </c>
      <c r="G14251" s="6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  <c r="N14251" s="6">
        <f>IF(OR($G14251="FCC",$G14251="Hydrocracker",$G14251="Reformer"),IF(COUNTIFS($D:$D,$D14251,$A:$A,$A14251,$B:$B,$B14251,$G:$G,"CDU",$J:$J,"PLANNED")&gt;0,"tied","standalone"),"")</f>
        <v/>
      </c>
    </row>
    <row r="14252" spans="6:14">
      <c r="F14252" s="6">
        <f>IF($M14252="PADD I","PADD 1",IF($M14252="PADD II","PADD 2",IF($M14252="PADD III","PADD 3",IF($M14252="PADD IV","PADD 4",IF($M14252="PADD V","PADD 5","")))))</f>
        <v/>
      </c>
      <c r="G14252" s="6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  <c r="N14252" s="6">
        <f>IF(OR($G14252="FCC",$G14252="Hydrocracker",$G14252="Reformer"),IF(COUNTIFS($D:$D,$D14252,$A:$A,$A14252,$B:$B,$B14252,$G:$G,"CDU",$J:$J,"PLANNED")&gt;0,"tied","standalone"),"")</f>
        <v/>
      </c>
    </row>
    <row r="14253" spans="6:14">
      <c r="F14253" s="6">
        <f>IF($M14253="PADD I","PADD 1",IF($M14253="PADD II","PADD 2",IF($M14253="PADD III","PADD 3",IF($M14253="PADD IV","PADD 4",IF($M14253="PADD V","PADD 5","")))))</f>
        <v/>
      </c>
      <c r="G14253" s="6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  <c r="N14253" s="6">
        <f>IF(OR($G14253="FCC",$G14253="Hydrocracker",$G14253="Reformer"),IF(COUNTIFS($D:$D,$D14253,$A:$A,$A14253,$B:$B,$B14253,$G:$G,"CDU",$J:$J,"PLANNED")&gt;0,"tied","standalone"),"")</f>
        <v/>
      </c>
    </row>
    <row r="14254" spans="6:14">
      <c r="F14254" s="6">
        <f>IF($M14254="PADD I","PADD 1",IF($M14254="PADD II","PADD 2",IF($M14254="PADD III","PADD 3",IF($M14254="PADD IV","PADD 4",IF($M14254="PADD V","PADD 5","")))))</f>
        <v/>
      </c>
      <c r="G14254" s="6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  <c r="N14254" s="6">
        <f>IF(OR($G14254="FCC",$G14254="Hydrocracker",$G14254="Reformer"),IF(COUNTIFS($D:$D,$D14254,$A:$A,$A14254,$B:$B,$B14254,$G:$G,"CDU",$J:$J,"PLANNED")&gt;0,"tied","standalone"),"")</f>
        <v/>
      </c>
    </row>
    <row r="14255" spans="6:14">
      <c r="F14255" s="6">
        <f>IF($M14255="PADD I","PADD 1",IF($M14255="PADD II","PADD 2",IF($M14255="PADD III","PADD 3",IF($M14255="PADD IV","PADD 4",IF($M14255="PADD V","PADD 5","")))))</f>
        <v/>
      </c>
      <c r="G14255" s="6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  <c r="N14255" s="6">
        <f>IF(OR($G14255="FCC",$G14255="Hydrocracker",$G14255="Reformer"),IF(COUNTIFS($D:$D,$D14255,$A:$A,$A14255,$B:$B,$B14255,$G:$G,"CDU",$J:$J,"PLANNED")&gt;0,"tied","standalone"),"")</f>
        <v/>
      </c>
    </row>
    <row r="14256" spans="6:14">
      <c r="F14256" s="6">
        <f>IF($M14256="PADD I","PADD 1",IF($M14256="PADD II","PADD 2",IF($M14256="PADD III","PADD 3",IF($M14256="PADD IV","PADD 4",IF($M14256="PADD V","PADD 5","")))))</f>
        <v/>
      </c>
      <c r="G14256" s="6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  <c r="N14256" s="6">
        <f>IF(OR($G14256="FCC",$G14256="Hydrocracker",$G14256="Reformer"),IF(COUNTIFS($D:$D,$D14256,$A:$A,$A14256,$B:$B,$B14256,$G:$G,"CDU",$J:$J,"PLANNED")&gt;0,"tied","standalone"),"")</f>
        <v/>
      </c>
    </row>
    <row r="14257" spans="6:14">
      <c r="F14257" s="6">
        <f>IF($M14257="PADD I","PADD 1",IF($M14257="PADD II","PADD 2",IF($M14257="PADD III","PADD 3",IF($M14257="PADD IV","PADD 4",IF($M14257="PADD V","PADD 5","")))))</f>
        <v/>
      </c>
      <c r="G14257" s="6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  <c r="N14257" s="6">
        <f>IF(OR($G14257="FCC",$G14257="Hydrocracker",$G14257="Reformer"),IF(COUNTIFS($D:$D,$D14257,$A:$A,$A14257,$B:$B,$B14257,$G:$G,"CDU",$J:$J,"PLANNED")&gt;0,"tied","standalone"),"")</f>
        <v/>
      </c>
    </row>
    <row r="14258" spans="6:14">
      <c r="F14258" s="6">
        <f>IF($M14258="PADD I","PADD 1",IF($M14258="PADD II","PADD 2",IF($M14258="PADD III","PADD 3",IF($M14258="PADD IV","PADD 4",IF($M14258="PADD V","PADD 5","")))))</f>
        <v/>
      </c>
      <c r="G14258" s="6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  <c r="N14258" s="6">
        <f>IF(OR($G14258="FCC",$G14258="Hydrocracker",$G14258="Reformer"),IF(COUNTIFS($D:$D,$D14258,$A:$A,$A14258,$B:$B,$B14258,$G:$G,"CDU",$J:$J,"PLANNED")&gt;0,"tied","standalone"),"")</f>
        <v/>
      </c>
    </row>
    <row r="14259" spans="6:14">
      <c r="F14259" s="6">
        <f>IF($M14259="PADD I","PADD 1",IF($M14259="PADD II","PADD 2",IF($M14259="PADD III","PADD 3",IF($M14259="PADD IV","PADD 4",IF($M14259="PADD V","PADD 5","")))))</f>
        <v/>
      </c>
      <c r="G14259" s="6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  <c r="N14259" s="6">
        <f>IF(OR($G14259="FCC",$G14259="Hydrocracker",$G14259="Reformer"),IF(COUNTIFS($D:$D,$D14259,$A:$A,$A14259,$B:$B,$B14259,$G:$G,"CDU",$J:$J,"PLANNED")&gt;0,"tied","standalone"),"")</f>
        <v/>
      </c>
    </row>
    <row r="14260" spans="6:14">
      <c r="F14260" s="6">
        <f>IF($M14260="PADD I","PADD 1",IF($M14260="PADD II","PADD 2",IF($M14260="PADD III","PADD 3",IF($M14260="PADD IV","PADD 4",IF($M14260="PADD V","PADD 5","")))))</f>
        <v/>
      </c>
      <c r="G14260" s="6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  <c r="N14260" s="6">
        <f>IF(OR($G14260="FCC",$G14260="Hydrocracker",$G14260="Reformer"),IF(COUNTIFS($D:$D,$D14260,$A:$A,$A14260,$B:$B,$B14260,$G:$G,"CDU",$J:$J,"PLANNED")&gt;0,"tied","standalone"),"")</f>
        <v/>
      </c>
    </row>
    <row r="14261" spans="6:14">
      <c r="F14261" s="6">
        <f>IF($M14261="PADD I","PADD 1",IF($M14261="PADD II","PADD 2",IF($M14261="PADD III","PADD 3",IF($M14261="PADD IV","PADD 4",IF($M14261="PADD V","PADD 5","")))))</f>
        <v/>
      </c>
      <c r="G14261" s="6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  <c r="N14261" s="6">
        <f>IF(OR($G14261="FCC",$G14261="Hydrocracker",$G14261="Reformer"),IF(COUNTIFS($D:$D,$D14261,$A:$A,$A14261,$B:$B,$B14261,$G:$G,"CDU",$J:$J,"PLANNED")&gt;0,"tied","standalone"),"")</f>
        <v/>
      </c>
    </row>
    <row r="14262" spans="6:14">
      <c r="F14262" s="6">
        <f>IF($M14262="PADD I","PADD 1",IF($M14262="PADD II","PADD 2",IF($M14262="PADD III","PADD 3",IF($M14262="PADD IV","PADD 4",IF($M14262="PADD V","PADD 5","")))))</f>
        <v/>
      </c>
      <c r="G14262" s="6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  <c r="N14262" s="6">
        <f>IF(OR($G14262="FCC",$G14262="Hydrocracker",$G14262="Reformer"),IF(COUNTIFS($D:$D,$D14262,$A:$A,$A14262,$B:$B,$B14262,$G:$G,"CDU",$J:$J,"PLANNED")&gt;0,"tied","standalone"),"")</f>
        <v/>
      </c>
    </row>
    <row r="14263" spans="6:14">
      <c r="F14263" s="6">
        <f>IF($M14263="PADD I","PADD 1",IF($M14263="PADD II","PADD 2",IF($M14263="PADD III","PADD 3",IF($M14263="PADD IV","PADD 4",IF($M14263="PADD V","PADD 5","")))))</f>
        <v/>
      </c>
      <c r="G14263" s="6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  <c r="N14263" s="6">
        <f>IF(OR($G14263="FCC",$G14263="Hydrocracker",$G14263="Reformer"),IF(COUNTIFS($D:$D,$D14263,$A:$A,$A14263,$B:$B,$B14263,$G:$G,"CDU",$J:$J,"PLANNED")&gt;0,"tied","standalone"),"")</f>
        <v/>
      </c>
    </row>
    <row r="14264" spans="6:14">
      <c r="F14264" s="6">
        <f>IF($M14264="PADD I","PADD 1",IF($M14264="PADD II","PADD 2",IF($M14264="PADD III","PADD 3",IF($M14264="PADD IV","PADD 4",IF($M14264="PADD V","PADD 5","")))))</f>
        <v/>
      </c>
      <c r="G14264" s="6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  <c r="N14264" s="6">
        <f>IF(OR($G14264="FCC",$G14264="Hydrocracker",$G14264="Reformer"),IF(COUNTIFS($D:$D,$D14264,$A:$A,$A14264,$B:$B,$B14264,$G:$G,"CDU",$J:$J,"PLANNED")&gt;0,"tied","standalone"),"")</f>
        <v/>
      </c>
    </row>
    <row r="14265" spans="6:14">
      <c r="F14265" s="6">
        <f>IF($M14265="PADD I","PADD 1",IF($M14265="PADD II","PADD 2",IF($M14265="PADD III","PADD 3",IF($M14265="PADD IV","PADD 4",IF($M14265="PADD V","PADD 5","")))))</f>
        <v/>
      </c>
      <c r="G14265" s="6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  <c r="N14265" s="6">
        <f>IF(OR($G14265="FCC",$G14265="Hydrocracker",$G14265="Reformer"),IF(COUNTIFS($D:$D,$D14265,$A:$A,$A14265,$B:$B,$B14265,$G:$G,"CDU",$J:$J,"PLANNED")&gt;0,"tied","standalone"),"")</f>
        <v/>
      </c>
    </row>
    <row r="14266" spans="6:14">
      <c r="F14266" s="6">
        <f>IF($M14266="PADD I","PADD 1",IF($M14266="PADD II","PADD 2",IF($M14266="PADD III","PADD 3",IF($M14266="PADD IV","PADD 4",IF($M14266="PADD V","PADD 5","")))))</f>
        <v/>
      </c>
      <c r="G14266" s="6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  <c r="N14266" s="6">
        <f>IF(OR($G14266="FCC",$G14266="Hydrocracker",$G14266="Reformer"),IF(COUNTIFS($D:$D,$D14266,$A:$A,$A14266,$B:$B,$B14266,$G:$G,"CDU",$J:$J,"PLANNED")&gt;0,"tied","standalone"),"")</f>
        <v/>
      </c>
    </row>
    <row r="14267" spans="6:14">
      <c r="F14267" s="6">
        <f>IF($M14267="PADD I","PADD 1",IF($M14267="PADD II","PADD 2",IF($M14267="PADD III","PADD 3",IF($M14267="PADD IV","PADD 4",IF($M14267="PADD V","PADD 5","")))))</f>
        <v/>
      </c>
      <c r="G14267" s="6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  <c r="N14267" s="6">
        <f>IF(OR($G14267="FCC",$G14267="Hydrocracker",$G14267="Reformer"),IF(COUNTIFS($D:$D,$D14267,$A:$A,$A14267,$B:$B,$B14267,$G:$G,"CDU",$J:$J,"PLANNED")&gt;0,"tied","standalone"),"")</f>
        <v/>
      </c>
    </row>
    <row r="14268" spans="6:14">
      <c r="F14268" s="6">
        <f>IF($M14268="PADD I","PADD 1",IF($M14268="PADD II","PADD 2",IF($M14268="PADD III","PADD 3",IF($M14268="PADD IV","PADD 4",IF($M14268="PADD V","PADD 5","")))))</f>
        <v/>
      </c>
      <c r="G14268" s="6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  <c r="N14268" s="6">
        <f>IF(OR($G14268="FCC",$G14268="Hydrocracker",$G14268="Reformer"),IF(COUNTIFS($D:$D,$D14268,$A:$A,$A14268,$B:$B,$B14268,$G:$G,"CDU",$J:$J,"PLANNED")&gt;0,"tied","standalone"),"")</f>
        <v/>
      </c>
    </row>
    <row r="14269" spans="6:14">
      <c r="F14269" s="6">
        <f>IF($M14269="PADD I","PADD 1",IF($M14269="PADD II","PADD 2",IF($M14269="PADD III","PADD 3",IF($M14269="PADD IV","PADD 4",IF($M14269="PADD V","PADD 5","")))))</f>
        <v/>
      </c>
      <c r="G14269" s="6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  <c r="N14269" s="6">
        <f>IF(OR($G14269="FCC",$G14269="Hydrocracker",$G14269="Reformer"),IF(COUNTIFS($D:$D,$D14269,$A:$A,$A14269,$B:$B,$B14269,$G:$G,"CDU",$J:$J,"PLANNED")&gt;0,"tied","standalone"),"")</f>
        <v/>
      </c>
    </row>
    <row r="14270" spans="6:14">
      <c r="F14270" s="6">
        <f>IF($M14270="PADD I","PADD 1",IF($M14270="PADD II","PADD 2",IF($M14270="PADD III","PADD 3",IF($M14270="PADD IV","PADD 4",IF($M14270="PADD V","PADD 5","")))))</f>
        <v/>
      </c>
      <c r="G14270" s="6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  <c r="N14270" s="6">
        <f>IF(OR($G14270="FCC",$G14270="Hydrocracker",$G14270="Reformer"),IF(COUNTIFS($D:$D,$D14270,$A:$A,$A14270,$B:$B,$B14270,$G:$G,"CDU",$J:$J,"PLANNED")&gt;0,"tied","standalone"),"")</f>
        <v/>
      </c>
    </row>
    <row r="14271" spans="6:14">
      <c r="F14271" s="6">
        <f>IF($M14271="PADD I","PADD 1",IF($M14271="PADD II","PADD 2",IF($M14271="PADD III","PADD 3",IF($M14271="PADD IV","PADD 4",IF($M14271="PADD V","PADD 5","")))))</f>
        <v/>
      </c>
      <c r="G14271" s="6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  <c r="N14271" s="6">
        <f>IF(OR($G14271="FCC",$G14271="Hydrocracker",$G14271="Reformer"),IF(COUNTIFS($D:$D,$D14271,$A:$A,$A14271,$B:$B,$B14271,$G:$G,"CDU",$J:$J,"PLANNED")&gt;0,"tied","standalone"),"")</f>
        <v/>
      </c>
    </row>
    <row r="14272" spans="6:14">
      <c r="F14272" s="6">
        <f>IF($M14272="PADD I","PADD 1",IF($M14272="PADD II","PADD 2",IF($M14272="PADD III","PADD 3",IF($M14272="PADD IV","PADD 4",IF($M14272="PADD V","PADD 5","")))))</f>
        <v/>
      </c>
      <c r="G14272" s="6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  <c r="N14272" s="6">
        <f>IF(OR($G14272="FCC",$G14272="Hydrocracker",$G14272="Reformer"),IF(COUNTIFS($D:$D,$D14272,$A:$A,$A14272,$B:$B,$B14272,$G:$G,"CDU",$J:$J,"PLANNED")&gt;0,"tied","standalone"),"")</f>
        <v/>
      </c>
    </row>
    <row r="14273" spans="6:14">
      <c r="F14273" s="6">
        <f>IF($M14273="PADD I","PADD 1",IF($M14273="PADD II","PADD 2",IF($M14273="PADD III","PADD 3",IF($M14273="PADD IV","PADD 4",IF($M14273="PADD V","PADD 5","")))))</f>
        <v/>
      </c>
      <c r="G14273" s="6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  <c r="N14273" s="6">
        <f>IF(OR($G14273="FCC",$G14273="Hydrocracker",$G14273="Reformer"),IF(COUNTIFS($D:$D,$D14273,$A:$A,$A14273,$B:$B,$B14273,$G:$G,"CDU",$J:$J,"PLANNED")&gt;0,"tied","standalone"),"")</f>
        <v/>
      </c>
    </row>
    <row r="14274" spans="6:14">
      <c r="F14274" s="6">
        <f>IF($M14274="PADD I","PADD 1",IF($M14274="PADD II","PADD 2",IF($M14274="PADD III","PADD 3",IF($M14274="PADD IV","PADD 4",IF($M14274="PADD V","PADD 5","")))))</f>
        <v/>
      </c>
      <c r="G14274" s="6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  <c r="N14274" s="6">
        <f>IF(OR($G14274="FCC",$G14274="Hydrocracker",$G14274="Reformer"),IF(COUNTIFS($D:$D,$D14274,$A:$A,$A14274,$B:$B,$B14274,$G:$G,"CDU",$J:$J,"PLANNED")&gt;0,"tied","standalone"),"")</f>
        <v/>
      </c>
    </row>
    <row r="14275" spans="6:14">
      <c r="F14275" s="6">
        <f>IF($M14275="PADD I","PADD 1",IF($M14275="PADD II","PADD 2",IF($M14275="PADD III","PADD 3",IF($M14275="PADD IV","PADD 4",IF($M14275="PADD V","PADD 5","")))))</f>
        <v/>
      </c>
      <c r="G14275" s="6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  <c r="N14275" s="6">
        <f>IF(OR($G14275="FCC",$G14275="Hydrocracker",$G14275="Reformer"),IF(COUNTIFS($D:$D,$D14275,$A:$A,$A14275,$B:$B,$B14275,$G:$G,"CDU",$J:$J,"PLANNED")&gt;0,"tied","standalone"),"")</f>
        <v/>
      </c>
    </row>
    <row r="14276" spans="6:14">
      <c r="F14276" s="6">
        <f>IF($M14276="PADD I","PADD 1",IF($M14276="PADD II","PADD 2",IF($M14276="PADD III","PADD 3",IF($M14276="PADD IV","PADD 4",IF($M14276="PADD V","PADD 5","")))))</f>
        <v/>
      </c>
      <c r="G14276" s="6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  <c r="N14276" s="6">
        <f>IF(OR($G14276="FCC",$G14276="Hydrocracker",$G14276="Reformer"),IF(COUNTIFS($D:$D,$D14276,$A:$A,$A14276,$B:$B,$B14276,$G:$G,"CDU",$J:$J,"PLANNED")&gt;0,"tied","standalone"),"")</f>
        <v/>
      </c>
    </row>
    <row r="14277" spans="6:14">
      <c r="F14277" s="6">
        <f>IF($M14277="PADD I","PADD 1",IF($M14277="PADD II","PADD 2",IF($M14277="PADD III","PADD 3",IF($M14277="PADD IV","PADD 4",IF($M14277="PADD V","PADD 5","")))))</f>
        <v/>
      </c>
      <c r="G14277" s="6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  <c r="N14277" s="6">
        <f>IF(OR($G14277="FCC",$G14277="Hydrocracker",$G14277="Reformer"),IF(COUNTIFS($D:$D,$D14277,$A:$A,$A14277,$B:$B,$B14277,$G:$G,"CDU",$J:$J,"PLANNED")&gt;0,"tied","standalone"),"")</f>
        <v/>
      </c>
    </row>
    <row r="14278" spans="6:14">
      <c r="F14278" s="6">
        <f>IF($M14278="PADD I","PADD 1",IF($M14278="PADD II","PADD 2",IF($M14278="PADD III","PADD 3",IF($M14278="PADD IV","PADD 4",IF($M14278="PADD V","PADD 5","")))))</f>
        <v/>
      </c>
      <c r="G14278" s="6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  <c r="N14278" s="6">
        <f>IF(OR($G14278="FCC",$G14278="Hydrocracker",$G14278="Reformer"),IF(COUNTIFS($D:$D,$D14278,$A:$A,$A14278,$B:$B,$B14278,$G:$G,"CDU",$J:$J,"PLANNED")&gt;0,"tied","standalone"),"")</f>
        <v/>
      </c>
    </row>
    <row r="14279" spans="6:14">
      <c r="F14279" s="6">
        <f>IF($M14279="PADD I","PADD 1",IF($M14279="PADD II","PADD 2",IF($M14279="PADD III","PADD 3",IF($M14279="PADD IV","PADD 4",IF($M14279="PADD V","PADD 5","")))))</f>
        <v/>
      </c>
      <c r="G14279" s="6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  <c r="N14279" s="6">
        <f>IF(OR($G14279="FCC",$G14279="Hydrocracker",$G14279="Reformer"),IF(COUNTIFS($D:$D,$D14279,$A:$A,$A14279,$B:$B,$B14279,$G:$G,"CDU",$J:$J,"PLANNED")&gt;0,"tied","standalone"),"")</f>
        <v/>
      </c>
    </row>
    <row r="14280" spans="6:14">
      <c r="F14280" s="6">
        <f>IF($M14280="PADD I","PADD 1",IF($M14280="PADD II","PADD 2",IF($M14280="PADD III","PADD 3",IF($M14280="PADD IV","PADD 4",IF($M14280="PADD V","PADD 5","")))))</f>
        <v/>
      </c>
      <c r="G14280" s="6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  <c r="N14280" s="6">
        <f>IF(OR($G14280="FCC",$G14280="Hydrocracker",$G14280="Reformer"),IF(COUNTIFS($D:$D,$D14280,$A:$A,$A14280,$B:$B,$B14280,$G:$G,"CDU",$J:$J,"PLANNED")&gt;0,"tied","standalone"),"")</f>
        <v/>
      </c>
    </row>
    <row r="14281" spans="6:14">
      <c r="F14281" s="6">
        <f>IF($M14281="PADD I","PADD 1",IF($M14281="PADD II","PADD 2",IF($M14281="PADD III","PADD 3",IF($M14281="PADD IV","PADD 4",IF($M14281="PADD V","PADD 5","")))))</f>
        <v/>
      </c>
      <c r="G14281" s="6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  <c r="N14281" s="6">
        <f>IF(OR($G14281="FCC",$G14281="Hydrocracker",$G14281="Reformer"),IF(COUNTIFS($D:$D,$D14281,$A:$A,$A14281,$B:$B,$B14281,$G:$G,"CDU",$J:$J,"PLANNED")&gt;0,"tied","standalone"),"")</f>
        <v/>
      </c>
    </row>
    <row r="14282" spans="6:14">
      <c r="F14282" s="6">
        <f>IF($M14282="PADD I","PADD 1",IF($M14282="PADD II","PADD 2",IF($M14282="PADD III","PADD 3",IF($M14282="PADD IV","PADD 4",IF($M14282="PADD V","PADD 5","")))))</f>
        <v/>
      </c>
      <c r="G14282" s="6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  <c r="N14282" s="6">
        <f>IF(OR($G14282="FCC",$G14282="Hydrocracker",$G14282="Reformer"),IF(COUNTIFS($D:$D,$D14282,$A:$A,$A14282,$B:$B,$B14282,$G:$G,"CDU",$J:$J,"PLANNED")&gt;0,"tied","standalone"),"")</f>
        <v/>
      </c>
    </row>
    <row r="14283" spans="6:14">
      <c r="F14283" s="6">
        <f>IF($M14283="PADD I","PADD 1",IF($M14283="PADD II","PADD 2",IF($M14283="PADD III","PADD 3",IF($M14283="PADD IV","PADD 4",IF($M14283="PADD V","PADD 5","")))))</f>
        <v/>
      </c>
      <c r="G14283" s="6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  <c r="N14283" s="6">
        <f>IF(OR($G14283="FCC",$G14283="Hydrocracker",$G14283="Reformer"),IF(COUNTIFS($D:$D,$D14283,$A:$A,$A14283,$B:$B,$B14283,$G:$G,"CDU",$J:$J,"PLANNED")&gt;0,"tied","standalone"),"")</f>
        <v/>
      </c>
    </row>
    <row r="14284" spans="6:14">
      <c r="F14284" s="6">
        <f>IF($M14284="PADD I","PADD 1",IF($M14284="PADD II","PADD 2",IF($M14284="PADD III","PADD 3",IF($M14284="PADD IV","PADD 4",IF($M14284="PADD V","PADD 5","")))))</f>
        <v/>
      </c>
      <c r="G14284" s="6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  <c r="N14284" s="6">
        <f>IF(OR($G14284="FCC",$G14284="Hydrocracker",$G14284="Reformer"),IF(COUNTIFS($D:$D,$D14284,$A:$A,$A14284,$B:$B,$B14284,$G:$G,"CDU",$J:$J,"PLANNED")&gt;0,"tied","standalone"),"")</f>
        <v/>
      </c>
    </row>
    <row r="14285" spans="6:14">
      <c r="F14285" s="6">
        <f>IF($M14285="PADD I","PADD 1",IF($M14285="PADD II","PADD 2",IF($M14285="PADD III","PADD 3",IF($M14285="PADD IV","PADD 4",IF($M14285="PADD V","PADD 5","")))))</f>
        <v/>
      </c>
      <c r="G14285" s="6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  <c r="N14285" s="6">
        <f>IF(OR($G14285="FCC",$G14285="Hydrocracker",$G14285="Reformer"),IF(COUNTIFS($D:$D,$D14285,$A:$A,$A14285,$B:$B,$B14285,$G:$G,"CDU",$J:$J,"PLANNED")&gt;0,"tied","standalone"),"")</f>
        <v/>
      </c>
    </row>
    <row r="14286" spans="6:14">
      <c r="F14286" s="6">
        <f>IF($M14286="PADD I","PADD 1",IF($M14286="PADD II","PADD 2",IF($M14286="PADD III","PADD 3",IF($M14286="PADD IV","PADD 4",IF($M14286="PADD V","PADD 5","")))))</f>
        <v/>
      </c>
      <c r="G14286" s="6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  <c r="N14286" s="6">
        <f>IF(OR($G14286="FCC",$G14286="Hydrocracker",$G14286="Reformer"),IF(COUNTIFS($D:$D,$D14286,$A:$A,$A14286,$B:$B,$B14286,$G:$G,"CDU",$J:$J,"PLANNED")&gt;0,"tied","standalone"),"")</f>
        <v/>
      </c>
    </row>
    <row r="14287" spans="6:14">
      <c r="F14287" s="6">
        <f>IF($M14287="PADD I","PADD 1",IF($M14287="PADD II","PADD 2",IF($M14287="PADD III","PADD 3",IF($M14287="PADD IV","PADD 4",IF($M14287="PADD V","PADD 5","")))))</f>
        <v/>
      </c>
      <c r="G14287" s="6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  <c r="N14287" s="6">
        <f>IF(OR($G14287="FCC",$G14287="Hydrocracker",$G14287="Reformer"),IF(COUNTIFS($D:$D,$D14287,$A:$A,$A14287,$B:$B,$B14287,$G:$G,"CDU",$J:$J,"PLANNED")&gt;0,"tied","standalone"),"")</f>
        <v/>
      </c>
    </row>
    <row r="14288" spans="6:14">
      <c r="F14288" s="6">
        <f>IF($M14288="PADD I","PADD 1",IF($M14288="PADD II","PADD 2",IF($M14288="PADD III","PADD 3",IF($M14288="PADD IV","PADD 4",IF($M14288="PADD V","PADD 5","")))))</f>
        <v/>
      </c>
      <c r="G14288" s="6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  <c r="N14288" s="6">
        <f>IF(OR($G14288="FCC",$G14288="Hydrocracker",$G14288="Reformer"),IF(COUNTIFS($D:$D,$D14288,$A:$A,$A14288,$B:$B,$B14288,$G:$G,"CDU",$J:$J,"PLANNED")&gt;0,"tied","standalone"),"")</f>
        <v/>
      </c>
    </row>
    <row r="14289" spans="6:14">
      <c r="F14289" s="6">
        <f>IF($M14289="PADD I","PADD 1",IF($M14289="PADD II","PADD 2",IF($M14289="PADD III","PADD 3",IF($M14289="PADD IV","PADD 4",IF($M14289="PADD V","PADD 5","")))))</f>
        <v/>
      </c>
      <c r="G14289" s="6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  <c r="N14289" s="6">
        <f>IF(OR($G14289="FCC",$G14289="Hydrocracker",$G14289="Reformer"),IF(COUNTIFS($D:$D,$D14289,$A:$A,$A14289,$B:$B,$B14289,$G:$G,"CDU",$J:$J,"PLANNED")&gt;0,"tied","standalone"),"")</f>
        <v/>
      </c>
    </row>
    <row r="14290" spans="6:14">
      <c r="F14290" s="6">
        <f>IF($M14290="PADD I","PADD 1",IF($M14290="PADD II","PADD 2",IF($M14290="PADD III","PADD 3",IF($M14290="PADD IV","PADD 4",IF($M14290="PADD V","PADD 5","")))))</f>
        <v/>
      </c>
      <c r="G14290" s="6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  <c r="N14290" s="6">
        <f>IF(OR($G14290="FCC",$G14290="Hydrocracker",$G14290="Reformer"),IF(COUNTIFS($D:$D,$D14290,$A:$A,$A14290,$B:$B,$B14290,$G:$G,"CDU",$J:$J,"PLANNED")&gt;0,"tied","standalone"),"")</f>
        <v/>
      </c>
    </row>
    <row r="14291" spans="6:14">
      <c r="F14291" s="6">
        <f>IF($M14291="PADD I","PADD 1",IF($M14291="PADD II","PADD 2",IF($M14291="PADD III","PADD 3",IF($M14291="PADD IV","PADD 4",IF($M14291="PADD V","PADD 5","")))))</f>
        <v/>
      </c>
      <c r="G14291" s="6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  <c r="N14291" s="6">
        <f>IF(OR($G14291="FCC",$G14291="Hydrocracker",$G14291="Reformer"),IF(COUNTIFS($D:$D,$D14291,$A:$A,$A14291,$B:$B,$B14291,$G:$G,"CDU",$J:$J,"PLANNED")&gt;0,"tied","standalone"),"")</f>
        <v/>
      </c>
    </row>
    <row r="14292" spans="6:14">
      <c r="F14292" s="6">
        <f>IF($M14292="PADD I","PADD 1",IF($M14292="PADD II","PADD 2",IF($M14292="PADD III","PADD 3",IF($M14292="PADD IV","PADD 4",IF($M14292="PADD V","PADD 5","")))))</f>
        <v/>
      </c>
      <c r="G14292" s="6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  <c r="N14292" s="6">
        <f>IF(OR($G14292="FCC",$G14292="Hydrocracker",$G14292="Reformer"),IF(COUNTIFS($D:$D,$D14292,$A:$A,$A14292,$B:$B,$B14292,$G:$G,"CDU",$J:$J,"PLANNED")&gt;0,"tied","standalone"),"")</f>
        <v/>
      </c>
    </row>
    <row r="14293" spans="6:14">
      <c r="F14293" s="6">
        <f>IF($M14293="PADD I","PADD 1",IF($M14293="PADD II","PADD 2",IF($M14293="PADD III","PADD 3",IF($M14293="PADD IV","PADD 4",IF($M14293="PADD V","PADD 5","")))))</f>
        <v/>
      </c>
      <c r="G14293" s="6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  <c r="N14293" s="6">
        <f>IF(OR($G14293="FCC",$G14293="Hydrocracker",$G14293="Reformer"),IF(COUNTIFS($D:$D,$D14293,$A:$A,$A14293,$B:$B,$B14293,$G:$G,"CDU",$J:$J,"PLANNED")&gt;0,"tied","standalone"),"")</f>
        <v/>
      </c>
    </row>
    <row r="14294" spans="6:14">
      <c r="F14294" s="6">
        <f>IF($M14294="PADD I","PADD 1",IF($M14294="PADD II","PADD 2",IF($M14294="PADD III","PADD 3",IF($M14294="PADD IV","PADD 4",IF($M14294="PADD V","PADD 5","")))))</f>
        <v/>
      </c>
      <c r="G14294" s="6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  <c r="N14294" s="6">
        <f>IF(OR($G14294="FCC",$G14294="Hydrocracker",$G14294="Reformer"),IF(COUNTIFS($D:$D,$D14294,$A:$A,$A14294,$B:$B,$B14294,$G:$G,"CDU",$J:$J,"PLANNED")&gt;0,"tied","standalone"),"")</f>
        <v/>
      </c>
    </row>
    <row r="14295" spans="6:14">
      <c r="F14295" s="6">
        <f>IF($M14295="PADD I","PADD 1",IF($M14295="PADD II","PADD 2",IF($M14295="PADD III","PADD 3",IF($M14295="PADD IV","PADD 4",IF($M14295="PADD V","PADD 5","")))))</f>
        <v/>
      </c>
      <c r="G14295" s="6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  <c r="N14295" s="6">
        <f>IF(OR($G14295="FCC",$G14295="Hydrocracker",$G14295="Reformer"),IF(COUNTIFS($D:$D,$D14295,$A:$A,$A14295,$B:$B,$B14295,$G:$G,"CDU",$J:$J,"PLANNED")&gt;0,"tied","standalone"),"")</f>
        <v/>
      </c>
    </row>
    <row r="14296" spans="6:14">
      <c r="F14296" s="6">
        <f>IF($M14296="PADD I","PADD 1",IF($M14296="PADD II","PADD 2",IF($M14296="PADD III","PADD 3",IF($M14296="PADD IV","PADD 4",IF($M14296="PADD V","PADD 5","")))))</f>
        <v/>
      </c>
      <c r="G14296" s="6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  <c r="N14296" s="6">
        <f>IF(OR($G14296="FCC",$G14296="Hydrocracker",$G14296="Reformer"),IF(COUNTIFS($D:$D,$D14296,$A:$A,$A14296,$B:$B,$B14296,$G:$G,"CDU",$J:$J,"PLANNED")&gt;0,"tied","standalone"),"")</f>
        <v/>
      </c>
    </row>
    <row r="14297" spans="6:14">
      <c r="F14297" s="6">
        <f>IF($M14297="PADD I","PADD 1",IF($M14297="PADD II","PADD 2",IF($M14297="PADD III","PADD 3",IF($M14297="PADD IV","PADD 4",IF($M14297="PADD V","PADD 5","")))))</f>
        <v/>
      </c>
      <c r="G14297" s="6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  <c r="N14297" s="6">
        <f>IF(OR($G14297="FCC",$G14297="Hydrocracker",$G14297="Reformer"),IF(COUNTIFS($D:$D,$D14297,$A:$A,$A14297,$B:$B,$B14297,$G:$G,"CDU",$J:$J,"PLANNED")&gt;0,"tied","standalone"),"")</f>
        <v/>
      </c>
    </row>
    <row r="14298" spans="6:14">
      <c r="F14298" s="6">
        <f>IF($M14298="PADD I","PADD 1",IF($M14298="PADD II","PADD 2",IF($M14298="PADD III","PADD 3",IF($M14298="PADD IV","PADD 4",IF($M14298="PADD V","PADD 5","")))))</f>
        <v/>
      </c>
      <c r="G14298" s="6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  <c r="N14298" s="6">
        <f>IF(OR($G14298="FCC",$G14298="Hydrocracker",$G14298="Reformer"),IF(COUNTIFS($D:$D,$D14298,$A:$A,$A14298,$B:$B,$B14298,$G:$G,"CDU",$J:$J,"PLANNED")&gt;0,"tied","standalone"),"")</f>
        <v/>
      </c>
    </row>
    <row r="14299" spans="6:14">
      <c r="F14299" s="6">
        <f>IF($M14299="PADD I","PADD 1",IF($M14299="PADD II","PADD 2",IF($M14299="PADD III","PADD 3",IF($M14299="PADD IV","PADD 4",IF($M14299="PADD V","PADD 5","")))))</f>
        <v/>
      </c>
      <c r="G14299" s="6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  <c r="N14299" s="6">
        <f>IF(OR($G14299="FCC",$G14299="Hydrocracker",$G14299="Reformer"),IF(COUNTIFS($D:$D,$D14299,$A:$A,$A14299,$B:$B,$B14299,$G:$G,"CDU",$J:$J,"PLANNED")&gt;0,"tied","standalone"),"")</f>
        <v/>
      </c>
    </row>
    <row r="14300" spans="6:14">
      <c r="F14300" s="6">
        <f>IF($M14300="PADD I","PADD 1",IF($M14300="PADD II","PADD 2",IF($M14300="PADD III","PADD 3",IF($M14300="PADD IV","PADD 4",IF($M14300="PADD V","PADD 5","")))))</f>
        <v/>
      </c>
      <c r="G14300" s="6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  <c r="N14300" s="6">
        <f>IF(OR($G14300="FCC",$G14300="Hydrocracker",$G14300="Reformer"),IF(COUNTIFS($D:$D,$D14300,$A:$A,$A14300,$B:$B,$B14300,$G:$G,"CDU",$J:$J,"PLANNED")&gt;0,"tied","standalone"),"")</f>
        <v/>
      </c>
    </row>
    <row r="14301" spans="6:14">
      <c r="F14301" s="6">
        <f>IF($M14301="PADD I","PADD 1",IF($M14301="PADD II","PADD 2",IF($M14301="PADD III","PADD 3",IF($M14301="PADD IV","PADD 4",IF($M14301="PADD V","PADD 5","")))))</f>
        <v/>
      </c>
      <c r="G14301" s="6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  <c r="N14301" s="6">
        <f>IF(OR($G14301="FCC",$G14301="Hydrocracker",$G14301="Reformer"),IF(COUNTIFS($D:$D,$D14301,$A:$A,$A14301,$B:$B,$B14301,$G:$G,"CDU",$J:$J,"PLANNED")&gt;0,"tied","standalone"),"")</f>
        <v/>
      </c>
    </row>
    <row r="14302" spans="6:14">
      <c r="F14302" s="6">
        <f>IF($M14302="PADD I","PADD 1",IF($M14302="PADD II","PADD 2",IF($M14302="PADD III","PADD 3",IF($M14302="PADD IV","PADD 4",IF($M14302="PADD V","PADD 5","")))))</f>
        <v/>
      </c>
      <c r="G14302" s="6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  <c r="N14302" s="6">
        <f>IF(OR($G14302="FCC",$G14302="Hydrocracker",$G14302="Reformer"),IF(COUNTIFS($D:$D,$D14302,$A:$A,$A14302,$B:$B,$B14302,$G:$G,"CDU",$J:$J,"PLANNED")&gt;0,"tied","standalone"),"")</f>
        <v/>
      </c>
    </row>
    <row r="14303" spans="6:14">
      <c r="F14303" s="6">
        <f>IF($M14303="PADD I","PADD 1",IF($M14303="PADD II","PADD 2",IF($M14303="PADD III","PADD 3",IF($M14303="PADD IV","PADD 4",IF($M14303="PADD V","PADD 5","")))))</f>
        <v/>
      </c>
      <c r="G14303" s="6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  <c r="N14303" s="6">
        <f>IF(OR($G14303="FCC",$G14303="Hydrocracker",$G14303="Reformer"),IF(COUNTIFS($D:$D,$D14303,$A:$A,$A14303,$B:$B,$B14303,$G:$G,"CDU",$J:$J,"PLANNED")&gt;0,"tied","standalone"),"")</f>
        <v/>
      </c>
    </row>
    <row r="14304" spans="6:14">
      <c r="F14304" s="6">
        <f>IF($M14304="PADD I","PADD 1",IF($M14304="PADD II","PADD 2",IF($M14304="PADD III","PADD 3",IF($M14304="PADD IV","PADD 4",IF($M14304="PADD V","PADD 5","")))))</f>
        <v/>
      </c>
      <c r="G14304" s="6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  <c r="N14304" s="6">
        <f>IF(OR($G14304="FCC",$G14304="Hydrocracker",$G14304="Reformer"),IF(COUNTIFS($D:$D,$D14304,$A:$A,$A14304,$B:$B,$B14304,$G:$G,"CDU",$J:$J,"PLANNED")&gt;0,"tied","standalone"),"")</f>
        <v/>
      </c>
    </row>
    <row r="14305" spans="6:14">
      <c r="F14305" s="6">
        <f>IF($M14305="PADD I","PADD 1",IF($M14305="PADD II","PADD 2",IF($M14305="PADD III","PADD 3",IF($M14305="PADD IV","PADD 4",IF($M14305="PADD V","PADD 5","")))))</f>
        <v/>
      </c>
      <c r="G14305" s="6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  <c r="N14305" s="6">
        <f>IF(OR($G14305="FCC",$G14305="Hydrocracker",$G14305="Reformer"),IF(COUNTIFS($D:$D,$D14305,$A:$A,$A14305,$B:$B,$B14305,$G:$G,"CDU",$J:$J,"PLANNED")&gt;0,"tied","standalone"),"")</f>
        <v/>
      </c>
    </row>
    <row r="14306" spans="6:14">
      <c r="F14306" s="6">
        <f>IF($M14306="PADD I","PADD 1",IF($M14306="PADD II","PADD 2",IF($M14306="PADD III","PADD 3",IF($M14306="PADD IV","PADD 4",IF($M14306="PADD V","PADD 5","")))))</f>
        <v/>
      </c>
      <c r="G14306" s="6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  <c r="N14306" s="6">
        <f>IF(OR($G14306="FCC",$G14306="Hydrocracker",$G14306="Reformer"),IF(COUNTIFS($D:$D,$D14306,$A:$A,$A14306,$B:$B,$B14306,$G:$G,"CDU",$J:$J,"PLANNED")&gt;0,"tied","standalone"),"")</f>
        <v/>
      </c>
    </row>
    <row r="14307" spans="6:14">
      <c r="F14307" s="6">
        <f>IF($M14307="PADD I","PADD 1",IF($M14307="PADD II","PADD 2",IF($M14307="PADD III","PADD 3",IF($M14307="PADD IV","PADD 4",IF($M14307="PADD V","PADD 5","")))))</f>
        <v/>
      </c>
      <c r="G14307" s="6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  <c r="N14307" s="6">
        <f>IF(OR($G14307="FCC",$G14307="Hydrocracker",$G14307="Reformer"),IF(COUNTIFS($D:$D,$D14307,$A:$A,$A14307,$B:$B,$B14307,$G:$G,"CDU",$J:$J,"PLANNED")&gt;0,"tied","standalone"),"")</f>
        <v/>
      </c>
    </row>
    <row r="14308" spans="6:14">
      <c r="F14308" s="6">
        <f>IF($M14308="PADD I","PADD 1",IF($M14308="PADD II","PADD 2",IF($M14308="PADD III","PADD 3",IF($M14308="PADD IV","PADD 4",IF($M14308="PADD V","PADD 5","")))))</f>
        <v/>
      </c>
      <c r="G14308" s="6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  <c r="N14308" s="6">
        <f>IF(OR($G14308="FCC",$G14308="Hydrocracker",$G14308="Reformer"),IF(COUNTIFS($D:$D,$D14308,$A:$A,$A14308,$B:$B,$B14308,$G:$G,"CDU",$J:$J,"PLANNED")&gt;0,"tied","standalone"),"")</f>
        <v/>
      </c>
    </row>
    <row r="14309" spans="6:14">
      <c r="F14309" s="6">
        <f>IF($M14309="PADD I","PADD 1",IF($M14309="PADD II","PADD 2",IF($M14309="PADD III","PADD 3",IF($M14309="PADD IV","PADD 4",IF($M14309="PADD V","PADD 5","")))))</f>
        <v/>
      </c>
      <c r="G14309" s="6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  <c r="N14309" s="6">
        <f>IF(OR($G14309="FCC",$G14309="Hydrocracker",$G14309="Reformer"),IF(COUNTIFS($D:$D,$D14309,$A:$A,$A14309,$B:$B,$B14309,$G:$G,"CDU",$J:$J,"PLANNED")&gt;0,"tied","standalone"),"")</f>
        <v/>
      </c>
    </row>
    <row r="14310" spans="6:14">
      <c r="F14310" s="6">
        <f>IF($M14310="PADD I","PADD 1",IF($M14310="PADD II","PADD 2",IF($M14310="PADD III","PADD 3",IF($M14310="PADD IV","PADD 4",IF($M14310="PADD V","PADD 5","")))))</f>
        <v/>
      </c>
      <c r="G14310" s="6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  <c r="N14310" s="6">
        <f>IF(OR($G14310="FCC",$G14310="Hydrocracker",$G14310="Reformer"),IF(COUNTIFS($D:$D,$D14310,$A:$A,$A14310,$B:$B,$B14310,$G:$G,"CDU",$J:$J,"PLANNED")&gt;0,"tied","standalone"),"")</f>
        <v/>
      </c>
    </row>
    <row r="14311" spans="6:14">
      <c r="F14311" s="6">
        <f>IF($M14311="PADD I","PADD 1",IF($M14311="PADD II","PADD 2",IF($M14311="PADD III","PADD 3",IF($M14311="PADD IV","PADD 4",IF($M14311="PADD V","PADD 5","")))))</f>
        <v/>
      </c>
      <c r="G14311" s="6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  <c r="N14311" s="6">
        <f>IF(OR($G14311="FCC",$G14311="Hydrocracker",$G14311="Reformer"),IF(COUNTIFS($D:$D,$D14311,$A:$A,$A14311,$B:$B,$B14311,$G:$G,"CDU",$J:$J,"PLANNED")&gt;0,"tied","standalone"),"")</f>
        <v/>
      </c>
    </row>
    <row r="14312" spans="6:14">
      <c r="F14312" s="6">
        <f>IF($M14312="PADD I","PADD 1",IF($M14312="PADD II","PADD 2",IF($M14312="PADD III","PADD 3",IF($M14312="PADD IV","PADD 4",IF($M14312="PADD V","PADD 5","")))))</f>
        <v/>
      </c>
      <c r="G14312" s="6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  <c r="N14312" s="6">
        <f>IF(OR($G14312="FCC",$G14312="Hydrocracker",$G14312="Reformer"),IF(COUNTIFS($D:$D,$D14312,$A:$A,$A14312,$B:$B,$B14312,$G:$G,"CDU",$J:$J,"PLANNED")&gt;0,"tied","standalone"),"")</f>
        <v/>
      </c>
    </row>
    <row r="14313" spans="6:14">
      <c r="F14313" s="6">
        <f>IF($M14313="PADD I","PADD 1",IF($M14313="PADD II","PADD 2",IF($M14313="PADD III","PADD 3",IF($M14313="PADD IV","PADD 4",IF($M14313="PADD V","PADD 5","")))))</f>
        <v/>
      </c>
      <c r="G14313" s="6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  <c r="N14313" s="6">
        <f>IF(OR($G14313="FCC",$G14313="Hydrocracker",$G14313="Reformer"),IF(COUNTIFS($D:$D,$D14313,$A:$A,$A14313,$B:$B,$B14313,$G:$G,"CDU",$J:$J,"PLANNED")&gt;0,"tied","standalone"),"")</f>
        <v/>
      </c>
    </row>
    <row r="14314" spans="6:14">
      <c r="F14314" s="6">
        <f>IF($M14314="PADD I","PADD 1",IF($M14314="PADD II","PADD 2",IF($M14314="PADD III","PADD 3",IF($M14314="PADD IV","PADD 4",IF($M14314="PADD V","PADD 5","")))))</f>
        <v/>
      </c>
      <c r="G14314" s="6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  <c r="N14314" s="6">
        <f>IF(OR($G14314="FCC",$G14314="Hydrocracker",$G14314="Reformer"),IF(COUNTIFS($D:$D,$D14314,$A:$A,$A14314,$B:$B,$B14314,$G:$G,"CDU",$J:$J,"PLANNED")&gt;0,"tied","standalone"),"")</f>
        <v/>
      </c>
    </row>
    <row r="14315" spans="6:14">
      <c r="F14315" s="6">
        <f>IF($M14315="PADD I","PADD 1",IF($M14315="PADD II","PADD 2",IF($M14315="PADD III","PADD 3",IF($M14315="PADD IV","PADD 4",IF($M14315="PADD V","PADD 5","")))))</f>
        <v/>
      </c>
      <c r="G14315" s="6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  <c r="N14315" s="6">
        <f>IF(OR($G14315="FCC",$G14315="Hydrocracker",$G14315="Reformer"),IF(COUNTIFS($D:$D,$D14315,$A:$A,$A14315,$B:$B,$B14315,$G:$G,"CDU",$J:$J,"PLANNED")&gt;0,"tied","standalone"),"")</f>
        <v/>
      </c>
    </row>
    <row r="14316" spans="6:14">
      <c r="F14316" s="6">
        <f>IF($M14316="PADD I","PADD 1",IF($M14316="PADD II","PADD 2",IF($M14316="PADD III","PADD 3",IF($M14316="PADD IV","PADD 4",IF($M14316="PADD V","PADD 5","")))))</f>
        <v/>
      </c>
      <c r="G14316" s="6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  <c r="N14316" s="6">
        <f>IF(OR($G14316="FCC",$G14316="Hydrocracker",$G14316="Reformer"),IF(COUNTIFS($D:$D,$D14316,$A:$A,$A14316,$B:$B,$B14316,$G:$G,"CDU",$J:$J,"PLANNED")&gt;0,"tied","standalone"),"")</f>
        <v/>
      </c>
    </row>
    <row r="14317" spans="6:14">
      <c r="F14317" s="6">
        <f>IF($M14317="PADD I","PADD 1",IF($M14317="PADD II","PADD 2",IF($M14317="PADD III","PADD 3",IF($M14317="PADD IV","PADD 4",IF($M14317="PADD V","PADD 5","")))))</f>
        <v/>
      </c>
      <c r="G14317" s="6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  <c r="N14317" s="6">
        <f>IF(OR($G14317="FCC",$G14317="Hydrocracker",$G14317="Reformer"),IF(COUNTIFS($D:$D,$D14317,$A:$A,$A14317,$B:$B,$B14317,$G:$G,"CDU",$J:$J,"PLANNED")&gt;0,"tied","standalone"),"")</f>
        <v/>
      </c>
    </row>
    <row r="14318" spans="6:14">
      <c r="F14318" s="6">
        <f>IF($M14318="PADD I","PADD 1",IF($M14318="PADD II","PADD 2",IF($M14318="PADD III","PADD 3",IF($M14318="PADD IV","PADD 4",IF($M14318="PADD V","PADD 5","")))))</f>
        <v/>
      </c>
      <c r="G14318" s="6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  <c r="N14318" s="6">
        <f>IF(OR($G14318="FCC",$G14318="Hydrocracker",$G14318="Reformer"),IF(COUNTIFS($D:$D,$D14318,$A:$A,$A14318,$B:$B,$B14318,$G:$G,"CDU",$J:$J,"PLANNED")&gt;0,"tied","standalone"),"")</f>
        <v/>
      </c>
    </row>
    <row r="14319" spans="6:14">
      <c r="F14319" s="6">
        <f>IF($M14319="PADD I","PADD 1",IF($M14319="PADD II","PADD 2",IF($M14319="PADD III","PADD 3",IF($M14319="PADD IV","PADD 4",IF($M14319="PADD V","PADD 5","")))))</f>
        <v/>
      </c>
      <c r="G14319" s="6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  <c r="N14319" s="6">
        <f>IF(OR($G14319="FCC",$G14319="Hydrocracker",$G14319="Reformer"),IF(COUNTIFS($D:$D,$D14319,$A:$A,$A14319,$B:$B,$B14319,$G:$G,"CDU",$J:$J,"PLANNED")&gt;0,"tied","standalone"),"")</f>
        <v/>
      </c>
    </row>
    <row r="14320" spans="6:14">
      <c r="F14320" s="6">
        <f>IF($M14320="PADD I","PADD 1",IF($M14320="PADD II","PADD 2",IF($M14320="PADD III","PADD 3",IF($M14320="PADD IV","PADD 4",IF($M14320="PADD V","PADD 5","")))))</f>
        <v/>
      </c>
      <c r="G14320" s="6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  <c r="N14320" s="6">
        <f>IF(OR($G14320="FCC",$G14320="Hydrocracker",$G14320="Reformer"),IF(COUNTIFS($D:$D,$D14320,$A:$A,$A14320,$B:$B,$B14320,$G:$G,"CDU",$J:$J,"PLANNED")&gt;0,"tied","standalone"),"")</f>
        <v/>
      </c>
    </row>
    <row r="14321" spans="6:14">
      <c r="F14321" s="6">
        <f>IF($M14321="PADD I","PADD 1",IF($M14321="PADD II","PADD 2",IF($M14321="PADD III","PADD 3",IF($M14321="PADD IV","PADD 4",IF($M14321="PADD V","PADD 5","")))))</f>
        <v/>
      </c>
      <c r="G14321" s="6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  <c r="N14321" s="6">
        <f>IF(OR($G14321="FCC",$G14321="Hydrocracker",$G14321="Reformer"),IF(COUNTIFS($D:$D,$D14321,$A:$A,$A14321,$B:$B,$B14321,$G:$G,"CDU",$J:$J,"PLANNED")&gt;0,"tied","standalone"),"")</f>
        <v/>
      </c>
    </row>
    <row r="14322" spans="6:14">
      <c r="F14322" s="6">
        <f>IF($M14322="PADD I","PADD 1",IF($M14322="PADD II","PADD 2",IF($M14322="PADD III","PADD 3",IF($M14322="PADD IV","PADD 4",IF($M14322="PADD V","PADD 5","")))))</f>
        <v/>
      </c>
      <c r="G14322" s="6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  <c r="N14322" s="6">
        <f>IF(OR($G14322="FCC",$G14322="Hydrocracker",$G14322="Reformer"),IF(COUNTIFS($D:$D,$D14322,$A:$A,$A14322,$B:$B,$B14322,$G:$G,"CDU",$J:$J,"PLANNED")&gt;0,"tied","standalone"),"")</f>
        <v/>
      </c>
    </row>
    <row r="14323" spans="6:14">
      <c r="F14323" s="6">
        <f>IF($M14323="PADD I","PADD 1",IF($M14323="PADD II","PADD 2",IF($M14323="PADD III","PADD 3",IF($M14323="PADD IV","PADD 4",IF($M14323="PADD V","PADD 5","")))))</f>
        <v/>
      </c>
      <c r="G14323" s="6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  <c r="N14323" s="6">
        <f>IF(OR($G14323="FCC",$G14323="Hydrocracker",$G14323="Reformer"),IF(COUNTIFS($D:$D,$D14323,$A:$A,$A14323,$B:$B,$B14323,$G:$G,"CDU",$J:$J,"PLANNED")&gt;0,"tied","standalone"),"")</f>
        <v/>
      </c>
    </row>
    <row r="14324" spans="6:14">
      <c r="F14324" s="6">
        <f>IF($M14324="PADD I","PADD 1",IF($M14324="PADD II","PADD 2",IF($M14324="PADD III","PADD 3",IF($M14324="PADD IV","PADD 4",IF($M14324="PADD V","PADD 5","")))))</f>
        <v/>
      </c>
      <c r="G14324" s="6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  <c r="N14324" s="6">
        <f>IF(OR($G14324="FCC",$G14324="Hydrocracker",$G14324="Reformer"),IF(COUNTIFS($D:$D,$D14324,$A:$A,$A14324,$B:$B,$B14324,$G:$G,"CDU",$J:$J,"PLANNED")&gt;0,"tied","standalone"),"")</f>
        <v/>
      </c>
    </row>
    <row r="14325" spans="6:14">
      <c r="F14325" s="6">
        <f>IF($M14325="PADD I","PADD 1",IF($M14325="PADD II","PADD 2",IF($M14325="PADD III","PADD 3",IF($M14325="PADD IV","PADD 4",IF($M14325="PADD V","PADD 5","")))))</f>
        <v/>
      </c>
      <c r="G14325" s="6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  <c r="N14325" s="6">
        <f>IF(OR($G14325="FCC",$G14325="Hydrocracker",$G14325="Reformer"),IF(COUNTIFS($D:$D,$D14325,$A:$A,$A14325,$B:$B,$B14325,$G:$G,"CDU",$J:$J,"PLANNED")&gt;0,"tied","standalone"),"")</f>
        <v/>
      </c>
    </row>
    <row r="14326" spans="6:14">
      <c r="F14326" s="6">
        <f>IF($M14326="PADD I","PADD 1",IF($M14326="PADD II","PADD 2",IF($M14326="PADD III","PADD 3",IF($M14326="PADD IV","PADD 4",IF($M14326="PADD V","PADD 5","")))))</f>
        <v/>
      </c>
      <c r="G14326" s="6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  <c r="N14326" s="6">
        <f>IF(OR($G14326="FCC",$G14326="Hydrocracker",$G14326="Reformer"),IF(COUNTIFS($D:$D,$D14326,$A:$A,$A14326,$B:$B,$B14326,$G:$G,"CDU",$J:$J,"PLANNED")&gt;0,"tied","standalone"),"")</f>
        <v/>
      </c>
    </row>
    <row r="14327" spans="6:14">
      <c r="F14327" s="6">
        <f>IF($M14327="PADD I","PADD 1",IF($M14327="PADD II","PADD 2",IF($M14327="PADD III","PADD 3",IF($M14327="PADD IV","PADD 4",IF($M14327="PADD V","PADD 5","")))))</f>
        <v/>
      </c>
      <c r="G14327" s="6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  <c r="N14327" s="6">
        <f>IF(OR($G14327="FCC",$G14327="Hydrocracker",$G14327="Reformer"),IF(COUNTIFS($D:$D,$D14327,$A:$A,$A14327,$B:$B,$B14327,$G:$G,"CDU",$J:$J,"PLANNED")&gt;0,"tied","standalone"),"")</f>
        <v/>
      </c>
    </row>
    <row r="14328" spans="6:14">
      <c r="F14328" s="6">
        <f>IF($M14328="PADD I","PADD 1",IF($M14328="PADD II","PADD 2",IF($M14328="PADD III","PADD 3",IF($M14328="PADD IV","PADD 4",IF($M14328="PADD V","PADD 5","")))))</f>
        <v/>
      </c>
      <c r="G14328" s="6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  <c r="N14328" s="6">
        <f>IF(OR($G14328="FCC",$G14328="Hydrocracker",$G14328="Reformer"),IF(COUNTIFS($D:$D,$D14328,$A:$A,$A14328,$B:$B,$B14328,$G:$G,"CDU",$J:$J,"PLANNED")&gt;0,"tied","standalone"),"")</f>
        <v/>
      </c>
    </row>
    <row r="14329" spans="6:14">
      <c r="F14329" s="6">
        <f>IF($M14329="PADD I","PADD 1",IF($M14329="PADD II","PADD 2",IF($M14329="PADD III","PADD 3",IF($M14329="PADD IV","PADD 4",IF($M14329="PADD V","PADD 5","")))))</f>
        <v/>
      </c>
      <c r="G14329" s="6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  <c r="N14329" s="6">
        <f>IF(OR($G14329="FCC",$G14329="Hydrocracker",$G14329="Reformer"),IF(COUNTIFS($D:$D,$D14329,$A:$A,$A14329,$B:$B,$B14329,$G:$G,"CDU",$J:$J,"PLANNED")&gt;0,"tied","standalone"),"")</f>
        <v/>
      </c>
    </row>
    <row r="14330" spans="6:14">
      <c r="F14330" s="6">
        <f>IF($M14330="PADD I","PADD 1",IF($M14330="PADD II","PADD 2",IF($M14330="PADD III","PADD 3",IF($M14330="PADD IV","PADD 4",IF($M14330="PADD V","PADD 5","")))))</f>
        <v/>
      </c>
      <c r="G14330" s="6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  <c r="N14330" s="6">
        <f>IF(OR($G14330="FCC",$G14330="Hydrocracker",$G14330="Reformer"),IF(COUNTIFS($D:$D,$D14330,$A:$A,$A14330,$B:$B,$B14330,$G:$G,"CDU",$J:$J,"PLANNED")&gt;0,"tied","standalone"),"")</f>
        <v/>
      </c>
    </row>
    <row r="14331" spans="6:14">
      <c r="F14331" s="6">
        <f>IF($M14331="PADD I","PADD 1",IF($M14331="PADD II","PADD 2",IF($M14331="PADD III","PADD 3",IF($M14331="PADD IV","PADD 4",IF($M14331="PADD V","PADD 5","")))))</f>
        <v/>
      </c>
      <c r="G14331" s="6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  <c r="N14331" s="6">
        <f>IF(OR($G14331="FCC",$G14331="Hydrocracker",$G14331="Reformer"),IF(COUNTIFS($D:$D,$D14331,$A:$A,$A14331,$B:$B,$B14331,$G:$G,"CDU",$J:$J,"PLANNED")&gt;0,"tied","standalone"),"")</f>
        <v/>
      </c>
    </row>
    <row r="14332" spans="6:14">
      <c r="F14332" s="6">
        <f>IF($M14332="PADD I","PADD 1",IF($M14332="PADD II","PADD 2",IF($M14332="PADD III","PADD 3",IF($M14332="PADD IV","PADD 4",IF($M14332="PADD V","PADD 5","")))))</f>
        <v/>
      </c>
      <c r="G14332" s="6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  <c r="N14332" s="6">
        <f>IF(OR($G14332="FCC",$G14332="Hydrocracker",$G14332="Reformer"),IF(COUNTIFS($D:$D,$D14332,$A:$A,$A14332,$B:$B,$B14332,$G:$G,"CDU",$J:$J,"PLANNED")&gt;0,"tied","standalone"),"")</f>
        <v/>
      </c>
    </row>
    <row r="14333" spans="6:14">
      <c r="F14333" s="6">
        <f>IF($M14333="PADD I","PADD 1",IF($M14333="PADD II","PADD 2",IF($M14333="PADD III","PADD 3",IF($M14333="PADD IV","PADD 4",IF($M14333="PADD V","PADD 5","")))))</f>
        <v/>
      </c>
      <c r="G14333" s="6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  <c r="N14333" s="6">
        <f>IF(OR($G14333="FCC",$G14333="Hydrocracker",$G14333="Reformer"),IF(COUNTIFS($D:$D,$D14333,$A:$A,$A14333,$B:$B,$B14333,$G:$G,"CDU",$J:$J,"PLANNED")&gt;0,"tied","standalone"),"")</f>
        <v/>
      </c>
    </row>
    <row r="14334" spans="6:14">
      <c r="F14334" s="6">
        <f>IF($M14334="PADD I","PADD 1",IF($M14334="PADD II","PADD 2",IF($M14334="PADD III","PADD 3",IF($M14334="PADD IV","PADD 4",IF($M14334="PADD V","PADD 5","")))))</f>
        <v/>
      </c>
      <c r="G14334" s="6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  <c r="N14334" s="6">
        <f>IF(OR($G14334="FCC",$G14334="Hydrocracker",$G14334="Reformer"),IF(COUNTIFS($D:$D,$D14334,$A:$A,$A14334,$B:$B,$B14334,$G:$G,"CDU",$J:$J,"PLANNED")&gt;0,"tied","standalone"),"")</f>
        <v/>
      </c>
    </row>
    <row r="14335" spans="6:14">
      <c r="F14335" s="6">
        <f>IF($M14335="PADD I","PADD 1",IF($M14335="PADD II","PADD 2",IF($M14335="PADD III","PADD 3",IF($M14335="PADD IV","PADD 4",IF($M14335="PADD V","PADD 5","")))))</f>
        <v/>
      </c>
      <c r="G14335" s="6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  <c r="N14335" s="6">
        <f>IF(OR($G14335="FCC",$G14335="Hydrocracker",$G14335="Reformer"),IF(COUNTIFS($D:$D,$D14335,$A:$A,$A14335,$B:$B,$B14335,$G:$G,"CDU",$J:$J,"PLANNED")&gt;0,"tied","standalone"),"")</f>
        <v/>
      </c>
    </row>
    <row r="14336" spans="6:14">
      <c r="F14336" s="6">
        <f>IF($M14336="PADD I","PADD 1",IF($M14336="PADD II","PADD 2",IF($M14336="PADD III","PADD 3",IF($M14336="PADD IV","PADD 4",IF($M14336="PADD V","PADD 5","")))))</f>
        <v/>
      </c>
      <c r="G14336" s="6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  <c r="N14336" s="6">
        <f>IF(OR($G14336="FCC",$G14336="Hydrocracker",$G14336="Reformer"),IF(COUNTIFS($D:$D,$D14336,$A:$A,$A14336,$B:$B,$B14336,$G:$G,"CDU",$J:$J,"PLANNED")&gt;0,"tied","standalone"),"")</f>
        <v/>
      </c>
    </row>
    <row r="14337" spans="6:14">
      <c r="F14337" s="6">
        <f>IF($M14337="PADD I","PADD 1",IF($M14337="PADD II","PADD 2",IF($M14337="PADD III","PADD 3",IF($M14337="PADD IV","PADD 4",IF($M14337="PADD V","PADD 5","")))))</f>
        <v/>
      </c>
      <c r="G14337" s="6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  <c r="N14337" s="6">
        <f>IF(OR($G14337="FCC",$G14337="Hydrocracker",$G14337="Reformer"),IF(COUNTIFS($D:$D,$D14337,$A:$A,$A14337,$B:$B,$B14337,$G:$G,"CDU",$J:$J,"PLANNED")&gt;0,"tied","standalone"),"")</f>
        <v/>
      </c>
    </row>
    <row r="14338" spans="6:14">
      <c r="F14338" s="6">
        <f>IF($M14338="PADD I","PADD 1",IF($M14338="PADD II","PADD 2",IF($M14338="PADD III","PADD 3",IF($M14338="PADD IV","PADD 4",IF($M14338="PADD V","PADD 5","")))))</f>
        <v/>
      </c>
      <c r="G14338" s="6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  <c r="N14338" s="6">
        <f>IF(OR($G14338="FCC",$G14338="Hydrocracker",$G14338="Reformer"),IF(COUNTIFS($D:$D,$D14338,$A:$A,$A14338,$B:$B,$B14338,$G:$G,"CDU",$J:$J,"PLANNED")&gt;0,"tied","standalone"),"")</f>
        <v/>
      </c>
    </row>
    <row r="14339" spans="6:14">
      <c r="F14339" s="6">
        <f>IF($M14339="PADD I","PADD 1",IF($M14339="PADD II","PADD 2",IF($M14339="PADD III","PADD 3",IF($M14339="PADD IV","PADD 4",IF($M14339="PADD V","PADD 5","")))))</f>
        <v/>
      </c>
      <c r="G14339" s="6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  <c r="N14339" s="6">
        <f>IF(OR($G14339="FCC",$G14339="Hydrocracker",$G14339="Reformer"),IF(COUNTIFS($D:$D,$D14339,$A:$A,$A14339,$B:$B,$B14339,$G:$G,"CDU",$J:$J,"PLANNED")&gt;0,"tied","standalone"),"")</f>
        <v/>
      </c>
    </row>
    <row r="14340" spans="6:14">
      <c r="F14340" s="6">
        <f>IF($M14340="PADD I","PADD 1",IF($M14340="PADD II","PADD 2",IF($M14340="PADD III","PADD 3",IF($M14340="PADD IV","PADD 4",IF($M14340="PADD V","PADD 5","")))))</f>
        <v/>
      </c>
      <c r="G14340" s="6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  <c r="N14340" s="6">
        <f>IF(OR($G14340="FCC",$G14340="Hydrocracker",$G14340="Reformer"),IF(COUNTIFS($D:$D,$D14340,$A:$A,$A14340,$B:$B,$B14340,$G:$G,"CDU",$J:$J,"PLANNED")&gt;0,"tied","standalone"),"")</f>
        <v/>
      </c>
    </row>
    <row r="14341" spans="6:14">
      <c r="F14341" s="6">
        <f>IF($M14341="PADD I","PADD 1",IF($M14341="PADD II","PADD 2",IF($M14341="PADD III","PADD 3",IF($M14341="PADD IV","PADD 4",IF($M14341="PADD V","PADD 5","")))))</f>
        <v/>
      </c>
      <c r="G14341" s="6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  <c r="N14341" s="6">
        <f>IF(OR($G14341="FCC",$G14341="Hydrocracker",$G14341="Reformer"),IF(COUNTIFS($D:$D,$D14341,$A:$A,$A14341,$B:$B,$B14341,$G:$G,"CDU",$J:$J,"PLANNED")&gt;0,"tied","standalone"),"")</f>
        <v/>
      </c>
    </row>
    <row r="14342" spans="6:14">
      <c r="F14342" s="6">
        <f>IF($M14342="PADD I","PADD 1",IF($M14342="PADD II","PADD 2",IF($M14342="PADD III","PADD 3",IF($M14342="PADD IV","PADD 4",IF($M14342="PADD V","PADD 5","")))))</f>
        <v/>
      </c>
      <c r="G14342" s="6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  <c r="N14342" s="6">
        <f>IF(OR($G14342="FCC",$G14342="Hydrocracker",$G14342="Reformer"),IF(COUNTIFS($D:$D,$D14342,$A:$A,$A14342,$B:$B,$B14342,$G:$G,"CDU",$J:$J,"PLANNED")&gt;0,"tied","standalone"),"")</f>
        <v/>
      </c>
    </row>
    <row r="14343" spans="6:14">
      <c r="F14343" s="6">
        <f>IF($M14343="PADD I","PADD 1",IF($M14343="PADD II","PADD 2",IF($M14343="PADD III","PADD 3",IF($M14343="PADD IV","PADD 4",IF($M14343="PADD V","PADD 5","")))))</f>
        <v/>
      </c>
      <c r="G14343" s="6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  <c r="N14343" s="6">
        <f>IF(OR($G14343="FCC",$G14343="Hydrocracker",$G14343="Reformer"),IF(COUNTIFS($D:$D,$D14343,$A:$A,$A14343,$B:$B,$B14343,$G:$G,"CDU",$J:$J,"PLANNED")&gt;0,"tied","standalone"),"")</f>
        <v/>
      </c>
    </row>
    <row r="14344" spans="6:14">
      <c r="F14344" s="6">
        <f>IF($M14344="PADD I","PADD 1",IF($M14344="PADD II","PADD 2",IF($M14344="PADD III","PADD 3",IF($M14344="PADD IV","PADD 4",IF($M14344="PADD V","PADD 5","")))))</f>
        <v/>
      </c>
      <c r="G14344" s="6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  <c r="N14344" s="6">
        <f>IF(OR($G14344="FCC",$G14344="Hydrocracker",$G14344="Reformer"),IF(COUNTIFS($D:$D,$D14344,$A:$A,$A14344,$B:$B,$B14344,$G:$G,"CDU",$J:$J,"PLANNED")&gt;0,"tied","standalone"),"")</f>
        <v/>
      </c>
    </row>
    <row r="14345" spans="6:14">
      <c r="F14345" s="6">
        <f>IF($M14345="PADD I","PADD 1",IF($M14345="PADD II","PADD 2",IF($M14345="PADD III","PADD 3",IF($M14345="PADD IV","PADD 4",IF($M14345="PADD V","PADD 5","")))))</f>
        <v/>
      </c>
      <c r="G14345" s="6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  <c r="N14345" s="6">
        <f>IF(OR($G14345="FCC",$G14345="Hydrocracker",$G14345="Reformer"),IF(COUNTIFS($D:$D,$D14345,$A:$A,$A14345,$B:$B,$B14345,$G:$G,"CDU",$J:$J,"PLANNED")&gt;0,"tied","standalone"),"")</f>
        <v/>
      </c>
    </row>
    <row r="14346" spans="6:14">
      <c r="F14346" s="6">
        <f>IF($M14346="PADD I","PADD 1",IF($M14346="PADD II","PADD 2",IF($M14346="PADD III","PADD 3",IF($M14346="PADD IV","PADD 4",IF($M14346="PADD V","PADD 5","")))))</f>
        <v/>
      </c>
      <c r="G14346" s="6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  <c r="N14346" s="6">
        <f>IF(OR($G14346="FCC",$G14346="Hydrocracker",$G14346="Reformer"),IF(COUNTIFS($D:$D,$D14346,$A:$A,$A14346,$B:$B,$B14346,$G:$G,"CDU",$J:$J,"PLANNED")&gt;0,"tied","standalone"),"")</f>
        <v/>
      </c>
    </row>
    <row r="14347" spans="6:14">
      <c r="F14347" s="6">
        <f>IF($M14347="PADD I","PADD 1",IF($M14347="PADD II","PADD 2",IF($M14347="PADD III","PADD 3",IF($M14347="PADD IV","PADD 4",IF($M14347="PADD V","PADD 5","")))))</f>
        <v/>
      </c>
      <c r="G14347" s="6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  <c r="N14347" s="6">
        <f>IF(OR($G14347="FCC",$G14347="Hydrocracker",$G14347="Reformer"),IF(COUNTIFS($D:$D,$D14347,$A:$A,$A14347,$B:$B,$B14347,$G:$G,"CDU",$J:$J,"PLANNED")&gt;0,"tied","standalone"),"")</f>
        <v/>
      </c>
    </row>
    <row r="14348" spans="6:14">
      <c r="F14348" s="6">
        <f>IF($M14348="PADD I","PADD 1",IF($M14348="PADD II","PADD 2",IF($M14348="PADD III","PADD 3",IF($M14348="PADD IV","PADD 4",IF($M14348="PADD V","PADD 5","")))))</f>
        <v/>
      </c>
      <c r="G14348" s="6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  <c r="N14348" s="6">
        <f>IF(OR($G14348="FCC",$G14348="Hydrocracker",$G14348="Reformer"),IF(COUNTIFS($D:$D,$D14348,$A:$A,$A14348,$B:$B,$B14348,$G:$G,"CDU",$J:$J,"PLANNED")&gt;0,"tied","standalone"),"")</f>
        <v/>
      </c>
    </row>
    <row r="14349" spans="6:14">
      <c r="F14349" s="6">
        <f>IF($M14349="PADD I","PADD 1",IF($M14349="PADD II","PADD 2",IF($M14349="PADD III","PADD 3",IF($M14349="PADD IV","PADD 4",IF($M14349="PADD V","PADD 5","")))))</f>
        <v/>
      </c>
      <c r="G14349" s="6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  <c r="N14349" s="6">
        <f>IF(OR($G14349="FCC",$G14349="Hydrocracker",$G14349="Reformer"),IF(COUNTIFS($D:$D,$D14349,$A:$A,$A14349,$B:$B,$B14349,$G:$G,"CDU",$J:$J,"PLANNED")&gt;0,"tied","standalone"),"")</f>
        <v/>
      </c>
    </row>
    <row r="14350" spans="6:14">
      <c r="F14350" s="6">
        <f>IF($M14350="PADD I","PADD 1",IF($M14350="PADD II","PADD 2",IF($M14350="PADD III","PADD 3",IF($M14350="PADD IV","PADD 4",IF($M14350="PADD V","PADD 5","")))))</f>
        <v/>
      </c>
      <c r="G14350" s="6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  <c r="N14350" s="6">
        <f>IF(OR($G14350="FCC",$G14350="Hydrocracker",$G14350="Reformer"),IF(COUNTIFS($D:$D,$D14350,$A:$A,$A14350,$B:$B,$B14350,$G:$G,"CDU",$J:$J,"PLANNED")&gt;0,"tied","standalone"),"")</f>
        <v/>
      </c>
    </row>
    <row r="14351" spans="6:14">
      <c r="F14351" s="6">
        <f>IF($M14351="PADD I","PADD 1",IF($M14351="PADD II","PADD 2",IF($M14351="PADD III","PADD 3",IF($M14351="PADD IV","PADD 4",IF($M14351="PADD V","PADD 5","")))))</f>
        <v/>
      </c>
      <c r="G14351" s="6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  <c r="N14351" s="6">
        <f>IF(OR($G14351="FCC",$G14351="Hydrocracker",$G14351="Reformer"),IF(COUNTIFS($D:$D,$D14351,$A:$A,$A14351,$B:$B,$B14351,$G:$G,"CDU",$J:$J,"PLANNED")&gt;0,"tied","standalone"),"")</f>
        <v/>
      </c>
    </row>
    <row r="14352" spans="6:14">
      <c r="F14352" s="6">
        <f>IF($M14352="PADD I","PADD 1",IF($M14352="PADD II","PADD 2",IF($M14352="PADD III","PADD 3",IF($M14352="PADD IV","PADD 4",IF($M14352="PADD V","PADD 5","")))))</f>
        <v/>
      </c>
      <c r="G14352" s="6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  <c r="N14352" s="6">
        <f>IF(OR($G14352="FCC",$G14352="Hydrocracker",$G14352="Reformer"),IF(COUNTIFS($D:$D,$D14352,$A:$A,$A14352,$B:$B,$B14352,$G:$G,"CDU",$J:$J,"PLANNED")&gt;0,"tied","standalone"),"")</f>
        <v/>
      </c>
    </row>
    <row r="14353" spans="6:14">
      <c r="F14353" s="6">
        <f>IF($M14353="PADD I","PADD 1",IF($M14353="PADD II","PADD 2",IF($M14353="PADD III","PADD 3",IF($M14353="PADD IV","PADD 4",IF($M14353="PADD V","PADD 5","")))))</f>
        <v/>
      </c>
      <c r="G14353" s="6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  <c r="N14353" s="6">
        <f>IF(OR($G14353="FCC",$G14353="Hydrocracker",$G14353="Reformer"),IF(COUNTIFS($D:$D,$D14353,$A:$A,$A14353,$B:$B,$B14353,$G:$G,"CDU",$J:$J,"PLANNED")&gt;0,"tied","standalone"),"")</f>
        <v/>
      </c>
    </row>
    <row r="14354" spans="6:14">
      <c r="F14354" s="6">
        <f>IF($M14354="PADD I","PADD 1",IF($M14354="PADD II","PADD 2",IF($M14354="PADD III","PADD 3",IF($M14354="PADD IV","PADD 4",IF($M14354="PADD V","PADD 5","")))))</f>
        <v/>
      </c>
      <c r="G14354" s="6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  <c r="N14354" s="6">
        <f>IF(OR($G14354="FCC",$G14354="Hydrocracker",$G14354="Reformer"),IF(COUNTIFS($D:$D,$D14354,$A:$A,$A14354,$B:$B,$B14354,$G:$G,"CDU",$J:$J,"PLANNED")&gt;0,"tied","standalone"),"")</f>
        <v/>
      </c>
    </row>
    <row r="14355" spans="6:14">
      <c r="F14355" s="6">
        <f>IF($M14355="PADD I","PADD 1",IF($M14355="PADD II","PADD 2",IF($M14355="PADD III","PADD 3",IF($M14355="PADD IV","PADD 4",IF($M14355="PADD V","PADD 5","")))))</f>
        <v/>
      </c>
      <c r="G14355" s="6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  <c r="N14355" s="6">
        <f>IF(OR($G14355="FCC",$G14355="Hydrocracker",$G14355="Reformer"),IF(COUNTIFS($D:$D,$D14355,$A:$A,$A14355,$B:$B,$B14355,$G:$G,"CDU",$J:$J,"PLANNED")&gt;0,"tied","standalone"),"")</f>
        <v/>
      </c>
    </row>
    <row r="14356" spans="6:14">
      <c r="F14356" s="6">
        <f>IF($M14356="PADD I","PADD 1",IF($M14356="PADD II","PADD 2",IF($M14356="PADD III","PADD 3",IF($M14356="PADD IV","PADD 4",IF($M14356="PADD V","PADD 5","")))))</f>
        <v/>
      </c>
      <c r="G14356" s="6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  <c r="N14356" s="6">
        <f>IF(OR($G14356="FCC",$G14356="Hydrocracker",$G14356="Reformer"),IF(COUNTIFS($D:$D,$D14356,$A:$A,$A14356,$B:$B,$B14356,$G:$G,"CDU",$J:$J,"PLANNED")&gt;0,"tied","standalone"),"")</f>
        <v/>
      </c>
    </row>
    <row r="14357" spans="6:14">
      <c r="F14357" s="6">
        <f>IF($M14357="PADD I","PADD 1",IF($M14357="PADD II","PADD 2",IF($M14357="PADD III","PADD 3",IF($M14357="PADD IV","PADD 4",IF($M14357="PADD V","PADD 5","")))))</f>
        <v/>
      </c>
      <c r="G14357" s="6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  <c r="N14357" s="6">
        <f>IF(OR($G14357="FCC",$G14357="Hydrocracker",$G14357="Reformer"),IF(COUNTIFS($D:$D,$D14357,$A:$A,$A14357,$B:$B,$B14357,$G:$G,"CDU",$J:$J,"PLANNED")&gt;0,"tied","standalone"),"")</f>
        <v/>
      </c>
    </row>
    <row r="14358" spans="6:14">
      <c r="F14358" s="6">
        <f>IF($M14358="PADD I","PADD 1",IF($M14358="PADD II","PADD 2",IF($M14358="PADD III","PADD 3",IF($M14358="PADD IV","PADD 4",IF($M14358="PADD V","PADD 5","")))))</f>
        <v/>
      </c>
      <c r="G14358" s="6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  <c r="N14358" s="6">
        <f>IF(OR($G14358="FCC",$G14358="Hydrocracker",$G14358="Reformer"),IF(COUNTIFS($D:$D,$D14358,$A:$A,$A14358,$B:$B,$B14358,$G:$G,"CDU",$J:$J,"PLANNED")&gt;0,"tied","standalone"),"")</f>
        <v/>
      </c>
    </row>
    <row r="14359" spans="6:14">
      <c r="F14359" s="6">
        <f>IF($M14359="PADD I","PADD 1",IF($M14359="PADD II","PADD 2",IF($M14359="PADD III","PADD 3",IF($M14359="PADD IV","PADD 4",IF($M14359="PADD V","PADD 5","")))))</f>
        <v/>
      </c>
      <c r="G14359" s="6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  <c r="N14359" s="6">
        <f>IF(OR($G14359="FCC",$G14359="Hydrocracker",$G14359="Reformer"),IF(COUNTIFS($D:$D,$D14359,$A:$A,$A14359,$B:$B,$B14359,$G:$G,"CDU",$J:$J,"PLANNED")&gt;0,"tied","standalone"),"")</f>
        <v/>
      </c>
    </row>
    <row r="14360" spans="6:14">
      <c r="F14360" s="6">
        <f>IF($M14360="PADD I","PADD 1",IF($M14360="PADD II","PADD 2",IF($M14360="PADD III","PADD 3",IF($M14360="PADD IV","PADD 4",IF($M14360="PADD V","PADD 5","")))))</f>
        <v/>
      </c>
      <c r="G14360" s="6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  <c r="N14360" s="6">
        <f>IF(OR($G14360="FCC",$G14360="Hydrocracker",$G14360="Reformer"),IF(COUNTIFS($D:$D,$D14360,$A:$A,$A14360,$B:$B,$B14360,$G:$G,"CDU",$J:$J,"PLANNED")&gt;0,"tied","standalone"),"")</f>
        <v/>
      </c>
    </row>
    <row r="14361" spans="6:14">
      <c r="F14361" s="6">
        <f>IF($M14361="PADD I","PADD 1",IF($M14361="PADD II","PADD 2",IF($M14361="PADD III","PADD 3",IF($M14361="PADD IV","PADD 4",IF($M14361="PADD V","PADD 5","")))))</f>
        <v/>
      </c>
      <c r="G14361" s="6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  <c r="N14361" s="6">
        <f>IF(OR($G14361="FCC",$G14361="Hydrocracker",$G14361="Reformer"),IF(COUNTIFS($D:$D,$D14361,$A:$A,$A14361,$B:$B,$B14361,$G:$G,"CDU",$J:$J,"PLANNED")&gt;0,"tied","standalone"),"")</f>
        <v/>
      </c>
    </row>
    <row r="14362" spans="6:14">
      <c r="F14362" s="6">
        <f>IF($M14362="PADD I","PADD 1",IF($M14362="PADD II","PADD 2",IF($M14362="PADD III","PADD 3",IF($M14362="PADD IV","PADD 4",IF($M14362="PADD V","PADD 5","")))))</f>
        <v/>
      </c>
      <c r="G14362" s="6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  <c r="N14362" s="6">
        <f>IF(OR($G14362="FCC",$G14362="Hydrocracker",$G14362="Reformer"),IF(COUNTIFS($D:$D,$D14362,$A:$A,$A14362,$B:$B,$B14362,$G:$G,"CDU",$J:$J,"PLANNED")&gt;0,"tied","standalone"),"")</f>
        <v/>
      </c>
    </row>
    <row r="14363" spans="6:14">
      <c r="F14363" s="6">
        <f>IF($M14363="PADD I","PADD 1",IF($M14363="PADD II","PADD 2",IF($M14363="PADD III","PADD 3",IF($M14363="PADD IV","PADD 4",IF($M14363="PADD V","PADD 5","")))))</f>
        <v/>
      </c>
      <c r="G14363" s="6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  <c r="N14363" s="6">
        <f>IF(OR($G14363="FCC",$G14363="Hydrocracker",$G14363="Reformer"),IF(COUNTIFS($D:$D,$D14363,$A:$A,$A14363,$B:$B,$B14363,$G:$G,"CDU",$J:$J,"PLANNED")&gt;0,"tied","standalone"),"")</f>
        <v/>
      </c>
    </row>
    <row r="14364" spans="6:14">
      <c r="F14364" s="6">
        <f>IF($M14364="PADD I","PADD 1",IF($M14364="PADD II","PADD 2",IF($M14364="PADD III","PADD 3",IF($M14364="PADD IV","PADD 4",IF($M14364="PADD V","PADD 5","")))))</f>
        <v/>
      </c>
      <c r="G14364" s="6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  <c r="N14364" s="6">
        <f>IF(OR($G14364="FCC",$G14364="Hydrocracker",$G14364="Reformer"),IF(COUNTIFS($D:$D,$D14364,$A:$A,$A14364,$B:$B,$B14364,$G:$G,"CDU",$J:$J,"PLANNED")&gt;0,"tied","standalone"),"")</f>
        <v/>
      </c>
    </row>
    <row r="14365" spans="6:14">
      <c r="F14365" s="6">
        <f>IF($M14365="PADD I","PADD 1",IF($M14365="PADD II","PADD 2",IF($M14365="PADD III","PADD 3",IF($M14365="PADD IV","PADD 4",IF($M14365="PADD V","PADD 5","")))))</f>
        <v/>
      </c>
      <c r="G14365" s="6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  <c r="N14365" s="6">
        <f>IF(OR($G14365="FCC",$G14365="Hydrocracker",$G14365="Reformer"),IF(COUNTIFS($D:$D,$D14365,$A:$A,$A14365,$B:$B,$B14365,$G:$G,"CDU",$J:$J,"PLANNED")&gt;0,"tied","standalone"),"")</f>
        <v/>
      </c>
    </row>
    <row r="14366" spans="6:14">
      <c r="F14366" s="6">
        <f>IF($M14366="PADD I","PADD 1",IF($M14366="PADD II","PADD 2",IF($M14366="PADD III","PADD 3",IF($M14366="PADD IV","PADD 4",IF($M14366="PADD V","PADD 5","")))))</f>
        <v/>
      </c>
      <c r="G14366" s="6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  <c r="N14366" s="6">
        <f>IF(OR($G14366="FCC",$G14366="Hydrocracker",$G14366="Reformer"),IF(COUNTIFS($D:$D,$D14366,$A:$A,$A14366,$B:$B,$B14366,$G:$G,"CDU",$J:$J,"PLANNED")&gt;0,"tied","standalone"),"")</f>
        <v/>
      </c>
    </row>
    <row r="14367" spans="6:14">
      <c r="F14367" s="6">
        <f>IF($M14367="PADD I","PADD 1",IF($M14367="PADD II","PADD 2",IF($M14367="PADD III","PADD 3",IF($M14367="PADD IV","PADD 4",IF($M14367="PADD V","PADD 5","")))))</f>
        <v/>
      </c>
      <c r="G14367" s="6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  <c r="N14367" s="6">
        <f>IF(OR($G14367="FCC",$G14367="Hydrocracker",$G14367="Reformer"),IF(COUNTIFS($D:$D,$D14367,$A:$A,$A14367,$B:$B,$B14367,$G:$G,"CDU",$J:$J,"PLANNED")&gt;0,"tied","standalone"),"")</f>
        <v/>
      </c>
    </row>
    <row r="14368" spans="6:14">
      <c r="F14368" s="6">
        <f>IF($M14368="PADD I","PADD 1",IF($M14368="PADD II","PADD 2",IF($M14368="PADD III","PADD 3",IF($M14368="PADD IV","PADD 4",IF($M14368="PADD V","PADD 5","")))))</f>
        <v/>
      </c>
      <c r="G14368" s="6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  <c r="N14368" s="6">
        <f>IF(OR($G14368="FCC",$G14368="Hydrocracker",$G14368="Reformer"),IF(COUNTIFS($D:$D,$D14368,$A:$A,$A14368,$B:$B,$B14368,$G:$G,"CDU",$J:$J,"PLANNED")&gt;0,"tied","standalone"),"")</f>
        <v/>
      </c>
    </row>
    <row r="14369" spans="6:14">
      <c r="F14369" s="6">
        <f>IF($M14369="PADD I","PADD 1",IF($M14369="PADD II","PADD 2",IF($M14369="PADD III","PADD 3",IF($M14369="PADD IV","PADD 4",IF($M14369="PADD V","PADD 5","")))))</f>
        <v/>
      </c>
      <c r="G14369" s="6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  <c r="N14369" s="6">
        <f>IF(OR($G14369="FCC",$G14369="Hydrocracker",$G14369="Reformer"),IF(COUNTIFS($D:$D,$D14369,$A:$A,$A14369,$B:$B,$B14369,$G:$G,"CDU",$J:$J,"PLANNED")&gt;0,"tied","standalone"),"")</f>
        <v/>
      </c>
    </row>
    <row r="14370" spans="6:14">
      <c r="F14370" s="6">
        <f>IF($M14370="PADD I","PADD 1",IF($M14370="PADD II","PADD 2",IF($M14370="PADD III","PADD 3",IF($M14370="PADD IV","PADD 4",IF($M14370="PADD V","PADD 5","")))))</f>
        <v/>
      </c>
      <c r="G14370" s="6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  <c r="N14370" s="6">
        <f>IF(OR($G14370="FCC",$G14370="Hydrocracker",$G14370="Reformer"),IF(COUNTIFS($D:$D,$D14370,$A:$A,$A14370,$B:$B,$B14370,$G:$G,"CDU",$J:$J,"PLANNED")&gt;0,"tied","standalone"),"")</f>
        <v/>
      </c>
    </row>
    <row r="14371" spans="6:14">
      <c r="F14371" s="6">
        <f>IF($M14371="PADD I","PADD 1",IF($M14371="PADD II","PADD 2",IF($M14371="PADD III","PADD 3",IF($M14371="PADD IV","PADD 4",IF($M14371="PADD V","PADD 5","")))))</f>
        <v/>
      </c>
      <c r="G14371" s="6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  <c r="N14371" s="6">
        <f>IF(OR($G14371="FCC",$G14371="Hydrocracker",$G14371="Reformer"),IF(COUNTIFS($D:$D,$D14371,$A:$A,$A14371,$B:$B,$B14371,$G:$G,"CDU",$J:$J,"PLANNED")&gt;0,"tied","standalone"),"")</f>
        <v/>
      </c>
    </row>
    <row r="14372" spans="6:14">
      <c r="F14372" s="6">
        <f>IF($M14372="PADD I","PADD 1",IF($M14372="PADD II","PADD 2",IF($M14372="PADD III","PADD 3",IF($M14372="PADD IV","PADD 4",IF($M14372="PADD V","PADD 5","")))))</f>
        <v/>
      </c>
      <c r="G14372" s="6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  <c r="N14372" s="6">
        <f>IF(OR($G14372="FCC",$G14372="Hydrocracker",$G14372="Reformer"),IF(COUNTIFS($D:$D,$D14372,$A:$A,$A14372,$B:$B,$B14372,$G:$G,"CDU",$J:$J,"PLANNED")&gt;0,"tied","standalone"),"")</f>
        <v/>
      </c>
    </row>
    <row r="14373" spans="6:14">
      <c r="F14373" s="6">
        <f>IF($M14373="PADD I","PADD 1",IF($M14373="PADD II","PADD 2",IF($M14373="PADD III","PADD 3",IF($M14373="PADD IV","PADD 4",IF($M14373="PADD V","PADD 5","")))))</f>
        <v/>
      </c>
      <c r="G14373" s="6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  <c r="N14373" s="6">
        <f>IF(OR($G14373="FCC",$G14373="Hydrocracker",$G14373="Reformer"),IF(COUNTIFS($D:$D,$D14373,$A:$A,$A14373,$B:$B,$B14373,$G:$G,"CDU",$J:$J,"PLANNED")&gt;0,"tied","standalone"),"")</f>
        <v/>
      </c>
    </row>
    <row r="14374" spans="6:14">
      <c r="F14374" s="6">
        <f>IF($M14374="PADD I","PADD 1",IF($M14374="PADD II","PADD 2",IF($M14374="PADD III","PADD 3",IF($M14374="PADD IV","PADD 4",IF($M14374="PADD V","PADD 5","")))))</f>
        <v/>
      </c>
      <c r="G14374" s="6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  <c r="N14374" s="6">
        <f>IF(OR($G14374="FCC",$G14374="Hydrocracker",$G14374="Reformer"),IF(COUNTIFS($D:$D,$D14374,$A:$A,$A14374,$B:$B,$B14374,$G:$G,"CDU",$J:$J,"PLANNED")&gt;0,"tied","standalone"),"")</f>
        <v/>
      </c>
    </row>
    <row r="14375" spans="6:14">
      <c r="F14375" s="6">
        <f>IF($M14375="PADD I","PADD 1",IF($M14375="PADD II","PADD 2",IF($M14375="PADD III","PADD 3",IF($M14375="PADD IV","PADD 4",IF($M14375="PADD V","PADD 5","")))))</f>
        <v/>
      </c>
      <c r="G14375" s="6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  <c r="N14375" s="6">
        <f>IF(OR($G14375="FCC",$G14375="Hydrocracker",$G14375="Reformer"),IF(COUNTIFS($D:$D,$D14375,$A:$A,$A14375,$B:$B,$B14375,$G:$G,"CDU",$J:$J,"PLANNED")&gt;0,"tied","standalone"),"")</f>
        <v/>
      </c>
    </row>
    <row r="14376" spans="6:14">
      <c r="F14376" s="6">
        <f>IF($M14376="PADD I","PADD 1",IF($M14376="PADD II","PADD 2",IF($M14376="PADD III","PADD 3",IF($M14376="PADD IV","PADD 4",IF($M14376="PADD V","PADD 5","")))))</f>
        <v/>
      </c>
      <c r="G14376" s="6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  <c r="N14376" s="6">
        <f>IF(OR($G14376="FCC",$G14376="Hydrocracker",$G14376="Reformer"),IF(COUNTIFS($D:$D,$D14376,$A:$A,$A14376,$B:$B,$B14376,$G:$G,"CDU",$J:$J,"PLANNED")&gt;0,"tied","standalone"),"")</f>
        <v/>
      </c>
    </row>
    <row r="14377" spans="6:14">
      <c r="F14377" s="6">
        <f>IF($M14377="PADD I","PADD 1",IF($M14377="PADD II","PADD 2",IF($M14377="PADD III","PADD 3",IF($M14377="PADD IV","PADD 4",IF($M14377="PADD V","PADD 5","")))))</f>
        <v/>
      </c>
      <c r="G14377" s="6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  <c r="N14377" s="6">
        <f>IF(OR($G14377="FCC",$G14377="Hydrocracker",$G14377="Reformer"),IF(COUNTIFS($D:$D,$D14377,$A:$A,$A14377,$B:$B,$B14377,$G:$G,"CDU",$J:$J,"PLANNED")&gt;0,"tied","standalone"),"")</f>
        <v/>
      </c>
    </row>
    <row r="14378" spans="6:14">
      <c r="F14378" s="6">
        <f>IF($M14378="PADD I","PADD 1",IF($M14378="PADD II","PADD 2",IF($M14378="PADD III","PADD 3",IF($M14378="PADD IV","PADD 4",IF($M14378="PADD V","PADD 5","")))))</f>
        <v/>
      </c>
      <c r="G14378" s="6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  <c r="N14378" s="6">
        <f>IF(OR($G14378="FCC",$G14378="Hydrocracker",$G14378="Reformer"),IF(COUNTIFS($D:$D,$D14378,$A:$A,$A14378,$B:$B,$B14378,$G:$G,"CDU",$J:$J,"PLANNED")&gt;0,"tied","standalone"),"")</f>
        <v/>
      </c>
    </row>
    <row r="14379" spans="6:14">
      <c r="F14379" s="6">
        <f>IF($M14379="PADD I","PADD 1",IF($M14379="PADD II","PADD 2",IF($M14379="PADD III","PADD 3",IF($M14379="PADD IV","PADD 4",IF($M14379="PADD V","PADD 5","")))))</f>
        <v/>
      </c>
      <c r="G14379" s="6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  <c r="N14379" s="6">
        <f>IF(OR($G14379="FCC",$G14379="Hydrocracker",$G14379="Reformer"),IF(COUNTIFS($D:$D,$D14379,$A:$A,$A14379,$B:$B,$B14379,$G:$G,"CDU",$J:$J,"PLANNED")&gt;0,"tied","standalone"),"")</f>
        <v/>
      </c>
    </row>
    <row r="14380" spans="6:14">
      <c r="F14380" s="6">
        <f>IF($M14380="PADD I","PADD 1",IF($M14380="PADD II","PADD 2",IF($M14380="PADD III","PADD 3",IF($M14380="PADD IV","PADD 4",IF($M14380="PADD V","PADD 5","")))))</f>
        <v/>
      </c>
      <c r="G14380" s="6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  <c r="N14380" s="6">
        <f>IF(OR($G14380="FCC",$G14380="Hydrocracker",$G14380="Reformer"),IF(COUNTIFS($D:$D,$D14380,$A:$A,$A14380,$B:$B,$B14380,$G:$G,"CDU",$J:$J,"PLANNED")&gt;0,"tied","standalone"),"")</f>
        <v/>
      </c>
    </row>
    <row r="14381" spans="6:14">
      <c r="F14381" s="6">
        <f>IF($M14381="PADD I","PADD 1",IF($M14381="PADD II","PADD 2",IF($M14381="PADD III","PADD 3",IF($M14381="PADD IV","PADD 4",IF($M14381="PADD V","PADD 5","")))))</f>
        <v/>
      </c>
      <c r="G14381" s="6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  <c r="N14381" s="6">
        <f>IF(OR($G14381="FCC",$G14381="Hydrocracker",$G14381="Reformer"),IF(COUNTIFS($D:$D,$D14381,$A:$A,$A14381,$B:$B,$B14381,$G:$G,"CDU",$J:$J,"PLANNED")&gt;0,"tied","standalone"),"")</f>
        <v/>
      </c>
    </row>
    <row r="14382" spans="6:14">
      <c r="F14382" s="6">
        <f>IF($M14382="PADD I","PADD 1",IF($M14382="PADD II","PADD 2",IF($M14382="PADD III","PADD 3",IF($M14382="PADD IV","PADD 4",IF($M14382="PADD V","PADD 5","")))))</f>
        <v/>
      </c>
      <c r="G14382" s="6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  <c r="N14382" s="6">
        <f>IF(OR($G14382="FCC",$G14382="Hydrocracker",$G14382="Reformer"),IF(COUNTIFS($D:$D,$D14382,$A:$A,$A14382,$B:$B,$B14382,$G:$G,"CDU",$J:$J,"PLANNED")&gt;0,"tied","standalone"),"")</f>
        <v/>
      </c>
    </row>
    <row r="14383" spans="6:14">
      <c r="F14383" s="6">
        <f>IF($M14383="PADD I","PADD 1",IF($M14383="PADD II","PADD 2",IF($M14383="PADD III","PADD 3",IF($M14383="PADD IV","PADD 4",IF($M14383="PADD V","PADD 5","")))))</f>
        <v/>
      </c>
      <c r="G14383" s="6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  <c r="N14383" s="6">
        <f>IF(OR($G14383="FCC",$G14383="Hydrocracker",$G14383="Reformer"),IF(COUNTIFS($D:$D,$D14383,$A:$A,$A14383,$B:$B,$B14383,$G:$G,"CDU",$J:$J,"PLANNED")&gt;0,"tied","standalone"),"")</f>
        <v/>
      </c>
    </row>
    <row r="14384" spans="6:14">
      <c r="F14384" s="6">
        <f>IF($M14384="PADD I","PADD 1",IF($M14384="PADD II","PADD 2",IF($M14384="PADD III","PADD 3",IF($M14384="PADD IV","PADD 4",IF($M14384="PADD V","PADD 5","")))))</f>
        <v/>
      </c>
      <c r="G14384" s="6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  <c r="N14384" s="6">
        <f>IF(OR($G14384="FCC",$G14384="Hydrocracker",$G14384="Reformer"),IF(COUNTIFS($D:$D,$D14384,$A:$A,$A14384,$B:$B,$B14384,$G:$G,"CDU",$J:$J,"PLANNED")&gt;0,"tied","standalone"),"")</f>
        <v/>
      </c>
    </row>
    <row r="14385" spans="6:14">
      <c r="F14385" s="6">
        <f>IF($M14385="PADD I","PADD 1",IF($M14385="PADD II","PADD 2",IF($M14385="PADD III","PADD 3",IF($M14385="PADD IV","PADD 4",IF($M14385="PADD V","PADD 5","")))))</f>
        <v/>
      </c>
      <c r="G14385" s="6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  <c r="N14385" s="6">
        <f>IF(OR($G14385="FCC",$G14385="Hydrocracker",$G14385="Reformer"),IF(COUNTIFS($D:$D,$D14385,$A:$A,$A14385,$B:$B,$B14385,$G:$G,"CDU",$J:$J,"PLANNED")&gt;0,"tied","standalone"),"")</f>
        <v/>
      </c>
    </row>
    <row r="14386" spans="6:14">
      <c r="F14386" s="6">
        <f>IF($M14386="PADD I","PADD 1",IF($M14386="PADD II","PADD 2",IF($M14386="PADD III","PADD 3",IF($M14386="PADD IV","PADD 4",IF($M14386="PADD V","PADD 5","")))))</f>
        <v/>
      </c>
      <c r="G14386" s="6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  <c r="N14386" s="6">
        <f>IF(OR($G14386="FCC",$G14386="Hydrocracker",$G14386="Reformer"),IF(COUNTIFS($D:$D,$D14386,$A:$A,$A14386,$B:$B,$B14386,$G:$G,"CDU",$J:$J,"PLANNED")&gt;0,"tied","standalone"),"")</f>
        <v/>
      </c>
    </row>
    <row r="14387" spans="6:14">
      <c r="F14387" s="6">
        <f>IF($M14387="PADD I","PADD 1",IF($M14387="PADD II","PADD 2",IF($M14387="PADD III","PADD 3",IF($M14387="PADD IV","PADD 4",IF($M14387="PADD V","PADD 5","")))))</f>
        <v/>
      </c>
      <c r="G14387" s="6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  <c r="N14387" s="6">
        <f>IF(OR($G14387="FCC",$G14387="Hydrocracker",$G14387="Reformer"),IF(COUNTIFS($D:$D,$D14387,$A:$A,$A14387,$B:$B,$B14387,$G:$G,"CDU",$J:$J,"PLANNED")&gt;0,"tied","standalone"),"")</f>
        <v/>
      </c>
    </row>
    <row r="14388" spans="6:14">
      <c r="F14388" s="6">
        <f>IF($M14388="PADD I","PADD 1",IF($M14388="PADD II","PADD 2",IF($M14388="PADD III","PADD 3",IF($M14388="PADD IV","PADD 4",IF($M14388="PADD V","PADD 5","")))))</f>
        <v/>
      </c>
      <c r="G14388" s="6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  <c r="N14388" s="6">
        <f>IF(OR($G14388="FCC",$G14388="Hydrocracker",$G14388="Reformer"),IF(COUNTIFS($D:$D,$D14388,$A:$A,$A14388,$B:$B,$B14388,$G:$G,"CDU",$J:$J,"PLANNED")&gt;0,"tied","standalone"),"")</f>
        <v/>
      </c>
    </row>
    <row r="14389" spans="6:14">
      <c r="F14389" s="6">
        <f>IF($M14389="PADD I","PADD 1",IF($M14389="PADD II","PADD 2",IF($M14389="PADD III","PADD 3",IF($M14389="PADD IV","PADD 4",IF($M14389="PADD V","PADD 5","")))))</f>
        <v/>
      </c>
      <c r="G14389" s="6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  <c r="N14389" s="6">
        <f>IF(OR($G14389="FCC",$G14389="Hydrocracker",$G14389="Reformer"),IF(COUNTIFS($D:$D,$D14389,$A:$A,$A14389,$B:$B,$B14389,$G:$G,"CDU",$J:$J,"PLANNED")&gt;0,"tied","standalone"),"")</f>
        <v/>
      </c>
    </row>
    <row r="14390" spans="6:14">
      <c r="F14390" s="6">
        <f>IF($M14390="PADD I","PADD 1",IF($M14390="PADD II","PADD 2",IF($M14390="PADD III","PADD 3",IF($M14390="PADD IV","PADD 4",IF($M14390="PADD V","PADD 5","")))))</f>
        <v/>
      </c>
      <c r="G14390" s="6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  <c r="N14390" s="6">
        <f>IF(OR($G14390="FCC",$G14390="Hydrocracker",$G14390="Reformer"),IF(COUNTIFS($D:$D,$D14390,$A:$A,$A14390,$B:$B,$B14390,$G:$G,"CDU",$J:$J,"PLANNED")&gt;0,"tied","standalone"),"")</f>
        <v/>
      </c>
    </row>
    <row r="14391" spans="6:14">
      <c r="F14391" s="6">
        <f>IF($M14391="PADD I","PADD 1",IF($M14391="PADD II","PADD 2",IF($M14391="PADD III","PADD 3",IF($M14391="PADD IV","PADD 4",IF($M14391="PADD V","PADD 5","")))))</f>
        <v/>
      </c>
      <c r="G14391" s="6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  <c r="N14391" s="6">
        <f>IF(OR($G14391="FCC",$G14391="Hydrocracker",$G14391="Reformer"),IF(COUNTIFS($D:$D,$D14391,$A:$A,$A14391,$B:$B,$B14391,$G:$G,"CDU",$J:$J,"PLANNED")&gt;0,"tied","standalone"),"")</f>
        <v/>
      </c>
    </row>
    <row r="14392" spans="6:14">
      <c r="F14392" s="6">
        <f>IF($M14392="PADD I","PADD 1",IF($M14392="PADD II","PADD 2",IF($M14392="PADD III","PADD 3",IF($M14392="PADD IV","PADD 4",IF($M14392="PADD V","PADD 5","")))))</f>
        <v/>
      </c>
      <c r="G14392" s="6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  <c r="N14392" s="6">
        <f>IF(OR($G14392="FCC",$G14392="Hydrocracker",$G14392="Reformer"),IF(COUNTIFS($D:$D,$D14392,$A:$A,$A14392,$B:$B,$B14392,$G:$G,"CDU",$J:$J,"PLANNED")&gt;0,"tied","standalone"),"")</f>
        <v/>
      </c>
    </row>
    <row r="14393" spans="6:14">
      <c r="F14393" s="6">
        <f>IF($M14393="PADD I","PADD 1",IF($M14393="PADD II","PADD 2",IF($M14393="PADD III","PADD 3",IF($M14393="PADD IV","PADD 4",IF($M14393="PADD V","PADD 5","")))))</f>
        <v/>
      </c>
      <c r="G14393" s="6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  <c r="N14393" s="6">
        <f>IF(OR($G14393="FCC",$G14393="Hydrocracker",$G14393="Reformer"),IF(COUNTIFS($D:$D,$D14393,$A:$A,$A14393,$B:$B,$B14393,$G:$G,"CDU",$J:$J,"PLANNED")&gt;0,"tied","standalone"),"")</f>
        <v/>
      </c>
    </row>
    <row r="14394" spans="6:14">
      <c r="F14394" s="6">
        <f>IF($M14394="PADD I","PADD 1",IF($M14394="PADD II","PADD 2",IF($M14394="PADD III","PADD 3",IF($M14394="PADD IV","PADD 4",IF($M14394="PADD V","PADD 5","")))))</f>
        <v/>
      </c>
      <c r="G14394" s="6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  <c r="N14394" s="6">
        <f>IF(OR($G14394="FCC",$G14394="Hydrocracker",$G14394="Reformer"),IF(COUNTIFS($D:$D,$D14394,$A:$A,$A14394,$B:$B,$B14394,$G:$G,"CDU",$J:$J,"PLANNED")&gt;0,"tied","standalone"),"")</f>
        <v/>
      </c>
    </row>
    <row r="14395" spans="6:14">
      <c r="F14395" s="6">
        <f>IF($M14395="PADD I","PADD 1",IF($M14395="PADD II","PADD 2",IF($M14395="PADD III","PADD 3",IF($M14395="PADD IV","PADD 4",IF($M14395="PADD V","PADD 5","")))))</f>
        <v/>
      </c>
      <c r="G14395" s="6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  <c r="N14395" s="6">
        <f>IF(OR($G14395="FCC",$G14395="Hydrocracker",$G14395="Reformer"),IF(COUNTIFS($D:$D,$D14395,$A:$A,$A14395,$B:$B,$B14395,$G:$G,"CDU",$J:$J,"PLANNED")&gt;0,"tied","standalone"),"")</f>
        <v/>
      </c>
    </row>
    <row r="14396" spans="6:14">
      <c r="F14396" s="6">
        <f>IF($M14396="PADD I","PADD 1",IF($M14396="PADD II","PADD 2",IF($M14396="PADD III","PADD 3",IF($M14396="PADD IV","PADD 4",IF($M14396="PADD V","PADD 5","")))))</f>
        <v/>
      </c>
      <c r="G14396" s="6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  <c r="N14396" s="6">
        <f>IF(OR($G14396="FCC",$G14396="Hydrocracker",$G14396="Reformer"),IF(COUNTIFS($D:$D,$D14396,$A:$A,$A14396,$B:$B,$B14396,$G:$G,"CDU",$J:$J,"PLANNED")&gt;0,"tied","standalone"),"")</f>
        <v/>
      </c>
    </row>
    <row r="14397" spans="6:14">
      <c r="F14397" s="6">
        <f>IF($M14397="PADD I","PADD 1",IF($M14397="PADD II","PADD 2",IF($M14397="PADD III","PADD 3",IF($M14397="PADD IV","PADD 4",IF($M14397="PADD V","PADD 5","")))))</f>
        <v/>
      </c>
      <c r="G14397" s="6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  <c r="N14397" s="6">
        <f>IF(OR($G14397="FCC",$G14397="Hydrocracker",$G14397="Reformer"),IF(COUNTIFS($D:$D,$D14397,$A:$A,$A14397,$B:$B,$B14397,$G:$G,"CDU",$J:$J,"PLANNED")&gt;0,"tied","standalone"),"")</f>
        <v/>
      </c>
    </row>
    <row r="14398" spans="6:14">
      <c r="F14398" s="6">
        <f>IF($M14398="PADD I","PADD 1",IF($M14398="PADD II","PADD 2",IF($M14398="PADD III","PADD 3",IF($M14398="PADD IV","PADD 4",IF($M14398="PADD V","PADD 5","")))))</f>
        <v/>
      </c>
      <c r="G14398" s="6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  <c r="N14398" s="6">
        <f>IF(OR($G14398="FCC",$G14398="Hydrocracker",$G14398="Reformer"),IF(COUNTIFS($D:$D,$D14398,$A:$A,$A14398,$B:$B,$B14398,$G:$G,"CDU",$J:$J,"PLANNED")&gt;0,"tied","standalone"),"")</f>
        <v/>
      </c>
    </row>
    <row r="14399" spans="6:14">
      <c r="F14399" s="6">
        <f>IF($M14399="PADD I","PADD 1",IF($M14399="PADD II","PADD 2",IF($M14399="PADD III","PADD 3",IF($M14399="PADD IV","PADD 4",IF($M14399="PADD V","PADD 5","")))))</f>
        <v/>
      </c>
      <c r="G14399" s="6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  <c r="N14399" s="6">
        <f>IF(OR($G14399="FCC",$G14399="Hydrocracker",$G14399="Reformer"),IF(COUNTIFS($D:$D,$D14399,$A:$A,$A14399,$B:$B,$B14399,$G:$G,"CDU",$J:$J,"PLANNED")&gt;0,"tied","standalone"),"")</f>
        <v/>
      </c>
    </row>
    <row r="14400" spans="6:14">
      <c r="F14400" s="6">
        <f>IF($M14400="PADD I","PADD 1",IF($M14400="PADD II","PADD 2",IF($M14400="PADD III","PADD 3",IF($M14400="PADD IV","PADD 4",IF($M14400="PADD V","PADD 5","")))))</f>
        <v/>
      </c>
      <c r="G14400" s="6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  <c r="N14400" s="6">
        <f>IF(OR($G14400="FCC",$G14400="Hydrocracker",$G14400="Reformer"),IF(COUNTIFS($D:$D,$D14400,$A:$A,$A14400,$B:$B,$B14400,$G:$G,"CDU",$J:$J,"PLANNED")&gt;0,"tied","standalone"),"")</f>
        <v/>
      </c>
    </row>
    <row r="14401" spans="6:14">
      <c r="F14401" s="6">
        <f>IF($M14401="PADD I","PADD 1",IF($M14401="PADD II","PADD 2",IF($M14401="PADD III","PADD 3",IF($M14401="PADD IV","PADD 4",IF($M14401="PADD V","PADD 5","")))))</f>
        <v/>
      </c>
      <c r="G14401" s="6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  <c r="N14401" s="6">
        <f>IF(OR($G14401="FCC",$G14401="Hydrocracker",$G14401="Reformer"),IF(COUNTIFS($D:$D,$D14401,$A:$A,$A14401,$B:$B,$B14401,$G:$G,"CDU",$J:$J,"PLANNED")&gt;0,"tied","standalone"),"")</f>
        <v/>
      </c>
    </row>
    <row r="14402" spans="6:14">
      <c r="F14402" s="6">
        <f>IF($M14402="PADD I","PADD 1",IF($M14402="PADD II","PADD 2",IF($M14402="PADD III","PADD 3",IF($M14402="PADD IV","PADD 4",IF($M14402="PADD V","PADD 5","")))))</f>
        <v/>
      </c>
      <c r="G14402" s="6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  <c r="N14402" s="6">
        <f>IF(OR($G14402="FCC",$G14402="Hydrocracker",$G14402="Reformer"),IF(COUNTIFS($D:$D,$D14402,$A:$A,$A14402,$B:$B,$B14402,$G:$G,"CDU",$J:$J,"PLANNED")&gt;0,"tied","standalone"),"")</f>
        <v/>
      </c>
    </row>
    <row r="14403" spans="6:14">
      <c r="F14403" s="6">
        <f>IF($M14403="PADD I","PADD 1",IF($M14403="PADD II","PADD 2",IF($M14403="PADD III","PADD 3",IF($M14403="PADD IV","PADD 4",IF($M14403="PADD V","PADD 5","")))))</f>
        <v/>
      </c>
      <c r="G14403" s="6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  <c r="N14403" s="6">
        <f>IF(OR($G14403="FCC",$G14403="Hydrocracker",$G14403="Reformer"),IF(COUNTIFS($D:$D,$D14403,$A:$A,$A14403,$B:$B,$B14403,$G:$G,"CDU",$J:$J,"PLANNED")&gt;0,"tied","standalone"),"")</f>
        <v/>
      </c>
    </row>
    <row r="14404" spans="6:14">
      <c r="F14404" s="6">
        <f>IF($M14404="PADD I","PADD 1",IF($M14404="PADD II","PADD 2",IF($M14404="PADD III","PADD 3",IF($M14404="PADD IV","PADD 4",IF($M14404="PADD V","PADD 5","")))))</f>
        <v/>
      </c>
      <c r="G14404" s="6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  <c r="N14404" s="6">
        <f>IF(OR($G14404="FCC",$G14404="Hydrocracker",$G14404="Reformer"),IF(COUNTIFS($D:$D,$D14404,$A:$A,$A14404,$B:$B,$B14404,$G:$G,"CDU",$J:$J,"PLANNED")&gt;0,"tied","standalone"),"")</f>
        <v/>
      </c>
    </row>
    <row r="14405" spans="6:14">
      <c r="F14405" s="6">
        <f>IF($M14405="PADD I","PADD 1",IF($M14405="PADD II","PADD 2",IF($M14405="PADD III","PADD 3",IF($M14405="PADD IV","PADD 4",IF($M14405="PADD V","PADD 5","")))))</f>
        <v/>
      </c>
      <c r="G14405" s="6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  <c r="N14405" s="6">
        <f>IF(OR($G14405="FCC",$G14405="Hydrocracker",$G14405="Reformer"),IF(COUNTIFS($D:$D,$D14405,$A:$A,$A14405,$B:$B,$B14405,$G:$G,"CDU",$J:$J,"PLANNED")&gt;0,"tied","standalone"),"")</f>
        <v/>
      </c>
    </row>
    <row r="14406" spans="6:14">
      <c r="F14406" s="6">
        <f>IF($M14406="PADD I","PADD 1",IF($M14406="PADD II","PADD 2",IF($M14406="PADD III","PADD 3",IF($M14406="PADD IV","PADD 4",IF($M14406="PADD V","PADD 5","")))))</f>
        <v/>
      </c>
      <c r="G14406" s="6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  <c r="N14406" s="6">
        <f>IF(OR($G14406="FCC",$G14406="Hydrocracker",$G14406="Reformer"),IF(COUNTIFS($D:$D,$D14406,$A:$A,$A14406,$B:$B,$B14406,$G:$G,"CDU",$J:$J,"PLANNED")&gt;0,"tied","standalone"),"")</f>
        <v/>
      </c>
    </row>
    <row r="14407" spans="6:14">
      <c r="F14407" s="6">
        <f>IF($M14407="PADD I","PADD 1",IF($M14407="PADD II","PADD 2",IF($M14407="PADD III","PADD 3",IF($M14407="PADD IV","PADD 4",IF($M14407="PADD V","PADD 5","")))))</f>
        <v/>
      </c>
      <c r="G14407" s="6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  <c r="N14407" s="6">
        <f>IF(OR($G14407="FCC",$G14407="Hydrocracker",$G14407="Reformer"),IF(COUNTIFS($D:$D,$D14407,$A:$A,$A14407,$B:$B,$B14407,$G:$G,"CDU",$J:$J,"PLANNED")&gt;0,"tied","standalone"),"")</f>
        <v/>
      </c>
    </row>
    <row r="14408" spans="6:14">
      <c r="F14408" s="6">
        <f>IF($M14408="PADD I","PADD 1",IF($M14408="PADD II","PADD 2",IF($M14408="PADD III","PADD 3",IF($M14408="PADD IV","PADD 4",IF($M14408="PADD V","PADD 5","")))))</f>
        <v/>
      </c>
      <c r="G14408" s="6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  <c r="N14408" s="6">
        <f>IF(OR($G14408="FCC",$G14408="Hydrocracker",$G14408="Reformer"),IF(COUNTIFS($D:$D,$D14408,$A:$A,$A14408,$B:$B,$B14408,$G:$G,"CDU",$J:$J,"PLANNED")&gt;0,"tied","standalone"),"")</f>
        <v/>
      </c>
    </row>
    <row r="14409" spans="6:14">
      <c r="F14409" s="6">
        <f>IF($M14409="PADD I","PADD 1",IF($M14409="PADD II","PADD 2",IF($M14409="PADD III","PADD 3",IF($M14409="PADD IV","PADD 4",IF($M14409="PADD V","PADD 5","")))))</f>
        <v/>
      </c>
      <c r="G14409" s="6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  <c r="N14409" s="6">
        <f>IF(OR($G14409="FCC",$G14409="Hydrocracker",$G14409="Reformer"),IF(COUNTIFS($D:$D,$D14409,$A:$A,$A14409,$B:$B,$B14409,$G:$G,"CDU",$J:$J,"PLANNED")&gt;0,"tied","standalone"),"")</f>
        <v/>
      </c>
    </row>
    <row r="14410" spans="6:14">
      <c r="F14410" s="6">
        <f>IF($M14410="PADD I","PADD 1",IF($M14410="PADD II","PADD 2",IF($M14410="PADD III","PADD 3",IF($M14410="PADD IV","PADD 4",IF($M14410="PADD V","PADD 5","")))))</f>
        <v/>
      </c>
      <c r="G14410" s="6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  <c r="N14410" s="6">
        <f>IF(OR($G14410="FCC",$G14410="Hydrocracker",$G14410="Reformer"),IF(COUNTIFS($D:$D,$D14410,$A:$A,$A14410,$B:$B,$B14410,$G:$G,"CDU",$J:$J,"PLANNED")&gt;0,"tied","standalone"),"")</f>
        <v/>
      </c>
    </row>
    <row r="14411" spans="6:14">
      <c r="F14411" s="6">
        <f>IF($M14411="PADD I","PADD 1",IF($M14411="PADD II","PADD 2",IF($M14411="PADD III","PADD 3",IF($M14411="PADD IV","PADD 4",IF($M14411="PADD V","PADD 5","")))))</f>
        <v/>
      </c>
      <c r="G14411" s="6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  <c r="N14411" s="6">
        <f>IF(OR($G14411="FCC",$G14411="Hydrocracker",$G14411="Reformer"),IF(COUNTIFS($D:$D,$D14411,$A:$A,$A14411,$B:$B,$B14411,$G:$G,"CDU",$J:$J,"PLANNED")&gt;0,"tied","standalone"),"")</f>
        <v/>
      </c>
    </row>
    <row r="14412" spans="6:14">
      <c r="F14412" s="6">
        <f>IF($M14412="PADD I","PADD 1",IF($M14412="PADD II","PADD 2",IF($M14412="PADD III","PADD 3",IF($M14412="PADD IV","PADD 4",IF($M14412="PADD V","PADD 5","")))))</f>
        <v/>
      </c>
      <c r="G14412" s="6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  <c r="N14412" s="6">
        <f>IF(OR($G14412="FCC",$G14412="Hydrocracker",$G14412="Reformer"),IF(COUNTIFS($D:$D,$D14412,$A:$A,$A14412,$B:$B,$B14412,$G:$G,"CDU",$J:$J,"PLANNED")&gt;0,"tied","standalone"),"")</f>
        <v/>
      </c>
    </row>
    <row r="14413" spans="6:14">
      <c r="F14413" s="6">
        <f>IF($M14413="PADD I","PADD 1",IF($M14413="PADD II","PADD 2",IF($M14413="PADD III","PADD 3",IF($M14413="PADD IV","PADD 4",IF($M14413="PADD V","PADD 5","")))))</f>
        <v/>
      </c>
      <c r="G14413" s="6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  <c r="N14413" s="6">
        <f>IF(OR($G14413="FCC",$G14413="Hydrocracker",$G14413="Reformer"),IF(COUNTIFS($D:$D,$D14413,$A:$A,$A14413,$B:$B,$B14413,$G:$G,"CDU",$J:$J,"PLANNED")&gt;0,"tied","standalone"),"")</f>
        <v/>
      </c>
    </row>
    <row r="14414" spans="6:14">
      <c r="F14414" s="6">
        <f>IF($M14414="PADD I","PADD 1",IF($M14414="PADD II","PADD 2",IF($M14414="PADD III","PADD 3",IF($M14414="PADD IV","PADD 4",IF($M14414="PADD V","PADD 5","")))))</f>
        <v/>
      </c>
      <c r="G14414" s="6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  <c r="N14414" s="6">
        <f>IF(OR($G14414="FCC",$G14414="Hydrocracker",$G14414="Reformer"),IF(COUNTIFS($D:$D,$D14414,$A:$A,$A14414,$B:$B,$B14414,$G:$G,"CDU",$J:$J,"PLANNED")&gt;0,"tied","standalone"),"")</f>
        <v/>
      </c>
    </row>
    <row r="14415" spans="6:14">
      <c r="F14415" s="6">
        <f>IF($M14415="PADD I","PADD 1",IF($M14415="PADD II","PADD 2",IF($M14415="PADD III","PADD 3",IF($M14415="PADD IV","PADD 4",IF($M14415="PADD V","PADD 5","")))))</f>
        <v/>
      </c>
      <c r="G14415" s="6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  <c r="N14415" s="6">
        <f>IF(OR($G14415="FCC",$G14415="Hydrocracker",$G14415="Reformer"),IF(COUNTIFS($D:$D,$D14415,$A:$A,$A14415,$B:$B,$B14415,$G:$G,"CDU",$J:$J,"PLANNED")&gt;0,"tied","standalone"),"")</f>
        <v/>
      </c>
    </row>
    <row r="14416" spans="6:14">
      <c r="F14416" s="6">
        <f>IF($M14416="PADD I","PADD 1",IF($M14416="PADD II","PADD 2",IF($M14416="PADD III","PADD 3",IF($M14416="PADD IV","PADD 4",IF($M14416="PADD V","PADD 5","")))))</f>
        <v/>
      </c>
      <c r="G14416" s="6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  <c r="N14416" s="6">
        <f>IF(OR($G14416="FCC",$G14416="Hydrocracker",$G14416="Reformer"),IF(COUNTIFS($D:$D,$D14416,$A:$A,$A14416,$B:$B,$B14416,$G:$G,"CDU",$J:$J,"PLANNED")&gt;0,"tied","standalone"),"")</f>
        <v/>
      </c>
    </row>
    <row r="14417" spans="6:14">
      <c r="F14417" s="6">
        <f>IF($M14417="PADD I","PADD 1",IF($M14417="PADD II","PADD 2",IF($M14417="PADD III","PADD 3",IF($M14417="PADD IV","PADD 4",IF($M14417="PADD V","PADD 5","")))))</f>
        <v/>
      </c>
      <c r="G14417" s="6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  <c r="N14417" s="6">
        <f>IF(OR($G14417="FCC",$G14417="Hydrocracker",$G14417="Reformer"),IF(COUNTIFS($D:$D,$D14417,$A:$A,$A14417,$B:$B,$B14417,$G:$G,"CDU",$J:$J,"PLANNED")&gt;0,"tied","standalone"),"")</f>
        <v/>
      </c>
    </row>
    <row r="14418" spans="6:14">
      <c r="F14418" s="6">
        <f>IF($M14418="PADD I","PADD 1",IF($M14418="PADD II","PADD 2",IF($M14418="PADD III","PADD 3",IF($M14418="PADD IV","PADD 4",IF($M14418="PADD V","PADD 5","")))))</f>
        <v/>
      </c>
      <c r="G14418" s="6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  <c r="N14418" s="6">
        <f>IF(OR($G14418="FCC",$G14418="Hydrocracker",$G14418="Reformer"),IF(COUNTIFS($D:$D,$D14418,$A:$A,$A14418,$B:$B,$B14418,$G:$G,"CDU",$J:$J,"PLANNED")&gt;0,"tied","standalone"),"")</f>
        <v/>
      </c>
    </row>
    <row r="14419" spans="6:14">
      <c r="F14419" s="6">
        <f>IF($M14419="PADD I","PADD 1",IF($M14419="PADD II","PADD 2",IF($M14419="PADD III","PADD 3",IF($M14419="PADD IV","PADD 4",IF($M14419="PADD V","PADD 5","")))))</f>
        <v/>
      </c>
      <c r="G14419" s="6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  <c r="N14419" s="6">
        <f>IF(OR($G14419="FCC",$G14419="Hydrocracker",$G14419="Reformer"),IF(COUNTIFS($D:$D,$D14419,$A:$A,$A14419,$B:$B,$B14419,$G:$G,"CDU",$J:$J,"PLANNED")&gt;0,"tied","standalone"),"")</f>
        <v/>
      </c>
    </row>
    <row r="14420" spans="6:14">
      <c r="F14420" s="6">
        <f>IF($M14420="PADD I","PADD 1",IF($M14420="PADD II","PADD 2",IF($M14420="PADD III","PADD 3",IF($M14420="PADD IV","PADD 4",IF($M14420="PADD V","PADD 5","")))))</f>
        <v/>
      </c>
      <c r="G14420" s="6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  <c r="N14420" s="6">
        <f>IF(OR($G14420="FCC",$G14420="Hydrocracker",$G14420="Reformer"),IF(COUNTIFS($D:$D,$D14420,$A:$A,$A14420,$B:$B,$B14420,$G:$G,"CDU",$J:$J,"PLANNED")&gt;0,"tied","standalone"),"")</f>
        <v/>
      </c>
    </row>
    <row r="14421" spans="6:14">
      <c r="F14421" s="6">
        <f>IF($M14421="PADD I","PADD 1",IF($M14421="PADD II","PADD 2",IF($M14421="PADD III","PADD 3",IF($M14421="PADD IV","PADD 4",IF($M14421="PADD V","PADD 5","")))))</f>
        <v/>
      </c>
      <c r="G14421" s="6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  <c r="N14421" s="6">
        <f>IF(OR($G14421="FCC",$G14421="Hydrocracker",$G14421="Reformer"),IF(COUNTIFS($D:$D,$D14421,$A:$A,$A14421,$B:$B,$B14421,$G:$G,"CDU",$J:$J,"PLANNED")&gt;0,"tied","standalone"),"")</f>
        <v/>
      </c>
    </row>
    <row r="14422" spans="6:14">
      <c r="F14422" s="6">
        <f>IF($M14422="PADD I","PADD 1",IF($M14422="PADD II","PADD 2",IF($M14422="PADD III","PADD 3",IF($M14422="PADD IV","PADD 4",IF($M14422="PADD V","PADD 5","")))))</f>
        <v/>
      </c>
      <c r="G14422" s="6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  <c r="N14422" s="6">
        <f>IF(OR($G14422="FCC",$G14422="Hydrocracker",$G14422="Reformer"),IF(COUNTIFS($D:$D,$D14422,$A:$A,$A14422,$B:$B,$B14422,$G:$G,"CDU",$J:$J,"PLANNED")&gt;0,"tied","standalone"),"")</f>
        <v/>
      </c>
    </row>
    <row r="14423" spans="6:14">
      <c r="F14423" s="6">
        <f>IF($M14423="PADD I","PADD 1",IF($M14423="PADD II","PADD 2",IF($M14423="PADD III","PADD 3",IF($M14423="PADD IV","PADD 4",IF($M14423="PADD V","PADD 5","")))))</f>
        <v/>
      </c>
      <c r="G14423" s="6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  <c r="N14423" s="6">
        <f>IF(OR($G14423="FCC",$G14423="Hydrocracker",$G14423="Reformer"),IF(COUNTIFS($D:$D,$D14423,$A:$A,$A14423,$B:$B,$B14423,$G:$G,"CDU",$J:$J,"PLANNED")&gt;0,"tied","standalone"),"")</f>
        <v/>
      </c>
    </row>
    <row r="14424" spans="6:14">
      <c r="F14424" s="6">
        <f>IF($M14424="PADD I","PADD 1",IF($M14424="PADD II","PADD 2",IF($M14424="PADD III","PADD 3",IF($M14424="PADD IV","PADD 4",IF($M14424="PADD V","PADD 5","")))))</f>
        <v/>
      </c>
      <c r="G14424" s="6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  <c r="N14424" s="6">
        <f>IF(OR($G14424="FCC",$G14424="Hydrocracker",$G14424="Reformer"),IF(COUNTIFS($D:$D,$D14424,$A:$A,$A14424,$B:$B,$B14424,$G:$G,"CDU",$J:$J,"PLANNED")&gt;0,"tied","standalone"),"")</f>
        <v/>
      </c>
    </row>
    <row r="14425" spans="6:14">
      <c r="F14425" s="6">
        <f>IF($M14425="PADD I","PADD 1",IF($M14425="PADD II","PADD 2",IF($M14425="PADD III","PADD 3",IF($M14425="PADD IV","PADD 4",IF($M14425="PADD V","PADD 5","")))))</f>
        <v/>
      </c>
      <c r="G14425" s="6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  <c r="N14425" s="6">
        <f>IF(OR($G14425="FCC",$G14425="Hydrocracker",$G14425="Reformer"),IF(COUNTIFS($D:$D,$D14425,$A:$A,$A14425,$B:$B,$B14425,$G:$G,"CDU",$J:$J,"PLANNED")&gt;0,"tied","standalone"),"")</f>
        <v/>
      </c>
    </row>
    <row r="14426" spans="6:14">
      <c r="F14426" s="6">
        <f>IF($M14426="PADD I","PADD 1",IF($M14426="PADD II","PADD 2",IF($M14426="PADD III","PADD 3",IF($M14426="PADD IV","PADD 4",IF($M14426="PADD V","PADD 5","")))))</f>
        <v/>
      </c>
      <c r="G14426" s="6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  <c r="N14426" s="6">
        <f>IF(OR($G14426="FCC",$G14426="Hydrocracker",$G14426="Reformer"),IF(COUNTIFS($D:$D,$D14426,$A:$A,$A14426,$B:$B,$B14426,$G:$G,"CDU",$J:$J,"PLANNED")&gt;0,"tied","standalone"),"")</f>
        <v/>
      </c>
    </row>
    <row r="14427" spans="6:14">
      <c r="F14427" s="6">
        <f>IF($M14427="PADD I","PADD 1",IF($M14427="PADD II","PADD 2",IF($M14427="PADD III","PADD 3",IF($M14427="PADD IV","PADD 4",IF($M14427="PADD V","PADD 5","")))))</f>
        <v/>
      </c>
      <c r="G14427" s="6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  <c r="N14427" s="6">
        <f>IF(OR($G14427="FCC",$G14427="Hydrocracker",$G14427="Reformer"),IF(COUNTIFS($D:$D,$D14427,$A:$A,$A14427,$B:$B,$B14427,$G:$G,"CDU",$J:$J,"PLANNED")&gt;0,"tied","standalone"),"")</f>
        <v/>
      </c>
    </row>
    <row r="14428" spans="6:14">
      <c r="F14428" s="6">
        <f>IF($M14428="PADD I","PADD 1",IF($M14428="PADD II","PADD 2",IF($M14428="PADD III","PADD 3",IF($M14428="PADD IV","PADD 4",IF($M14428="PADD V","PADD 5","")))))</f>
        <v/>
      </c>
      <c r="G14428" s="6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  <c r="N14428" s="6">
        <f>IF(OR($G14428="FCC",$G14428="Hydrocracker",$G14428="Reformer"),IF(COUNTIFS($D:$D,$D14428,$A:$A,$A14428,$B:$B,$B14428,$G:$G,"CDU",$J:$J,"PLANNED")&gt;0,"tied","standalone"),"")</f>
        <v/>
      </c>
    </row>
    <row r="14429" spans="6:14">
      <c r="F14429" s="6">
        <f>IF($M14429="PADD I","PADD 1",IF($M14429="PADD II","PADD 2",IF($M14429="PADD III","PADD 3",IF($M14429="PADD IV","PADD 4",IF($M14429="PADD V","PADD 5","")))))</f>
        <v/>
      </c>
      <c r="G14429" s="6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  <c r="N14429" s="6">
        <f>IF(OR($G14429="FCC",$G14429="Hydrocracker",$G14429="Reformer"),IF(COUNTIFS($D:$D,$D14429,$A:$A,$A14429,$B:$B,$B14429,$G:$G,"CDU",$J:$J,"PLANNED")&gt;0,"tied","standalone"),"")</f>
        <v/>
      </c>
    </row>
    <row r="14430" spans="6:14">
      <c r="F14430" s="6">
        <f>IF($M14430="PADD I","PADD 1",IF($M14430="PADD II","PADD 2",IF($M14430="PADD III","PADD 3",IF($M14430="PADD IV","PADD 4",IF($M14430="PADD V","PADD 5","")))))</f>
        <v/>
      </c>
      <c r="G14430" s="6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  <c r="N14430" s="6">
        <f>IF(OR($G14430="FCC",$G14430="Hydrocracker",$G14430="Reformer"),IF(COUNTIFS($D:$D,$D14430,$A:$A,$A14430,$B:$B,$B14430,$G:$G,"CDU",$J:$J,"PLANNED")&gt;0,"tied","standalone"),"")</f>
        <v/>
      </c>
    </row>
    <row r="14431" spans="6:14">
      <c r="F14431" s="6">
        <f>IF($M14431="PADD I","PADD 1",IF($M14431="PADD II","PADD 2",IF($M14431="PADD III","PADD 3",IF($M14431="PADD IV","PADD 4",IF($M14431="PADD V","PADD 5","")))))</f>
        <v/>
      </c>
      <c r="G14431" s="6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  <c r="N14431" s="6">
        <f>IF(OR($G14431="FCC",$G14431="Hydrocracker",$G14431="Reformer"),IF(COUNTIFS($D:$D,$D14431,$A:$A,$A14431,$B:$B,$B14431,$G:$G,"CDU",$J:$J,"PLANNED")&gt;0,"tied","standalone"),"")</f>
        <v/>
      </c>
    </row>
    <row r="14432" spans="6:14">
      <c r="F14432" s="6">
        <f>IF($M14432="PADD I","PADD 1",IF($M14432="PADD II","PADD 2",IF($M14432="PADD III","PADD 3",IF($M14432="PADD IV","PADD 4",IF($M14432="PADD V","PADD 5","")))))</f>
        <v/>
      </c>
      <c r="G14432" s="6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  <c r="N14432" s="6">
        <f>IF(OR($G14432="FCC",$G14432="Hydrocracker",$G14432="Reformer"),IF(COUNTIFS($D:$D,$D14432,$A:$A,$A14432,$B:$B,$B14432,$G:$G,"CDU",$J:$J,"PLANNED")&gt;0,"tied","standalone"),"")</f>
        <v/>
      </c>
    </row>
    <row r="14433" spans="6:14">
      <c r="F14433" s="6">
        <f>IF($M14433="PADD I","PADD 1",IF($M14433="PADD II","PADD 2",IF($M14433="PADD III","PADD 3",IF($M14433="PADD IV","PADD 4",IF($M14433="PADD V","PADD 5","")))))</f>
        <v/>
      </c>
      <c r="G14433" s="6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  <c r="N14433" s="6">
        <f>IF(OR($G14433="FCC",$G14433="Hydrocracker",$G14433="Reformer"),IF(COUNTIFS($D:$D,$D14433,$A:$A,$A14433,$B:$B,$B14433,$G:$G,"CDU",$J:$J,"PLANNED")&gt;0,"tied","standalone"),"")</f>
        <v/>
      </c>
    </row>
    <row r="14434" spans="6:14">
      <c r="F14434" s="6">
        <f>IF($M14434="PADD I","PADD 1",IF($M14434="PADD II","PADD 2",IF($M14434="PADD III","PADD 3",IF($M14434="PADD IV","PADD 4",IF($M14434="PADD V","PADD 5","")))))</f>
        <v/>
      </c>
      <c r="G14434" s="6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  <c r="N14434" s="6">
        <f>IF(OR($G14434="FCC",$G14434="Hydrocracker",$G14434="Reformer"),IF(COUNTIFS($D:$D,$D14434,$A:$A,$A14434,$B:$B,$B14434,$G:$G,"CDU",$J:$J,"PLANNED")&gt;0,"tied","standalone"),"")</f>
        <v/>
      </c>
    </row>
    <row r="14435" spans="6:14">
      <c r="F14435" s="6">
        <f>IF($M14435="PADD I","PADD 1",IF($M14435="PADD II","PADD 2",IF($M14435="PADD III","PADD 3",IF($M14435="PADD IV","PADD 4",IF($M14435="PADD V","PADD 5","")))))</f>
        <v/>
      </c>
      <c r="G14435" s="6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  <c r="N14435" s="6">
        <f>IF(OR($G14435="FCC",$G14435="Hydrocracker",$G14435="Reformer"),IF(COUNTIFS($D:$D,$D14435,$A:$A,$A14435,$B:$B,$B14435,$G:$G,"CDU",$J:$J,"PLANNED")&gt;0,"tied","standalone"),"")</f>
        <v/>
      </c>
    </row>
    <row r="14436" spans="6:14">
      <c r="F14436" s="6">
        <f>IF($M14436="PADD I","PADD 1",IF($M14436="PADD II","PADD 2",IF($M14436="PADD III","PADD 3",IF($M14436="PADD IV","PADD 4",IF($M14436="PADD V","PADD 5","")))))</f>
        <v/>
      </c>
      <c r="G14436" s="6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  <c r="N14436" s="6">
        <f>IF(OR($G14436="FCC",$G14436="Hydrocracker",$G14436="Reformer"),IF(COUNTIFS($D:$D,$D14436,$A:$A,$A14436,$B:$B,$B14436,$G:$G,"CDU",$J:$J,"PLANNED")&gt;0,"tied","standalone"),"")</f>
        <v/>
      </c>
    </row>
    <row r="14437" spans="6:14">
      <c r="F14437" s="6">
        <f>IF($M14437="PADD I","PADD 1",IF($M14437="PADD II","PADD 2",IF($M14437="PADD III","PADD 3",IF($M14437="PADD IV","PADD 4",IF($M14437="PADD V","PADD 5","")))))</f>
        <v/>
      </c>
      <c r="G14437" s="6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  <c r="N14437" s="6">
        <f>IF(OR($G14437="FCC",$G14437="Hydrocracker",$G14437="Reformer"),IF(COUNTIFS($D:$D,$D14437,$A:$A,$A14437,$B:$B,$B14437,$G:$G,"CDU",$J:$J,"PLANNED")&gt;0,"tied","standalone"),"")</f>
        <v/>
      </c>
    </row>
    <row r="14438" spans="6:14">
      <c r="F14438" s="6">
        <f>IF($M14438="PADD I","PADD 1",IF($M14438="PADD II","PADD 2",IF($M14438="PADD III","PADD 3",IF($M14438="PADD IV","PADD 4",IF($M14438="PADD V","PADD 5","")))))</f>
        <v/>
      </c>
      <c r="G14438" s="6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  <c r="N14438" s="6">
        <f>IF(OR($G14438="FCC",$G14438="Hydrocracker",$G14438="Reformer"),IF(COUNTIFS($D:$D,$D14438,$A:$A,$A14438,$B:$B,$B14438,$G:$G,"CDU",$J:$J,"PLANNED")&gt;0,"tied","standalone"),"")</f>
        <v/>
      </c>
    </row>
    <row r="14439" spans="6:14">
      <c r="F14439" s="6">
        <f>IF($M14439="PADD I","PADD 1",IF($M14439="PADD II","PADD 2",IF($M14439="PADD III","PADD 3",IF($M14439="PADD IV","PADD 4",IF($M14439="PADD V","PADD 5","")))))</f>
        <v/>
      </c>
      <c r="G14439" s="6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  <c r="N14439" s="6">
        <f>IF(OR($G14439="FCC",$G14439="Hydrocracker",$G14439="Reformer"),IF(COUNTIFS($D:$D,$D14439,$A:$A,$A14439,$B:$B,$B14439,$G:$G,"CDU",$J:$J,"PLANNED")&gt;0,"tied","standalone"),"")</f>
        <v/>
      </c>
    </row>
    <row r="14440" spans="6:14">
      <c r="F14440" s="6">
        <f>IF($M14440="PADD I","PADD 1",IF($M14440="PADD II","PADD 2",IF($M14440="PADD III","PADD 3",IF($M14440="PADD IV","PADD 4",IF($M14440="PADD V","PADD 5","")))))</f>
        <v/>
      </c>
      <c r="G14440" s="6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  <c r="N14440" s="6">
        <f>IF(OR($G14440="FCC",$G14440="Hydrocracker",$G14440="Reformer"),IF(COUNTIFS($D:$D,$D14440,$A:$A,$A14440,$B:$B,$B14440,$G:$G,"CDU",$J:$J,"PLANNED")&gt;0,"tied","standalone"),"")</f>
        <v/>
      </c>
    </row>
    <row r="14441" spans="6:14">
      <c r="F14441" s="6">
        <f>IF($M14441="PADD I","PADD 1",IF($M14441="PADD II","PADD 2",IF($M14441="PADD III","PADD 3",IF($M14441="PADD IV","PADD 4",IF($M14441="PADD V","PADD 5","")))))</f>
        <v/>
      </c>
      <c r="G14441" s="6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  <c r="N14441" s="6">
        <f>IF(OR($G14441="FCC",$G14441="Hydrocracker",$G14441="Reformer"),IF(COUNTIFS($D:$D,$D14441,$A:$A,$A14441,$B:$B,$B14441,$G:$G,"CDU",$J:$J,"PLANNED")&gt;0,"tied","standalone"),"")</f>
        <v/>
      </c>
    </row>
    <row r="14442" spans="6:14">
      <c r="F14442" s="6">
        <f>IF($M14442="PADD I","PADD 1",IF($M14442="PADD II","PADD 2",IF($M14442="PADD III","PADD 3",IF($M14442="PADD IV","PADD 4",IF($M14442="PADD V","PADD 5","")))))</f>
        <v/>
      </c>
      <c r="G14442" s="6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  <c r="N14442" s="6">
        <f>IF(OR($G14442="FCC",$G14442="Hydrocracker",$G14442="Reformer"),IF(COUNTIFS($D:$D,$D14442,$A:$A,$A14442,$B:$B,$B14442,$G:$G,"CDU",$J:$J,"PLANNED")&gt;0,"tied","standalone"),"")</f>
        <v/>
      </c>
    </row>
    <row r="14443" spans="6:14">
      <c r="F14443" s="6">
        <f>IF($M14443="PADD I","PADD 1",IF($M14443="PADD II","PADD 2",IF($M14443="PADD III","PADD 3",IF($M14443="PADD IV","PADD 4",IF($M14443="PADD V","PADD 5","")))))</f>
        <v/>
      </c>
      <c r="G14443" s="6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  <c r="N14443" s="6">
        <f>IF(OR($G14443="FCC",$G14443="Hydrocracker",$G14443="Reformer"),IF(COUNTIFS($D:$D,$D14443,$A:$A,$A14443,$B:$B,$B14443,$G:$G,"CDU",$J:$J,"PLANNED")&gt;0,"tied","standalone"),"")</f>
        <v/>
      </c>
    </row>
    <row r="14444" spans="6:14">
      <c r="F14444" s="6">
        <f>IF($M14444="PADD I","PADD 1",IF($M14444="PADD II","PADD 2",IF($M14444="PADD III","PADD 3",IF($M14444="PADD IV","PADD 4",IF($M14444="PADD V","PADD 5","")))))</f>
        <v/>
      </c>
      <c r="G14444" s="6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  <c r="N14444" s="6">
        <f>IF(OR($G14444="FCC",$G14444="Hydrocracker",$G14444="Reformer"),IF(COUNTIFS($D:$D,$D14444,$A:$A,$A14444,$B:$B,$B14444,$G:$G,"CDU",$J:$J,"PLANNED")&gt;0,"tied","standalone"),"")</f>
        <v/>
      </c>
    </row>
    <row r="14445" spans="6:14">
      <c r="F14445" s="6">
        <f>IF($M14445="PADD I","PADD 1",IF($M14445="PADD II","PADD 2",IF($M14445="PADD III","PADD 3",IF($M14445="PADD IV","PADD 4",IF($M14445="PADD V","PADD 5","")))))</f>
        <v/>
      </c>
      <c r="G14445" s="6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  <c r="N14445" s="6">
        <f>IF(OR($G14445="FCC",$G14445="Hydrocracker",$G14445="Reformer"),IF(COUNTIFS($D:$D,$D14445,$A:$A,$A14445,$B:$B,$B14445,$G:$G,"CDU",$J:$J,"PLANNED")&gt;0,"tied","standalone"),"")</f>
        <v/>
      </c>
    </row>
    <row r="14446" spans="6:14">
      <c r="F14446" s="6">
        <f>IF($M14446="PADD I","PADD 1",IF($M14446="PADD II","PADD 2",IF($M14446="PADD III","PADD 3",IF($M14446="PADD IV","PADD 4",IF($M14446="PADD V","PADD 5","")))))</f>
        <v/>
      </c>
      <c r="G14446" s="6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  <c r="N14446" s="6">
        <f>IF(OR($G14446="FCC",$G14446="Hydrocracker",$G14446="Reformer"),IF(COUNTIFS($D:$D,$D14446,$A:$A,$A14446,$B:$B,$B14446,$G:$G,"CDU",$J:$J,"PLANNED")&gt;0,"tied","standalone"),"")</f>
        <v/>
      </c>
    </row>
    <row r="14447" spans="6:14">
      <c r="F14447" s="6">
        <f>IF($M14447="PADD I","PADD 1",IF($M14447="PADD II","PADD 2",IF($M14447="PADD III","PADD 3",IF($M14447="PADD IV","PADD 4",IF($M14447="PADD V","PADD 5","")))))</f>
        <v/>
      </c>
      <c r="G14447" s="6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  <c r="N14447" s="6">
        <f>IF(OR($G14447="FCC",$G14447="Hydrocracker",$G14447="Reformer"),IF(COUNTIFS($D:$D,$D14447,$A:$A,$A14447,$B:$B,$B14447,$G:$G,"CDU",$J:$J,"PLANNED")&gt;0,"tied","standalone"),"")</f>
        <v/>
      </c>
    </row>
    <row r="14448" spans="6:14">
      <c r="F14448" s="6">
        <f>IF($M14448="PADD I","PADD 1",IF($M14448="PADD II","PADD 2",IF($M14448="PADD III","PADD 3",IF($M14448="PADD IV","PADD 4",IF($M14448="PADD V","PADD 5","")))))</f>
        <v/>
      </c>
      <c r="G14448" s="6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  <c r="N14448" s="6">
        <f>IF(OR($G14448="FCC",$G14448="Hydrocracker",$G14448="Reformer"),IF(COUNTIFS($D:$D,$D14448,$A:$A,$A14448,$B:$B,$B14448,$G:$G,"CDU",$J:$J,"PLANNED")&gt;0,"tied","standalone"),"")</f>
        <v/>
      </c>
    </row>
    <row r="14449" spans="6:14">
      <c r="F14449" s="6">
        <f>IF($M14449="PADD I","PADD 1",IF($M14449="PADD II","PADD 2",IF($M14449="PADD III","PADD 3",IF($M14449="PADD IV","PADD 4",IF($M14449="PADD V","PADD 5","")))))</f>
        <v/>
      </c>
      <c r="G14449" s="6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  <c r="N14449" s="6">
        <f>IF(OR($G14449="FCC",$G14449="Hydrocracker",$G14449="Reformer"),IF(COUNTIFS($D:$D,$D14449,$A:$A,$A14449,$B:$B,$B14449,$G:$G,"CDU",$J:$J,"PLANNED")&gt;0,"tied","standalone"),"")</f>
        <v/>
      </c>
    </row>
    <row r="14450" spans="6:14">
      <c r="F14450" s="6">
        <f>IF($M14450="PADD I","PADD 1",IF($M14450="PADD II","PADD 2",IF($M14450="PADD III","PADD 3",IF($M14450="PADD IV","PADD 4",IF($M14450="PADD V","PADD 5","")))))</f>
        <v/>
      </c>
      <c r="G14450" s="6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  <c r="N14450" s="6">
        <f>IF(OR($G14450="FCC",$G14450="Hydrocracker",$G14450="Reformer"),IF(COUNTIFS($D:$D,$D14450,$A:$A,$A14450,$B:$B,$B14450,$G:$G,"CDU",$J:$J,"PLANNED")&gt;0,"tied","standalone"),"")</f>
        <v/>
      </c>
    </row>
    <row r="14451" spans="6:14">
      <c r="F14451" s="6">
        <f>IF($M14451="PADD I","PADD 1",IF($M14451="PADD II","PADD 2",IF($M14451="PADD III","PADD 3",IF($M14451="PADD IV","PADD 4",IF($M14451="PADD V","PADD 5","")))))</f>
        <v/>
      </c>
      <c r="G14451" s="6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  <c r="N14451" s="6">
        <f>IF(OR($G14451="FCC",$G14451="Hydrocracker",$G14451="Reformer"),IF(COUNTIFS($D:$D,$D14451,$A:$A,$A14451,$B:$B,$B14451,$G:$G,"CDU",$J:$J,"PLANNED")&gt;0,"tied","standalone"),"")</f>
        <v/>
      </c>
    </row>
    <row r="14452" spans="6:14">
      <c r="F14452" s="6">
        <f>IF($M14452="PADD I","PADD 1",IF($M14452="PADD II","PADD 2",IF($M14452="PADD III","PADD 3",IF($M14452="PADD IV","PADD 4",IF($M14452="PADD V","PADD 5","")))))</f>
        <v/>
      </c>
      <c r="G14452" s="6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  <c r="N14452" s="6">
        <f>IF(OR($G14452="FCC",$G14452="Hydrocracker",$G14452="Reformer"),IF(COUNTIFS($D:$D,$D14452,$A:$A,$A14452,$B:$B,$B14452,$G:$G,"CDU",$J:$J,"PLANNED")&gt;0,"tied","standalone"),"")</f>
        <v/>
      </c>
    </row>
    <row r="14453" spans="6:14">
      <c r="F14453" s="6">
        <f>IF($M14453="PADD I","PADD 1",IF($M14453="PADD II","PADD 2",IF($M14453="PADD III","PADD 3",IF($M14453="PADD IV","PADD 4",IF($M14453="PADD V","PADD 5","")))))</f>
        <v/>
      </c>
      <c r="G14453" s="6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  <c r="N14453" s="6">
        <f>IF(OR($G14453="FCC",$G14453="Hydrocracker",$G14453="Reformer"),IF(COUNTIFS($D:$D,$D14453,$A:$A,$A14453,$B:$B,$B14453,$G:$G,"CDU",$J:$J,"PLANNED")&gt;0,"tied","standalone"),"")</f>
        <v/>
      </c>
    </row>
    <row r="14454" spans="6:14">
      <c r="F14454" s="6">
        <f>IF($M14454="PADD I","PADD 1",IF($M14454="PADD II","PADD 2",IF($M14454="PADD III","PADD 3",IF($M14454="PADD IV","PADD 4",IF($M14454="PADD V","PADD 5","")))))</f>
        <v/>
      </c>
      <c r="G14454" s="6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  <c r="N14454" s="6">
        <f>IF(OR($G14454="FCC",$G14454="Hydrocracker",$G14454="Reformer"),IF(COUNTIFS($D:$D,$D14454,$A:$A,$A14454,$B:$B,$B14454,$G:$G,"CDU",$J:$J,"PLANNED")&gt;0,"tied","standalone"),"")</f>
        <v/>
      </c>
    </row>
    <row r="14455" spans="6:14">
      <c r="F14455" s="6">
        <f>IF($M14455="PADD I","PADD 1",IF($M14455="PADD II","PADD 2",IF($M14455="PADD III","PADD 3",IF($M14455="PADD IV","PADD 4",IF($M14455="PADD V","PADD 5","")))))</f>
        <v/>
      </c>
      <c r="G14455" s="6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  <c r="N14455" s="6">
        <f>IF(OR($G14455="FCC",$G14455="Hydrocracker",$G14455="Reformer"),IF(COUNTIFS($D:$D,$D14455,$A:$A,$A14455,$B:$B,$B14455,$G:$G,"CDU",$J:$J,"PLANNED")&gt;0,"tied","standalone"),"")</f>
        <v/>
      </c>
    </row>
    <row r="14456" spans="6:14">
      <c r="F14456" s="6">
        <f>IF($M14456="PADD I","PADD 1",IF($M14456="PADD II","PADD 2",IF($M14456="PADD III","PADD 3",IF($M14456="PADD IV","PADD 4",IF($M14456="PADD V","PADD 5","")))))</f>
        <v/>
      </c>
      <c r="G14456" s="6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  <c r="N14456" s="6">
        <f>IF(OR($G14456="FCC",$G14456="Hydrocracker",$G14456="Reformer"),IF(COUNTIFS($D:$D,$D14456,$A:$A,$A14456,$B:$B,$B14456,$G:$G,"CDU",$J:$J,"PLANNED")&gt;0,"tied","standalone"),"")</f>
        <v/>
      </c>
    </row>
    <row r="14457" spans="6:14">
      <c r="F14457" s="6">
        <f>IF($M14457="PADD I","PADD 1",IF($M14457="PADD II","PADD 2",IF($M14457="PADD III","PADD 3",IF($M14457="PADD IV","PADD 4",IF($M14457="PADD V","PADD 5","")))))</f>
        <v/>
      </c>
      <c r="G14457" s="6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  <c r="N14457" s="6">
        <f>IF(OR($G14457="FCC",$G14457="Hydrocracker",$G14457="Reformer"),IF(COUNTIFS($D:$D,$D14457,$A:$A,$A14457,$B:$B,$B14457,$G:$G,"CDU",$J:$J,"PLANNED")&gt;0,"tied","standalone"),"")</f>
        <v/>
      </c>
    </row>
    <row r="14458" spans="6:14">
      <c r="F14458" s="6">
        <f>IF($M14458="PADD I","PADD 1",IF($M14458="PADD II","PADD 2",IF($M14458="PADD III","PADD 3",IF($M14458="PADD IV","PADD 4",IF($M14458="PADD V","PADD 5","")))))</f>
        <v/>
      </c>
      <c r="G14458" s="6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  <c r="N14458" s="6">
        <f>IF(OR($G14458="FCC",$G14458="Hydrocracker",$G14458="Reformer"),IF(COUNTIFS($D:$D,$D14458,$A:$A,$A14458,$B:$B,$B14458,$G:$G,"CDU",$J:$J,"PLANNED")&gt;0,"tied","standalone"),"")</f>
        <v/>
      </c>
    </row>
    <row r="14459" spans="6:14">
      <c r="F14459" s="6">
        <f>IF($M14459="PADD I","PADD 1",IF($M14459="PADD II","PADD 2",IF($M14459="PADD III","PADD 3",IF($M14459="PADD IV","PADD 4",IF($M14459="PADD V","PADD 5","")))))</f>
        <v/>
      </c>
      <c r="G14459" s="6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  <c r="N14459" s="6">
        <f>IF(OR($G14459="FCC",$G14459="Hydrocracker",$G14459="Reformer"),IF(COUNTIFS($D:$D,$D14459,$A:$A,$A14459,$B:$B,$B14459,$G:$G,"CDU",$J:$J,"PLANNED")&gt;0,"tied","standalone"),"")</f>
        <v/>
      </c>
    </row>
    <row r="14460" spans="6:14">
      <c r="F14460" s="6">
        <f>IF($M14460="PADD I","PADD 1",IF($M14460="PADD II","PADD 2",IF($M14460="PADD III","PADD 3",IF($M14460="PADD IV","PADD 4",IF($M14460="PADD V","PADD 5","")))))</f>
        <v/>
      </c>
      <c r="G14460" s="6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  <c r="N14460" s="6">
        <f>IF(OR($G14460="FCC",$G14460="Hydrocracker",$G14460="Reformer"),IF(COUNTIFS($D:$D,$D14460,$A:$A,$A14460,$B:$B,$B14460,$G:$G,"CDU",$J:$J,"PLANNED")&gt;0,"tied","standalone"),"")</f>
        <v/>
      </c>
    </row>
    <row r="14461" spans="6:14">
      <c r="F14461" s="6">
        <f>IF($M14461="PADD I","PADD 1",IF($M14461="PADD II","PADD 2",IF($M14461="PADD III","PADD 3",IF($M14461="PADD IV","PADD 4",IF($M14461="PADD V","PADD 5","")))))</f>
        <v/>
      </c>
      <c r="G14461" s="6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  <c r="N14461" s="6">
        <f>IF(OR($G14461="FCC",$G14461="Hydrocracker",$G14461="Reformer"),IF(COUNTIFS($D:$D,$D14461,$A:$A,$A14461,$B:$B,$B14461,$G:$G,"CDU",$J:$J,"PLANNED")&gt;0,"tied","standalone"),"")</f>
        <v/>
      </c>
    </row>
    <row r="14462" spans="6:14">
      <c r="F14462" s="6">
        <f>IF($M14462="PADD I","PADD 1",IF($M14462="PADD II","PADD 2",IF($M14462="PADD III","PADD 3",IF($M14462="PADD IV","PADD 4",IF($M14462="PADD V","PADD 5","")))))</f>
        <v/>
      </c>
      <c r="G14462" s="6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  <c r="N14462" s="6">
        <f>IF(OR($G14462="FCC",$G14462="Hydrocracker",$G14462="Reformer"),IF(COUNTIFS($D:$D,$D14462,$A:$A,$A14462,$B:$B,$B14462,$G:$G,"CDU",$J:$J,"PLANNED")&gt;0,"tied","standalone"),"")</f>
        <v/>
      </c>
    </row>
    <row r="14463" spans="6:14">
      <c r="F14463" s="6">
        <f>IF($M14463="PADD I","PADD 1",IF($M14463="PADD II","PADD 2",IF($M14463="PADD III","PADD 3",IF($M14463="PADD IV","PADD 4",IF($M14463="PADD V","PADD 5","")))))</f>
        <v/>
      </c>
      <c r="G14463" s="6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  <c r="N14463" s="6">
        <f>IF(OR($G14463="FCC",$G14463="Hydrocracker",$G14463="Reformer"),IF(COUNTIFS($D:$D,$D14463,$A:$A,$A14463,$B:$B,$B14463,$G:$G,"CDU",$J:$J,"PLANNED")&gt;0,"tied","standalone"),"")</f>
        <v/>
      </c>
    </row>
    <row r="14464" spans="6:14">
      <c r="F14464" s="6">
        <f>IF($M14464="PADD I","PADD 1",IF($M14464="PADD II","PADD 2",IF($M14464="PADD III","PADD 3",IF($M14464="PADD IV","PADD 4",IF($M14464="PADD V","PADD 5","")))))</f>
        <v/>
      </c>
      <c r="G14464" s="6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  <c r="N14464" s="6">
        <f>IF(OR($G14464="FCC",$G14464="Hydrocracker",$G14464="Reformer"),IF(COUNTIFS($D:$D,$D14464,$A:$A,$A14464,$B:$B,$B14464,$G:$G,"CDU",$J:$J,"PLANNED")&gt;0,"tied","standalone"),"")</f>
        <v/>
      </c>
    </row>
    <row r="14465" spans="6:14">
      <c r="F14465" s="6">
        <f>IF($M14465="PADD I","PADD 1",IF($M14465="PADD II","PADD 2",IF($M14465="PADD III","PADD 3",IF($M14465="PADD IV","PADD 4",IF($M14465="PADD V","PADD 5","")))))</f>
        <v/>
      </c>
      <c r="G14465" s="6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  <c r="N14465" s="6">
        <f>IF(OR($G14465="FCC",$G14465="Hydrocracker",$G14465="Reformer"),IF(COUNTIFS($D:$D,$D14465,$A:$A,$A14465,$B:$B,$B14465,$G:$G,"CDU",$J:$J,"PLANNED")&gt;0,"tied","standalone"),"")</f>
        <v/>
      </c>
    </row>
    <row r="14466" spans="6:14">
      <c r="F14466" s="6">
        <f>IF($M14466="PADD I","PADD 1",IF($M14466="PADD II","PADD 2",IF($M14466="PADD III","PADD 3",IF($M14466="PADD IV","PADD 4",IF($M14466="PADD V","PADD 5","")))))</f>
        <v/>
      </c>
      <c r="G14466" s="6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  <c r="N14466" s="6">
        <f>IF(OR($G14466="FCC",$G14466="Hydrocracker",$G14466="Reformer"),IF(COUNTIFS($D:$D,$D14466,$A:$A,$A14466,$B:$B,$B14466,$G:$G,"CDU",$J:$J,"PLANNED")&gt;0,"tied","standalone"),"")</f>
        <v/>
      </c>
    </row>
    <row r="14467" spans="6:14">
      <c r="F14467" s="6">
        <f>IF($M14467="PADD I","PADD 1",IF($M14467="PADD II","PADD 2",IF($M14467="PADD III","PADD 3",IF($M14467="PADD IV","PADD 4",IF($M14467="PADD V","PADD 5","")))))</f>
        <v/>
      </c>
      <c r="G14467" s="6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  <c r="N14467" s="6">
        <f>IF(OR($G14467="FCC",$G14467="Hydrocracker",$G14467="Reformer"),IF(COUNTIFS($D:$D,$D14467,$A:$A,$A14467,$B:$B,$B14467,$G:$G,"CDU",$J:$J,"PLANNED")&gt;0,"tied","standalone"),"")</f>
        <v/>
      </c>
    </row>
    <row r="14468" spans="6:14">
      <c r="F14468" s="6">
        <f>IF($M14468="PADD I","PADD 1",IF($M14468="PADD II","PADD 2",IF($M14468="PADD III","PADD 3",IF($M14468="PADD IV","PADD 4",IF($M14468="PADD V","PADD 5","")))))</f>
        <v/>
      </c>
      <c r="G14468" s="6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  <c r="N14468" s="6">
        <f>IF(OR($G14468="FCC",$G14468="Hydrocracker",$G14468="Reformer"),IF(COUNTIFS($D:$D,$D14468,$A:$A,$A14468,$B:$B,$B14468,$G:$G,"CDU",$J:$J,"PLANNED")&gt;0,"tied","standalone"),"")</f>
        <v/>
      </c>
    </row>
    <row r="14469" spans="6:14">
      <c r="F14469" s="6">
        <f>IF($M14469="PADD I","PADD 1",IF($M14469="PADD II","PADD 2",IF($M14469="PADD III","PADD 3",IF($M14469="PADD IV","PADD 4",IF($M14469="PADD V","PADD 5","")))))</f>
        <v/>
      </c>
      <c r="G14469" s="6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  <c r="N14469" s="6">
        <f>IF(OR($G14469="FCC",$G14469="Hydrocracker",$G14469="Reformer"),IF(COUNTIFS($D:$D,$D14469,$A:$A,$A14469,$B:$B,$B14469,$G:$G,"CDU",$J:$J,"PLANNED")&gt;0,"tied","standalone"),"")</f>
        <v/>
      </c>
    </row>
    <row r="14470" spans="6:14">
      <c r="F14470" s="6">
        <f>IF($M14470="PADD I","PADD 1",IF($M14470="PADD II","PADD 2",IF($M14470="PADD III","PADD 3",IF($M14470="PADD IV","PADD 4",IF($M14470="PADD V","PADD 5","")))))</f>
        <v/>
      </c>
      <c r="G14470" s="6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  <c r="N14470" s="6">
        <f>IF(OR($G14470="FCC",$G14470="Hydrocracker",$G14470="Reformer"),IF(COUNTIFS($D:$D,$D14470,$A:$A,$A14470,$B:$B,$B14470,$G:$G,"CDU",$J:$J,"PLANNED")&gt;0,"tied","standalone"),"")</f>
        <v/>
      </c>
    </row>
    <row r="14471" spans="6:14">
      <c r="F14471" s="6">
        <f>IF($M14471="PADD I","PADD 1",IF($M14471="PADD II","PADD 2",IF($M14471="PADD III","PADD 3",IF($M14471="PADD IV","PADD 4",IF($M14471="PADD V","PADD 5","")))))</f>
        <v/>
      </c>
      <c r="G14471" s="6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  <c r="N14471" s="6">
        <f>IF(OR($G14471="FCC",$G14471="Hydrocracker",$G14471="Reformer"),IF(COUNTIFS($D:$D,$D14471,$A:$A,$A14471,$B:$B,$B14471,$G:$G,"CDU",$J:$J,"PLANNED")&gt;0,"tied","standalone"),"")</f>
        <v/>
      </c>
    </row>
    <row r="14472" spans="6:14">
      <c r="F14472" s="6">
        <f>IF($M14472="PADD I","PADD 1",IF($M14472="PADD II","PADD 2",IF($M14472="PADD III","PADD 3",IF($M14472="PADD IV","PADD 4",IF($M14472="PADD V","PADD 5","")))))</f>
        <v/>
      </c>
      <c r="G14472" s="6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  <c r="N14472" s="6">
        <f>IF(OR($G14472="FCC",$G14472="Hydrocracker",$G14472="Reformer"),IF(COUNTIFS($D:$D,$D14472,$A:$A,$A14472,$B:$B,$B14472,$G:$G,"CDU",$J:$J,"PLANNED")&gt;0,"tied","standalone"),"")</f>
        <v/>
      </c>
    </row>
    <row r="14473" spans="6:14">
      <c r="F14473" s="6">
        <f>IF($M14473="PADD I","PADD 1",IF($M14473="PADD II","PADD 2",IF($M14473="PADD III","PADD 3",IF($M14473="PADD IV","PADD 4",IF($M14473="PADD V","PADD 5","")))))</f>
        <v/>
      </c>
      <c r="G14473" s="6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  <c r="N14473" s="6">
        <f>IF(OR($G14473="FCC",$G14473="Hydrocracker",$G14473="Reformer"),IF(COUNTIFS($D:$D,$D14473,$A:$A,$A14473,$B:$B,$B14473,$G:$G,"CDU",$J:$J,"PLANNED")&gt;0,"tied","standalone"),"")</f>
        <v/>
      </c>
    </row>
    <row r="14474" spans="6:14">
      <c r="F14474" s="6">
        <f>IF($M14474="PADD I","PADD 1",IF($M14474="PADD II","PADD 2",IF($M14474="PADD III","PADD 3",IF($M14474="PADD IV","PADD 4",IF($M14474="PADD V","PADD 5","")))))</f>
        <v/>
      </c>
      <c r="G14474" s="6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  <c r="N14474" s="6">
        <f>IF(OR($G14474="FCC",$G14474="Hydrocracker",$G14474="Reformer"),IF(COUNTIFS($D:$D,$D14474,$A:$A,$A14474,$B:$B,$B14474,$G:$G,"CDU",$J:$J,"PLANNED")&gt;0,"tied","standalone"),"")</f>
        <v/>
      </c>
    </row>
    <row r="14475" spans="6:14">
      <c r="F14475" s="6">
        <f>IF($M14475="PADD I","PADD 1",IF($M14475="PADD II","PADD 2",IF($M14475="PADD III","PADD 3",IF($M14475="PADD IV","PADD 4",IF($M14475="PADD V","PADD 5","")))))</f>
        <v/>
      </c>
      <c r="G14475" s="6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  <c r="N14475" s="6">
        <f>IF(OR($G14475="FCC",$G14475="Hydrocracker",$G14475="Reformer"),IF(COUNTIFS($D:$D,$D14475,$A:$A,$A14475,$B:$B,$B14475,$G:$G,"CDU",$J:$J,"PLANNED")&gt;0,"tied","standalone"),"")</f>
        <v/>
      </c>
    </row>
    <row r="14476" spans="6:14">
      <c r="F14476" s="6">
        <f>IF($M14476="PADD I","PADD 1",IF($M14476="PADD II","PADD 2",IF($M14476="PADD III","PADD 3",IF($M14476="PADD IV","PADD 4",IF($M14476="PADD V","PADD 5","")))))</f>
        <v/>
      </c>
      <c r="G14476" s="6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  <c r="N14476" s="6">
        <f>IF(OR($G14476="FCC",$G14476="Hydrocracker",$G14476="Reformer"),IF(COUNTIFS($D:$D,$D14476,$A:$A,$A14476,$B:$B,$B14476,$G:$G,"CDU",$J:$J,"PLANNED")&gt;0,"tied","standalone"),"")</f>
        <v/>
      </c>
    </row>
    <row r="14477" spans="6:14">
      <c r="F14477" s="6">
        <f>IF($M14477="PADD I","PADD 1",IF($M14477="PADD II","PADD 2",IF($M14477="PADD III","PADD 3",IF($M14477="PADD IV","PADD 4",IF($M14477="PADD V","PADD 5","")))))</f>
        <v/>
      </c>
      <c r="G14477" s="6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  <c r="N14477" s="6">
        <f>IF(OR($G14477="FCC",$G14477="Hydrocracker",$G14477="Reformer"),IF(COUNTIFS($D:$D,$D14477,$A:$A,$A14477,$B:$B,$B14477,$G:$G,"CDU",$J:$J,"PLANNED")&gt;0,"tied","standalone"),"")</f>
        <v/>
      </c>
    </row>
    <row r="14478" spans="6:14">
      <c r="F14478" s="6">
        <f>IF($M14478="PADD I","PADD 1",IF($M14478="PADD II","PADD 2",IF($M14478="PADD III","PADD 3",IF($M14478="PADD IV","PADD 4",IF($M14478="PADD V","PADD 5","")))))</f>
        <v/>
      </c>
      <c r="G14478" s="6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  <c r="N14478" s="6">
        <f>IF(OR($G14478="FCC",$G14478="Hydrocracker",$G14478="Reformer"),IF(COUNTIFS($D:$D,$D14478,$A:$A,$A14478,$B:$B,$B14478,$G:$G,"CDU",$J:$J,"PLANNED")&gt;0,"tied","standalone"),"")</f>
        <v/>
      </c>
    </row>
    <row r="14479" spans="6:14">
      <c r="F14479" s="6">
        <f>IF($M14479="PADD I","PADD 1",IF($M14479="PADD II","PADD 2",IF($M14479="PADD III","PADD 3",IF($M14479="PADD IV","PADD 4",IF($M14479="PADD V","PADD 5","")))))</f>
        <v/>
      </c>
      <c r="G14479" s="6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  <c r="N14479" s="6">
        <f>IF(OR($G14479="FCC",$G14479="Hydrocracker",$G14479="Reformer"),IF(COUNTIFS($D:$D,$D14479,$A:$A,$A14479,$B:$B,$B14479,$G:$G,"CDU",$J:$J,"PLANNED")&gt;0,"tied","standalone"),"")</f>
        <v/>
      </c>
    </row>
    <row r="14480" spans="6:14">
      <c r="F14480" s="6">
        <f>IF($M14480="PADD I","PADD 1",IF($M14480="PADD II","PADD 2",IF($M14480="PADD III","PADD 3",IF($M14480="PADD IV","PADD 4",IF($M14480="PADD V","PADD 5","")))))</f>
        <v/>
      </c>
      <c r="G14480" s="6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  <c r="N14480" s="6">
        <f>IF(OR($G14480="FCC",$G14480="Hydrocracker",$G14480="Reformer"),IF(COUNTIFS($D:$D,$D14480,$A:$A,$A14480,$B:$B,$B14480,$G:$G,"CDU",$J:$J,"PLANNED")&gt;0,"tied","standalone"),"")</f>
        <v/>
      </c>
    </row>
    <row r="14481" spans="6:14">
      <c r="F14481" s="6">
        <f>IF($M14481="PADD I","PADD 1",IF($M14481="PADD II","PADD 2",IF($M14481="PADD III","PADD 3",IF($M14481="PADD IV","PADD 4",IF($M14481="PADD V","PADD 5","")))))</f>
        <v/>
      </c>
      <c r="G14481" s="6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  <c r="N14481" s="6">
        <f>IF(OR($G14481="FCC",$G14481="Hydrocracker",$G14481="Reformer"),IF(COUNTIFS($D:$D,$D14481,$A:$A,$A14481,$B:$B,$B14481,$G:$G,"CDU",$J:$J,"PLANNED")&gt;0,"tied","standalone"),"")</f>
        <v/>
      </c>
    </row>
    <row r="14482" spans="6:14">
      <c r="F14482" s="6">
        <f>IF($M14482="PADD I","PADD 1",IF($M14482="PADD II","PADD 2",IF($M14482="PADD III","PADD 3",IF($M14482="PADD IV","PADD 4",IF($M14482="PADD V","PADD 5","")))))</f>
        <v/>
      </c>
      <c r="G14482" s="6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  <c r="N14482" s="6">
        <f>IF(OR($G14482="FCC",$G14482="Hydrocracker",$G14482="Reformer"),IF(COUNTIFS($D:$D,$D14482,$A:$A,$A14482,$B:$B,$B14482,$G:$G,"CDU",$J:$J,"PLANNED")&gt;0,"tied","standalone"),"")</f>
        <v/>
      </c>
    </row>
    <row r="14483" spans="6:14">
      <c r="F14483" s="6">
        <f>IF($M14483="PADD I","PADD 1",IF($M14483="PADD II","PADD 2",IF($M14483="PADD III","PADD 3",IF($M14483="PADD IV","PADD 4",IF($M14483="PADD V","PADD 5","")))))</f>
        <v/>
      </c>
      <c r="G14483" s="6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  <c r="N14483" s="6">
        <f>IF(OR($G14483="FCC",$G14483="Hydrocracker",$G14483="Reformer"),IF(COUNTIFS($D:$D,$D14483,$A:$A,$A14483,$B:$B,$B14483,$G:$G,"CDU",$J:$J,"PLANNED")&gt;0,"tied","standalone"),"")</f>
        <v/>
      </c>
    </row>
    <row r="14484" spans="6:14">
      <c r="F14484" s="6">
        <f>IF($M14484="PADD I","PADD 1",IF($M14484="PADD II","PADD 2",IF($M14484="PADD III","PADD 3",IF($M14484="PADD IV","PADD 4",IF($M14484="PADD V","PADD 5","")))))</f>
        <v/>
      </c>
      <c r="G14484" s="6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  <c r="N14484" s="6">
        <f>IF(OR($G14484="FCC",$G14484="Hydrocracker",$G14484="Reformer"),IF(COUNTIFS($D:$D,$D14484,$A:$A,$A14484,$B:$B,$B14484,$G:$G,"CDU",$J:$J,"PLANNED")&gt;0,"tied","standalone"),"")</f>
        <v/>
      </c>
    </row>
    <row r="14485" spans="6:14">
      <c r="F14485" s="6">
        <f>IF($M14485="PADD I","PADD 1",IF($M14485="PADD II","PADD 2",IF($M14485="PADD III","PADD 3",IF($M14485="PADD IV","PADD 4",IF($M14485="PADD V","PADD 5","")))))</f>
        <v/>
      </c>
      <c r="G14485" s="6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  <c r="N14485" s="6">
        <f>IF(OR($G14485="FCC",$G14485="Hydrocracker",$G14485="Reformer"),IF(COUNTIFS($D:$D,$D14485,$A:$A,$A14485,$B:$B,$B14485,$G:$G,"CDU",$J:$J,"PLANNED")&gt;0,"tied","standalone"),"")</f>
        <v/>
      </c>
    </row>
    <row r="14486" spans="6:14">
      <c r="F14486" s="6">
        <f>IF($M14486="PADD I","PADD 1",IF($M14486="PADD II","PADD 2",IF($M14486="PADD III","PADD 3",IF($M14486="PADD IV","PADD 4",IF($M14486="PADD V","PADD 5","")))))</f>
        <v/>
      </c>
      <c r="G14486" s="6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  <c r="N14486" s="6">
        <f>IF(OR($G14486="FCC",$G14486="Hydrocracker",$G14486="Reformer"),IF(COUNTIFS($D:$D,$D14486,$A:$A,$A14486,$B:$B,$B14486,$G:$G,"CDU",$J:$J,"PLANNED")&gt;0,"tied","standalone"),"")</f>
        <v/>
      </c>
    </row>
    <row r="14487" spans="6:14">
      <c r="F14487" s="6">
        <f>IF($M14487="PADD I","PADD 1",IF($M14487="PADD II","PADD 2",IF($M14487="PADD III","PADD 3",IF($M14487="PADD IV","PADD 4",IF($M14487="PADD V","PADD 5","")))))</f>
        <v/>
      </c>
      <c r="G14487" s="6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  <c r="N14487" s="6">
        <f>IF(OR($G14487="FCC",$G14487="Hydrocracker",$G14487="Reformer"),IF(COUNTIFS($D:$D,$D14487,$A:$A,$A14487,$B:$B,$B14487,$G:$G,"CDU",$J:$J,"PLANNED")&gt;0,"tied","standalone"),"")</f>
        <v/>
      </c>
    </row>
    <row r="14488" spans="6:14">
      <c r="F14488" s="6">
        <f>IF($M14488="PADD I","PADD 1",IF($M14488="PADD II","PADD 2",IF($M14488="PADD III","PADD 3",IF($M14488="PADD IV","PADD 4",IF($M14488="PADD V","PADD 5","")))))</f>
        <v/>
      </c>
      <c r="G14488" s="6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  <c r="N14488" s="6">
        <f>IF(OR($G14488="FCC",$G14488="Hydrocracker",$G14488="Reformer"),IF(COUNTIFS($D:$D,$D14488,$A:$A,$A14488,$B:$B,$B14488,$G:$G,"CDU",$J:$J,"PLANNED")&gt;0,"tied","standalone"),"")</f>
        <v/>
      </c>
    </row>
    <row r="14489" spans="6:14">
      <c r="F14489" s="6">
        <f>IF($M14489="PADD I","PADD 1",IF($M14489="PADD II","PADD 2",IF($M14489="PADD III","PADD 3",IF($M14489="PADD IV","PADD 4",IF($M14489="PADD V","PADD 5","")))))</f>
        <v/>
      </c>
      <c r="G14489" s="6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  <c r="N14489" s="6">
        <f>IF(OR($G14489="FCC",$G14489="Hydrocracker",$G14489="Reformer"),IF(COUNTIFS($D:$D,$D14489,$A:$A,$A14489,$B:$B,$B14489,$G:$G,"CDU",$J:$J,"PLANNED")&gt;0,"tied","standalone"),"")</f>
        <v/>
      </c>
    </row>
    <row r="14490" spans="6:14">
      <c r="F14490" s="6">
        <f>IF($M14490="PADD I","PADD 1",IF($M14490="PADD II","PADD 2",IF($M14490="PADD III","PADD 3",IF($M14490="PADD IV","PADD 4",IF($M14490="PADD V","PADD 5","")))))</f>
        <v/>
      </c>
      <c r="G14490" s="6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  <c r="N14490" s="6">
        <f>IF(OR($G14490="FCC",$G14490="Hydrocracker",$G14490="Reformer"),IF(COUNTIFS($D:$D,$D14490,$A:$A,$A14490,$B:$B,$B14490,$G:$G,"CDU",$J:$J,"PLANNED")&gt;0,"tied","standalone"),"")</f>
        <v/>
      </c>
    </row>
    <row r="14491" spans="6:14">
      <c r="F14491" s="6">
        <f>IF($M14491="PADD I","PADD 1",IF($M14491="PADD II","PADD 2",IF($M14491="PADD III","PADD 3",IF($M14491="PADD IV","PADD 4",IF($M14491="PADD V","PADD 5","")))))</f>
        <v/>
      </c>
      <c r="G14491" s="6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  <c r="N14491" s="6">
        <f>IF(OR($G14491="FCC",$G14491="Hydrocracker",$G14491="Reformer"),IF(COUNTIFS($D:$D,$D14491,$A:$A,$A14491,$B:$B,$B14491,$G:$G,"CDU",$J:$J,"PLANNED")&gt;0,"tied","standalone"),"")</f>
        <v/>
      </c>
    </row>
    <row r="14492" spans="6:14">
      <c r="F14492" s="6">
        <f>IF($M14492="PADD I","PADD 1",IF($M14492="PADD II","PADD 2",IF($M14492="PADD III","PADD 3",IF($M14492="PADD IV","PADD 4",IF($M14492="PADD V","PADD 5","")))))</f>
        <v/>
      </c>
      <c r="G14492" s="6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  <c r="N14492" s="6">
        <f>IF(OR($G14492="FCC",$G14492="Hydrocracker",$G14492="Reformer"),IF(COUNTIFS($D:$D,$D14492,$A:$A,$A14492,$B:$B,$B14492,$G:$G,"CDU",$J:$J,"PLANNED")&gt;0,"tied","standalone"),"")</f>
        <v/>
      </c>
    </row>
    <row r="14493" spans="6:14">
      <c r="F14493" s="6">
        <f>IF($M14493="PADD I","PADD 1",IF($M14493="PADD II","PADD 2",IF($M14493="PADD III","PADD 3",IF($M14493="PADD IV","PADD 4",IF($M14493="PADD V","PADD 5","")))))</f>
        <v/>
      </c>
      <c r="G14493" s="6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  <c r="N14493" s="6">
        <f>IF(OR($G14493="FCC",$G14493="Hydrocracker",$G14493="Reformer"),IF(COUNTIFS($D:$D,$D14493,$A:$A,$A14493,$B:$B,$B14493,$G:$G,"CDU",$J:$J,"PLANNED")&gt;0,"tied","standalone"),"")</f>
        <v/>
      </c>
    </row>
    <row r="14494" spans="6:14">
      <c r="F14494" s="6">
        <f>IF($M14494="PADD I","PADD 1",IF($M14494="PADD II","PADD 2",IF($M14494="PADD III","PADD 3",IF($M14494="PADD IV","PADD 4",IF($M14494="PADD V","PADD 5","")))))</f>
        <v/>
      </c>
      <c r="G14494" s="6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  <c r="N14494" s="6">
        <f>IF(OR($G14494="FCC",$G14494="Hydrocracker",$G14494="Reformer"),IF(COUNTIFS($D:$D,$D14494,$A:$A,$A14494,$B:$B,$B14494,$G:$G,"CDU",$J:$J,"PLANNED")&gt;0,"tied","standalone"),"")</f>
        <v/>
      </c>
    </row>
    <row r="14495" spans="6:14">
      <c r="F14495" s="6">
        <f>IF($M14495="PADD I","PADD 1",IF($M14495="PADD II","PADD 2",IF($M14495="PADD III","PADD 3",IF($M14495="PADD IV","PADD 4",IF($M14495="PADD V","PADD 5","")))))</f>
        <v/>
      </c>
      <c r="G14495" s="6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  <c r="N14495" s="6">
        <f>IF(OR($G14495="FCC",$G14495="Hydrocracker",$G14495="Reformer"),IF(COUNTIFS($D:$D,$D14495,$A:$A,$A14495,$B:$B,$B14495,$G:$G,"CDU",$J:$J,"PLANNED")&gt;0,"tied","standalone"),"")</f>
        <v/>
      </c>
    </row>
    <row r="14496" spans="6:14">
      <c r="F14496" s="6">
        <f>IF($M14496="PADD I","PADD 1",IF($M14496="PADD II","PADD 2",IF($M14496="PADD III","PADD 3",IF($M14496="PADD IV","PADD 4",IF($M14496="PADD V","PADD 5","")))))</f>
        <v/>
      </c>
      <c r="G14496" s="6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  <c r="N14496" s="6">
        <f>IF(OR($G14496="FCC",$G14496="Hydrocracker",$G14496="Reformer"),IF(COUNTIFS($D:$D,$D14496,$A:$A,$A14496,$B:$B,$B14496,$G:$G,"CDU",$J:$J,"PLANNED")&gt;0,"tied","standalone"),"")</f>
        <v/>
      </c>
    </row>
    <row r="14497" spans="6:14">
      <c r="F14497" s="6">
        <f>IF($M14497="PADD I","PADD 1",IF($M14497="PADD II","PADD 2",IF($M14497="PADD III","PADD 3",IF($M14497="PADD IV","PADD 4",IF($M14497="PADD V","PADD 5","")))))</f>
        <v/>
      </c>
      <c r="G14497" s="6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  <c r="N14497" s="6">
        <f>IF(OR($G14497="FCC",$G14497="Hydrocracker",$G14497="Reformer"),IF(COUNTIFS($D:$D,$D14497,$A:$A,$A14497,$B:$B,$B14497,$G:$G,"CDU",$J:$J,"PLANNED")&gt;0,"tied","standalone"),"")</f>
        <v/>
      </c>
    </row>
    <row r="14498" spans="6:14">
      <c r="F14498" s="6">
        <f>IF($M14498="PADD I","PADD 1",IF($M14498="PADD II","PADD 2",IF($M14498="PADD III","PADD 3",IF($M14498="PADD IV","PADD 4",IF($M14498="PADD V","PADD 5","")))))</f>
        <v/>
      </c>
      <c r="G14498" s="6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  <c r="N14498" s="6">
        <f>IF(OR($G14498="FCC",$G14498="Hydrocracker",$G14498="Reformer"),IF(COUNTIFS($D:$D,$D14498,$A:$A,$A14498,$B:$B,$B14498,$G:$G,"CDU",$J:$J,"PLANNED")&gt;0,"tied","standalone"),"")</f>
        <v/>
      </c>
    </row>
    <row r="14499" spans="6:14">
      <c r="F14499" s="6">
        <f>IF($M14499="PADD I","PADD 1",IF($M14499="PADD II","PADD 2",IF($M14499="PADD III","PADD 3",IF($M14499="PADD IV","PADD 4",IF($M14499="PADD V","PADD 5","")))))</f>
        <v/>
      </c>
      <c r="G14499" s="6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  <c r="N14499" s="6">
        <f>IF(OR($G14499="FCC",$G14499="Hydrocracker",$G14499="Reformer"),IF(COUNTIFS($D:$D,$D14499,$A:$A,$A14499,$B:$B,$B14499,$G:$G,"CDU",$J:$J,"PLANNED")&gt;0,"tied","standalone"),"")</f>
        <v/>
      </c>
    </row>
    <row r="14500" spans="6:14">
      <c r="F14500" s="6">
        <f>IF($M14500="PADD I","PADD 1",IF($M14500="PADD II","PADD 2",IF($M14500="PADD III","PADD 3",IF($M14500="PADD IV","PADD 4",IF($M14500="PADD V","PADD 5","")))))</f>
        <v/>
      </c>
      <c r="G14500" s="6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  <c r="N14500" s="6">
        <f>IF(OR($G14500="FCC",$G14500="Hydrocracker",$G14500="Reformer"),IF(COUNTIFS($D:$D,$D14500,$A:$A,$A14500,$B:$B,$B14500,$G:$G,"CDU",$J:$J,"PLANNED")&gt;0,"tied","standalone"),"")</f>
        <v/>
      </c>
    </row>
    <row r="14501" spans="6:14">
      <c r="F14501" s="6">
        <f>IF($M14501="PADD I","PADD 1",IF($M14501="PADD II","PADD 2",IF($M14501="PADD III","PADD 3",IF($M14501="PADD IV","PADD 4",IF($M14501="PADD V","PADD 5","")))))</f>
        <v/>
      </c>
      <c r="G14501" s="6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  <c r="N14501" s="6">
        <f>IF(OR($G14501="FCC",$G14501="Hydrocracker",$G14501="Reformer"),IF(COUNTIFS($D:$D,$D14501,$A:$A,$A14501,$B:$B,$B14501,$G:$G,"CDU",$J:$J,"PLANNED")&gt;0,"tied","standalone"),"")</f>
        <v/>
      </c>
    </row>
    <row r="14502" spans="6:14">
      <c r="F14502" s="6">
        <f>IF($M14502="PADD I","PADD 1",IF($M14502="PADD II","PADD 2",IF($M14502="PADD III","PADD 3",IF($M14502="PADD IV","PADD 4",IF($M14502="PADD V","PADD 5","")))))</f>
        <v/>
      </c>
      <c r="G14502" s="6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  <c r="N14502" s="6">
        <f>IF(OR($G14502="FCC",$G14502="Hydrocracker",$G14502="Reformer"),IF(COUNTIFS($D:$D,$D14502,$A:$A,$A14502,$B:$B,$B14502,$G:$G,"CDU",$J:$J,"PLANNED")&gt;0,"tied","standalone"),"")</f>
        <v/>
      </c>
    </row>
    <row r="14503" spans="6:14">
      <c r="F14503" s="6">
        <f>IF($M14503="PADD I","PADD 1",IF($M14503="PADD II","PADD 2",IF($M14503="PADD III","PADD 3",IF($M14503="PADD IV","PADD 4",IF($M14503="PADD V","PADD 5","")))))</f>
        <v/>
      </c>
      <c r="G14503" s="6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  <c r="N14503" s="6">
        <f>IF(OR($G14503="FCC",$G14503="Hydrocracker",$G14503="Reformer"),IF(COUNTIFS($D:$D,$D14503,$A:$A,$A14503,$B:$B,$B14503,$G:$G,"CDU",$J:$J,"PLANNED")&gt;0,"tied","standalone"),"")</f>
        <v/>
      </c>
    </row>
    <row r="14504" spans="6:14">
      <c r="F14504" s="6">
        <f>IF($M14504="PADD I","PADD 1",IF($M14504="PADD II","PADD 2",IF($M14504="PADD III","PADD 3",IF($M14504="PADD IV","PADD 4",IF($M14504="PADD V","PADD 5","")))))</f>
        <v/>
      </c>
      <c r="G14504" s="6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  <c r="N14504" s="6">
        <f>IF(OR($G14504="FCC",$G14504="Hydrocracker",$G14504="Reformer"),IF(COUNTIFS($D:$D,$D14504,$A:$A,$A14504,$B:$B,$B14504,$G:$G,"CDU",$J:$J,"PLANNED")&gt;0,"tied","standalone"),"")</f>
        <v/>
      </c>
    </row>
    <row r="14505" spans="6:14">
      <c r="F14505" s="6">
        <f>IF($M14505="PADD I","PADD 1",IF($M14505="PADD II","PADD 2",IF($M14505="PADD III","PADD 3",IF($M14505="PADD IV","PADD 4",IF($M14505="PADD V","PADD 5","")))))</f>
        <v/>
      </c>
      <c r="G14505" s="6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  <c r="N14505" s="6">
        <f>IF(OR($G14505="FCC",$G14505="Hydrocracker",$G14505="Reformer"),IF(COUNTIFS($D:$D,$D14505,$A:$A,$A14505,$B:$B,$B14505,$G:$G,"CDU",$J:$J,"PLANNED")&gt;0,"tied","standalone"),"")</f>
        <v/>
      </c>
    </row>
    <row r="14506" spans="6:14">
      <c r="F14506" s="6">
        <f>IF($M14506="PADD I","PADD 1",IF($M14506="PADD II","PADD 2",IF($M14506="PADD III","PADD 3",IF($M14506="PADD IV","PADD 4",IF($M14506="PADD V","PADD 5","")))))</f>
        <v/>
      </c>
      <c r="G14506" s="6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  <c r="N14506" s="6">
        <f>IF(OR($G14506="FCC",$G14506="Hydrocracker",$G14506="Reformer"),IF(COUNTIFS($D:$D,$D14506,$A:$A,$A14506,$B:$B,$B14506,$G:$G,"CDU",$J:$J,"PLANNED")&gt;0,"tied","standalone"),"")</f>
        <v/>
      </c>
    </row>
    <row r="14507" spans="6:14">
      <c r="F14507" s="6">
        <f>IF($M14507="PADD I","PADD 1",IF($M14507="PADD II","PADD 2",IF($M14507="PADD III","PADD 3",IF($M14507="PADD IV","PADD 4",IF($M14507="PADD V","PADD 5","")))))</f>
        <v/>
      </c>
      <c r="G14507" s="6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  <c r="N14507" s="6">
        <f>IF(OR($G14507="FCC",$G14507="Hydrocracker",$G14507="Reformer"),IF(COUNTIFS($D:$D,$D14507,$A:$A,$A14507,$B:$B,$B14507,$G:$G,"CDU",$J:$J,"PLANNED")&gt;0,"tied","standalone"),"")</f>
        <v/>
      </c>
    </row>
    <row r="14508" spans="6:14">
      <c r="F14508" s="6">
        <f>IF($M14508="PADD I","PADD 1",IF($M14508="PADD II","PADD 2",IF($M14508="PADD III","PADD 3",IF($M14508="PADD IV","PADD 4",IF($M14508="PADD V","PADD 5","")))))</f>
        <v/>
      </c>
      <c r="G14508" s="6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  <c r="N14508" s="6">
        <f>IF(OR($G14508="FCC",$G14508="Hydrocracker",$G14508="Reformer"),IF(COUNTIFS($D:$D,$D14508,$A:$A,$A14508,$B:$B,$B14508,$G:$G,"CDU",$J:$J,"PLANNED")&gt;0,"tied","standalone"),"")</f>
        <v/>
      </c>
    </row>
    <row r="14509" spans="6:14">
      <c r="F14509" s="6">
        <f>IF($M14509="PADD I","PADD 1",IF($M14509="PADD II","PADD 2",IF($M14509="PADD III","PADD 3",IF($M14509="PADD IV","PADD 4",IF($M14509="PADD V","PADD 5","")))))</f>
        <v/>
      </c>
      <c r="G14509" s="6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  <c r="N14509" s="6">
        <f>IF(OR($G14509="FCC",$G14509="Hydrocracker",$G14509="Reformer"),IF(COUNTIFS($D:$D,$D14509,$A:$A,$A14509,$B:$B,$B14509,$G:$G,"CDU",$J:$J,"PLANNED")&gt;0,"tied","standalone"),"")</f>
        <v/>
      </c>
    </row>
    <row r="14510" spans="6:14">
      <c r="F14510" s="6">
        <f>IF($M14510="PADD I","PADD 1",IF($M14510="PADD II","PADD 2",IF($M14510="PADD III","PADD 3",IF($M14510="PADD IV","PADD 4",IF($M14510="PADD V","PADD 5","")))))</f>
        <v/>
      </c>
      <c r="G14510" s="6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  <c r="N14510" s="6">
        <f>IF(OR($G14510="FCC",$G14510="Hydrocracker",$G14510="Reformer"),IF(COUNTIFS($D:$D,$D14510,$A:$A,$A14510,$B:$B,$B14510,$G:$G,"CDU",$J:$J,"PLANNED")&gt;0,"tied","standalone"),"")</f>
        <v/>
      </c>
    </row>
    <row r="14511" spans="6:14">
      <c r="F14511" s="6">
        <f>IF($M14511="PADD I","PADD 1",IF($M14511="PADD II","PADD 2",IF($M14511="PADD III","PADD 3",IF($M14511="PADD IV","PADD 4",IF($M14511="PADD V","PADD 5","")))))</f>
        <v/>
      </c>
      <c r="G14511" s="6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  <c r="N14511" s="6">
        <f>IF(OR($G14511="FCC",$G14511="Hydrocracker",$G14511="Reformer"),IF(COUNTIFS($D:$D,$D14511,$A:$A,$A14511,$B:$B,$B14511,$G:$G,"CDU",$J:$J,"PLANNED")&gt;0,"tied","standalone"),"")</f>
        <v/>
      </c>
    </row>
    <row r="14512" spans="6:14">
      <c r="F14512" s="6">
        <f>IF($M14512="PADD I","PADD 1",IF($M14512="PADD II","PADD 2",IF($M14512="PADD III","PADD 3",IF($M14512="PADD IV","PADD 4",IF($M14512="PADD V","PADD 5","")))))</f>
        <v/>
      </c>
      <c r="G14512" s="6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  <c r="N14512" s="6">
        <f>IF(OR($G14512="FCC",$G14512="Hydrocracker",$G14512="Reformer"),IF(COUNTIFS($D:$D,$D14512,$A:$A,$A14512,$B:$B,$B14512,$G:$G,"CDU",$J:$J,"PLANNED")&gt;0,"tied","standalone"),"")</f>
        <v/>
      </c>
    </row>
    <row r="14513" spans="6:14">
      <c r="F14513" s="6">
        <f>IF($M14513="PADD I","PADD 1",IF($M14513="PADD II","PADD 2",IF($M14513="PADD III","PADD 3",IF($M14513="PADD IV","PADD 4",IF($M14513="PADD V","PADD 5","")))))</f>
        <v/>
      </c>
      <c r="G14513" s="6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  <c r="N14513" s="6">
        <f>IF(OR($G14513="FCC",$G14513="Hydrocracker",$G14513="Reformer"),IF(COUNTIFS($D:$D,$D14513,$A:$A,$A14513,$B:$B,$B14513,$G:$G,"CDU",$J:$J,"PLANNED")&gt;0,"tied","standalone"),"")</f>
        <v/>
      </c>
    </row>
    <row r="14514" spans="6:14">
      <c r="F14514" s="6">
        <f>IF($M14514="PADD I","PADD 1",IF($M14514="PADD II","PADD 2",IF($M14514="PADD III","PADD 3",IF($M14514="PADD IV","PADD 4",IF($M14514="PADD V","PADD 5","")))))</f>
        <v/>
      </c>
      <c r="G14514" s="6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  <c r="N14514" s="6">
        <f>IF(OR($G14514="FCC",$G14514="Hydrocracker",$G14514="Reformer"),IF(COUNTIFS($D:$D,$D14514,$A:$A,$A14514,$B:$B,$B14514,$G:$G,"CDU",$J:$J,"PLANNED")&gt;0,"tied","standalone"),"")</f>
        <v/>
      </c>
    </row>
    <row r="14515" spans="6:14">
      <c r="F14515" s="6">
        <f>IF($M14515="PADD I","PADD 1",IF($M14515="PADD II","PADD 2",IF($M14515="PADD III","PADD 3",IF($M14515="PADD IV","PADD 4",IF($M14515="PADD V","PADD 5","")))))</f>
        <v/>
      </c>
      <c r="G14515" s="6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  <c r="N14515" s="6">
        <f>IF(OR($G14515="FCC",$G14515="Hydrocracker",$G14515="Reformer"),IF(COUNTIFS($D:$D,$D14515,$A:$A,$A14515,$B:$B,$B14515,$G:$G,"CDU",$J:$J,"PLANNED")&gt;0,"tied","standalone"),"")</f>
        <v/>
      </c>
    </row>
    <row r="14516" spans="6:14">
      <c r="F14516" s="6">
        <f>IF($M14516="PADD I","PADD 1",IF($M14516="PADD II","PADD 2",IF($M14516="PADD III","PADD 3",IF($M14516="PADD IV","PADD 4",IF($M14516="PADD V","PADD 5","")))))</f>
        <v/>
      </c>
      <c r="G14516" s="6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  <c r="N14516" s="6">
        <f>IF(OR($G14516="FCC",$G14516="Hydrocracker",$G14516="Reformer"),IF(COUNTIFS($D:$D,$D14516,$A:$A,$A14516,$B:$B,$B14516,$G:$G,"CDU",$J:$J,"PLANNED")&gt;0,"tied","standalone"),"")</f>
        <v/>
      </c>
    </row>
    <row r="14517" spans="6:14">
      <c r="F14517" s="6">
        <f>IF($M14517="PADD I","PADD 1",IF($M14517="PADD II","PADD 2",IF($M14517="PADD III","PADD 3",IF($M14517="PADD IV","PADD 4",IF($M14517="PADD V","PADD 5","")))))</f>
        <v/>
      </c>
      <c r="G14517" s="6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  <c r="N14517" s="6">
        <f>IF(OR($G14517="FCC",$G14517="Hydrocracker",$G14517="Reformer"),IF(COUNTIFS($D:$D,$D14517,$A:$A,$A14517,$B:$B,$B14517,$G:$G,"CDU",$J:$J,"PLANNED")&gt;0,"tied","standalone"),"")</f>
        <v/>
      </c>
    </row>
    <row r="14518" spans="6:14">
      <c r="F14518" s="6">
        <f>IF($M14518="PADD I","PADD 1",IF($M14518="PADD II","PADD 2",IF($M14518="PADD III","PADD 3",IF($M14518="PADD IV","PADD 4",IF($M14518="PADD V","PADD 5","")))))</f>
        <v/>
      </c>
      <c r="G14518" s="6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  <c r="N14518" s="6">
        <f>IF(OR($G14518="FCC",$G14518="Hydrocracker",$G14518="Reformer"),IF(COUNTIFS($D:$D,$D14518,$A:$A,$A14518,$B:$B,$B14518,$G:$G,"CDU",$J:$J,"PLANNED")&gt;0,"tied","standalone"),"")</f>
        <v/>
      </c>
    </row>
    <row r="14519" spans="6:14">
      <c r="F14519" s="6">
        <f>IF($M14519="PADD I","PADD 1",IF($M14519="PADD II","PADD 2",IF($M14519="PADD III","PADD 3",IF($M14519="PADD IV","PADD 4",IF($M14519="PADD V","PADD 5","")))))</f>
        <v/>
      </c>
      <c r="G14519" s="6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  <c r="N14519" s="6">
        <f>IF(OR($G14519="FCC",$G14519="Hydrocracker",$G14519="Reformer"),IF(COUNTIFS($D:$D,$D14519,$A:$A,$A14519,$B:$B,$B14519,$G:$G,"CDU",$J:$J,"PLANNED")&gt;0,"tied","standalone"),"")</f>
        <v/>
      </c>
    </row>
    <row r="14520" spans="6:14">
      <c r="F14520" s="6">
        <f>IF($M14520="PADD I","PADD 1",IF($M14520="PADD II","PADD 2",IF($M14520="PADD III","PADD 3",IF($M14520="PADD IV","PADD 4",IF($M14520="PADD V","PADD 5","")))))</f>
        <v/>
      </c>
      <c r="G14520" s="6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  <c r="N14520" s="6">
        <f>IF(OR($G14520="FCC",$G14520="Hydrocracker",$G14520="Reformer"),IF(COUNTIFS($D:$D,$D14520,$A:$A,$A14520,$B:$B,$B14520,$G:$G,"CDU",$J:$J,"PLANNED")&gt;0,"tied","standalone"),"")</f>
        <v/>
      </c>
    </row>
    <row r="14521" spans="6:14">
      <c r="F14521" s="6">
        <f>IF($M14521="PADD I","PADD 1",IF($M14521="PADD II","PADD 2",IF($M14521="PADD III","PADD 3",IF($M14521="PADD IV","PADD 4",IF($M14521="PADD V","PADD 5","")))))</f>
        <v/>
      </c>
      <c r="G14521" s="6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  <c r="N14521" s="6">
        <f>IF(OR($G14521="FCC",$G14521="Hydrocracker",$G14521="Reformer"),IF(COUNTIFS($D:$D,$D14521,$A:$A,$A14521,$B:$B,$B14521,$G:$G,"CDU",$J:$J,"PLANNED")&gt;0,"tied","standalone"),"")</f>
        <v/>
      </c>
    </row>
    <row r="14522" spans="6:14">
      <c r="F14522" s="6">
        <f>IF($M14522="PADD I","PADD 1",IF($M14522="PADD II","PADD 2",IF($M14522="PADD III","PADD 3",IF($M14522="PADD IV","PADD 4",IF($M14522="PADD V","PADD 5","")))))</f>
        <v/>
      </c>
      <c r="G14522" s="6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  <c r="N14522" s="6">
        <f>IF(OR($G14522="FCC",$G14522="Hydrocracker",$G14522="Reformer"),IF(COUNTIFS($D:$D,$D14522,$A:$A,$A14522,$B:$B,$B14522,$G:$G,"CDU",$J:$J,"PLANNED")&gt;0,"tied","standalone"),"")</f>
        <v/>
      </c>
    </row>
    <row r="14523" spans="6:14">
      <c r="F14523" s="6">
        <f>IF($M14523="PADD I","PADD 1",IF($M14523="PADD II","PADD 2",IF($M14523="PADD III","PADD 3",IF($M14523="PADD IV","PADD 4",IF($M14523="PADD V","PADD 5","")))))</f>
        <v/>
      </c>
      <c r="G14523" s="6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  <c r="N14523" s="6">
        <f>IF(OR($G14523="FCC",$G14523="Hydrocracker",$G14523="Reformer"),IF(COUNTIFS($D:$D,$D14523,$A:$A,$A14523,$B:$B,$B14523,$G:$G,"CDU",$J:$J,"PLANNED")&gt;0,"tied","standalone"),"")</f>
        <v/>
      </c>
    </row>
    <row r="14524" spans="6:14">
      <c r="F14524" s="6">
        <f>IF($M14524="PADD I","PADD 1",IF($M14524="PADD II","PADD 2",IF($M14524="PADD III","PADD 3",IF($M14524="PADD IV","PADD 4",IF($M14524="PADD V","PADD 5","")))))</f>
        <v/>
      </c>
      <c r="G14524" s="6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  <c r="N14524" s="6">
        <f>IF(OR($G14524="FCC",$G14524="Hydrocracker",$G14524="Reformer"),IF(COUNTIFS($D:$D,$D14524,$A:$A,$A14524,$B:$B,$B14524,$G:$G,"CDU",$J:$J,"PLANNED")&gt;0,"tied","standalone"),"")</f>
        <v/>
      </c>
    </row>
    <row r="14525" spans="6:14">
      <c r="F14525" s="6">
        <f>IF($M14525="PADD I","PADD 1",IF($M14525="PADD II","PADD 2",IF($M14525="PADD III","PADD 3",IF($M14525="PADD IV","PADD 4",IF($M14525="PADD V","PADD 5","")))))</f>
        <v/>
      </c>
      <c r="G14525" s="6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  <c r="N14525" s="6">
        <f>IF(OR($G14525="FCC",$G14525="Hydrocracker",$G14525="Reformer"),IF(COUNTIFS($D:$D,$D14525,$A:$A,$A14525,$B:$B,$B14525,$G:$G,"CDU",$J:$J,"PLANNED")&gt;0,"tied","standalone"),"")</f>
        <v/>
      </c>
    </row>
    <row r="14526" spans="6:14">
      <c r="F14526" s="6">
        <f>IF($M14526="PADD I","PADD 1",IF($M14526="PADD II","PADD 2",IF($M14526="PADD III","PADD 3",IF($M14526="PADD IV","PADD 4",IF($M14526="PADD V","PADD 5","")))))</f>
        <v/>
      </c>
      <c r="G14526" s="6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  <c r="N14526" s="6">
        <f>IF(OR($G14526="FCC",$G14526="Hydrocracker",$G14526="Reformer"),IF(COUNTIFS($D:$D,$D14526,$A:$A,$A14526,$B:$B,$B14526,$G:$G,"CDU",$J:$J,"PLANNED")&gt;0,"tied","standalone"),"")</f>
        <v/>
      </c>
    </row>
    <row r="14527" spans="6:14">
      <c r="F14527" s="6">
        <f>IF($M14527="PADD I","PADD 1",IF($M14527="PADD II","PADD 2",IF($M14527="PADD III","PADD 3",IF($M14527="PADD IV","PADD 4",IF($M14527="PADD V","PADD 5","")))))</f>
        <v/>
      </c>
      <c r="G14527" s="6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  <c r="N14527" s="6">
        <f>IF(OR($G14527="FCC",$G14527="Hydrocracker",$G14527="Reformer"),IF(COUNTIFS($D:$D,$D14527,$A:$A,$A14527,$B:$B,$B14527,$G:$G,"CDU",$J:$J,"PLANNED")&gt;0,"tied","standalone"),"")</f>
        <v/>
      </c>
    </row>
    <row r="14528" spans="6:14">
      <c r="F14528" s="6">
        <f>IF($M14528="PADD I","PADD 1",IF($M14528="PADD II","PADD 2",IF($M14528="PADD III","PADD 3",IF($M14528="PADD IV","PADD 4",IF($M14528="PADD V","PADD 5","")))))</f>
        <v/>
      </c>
      <c r="G14528" s="6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  <c r="N14528" s="6">
        <f>IF(OR($G14528="FCC",$G14528="Hydrocracker",$G14528="Reformer"),IF(COUNTIFS($D:$D,$D14528,$A:$A,$A14528,$B:$B,$B14528,$G:$G,"CDU",$J:$J,"PLANNED")&gt;0,"tied","standalone"),"")</f>
        <v/>
      </c>
    </row>
    <row r="14529" spans="6:14">
      <c r="F14529" s="6">
        <f>IF($M14529="PADD I","PADD 1",IF($M14529="PADD II","PADD 2",IF($M14529="PADD III","PADD 3",IF($M14529="PADD IV","PADD 4",IF($M14529="PADD V","PADD 5","")))))</f>
        <v/>
      </c>
      <c r="G14529" s="6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  <c r="N14529" s="6">
        <f>IF(OR($G14529="FCC",$G14529="Hydrocracker",$G14529="Reformer"),IF(COUNTIFS($D:$D,$D14529,$A:$A,$A14529,$B:$B,$B14529,$G:$G,"CDU",$J:$J,"PLANNED")&gt;0,"tied","standalone"),"")</f>
        <v/>
      </c>
    </row>
    <row r="14530" spans="6:14">
      <c r="F14530" s="6">
        <f>IF($M14530="PADD I","PADD 1",IF($M14530="PADD II","PADD 2",IF($M14530="PADD III","PADD 3",IF($M14530="PADD IV","PADD 4",IF($M14530="PADD V","PADD 5","")))))</f>
        <v/>
      </c>
      <c r="G14530" s="6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  <c r="N14530" s="6">
        <f>IF(OR($G14530="FCC",$G14530="Hydrocracker",$G14530="Reformer"),IF(COUNTIFS($D:$D,$D14530,$A:$A,$A14530,$B:$B,$B14530,$G:$G,"CDU",$J:$J,"PLANNED")&gt;0,"tied","standalone"),"")</f>
        <v/>
      </c>
    </row>
    <row r="14531" spans="6:14">
      <c r="F14531" s="6">
        <f>IF($M14531="PADD I","PADD 1",IF($M14531="PADD II","PADD 2",IF($M14531="PADD III","PADD 3",IF($M14531="PADD IV","PADD 4",IF($M14531="PADD V","PADD 5","")))))</f>
        <v/>
      </c>
      <c r="G14531" s="6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  <c r="N14531" s="6">
        <f>IF(OR($G14531="FCC",$G14531="Hydrocracker",$G14531="Reformer"),IF(COUNTIFS($D:$D,$D14531,$A:$A,$A14531,$B:$B,$B14531,$G:$G,"CDU",$J:$J,"PLANNED")&gt;0,"tied","standalone"),"")</f>
        <v/>
      </c>
    </row>
    <row r="14532" spans="6:14">
      <c r="F14532" s="6">
        <f>IF($M14532="PADD I","PADD 1",IF($M14532="PADD II","PADD 2",IF($M14532="PADD III","PADD 3",IF($M14532="PADD IV","PADD 4",IF($M14532="PADD V","PADD 5","")))))</f>
        <v/>
      </c>
      <c r="G14532" s="6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  <c r="N14532" s="6">
        <f>IF(OR($G14532="FCC",$G14532="Hydrocracker",$G14532="Reformer"),IF(COUNTIFS($D:$D,$D14532,$A:$A,$A14532,$B:$B,$B14532,$G:$G,"CDU",$J:$J,"PLANNED")&gt;0,"tied","standalone"),"")</f>
        <v/>
      </c>
    </row>
    <row r="14533" spans="6:14">
      <c r="F14533" s="6">
        <f>IF($M14533="PADD I","PADD 1",IF($M14533="PADD II","PADD 2",IF($M14533="PADD III","PADD 3",IF($M14533="PADD IV","PADD 4",IF($M14533="PADD V","PADD 5","")))))</f>
        <v/>
      </c>
      <c r="G14533" s="6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  <c r="N14533" s="6">
        <f>IF(OR($G14533="FCC",$G14533="Hydrocracker",$G14533="Reformer"),IF(COUNTIFS($D:$D,$D14533,$A:$A,$A14533,$B:$B,$B14533,$G:$G,"CDU",$J:$J,"PLANNED")&gt;0,"tied","standalone"),"")</f>
        <v/>
      </c>
    </row>
    <row r="14534" spans="6:14">
      <c r="F14534" s="6">
        <f>IF($M14534="PADD I","PADD 1",IF($M14534="PADD II","PADD 2",IF($M14534="PADD III","PADD 3",IF($M14534="PADD IV","PADD 4",IF($M14534="PADD V","PADD 5","")))))</f>
        <v/>
      </c>
      <c r="G14534" s="6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  <c r="N14534" s="6">
        <f>IF(OR($G14534="FCC",$G14534="Hydrocracker",$G14534="Reformer"),IF(COUNTIFS($D:$D,$D14534,$A:$A,$A14534,$B:$B,$B14534,$G:$G,"CDU",$J:$J,"PLANNED")&gt;0,"tied","standalone"),"")</f>
        <v/>
      </c>
    </row>
    <row r="14535" spans="6:14">
      <c r="F14535" s="6">
        <f>IF($M14535="PADD I","PADD 1",IF($M14535="PADD II","PADD 2",IF($M14535="PADD III","PADD 3",IF($M14535="PADD IV","PADD 4",IF($M14535="PADD V","PADD 5","")))))</f>
        <v/>
      </c>
      <c r="G14535" s="6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  <c r="N14535" s="6">
        <f>IF(OR($G14535="FCC",$G14535="Hydrocracker",$G14535="Reformer"),IF(COUNTIFS($D:$D,$D14535,$A:$A,$A14535,$B:$B,$B14535,$G:$G,"CDU",$J:$J,"PLANNED")&gt;0,"tied","standalone"),"")</f>
        <v/>
      </c>
    </row>
    <row r="14536" spans="6:14">
      <c r="F14536" s="6">
        <f>IF($M14536="PADD I","PADD 1",IF($M14536="PADD II","PADD 2",IF($M14536="PADD III","PADD 3",IF($M14536="PADD IV","PADD 4",IF($M14536="PADD V","PADD 5","")))))</f>
        <v/>
      </c>
      <c r="G14536" s="6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  <c r="N14536" s="6">
        <f>IF(OR($G14536="FCC",$G14536="Hydrocracker",$G14536="Reformer"),IF(COUNTIFS($D:$D,$D14536,$A:$A,$A14536,$B:$B,$B14536,$G:$G,"CDU",$J:$J,"PLANNED")&gt;0,"tied","standalone"),"")</f>
        <v/>
      </c>
    </row>
    <row r="14537" spans="6:14">
      <c r="F14537" s="6">
        <f>IF($M14537="PADD I","PADD 1",IF($M14537="PADD II","PADD 2",IF($M14537="PADD III","PADD 3",IF($M14537="PADD IV","PADD 4",IF($M14537="PADD V","PADD 5","")))))</f>
        <v/>
      </c>
      <c r="G14537" s="6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  <c r="N14537" s="6">
        <f>IF(OR($G14537="FCC",$G14537="Hydrocracker",$G14537="Reformer"),IF(COUNTIFS($D:$D,$D14537,$A:$A,$A14537,$B:$B,$B14537,$G:$G,"CDU",$J:$J,"PLANNED")&gt;0,"tied","standalone"),"")</f>
        <v/>
      </c>
    </row>
    <row r="14538" spans="6:14">
      <c r="F14538" s="6">
        <f>IF($M14538="PADD I","PADD 1",IF($M14538="PADD II","PADD 2",IF($M14538="PADD III","PADD 3",IF($M14538="PADD IV","PADD 4",IF($M14538="PADD V","PADD 5","")))))</f>
        <v/>
      </c>
      <c r="G14538" s="6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  <c r="N14538" s="6">
        <f>IF(OR($G14538="FCC",$G14538="Hydrocracker",$G14538="Reformer"),IF(COUNTIFS($D:$D,$D14538,$A:$A,$A14538,$B:$B,$B14538,$G:$G,"CDU",$J:$J,"PLANNED")&gt;0,"tied","standalone"),"")</f>
        <v/>
      </c>
    </row>
    <row r="14539" spans="6:14">
      <c r="F14539" s="6">
        <f>IF($M14539="PADD I","PADD 1",IF($M14539="PADD II","PADD 2",IF($M14539="PADD III","PADD 3",IF($M14539="PADD IV","PADD 4",IF($M14539="PADD V","PADD 5","")))))</f>
        <v/>
      </c>
      <c r="G14539" s="6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  <c r="N14539" s="6">
        <f>IF(OR($G14539="FCC",$G14539="Hydrocracker",$G14539="Reformer"),IF(COUNTIFS($D:$D,$D14539,$A:$A,$A14539,$B:$B,$B14539,$G:$G,"CDU",$J:$J,"PLANNED")&gt;0,"tied","standalone"),"")</f>
        <v/>
      </c>
    </row>
    <row r="14540" spans="6:14">
      <c r="F14540" s="6">
        <f>IF($M14540="PADD I","PADD 1",IF($M14540="PADD II","PADD 2",IF($M14540="PADD III","PADD 3",IF($M14540="PADD IV","PADD 4",IF($M14540="PADD V","PADD 5","")))))</f>
        <v/>
      </c>
      <c r="G14540" s="6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  <c r="N14540" s="6">
        <f>IF(OR($G14540="FCC",$G14540="Hydrocracker",$G14540="Reformer"),IF(COUNTIFS($D:$D,$D14540,$A:$A,$A14540,$B:$B,$B14540,$G:$G,"CDU",$J:$J,"PLANNED")&gt;0,"tied","standalone"),"")</f>
        <v/>
      </c>
    </row>
    <row r="14541" spans="6:14">
      <c r="F14541" s="6">
        <f>IF($M14541="PADD I","PADD 1",IF($M14541="PADD II","PADD 2",IF($M14541="PADD III","PADD 3",IF($M14541="PADD IV","PADD 4",IF($M14541="PADD V","PADD 5","")))))</f>
        <v/>
      </c>
      <c r="G14541" s="6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  <c r="N14541" s="6">
        <f>IF(OR($G14541="FCC",$G14541="Hydrocracker",$G14541="Reformer"),IF(COUNTIFS($D:$D,$D14541,$A:$A,$A14541,$B:$B,$B14541,$G:$G,"CDU",$J:$J,"PLANNED")&gt;0,"tied","standalone"),"")</f>
        <v/>
      </c>
    </row>
    <row r="14542" spans="6:14">
      <c r="F14542" s="6">
        <f>IF($M14542="PADD I","PADD 1",IF($M14542="PADD II","PADD 2",IF($M14542="PADD III","PADD 3",IF($M14542="PADD IV","PADD 4",IF($M14542="PADD V","PADD 5","")))))</f>
        <v/>
      </c>
      <c r="G14542" s="6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  <c r="N14542" s="6">
        <f>IF(OR($G14542="FCC",$G14542="Hydrocracker",$G14542="Reformer"),IF(COUNTIFS($D:$D,$D14542,$A:$A,$A14542,$B:$B,$B14542,$G:$G,"CDU",$J:$J,"PLANNED")&gt;0,"tied","standalone"),"")</f>
        <v/>
      </c>
    </row>
    <row r="14543" spans="6:14">
      <c r="F14543" s="6">
        <f>IF($M14543="PADD I","PADD 1",IF($M14543="PADD II","PADD 2",IF($M14543="PADD III","PADD 3",IF($M14543="PADD IV","PADD 4",IF($M14543="PADD V","PADD 5","")))))</f>
        <v/>
      </c>
      <c r="G14543" s="6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  <c r="N14543" s="6">
        <f>IF(OR($G14543="FCC",$G14543="Hydrocracker",$G14543="Reformer"),IF(COUNTIFS($D:$D,$D14543,$A:$A,$A14543,$B:$B,$B14543,$G:$G,"CDU",$J:$J,"PLANNED")&gt;0,"tied","standalone"),"")</f>
        <v/>
      </c>
    </row>
    <row r="14544" spans="6:14">
      <c r="F14544" s="6">
        <f>IF($M14544="PADD I","PADD 1",IF($M14544="PADD II","PADD 2",IF($M14544="PADD III","PADD 3",IF($M14544="PADD IV","PADD 4",IF($M14544="PADD V","PADD 5","")))))</f>
        <v/>
      </c>
      <c r="G14544" s="6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  <c r="N14544" s="6">
        <f>IF(OR($G14544="FCC",$G14544="Hydrocracker",$G14544="Reformer"),IF(COUNTIFS($D:$D,$D14544,$A:$A,$A14544,$B:$B,$B14544,$G:$G,"CDU",$J:$J,"PLANNED")&gt;0,"tied","standalone"),"")</f>
        <v/>
      </c>
    </row>
    <row r="14545" spans="6:14">
      <c r="F14545" s="6">
        <f>IF($M14545="PADD I","PADD 1",IF($M14545="PADD II","PADD 2",IF($M14545="PADD III","PADD 3",IF($M14545="PADD IV","PADD 4",IF($M14545="PADD V","PADD 5","")))))</f>
        <v/>
      </c>
      <c r="G14545" s="6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  <c r="N14545" s="6">
        <f>IF(OR($G14545="FCC",$G14545="Hydrocracker",$G14545="Reformer"),IF(COUNTIFS($D:$D,$D14545,$A:$A,$A14545,$B:$B,$B14545,$G:$G,"CDU",$J:$J,"PLANNED")&gt;0,"tied","standalone"),"")</f>
        <v/>
      </c>
    </row>
    <row r="14546" spans="6:14">
      <c r="F14546" s="6">
        <f>IF($M14546="PADD I","PADD 1",IF($M14546="PADD II","PADD 2",IF($M14546="PADD III","PADD 3",IF($M14546="PADD IV","PADD 4",IF($M14546="PADD V","PADD 5","")))))</f>
        <v/>
      </c>
      <c r="G14546" s="6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  <c r="N14546" s="6">
        <f>IF(OR($G14546="FCC",$G14546="Hydrocracker",$G14546="Reformer"),IF(COUNTIFS($D:$D,$D14546,$A:$A,$A14546,$B:$B,$B14546,$G:$G,"CDU",$J:$J,"PLANNED")&gt;0,"tied","standalone"),"")</f>
        <v/>
      </c>
    </row>
    <row r="14547" spans="6:14">
      <c r="F14547" s="6">
        <f>IF($M14547="PADD I","PADD 1",IF($M14547="PADD II","PADD 2",IF($M14547="PADD III","PADD 3",IF($M14547="PADD IV","PADD 4",IF($M14547="PADD V","PADD 5","")))))</f>
        <v/>
      </c>
      <c r="G14547" s="6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  <c r="N14547" s="6">
        <f>IF(OR($G14547="FCC",$G14547="Hydrocracker",$G14547="Reformer"),IF(COUNTIFS($D:$D,$D14547,$A:$A,$A14547,$B:$B,$B14547,$G:$G,"CDU",$J:$J,"PLANNED")&gt;0,"tied","standalone"),"")</f>
        <v/>
      </c>
    </row>
    <row r="14548" spans="6:14">
      <c r="F14548" s="6">
        <f>IF($M14548="PADD I","PADD 1",IF($M14548="PADD II","PADD 2",IF($M14548="PADD III","PADD 3",IF($M14548="PADD IV","PADD 4",IF($M14548="PADD V","PADD 5","")))))</f>
        <v/>
      </c>
      <c r="G14548" s="6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  <c r="N14548" s="6">
        <f>IF(OR($G14548="FCC",$G14548="Hydrocracker",$G14548="Reformer"),IF(COUNTIFS($D:$D,$D14548,$A:$A,$A14548,$B:$B,$B14548,$G:$G,"CDU",$J:$J,"PLANNED")&gt;0,"tied","standalone"),"")</f>
        <v/>
      </c>
    </row>
    <row r="14549" spans="6:14">
      <c r="F14549" s="6">
        <f>IF($M14549="PADD I","PADD 1",IF($M14549="PADD II","PADD 2",IF($M14549="PADD III","PADD 3",IF($M14549="PADD IV","PADD 4",IF($M14549="PADD V","PADD 5","")))))</f>
        <v/>
      </c>
      <c r="G14549" s="6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  <c r="N14549" s="6">
        <f>IF(OR($G14549="FCC",$G14549="Hydrocracker",$G14549="Reformer"),IF(COUNTIFS($D:$D,$D14549,$A:$A,$A14549,$B:$B,$B14549,$G:$G,"CDU",$J:$J,"PLANNED")&gt;0,"tied","standalone"),"")</f>
        <v/>
      </c>
    </row>
    <row r="14550" spans="6:14">
      <c r="F14550" s="6">
        <f>IF($M14550="PADD I","PADD 1",IF($M14550="PADD II","PADD 2",IF($M14550="PADD III","PADD 3",IF($M14550="PADD IV","PADD 4",IF($M14550="PADD V","PADD 5","")))))</f>
        <v/>
      </c>
      <c r="G14550" s="6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  <c r="N14550" s="6">
        <f>IF(OR($G14550="FCC",$G14550="Hydrocracker",$G14550="Reformer"),IF(COUNTIFS($D:$D,$D14550,$A:$A,$A14550,$B:$B,$B14550,$G:$G,"CDU",$J:$J,"PLANNED")&gt;0,"tied","standalone"),"")</f>
        <v/>
      </c>
    </row>
    <row r="14551" spans="6:14">
      <c r="F14551" s="6">
        <f>IF($M14551="PADD I","PADD 1",IF($M14551="PADD II","PADD 2",IF($M14551="PADD III","PADD 3",IF($M14551="PADD IV","PADD 4",IF($M14551="PADD V","PADD 5","")))))</f>
        <v/>
      </c>
      <c r="G14551" s="6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  <c r="N14551" s="6">
        <f>IF(OR($G14551="FCC",$G14551="Hydrocracker",$G14551="Reformer"),IF(COUNTIFS($D:$D,$D14551,$A:$A,$A14551,$B:$B,$B14551,$G:$G,"CDU",$J:$J,"PLANNED")&gt;0,"tied","standalone"),"")</f>
        <v/>
      </c>
    </row>
    <row r="14552" spans="6:14">
      <c r="F14552" s="6">
        <f>IF($M14552="PADD I","PADD 1",IF($M14552="PADD II","PADD 2",IF($M14552="PADD III","PADD 3",IF($M14552="PADD IV","PADD 4",IF($M14552="PADD V","PADD 5","")))))</f>
        <v/>
      </c>
      <c r="G14552" s="6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  <c r="N14552" s="6">
        <f>IF(OR($G14552="FCC",$G14552="Hydrocracker",$G14552="Reformer"),IF(COUNTIFS($D:$D,$D14552,$A:$A,$A14552,$B:$B,$B14552,$G:$G,"CDU",$J:$J,"PLANNED")&gt;0,"tied","standalone"),"")</f>
        <v/>
      </c>
    </row>
    <row r="14553" spans="6:14">
      <c r="F14553" s="6">
        <f>IF($M14553="PADD I","PADD 1",IF($M14553="PADD II","PADD 2",IF($M14553="PADD III","PADD 3",IF($M14553="PADD IV","PADD 4",IF($M14553="PADD V","PADD 5","")))))</f>
        <v/>
      </c>
      <c r="G14553" s="6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  <c r="N14553" s="6">
        <f>IF(OR($G14553="FCC",$G14553="Hydrocracker",$G14553="Reformer"),IF(COUNTIFS($D:$D,$D14553,$A:$A,$A14553,$B:$B,$B14553,$G:$G,"CDU",$J:$J,"PLANNED")&gt;0,"tied","standalone"),"")</f>
        <v/>
      </c>
    </row>
    <row r="14554" spans="6:14">
      <c r="F14554" s="6">
        <f>IF($M14554="PADD I","PADD 1",IF($M14554="PADD II","PADD 2",IF($M14554="PADD III","PADD 3",IF($M14554="PADD IV","PADD 4",IF($M14554="PADD V","PADD 5","")))))</f>
        <v/>
      </c>
      <c r="G14554" s="6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  <c r="N14554" s="6">
        <f>IF(OR($G14554="FCC",$G14554="Hydrocracker",$G14554="Reformer"),IF(COUNTIFS($D:$D,$D14554,$A:$A,$A14554,$B:$B,$B14554,$G:$G,"CDU",$J:$J,"PLANNED")&gt;0,"tied","standalone"),"")</f>
        <v/>
      </c>
    </row>
    <row r="14555" spans="6:14">
      <c r="F14555" s="6">
        <f>IF($M14555="PADD I","PADD 1",IF($M14555="PADD II","PADD 2",IF($M14555="PADD III","PADD 3",IF($M14555="PADD IV","PADD 4",IF($M14555="PADD V","PADD 5","")))))</f>
        <v/>
      </c>
      <c r="G14555" s="6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  <c r="N14555" s="6">
        <f>IF(OR($G14555="FCC",$G14555="Hydrocracker",$G14555="Reformer"),IF(COUNTIFS($D:$D,$D14555,$A:$A,$A14555,$B:$B,$B14555,$G:$G,"CDU",$J:$J,"PLANNED")&gt;0,"tied","standalone"),"")</f>
        <v/>
      </c>
    </row>
    <row r="14556" spans="6:14">
      <c r="F14556" s="6">
        <f>IF($M14556="PADD I","PADD 1",IF($M14556="PADD II","PADD 2",IF($M14556="PADD III","PADD 3",IF($M14556="PADD IV","PADD 4",IF($M14556="PADD V","PADD 5","")))))</f>
        <v/>
      </c>
      <c r="G14556" s="6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  <c r="N14556" s="6">
        <f>IF(OR($G14556="FCC",$G14556="Hydrocracker",$G14556="Reformer"),IF(COUNTIFS($D:$D,$D14556,$A:$A,$A14556,$B:$B,$B14556,$G:$G,"CDU",$J:$J,"PLANNED")&gt;0,"tied","standalone"),"")</f>
        <v/>
      </c>
    </row>
    <row r="14557" spans="6:14">
      <c r="F14557" s="6">
        <f>IF($M14557="PADD I","PADD 1",IF($M14557="PADD II","PADD 2",IF($M14557="PADD III","PADD 3",IF($M14557="PADD IV","PADD 4",IF($M14557="PADD V","PADD 5","")))))</f>
        <v/>
      </c>
      <c r="G14557" s="6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  <c r="N14557" s="6">
        <f>IF(OR($G14557="FCC",$G14557="Hydrocracker",$G14557="Reformer"),IF(COUNTIFS($D:$D,$D14557,$A:$A,$A14557,$B:$B,$B14557,$G:$G,"CDU",$J:$J,"PLANNED")&gt;0,"tied","standalone"),"")</f>
        <v/>
      </c>
    </row>
    <row r="14558" spans="6:14">
      <c r="F14558" s="6">
        <f>IF($M14558="PADD I","PADD 1",IF($M14558="PADD II","PADD 2",IF($M14558="PADD III","PADD 3",IF($M14558="PADD IV","PADD 4",IF($M14558="PADD V","PADD 5","")))))</f>
        <v/>
      </c>
      <c r="G14558" s="6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  <c r="N14558" s="6">
        <f>IF(OR($G14558="FCC",$G14558="Hydrocracker",$G14558="Reformer"),IF(COUNTIFS($D:$D,$D14558,$A:$A,$A14558,$B:$B,$B14558,$G:$G,"CDU",$J:$J,"PLANNED")&gt;0,"tied","standalone"),"")</f>
        <v/>
      </c>
    </row>
    <row r="14559" spans="6:14">
      <c r="F14559" s="6">
        <f>IF($M14559="PADD I","PADD 1",IF($M14559="PADD II","PADD 2",IF($M14559="PADD III","PADD 3",IF($M14559="PADD IV","PADD 4",IF($M14559="PADD V","PADD 5","")))))</f>
        <v/>
      </c>
      <c r="G14559" s="6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  <c r="N14559" s="6">
        <f>IF(OR($G14559="FCC",$G14559="Hydrocracker",$G14559="Reformer"),IF(COUNTIFS($D:$D,$D14559,$A:$A,$A14559,$B:$B,$B14559,$G:$G,"CDU",$J:$J,"PLANNED")&gt;0,"tied","standalone"),"")</f>
        <v/>
      </c>
    </row>
    <row r="14560" spans="6:14">
      <c r="F14560" s="6">
        <f>IF($M14560="PADD I","PADD 1",IF($M14560="PADD II","PADD 2",IF($M14560="PADD III","PADD 3",IF($M14560="PADD IV","PADD 4",IF($M14560="PADD V","PADD 5","")))))</f>
        <v/>
      </c>
      <c r="G14560" s="6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  <c r="N14560" s="6">
        <f>IF(OR($G14560="FCC",$G14560="Hydrocracker",$G14560="Reformer"),IF(COUNTIFS($D:$D,$D14560,$A:$A,$A14560,$B:$B,$B14560,$G:$G,"CDU",$J:$J,"PLANNED")&gt;0,"tied","standalone"),"")</f>
        <v/>
      </c>
    </row>
    <row r="14561" spans="6:14">
      <c r="F14561" s="6">
        <f>IF($M14561="PADD I","PADD 1",IF($M14561="PADD II","PADD 2",IF($M14561="PADD III","PADD 3",IF($M14561="PADD IV","PADD 4",IF($M14561="PADD V","PADD 5","")))))</f>
        <v/>
      </c>
      <c r="G14561" s="6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  <c r="N14561" s="6">
        <f>IF(OR($G14561="FCC",$G14561="Hydrocracker",$G14561="Reformer"),IF(COUNTIFS($D:$D,$D14561,$A:$A,$A14561,$B:$B,$B14561,$G:$G,"CDU",$J:$J,"PLANNED")&gt;0,"tied","standalone"),"")</f>
        <v/>
      </c>
    </row>
    <row r="14562" spans="6:14">
      <c r="F14562" s="6">
        <f>IF($M14562="PADD I","PADD 1",IF($M14562="PADD II","PADD 2",IF($M14562="PADD III","PADD 3",IF($M14562="PADD IV","PADD 4",IF($M14562="PADD V","PADD 5","")))))</f>
        <v/>
      </c>
      <c r="G14562" s="6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  <c r="N14562" s="6">
        <f>IF(OR($G14562="FCC",$G14562="Hydrocracker",$G14562="Reformer"),IF(COUNTIFS($D:$D,$D14562,$A:$A,$A14562,$B:$B,$B14562,$G:$G,"CDU",$J:$J,"PLANNED")&gt;0,"tied","standalone"),"")</f>
        <v/>
      </c>
    </row>
    <row r="14563" spans="6:14">
      <c r="F14563" s="6">
        <f>IF($M14563="PADD I","PADD 1",IF($M14563="PADD II","PADD 2",IF($M14563="PADD III","PADD 3",IF($M14563="PADD IV","PADD 4",IF($M14563="PADD V","PADD 5","")))))</f>
        <v/>
      </c>
      <c r="G14563" s="6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  <c r="N14563" s="6">
        <f>IF(OR($G14563="FCC",$G14563="Hydrocracker",$G14563="Reformer"),IF(COUNTIFS($D:$D,$D14563,$A:$A,$A14563,$B:$B,$B14563,$G:$G,"CDU",$J:$J,"PLANNED")&gt;0,"tied","standalone"),"")</f>
        <v/>
      </c>
    </row>
    <row r="14564" spans="6:14">
      <c r="F14564" s="6">
        <f>IF($M14564="PADD I","PADD 1",IF($M14564="PADD II","PADD 2",IF($M14564="PADD III","PADD 3",IF($M14564="PADD IV","PADD 4",IF($M14564="PADD V","PADD 5","")))))</f>
        <v/>
      </c>
      <c r="G14564" s="6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  <c r="N14564" s="6">
        <f>IF(OR($G14564="FCC",$G14564="Hydrocracker",$G14564="Reformer"),IF(COUNTIFS($D:$D,$D14564,$A:$A,$A14564,$B:$B,$B14564,$G:$G,"CDU",$J:$J,"PLANNED")&gt;0,"tied","standalone"),"")</f>
        <v/>
      </c>
    </row>
    <row r="14565" spans="6:14">
      <c r="F14565" s="6">
        <f>IF($M14565="PADD I","PADD 1",IF($M14565="PADD II","PADD 2",IF($M14565="PADD III","PADD 3",IF($M14565="PADD IV","PADD 4",IF($M14565="PADD V","PADD 5","")))))</f>
        <v/>
      </c>
      <c r="G14565" s="6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  <c r="N14565" s="6">
        <f>IF(OR($G14565="FCC",$G14565="Hydrocracker",$G14565="Reformer"),IF(COUNTIFS($D:$D,$D14565,$A:$A,$A14565,$B:$B,$B14565,$G:$G,"CDU",$J:$J,"PLANNED")&gt;0,"tied","standalone"),"")</f>
        <v/>
      </c>
    </row>
    <row r="14566" spans="6:14">
      <c r="F14566" s="6">
        <f>IF($M14566="PADD I","PADD 1",IF($M14566="PADD II","PADD 2",IF($M14566="PADD III","PADD 3",IF($M14566="PADD IV","PADD 4",IF($M14566="PADD V","PADD 5","")))))</f>
        <v/>
      </c>
      <c r="G14566" s="6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  <c r="N14566" s="6">
        <f>IF(OR($G14566="FCC",$G14566="Hydrocracker",$G14566="Reformer"),IF(COUNTIFS($D:$D,$D14566,$A:$A,$A14566,$B:$B,$B14566,$G:$G,"CDU",$J:$J,"PLANNED")&gt;0,"tied","standalone"),"")</f>
        <v/>
      </c>
    </row>
    <row r="14567" spans="6:14">
      <c r="F14567" s="6">
        <f>IF($M14567="PADD I","PADD 1",IF($M14567="PADD II","PADD 2",IF($M14567="PADD III","PADD 3",IF($M14567="PADD IV","PADD 4",IF($M14567="PADD V","PADD 5","")))))</f>
        <v/>
      </c>
      <c r="G14567" s="6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  <c r="N14567" s="6">
        <f>IF(OR($G14567="FCC",$G14567="Hydrocracker",$G14567="Reformer"),IF(COUNTIFS($D:$D,$D14567,$A:$A,$A14567,$B:$B,$B14567,$G:$G,"CDU",$J:$J,"PLANNED")&gt;0,"tied","standalone"),"")</f>
        <v/>
      </c>
    </row>
    <row r="14568" spans="6:14">
      <c r="F14568" s="6">
        <f>IF($M14568="PADD I","PADD 1",IF($M14568="PADD II","PADD 2",IF($M14568="PADD III","PADD 3",IF($M14568="PADD IV","PADD 4",IF($M14568="PADD V","PADD 5","")))))</f>
        <v/>
      </c>
      <c r="G14568" s="6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  <c r="N14568" s="6">
        <f>IF(OR($G14568="FCC",$G14568="Hydrocracker",$G14568="Reformer"),IF(COUNTIFS($D:$D,$D14568,$A:$A,$A14568,$B:$B,$B14568,$G:$G,"CDU",$J:$J,"PLANNED")&gt;0,"tied","standalone"),"")</f>
        <v/>
      </c>
    </row>
    <row r="14569" spans="6:14">
      <c r="F14569" s="6">
        <f>IF($M14569="PADD I","PADD 1",IF($M14569="PADD II","PADD 2",IF($M14569="PADD III","PADD 3",IF($M14569="PADD IV","PADD 4",IF($M14569="PADD V","PADD 5","")))))</f>
        <v/>
      </c>
      <c r="G14569" s="6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  <c r="N14569" s="6">
        <f>IF(OR($G14569="FCC",$G14569="Hydrocracker",$G14569="Reformer"),IF(COUNTIFS($D:$D,$D14569,$A:$A,$A14569,$B:$B,$B14569,$G:$G,"CDU",$J:$J,"PLANNED")&gt;0,"tied","standalone"),"")</f>
        <v/>
      </c>
    </row>
    <row r="14570" spans="6:14">
      <c r="F14570" s="6">
        <f>IF($M14570="PADD I","PADD 1",IF($M14570="PADD II","PADD 2",IF($M14570="PADD III","PADD 3",IF($M14570="PADD IV","PADD 4",IF($M14570="PADD V","PADD 5","")))))</f>
        <v/>
      </c>
      <c r="G14570" s="6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  <c r="N14570" s="6">
        <f>IF(OR($G14570="FCC",$G14570="Hydrocracker",$G14570="Reformer"),IF(COUNTIFS($D:$D,$D14570,$A:$A,$A14570,$B:$B,$B14570,$G:$G,"CDU",$J:$J,"PLANNED")&gt;0,"tied","standalone"),"")</f>
        <v/>
      </c>
    </row>
    <row r="14571" spans="6:14">
      <c r="F14571" s="6">
        <f>IF($M14571="PADD I","PADD 1",IF($M14571="PADD II","PADD 2",IF($M14571="PADD III","PADD 3",IF($M14571="PADD IV","PADD 4",IF($M14571="PADD V","PADD 5","")))))</f>
        <v/>
      </c>
      <c r="G14571" s="6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  <c r="N14571" s="6">
        <f>IF(OR($G14571="FCC",$G14571="Hydrocracker",$G14571="Reformer"),IF(COUNTIFS($D:$D,$D14571,$A:$A,$A14571,$B:$B,$B14571,$G:$G,"CDU",$J:$J,"PLANNED")&gt;0,"tied","standalone"),"")</f>
        <v/>
      </c>
    </row>
    <row r="14572" spans="6:14">
      <c r="F14572" s="6">
        <f>IF($M14572="PADD I","PADD 1",IF($M14572="PADD II","PADD 2",IF($M14572="PADD III","PADD 3",IF($M14572="PADD IV","PADD 4",IF($M14572="PADD V","PADD 5","")))))</f>
        <v/>
      </c>
      <c r="G14572" s="6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  <c r="N14572" s="6">
        <f>IF(OR($G14572="FCC",$G14572="Hydrocracker",$G14572="Reformer"),IF(COUNTIFS($D:$D,$D14572,$A:$A,$A14572,$B:$B,$B14572,$G:$G,"CDU",$J:$J,"PLANNED")&gt;0,"tied","standalone"),"")</f>
        <v/>
      </c>
    </row>
    <row r="14573" spans="6:14">
      <c r="F14573" s="6">
        <f>IF($M14573="PADD I","PADD 1",IF($M14573="PADD II","PADD 2",IF($M14573="PADD III","PADD 3",IF($M14573="PADD IV","PADD 4",IF($M14573="PADD V","PADD 5","")))))</f>
        <v/>
      </c>
      <c r="G14573" s="6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  <c r="N14573" s="6">
        <f>IF(OR($G14573="FCC",$G14573="Hydrocracker",$G14573="Reformer"),IF(COUNTIFS($D:$D,$D14573,$A:$A,$A14573,$B:$B,$B14573,$G:$G,"CDU",$J:$J,"PLANNED")&gt;0,"tied","standalone"),"")</f>
        <v/>
      </c>
    </row>
    <row r="14574" spans="6:14">
      <c r="F14574" s="6">
        <f>IF($M14574="PADD I","PADD 1",IF($M14574="PADD II","PADD 2",IF($M14574="PADD III","PADD 3",IF($M14574="PADD IV","PADD 4",IF($M14574="PADD V","PADD 5","")))))</f>
        <v/>
      </c>
      <c r="G14574" s="6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  <c r="N14574" s="6">
        <f>IF(OR($G14574="FCC",$G14574="Hydrocracker",$G14574="Reformer"),IF(COUNTIFS($D:$D,$D14574,$A:$A,$A14574,$B:$B,$B14574,$G:$G,"CDU",$J:$J,"PLANNED")&gt;0,"tied","standalone"),"")</f>
        <v/>
      </c>
    </row>
    <row r="14575" spans="6:14">
      <c r="F14575" s="6">
        <f>IF($M14575="PADD I","PADD 1",IF($M14575="PADD II","PADD 2",IF($M14575="PADD III","PADD 3",IF($M14575="PADD IV","PADD 4",IF($M14575="PADD V","PADD 5","")))))</f>
        <v/>
      </c>
      <c r="G14575" s="6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  <c r="N14575" s="6">
        <f>IF(OR($G14575="FCC",$G14575="Hydrocracker",$G14575="Reformer"),IF(COUNTIFS($D:$D,$D14575,$A:$A,$A14575,$B:$B,$B14575,$G:$G,"CDU",$J:$J,"PLANNED")&gt;0,"tied","standalone"),"")</f>
        <v/>
      </c>
    </row>
    <row r="14576" spans="6:14">
      <c r="F14576" s="6">
        <f>IF($M14576="PADD I","PADD 1",IF($M14576="PADD II","PADD 2",IF($M14576="PADD III","PADD 3",IF($M14576="PADD IV","PADD 4",IF($M14576="PADD V","PADD 5","")))))</f>
        <v/>
      </c>
      <c r="G14576" s="6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  <c r="N14576" s="6">
        <f>IF(OR($G14576="FCC",$G14576="Hydrocracker",$G14576="Reformer"),IF(COUNTIFS($D:$D,$D14576,$A:$A,$A14576,$B:$B,$B14576,$G:$G,"CDU",$J:$J,"PLANNED")&gt;0,"tied","standalone"),"")</f>
        <v/>
      </c>
    </row>
    <row r="14577" spans="6:14">
      <c r="F14577" s="6">
        <f>IF($M14577="PADD I","PADD 1",IF($M14577="PADD II","PADD 2",IF($M14577="PADD III","PADD 3",IF($M14577="PADD IV","PADD 4",IF($M14577="PADD V","PADD 5","")))))</f>
        <v/>
      </c>
      <c r="G14577" s="6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  <c r="N14577" s="6">
        <f>IF(OR($G14577="FCC",$G14577="Hydrocracker",$G14577="Reformer"),IF(COUNTIFS($D:$D,$D14577,$A:$A,$A14577,$B:$B,$B14577,$G:$G,"CDU",$J:$J,"PLANNED")&gt;0,"tied","standalone"),"")</f>
        <v/>
      </c>
    </row>
    <row r="14578" spans="6:14">
      <c r="F14578" s="6">
        <f>IF($M14578="PADD I","PADD 1",IF($M14578="PADD II","PADD 2",IF($M14578="PADD III","PADD 3",IF($M14578="PADD IV","PADD 4",IF($M14578="PADD V","PADD 5","")))))</f>
        <v/>
      </c>
      <c r="G14578" s="6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  <c r="N14578" s="6">
        <f>IF(OR($G14578="FCC",$G14578="Hydrocracker",$G14578="Reformer"),IF(COUNTIFS($D:$D,$D14578,$A:$A,$A14578,$B:$B,$B14578,$G:$G,"CDU",$J:$J,"PLANNED")&gt;0,"tied","standalone"),"")</f>
        <v/>
      </c>
    </row>
    <row r="14579" spans="6:14">
      <c r="F14579" s="6">
        <f>IF($M14579="PADD I","PADD 1",IF($M14579="PADD II","PADD 2",IF($M14579="PADD III","PADD 3",IF($M14579="PADD IV","PADD 4",IF($M14579="PADD V","PADD 5","")))))</f>
        <v/>
      </c>
      <c r="G14579" s="6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  <c r="N14579" s="6">
        <f>IF(OR($G14579="FCC",$G14579="Hydrocracker",$G14579="Reformer"),IF(COUNTIFS($D:$D,$D14579,$A:$A,$A14579,$B:$B,$B14579,$G:$G,"CDU",$J:$J,"PLANNED")&gt;0,"tied","standalone"),"")</f>
        <v/>
      </c>
    </row>
    <row r="14580" spans="6:14">
      <c r="F14580" s="6">
        <f>IF($M14580="PADD I","PADD 1",IF($M14580="PADD II","PADD 2",IF($M14580="PADD III","PADD 3",IF($M14580="PADD IV","PADD 4",IF($M14580="PADD V","PADD 5","")))))</f>
        <v/>
      </c>
      <c r="G14580" s="6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  <c r="N14580" s="6">
        <f>IF(OR($G14580="FCC",$G14580="Hydrocracker",$G14580="Reformer"),IF(COUNTIFS($D:$D,$D14580,$A:$A,$A14580,$B:$B,$B14580,$G:$G,"CDU",$J:$J,"PLANNED")&gt;0,"tied","standalone"),"")</f>
        <v/>
      </c>
    </row>
    <row r="14581" spans="6:14">
      <c r="F14581" s="6">
        <f>IF($M14581="PADD I","PADD 1",IF($M14581="PADD II","PADD 2",IF($M14581="PADD III","PADD 3",IF($M14581="PADD IV","PADD 4",IF($M14581="PADD V","PADD 5","")))))</f>
        <v/>
      </c>
      <c r="G14581" s="6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  <c r="N14581" s="6">
        <f>IF(OR($G14581="FCC",$G14581="Hydrocracker",$G14581="Reformer"),IF(COUNTIFS($D:$D,$D14581,$A:$A,$A14581,$B:$B,$B14581,$G:$G,"CDU",$J:$J,"PLANNED")&gt;0,"tied","standalone"),"")</f>
        <v/>
      </c>
    </row>
    <row r="14582" spans="6:14">
      <c r="F14582" s="6">
        <f>IF($M14582="PADD I","PADD 1",IF($M14582="PADD II","PADD 2",IF($M14582="PADD III","PADD 3",IF($M14582="PADD IV","PADD 4",IF($M14582="PADD V","PADD 5","")))))</f>
        <v/>
      </c>
      <c r="G14582" s="6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  <c r="N14582" s="6">
        <f>IF(OR($G14582="FCC",$G14582="Hydrocracker",$G14582="Reformer"),IF(COUNTIFS($D:$D,$D14582,$A:$A,$A14582,$B:$B,$B14582,$G:$G,"CDU",$J:$J,"PLANNED")&gt;0,"tied","standalone"),"")</f>
        <v/>
      </c>
    </row>
    <row r="14583" spans="6:14">
      <c r="F14583" s="6">
        <f>IF($M14583="PADD I","PADD 1",IF($M14583="PADD II","PADD 2",IF($M14583="PADD III","PADD 3",IF($M14583="PADD IV","PADD 4",IF($M14583="PADD V","PADD 5","")))))</f>
        <v/>
      </c>
      <c r="G14583" s="6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  <c r="N14583" s="6">
        <f>IF(OR($G14583="FCC",$G14583="Hydrocracker",$G14583="Reformer"),IF(COUNTIFS($D:$D,$D14583,$A:$A,$A14583,$B:$B,$B14583,$G:$G,"CDU",$J:$J,"PLANNED")&gt;0,"tied","standalone"),"")</f>
        <v/>
      </c>
    </row>
    <row r="14584" spans="6:14">
      <c r="F14584" s="6">
        <f>IF($M14584="PADD I","PADD 1",IF($M14584="PADD II","PADD 2",IF($M14584="PADD III","PADD 3",IF($M14584="PADD IV","PADD 4",IF($M14584="PADD V","PADD 5","")))))</f>
        <v/>
      </c>
      <c r="G14584" s="6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  <c r="N14584" s="6">
        <f>IF(OR($G14584="FCC",$G14584="Hydrocracker",$G14584="Reformer"),IF(COUNTIFS($D:$D,$D14584,$A:$A,$A14584,$B:$B,$B14584,$G:$G,"CDU",$J:$J,"PLANNED")&gt;0,"tied","standalone"),"")</f>
        <v/>
      </c>
    </row>
    <row r="14585" spans="6:14">
      <c r="F14585" s="6">
        <f>IF($M14585="PADD I","PADD 1",IF($M14585="PADD II","PADD 2",IF($M14585="PADD III","PADD 3",IF($M14585="PADD IV","PADD 4",IF($M14585="PADD V","PADD 5","")))))</f>
        <v/>
      </c>
      <c r="G14585" s="6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  <c r="N14585" s="6">
        <f>IF(OR($G14585="FCC",$G14585="Hydrocracker",$G14585="Reformer"),IF(COUNTIFS($D:$D,$D14585,$A:$A,$A14585,$B:$B,$B14585,$G:$G,"CDU",$J:$J,"PLANNED")&gt;0,"tied","standalone"),"")</f>
        <v/>
      </c>
    </row>
    <row r="14586" spans="6:14">
      <c r="F14586" s="6">
        <f>IF($M14586="PADD I","PADD 1",IF($M14586="PADD II","PADD 2",IF($M14586="PADD III","PADD 3",IF($M14586="PADD IV","PADD 4",IF($M14586="PADD V","PADD 5","")))))</f>
        <v/>
      </c>
      <c r="G14586" s="6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  <c r="N14586" s="6">
        <f>IF(OR($G14586="FCC",$G14586="Hydrocracker",$G14586="Reformer"),IF(COUNTIFS($D:$D,$D14586,$A:$A,$A14586,$B:$B,$B14586,$G:$G,"CDU",$J:$J,"PLANNED")&gt;0,"tied","standalone"),"")</f>
        <v/>
      </c>
    </row>
    <row r="14587" spans="6:14">
      <c r="F14587" s="6">
        <f>IF($M14587="PADD I","PADD 1",IF($M14587="PADD II","PADD 2",IF($M14587="PADD III","PADD 3",IF($M14587="PADD IV","PADD 4",IF($M14587="PADD V","PADD 5","")))))</f>
        <v/>
      </c>
      <c r="G14587" s="6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  <c r="N14587" s="6">
        <f>IF(OR($G14587="FCC",$G14587="Hydrocracker",$G14587="Reformer"),IF(COUNTIFS($D:$D,$D14587,$A:$A,$A14587,$B:$B,$B14587,$G:$G,"CDU",$J:$J,"PLANNED")&gt;0,"tied","standalone"),"")</f>
        <v/>
      </c>
    </row>
    <row r="14588" spans="6:14">
      <c r="F14588" s="6">
        <f>IF($M14588="PADD I","PADD 1",IF($M14588="PADD II","PADD 2",IF($M14588="PADD III","PADD 3",IF($M14588="PADD IV","PADD 4",IF($M14588="PADD V","PADD 5","")))))</f>
        <v/>
      </c>
      <c r="G14588" s="6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  <c r="N14588" s="6">
        <f>IF(OR($G14588="FCC",$G14588="Hydrocracker",$G14588="Reformer"),IF(COUNTIFS($D:$D,$D14588,$A:$A,$A14588,$B:$B,$B14588,$G:$G,"CDU",$J:$J,"PLANNED")&gt;0,"tied","standalone"),"")</f>
        <v/>
      </c>
    </row>
    <row r="14589" spans="6:14">
      <c r="F14589" s="6">
        <f>IF($M14589="PADD I","PADD 1",IF($M14589="PADD II","PADD 2",IF($M14589="PADD III","PADD 3",IF($M14589="PADD IV","PADD 4",IF($M14589="PADD V","PADD 5","")))))</f>
        <v/>
      </c>
      <c r="G14589" s="6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  <c r="N14589" s="6">
        <f>IF(OR($G14589="FCC",$G14589="Hydrocracker",$G14589="Reformer"),IF(COUNTIFS($D:$D,$D14589,$A:$A,$A14589,$B:$B,$B14589,$G:$G,"CDU",$J:$J,"PLANNED")&gt;0,"tied","standalone"),"")</f>
        <v/>
      </c>
    </row>
    <row r="14590" spans="6:14">
      <c r="F14590" s="6">
        <f>IF($M14590="PADD I","PADD 1",IF($M14590="PADD II","PADD 2",IF($M14590="PADD III","PADD 3",IF($M14590="PADD IV","PADD 4",IF($M14590="PADD V","PADD 5","")))))</f>
        <v/>
      </c>
      <c r="G14590" s="6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  <c r="N14590" s="6">
        <f>IF(OR($G14590="FCC",$G14590="Hydrocracker",$G14590="Reformer"),IF(COUNTIFS($D:$D,$D14590,$A:$A,$A14590,$B:$B,$B14590,$G:$G,"CDU",$J:$J,"PLANNED")&gt;0,"tied","standalone"),"")</f>
        <v/>
      </c>
    </row>
    <row r="14591" spans="6:14">
      <c r="F14591" s="6">
        <f>IF($M14591="PADD I","PADD 1",IF($M14591="PADD II","PADD 2",IF($M14591="PADD III","PADD 3",IF($M14591="PADD IV","PADD 4",IF($M14591="PADD V","PADD 5","")))))</f>
        <v/>
      </c>
      <c r="G14591" s="6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  <c r="N14591" s="6">
        <f>IF(OR($G14591="FCC",$G14591="Hydrocracker",$G14591="Reformer"),IF(COUNTIFS($D:$D,$D14591,$A:$A,$A14591,$B:$B,$B14591,$G:$G,"CDU",$J:$J,"PLANNED")&gt;0,"tied","standalone"),"")</f>
        <v/>
      </c>
    </row>
    <row r="14592" spans="6:14">
      <c r="F14592" s="6">
        <f>IF($M14592="PADD I","PADD 1",IF($M14592="PADD II","PADD 2",IF($M14592="PADD III","PADD 3",IF($M14592="PADD IV","PADD 4",IF($M14592="PADD V","PADD 5","")))))</f>
        <v/>
      </c>
      <c r="G14592" s="6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  <c r="N14592" s="6">
        <f>IF(OR($G14592="FCC",$G14592="Hydrocracker",$G14592="Reformer"),IF(COUNTIFS($D:$D,$D14592,$A:$A,$A14592,$B:$B,$B14592,$G:$G,"CDU",$J:$J,"PLANNED")&gt;0,"tied","standalone"),"")</f>
        <v/>
      </c>
    </row>
    <row r="14593" spans="6:14">
      <c r="F14593" s="6">
        <f>IF($M14593="PADD I","PADD 1",IF($M14593="PADD II","PADD 2",IF($M14593="PADD III","PADD 3",IF($M14593="PADD IV","PADD 4",IF($M14593="PADD V","PADD 5","")))))</f>
        <v/>
      </c>
      <c r="G14593" s="6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  <c r="N14593" s="6">
        <f>IF(OR($G14593="FCC",$G14593="Hydrocracker",$G14593="Reformer"),IF(COUNTIFS($D:$D,$D14593,$A:$A,$A14593,$B:$B,$B14593,$G:$G,"CDU",$J:$J,"PLANNED")&gt;0,"tied","standalone"),"")</f>
        <v/>
      </c>
    </row>
    <row r="14594" spans="6:14">
      <c r="F14594" s="6">
        <f>IF($M14594="PADD I","PADD 1",IF($M14594="PADD II","PADD 2",IF($M14594="PADD III","PADD 3",IF($M14594="PADD IV","PADD 4",IF($M14594="PADD V","PADD 5","")))))</f>
        <v/>
      </c>
      <c r="G14594" s="6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  <c r="N14594" s="6">
        <f>IF(OR($G14594="FCC",$G14594="Hydrocracker",$G14594="Reformer"),IF(COUNTIFS($D:$D,$D14594,$A:$A,$A14594,$B:$B,$B14594,$G:$G,"CDU",$J:$J,"PLANNED")&gt;0,"tied","standalone"),"")</f>
        <v/>
      </c>
    </row>
    <row r="14595" spans="6:14">
      <c r="F14595" s="6">
        <f>IF($M14595="PADD I","PADD 1",IF($M14595="PADD II","PADD 2",IF($M14595="PADD III","PADD 3",IF($M14595="PADD IV","PADD 4",IF($M14595="PADD V","PADD 5","")))))</f>
        <v/>
      </c>
      <c r="G14595" s="6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  <c r="N14595" s="6">
        <f>IF(OR($G14595="FCC",$G14595="Hydrocracker",$G14595="Reformer"),IF(COUNTIFS($D:$D,$D14595,$A:$A,$A14595,$B:$B,$B14595,$G:$G,"CDU",$J:$J,"PLANNED")&gt;0,"tied","standalone"),"")</f>
        <v/>
      </c>
    </row>
    <row r="14596" spans="6:14">
      <c r="F14596" s="6">
        <f>IF($M14596="PADD I","PADD 1",IF($M14596="PADD II","PADD 2",IF($M14596="PADD III","PADD 3",IF($M14596="PADD IV","PADD 4",IF($M14596="PADD V","PADD 5","")))))</f>
        <v/>
      </c>
      <c r="G14596" s="6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  <c r="N14596" s="6">
        <f>IF(OR($G14596="FCC",$G14596="Hydrocracker",$G14596="Reformer"),IF(COUNTIFS($D:$D,$D14596,$A:$A,$A14596,$B:$B,$B14596,$G:$G,"CDU",$J:$J,"PLANNED")&gt;0,"tied","standalone"),"")</f>
        <v/>
      </c>
    </row>
    <row r="14597" spans="6:14">
      <c r="F14597" s="6">
        <f>IF($M14597="PADD I","PADD 1",IF($M14597="PADD II","PADD 2",IF($M14597="PADD III","PADD 3",IF($M14597="PADD IV","PADD 4",IF($M14597="PADD V","PADD 5","")))))</f>
        <v/>
      </c>
      <c r="G14597" s="6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  <c r="N14597" s="6">
        <f>IF(OR($G14597="FCC",$G14597="Hydrocracker",$G14597="Reformer"),IF(COUNTIFS($D:$D,$D14597,$A:$A,$A14597,$B:$B,$B14597,$G:$G,"CDU",$J:$J,"PLANNED")&gt;0,"tied","standalone"),"")</f>
        <v/>
      </c>
    </row>
    <row r="14598" spans="6:14">
      <c r="F14598" s="6">
        <f>IF($M14598="PADD I","PADD 1",IF($M14598="PADD II","PADD 2",IF($M14598="PADD III","PADD 3",IF($M14598="PADD IV","PADD 4",IF($M14598="PADD V","PADD 5","")))))</f>
        <v/>
      </c>
      <c r="G14598" s="6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  <c r="N14598" s="6">
        <f>IF(OR($G14598="FCC",$G14598="Hydrocracker",$G14598="Reformer"),IF(COUNTIFS($D:$D,$D14598,$A:$A,$A14598,$B:$B,$B14598,$G:$G,"CDU",$J:$J,"PLANNED")&gt;0,"tied","standalone"),"")</f>
        <v/>
      </c>
    </row>
    <row r="14599" spans="6:14">
      <c r="F14599" s="6">
        <f>IF($M14599="PADD I","PADD 1",IF($M14599="PADD II","PADD 2",IF($M14599="PADD III","PADD 3",IF($M14599="PADD IV","PADD 4",IF($M14599="PADD V","PADD 5","")))))</f>
        <v/>
      </c>
      <c r="G14599" s="6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  <c r="N14599" s="6">
        <f>IF(OR($G14599="FCC",$G14599="Hydrocracker",$G14599="Reformer"),IF(COUNTIFS($D:$D,$D14599,$A:$A,$A14599,$B:$B,$B14599,$G:$G,"CDU",$J:$J,"PLANNED")&gt;0,"tied","standalone"),"")</f>
        <v/>
      </c>
    </row>
    <row r="14600" spans="6:14">
      <c r="F14600" s="6">
        <f>IF($M14600="PADD I","PADD 1",IF($M14600="PADD II","PADD 2",IF($M14600="PADD III","PADD 3",IF($M14600="PADD IV","PADD 4",IF($M14600="PADD V","PADD 5","")))))</f>
        <v/>
      </c>
      <c r="G14600" s="6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  <c r="N14600" s="6">
        <f>IF(OR($G14600="FCC",$G14600="Hydrocracker",$G14600="Reformer"),IF(COUNTIFS($D:$D,$D14600,$A:$A,$A14600,$B:$B,$B14600,$G:$G,"CDU",$J:$J,"PLANNED")&gt;0,"tied","standalone"),"")</f>
        <v/>
      </c>
    </row>
    <row r="14601" spans="6:14">
      <c r="F14601" s="6">
        <f>IF($M14601="PADD I","PADD 1",IF($M14601="PADD II","PADD 2",IF($M14601="PADD III","PADD 3",IF($M14601="PADD IV","PADD 4",IF($M14601="PADD V","PADD 5","")))))</f>
        <v/>
      </c>
      <c r="G14601" s="6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  <c r="N14601" s="6">
        <f>IF(OR($G14601="FCC",$G14601="Hydrocracker",$G14601="Reformer"),IF(COUNTIFS($D:$D,$D14601,$A:$A,$A14601,$B:$B,$B14601,$G:$G,"CDU",$J:$J,"PLANNED")&gt;0,"tied","standalone"),"")</f>
        <v/>
      </c>
    </row>
    <row r="14602" spans="6:14">
      <c r="F14602" s="6">
        <f>IF($M14602="PADD I","PADD 1",IF($M14602="PADD II","PADD 2",IF($M14602="PADD III","PADD 3",IF($M14602="PADD IV","PADD 4",IF($M14602="PADD V","PADD 5","")))))</f>
        <v/>
      </c>
      <c r="G14602" s="6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  <c r="N14602" s="6">
        <f>IF(OR($G14602="FCC",$G14602="Hydrocracker",$G14602="Reformer"),IF(COUNTIFS($D:$D,$D14602,$A:$A,$A14602,$B:$B,$B14602,$G:$G,"CDU",$J:$J,"PLANNED")&gt;0,"tied","standalone"),"")</f>
        <v/>
      </c>
    </row>
    <row r="14603" spans="6:14">
      <c r="F14603" s="6">
        <f>IF($M14603="PADD I","PADD 1",IF($M14603="PADD II","PADD 2",IF($M14603="PADD III","PADD 3",IF($M14603="PADD IV","PADD 4",IF($M14603="PADD V","PADD 5","")))))</f>
        <v/>
      </c>
      <c r="G14603" s="6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  <c r="N14603" s="6">
        <f>IF(OR($G14603="FCC",$G14603="Hydrocracker",$G14603="Reformer"),IF(COUNTIFS($D:$D,$D14603,$A:$A,$A14603,$B:$B,$B14603,$G:$G,"CDU",$J:$J,"PLANNED")&gt;0,"tied","standalone"),"")</f>
        <v/>
      </c>
    </row>
    <row r="14604" spans="6:14">
      <c r="F14604" s="6">
        <f>IF($M14604="PADD I","PADD 1",IF($M14604="PADD II","PADD 2",IF($M14604="PADD III","PADD 3",IF($M14604="PADD IV","PADD 4",IF($M14604="PADD V","PADD 5","")))))</f>
        <v/>
      </c>
      <c r="G14604" s="6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  <c r="N14604" s="6">
        <f>IF(OR($G14604="FCC",$G14604="Hydrocracker",$G14604="Reformer"),IF(COUNTIFS($D:$D,$D14604,$A:$A,$A14604,$B:$B,$B14604,$G:$G,"CDU",$J:$J,"PLANNED")&gt;0,"tied","standalone"),"")</f>
        <v/>
      </c>
    </row>
    <row r="14605" spans="6:14">
      <c r="F14605" s="6">
        <f>IF($M14605="PADD I","PADD 1",IF($M14605="PADD II","PADD 2",IF($M14605="PADD III","PADD 3",IF($M14605="PADD IV","PADD 4",IF($M14605="PADD V","PADD 5","")))))</f>
        <v/>
      </c>
      <c r="G14605" s="6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  <c r="N14605" s="6">
        <f>IF(OR($G14605="FCC",$G14605="Hydrocracker",$G14605="Reformer"),IF(COUNTIFS($D:$D,$D14605,$A:$A,$A14605,$B:$B,$B14605,$G:$G,"CDU",$J:$J,"PLANNED")&gt;0,"tied","standalone"),"")</f>
        <v/>
      </c>
    </row>
    <row r="14606" spans="6:14">
      <c r="F14606" s="6">
        <f>IF($M14606="PADD I","PADD 1",IF($M14606="PADD II","PADD 2",IF($M14606="PADD III","PADD 3",IF($M14606="PADD IV","PADD 4",IF($M14606="PADD V","PADD 5","")))))</f>
        <v/>
      </c>
      <c r="G14606" s="6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  <c r="N14606" s="6">
        <f>IF(OR($G14606="FCC",$G14606="Hydrocracker",$G14606="Reformer"),IF(COUNTIFS($D:$D,$D14606,$A:$A,$A14606,$B:$B,$B14606,$G:$G,"CDU",$J:$J,"PLANNED")&gt;0,"tied","standalone"),"")</f>
        <v/>
      </c>
    </row>
    <row r="14607" spans="6:14">
      <c r="F14607" s="6">
        <f>IF($M14607="PADD I","PADD 1",IF($M14607="PADD II","PADD 2",IF($M14607="PADD III","PADD 3",IF($M14607="PADD IV","PADD 4",IF($M14607="PADD V","PADD 5","")))))</f>
        <v/>
      </c>
      <c r="G14607" s="6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  <c r="N14607" s="6">
        <f>IF(OR($G14607="FCC",$G14607="Hydrocracker",$G14607="Reformer"),IF(COUNTIFS($D:$D,$D14607,$A:$A,$A14607,$B:$B,$B14607,$G:$G,"CDU",$J:$J,"PLANNED")&gt;0,"tied","standalone"),"")</f>
        <v/>
      </c>
    </row>
    <row r="14608" spans="6:14">
      <c r="F14608" s="6">
        <f>IF($M14608="PADD I","PADD 1",IF($M14608="PADD II","PADD 2",IF($M14608="PADD III","PADD 3",IF($M14608="PADD IV","PADD 4",IF($M14608="PADD V","PADD 5","")))))</f>
        <v/>
      </c>
      <c r="G14608" s="6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  <c r="N14608" s="6">
        <f>IF(OR($G14608="FCC",$G14608="Hydrocracker",$G14608="Reformer"),IF(COUNTIFS($D:$D,$D14608,$A:$A,$A14608,$B:$B,$B14608,$G:$G,"CDU",$J:$J,"PLANNED")&gt;0,"tied","standalone"),"")</f>
        <v/>
      </c>
    </row>
    <row r="14609" spans="6:14">
      <c r="F14609" s="6">
        <f>IF($M14609="PADD I","PADD 1",IF($M14609="PADD II","PADD 2",IF($M14609="PADD III","PADD 3",IF($M14609="PADD IV","PADD 4",IF($M14609="PADD V","PADD 5","")))))</f>
        <v/>
      </c>
      <c r="G14609" s="6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  <c r="N14609" s="6">
        <f>IF(OR($G14609="FCC",$G14609="Hydrocracker",$G14609="Reformer"),IF(COUNTIFS($D:$D,$D14609,$A:$A,$A14609,$B:$B,$B14609,$G:$G,"CDU",$J:$J,"PLANNED")&gt;0,"tied","standalone"),"")</f>
        <v/>
      </c>
    </row>
    <row r="14610" spans="6:14">
      <c r="F14610" s="6">
        <f>IF($M14610="PADD I","PADD 1",IF($M14610="PADD II","PADD 2",IF($M14610="PADD III","PADD 3",IF($M14610="PADD IV","PADD 4",IF($M14610="PADD V","PADD 5","")))))</f>
        <v/>
      </c>
      <c r="G14610" s="6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  <c r="N14610" s="6">
        <f>IF(OR($G14610="FCC",$G14610="Hydrocracker",$G14610="Reformer"),IF(COUNTIFS($D:$D,$D14610,$A:$A,$A14610,$B:$B,$B14610,$G:$G,"CDU",$J:$J,"PLANNED")&gt;0,"tied","standalone"),"")</f>
        <v/>
      </c>
    </row>
    <row r="14611" spans="6:14">
      <c r="F14611" s="6">
        <f>IF($M14611="PADD I","PADD 1",IF($M14611="PADD II","PADD 2",IF($M14611="PADD III","PADD 3",IF($M14611="PADD IV","PADD 4",IF($M14611="PADD V","PADD 5","")))))</f>
        <v/>
      </c>
      <c r="G14611" s="6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  <c r="N14611" s="6">
        <f>IF(OR($G14611="FCC",$G14611="Hydrocracker",$G14611="Reformer"),IF(COUNTIFS($D:$D,$D14611,$A:$A,$A14611,$B:$B,$B14611,$G:$G,"CDU",$J:$J,"PLANNED")&gt;0,"tied","standalone"),"")</f>
        <v/>
      </c>
    </row>
    <row r="14612" spans="6:14">
      <c r="F14612" s="6">
        <f>IF($M14612="PADD I","PADD 1",IF($M14612="PADD II","PADD 2",IF($M14612="PADD III","PADD 3",IF($M14612="PADD IV","PADD 4",IF($M14612="PADD V","PADD 5","")))))</f>
        <v/>
      </c>
      <c r="G14612" s="6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  <c r="N14612" s="6">
        <f>IF(OR($G14612="FCC",$G14612="Hydrocracker",$G14612="Reformer"),IF(COUNTIFS($D:$D,$D14612,$A:$A,$A14612,$B:$B,$B14612,$G:$G,"CDU",$J:$J,"PLANNED")&gt;0,"tied","standalone"),"")</f>
        <v/>
      </c>
    </row>
    <row r="14613" spans="6:14">
      <c r="F14613" s="6">
        <f>IF($M14613="PADD I","PADD 1",IF($M14613="PADD II","PADD 2",IF($M14613="PADD III","PADD 3",IF($M14613="PADD IV","PADD 4",IF($M14613="PADD V","PADD 5","")))))</f>
        <v/>
      </c>
      <c r="G14613" s="6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  <c r="N14613" s="6">
        <f>IF(OR($G14613="FCC",$G14613="Hydrocracker",$G14613="Reformer"),IF(COUNTIFS($D:$D,$D14613,$A:$A,$A14613,$B:$B,$B14613,$G:$G,"CDU",$J:$J,"PLANNED")&gt;0,"tied","standalone"),"")</f>
        <v/>
      </c>
    </row>
    <row r="14614" spans="6:14">
      <c r="F14614" s="6">
        <f>IF($M14614="PADD I","PADD 1",IF($M14614="PADD II","PADD 2",IF($M14614="PADD III","PADD 3",IF($M14614="PADD IV","PADD 4",IF($M14614="PADD V","PADD 5","")))))</f>
        <v/>
      </c>
      <c r="G14614" s="6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  <c r="N14614" s="6">
        <f>IF(OR($G14614="FCC",$G14614="Hydrocracker",$G14614="Reformer"),IF(COUNTIFS($D:$D,$D14614,$A:$A,$A14614,$B:$B,$B14614,$G:$G,"CDU",$J:$J,"PLANNED")&gt;0,"tied","standalone"),"")</f>
        <v/>
      </c>
    </row>
    <row r="14615" spans="6:14">
      <c r="F14615" s="6">
        <f>IF($M14615="PADD I","PADD 1",IF($M14615="PADD II","PADD 2",IF($M14615="PADD III","PADD 3",IF($M14615="PADD IV","PADD 4",IF($M14615="PADD V","PADD 5","")))))</f>
        <v/>
      </c>
      <c r="G14615" s="6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  <c r="N14615" s="6">
        <f>IF(OR($G14615="FCC",$G14615="Hydrocracker",$G14615="Reformer"),IF(COUNTIFS($D:$D,$D14615,$A:$A,$A14615,$B:$B,$B14615,$G:$G,"CDU",$J:$J,"PLANNED")&gt;0,"tied","standalone"),"")</f>
        <v/>
      </c>
    </row>
    <row r="14616" spans="6:14">
      <c r="F14616" s="6">
        <f>IF($M14616="PADD I","PADD 1",IF($M14616="PADD II","PADD 2",IF($M14616="PADD III","PADD 3",IF($M14616="PADD IV","PADD 4",IF($M14616="PADD V","PADD 5","")))))</f>
        <v/>
      </c>
      <c r="G14616" s="6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  <c r="N14616" s="6">
        <f>IF(OR($G14616="FCC",$G14616="Hydrocracker",$G14616="Reformer"),IF(COUNTIFS($D:$D,$D14616,$A:$A,$A14616,$B:$B,$B14616,$G:$G,"CDU",$J:$J,"PLANNED")&gt;0,"tied","standalone"),"")</f>
        <v/>
      </c>
    </row>
    <row r="14617" spans="6:14">
      <c r="F14617" s="6">
        <f>IF($M14617="PADD I","PADD 1",IF($M14617="PADD II","PADD 2",IF($M14617="PADD III","PADD 3",IF($M14617="PADD IV","PADD 4",IF($M14617="PADD V","PADD 5","")))))</f>
        <v/>
      </c>
      <c r="G14617" s="6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  <c r="N14617" s="6">
        <f>IF(OR($G14617="FCC",$G14617="Hydrocracker",$G14617="Reformer"),IF(COUNTIFS($D:$D,$D14617,$A:$A,$A14617,$B:$B,$B14617,$G:$G,"CDU",$J:$J,"PLANNED")&gt;0,"tied","standalone"),"")</f>
        <v/>
      </c>
    </row>
    <row r="14618" spans="6:14">
      <c r="F14618" s="6">
        <f>IF($M14618="PADD I","PADD 1",IF($M14618="PADD II","PADD 2",IF($M14618="PADD III","PADD 3",IF($M14618="PADD IV","PADD 4",IF($M14618="PADD V","PADD 5","")))))</f>
        <v/>
      </c>
      <c r="G14618" s="6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  <c r="N14618" s="6">
        <f>IF(OR($G14618="FCC",$G14618="Hydrocracker",$G14618="Reformer"),IF(COUNTIFS($D:$D,$D14618,$A:$A,$A14618,$B:$B,$B14618,$G:$G,"CDU",$J:$J,"PLANNED")&gt;0,"tied","standalone"),"")</f>
        <v/>
      </c>
    </row>
    <row r="14619" spans="6:14">
      <c r="F14619" s="6">
        <f>IF($M14619="PADD I","PADD 1",IF($M14619="PADD II","PADD 2",IF($M14619="PADD III","PADD 3",IF($M14619="PADD IV","PADD 4",IF($M14619="PADD V","PADD 5","")))))</f>
        <v/>
      </c>
      <c r="G14619" s="6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  <c r="N14619" s="6">
        <f>IF(OR($G14619="FCC",$G14619="Hydrocracker",$G14619="Reformer"),IF(COUNTIFS($D:$D,$D14619,$A:$A,$A14619,$B:$B,$B14619,$G:$G,"CDU",$J:$J,"PLANNED")&gt;0,"tied","standalone"),"")</f>
        <v/>
      </c>
    </row>
    <row r="14620" spans="6:14">
      <c r="F14620" s="6">
        <f>IF($M14620="PADD I","PADD 1",IF($M14620="PADD II","PADD 2",IF($M14620="PADD III","PADD 3",IF($M14620="PADD IV","PADD 4",IF($M14620="PADD V","PADD 5","")))))</f>
        <v/>
      </c>
      <c r="G14620" s="6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  <c r="N14620" s="6">
        <f>IF(OR($G14620="FCC",$G14620="Hydrocracker",$G14620="Reformer"),IF(COUNTIFS($D:$D,$D14620,$A:$A,$A14620,$B:$B,$B14620,$G:$G,"CDU",$J:$J,"PLANNED")&gt;0,"tied","standalone"),"")</f>
        <v/>
      </c>
    </row>
    <row r="14621" spans="6:14">
      <c r="F14621" s="6">
        <f>IF($M14621="PADD I","PADD 1",IF($M14621="PADD II","PADD 2",IF($M14621="PADD III","PADD 3",IF($M14621="PADD IV","PADD 4",IF($M14621="PADD V","PADD 5","")))))</f>
        <v/>
      </c>
      <c r="G14621" s="6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  <c r="N14621" s="6">
        <f>IF(OR($G14621="FCC",$G14621="Hydrocracker",$G14621="Reformer"),IF(COUNTIFS($D:$D,$D14621,$A:$A,$A14621,$B:$B,$B14621,$G:$G,"CDU",$J:$J,"PLANNED")&gt;0,"tied","standalone"),"")</f>
        <v/>
      </c>
    </row>
    <row r="14622" spans="6:14">
      <c r="F14622" s="6">
        <f>IF($M14622="PADD I","PADD 1",IF($M14622="PADD II","PADD 2",IF($M14622="PADD III","PADD 3",IF($M14622="PADD IV","PADD 4",IF($M14622="PADD V","PADD 5","")))))</f>
        <v/>
      </c>
      <c r="G14622" s="6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  <c r="N14622" s="6">
        <f>IF(OR($G14622="FCC",$G14622="Hydrocracker",$G14622="Reformer"),IF(COUNTIFS($D:$D,$D14622,$A:$A,$A14622,$B:$B,$B14622,$G:$G,"CDU",$J:$J,"PLANNED")&gt;0,"tied","standalone"),"")</f>
        <v/>
      </c>
    </row>
    <row r="14623" spans="6:14">
      <c r="F14623" s="6">
        <f>IF($M14623="PADD I","PADD 1",IF($M14623="PADD II","PADD 2",IF($M14623="PADD III","PADD 3",IF($M14623="PADD IV","PADD 4",IF($M14623="PADD V","PADD 5","")))))</f>
        <v/>
      </c>
      <c r="G14623" s="6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  <c r="N14623" s="6">
        <f>IF(OR($G14623="FCC",$G14623="Hydrocracker",$G14623="Reformer"),IF(COUNTIFS($D:$D,$D14623,$A:$A,$A14623,$B:$B,$B14623,$G:$G,"CDU",$J:$J,"PLANNED")&gt;0,"tied","standalone"),"")</f>
        <v/>
      </c>
    </row>
    <row r="14624" spans="6:14">
      <c r="F14624" s="6">
        <f>IF($M14624="PADD I","PADD 1",IF($M14624="PADD II","PADD 2",IF($M14624="PADD III","PADD 3",IF($M14624="PADD IV","PADD 4",IF($M14624="PADD V","PADD 5","")))))</f>
        <v/>
      </c>
      <c r="G14624" s="6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  <c r="N14624" s="6">
        <f>IF(OR($G14624="FCC",$G14624="Hydrocracker",$G14624="Reformer"),IF(COUNTIFS($D:$D,$D14624,$A:$A,$A14624,$B:$B,$B14624,$G:$G,"CDU",$J:$J,"PLANNED")&gt;0,"tied","standalone"),"")</f>
        <v/>
      </c>
    </row>
    <row r="14625" spans="6:14">
      <c r="F14625" s="6">
        <f>IF($M14625="PADD I","PADD 1",IF($M14625="PADD II","PADD 2",IF($M14625="PADD III","PADD 3",IF($M14625="PADD IV","PADD 4",IF($M14625="PADD V","PADD 5","")))))</f>
        <v/>
      </c>
      <c r="G14625" s="6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  <c r="N14625" s="6">
        <f>IF(OR($G14625="FCC",$G14625="Hydrocracker",$G14625="Reformer"),IF(COUNTIFS($D:$D,$D14625,$A:$A,$A14625,$B:$B,$B14625,$G:$G,"CDU",$J:$J,"PLANNED")&gt;0,"tied","standalone"),"")</f>
        <v/>
      </c>
    </row>
    <row r="14626" spans="6:14">
      <c r="F14626" s="6">
        <f>IF($M14626="PADD I","PADD 1",IF($M14626="PADD II","PADD 2",IF($M14626="PADD III","PADD 3",IF($M14626="PADD IV","PADD 4",IF($M14626="PADD V","PADD 5","")))))</f>
        <v/>
      </c>
      <c r="G14626" s="6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  <c r="N14626" s="6">
        <f>IF(OR($G14626="FCC",$G14626="Hydrocracker",$G14626="Reformer"),IF(COUNTIFS($D:$D,$D14626,$A:$A,$A14626,$B:$B,$B14626,$G:$G,"CDU",$J:$J,"PLANNED")&gt;0,"tied","standalone"),"")</f>
        <v/>
      </c>
    </row>
    <row r="14627" spans="6:14">
      <c r="F14627" s="6">
        <f>IF($M14627="PADD I","PADD 1",IF($M14627="PADD II","PADD 2",IF($M14627="PADD III","PADD 3",IF($M14627="PADD IV","PADD 4",IF($M14627="PADD V","PADD 5","")))))</f>
        <v/>
      </c>
      <c r="G14627" s="6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  <c r="N14627" s="6">
        <f>IF(OR($G14627="FCC",$G14627="Hydrocracker",$G14627="Reformer"),IF(COUNTIFS($D:$D,$D14627,$A:$A,$A14627,$B:$B,$B14627,$G:$G,"CDU",$J:$J,"PLANNED")&gt;0,"tied","standalone"),"")</f>
        <v/>
      </c>
    </row>
    <row r="14628" spans="6:14">
      <c r="F14628" s="6">
        <f>IF($M14628="PADD I","PADD 1",IF($M14628="PADD II","PADD 2",IF($M14628="PADD III","PADD 3",IF($M14628="PADD IV","PADD 4",IF($M14628="PADD V","PADD 5","")))))</f>
        <v/>
      </c>
      <c r="G14628" s="6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  <c r="N14628" s="6">
        <f>IF(OR($G14628="FCC",$G14628="Hydrocracker",$G14628="Reformer"),IF(COUNTIFS($D:$D,$D14628,$A:$A,$A14628,$B:$B,$B14628,$G:$G,"CDU",$J:$J,"PLANNED")&gt;0,"tied","standalone"),"")</f>
        <v/>
      </c>
    </row>
    <row r="14629" spans="6:14">
      <c r="F14629" s="6">
        <f>IF($M14629="PADD I","PADD 1",IF($M14629="PADD II","PADD 2",IF($M14629="PADD III","PADD 3",IF($M14629="PADD IV","PADD 4",IF($M14629="PADD V","PADD 5","")))))</f>
        <v/>
      </c>
      <c r="G14629" s="6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  <c r="N14629" s="6">
        <f>IF(OR($G14629="FCC",$G14629="Hydrocracker",$G14629="Reformer"),IF(COUNTIFS($D:$D,$D14629,$A:$A,$A14629,$B:$B,$B14629,$G:$G,"CDU",$J:$J,"PLANNED")&gt;0,"tied","standalone"),"")</f>
        <v/>
      </c>
    </row>
    <row r="14630" spans="6:14">
      <c r="F14630" s="6">
        <f>IF($M14630="PADD I","PADD 1",IF($M14630="PADD II","PADD 2",IF($M14630="PADD III","PADD 3",IF($M14630="PADD IV","PADD 4",IF($M14630="PADD V","PADD 5","")))))</f>
        <v/>
      </c>
      <c r="G14630" s="6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  <c r="N14630" s="6">
        <f>IF(OR($G14630="FCC",$G14630="Hydrocracker",$G14630="Reformer"),IF(COUNTIFS($D:$D,$D14630,$A:$A,$A14630,$B:$B,$B14630,$G:$G,"CDU",$J:$J,"PLANNED")&gt;0,"tied","standalone"),"")</f>
        <v/>
      </c>
    </row>
    <row r="14631" spans="6:14">
      <c r="F14631" s="6">
        <f>IF($M14631="PADD I","PADD 1",IF($M14631="PADD II","PADD 2",IF($M14631="PADD III","PADD 3",IF($M14631="PADD IV","PADD 4",IF($M14631="PADD V","PADD 5","")))))</f>
        <v/>
      </c>
      <c r="G14631" s="6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  <c r="N14631" s="6">
        <f>IF(OR($G14631="FCC",$G14631="Hydrocracker",$G14631="Reformer"),IF(COUNTIFS($D:$D,$D14631,$A:$A,$A14631,$B:$B,$B14631,$G:$G,"CDU",$J:$J,"PLANNED")&gt;0,"tied","standalone"),"")</f>
        <v/>
      </c>
    </row>
    <row r="14632" spans="6:14">
      <c r="F14632" s="6">
        <f>IF($M14632="PADD I","PADD 1",IF($M14632="PADD II","PADD 2",IF($M14632="PADD III","PADD 3",IF($M14632="PADD IV","PADD 4",IF($M14632="PADD V","PADD 5","")))))</f>
        <v/>
      </c>
      <c r="G14632" s="6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  <c r="N14632" s="6">
        <f>IF(OR($G14632="FCC",$G14632="Hydrocracker",$G14632="Reformer"),IF(COUNTIFS($D:$D,$D14632,$A:$A,$A14632,$B:$B,$B14632,$G:$G,"CDU",$J:$J,"PLANNED")&gt;0,"tied","standalone"),"")</f>
        <v/>
      </c>
    </row>
    <row r="14633" spans="6:14">
      <c r="F14633" s="6">
        <f>IF($M14633="PADD I","PADD 1",IF($M14633="PADD II","PADD 2",IF($M14633="PADD III","PADD 3",IF($M14633="PADD IV","PADD 4",IF($M14633="PADD V","PADD 5","")))))</f>
        <v/>
      </c>
      <c r="G14633" s="6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  <c r="N14633" s="6">
        <f>IF(OR($G14633="FCC",$G14633="Hydrocracker",$G14633="Reformer"),IF(COUNTIFS($D:$D,$D14633,$A:$A,$A14633,$B:$B,$B14633,$G:$G,"CDU",$J:$J,"PLANNED")&gt;0,"tied","standalone"),"")</f>
        <v/>
      </c>
    </row>
    <row r="14634" spans="6:14">
      <c r="F14634" s="6">
        <f>IF($M14634="PADD I","PADD 1",IF($M14634="PADD II","PADD 2",IF($M14634="PADD III","PADD 3",IF($M14634="PADD IV","PADD 4",IF($M14634="PADD V","PADD 5","")))))</f>
        <v/>
      </c>
      <c r="G14634" s="6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  <c r="N14634" s="6">
        <f>IF(OR($G14634="FCC",$G14634="Hydrocracker",$G14634="Reformer"),IF(COUNTIFS($D:$D,$D14634,$A:$A,$A14634,$B:$B,$B14634,$G:$G,"CDU",$J:$J,"PLANNED")&gt;0,"tied","standalone"),"")</f>
        <v/>
      </c>
    </row>
    <row r="14635" spans="6:14">
      <c r="F14635" s="6">
        <f>IF($M14635="PADD I","PADD 1",IF($M14635="PADD II","PADD 2",IF($M14635="PADD III","PADD 3",IF($M14635="PADD IV","PADD 4",IF($M14635="PADD V","PADD 5","")))))</f>
        <v/>
      </c>
      <c r="G14635" s="6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  <c r="N14635" s="6">
        <f>IF(OR($G14635="FCC",$G14635="Hydrocracker",$G14635="Reformer"),IF(COUNTIFS($D:$D,$D14635,$A:$A,$A14635,$B:$B,$B14635,$G:$G,"CDU",$J:$J,"PLANNED")&gt;0,"tied","standalone"),"")</f>
        <v/>
      </c>
    </row>
    <row r="14636" spans="6:14">
      <c r="F14636" s="6">
        <f>IF($M14636="PADD I","PADD 1",IF($M14636="PADD II","PADD 2",IF($M14636="PADD III","PADD 3",IF($M14636="PADD IV","PADD 4",IF($M14636="PADD V","PADD 5","")))))</f>
        <v/>
      </c>
      <c r="G14636" s="6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  <c r="N14636" s="6">
        <f>IF(OR($G14636="FCC",$G14636="Hydrocracker",$G14636="Reformer"),IF(COUNTIFS($D:$D,$D14636,$A:$A,$A14636,$B:$B,$B14636,$G:$G,"CDU",$J:$J,"PLANNED")&gt;0,"tied","standalone"),"")</f>
        <v/>
      </c>
    </row>
    <row r="14637" spans="6:14">
      <c r="F14637" s="6">
        <f>IF($M14637="PADD I","PADD 1",IF($M14637="PADD II","PADD 2",IF($M14637="PADD III","PADD 3",IF($M14637="PADD IV","PADD 4",IF($M14637="PADD V","PADD 5","")))))</f>
        <v/>
      </c>
      <c r="G14637" s="6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  <c r="N14637" s="6">
        <f>IF(OR($G14637="FCC",$G14637="Hydrocracker",$G14637="Reformer"),IF(COUNTIFS($D:$D,$D14637,$A:$A,$A14637,$B:$B,$B14637,$G:$G,"CDU",$J:$J,"PLANNED")&gt;0,"tied","standalone"),"")</f>
        <v/>
      </c>
    </row>
    <row r="14638" spans="6:14">
      <c r="F14638" s="6">
        <f>IF($M14638="PADD I","PADD 1",IF($M14638="PADD II","PADD 2",IF($M14638="PADD III","PADD 3",IF($M14638="PADD IV","PADD 4",IF($M14638="PADD V","PADD 5","")))))</f>
        <v/>
      </c>
      <c r="G14638" s="6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  <c r="N14638" s="6">
        <f>IF(OR($G14638="FCC",$G14638="Hydrocracker",$G14638="Reformer"),IF(COUNTIFS($D:$D,$D14638,$A:$A,$A14638,$B:$B,$B14638,$G:$G,"CDU",$J:$J,"PLANNED")&gt;0,"tied","standalone"),"")</f>
        <v/>
      </c>
    </row>
    <row r="14639" spans="6:14">
      <c r="F14639" s="6">
        <f>IF($M14639="PADD I","PADD 1",IF($M14639="PADD II","PADD 2",IF($M14639="PADD III","PADD 3",IF($M14639="PADD IV","PADD 4",IF($M14639="PADD V","PADD 5","")))))</f>
        <v/>
      </c>
      <c r="G14639" s="6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  <c r="N14639" s="6">
        <f>IF(OR($G14639="FCC",$G14639="Hydrocracker",$G14639="Reformer"),IF(COUNTIFS($D:$D,$D14639,$A:$A,$A14639,$B:$B,$B14639,$G:$G,"CDU",$J:$J,"PLANNED")&gt;0,"tied","standalone"),"")</f>
        <v/>
      </c>
    </row>
    <row r="14640" spans="6:14">
      <c r="F14640" s="6">
        <f>IF($M14640="PADD I","PADD 1",IF($M14640="PADD II","PADD 2",IF($M14640="PADD III","PADD 3",IF($M14640="PADD IV","PADD 4",IF($M14640="PADD V","PADD 5","")))))</f>
        <v/>
      </c>
      <c r="G14640" s="6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  <c r="N14640" s="6">
        <f>IF(OR($G14640="FCC",$G14640="Hydrocracker",$G14640="Reformer"),IF(COUNTIFS($D:$D,$D14640,$A:$A,$A14640,$B:$B,$B14640,$G:$G,"CDU",$J:$J,"PLANNED")&gt;0,"tied","standalone"),"")</f>
        <v/>
      </c>
    </row>
    <row r="14641" spans="6:14">
      <c r="F14641" s="6">
        <f>IF($M14641="PADD I","PADD 1",IF($M14641="PADD II","PADD 2",IF($M14641="PADD III","PADD 3",IF($M14641="PADD IV","PADD 4",IF($M14641="PADD V","PADD 5","")))))</f>
        <v/>
      </c>
      <c r="G14641" s="6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  <c r="N14641" s="6">
        <f>IF(OR($G14641="FCC",$G14641="Hydrocracker",$G14641="Reformer"),IF(COUNTIFS($D:$D,$D14641,$A:$A,$A14641,$B:$B,$B14641,$G:$G,"CDU",$J:$J,"PLANNED")&gt;0,"tied","standalone"),"")</f>
        <v/>
      </c>
    </row>
    <row r="14642" spans="6:14">
      <c r="F14642" s="6">
        <f>IF($M14642="PADD I","PADD 1",IF($M14642="PADD II","PADD 2",IF($M14642="PADD III","PADD 3",IF($M14642="PADD IV","PADD 4",IF($M14642="PADD V","PADD 5","")))))</f>
        <v/>
      </c>
      <c r="G14642" s="6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  <c r="N14642" s="6">
        <f>IF(OR($G14642="FCC",$G14642="Hydrocracker",$G14642="Reformer"),IF(COUNTIFS($D:$D,$D14642,$A:$A,$A14642,$B:$B,$B14642,$G:$G,"CDU",$J:$J,"PLANNED")&gt;0,"tied","standalone"),"")</f>
        <v/>
      </c>
    </row>
    <row r="14643" spans="6:14">
      <c r="F14643" s="6">
        <f>IF($M14643="PADD I","PADD 1",IF($M14643="PADD II","PADD 2",IF($M14643="PADD III","PADD 3",IF($M14643="PADD IV","PADD 4",IF($M14643="PADD V","PADD 5","")))))</f>
        <v/>
      </c>
      <c r="G14643" s="6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  <c r="N14643" s="6">
        <f>IF(OR($G14643="FCC",$G14643="Hydrocracker",$G14643="Reformer"),IF(COUNTIFS($D:$D,$D14643,$A:$A,$A14643,$B:$B,$B14643,$G:$G,"CDU",$J:$J,"PLANNED")&gt;0,"tied","standalone"),"")</f>
        <v/>
      </c>
    </row>
    <row r="14644" spans="6:14">
      <c r="F14644" s="6">
        <f>IF($M14644="PADD I","PADD 1",IF($M14644="PADD II","PADD 2",IF($M14644="PADD III","PADD 3",IF($M14644="PADD IV","PADD 4",IF($M14644="PADD V","PADD 5","")))))</f>
        <v/>
      </c>
      <c r="G14644" s="6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  <c r="N14644" s="6">
        <f>IF(OR($G14644="FCC",$G14644="Hydrocracker",$G14644="Reformer"),IF(COUNTIFS($D:$D,$D14644,$A:$A,$A14644,$B:$B,$B14644,$G:$G,"CDU",$J:$J,"PLANNED")&gt;0,"tied","standalone"),"")</f>
        <v/>
      </c>
    </row>
    <row r="14645" spans="6:14">
      <c r="F14645" s="6">
        <f>IF($M14645="PADD I","PADD 1",IF($M14645="PADD II","PADD 2",IF($M14645="PADD III","PADD 3",IF($M14645="PADD IV","PADD 4",IF($M14645="PADD V","PADD 5","")))))</f>
        <v/>
      </c>
      <c r="G14645" s="6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  <c r="N14645" s="6">
        <f>IF(OR($G14645="FCC",$G14645="Hydrocracker",$G14645="Reformer"),IF(COUNTIFS($D:$D,$D14645,$A:$A,$A14645,$B:$B,$B14645,$G:$G,"CDU",$J:$J,"PLANNED")&gt;0,"tied","standalone"),"")</f>
        <v/>
      </c>
    </row>
    <row r="14646" spans="6:14">
      <c r="F14646" s="6">
        <f>IF($M14646="PADD I","PADD 1",IF($M14646="PADD II","PADD 2",IF($M14646="PADD III","PADD 3",IF($M14646="PADD IV","PADD 4",IF($M14646="PADD V","PADD 5","")))))</f>
        <v/>
      </c>
      <c r="G14646" s="6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  <c r="N14646" s="6">
        <f>IF(OR($G14646="FCC",$G14646="Hydrocracker",$G14646="Reformer"),IF(COUNTIFS($D:$D,$D14646,$A:$A,$A14646,$B:$B,$B14646,$G:$G,"CDU",$J:$J,"PLANNED")&gt;0,"tied","standalone"),"")</f>
        <v/>
      </c>
    </row>
    <row r="14647" spans="6:14">
      <c r="F14647" s="6">
        <f>IF($M14647="PADD I","PADD 1",IF($M14647="PADD II","PADD 2",IF($M14647="PADD III","PADD 3",IF($M14647="PADD IV","PADD 4",IF($M14647="PADD V","PADD 5","")))))</f>
        <v/>
      </c>
      <c r="G14647" s="6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  <c r="N14647" s="6">
        <f>IF(OR($G14647="FCC",$G14647="Hydrocracker",$G14647="Reformer"),IF(COUNTIFS($D:$D,$D14647,$A:$A,$A14647,$B:$B,$B14647,$G:$G,"CDU",$J:$J,"PLANNED")&gt;0,"tied","standalone"),"")</f>
        <v/>
      </c>
    </row>
    <row r="14648" spans="6:14">
      <c r="F14648" s="6">
        <f>IF($M14648="PADD I","PADD 1",IF($M14648="PADD II","PADD 2",IF($M14648="PADD III","PADD 3",IF($M14648="PADD IV","PADD 4",IF($M14648="PADD V","PADD 5","")))))</f>
        <v/>
      </c>
      <c r="G14648" s="6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  <c r="N14648" s="6">
        <f>IF(OR($G14648="FCC",$G14648="Hydrocracker",$G14648="Reformer"),IF(COUNTIFS($D:$D,$D14648,$A:$A,$A14648,$B:$B,$B14648,$G:$G,"CDU",$J:$J,"PLANNED")&gt;0,"tied","standalone"),"")</f>
        <v/>
      </c>
    </row>
    <row r="14649" spans="6:14">
      <c r="F14649" s="6">
        <f>IF($M14649="PADD I","PADD 1",IF($M14649="PADD II","PADD 2",IF($M14649="PADD III","PADD 3",IF($M14649="PADD IV","PADD 4",IF($M14649="PADD V","PADD 5","")))))</f>
        <v/>
      </c>
      <c r="G14649" s="6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  <c r="N14649" s="6">
        <f>IF(OR($G14649="FCC",$G14649="Hydrocracker",$G14649="Reformer"),IF(COUNTIFS($D:$D,$D14649,$A:$A,$A14649,$B:$B,$B14649,$G:$G,"CDU",$J:$J,"PLANNED")&gt;0,"tied","standalone"),"")</f>
        <v/>
      </c>
    </row>
    <row r="14650" spans="6:14">
      <c r="F14650" s="6">
        <f>IF($M14650="PADD I","PADD 1",IF($M14650="PADD II","PADD 2",IF($M14650="PADD III","PADD 3",IF($M14650="PADD IV","PADD 4",IF($M14650="PADD V","PADD 5","")))))</f>
        <v/>
      </c>
      <c r="G14650" s="6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  <c r="N14650" s="6">
        <f>IF(OR($G14650="FCC",$G14650="Hydrocracker",$G14650="Reformer"),IF(COUNTIFS($D:$D,$D14650,$A:$A,$A14650,$B:$B,$B14650,$G:$G,"CDU",$J:$J,"PLANNED")&gt;0,"tied","standalone"),"")</f>
        <v/>
      </c>
    </row>
    <row r="14651" spans="6:14">
      <c r="F14651" s="6">
        <f>IF($M14651="PADD I","PADD 1",IF($M14651="PADD II","PADD 2",IF($M14651="PADD III","PADD 3",IF($M14651="PADD IV","PADD 4",IF($M14651="PADD V","PADD 5","")))))</f>
        <v/>
      </c>
      <c r="G14651" s="6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  <c r="N14651" s="6">
        <f>IF(OR($G14651="FCC",$G14651="Hydrocracker",$G14651="Reformer"),IF(COUNTIFS($D:$D,$D14651,$A:$A,$A14651,$B:$B,$B14651,$G:$G,"CDU",$J:$J,"PLANNED")&gt;0,"tied","standalone"),"")</f>
        <v/>
      </c>
    </row>
    <row r="14652" spans="6:14">
      <c r="F14652" s="6">
        <f>IF($M14652="PADD I","PADD 1",IF($M14652="PADD II","PADD 2",IF($M14652="PADD III","PADD 3",IF($M14652="PADD IV","PADD 4",IF($M14652="PADD V","PADD 5","")))))</f>
        <v/>
      </c>
      <c r="G14652" s="6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  <c r="N14652" s="6">
        <f>IF(OR($G14652="FCC",$G14652="Hydrocracker",$G14652="Reformer"),IF(COUNTIFS($D:$D,$D14652,$A:$A,$A14652,$B:$B,$B14652,$G:$G,"CDU",$J:$J,"PLANNED")&gt;0,"tied","standalone"),"")</f>
        <v/>
      </c>
    </row>
    <row r="14653" spans="6:14">
      <c r="F14653" s="6">
        <f>IF($M14653="PADD I","PADD 1",IF($M14653="PADD II","PADD 2",IF($M14653="PADD III","PADD 3",IF($M14653="PADD IV","PADD 4",IF($M14653="PADD V","PADD 5","")))))</f>
        <v/>
      </c>
      <c r="G14653" s="6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  <c r="N14653" s="6">
        <f>IF(OR($G14653="FCC",$G14653="Hydrocracker",$G14653="Reformer"),IF(COUNTIFS($D:$D,$D14653,$A:$A,$A14653,$B:$B,$B14653,$G:$G,"CDU",$J:$J,"PLANNED")&gt;0,"tied","standalone"),"")</f>
        <v/>
      </c>
    </row>
    <row r="14654" spans="6:14">
      <c r="F14654" s="6">
        <f>IF($M14654="PADD I","PADD 1",IF($M14654="PADD II","PADD 2",IF($M14654="PADD III","PADD 3",IF($M14654="PADD IV","PADD 4",IF($M14654="PADD V","PADD 5","")))))</f>
        <v/>
      </c>
      <c r="G14654" s="6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  <c r="N14654" s="6">
        <f>IF(OR($G14654="FCC",$G14654="Hydrocracker",$G14654="Reformer"),IF(COUNTIFS($D:$D,$D14654,$A:$A,$A14654,$B:$B,$B14654,$G:$G,"CDU",$J:$J,"PLANNED")&gt;0,"tied","standalone"),"")</f>
        <v/>
      </c>
    </row>
    <row r="14655" spans="6:14">
      <c r="F14655" s="6">
        <f>IF($M14655="PADD I","PADD 1",IF($M14655="PADD II","PADD 2",IF($M14655="PADD III","PADD 3",IF($M14655="PADD IV","PADD 4",IF($M14655="PADD V","PADD 5","")))))</f>
        <v/>
      </c>
      <c r="G14655" s="6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  <c r="N14655" s="6">
        <f>IF(OR($G14655="FCC",$G14655="Hydrocracker",$G14655="Reformer"),IF(COUNTIFS($D:$D,$D14655,$A:$A,$A14655,$B:$B,$B14655,$G:$G,"CDU",$J:$J,"PLANNED")&gt;0,"tied","standalone"),"")</f>
        <v/>
      </c>
    </row>
    <row r="14656" spans="6:14">
      <c r="F14656" s="6">
        <f>IF($M14656="PADD I","PADD 1",IF($M14656="PADD II","PADD 2",IF($M14656="PADD III","PADD 3",IF($M14656="PADD IV","PADD 4",IF($M14656="PADD V","PADD 5","")))))</f>
        <v/>
      </c>
      <c r="G14656" s="6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  <c r="N14656" s="6">
        <f>IF(OR($G14656="FCC",$G14656="Hydrocracker",$G14656="Reformer"),IF(COUNTIFS($D:$D,$D14656,$A:$A,$A14656,$B:$B,$B14656,$G:$G,"CDU",$J:$J,"PLANNED")&gt;0,"tied","standalone"),"")</f>
        <v/>
      </c>
    </row>
    <row r="14657" spans="6:14">
      <c r="F14657" s="6">
        <f>IF($M14657="PADD I","PADD 1",IF($M14657="PADD II","PADD 2",IF($M14657="PADD III","PADD 3",IF($M14657="PADD IV","PADD 4",IF($M14657="PADD V","PADD 5","")))))</f>
        <v/>
      </c>
      <c r="G14657" s="6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  <c r="N14657" s="6">
        <f>IF(OR($G14657="FCC",$G14657="Hydrocracker",$G14657="Reformer"),IF(COUNTIFS($D:$D,$D14657,$A:$A,$A14657,$B:$B,$B14657,$G:$G,"CDU",$J:$J,"PLANNED")&gt;0,"tied","standalone"),"")</f>
        <v/>
      </c>
    </row>
    <row r="14658" spans="6:14">
      <c r="F14658" s="6">
        <f>IF($M14658="PADD I","PADD 1",IF($M14658="PADD II","PADD 2",IF($M14658="PADD III","PADD 3",IF($M14658="PADD IV","PADD 4",IF($M14658="PADD V","PADD 5","")))))</f>
        <v/>
      </c>
      <c r="G14658" s="6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  <c r="N14658" s="6">
        <f>IF(OR($G14658="FCC",$G14658="Hydrocracker",$G14658="Reformer"),IF(COUNTIFS($D:$D,$D14658,$A:$A,$A14658,$B:$B,$B14658,$G:$G,"CDU",$J:$J,"PLANNED")&gt;0,"tied","standalone"),"")</f>
        <v/>
      </c>
    </row>
    <row r="14659" spans="6:14">
      <c r="F14659" s="6">
        <f>IF($M14659="PADD I","PADD 1",IF($M14659="PADD II","PADD 2",IF($M14659="PADD III","PADD 3",IF($M14659="PADD IV","PADD 4",IF($M14659="PADD V","PADD 5","")))))</f>
        <v/>
      </c>
      <c r="G14659" s="6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  <c r="N14659" s="6">
        <f>IF(OR($G14659="FCC",$G14659="Hydrocracker",$G14659="Reformer"),IF(COUNTIFS($D:$D,$D14659,$A:$A,$A14659,$B:$B,$B14659,$G:$G,"CDU",$J:$J,"PLANNED")&gt;0,"tied","standalone"),"")</f>
        <v/>
      </c>
    </row>
    <row r="14660" spans="6:14">
      <c r="F14660" s="6">
        <f>IF($M14660="PADD I","PADD 1",IF($M14660="PADD II","PADD 2",IF($M14660="PADD III","PADD 3",IF($M14660="PADD IV","PADD 4",IF($M14660="PADD V","PADD 5","")))))</f>
        <v/>
      </c>
      <c r="G14660" s="6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  <c r="N14660" s="6">
        <f>IF(OR($G14660="FCC",$G14660="Hydrocracker",$G14660="Reformer"),IF(COUNTIFS($D:$D,$D14660,$A:$A,$A14660,$B:$B,$B14660,$G:$G,"CDU",$J:$J,"PLANNED")&gt;0,"tied","standalone"),"")</f>
        <v/>
      </c>
    </row>
    <row r="14661" spans="6:14">
      <c r="F14661" s="6">
        <f>IF($M14661="PADD I","PADD 1",IF($M14661="PADD II","PADD 2",IF($M14661="PADD III","PADD 3",IF($M14661="PADD IV","PADD 4",IF($M14661="PADD V","PADD 5","")))))</f>
        <v/>
      </c>
      <c r="G14661" s="6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  <c r="N14661" s="6">
        <f>IF(OR($G14661="FCC",$G14661="Hydrocracker",$G14661="Reformer"),IF(COUNTIFS($D:$D,$D14661,$A:$A,$A14661,$B:$B,$B14661,$G:$G,"CDU",$J:$J,"PLANNED")&gt;0,"tied","standalone"),"")</f>
        <v/>
      </c>
    </row>
    <row r="14662" spans="6:14">
      <c r="F14662" s="6">
        <f>IF($M14662="PADD I","PADD 1",IF($M14662="PADD II","PADD 2",IF($M14662="PADD III","PADD 3",IF($M14662="PADD IV","PADD 4",IF($M14662="PADD V","PADD 5","")))))</f>
        <v/>
      </c>
      <c r="G14662" s="6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  <c r="N14662" s="6">
        <f>IF(OR($G14662="FCC",$G14662="Hydrocracker",$G14662="Reformer"),IF(COUNTIFS($D:$D,$D14662,$A:$A,$A14662,$B:$B,$B14662,$G:$G,"CDU",$J:$J,"PLANNED")&gt;0,"tied","standalone"),"")</f>
        <v/>
      </c>
    </row>
    <row r="14663" spans="6:14">
      <c r="F14663" s="6">
        <f>IF($M14663="PADD I","PADD 1",IF($M14663="PADD II","PADD 2",IF($M14663="PADD III","PADD 3",IF($M14663="PADD IV","PADD 4",IF($M14663="PADD V","PADD 5","")))))</f>
        <v/>
      </c>
      <c r="G14663" s="6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  <c r="N14663" s="6">
        <f>IF(OR($G14663="FCC",$G14663="Hydrocracker",$G14663="Reformer"),IF(COUNTIFS($D:$D,$D14663,$A:$A,$A14663,$B:$B,$B14663,$G:$G,"CDU",$J:$J,"PLANNED")&gt;0,"tied","standalone"),"")</f>
        <v/>
      </c>
    </row>
    <row r="14664" spans="6:14">
      <c r="F14664" s="6">
        <f>IF($M14664="PADD I","PADD 1",IF($M14664="PADD II","PADD 2",IF($M14664="PADD III","PADD 3",IF($M14664="PADD IV","PADD 4",IF($M14664="PADD V","PADD 5","")))))</f>
        <v/>
      </c>
      <c r="G14664" s="6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  <c r="N14664" s="6">
        <f>IF(OR($G14664="FCC",$G14664="Hydrocracker",$G14664="Reformer"),IF(COUNTIFS($D:$D,$D14664,$A:$A,$A14664,$B:$B,$B14664,$G:$G,"CDU",$J:$J,"PLANNED")&gt;0,"tied","standalone"),"")</f>
        <v/>
      </c>
    </row>
    <row r="14665" spans="6:14">
      <c r="F14665" s="6">
        <f>IF($M14665="PADD I","PADD 1",IF($M14665="PADD II","PADD 2",IF($M14665="PADD III","PADD 3",IF($M14665="PADD IV","PADD 4",IF($M14665="PADD V","PADD 5","")))))</f>
        <v/>
      </c>
      <c r="G14665" s="6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  <c r="N14665" s="6">
        <f>IF(OR($G14665="FCC",$G14665="Hydrocracker",$G14665="Reformer"),IF(COUNTIFS($D:$D,$D14665,$A:$A,$A14665,$B:$B,$B14665,$G:$G,"CDU",$J:$J,"PLANNED")&gt;0,"tied","standalone"),"")</f>
        <v/>
      </c>
    </row>
    <row r="14666" spans="6:14">
      <c r="F14666" s="6">
        <f>IF($M14666="PADD I","PADD 1",IF($M14666="PADD II","PADD 2",IF($M14666="PADD III","PADD 3",IF($M14666="PADD IV","PADD 4",IF($M14666="PADD V","PADD 5","")))))</f>
        <v/>
      </c>
      <c r="G14666" s="6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  <c r="N14666" s="6">
        <f>IF(OR($G14666="FCC",$G14666="Hydrocracker",$G14666="Reformer"),IF(COUNTIFS($D:$D,$D14666,$A:$A,$A14666,$B:$B,$B14666,$G:$G,"CDU",$J:$J,"PLANNED")&gt;0,"tied","standalone"),"")</f>
        <v/>
      </c>
    </row>
    <row r="14667" spans="6:14">
      <c r="F14667" s="6">
        <f>IF($M14667="PADD I","PADD 1",IF($M14667="PADD II","PADD 2",IF($M14667="PADD III","PADD 3",IF($M14667="PADD IV","PADD 4",IF($M14667="PADD V","PADD 5","")))))</f>
        <v/>
      </c>
      <c r="G14667" s="6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  <c r="N14667" s="6">
        <f>IF(OR($G14667="FCC",$G14667="Hydrocracker",$G14667="Reformer"),IF(COUNTIFS($D:$D,$D14667,$A:$A,$A14667,$B:$B,$B14667,$G:$G,"CDU",$J:$J,"PLANNED")&gt;0,"tied","standalone"),"")</f>
        <v/>
      </c>
    </row>
    <row r="14668" spans="6:14">
      <c r="F14668" s="6">
        <f>IF($M14668="PADD I","PADD 1",IF($M14668="PADD II","PADD 2",IF($M14668="PADD III","PADD 3",IF($M14668="PADD IV","PADD 4",IF($M14668="PADD V","PADD 5","")))))</f>
        <v/>
      </c>
      <c r="G14668" s="6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  <c r="N14668" s="6">
        <f>IF(OR($G14668="FCC",$G14668="Hydrocracker",$G14668="Reformer"),IF(COUNTIFS($D:$D,$D14668,$A:$A,$A14668,$B:$B,$B14668,$G:$G,"CDU",$J:$J,"PLANNED")&gt;0,"tied","standalone"),"")</f>
        <v/>
      </c>
    </row>
    <row r="14669" spans="6:14">
      <c r="F14669" s="6">
        <f>IF($M14669="PADD I","PADD 1",IF($M14669="PADD II","PADD 2",IF($M14669="PADD III","PADD 3",IF($M14669="PADD IV","PADD 4",IF($M14669="PADD V","PADD 5","")))))</f>
        <v/>
      </c>
      <c r="G14669" s="6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  <c r="N14669" s="6">
        <f>IF(OR($G14669="FCC",$G14669="Hydrocracker",$G14669="Reformer"),IF(COUNTIFS($D:$D,$D14669,$A:$A,$A14669,$B:$B,$B14669,$G:$G,"CDU",$J:$J,"PLANNED")&gt;0,"tied","standalone"),"")</f>
        <v/>
      </c>
    </row>
    <row r="14670" spans="6:14">
      <c r="F14670" s="6">
        <f>IF($M14670="PADD I","PADD 1",IF($M14670="PADD II","PADD 2",IF($M14670="PADD III","PADD 3",IF($M14670="PADD IV","PADD 4",IF($M14670="PADD V","PADD 5","")))))</f>
        <v/>
      </c>
      <c r="G14670" s="6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  <c r="N14670" s="6">
        <f>IF(OR($G14670="FCC",$G14670="Hydrocracker",$G14670="Reformer"),IF(COUNTIFS($D:$D,$D14670,$A:$A,$A14670,$B:$B,$B14670,$G:$G,"CDU",$J:$J,"PLANNED")&gt;0,"tied","standalone"),"")</f>
        <v/>
      </c>
    </row>
    <row r="14671" spans="6:14">
      <c r="F14671" s="6">
        <f>IF($M14671="PADD I","PADD 1",IF($M14671="PADD II","PADD 2",IF($M14671="PADD III","PADD 3",IF($M14671="PADD IV","PADD 4",IF($M14671="PADD V","PADD 5","")))))</f>
        <v/>
      </c>
      <c r="G14671" s="6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  <c r="N14671" s="6">
        <f>IF(OR($G14671="FCC",$G14671="Hydrocracker",$G14671="Reformer"),IF(COUNTIFS($D:$D,$D14671,$A:$A,$A14671,$B:$B,$B14671,$G:$G,"CDU",$J:$J,"PLANNED")&gt;0,"tied","standalone"),"")</f>
        <v/>
      </c>
    </row>
    <row r="14672" spans="6:14">
      <c r="F14672" s="6">
        <f>IF($M14672="PADD I","PADD 1",IF($M14672="PADD II","PADD 2",IF($M14672="PADD III","PADD 3",IF($M14672="PADD IV","PADD 4",IF($M14672="PADD V","PADD 5","")))))</f>
        <v/>
      </c>
      <c r="G14672" s="6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  <c r="N14672" s="6">
        <f>IF(OR($G14672="FCC",$G14672="Hydrocracker",$G14672="Reformer"),IF(COUNTIFS($D:$D,$D14672,$A:$A,$A14672,$B:$B,$B14672,$G:$G,"CDU",$J:$J,"PLANNED")&gt;0,"tied","standalone"),"")</f>
        <v/>
      </c>
    </row>
    <row r="14673" spans="6:14">
      <c r="F14673" s="6">
        <f>IF($M14673="PADD I","PADD 1",IF($M14673="PADD II","PADD 2",IF($M14673="PADD III","PADD 3",IF($M14673="PADD IV","PADD 4",IF($M14673="PADD V","PADD 5","")))))</f>
        <v/>
      </c>
      <c r="G14673" s="6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  <c r="N14673" s="6">
        <f>IF(OR($G14673="FCC",$G14673="Hydrocracker",$G14673="Reformer"),IF(COUNTIFS($D:$D,$D14673,$A:$A,$A14673,$B:$B,$B14673,$G:$G,"CDU",$J:$J,"PLANNED")&gt;0,"tied","standalone"),"")</f>
        <v/>
      </c>
    </row>
    <row r="14674" spans="6:14">
      <c r="F14674" s="6">
        <f>IF($M14674="PADD I","PADD 1",IF($M14674="PADD II","PADD 2",IF($M14674="PADD III","PADD 3",IF($M14674="PADD IV","PADD 4",IF($M14674="PADD V","PADD 5","")))))</f>
        <v/>
      </c>
      <c r="G14674" s="6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  <c r="N14674" s="6">
        <f>IF(OR($G14674="FCC",$G14674="Hydrocracker",$G14674="Reformer"),IF(COUNTIFS($D:$D,$D14674,$A:$A,$A14674,$B:$B,$B14674,$G:$G,"CDU",$J:$J,"PLANNED")&gt;0,"tied","standalone"),"")</f>
        <v/>
      </c>
    </row>
    <row r="14675" spans="6:14">
      <c r="F14675" s="6">
        <f>IF($M14675="PADD I","PADD 1",IF($M14675="PADD II","PADD 2",IF($M14675="PADD III","PADD 3",IF($M14675="PADD IV","PADD 4",IF($M14675="PADD V","PADD 5","")))))</f>
        <v/>
      </c>
      <c r="G14675" s="6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  <c r="N14675" s="6">
        <f>IF(OR($G14675="FCC",$G14675="Hydrocracker",$G14675="Reformer"),IF(COUNTIFS($D:$D,$D14675,$A:$A,$A14675,$B:$B,$B14675,$G:$G,"CDU",$J:$J,"PLANNED")&gt;0,"tied","standalone"),"")</f>
        <v/>
      </c>
    </row>
    <row r="14676" spans="6:14">
      <c r="F14676" s="6">
        <f>IF($M14676="PADD I","PADD 1",IF($M14676="PADD II","PADD 2",IF($M14676="PADD III","PADD 3",IF($M14676="PADD IV","PADD 4",IF($M14676="PADD V","PADD 5","")))))</f>
        <v/>
      </c>
      <c r="G14676" s="6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  <c r="N14676" s="6">
        <f>IF(OR($G14676="FCC",$G14676="Hydrocracker",$G14676="Reformer"),IF(COUNTIFS($D:$D,$D14676,$A:$A,$A14676,$B:$B,$B14676,$G:$G,"CDU",$J:$J,"PLANNED")&gt;0,"tied","standalone"),"")</f>
        <v/>
      </c>
    </row>
    <row r="14677" spans="6:14">
      <c r="F14677" s="6">
        <f>IF($M14677="PADD I","PADD 1",IF($M14677="PADD II","PADD 2",IF($M14677="PADD III","PADD 3",IF($M14677="PADD IV","PADD 4",IF($M14677="PADD V","PADD 5","")))))</f>
        <v/>
      </c>
      <c r="G14677" s="6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  <c r="N14677" s="6">
        <f>IF(OR($G14677="FCC",$G14677="Hydrocracker",$G14677="Reformer"),IF(COUNTIFS($D:$D,$D14677,$A:$A,$A14677,$B:$B,$B14677,$G:$G,"CDU",$J:$J,"PLANNED")&gt;0,"tied","standalone"),"")</f>
        <v/>
      </c>
    </row>
    <row r="14678" spans="6:14">
      <c r="F14678" s="6">
        <f>IF($M14678="PADD I","PADD 1",IF($M14678="PADD II","PADD 2",IF($M14678="PADD III","PADD 3",IF($M14678="PADD IV","PADD 4",IF($M14678="PADD V","PADD 5","")))))</f>
        <v/>
      </c>
      <c r="G14678" s="6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  <c r="N14678" s="6">
        <f>IF(OR($G14678="FCC",$G14678="Hydrocracker",$G14678="Reformer"),IF(COUNTIFS($D:$D,$D14678,$A:$A,$A14678,$B:$B,$B14678,$G:$G,"CDU",$J:$J,"PLANNED")&gt;0,"tied","standalone"),"")</f>
        <v/>
      </c>
    </row>
    <row r="14679" spans="6:14">
      <c r="F14679" s="6">
        <f>IF($M14679="PADD I","PADD 1",IF($M14679="PADD II","PADD 2",IF($M14679="PADD III","PADD 3",IF($M14679="PADD IV","PADD 4",IF($M14679="PADD V","PADD 5","")))))</f>
        <v/>
      </c>
      <c r="G14679" s="6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  <c r="N14679" s="6">
        <f>IF(OR($G14679="FCC",$G14679="Hydrocracker",$G14679="Reformer"),IF(COUNTIFS($D:$D,$D14679,$A:$A,$A14679,$B:$B,$B14679,$G:$G,"CDU",$J:$J,"PLANNED")&gt;0,"tied","standalone"),"")</f>
        <v/>
      </c>
    </row>
    <row r="14680" spans="6:14">
      <c r="F14680" s="6">
        <f>IF($M14680="PADD I","PADD 1",IF($M14680="PADD II","PADD 2",IF($M14680="PADD III","PADD 3",IF($M14680="PADD IV","PADD 4",IF($M14680="PADD V","PADD 5","")))))</f>
        <v/>
      </c>
      <c r="G14680" s="6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  <c r="N14680" s="6">
        <f>IF(OR($G14680="FCC",$G14680="Hydrocracker",$G14680="Reformer"),IF(COUNTIFS($D:$D,$D14680,$A:$A,$A14680,$B:$B,$B14680,$G:$G,"CDU",$J:$J,"PLANNED")&gt;0,"tied","standalone"),"")</f>
        <v/>
      </c>
    </row>
    <row r="14681" spans="6:14">
      <c r="F14681" s="6">
        <f>IF($M14681="PADD I","PADD 1",IF($M14681="PADD II","PADD 2",IF($M14681="PADD III","PADD 3",IF($M14681="PADD IV","PADD 4",IF($M14681="PADD V","PADD 5","")))))</f>
        <v/>
      </c>
      <c r="G14681" s="6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  <c r="N14681" s="6">
        <f>IF(OR($G14681="FCC",$G14681="Hydrocracker",$G14681="Reformer"),IF(COUNTIFS($D:$D,$D14681,$A:$A,$A14681,$B:$B,$B14681,$G:$G,"CDU",$J:$J,"PLANNED")&gt;0,"tied","standalone"),"")</f>
        <v/>
      </c>
    </row>
    <row r="14682" spans="6:14">
      <c r="F14682" s="6">
        <f>IF($M14682="PADD I","PADD 1",IF($M14682="PADD II","PADD 2",IF($M14682="PADD III","PADD 3",IF($M14682="PADD IV","PADD 4",IF($M14682="PADD V","PADD 5","")))))</f>
        <v/>
      </c>
      <c r="G14682" s="6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  <c r="N14682" s="6">
        <f>IF(OR($G14682="FCC",$G14682="Hydrocracker",$G14682="Reformer"),IF(COUNTIFS($D:$D,$D14682,$A:$A,$A14682,$B:$B,$B14682,$G:$G,"CDU",$J:$J,"PLANNED")&gt;0,"tied","standalone"),"")</f>
        <v/>
      </c>
    </row>
    <row r="14683" spans="6:14">
      <c r="F14683" s="6">
        <f>IF($M14683="PADD I","PADD 1",IF($M14683="PADD II","PADD 2",IF($M14683="PADD III","PADD 3",IF($M14683="PADD IV","PADD 4",IF($M14683="PADD V","PADD 5","")))))</f>
        <v/>
      </c>
      <c r="G14683" s="6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  <c r="N14683" s="6">
        <f>IF(OR($G14683="FCC",$G14683="Hydrocracker",$G14683="Reformer"),IF(COUNTIFS($D:$D,$D14683,$A:$A,$A14683,$B:$B,$B14683,$G:$G,"CDU",$J:$J,"PLANNED")&gt;0,"tied","standalone"),"")</f>
        <v/>
      </c>
    </row>
    <row r="14684" spans="6:14">
      <c r="F14684" s="6">
        <f>IF($M14684="PADD I","PADD 1",IF($M14684="PADD II","PADD 2",IF($M14684="PADD III","PADD 3",IF($M14684="PADD IV","PADD 4",IF($M14684="PADD V","PADD 5","")))))</f>
        <v/>
      </c>
      <c r="G14684" s="6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  <c r="N14684" s="6">
        <f>IF(OR($G14684="FCC",$G14684="Hydrocracker",$G14684="Reformer"),IF(COUNTIFS($D:$D,$D14684,$A:$A,$A14684,$B:$B,$B14684,$G:$G,"CDU",$J:$J,"PLANNED")&gt;0,"tied","standalone"),"")</f>
        <v/>
      </c>
    </row>
    <row r="14685" spans="6:14">
      <c r="F14685" s="6">
        <f>IF($M14685="PADD I","PADD 1",IF($M14685="PADD II","PADD 2",IF($M14685="PADD III","PADD 3",IF($M14685="PADD IV","PADD 4",IF($M14685="PADD V","PADD 5","")))))</f>
        <v/>
      </c>
      <c r="G14685" s="6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  <c r="N14685" s="6">
        <f>IF(OR($G14685="FCC",$G14685="Hydrocracker",$G14685="Reformer"),IF(COUNTIFS($D:$D,$D14685,$A:$A,$A14685,$B:$B,$B14685,$G:$G,"CDU",$J:$J,"PLANNED")&gt;0,"tied","standalone"),"")</f>
        <v/>
      </c>
    </row>
    <row r="14686" spans="6:14">
      <c r="F14686" s="6">
        <f>IF($M14686="PADD I","PADD 1",IF($M14686="PADD II","PADD 2",IF($M14686="PADD III","PADD 3",IF($M14686="PADD IV","PADD 4",IF($M14686="PADD V","PADD 5","")))))</f>
        <v/>
      </c>
      <c r="G14686" s="6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  <c r="N14686" s="6">
        <f>IF(OR($G14686="FCC",$G14686="Hydrocracker",$G14686="Reformer"),IF(COUNTIFS($D:$D,$D14686,$A:$A,$A14686,$B:$B,$B14686,$G:$G,"CDU",$J:$J,"PLANNED")&gt;0,"tied","standalone"),"")</f>
        <v/>
      </c>
    </row>
    <row r="14687" spans="6:14">
      <c r="F14687" s="6">
        <f>IF($M14687="PADD I","PADD 1",IF($M14687="PADD II","PADD 2",IF($M14687="PADD III","PADD 3",IF($M14687="PADD IV","PADD 4",IF($M14687="PADD V","PADD 5","")))))</f>
        <v/>
      </c>
      <c r="G14687" s="6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  <c r="N14687" s="6">
        <f>IF(OR($G14687="FCC",$G14687="Hydrocracker",$G14687="Reformer"),IF(COUNTIFS($D:$D,$D14687,$A:$A,$A14687,$B:$B,$B14687,$G:$G,"CDU",$J:$J,"PLANNED")&gt;0,"tied","standalone"),"")</f>
        <v/>
      </c>
    </row>
    <row r="14688" spans="6:14">
      <c r="F14688" s="6">
        <f>IF($M14688="PADD I","PADD 1",IF($M14688="PADD II","PADD 2",IF($M14688="PADD III","PADD 3",IF($M14688="PADD IV","PADD 4",IF($M14688="PADD V","PADD 5","")))))</f>
        <v/>
      </c>
      <c r="G14688" s="6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  <c r="N14688" s="6">
        <f>IF(OR($G14688="FCC",$G14688="Hydrocracker",$G14688="Reformer"),IF(COUNTIFS($D:$D,$D14688,$A:$A,$A14688,$B:$B,$B14688,$G:$G,"CDU",$J:$J,"PLANNED")&gt;0,"tied","standalone"),"")</f>
        <v/>
      </c>
    </row>
    <row r="14689" spans="6:14">
      <c r="F14689" s="6">
        <f>IF($M14689="PADD I","PADD 1",IF($M14689="PADD II","PADD 2",IF($M14689="PADD III","PADD 3",IF($M14689="PADD IV","PADD 4",IF($M14689="PADD V","PADD 5","")))))</f>
        <v/>
      </c>
      <c r="G14689" s="6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  <c r="N14689" s="6">
        <f>IF(OR($G14689="FCC",$G14689="Hydrocracker",$G14689="Reformer"),IF(COUNTIFS($D:$D,$D14689,$A:$A,$A14689,$B:$B,$B14689,$G:$G,"CDU",$J:$J,"PLANNED")&gt;0,"tied","standalone"),"")</f>
        <v/>
      </c>
    </row>
    <row r="14690" spans="6:14">
      <c r="F14690" s="6">
        <f>IF($M14690="PADD I","PADD 1",IF($M14690="PADD II","PADD 2",IF($M14690="PADD III","PADD 3",IF($M14690="PADD IV","PADD 4",IF($M14690="PADD V","PADD 5","")))))</f>
        <v/>
      </c>
      <c r="G14690" s="6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  <c r="N14690" s="6">
        <f>IF(OR($G14690="FCC",$G14690="Hydrocracker",$G14690="Reformer"),IF(COUNTIFS($D:$D,$D14690,$A:$A,$A14690,$B:$B,$B14690,$G:$G,"CDU",$J:$J,"PLANNED")&gt;0,"tied","standalone"),"")</f>
        <v/>
      </c>
    </row>
    <row r="14691" spans="6:14">
      <c r="F14691" s="6">
        <f>IF($M14691="PADD I","PADD 1",IF($M14691="PADD II","PADD 2",IF($M14691="PADD III","PADD 3",IF($M14691="PADD IV","PADD 4",IF($M14691="PADD V","PADD 5","")))))</f>
        <v/>
      </c>
      <c r="G14691" s="6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  <c r="N14691" s="6">
        <f>IF(OR($G14691="FCC",$G14691="Hydrocracker",$G14691="Reformer"),IF(COUNTIFS($D:$D,$D14691,$A:$A,$A14691,$B:$B,$B14691,$G:$G,"CDU",$J:$J,"PLANNED")&gt;0,"tied","standalone"),"")</f>
        <v/>
      </c>
    </row>
    <row r="14692" spans="6:14">
      <c r="F14692" s="6">
        <f>IF($M14692="PADD I","PADD 1",IF($M14692="PADD II","PADD 2",IF($M14692="PADD III","PADD 3",IF($M14692="PADD IV","PADD 4",IF($M14692="PADD V","PADD 5","")))))</f>
        <v/>
      </c>
      <c r="G14692" s="6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  <c r="N14692" s="6">
        <f>IF(OR($G14692="FCC",$G14692="Hydrocracker",$G14692="Reformer"),IF(COUNTIFS($D:$D,$D14692,$A:$A,$A14692,$B:$B,$B14692,$G:$G,"CDU",$J:$J,"PLANNED")&gt;0,"tied","standalone"),"")</f>
        <v/>
      </c>
    </row>
    <row r="14693" spans="6:14">
      <c r="F14693" s="6">
        <f>IF($M14693="PADD I","PADD 1",IF($M14693="PADD II","PADD 2",IF($M14693="PADD III","PADD 3",IF($M14693="PADD IV","PADD 4",IF($M14693="PADD V","PADD 5","")))))</f>
        <v/>
      </c>
      <c r="G14693" s="6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  <c r="N14693" s="6">
        <f>IF(OR($G14693="FCC",$G14693="Hydrocracker",$G14693="Reformer"),IF(COUNTIFS($D:$D,$D14693,$A:$A,$A14693,$B:$B,$B14693,$G:$G,"CDU",$J:$J,"PLANNED")&gt;0,"tied","standalone"),"")</f>
        <v/>
      </c>
    </row>
    <row r="14694" spans="6:14">
      <c r="F14694" s="6">
        <f>IF($M14694="PADD I","PADD 1",IF($M14694="PADD II","PADD 2",IF($M14694="PADD III","PADD 3",IF($M14694="PADD IV","PADD 4",IF($M14694="PADD V","PADD 5","")))))</f>
        <v/>
      </c>
      <c r="G14694" s="6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  <c r="N14694" s="6">
        <f>IF(OR($G14694="FCC",$G14694="Hydrocracker",$G14694="Reformer"),IF(COUNTIFS($D:$D,$D14694,$A:$A,$A14694,$B:$B,$B14694,$G:$G,"CDU",$J:$J,"PLANNED")&gt;0,"tied","standalone"),"")</f>
        <v/>
      </c>
    </row>
    <row r="14695" spans="6:14">
      <c r="F14695" s="6">
        <f>IF($M14695="PADD I","PADD 1",IF($M14695="PADD II","PADD 2",IF($M14695="PADD III","PADD 3",IF($M14695="PADD IV","PADD 4",IF($M14695="PADD V","PADD 5","")))))</f>
        <v/>
      </c>
      <c r="G14695" s="6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  <c r="N14695" s="6">
        <f>IF(OR($G14695="FCC",$G14695="Hydrocracker",$G14695="Reformer"),IF(COUNTIFS($D:$D,$D14695,$A:$A,$A14695,$B:$B,$B14695,$G:$G,"CDU",$J:$J,"PLANNED")&gt;0,"tied","standalone"),"")</f>
        <v/>
      </c>
    </row>
    <row r="14696" spans="6:14">
      <c r="F14696" s="6">
        <f>IF($M14696="PADD I","PADD 1",IF($M14696="PADD II","PADD 2",IF($M14696="PADD III","PADD 3",IF($M14696="PADD IV","PADD 4",IF($M14696="PADD V","PADD 5","")))))</f>
        <v/>
      </c>
      <c r="G14696" s="6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  <c r="N14696" s="6">
        <f>IF(OR($G14696="FCC",$G14696="Hydrocracker",$G14696="Reformer"),IF(COUNTIFS($D:$D,$D14696,$A:$A,$A14696,$B:$B,$B14696,$G:$G,"CDU",$J:$J,"PLANNED")&gt;0,"tied","standalone"),"")</f>
        <v/>
      </c>
    </row>
    <row r="14697" spans="6:14">
      <c r="F14697" s="6">
        <f>IF($M14697="PADD I","PADD 1",IF($M14697="PADD II","PADD 2",IF($M14697="PADD III","PADD 3",IF($M14697="PADD IV","PADD 4",IF($M14697="PADD V","PADD 5","")))))</f>
        <v/>
      </c>
      <c r="G14697" s="6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  <c r="N14697" s="6">
        <f>IF(OR($G14697="FCC",$G14697="Hydrocracker",$G14697="Reformer"),IF(COUNTIFS($D:$D,$D14697,$A:$A,$A14697,$B:$B,$B14697,$G:$G,"CDU",$J:$J,"PLANNED")&gt;0,"tied","standalone"),"")</f>
        <v/>
      </c>
    </row>
    <row r="14698" spans="6:14">
      <c r="F14698" s="6">
        <f>IF($M14698="PADD I","PADD 1",IF($M14698="PADD II","PADD 2",IF($M14698="PADD III","PADD 3",IF($M14698="PADD IV","PADD 4",IF($M14698="PADD V","PADD 5","")))))</f>
        <v/>
      </c>
      <c r="G14698" s="6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  <c r="N14698" s="6">
        <f>IF(OR($G14698="FCC",$G14698="Hydrocracker",$G14698="Reformer"),IF(COUNTIFS($D:$D,$D14698,$A:$A,$A14698,$B:$B,$B14698,$G:$G,"CDU",$J:$J,"PLANNED")&gt;0,"tied","standalone"),"")</f>
        <v/>
      </c>
    </row>
    <row r="14699" spans="6:14">
      <c r="F14699" s="6">
        <f>IF($M14699="PADD I","PADD 1",IF($M14699="PADD II","PADD 2",IF($M14699="PADD III","PADD 3",IF($M14699="PADD IV","PADD 4",IF($M14699="PADD V","PADD 5","")))))</f>
        <v/>
      </c>
      <c r="G14699" s="6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  <c r="N14699" s="6">
        <f>IF(OR($G14699="FCC",$G14699="Hydrocracker",$G14699="Reformer"),IF(COUNTIFS($D:$D,$D14699,$A:$A,$A14699,$B:$B,$B14699,$G:$G,"CDU",$J:$J,"PLANNED")&gt;0,"tied","standalone"),"")</f>
        <v/>
      </c>
    </row>
    <row r="14700" spans="6:14">
      <c r="F14700" s="6">
        <f>IF($M14700="PADD I","PADD 1",IF($M14700="PADD II","PADD 2",IF($M14700="PADD III","PADD 3",IF($M14700="PADD IV","PADD 4",IF($M14700="PADD V","PADD 5","")))))</f>
        <v/>
      </c>
      <c r="G14700" s="6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  <c r="N14700" s="6">
        <f>IF(OR($G14700="FCC",$G14700="Hydrocracker",$G14700="Reformer"),IF(COUNTIFS($D:$D,$D14700,$A:$A,$A14700,$B:$B,$B14700,$G:$G,"CDU",$J:$J,"PLANNED")&gt;0,"tied","standalone"),"")</f>
        <v/>
      </c>
    </row>
    <row r="14701" spans="6:14">
      <c r="F14701" s="6">
        <f>IF($M14701="PADD I","PADD 1",IF($M14701="PADD II","PADD 2",IF($M14701="PADD III","PADD 3",IF($M14701="PADD IV","PADD 4",IF($M14701="PADD V","PADD 5","")))))</f>
        <v/>
      </c>
      <c r="G14701" s="6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  <c r="N14701" s="6">
        <f>IF(OR($G14701="FCC",$G14701="Hydrocracker",$G14701="Reformer"),IF(COUNTIFS($D:$D,$D14701,$A:$A,$A14701,$B:$B,$B14701,$G:$G,"CDU",$J:$J,"PLANNED")&gt;0,"tied","standalone"),"")</f>
        <v/>
      </c>
    </row>
    <row r="14702" spans="6:14">
      <c r="F14702" s="6">
        <f>IF($M14702="PADD I","PADD 1",IF($M14702="PADD II","PADD 2",IF($M14702="PADD III","PADD 3",IF($M14702="PADD IV","PADD 4",IF($M14702="PADD V","PADD 5","")))))</f>
        <v/>
      </c>
      <c r="G14702" s="6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  <c r="N14702" s="6">
        <f>IF(OR($G14702="FCC",$G14702="Hydrocracker",$G14702="Reformer"),IF(COUNTIFS($D:$D,$D14702,$A:$A,$A14702,$B:$B,$B14702,$G:$G,"CDU",$J:$J,"PLANNED")&gt;0,"tied","standalone"),"")</f>
        <v/>
      </c>
    </row>
    <row r="14703" spans="6:14">
      <c r="F14703" s="6">
        <f>IF($M14703="PADD I","PADD 1",IF($M14703="PADD II","PADD 2",IF($M14703="PADD III","PADD 3",IF($M14703="PADD IV","PADD 4",IF($M14703="PADD V","PADD 5","")))))</f>
        <v/>
      </c>
      <c r="G14703" s="6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  <c r="N14703" s="6">
        <f>IF(OR($G14703="FCC",$G14703="Hydrocracker",$G14703="Reformer"),IF(COUNTIFS($D:$D,$D14703,$A:$A,$A14703,$B:$B,$B14703,$G:$G,"CDU",$J:$J,"PLANNED")&gt;0,"tied","standalone"),"")</f>
        <v/>
      </c>
    </row>
    <row r="14704" spans="6:14">
      <c r="F14704" s="6">
        <f>IF($M14704="PADD I","PADD 1",IF($M14704="PADD II","PADD 2",IF($M14704="PADD III","PADD 3",IF($M14704="PADD IV","PADD 4",IF($M14704="PADD V","PADD 5","")))))</f>
        <v/>
      </c>
      <c r="G14704" s="6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  <c r="N14704" s="6">
        <f>IF(OR($G14704="FCC",$G14704="Hydrocracker",$G14704="Reformer"),IF(COUNTIFS($D:$D,$D14704,$A:$A,$A14704,$B:$B,$B14704,$G:$G,"CDU",$J:$J,"PLANNED")&gt;0,"tied","standalone"),"")</f>
        <v/>
      </c>
    </row>
    <row r="14705" spans="6:14">
      <c r="F14705" s="6">
        <f>IF($M14705="PADD I","PADD 1",IF($M14705="PADD II","PADD 2",IF($M14705="PADD III","PADD 3",IF($M14705="PADD IV","PADD 4",IF($M14705="PADD V","PADD 5","")))))</f>
        <v/>
      </c>
      <c r="G14705" s="6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  <c r="N14705" s="6">
        <f>IF(OR($G14705="FCC",$G14705="Hydrocracker",$G14705="Reformer"),IF(COUNTIFS($D:$D,$D14705,$A:$A,$A14705,$B:$B,$B14705,$G:$G,"CDU",$J:$J,"PLANNED")&gt;0,"tied","standalone"),"")</f>
        <v/>
      </c>
    </row>
    <row r="14706" spans="6:14">
      <c r="F14706" s="6">
        <f>IF($M14706="PADD I","PADD 1",IF($M14706="PADD II","PADD 2",IF($M14706="PADD III","PADD 3",IF($M14706="PADD IV","PADD 4",IF($M14706="PADD V","PADD 5","")))))</f>
        <v/>
      </c>
      <c r="G14706" s="6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  <c r="N14706" s="6">
        <f>IF(OR($G14706="FCC",$G14706="Hydrocracker",$G14706="Reformer"),IF(COUNTIFS($D:$D,$D14706,$A:$A,$A14706,$B:$B,$B14706,$G:$G,"CDU",$J:$J,"PLANNED")&gt;0,"tied","standalone"),"")</f>
        <v/>
      </c>
    </row>
    <row r="14707" spans="6:14">
      <c r="F14707" s="6">
        <f>IF($M14707="PADD I","PADD 1",IF($M14707="PADD II","PADD 2",IF($M14707="PADD III","PADD 3",IF($M14707="PADD IV","PADD 4",IF($M14707="PADD V","PADD 5","")))))</f>
        <v/>
      </c>
      <c r="G14707" s="6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  <c r="N14707" s="6">
        <f>IF(OR($G14707="FCC",$G14707="Hydrocracker",$G14707="Reformer"),IF(COUNTIFS($D:$D,$D14707,$A:$A,$A14707,$B:$B,$B14707,$G:$G,"CDU",$J:$J,"PLANNED")&gt;0,"tied","standalone"),"")</f>
        <v/>
      </c>
    </row>
    <row r="14708" spans="6:14">
      <c r="F14708" s="6">
        <f>IF($M14708="PADD I","PADD 1",IF($M14708="PADD II","PADD 2",IF($M14708="PADD III","PADD 3",IF($M14708="PADD IV","PADD 4",IF($M14708="PADD V","PADD 5","")))))</f>
        <v/>
      </c>
      <c r="G14708" s="6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  <c r="N14708" s="6">
        <f>IF(OR($G14708="FCC",$G14708="Hydrocracker",$G14708="Reformer"),IF(COUNTIFS($D:$D,$D14708,$A:$A,$A14708,$B:$B,$B14708,$G:$G,"CDU",$J:$J,"PLANNED")&gt;0,"tied","standalone"),"")</f>
        <v/>
      </c>
    </row>
    <row r="14709" spans="6:14">
      <c r="F14709" s="6">
        <f>IF($M14709="PADD I","PADD 1",IF($M14709="PADD II","PADD 2",IF($M14709="PADD III","PADD 3",IF($M14709="PADD IV","PADD 4",IF($M14709="PADD V","PADD 5","")))))</f>
        <v/>
      </c>
      <c r="G14709" s="6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  <c r="N14709" s="6">
        <f>IF(OR($G14709="FCC",$G14709="Hydrocracker",$G14709="Reformer"),IF(COUNTIFS($D:$D,$D14709,$A:$A,$A14709,$B:$B,$B14709,$G:$G,"CDU",$J:$J,"PLANNED")&gt;0,"tied","standalone"),"")</f>
        <v/>
      </c>
    </row>
    <row r="14710" spans="6:14">
      <c r="F14710" s="6">
        <f>IF($M14710="PADD I","PADD 1",IF($M14710="PADD II","PADD 2",IF($M14710="PADD III","PADD 3",IF($M14710="PADD IV","PADD 4",IF($M14710="PADD V","PADD 5","")))))</f>
        <v/>
      </c>
      <c r="G14710" s="6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  <c r="N14710" s="6">
        <f>IF(OR($G14710="FCC",$G14710="Hydrocracker",$G14710="Reformer"),IF(COUNTIFS($D:$D,$D14710,$A:$A,$A14710,$B:$B,$B14710,$G:$G,"CDU",$J:$J,"PLANNED")&gt;0,"tied","standalone"),"")</f>
        <v/>
      </c>
    </row>
    <row r="14711" spans="6:14">
      <c r="F14711" s="6">
        <f>IF($M14711="PADD I","PADD 1",IF($M14711="PADD II","PADD 2",IF($M14711="PADD III","PADD 3",IF($M14711="PADD IV","PADD 4",IF($M14711="PADD V","PADD 5","")))))</f>
        <v/>
      </c>
      <c r="G14711" s="6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  <c r="N14711" s="6">
        <f>IF(OR($G14711="FCC",$G14711="Hydrocracker",$G14711="Reformer"),IF(COUNTIFS($D:$D,$D14711,$A:$A,$A14711,$B:$B,$B14711,$G:$G,"CDU",$J:$J,"PLANNED")&gt;0,"tied","standalone"),"")</f>
        <v/>
      </c>
    </row>
    <row r="14712" spans="6:14">
      <c r="F14712" s="6">
        <f>IF($M14712="PADD I","PADD 1",IF($M14712="PADD II","PADD 2",IF($M14712="PADD III","PADD 3",IF($M14712="PADD IV","PADD 4",IF($M14712="PADD V","PADD 5","")))))</f>
        <v/>
      </c>
      <c r="G14712" s="6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  <c r="N14712" s="6">
        <f>IF(OR($G14712="FCC",$G14712="Hydrocracker",$G14712="Reformer"),IF(COUNTIFS($D:$D,$D14712,$A:$A,$A14712,$B:$B,$B14712,$G:$G,"CDU",$J:$J,"PLANNED")&gt;0,"tied","standalone"),"")</f>
        <v/>
      </c>
    </row>
    <row r="14713" spans="6:14">
      <c r="F14713" s="6">
        <f>IF($M14713="PADD I","PADD 1",IF($M14713="PADD II","PADD 2",IF($M14713="PADD III","PADD 3",IF($M14713="PADD IV","PADD 4",IF($M14713="PADD V","PADD 5","")))))</f>
        <v/>
      </c>
      <c r="G14713" s="6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  <c r="N14713" s="6">
        <f>IF(OR($G14713="FCC",$G14713="Hydrocracker",$G14713="Reformer"),IF(COUNTIFS($D:$D,$D14713,$A:$A,$A14713,$B:$B,$B14713,$G:$G,"CDU",$J:$J,"PLANNED")&gt;0,"tied","standalone"),"")</f>
        <v/>
      </c>
    </row>
    <row r="14714" spans="6:14">
      <c r="F14714" s="6">
        <f>IF($M14714="PADD I","PADD 1",IF($M14714="PADD II","PADD 2",IF($M14714="PADD III","PADD 3",IF($M14714="PADD IV","PADD 4",IF($M14714="PADD V","PADD 5","")))))</f>
        <v/>
      </c>
      <c r="G14714" s="6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  <c r="N14714" s="6">
        <f>IF(OR($G14714="FCC",$G14714="Hydrocracker",$G14714="Reformer"),IF(COUNTIFS($D:$D,$D14714,$A:$A,$A14714,$B:$B,$B14714,$G:$G,"CDU",$J:$J,"PLANNED")&gt;0,"tied","standalone"),"")</f>
        <v/>
      </c>
    </row>
    <row r="14715" spans="6:14">
      <c r="F14715" s="6">
        <f>IF($M14715="PADD I","PADD 1",IF($M14715="PADD II","PADD 2",IF($M14715="PADD III","PADD 3",IF($M14715="PADD IV","PADD 4",IF($M14715="PADD V","PADD 5","")))))</f>
        <v/>
      </c>
      <c r="G14715" s="6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  <c r="N14715" s="6">
        <f>IF(OR($G14715="FCC",$G14715="Hydrocracker",$G14715="Reformer"),IF(COUNTIFS($D:$D,$D14715,$A:$A,$A14715,$B:$B,$B14715,$G:$G,"CDU",$J:$J,"PLANNED")&gt;0,"tied","standalone"),"")</f>
        <v/>
      </c>
    </row>
    <row r="14716" spans="6:14">
      <c r="F14716" s="6">
        <f>IF($M14716="PADD I","PADD 1",IF($M14716="PADD II","PADD 2",IF($M14716="PADD III","PADD 3",IF($M14716="PADD IV","PADD 4",IF($M14716="PADD V","PADD 5","")))))</f>
        <v/>
      </c>
      <c r="G14716" s="6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  <c r="N14716" s="6">
        <f>IF(OR($G14716="FCC",$G14716="Hydrocracker",$G14716="Reformer"),IF(COUNTIFS($D:$D,$D14716,$A:$A,$A14716,$B:$B,$B14716,$G:$G,"CDU",$J:$J,"PLANNED")&gt;0,"tied","standalone"),"")</f>
        <v/>
      </c>
    </row>
    <row r="14717" spans="6:14">
      <c r="F14717" s="6">
        <f>IF($M14717="PADD I","PADD 1",IF($M14717="PADD II","PADD 2",IF($M14717="PADD III","PADD 3",IF($M14717="PADD IV","PADD 4",IF($M14717="PADD V","PADD 5","")))))</f>
        <v/>
      </c>
      <c r="G14717" s="6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  <c r="N14717" s="6">
        <f>IF(OR($G14717="FCC",$G14717="Hydrocracker",$G14717="Reformer"),IF(COUNTIFS($D:$D,$D14717,$A:$A,$A14717,$B:$B,$B14717,$G:$G,"CDU",$J:$J,"PLANNED")&gt;0,"tied","standalone"),"")</f>
        <v/>
      </c>
    </row>
    <row r="14718" spans="6:14">
      <c r="F14718" s="6">
        <f>IF($M14718="PADD I","PADD 1",IF($M14718="PADD II","PADD 2",IF($M14718="PADD III","PADD 3",IF($M14718="PADD IV","PADD 4",IF($M14718="PADD V","PADD 5","")))))</f>
        <v/>
      </c>
      <c r="G14718" s="6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  <c r="N14718" s="6">
        <f>IF(OR($G14718="FCC",$G14718="Hydrocracker",$G14718="Reformer"),IF(COUNTIFS($D:$D,$D14718,$A:$A,$A14718,$B:$B,$B14718,$G:$G,"CDU",$J:$J,"PLANNED")&gt;0,"tied","standalone"),"")</f>
        <v/>
      </c>
    </row>
    <row r="14719" spans="6:14">
      <c r="F14719" s="6">
        <f>IF($M14719="PADD I","PADD 1",IF($M14719="PADD II","PADD 2",IF($M14719="PADD III","PADD 3",IF($M14719="PADD IV","PADD 4",IF($M14719="PADD V","PADD 5","")))))</f>
        <v/>
      </c>
      <c r="G14719" s="6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  <c r="N14719" s="6">
        <f>IF(OR($G14719="FCC",$G14719="Hydrocracker",$G14719="Reformer"),IF(COUNTIFS($D:$D,$D14719,$A:$A,$A14719,$B:$B,$B14719,$G:$G,"CDU",$J:$J,"PLANNED")&gt;0,"tied","standalone"),"")</f>
        <v/>
      </c>
    </row>
    <row r="14720" spans="6:14">
      <c r="F14720" s="6">
        <f>IF($M14720="PADD I","PADD 1",IF($M14720="PADD II","PADD 2",IF($M14720="PADD III","PADD 3",IF($M14720="PADD IV","PADD 4",IF($M14720="PADD V","PADD 5","")))))</f>
        <v/>
      </c>
      <c r="G14720" s="6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  <c r="N14720" s="6">
        <f>IF(OR($G14720="FCC",$G14720="Hydrocracker",$G14720="Reformer"),IF(COUNTIFS($D:$D,$D14720,$A:$A,$A14720,$B:$B,$B14720,$G:$G,"CDU",$J:$J,"PLANNED")&gt;0,"tied","standalone"),"")</f>
        <v/>
      </c>
    </row>
    <row r="14721" spans="6:14">
      <c r="F14721" s="6">
        <f>IF($M14721="PADD I","PADD 1",IF($M14721="PADD II","PADD 2",IF($M14721="PADD III","PADD 3",IF($M14721="PADD IV","PADD 4",IF($M14721="PADD V","PADD 5","")))))</f>
        <v/>
      </c>
      <c r="G14721" s="6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  <c r="N14721" s="6">
        <f>IF(OR($G14721="FCC",$G14721="Hydrocracker",$G14721="Reformer"),IF(COUNTIFS($D:$D,$D14721,$A:$A,$A14721,$B:$B,$B14721,$G:$G,"CDU",$J:$J,"PLANNED")&gt;0,"tied","standalone"),"")</f>
        <v/>
      </c>
    </row>
    <row r="14722" spans="6:14">
      <c r="F14722" s="6">
        <f>IF($M14722="PADD I","PADD 1",IF($M14722="PADD II","PADD 2",IF($M14722="PADD III","PADD 3",IF($M14722="PADD IV","PADD 4",IF($M14722="PADD V","PADD 5","")))))</f>
        <v/>
      </c>
      <c r="G14722" s="6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  <c r="N14722" s="6">
        <f>IF(OR($G14722="FCC",$G14722="Hydrocracker",$G14722="Reformer"),IF(COUNTIFS($D:$D,$D14722,$A:$A,$A14722,$B:$B,$B14722,$G:$G,"CDU",$J:$J,"PLANNED")&gt;0,"tied","standalone"),"")</f>
        <v/>
      </c>
    </row>
    <row r="14723" spans="6:14">
      <c r="F14723" s="6">
        <f>IF($M14723="PADD I","PADD 1",IF($M14723="PADD II","PADD 2",IF($M14723="PADD III","PADD 3",IF($M14723="PADD IV","PADD 4",IF($M14723="PADD V","PADD 5","")))))</f>
        <v/>
      </c>
      <c r="G14723" s="6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  <c r="N14723" s="6">
        <f>IF(OR($G14723="FCC",$G14723="Hydrocracker",$G14723="Reformer"),IF(COUNTIFS($D:$D,$D14723,$A:$A,$A14723,$B:$B,$B14723,$G:$G,"CDU",$J:$J,"PLANNED")&gt;0,"tied","standalone"),"")</f>
        <v/>
      </c>
    </row>
    <row r="14724" spans="6:14">
      <c r="F14724" s="6">
        <f>IF($M14724="PADD I","PADD 1",IF($M14724="PADD II","PADD 2",IF($M14724="PADD III","PADD 3",IF($M14724="PADD IV","PADD 4",IF($M14724="PADD V","PADD 5","")))))</f>
        <v/>
      </c>
      <c r="G14724" s="6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  <c r="N14724" s="6">
        <f>IF(OR($G14724="FCC",$G14724="Hydrocracker",$G14724="Reformer"),IF(COUNTIFS($D:$D,$D14724,$A:$A,$A14724,$B:$B,$B14724,$G:$G,"CDU",$J:$J,"PLANNED")&gt;0,"tied","standalone"),"")</f>
        <v/>
      </c>
    </row>
    <row r="14725" spans="6:14">
      <c r="F14725" s="6">
        <f>IF($M14725="PADD I","PADD 1",IF($M14725="PADD II","PADD 2",IF($M14725="PADD III","PADD 3",IF($M14725="PADD IV","PADD 4",IF($M14725="PADD V","PADD 5","")))))</f>
        <v/>
      </c>
      <c r="G14725" s="6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  <c r="N14725" s="6">
        <f>IF(OR($G14725="FCC",$G14725="Hydrocracker",$G14725="Reformer"),IF(COUNTIFS($D:$D,$D14725,$A:$A,$A14725,$B:$B,$B14725,$G:$G,"CDU",$J:$J,"PLANNED")&gt;0,"tied","standalone"),"")</f>
        <v/>
      </c>
    </row>
    <row r="14726" spans="6:14">
      <c r="F14726" s="6">
        <f>IF($M14726="PADD I","PADD 1",IF($M14726="PADD II","PADD 2",IF($M14726="PADD III","PADD 3",IF($M14726="PADD IV","PADD 4",IF($M14726="PADD V","PADD 5","")))))</f>
        <v/>
      </c>
      <c r="G14726" s="6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  <c r="N14726" s="6">
        <f>IF(OR($G14726="FCC",$G14726="Hydrocracker",$G14726="Reformer"),IF(COUNTIFS($D:$D,$D14726,$A:$A,$A14726,$B:$B,$B14726,$G:$G,"CDU",$J:$J,"PLANNED")&gt;0,"tied","standalone"),"")</f>
        <v/>
      </c>
    </row>
    <row r="14727" spans="6:14">
      <c r="F14727" s="6">
        <f>IF($M14727="PADD I","PADD 1",IF($M14727="PADD II","PADD 2",IF($M14727="PADD III","PADD 3",IF($M14727="PADD IV","PADD 4",IF($M14727="PADD V","PADD 5","")))))</f>
        <v/>
      </c>
      <c r="G14727" s="6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  <c r="N14727" s="6">
        <f>IF(OR($G14727="FCC",$G14727="Hydrocracker",$G14727="Reformer"),IF(COUNTIFS($D:$D,$D14727,$A:$A,$A14727,$B:$B,$B14727,$G:$G,"CDU",$J:$J,"PLANNED")&gt;0,"tied","standalone"),"")</f>
        <v/>
      </c>
    </row>
    <row r="14728" spans="6:14">
      <c r="F14728" s="6">
        <f>IF($M14728="PADD I","PADD 1",IF($M14728="PADD II","PADD 2",IF($M14728="PADD III","PADD 3",IF($M14728="PADD IV","PADD 4",IF($M14728="PADD V","PADD 5","")))))</f>
        <v/>
      </c>
      <c r="G14728" s="6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  <c r="N14728" s="6">
        <f>IF(OR($G14728="FCC",$G14728="Hydrocracker",$G14728="Reformer"),IF(COUNTIFS($D:$D,$D14728,$A:$A,$A14728,$B:$B,$B14728,$G:$G,"CDU",$J:$J,"PLANNED")&gt;0,"tied","standalone"),"")</f>
        <v/>
      </c>
    </row>
    <row r="14729" spans="6:14">
      <c r="F14729" s="6">
        <f>IF($M14729="PADD I","PADD 1",IF($M14729="PADD II","PADD 2",IF($M14729="PADD III","PADD 3",IF($M14729="PADD IV","PADD 4",IF($M14729="PADD V","PADD 5","")))))</f>
        <v/>
      </c>
      <c r="G14729" s="6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  <c r="N14729" s="6">
        <f>IF(OR($G14729="FCC",$G14729="Hydrocracker",$G14729="Reformer"),IF(COUNTIFS($D:$D,$D14729,$A:$A,$A14729,$B:$B,$B14729,$G:$G,"CDU",$J:$J,"PLANNED")&gt;0,"tied","standalone"),"")</f>
        <v/>
      </c>
    </row>
    <row r="14730" spans="6:14">
      <c r="F14730" s="6">
        <f>IF($M14730="PADD I","PADD 1",IF($M14730="PADD II","PADD 2",IF($M14730="PADD III","PADD 3",IF($M14730="PADD IV","PADD 4",IF($M14730="PADD V","PADD 5","")))))</f>
        <v/>
      </c>
      <c r="G14730" s="6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  <c r="N14730" s="6">
        <f>IF(OR($G14730="FCC",$G14730="Hydrocracker",$G14730="Reformer"),IF(COUNTIFS($D:$D,$D14730,$A:$A,$A14730,$B:$B,$B14730,$G:$G,"CDU",$J:$J,"PLANNED")&gt;0,"tied","standalone"),"")</f>
        <v/>
      </c>
    </row>
    <row r="14731" spans="6:14">
      <c r="F14731" s="6">
        <f>IF($M14731="PADD I","PADD 1",IF($M14731="PADD II","PADD 2",IF($M14731="PADD III","PADD 3",IF($M14731="PADD IV","PADD 4",IF($M14731="PADD V","PADD 5","")))))</f>
        <v/>
      </c>
      <c r="G14731" s="6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  <c r="N14731" s="6">
        <f>IF(OR($G14731="FCC",$G14731="Hydrocracker",$G14731="Reformer"),IF(COUNTIFS($D:$D,$D14731,$A:$A,$A14731,$B:$B,$B14731,$G:$G,"CDU",$J:$J,"PLANNED")&gt;0,"tied","standalone"),"")</f>
        <v/>
      </c>
    </row>
    <row r="14732" spans="6:14">
      <c r="F14732" s="6">
        <f>IF($M14732="PADD I","PADD 1",IF($M14732="PADD II","PADD 2",IF($M14732="PADD III","PADD 3",IF($M14732="PADD IV","PADD 4",IF($M14732="PADD V","PADD 5","")))))</f>
        <v/>
      </c>
      <c r="G14732" s="6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  <c r="N14732" s="6">
        <f>IF(OR($G14732="FCC",$G14732="Hydrocracker",$G14732="Reformer"),IF(COUNTIFS($D:$D,$D14732,$A:$A,$A14732,$B:$B,$B14732,$G:$G,"CDU",$J:$J,"PLANNED")&gt;0,"tied","standalone"),"")</f>
        <v/>
      </c>
    </row>
    <row r="14733" spans="6:14">
      <c r="F14733" s="6">
        <f>IF($M14733="PADD I","PADD 1",IF($M14733="PADD II","PADD 2",IF($M14733="PADD III","PADD 3",IF($M14733="PADD IV","PADD 4",IF($M14733="PADD V","PADD 5","")))))</f>
        <v/>
      </c>
      <c r="G14733" s="6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  <c r="N14733" s="6">
        <f>IF(OR($G14733="FCC",$G14733="Hydrocracker",$G14733="Reformer"),IF(COUNTIFS($D:$D,$D14733,$A:$A,$A14733,$B:$B,$B14733,$G:$G,"CDU",$J:$J,"PLANNED")&gt;0,"tied","standalone"),"")</f>
        <v/>
      </c>
    </row>
    <row r="14734" spans="6:14">
      <c r="F14734" s="6">
        <f>IF($M14734="PADD I","PADD 1",IF($M14734="PADD II","PADD 2",IF($M14734="PADD III","PADD 3",IF($M14734="PADD IV","PADD 4",IF($M14734="PADD V","PADD 5","")))))</f>
        <v/>
      </c>
      <c r="G14734" s="6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  <c r="N14734" s="6">
        <f>IF(OR($G14734="FCC",$G14734="Hydrocracker",$G14734="Reformer"),IF(COUNTIFS($D:$D,$D14734,$A:$A,$A14734,$B:$B,$B14734,$G:$G,"CDU",$J:$J,"PLANNED")&gt;0,"tied","standalone"),"")</f>
        <v/>
      </c>
    </row>
    <row r="14735" spans="6:14">
      <c r="F14735" s="6">
        <f>IF($M14735="PADD I","PADD 1",IF($M14735="PADD II","PADD 2",IF($M14735="PADD III","PADD 3",IF($M14735="PADD IV","PADD 4",IF($M14735="PADD V","PADD 5","")))))</f>
        <v/>
      </c>
      <c r="G14735" s="6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  <c r="N14735" s="6">
        <f>IF(OR($G14735="FCC",$G14735="Hydrocracker",$G14735="Reformer"),IF(COUNTIFS($D:$D,$D14735,$A:$A,$A14735,$B:$B,$B14735,$G:$G,"CDU",$J:$J,"PLANNED")&gt;0,"tied","standalone"),"")</f>
        <v/>
      </c>
    </row>
    <row r="14736" spans="6:14">
      <c r="F14736" s="6">
        <f>IF($M14736="PADD I","PADD 1",IF($M14736="PADD II","PADD 2",IF($M14736="PADD III","PADD 3",IF($M14736="PADD IV","PADD 4",IF($M14736="PADD V","PADD 5","")))))</f>
        <v/>
      </c>
      <c r="G14736" s="6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  <c r="N14736" s="6">
        <f>IF(OR($G14736="FCC",$G14736="Hydrocracker",$G14736="Reformer"),IF(COUNTIFS($D:$D,$D14736,$A:$A,$A14736,$B:$B,$B14736,$G:$G,"CDU",$J:$J,"PLANNED")&gt;0,"tied","standalone"),"")</f>
        <v/>
      </c>
    </row>
    <row r="14737" spans="6:14">
      <c r="F14737" s="6">
        <f>IF($M14737="PADD I","PADD 1",IF($M14737="PADD II","PADD 2",IF($M14737="PADD III","PADD 3",IF($M14737="PADD IV","PADD 4",IF($M14737="PADD V","PADD 5","")))))</f>
        <v/>
      </c>
      <c r="G14737" s="6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  <c r="N14737" s="6">
        <f>IF(OR($G14737="FCC",$G14737="Hydrocracker",$G14737="Reformer"),IF(COUNTIFS($D:$D,$D14737,$A:$A,$A14737,$B:$B,$B14737,$G:$G,"CDU",$J:$J,"PLANNED")&gt;0,"tied","standalone"),"")</f>
        <v/>
      </c>
    </row>
    <row r="14738" spans="6:14">
      <c r="F14738" s="6">
        <f>IF($M14738="PADD I","PADD 1",IF($M14738="PADD II","PADD 2",IF($M14738="PADD III","PADD 3",IF($M14738="PADD IV","PADD 4",IF($M14738="PADD V","PADD 5","")))))</f>
        <v/>
      </c>
      <c r="G14738" s="6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  <c r="N14738" s="6">
        <f>IF(OR($G14738="FCC",$G14738="Hydrocracker",$G14738="Reformer"),IF(COUNTIFS($D:$D,$D14738,$A:$A,$A14738,$B:$B,$B14738,$G:$G,"CDU",$J:$J,"PLANNED")&gt;0,"tied","standalone"),"")</f>
        <v/>
      </c>
    </row>
    <row r="14739" spans="6:14">
      <c r="F14739" s="6">
        <f>IF($M14739="PADD I","PADD 1",IF($M14739="PADD II","PADD 2",IF($M14739="PADD III","PADD 3",IF($M14739="PADD IV","PADD 4",IF($M14739="PADD V","PADD 5","")))))</f>
        <v/>
      </c>
      <c r="G14739" s="6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  <c r="N14739" s="6">
        <f>IF(OR($G14739="FCC",$G14739="Hydrocracker",$G14739="Reformer"),IF(COUNTIFS($D:$D,$D14739,$A:$A,$A14739,$B:$B,$B14739,$G:$G,"CDU",$J:$J,"PLANNED")&gt;0,"tied","standalone"),"")</f>
        <v/>
      </c>
    </row>
    <row r="14740" spans="6:14">
      <c r="F14740" s="6">
        <f>IF($M14740="PADD I","PADD 1",IF($M14740="PADD II","PADD 2",IF($M14740="PADD III","PADD 3",IF($M14740="PADD IV","PADD 4",IF($M14740="PADD V","PADD 5","")))))</f>
        <v/>
      </c>
      <c r="G14740" s="6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  <c r="N14740" s="6">
        <f>IF(OR($G14740="FCC",$G14740="Hydrocracker",$G14740="Reformer"),IF(COUNTIFS($D:$D,$D14740,$A:$A,$A14740,$B:$B,$B14740,$G:$G,"CDU",$J:$J,"PLANNED")&gt;0,"tied","standalone"),"")</f>
        <v/>
      </c>
    </row>
    <row r="14741" spans="6:14">
      <c r="F14741" s="6">
        <f>IF($M14741="PADD I","PADD 1",IF($M14741="PADD II","PADD 2",IF($M14741="PADD III","PADD 3",IF($M14741="PADD IV","PADD 4",IF($M14741="PADD V","PADD 5","")))))</f>
        <v/>
      </c>
      <c r="G14741" s="6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  <c r="N14741" s="6">
        <f>IF(OR($G14741="FCC",$G14741="Hydrocracker",$G14741="Reformer"),IF(COUNTIFS($D:$D,$D14741,$A:$A,$A14741,$B:$B,$B14741,$G:$G,"CDU",$J:$J,"PLANNED")&gt;0,"tied","standalone"),"")</f>
        <v/>
      </c>
    </row>
    <row r="14742" spans="6:14">
      <c r="F14742" s="6">
        <f>IF($M14742="PADD I","PADD 1",IF($M14742="PADD II","PADD 2",IF($M14742="PADD III","PADD 3",IF($M14742="PADD IV","PADD 4",IF($M14742="PADD V","PADD 5","")))))</f>
        <v/>
      </c>
      <c r="G14742" s="6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  <c r="N14742" s="6">
        <f>IF(OR($G14742="FCC",$G14742="Hydrocracker",$G14742="Reformer"),IF(COUNTIFS($D:$D,$D14742,$A:$A,$A14742,$B:$B,$B14742,$G:$G,"CDU",$J:$J,"PLANNED")&gt;0,"tied","standalone"),"")</f>
        <v/>
      </c>
    </row>
    <row r="14743" spans="6:14">
      <c r="F14743" s="6">
        <f>IF($M14743="PADD I","PADD 1",IF($M14743="PADD II","PADD 2",IF($M14743="PADD III","PADD 3",IF($M14743="PADD IV","PADD 4",IF($M14743="PADD V","PADD 5","")))))</f>
        <v/>
      </c>
      <c r="G14743" s="6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  <c r="N14743" s="6">
        <f>IF(OR($G14743="FCC",$G14743="Hydrocracker",$G14743="Reformer"),IF(COUNTIFS($D:$D,$D14743,$A:$A,$A14743,$B:$B,$B14743,$G:$G,"CDU",$J:$J,"PLANNED")&gt;0,"tied","standalone"),"")</f>
        <v/>
      </c>
    </row>
    <row r="14744" spans="6:14">
      <c r="F14744" s="6">
        <f>IF($M14744="PADD I","PADD 1",IF($M14744="PADD II","PADD 2",IF($M14744="PADD III","PADD 3",IF($M14744="PADD IV","PADD 4",IF($M14744="PADD V","PADD 5","")))))</f>
        <v/>
      </c>
      <c r="G14744" s="6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  <c r="N14744" s="6">
        <f>IF(OR($G14744="FCC",$G14744="Hydrocracker",$G14744="Reformer"),IF(COUNTIFS($D:$D,$D14744,$A:$A,$A14744,$B:$B,$B14744,$G:$G,"CDU",$J:$J,"PLANNED")&gt;0,"tied","standalone"),"")</f>
        <v/>
      </c>
    </row>
    <row r="14745" spans="6:14">
      <c r="F14745" s="6">
        <f>IF($M14745="PADD I","PADD 1",IF($M14745="PADD II","PADD 2",IF($M14745="PADD III","PADD 3",IF($M14745="PADD IV","PADD 4",IF($M14745="PADD V","PADD 5","")))))</f>
        <v/>
      </c>
      <c r="G14745" s="6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  <c r="N14745" s="6">
        <f>IF(OR($G14745="FCC",$G14745="Hydrocracker",$G14745="Reformer"),IF(COUNTIFS($D:$D,$D14745,$A:$A,$A14745,$B:$B,$B14745,$G:$G,"CDU",$J:$J,"PLANNED")&gt;0,"tied","standalone"),"")</f>
        <v/>
      </c>
    </row>
    <row r="14746" spans="6:14">
      <c r="F14746" s="6">
        <f>IF($M14746="PADD I","PADD 1",IF($M14746="PADD II","PADD 2",IF($M14746="PADD III","PADD 3",IF($M14746="PADD IV","PADD 4",IF($M14746="PADD V","PADD 5","")))))</f>
        <v/>
      </c>
      <c r="G14746" s="6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  <c r="N14746" s="6">
        <f>IF(OR($G14746="FCC",$G14746="Hydrocracker",$G14746="Reformer"),IF(COUNTIFS($D:$D,$D14746,$A:$A,$A14746,$B:$B,$B14746,$G:$G,"CDU",$J:$J,"PLANNED")&gt;0,"tied","standalone"),"")</f>
        <v/>
      </c>
    </row>
    <row r="14747" spans="6:14">
      <c r="F14747" s="6">
        <f>IF($M14747="PADD I","PADD 1",IF($M14747="PADD II","PADD 2",IF($M14747="PADD III","PADD 3",IF($M14747="PADD IV","PADD 4",IF($M14747="PADD V","PADD 5","")))))</f>
        <v/>
      </c>
      <c r="G14747" s="6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  <c r="N14747" s="6">
        <f>IF(OR($G14747="FCC",$G14747="Hydrocracker",$G14747="Reformer"),IF(COUNTIFS($D:$D,$D14747,$A:$A,$A14747,$B:$B,$B14747,$G:$G,"CDU",$J:$J,"PLANNED")&gt;0,"tied","standalone"),"")</f>
        <v/>
      </c>
    </row>
    <row r="14748" spans="6:14">
      <c r="F14748" s="6">
        <f>IF($M14748="PADD I","PADD 1",IF($M14748="PADD II","PADD 2",IF($M14748="PADD III","PADD 3",IF($M14748="PADD IV","PADD 4",IF($M14748="PADD V","PADD 5","")))))</f>
        <v/>
      </c>
      <c r="G14748" s="6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  <c r="N14748" s="6">
        <f>IF(OR($G14748="FCC",$G14748="Hydrocracker",$G14748="Reformer"),IF(COUNTIFS($D:$D,$D14748,$A:$A,$A14748,$B:$B,$B14748,$G:$G,"CDU",$J:$J,"PLANNED")&gt;0,"tied","standalone"),"")</f>
        <v/>
      </c>
    </row>
    <row r="14749" spans="6:14">
      <c r="F14749" s="6">
        <f>IF($M14749="PADD I","PADD 1",IF($M14749="PADD II","PADD 2",IF($M14749="PADD III","PADD 3",IF($M14749="PADD IV","PADD 4",IF($M14749="PADD V","PADD 5","")))))</f>
        <v/>
      </c>
      <c r="G14749" s="6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  <c r="N14749" s="6">
        <f>IF(OR($G14749="FCC",$G14749="Hydrocracker",$G14749="Reformer"),IF(COUNTIFS($D:$D,$D14749,$A:$A,$A14749,$B:$B,$B14749,$G:$G,"CDU",$J:$J,"PLANNED")&gt;0,"tied","standalone"),"")</f>
        <v/>
      </c>
    </row>
    <row r="14750" spans="6:14">
      <c r="F14750" s="6">
        <f>IF($M14750="PADD I","PADD 1",IF($M14750="PADD II","PADD 2",IF($M14750="PADD III","PADD 3",IF($M14750="PADD IV","PADD 4",IF($M14750="PADD V","PADD 5","")))))</f>
        <v/>
      </c>
      <c r="G14750" s="6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  <c r="N14750" s="6">
        <f>IF(OR($G14750="FCC",$G14750="Hydrocracker",$G14750="Reformer"),IF(COUNTIFS($D:$D,$D14750,$A:$A,$A14750,$B:$B,$B14750,$G:$G,"CDU",$J:$J,"PLANNED")&gt;0,"tied","standalone"),"")</f>
        <v/>
      </c>
    </row>
    <row r="14751" spans="6:14">
      <c r="F14751" s="6">
        <f>IF($M14751="PADD I","PADD 1",IF($M14751="PADD II","PADD 2",IF($M14751="PADD III","PADD 3",IF($M14751="PADD IV","PADD 4",IF($M14751="PADD V","PADD 5","")))))</f>
        <v/>
      </c>
      <c r="G14751" s="6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  <c r="N14751" s="6">
        <f>IF(OR($G14751="FCC",$G14751="Hydrocracker",$G14751="Reformer"),IF(COUNTIFS($D:$D,$D14751,$A:$A,$A14751,$B:$B,$B14751,$G:$G,"CDU",$J:$J,"PLANNED")&gt;0,"tied","standalone"),"")</f>
        <v/>
      </c>
    </row>
    <row r="14752" spans="6:14">
      <c r="F14752" s="6">
        <f>IF($M14752="PADD I","PADD 1",IF($M14752="PADD II","PADD 2",IF($M14752="PADD III","PADD 3",IF($M14752="PADD IV","PADD 4",IF($M14752="PADD V","PADD 5","")))))</f>
        <v/>
      </c>
      <c r="G14752" s="6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  <c r="N14752" s="6">
        <f>IF(OR($G14752="FCC",$G14752="Hydrocracker",$G14752="Reformer"),IF(COUNTIFS($D:$D,$D14752,$A:$A,$A14752,$B:$B,$B14752,$G:$G,"CDU",$J:$J,"PLANNED")&gt;0,"tied","standalone"),"")</f>
        <v/>
      </c>
    </row>
    <row r="14753" spans="6:14">
      <c r="F14753" s="6">
        <f>IF($M14753="PADD I","PADD 1",IF($M14753="PADD II","PADD 2",IF($M14753="PADD III","PADD 3",IF($M14753="PADD IV","PADD 4",IF($M14753="PADD V","PADD 5","")))))</f>
        <v/>
      </c>
      <c r="G14753" s="6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  <c r="N14753" s="6">
        <f>IF(OR($G14753="FCC",$G14753="Hydrocracker",$G14753="Reformer"),IF(COUNTIFS($D:$D,$D14753,$A:$A,$A14753,$B:$B,$B14753,$G:$G,"CDU",$J:$J,"PLANNED")&gt;0,"tied","standalone"),"")</f>
        <v/>
      </c>
    </row>
    <row r="14754" spans="6:14">
      <c r="F14754" s="6">
        <f>IF($M14754="PADD I","PADD 1",IF($M14754="PADD II","PADD 2",IF($M14754="PADD III","PADD 3",IF($M14754="PADD IV","PADD 4",IF($M14754="PADD V","PADD 5","")))))</f>
        <v/>
      </c>
      <c r="G14754" s="6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  <c r="N14754" s="6">
        <f>IF(OR($G14754="FCC",$G14754="Hydrocracker",$G14754="Reformer"),IF(COUNTIFS($D:$D,$D14754,$A:$A,$A14754,$B:$B,$B14754,$G:$G,"CDU",$J:$J,"PLANNED")&gt;0,"tied","standalone"),"")</f>
        <v/>
      </c>
    </row>
    <row r="14755" spans="6:14">
      <c r="F14755" s="6">
        <f>IF($M14755="PADD I","PADD 1",IF($M14755="PADD II","PADD 2",IF($M14755="PADD III","PADD 3",IF($M14755="PADD IV","PADD 4",IF($M14755="PADD V","PADD 5","")))))</f>
        <v/>
      </c>
      <c r="G14755" s="6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  <c r="N14755" s="6">
        <f>IF(OR($G14755="FCC",$G14755="Hydrocracker",$G14755="Reformer"),IF(COUNTIFS($D:$D,$D14755,$A:$A,$A14755,$B:$B,$B14755,$G:$G,"CDU",$J:$J,"PLANNED")&gt;0,"tied","standalone"),"")</f>
        <v/>
      </c>
    </row>
    <row r="14756" spans="6:14">
      <c r="F14756" s="6">
        <f>IF($M14756="PADD I","PADD 1",IF($M14756="PADD II","PADD 2",IF($M14756="PADD III","PADD 3",IF($M14756="PADD IV","PADD 4",IF($M14756="PADD V","PADD 5","")))))</f>
        <v/>
      </c>
      <c r="G14756" s="6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  <c r="N14756" s="6">
        <f>IF(OR($G14756="FCC",$G14756="Hydrocracker",$G14756="Reformer"),IF(COUNTIFS($D:$D,$D14756,$A:$A,$A14756,$B:$B,$B14756,$G:$G,"CDU",$J:$J,"PLANNED")&gt;0,"tied","standalone"),"")</f>
        <v/>
      </c>
    </row>
    <row r="14757" spans="6:14">
      <c r="F14757" s="6">
        <f>IF($M14757="PADD I","PADD 1",IF($M14757="PADD II","PADD 2",IF($M14757="PADD III","PADD 3",IF($M14757="PADD IV","PADD 4",IF($M14757="PADD V","PADD 5","")))))</f>
        <v/>
      </c>
      <c r="G14757" s="6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  <c r="N14757" s="6">
        <f>IF(OR($G14757="FCC",$G14757="Hydrocracker",$G14757="Reformer"),IF(COUNTIFS($D:$D,$D14757,$A:$A,$A14757,$B:$B,$B14757,$G:$G,"CDU",$J:$J,"PLANNED")&gt;0,"tied","standalone"),"")</f>
        <v/>
      </c>
    </row>
    <row r="14758" spans="6:14">
      <c r="F14758" s="6">
        <f>IF($M14758="PADD I","PADD 1",IF($M14758="PADD II","PADD 2",IF($M14758="PADD III","PADD 3",IF($M14758="PADD IV","PADD 4",IF($M14758="PADD V","PADD 5","")))))</f>
        <v/>
      </c>
      <c r="G14758" s="6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  <c r="N14758" s="6">
        <f>IF(OR($G14758="FCC",$G14758="Hydrocracker",$G14758="Reformer"),IF(COUNTIFS($D:$D,$D14758,$A:$A,$A14758,$B:$B,$B14758,$G:$G,"CDU",$J:$J,"PLANNED")&gt;0,"tied","standalone"),"")</f>
        <v/>
      </c>
    </row>
    <row r="14759" spans="6:14">
      <c r="F14759" s="6">
        <f>IF($M14759="PADD I","PADD 1",IF($M14759="PADD II","PADD 2",IF($M14759="PADD III","PADD 3",IF($M14759="PADD IV","PADD 4",IF($M14759="PADD V","PADD 5","")))))</f>
        <v/>
      </c>
      <c r="G14759" s="6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  <c r="N14759" s="6">
        <f>IF(OR($G14759="FCC",$G14759="Hydrocracker",$G14759="Reformer"),IF(COUNTIFS($D:$D,$D14759,$A:$A,$A14759,$B:$B,$B14759,$G:$G,"CDU",$J:$J,"PLANNED")&gt;0,"tied","standalone"),"")</f>
        <v/>
      </c>
    </row>
    <row r="14760" spans="6:14">
      <c r="F14760" s="6">
        <f>IF($M14760="PADD I","PADD 1",IF($M14760="PADD II","PADD 2",IF($M14760="PADD III","PADD 3",IF($M14760="PADD IV","PADD 4",IF($M14760="PADD V","PADD 5","")))))</f>
        <v/>
      </c>
      <c r="G14760" s="6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  <c r="N14760" s="6">
        <f>IF(OR($G14760="FCC",$G14760="Hydrocracker",$G14760="Reformer"),IF(COUNTIFS($D:$D,$D14760,$A:$A,$A14760,$B:$B,$B14760,$G:$G,"CDU",$J:$J,"PLANNED")&gt;0,"tied","standalone"),"")</f>
        <v/>
      </c>
    </row>
    <row r="14761" spans="6:14">
      <c r="F14761" s="6">
        <f>IF($M14761="PADD I","PADD 1",IF($M14761="PADD II","PADD 2",IF($M14761="PADD III","PADD 3",IF($M14761="PADD IV","PADD 4",IF($M14761="PADD V","PADD 5","")))))</f>
        <v/>
      </c>
      <c r="G14761" s="6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  <c r="N14761" s="6">
        <f>IF(OR($G14761="FCC",$G14761="Hydrocracker",$G14761="Reformer"),IF(COUNTIFS($D:$D,$D14761,$A:$A,$A14761,$B:$B,$B14761,$G:$G,"CDU",$J:$J,"PLANNED")&gt;0,"tied","standalone"),"")</f>
        <v/>
      </c>
    </row>
    <row r="14762" spans="6:14">
      <c r="F14762" s="6">
        <f>IF($M14762="PADD I","PADD 1",IF($M14762="PADD II","PADD 2",IF($M14762="PADD III","PADD 3",IF($M14762="PADD IV","PADD 4",IF($M14762="PADD V","PADD 5","")))))</f>
        <v/>
      </c>
      <c r="G14762" s="6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  <c r="N14762" s="6">
        <f>IF(OR($G14762="FCC",$G14762="Hydrocracker",$G14762="Reformer"),IF(COUNTIFS($D:$D,$D14762,$A:$A,$A14762,$B:$B,$B14762,$G:$G,"CDU",$J:$J,"PLANNED")&gt;0,"tied","standalone"),"")</f>
        <v/>
      </c>
    </row>
    <row r="14763" spans="6:14">
      <c r="F14763" s="6">
        <f>IF($M14763="PADD I","PADD 1",IF($M14763="PADD II","PADD 2",IF($M14763="PADD III","PADD 3",IF($M14763="PADD IV","PADD 4",IF($M14763="PADD V","PADD 5","")))))</f>
        <v/>
      </c>
      <c r="G14763" s="6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  <c r="N14763" s="6">
        <f>IF(OR($G14763="FCC",$G14763="Hydrocracker",$G14763="Reformer"),IF(COUNTIFS($D:$D,$D14763,$A:$A,$A14763,$B:$B,$B14763,$G:$G,"CDU",$J:$J,"PLANNED")&gt;0,"tied","standalone"),"")</f>
        <v/>
      </c>
    </row>
    <row r="14764" spans="6:14">
      <c r="F14764" s="6">
        <f>IF($M14764="PADD I","PADD 1",IF($M14764="PADD II","PADD 2",IF($M14764="PADD III","PADD 3",IF($M14764="PADD IV","PADD 4",IF($M14764="PADD V","PADD 5","")))))</f>
        <v/>
      </c>
      <c r="G14764" s="6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  <c r="N14764" s="6">
        <f>IF(OR($G14764="FCC",$G14764="Hydrocracker",$G14764="Reformer"),IF(COUNTIFS($D:$D,$D14764,$A:$A,$A14764,$B:$B,$B14764,$G:$G,"CDU",$J:$J,"PLANNED")&gt;0,"tied","standalone"),"")</f>
        <v/>
      </c>
    </row>
    <row r="14765" spans="6:14">
      <c r="F14765" s="6">
        <f>IF($M14765="PADD I","PADD 1",IF($M14765="PADD II","PADD 2",IF($M14765="PADD III","PADD 3",IF($M14765="PADD IV","PADD 4",IF($M14765="PADD V","PADD 5","")))))</f>
        <v/>
      </c>
      <c r="G14765" s="6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  <c r="N14765" s="6">
        <f>IF(OR($G14765="FCC",$G14765="Hydrocracker",$G14765="Reformer"),IF(COUNTIFS($D:$D,$D14765,$A:$A,$A14765,$B:$B,$B14765,$G:$G,"CDU",$J:$J,"PLANNED")&gt;0,"tied","standalone"),"")</f>
        <v/>
      </c>
    </row>
    <row r="14766" spans="6:14">
      <c r="F14766" s="6">
        <f>IF($M14766="PADD I","PADD 1",IF($M14766="PADD II","PADD 2",IF($M14766="PADD III","PADD 3",IF($M14766="PADD IV","PADD 4",IF($M14766="PADD V","PADD 5","")))))</f>
        <v/>
      </c>
      <c r="G14766" s="6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  <c r="N14766" s="6">
        <f>IF(OR($G14766="FCC",$G14766="Hydrocracker",$G14766="Reformer"),IF(COUNTIFS($D:$D,$D14766,$A:$A,$A14766,$B:$B,$B14766,$G:$G,"CDU",$J:$J,"PLANNED")&gt;0,"tied","standalone"),"")</f>
        <v/>
      </c>
    </row>
    <row r="14767" spans="6:14">
      <c r="F14767" s="6">
        <f>IF($M14767="PADD I","PADD 1",IF($M14767="PADD II","PADD 2",IF($M14767="PADD III","PADD 3",IF($M14767="PADD IV","PADD 4",IF($M14767="PADD V","PADD 5","")))))</f>
        <v/>
      </c>
      <c r="G14767" s="6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  <c r="N14767" s="6">
        <f>IF(OR($G14767="FCC",$G14767="Hydrocracker",$G14767="Reformer"),IF(COUNTIFS($D:$D,$D14767,$A:$A,$A14767,$B:$B,$B14767,$G:$G,"CDU",$J:$J,"PLANNED")&gt;0,"tied","standalone"),"")</f>
        <v/>
      </c>
    </row>
    <row r="14768" spans="6:14">
      <c r="F14768" s="6">
        <f>IF($M14768="PADD I","PADD 1",IF($M14768="PADD II","PADD 2",IF($M14768="PADD III","PADD 3",IF($M14768="PADD IV","PADD 4",IF($M14768="PADD V","PADD 5","")))))</f>
        <v/>
      </c>
      <c r="G14768" s="6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  <c r="N14768" s="6">
        <f>IF(OR($G14768="FCC",$G14768="Hydrocracker",$G14768="Reformer"),IF(COUNTIFS($D:$D,$D14768,$A:$A,$A14768,$B:$B,$B14768,$G:$G,"CDU",$J:$J,"PLANNED")&gt;0,"tied","standalone"),"")</f>
        <v/>
      </c>
    </row>
    <row r="14769" spans="6:14">
      <c r="F14769" s="6">
        <f>IF($M14769="PADD I","PADD 1",IF($M14769="PADD II","PADD 2",IF($M14769="PADD III","PADD 3",IF($M14769="PADD IV","PADD 4",IF($M14769="PADD V","PADD 5","")))))</f>
        <v/>
      </c>
      <c r="G14769" s="6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  <c r="N14769" s="6">
        <f>IF(OR($G14769="FCC",$G14769="Hydrocracker",$G14769="Reformer"),IF(COUNTIFS($D:$D,$D14769,$A:$A,$A14769,$B:$B,$B14769,$G:$G,"CDU",$J:$J,"PLANNED")&gt;0,"tied","standalone"),"")</f>
        <v/>
      </c>
    </row>
    <row r="14770" spans="6:14">
      <c r="F14770" s="6">
        <f>IF($M14770="PADD I","PADD 1",IF($M14770="PADD II","PADD 2",IF($M14770="PADD III","PADD 3",IF($M14770="PADD IV","PADD 4",IF($M14770="PADD V","PADD 5","")))))</f>
        <v/>
      </c>
      <c r="G14770" s="6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  <c r="N14770" s="6">
        <f>IF(OR($G14770="FCC",$G14770="Hydrocracker",$G14770="Reformer"),IF(COUNTIFS($D:$D,$D14770,$A:$A,$A14770,$B:$B,$B14770,$G:$G,"CDU",$J:$J,"PLANNED")&gt;0,"tied","standalone"),"")</f>
        <v/>
      </c>
    </row>
    <row r="14771" spans="6:14">
      <c r="F14771" s="6">
        <f>IF($M14771="PADD I","PADD 1",IF($M14771="PADD II","PADD 2",IF($M14771="PADD III","PADD 3",IF($M14771="PADD IV","PADD 4",IF($M14771="PADD V","PADD 5","")))))</f>
        <v/>
      </c>
      <c r="G14771" s="6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  <c r="N14771" s="6">
        <f>IF(OR($G14771="FCC",$G14771="Hydrocracker",$G14771="Reformer"),IF(COUNTIFS($D:$D,$D14771,$A:$A,$A14771,$B:$B,$B14771,$G:$G,"CDU",$J:$J,"PLANNED")&gt;0,"tied","standalone"),"")</f>
        <v/>
      </c>
    </row>
    <row r="14772" spans="6:14">
      <c r="F14772" s="6">
        <f>IF($M14772="PADD I","PADD 1",IF($M14772="PADD II","PADD 2",IF($M14772="PADD III","PADD 3",IF($M14772="PADD IV","PADD 4",IF($M14772="PADD V","PADD 5","")))))</f>
        <v/>
      </c>
      <c r="G14772" s="6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  <c r="N14772" s="6">
        <f>IF(OR($G14772="FCC",$G14772="Hydrocracker",$G14772="Reformer"),IF(COUNTIFS($D:$D,$D14772,$A:$A,$A14772,$B:$B,$B14772,$G:$G,"CDU",$J:$J,"PLANNED")&gt;0,"tied","standalone"),"")</f>
        <v/>
      </c>
    </row>
    <row r="14773" spans="6:14">
      <c r="F14773" s="6">
        <f>IF($M14773="PADD I","PADD 1",IF($M14773="PADD II","PADD 2",IF($M14773="PADD III","PADD 3",IF($M14773="PADD IV","PADD 4",IF($M14773="PADD V","PADD 5","")))))</f>
        <v/>
      </c>
      <c r="G14773" s="6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  <c r="N14773" s="6">
        <f>IF(OR($G14773="FCC",$G14773="Hydrocracker",$G14773="Reformer"),IF(COUNTIFS($D:$D,$D14773,$A:$A,$A14773,$B:$B,$B14773,$G:$G,"CDU",$J:$J,"PLANNED")&gt;0,"tied","standalone"),"")</f>
        <v/>
      </c>
    </row>
    <row r="14774" spans="6:14">
      <c r="F14774" s="6">
        <f>IF($M14774="PADD I","PADD 1",IF($M14774="PADD II","PADD 2",IF($M14774="PADD III","PADD 3",IF($M14774="PADD IV","PADD 4",IF($M14774="PADD V","PADD 5","")))))</f>
        <v/>
      </c>
      <c r="G14774" s="6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  <c r="N14774" s="6">
        <f>IF(OR($G14774="FCC",$G14774="Hydrocracker",$G14774="Reformer"),IF(COUNTIFS($D:$D,$D14774,$A:$A,$A14774,$B:$B,$B14774,$G:$G,"CDU",$J:$J,"PLANNED")&gt;0,"tied","standalone"),"")</f>
        <v/>
      </c>
    </row>
    <row r="14775" spans="6:14">
      <c r="F14775" s="6">
        <f>IF($M14775="PADD I","PADD 1",IF($M14775="PADD II","PADD 2",IF($M14775="PADD III","PADD 3",IF($M14775="PADD IV","PADD 4",IF($M14775="PADD V","PADD 5","")))))</f>
        <v/>
      </c>
      <c r="G14775" s="6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  <c r="N14775" s="6">
        <f>IF(OR($G14775="FCC",$G14775="Hydrocracker",$G14775="Reformer"),IF(COUNTIFS($D:$D,$D14775,$A:$A,$A14775,$B:$B,$B14775,$G:$G,"CDU",$J:$J,"PLANNED")&gt;0,"tied","standalone"),"")</f>
        <v/>
      </c>
    </row>
    <row r="14776" spans="6:14">
      <c r="F14776" s="6">
        <f>IF($M14776="PADD I","PADD 1",IF($M14776="PADD II","PADD 2",IF($M14776="PADD III","PADD 3",IF($M14776="PADD IV","PADD 4",IF($M14776="PADD V","PADD 5","")))))</f>
        <v/>
      </c>
      <c r="G14776" s="6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  <c r="N14776" s="6">
        <f>IF(OR($G14776="FCC",$G14776="Hydrocracker",$G14776="Reformer"),IF(COUNTIFS($D:$D,$D14776,$A:$A,$A14776,$B:$B,$B14776,$G:$G,"CDU",$J:$J,"PLANNED")&gt;0,"tied","standalone"),"")</f>
        <v/>
      </c>
    </row>
    <row r="14777" spans="6:14">
      <c r="F14777" s="6">
        <f>IF($M14777="PADD I","PADD 1",IF($M14777="PADD II","PADD 2",IF($M14777="PADD III","PADD 3",IF($M14777="PADD IV","PADD 4",IF($M14777="PADD V","PADD 5","")))))</f>
        <v/>
      </c>
      <c r="G14777" s="6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  <c r="N14777" s="6">
        <f>IF(OR($G14777="FCC",$G14777="Hydrocracker",$G14777="Reformer"),IF(COUNTIFS($D:$D,$D14777,$A:$A,$A14777,$B:$B,$B14777,$G:$G,"CDU",$J:$J,"PLANNED")&gt;0,"tied","standalone"),"")</f>
        <v/>
      </c>
    </row>
    <row r="14778" spans="6:14">
      <c r="F14778" s="6">
        <f>IF($M14778="PADD I","PADD 1",IF($M14778="PADD II","PADD 2",IF($M14778="PADD III","PADD 3",IF($M14778="PADD IV","PADD 4",IF($M14778="PADD V","PADD 5","")))))</f>
        <v/>
      </c>
      <c r="G14778" s="6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  <c r="N14778" s="6">
        <f>IF(OR($G14778="FCC",$G14778="Hydrocracker",$G14778="Reformer"),IF(COUNTIFS($D:$D,$D14778,$A:$A,$A14778,$B:$B,$B14778,$G:$G,"CDU",$J:$J,"PLANNED")&gt;0,"tied","standalone"),"")</f>
        <v/>
      </c>
    </row>
    <row r="14779" spans="6:14">
      <c r="F14779" s="6">
        <f>IF($M14779="PADD I","PADD 1",IF($M14779="PADD II","PADD 2",IF($M14779="PADD III","PADD 3",IF($M14779="PADD IV","PADD 4",IF($M14779="PADD V","PADD 5","")))))</f>
        <v/>
      </c>
      <c r="G14779" s="6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  <c r="N14779" s="6">
        <f>IF(OR($G14779="FCC",$G14779="Hydrocracker",$G14779="Reformer"),IF(COUNTIFS($D:$D,$D14779,$A:$A,$A14779,$B:$B,$B14779,$G:$G,"CDU",$J:$J,"PLANNED")&gt;0,"tied","standalone"),"")</f>
        <v/>
      </c>
    </row>
    <row r="14780" spans="6:14">
      <c r="F14780" s="6">
        <f>IF($M14780="PADD I","PADD 1",IF($M14780="PADD II","PADD 2",IF($M14780="PADD III","PADD 3",IF($M14780="PADD IV","PADD 4",IF($M14780="PADD V","PADD 5","")))))</f>
        <v/>
      </c>
      <c r="G14780" s="6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  <c r="N14780" s="6">
        <f>IF(OR($G14780="FCC",$G14780="Hydrocracker",$G14780="Reformer"),IF(COUNTIFS($D:$D,$D14780,$A:$A,$A14780,$B:$B,$B14780,$G:$G,"CDU",$J:$J,"PLANNED")&gt;0,"tied","standalone"),"")</f>
        <v/>
      </c>
    </row>
    <row r="14781" spans="6:14">
      <c r="F14781" s="6">
        <f>IF($M14781="PADD I","PADD 1",IF($M14781="PADD II","PADD 2",IF($M14781="PADD III","PADD 3",IF($M14781="PADD IV","PADD 4",IF($M14781="PADD V","PADD 5","")))))</f>
        <v/>
      </c>
      <c r="G14781" s="6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  <c r="N14781" s="6">
        <f>IF(OR($G14781="FCC",$G14781="Hydrocracker",$G14781="Reformer"),IF(COUNTIFS($D:$D,$D14781,$A:$A,$A14781,$B:$B,$B14781,$G:$G,"CDU",$J:$J,"PLANNED")&gt;0,"tied","standalone"),"")</f>
        <v/>
      </c>
    </row>
    <row r="14782" spans="6:14">
      <c r="F14782" s="6">
        <f>IF($M14782="PADD I","PADD 1",IF($M14782="PADD II","PADD 2",IF($M14782="PADD III","PADD 3",IF($M14782="PADD IV","PADD 4",IF($M14782="PADD V","PADD 5","")))))</f>
        <v/>
      </c>
      <c r="G14782" s="6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  <c r="N14782" s="6">
        <f>IF(OR($G14782="FCC",$G14782="Hydrocracker",$G14782="Reformer"),IF(COUNTIFS($D:$D,$D14782,$A:$A,$A14782,$B:$B,$B14782,$G:$G,"CDU",$J:$J,"PLANNED")&gt;0,"tied","standalone"),"")</f>
        <v/>
      </c>
    </row>
    <row r="14783" spans="6:14">
      <c r="F14783" s="6">
        <f>IF($M14783="PADD I","PADD 1",IF($M14783="PADD II","PADD 2",IF($M14783="PADD III","PADD 3",IF($M14783="PADD IV","PADD 4",IF($M14783="PADD V","PADD 5","")))))</f>
        <v/>
      </c>
      <c r="G14783" s="6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  <c r="N14783" s="6">
        <f>IF(OR($G14783="FCC",$G14783="Hydrocracker",$G14783="Reformer"),IF(COUNTIFS($D:$D,$D14783,$A:$A,$A14783,$B:$B,$B14783,$G:$G,"CDU",$J:$J,"PLANNED")&gt;0,"tied","standalone"),"")</f>
        <v/>
      </c>
    </row>
    <row r="14784" spans="6:14">
      <c r="F14784" s="6">
        <f>IF($M14784="PADD I","PADD 1",IF($M14784="PADD II","PADD 2",IF($M14784="PADD III","PADD 3",IF($M14784="PADD IV","PADD 4",IF($M14784="PADD V","PADD 5","")))))</f>
        <v/>
      </c>
      <c r="G14784" s="6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  <c r="N14784" s="6">
        <f>IF(OR($G14784="FCC",$G14784="Hydrocracker",$G14784="Reformer"),IF(COUNTIFS($D:$D,$D14784,$A:$A,$A14784,$B:$B,$B14784,$G:$G,"CDU",$J:$J,"PLANNED")&gt;0,"tied","standalone"),"")</f>
        <v/>
      </c>
    </row>
    <row r="14785" spans="6:14">
      <c r="F14785" s="6">
        <f>IF($M14785="PADD I","PADD 1",IF($M14785="PADD II","PADD 2",IF($M14785="PADD III","PADD 3",IF($M14785="PADD IV","PADD 4",IF($M14785="PADD V","PADD 5","")))))</f>
        <v/>
      </c>
      <c r="G14785" s="6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  <c r="N14785" s="6">
        <f>IF(OR($G14785="FCC",$G14785="Hydrocracker",$G14785="Reformer"),IF(COUNTIFS($D:$D,$D14785,$A:$A,$A14785,$B:$B,$B14785,$G:$G,"CDU",$J:$J,"PLANNED")&gt;0,"tied","standalone"),"")</f>
        <v/>
      </c>
    </row>
    <row r="14786" spans="6:14">
      <c r="F14786" s="6">
        <f>IF($M14786="PADD I","PADD 1",IF($M14786="PADD II","PADD 2",IF($M14786="PADD III","PADD 3",IF($M14786="PADD IV","PADD 4",IF($M14786="PADD V","PADD 5","")))))</f>
        <v/>
      </c>
      <c r="G14786" s="6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  <c r="N14786" s="6">
        <f>IF(OR($G14786="FCC",$G14786="Hydrocracker",$G14786="Reformer"),IF(COUNTIFS($D:$D,$D14786,$A:$A,$A14786,$B:$B,$B14786,$G:$G,"CDU",$J:$J,"PLANNED")&gt;0,"tied","standalone"),"")</f>
        <v/>
      </c>
    </row>
    <row r="14787" spans="6:14">
      <c r="F14787" s="6">
        <f>IF($M14787="PADD I","PADD 1",IF($M14787="PADD II","PADD 2",IF($M14787="PADD III","PADD 3",IF($M14787="PADD IV","PADD 4",IF($M14787="PADD V","PADD 5","")))))</f>
        <v/>
      </c>
      <c r="G14787" s="6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  <c r="N14787" s="6">
        <f>IF(OR($G14787="FCC",$G14787="Hydrocracker",$G14787="Reformer"),IF(COUNTIFS($D:$D,$D14787,$A:$A,$A14787,$B:$B,$B14787,$G:$G,"CDU",$J:$J,"PLANNED")&gt;0,"tied","standalone"),"")</f>
        <v/>
      </c>
    </row>
    <row r="14788" spans="6:14">
      <c r="F14788" s="6">
        <f>IF($M14788="PADD I","PADD 1",IF($M14788="PADD II","PADD 2",IF($M14788="PADD III","PADD 3",IF($M14788="PADD IV","PADD 4",IF($M14788="PADD V","PADD 5","")))))</f>
        <v/>
      </c>
      <c r="G14788" s="6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  <c r="N14788" s="6">
        <f>IF(OR($G14788="FCC",$G14788="Hydrocracker",$G14788="Reformer"),IF(COUNTIFS($D:$D,$D14788,$A:$A,$A14788,$B:$B,$B14788,$G:$G,"CDU",$J:$J,"PLANNED")&gt;0,"tied","standalone"),"")</f>
        <v/>
      </c>
    </row>
    <row r="14789" spans="6:14">
      <c r="F14789" s="6">
        <f>IF($M14789="PADD I","PADD 1",IF($M14789="PADD II","PADD 2",IF($M14789="PADD III","PADD 3",IF($M14789="PADD IV","PADD 4",IF($M14789="PADD V","PADD 5","")))))</f>
        <v/>
      </c>
      <c r="G14789" s="6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  <c r="N14789" s="6">
        <f>IF(OR($G14789="FCC",$G14789="Hydrocracker",$G14789="Reformer"),IF(COUNTIFS($D:$D,$D14789,$A:$A,$A14789,$B:$B,$B14789,$G:$G,"CDU",$J:$J,"PLANNED")&gt;0,"tied","standalone"),"")</f>
        <v/>
      </c>
    </row>
    <row r="14790" spans="6:14">
      <c r="F14790" s="6">
        <f>IF($M14790="PADD I","PADD 1",IF($M14790="PADD II","PADD 2",IF($M14790="PADD III","PADD 3",IF($M14790="PADD IV","PADD 4",IF($M14790="PADD V","PADD 5","")))))</f>
        <v/>
      </c>
      <c r="G14790" s="6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  <c r="N14790" s="6">
        <f>IF(OR($G14790="FCC",$G14790="Hydrocracker",$G14790="Reformer"),IF(COUNTIFS($D:$D,$D14790,$A:$A,$A14790,$B:$B,$B14790,$G:$G,"CDU",$J:$J,"PLANNED")&gt;0,"tied","standalone"),"")</f>
        <v/>
      </c>
    </row>
    <row r="14791" spans="6:14">
      <c r="F14791" s="6">
        <f>IF($M14791="PADD I","PADD 1",IF($M14791="PADD II","PADD 2",IF($M14791="PADD III","PADD 3",IF($M14791="PADD IV","PADD 4",IF($M14791="PADD V","PADD 5","")))))</f>
        <v/>
      </c>
      <c r="G14791" s="6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  <c r="N14791" s="6">
        <f>IF(OR($G14791="FCC",$G14791="Hydrocracker",$G14791="Reformer"),IF(COUNTIFS($D:$D,$D14791,$A:$A,$A14791,$B:$B,$B14791,$G:$G,"CDU",$J:$J,"PLANNED")&gt;0,"tied","standalone"),"")</f>
        <v/>
      </c>
    </row>
    <row r="14792" spans="6:14">
      <c r="F14792" s="6">
        <f>IF($M14792="PADD I","PADD 1",IF($M14792="PADD II","PADD 2",IF($M14792="PADD III","PADD 3",IF($M14792="PADD IV","PADD 4",IF($M14792="PADD V","PADD 5","")))))</f>
        <v/>
      </c>
      <c r="G14792" s="6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  <c r="N14792" s="6">
        <f>IF(OR($G14792="FCC",$G14792="Hydrocracker",$G14792="Reformer"),IF(COUNTIFS($D:$D,$D14792,$A:$A,$A14792,$B:$B,$B14792,$G:$G,"CDU",$J:$J,"PLANNED")&gt;0,"tied","standalone"),"")</f>
        <v/>
      </c>
    </row>
    <row r="14793" spans="6:14">
      <c r="F14793" s="6">
        <f>IF($M14793="PADD I","PADD 1",IF($M14793="PADD II","PADD 2",IF($M14793="PADD III","PADD 3",IF($M14793="PADD IV","PADD 4",IF($M14793="PADD V","PADD 5","")))))</f>
        <v/>
      </c>
      <c r="G14793" s="6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  <c r="N14793" s="6">
        <f>IF(OR($G14793="FCC",$G14793="Hydrocracker",$G14793="Reformer"),IF(COUNTIFS($D:$D,$D14793,$A:$A,$A14793,$B:$B,$B14793,$G:$G,"CDU",$J:$J,"PLANNED")&gt;0,"tied","standalone"),"")</f>
        <v/>
      </c>
    </row>
    <row r="14794" spans="6:14">
      <c r="F14794" s="6">
        <f>IF($M14794="PADD I","PADD 1",IF($M14794="PADD II","PADD 2",IF($M14794="PADD III","PADD 3",IF($M14794="PADD IV","PADD 4",IF($M14794="PADD V","PADD 5","")))))</f>
        <v/>
      </c>
      <c r="G14794" s="6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  <c r="N14794" s="6">
        <f>IF(OR($G14794="FCC",$G14794="Hydrocracker",$G14794="Reformer"),IF(COUNTIFS($D:$D,$D14794,$A:$A,$A14794,$B:$B,$B14794,$G:$G,"CDU",$J:$J,"PLANNED")&gt;0,"tied","standalone"),"")</f>
        <v/>
      </c>
    </row>
    <row r="14795" spans="6:14">
      <c r="F14795" s="6">
        <f>IF($M14795="PADD I","PADD 1",IF($M14795="PADD II","PADD 2",IF($M14795="PADD III","PADD 3",IF($M14795="PADD IV","PADD 4",IF($M14795="PADD V","PADD 5","")))))</f>
        <v/>
      </c>
      <c r="G14795" s="6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  <c r="N14795" s="6">
        <f>IF(OR($G14795="FCC",$G14795="Hydrocracker",$G14795="Reformer"),IF(COUNTIFS($D:$D,$D14795,$A:$A,$A14795,$B:$B,$B14795,$G:$G,"CDU",$J:$J,"PLANNED")&gt;0,"tied","standalone"),"")</f>
        <v/>
      </c>
    </row>
    <row r="14796" spans="6:14">
      <c r="F14796" s="6">
        <f>IF($M14796="PADD I","PADD 1",IF($M14796="PADD II","PADD 2",IF($M14796="PADD III","PADD 3",IF($M14796="PADD IV","PADD 4",IF($M14796="PADD V","PADD 5","")))))</f>
        <v/>
      </c>
      <c r="G14796" s="6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  <c r="N14796" s="6">
        <f>IF(OR($G14796="FCC",$G14796="Hydrocracker",$G14796="Reformer"),IF(COUNTIFS($D:$D,$D14796,$A:$A,$A14796,$B:$B,$B14796,$G:$G,"CDU",$J:$J,"PLANNED")&gt;0,"tied","standalone"),"")</f>
        <v/>
      </c>
    </row>
    <row r="14797" spans="6:14">
      <c r="F14797" s="6">
        <f>IF($M14797="PADD I","PADD 1",IF($M14797="PADD II","PADD 2",IF($M14797="PADD III","PADD 3",IF($M14797="PADD IV","PADD 4",IF($M14797="PADD V","PADD 5","")))))</f>
        <v/>
      </c>
      <c r="G14797" s="6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  <c r="N14797" s="6">
        <f>IF(OR($G14797="FCC",$G14797="Hydrocracker",$G14797="Reformer"),IF(COUNTIFS($D:$D,$D14797,$A:$A,$A14797,$B:$B,$B14797,$G:$G,"CDU",$J:$J,"PLANNED")&gt;0,"tied","standalone"),"")</f>
        <v/>
      </c>
    </row>
    <row r="14798" spans="6:14">
      <c r="F14798" s="6">
        <f>IF($M14798="PADD I","PADD 1",IF($M14798="PADD II","PADD 2",IF($M14798="PADD III","PADD 3",IF($M14798="PADD IV","PADD 4",IF($M14798="PADD V","PADD 5","")))))</f>
        <v/>
      </c>
      <c r="G14798" s="6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  <c r="N14798" s="6">
        <f>IF(OR($G14798="FCC",$G14798="Hydrocracker",$G14798="Reformer"),IF(COUNTIFS($D:$D,$D14798,$A:$A,$A14798,$B:$B,$B14798,$G:$G,"CDU",$J:$J,"PLANNED")&gt;0,"tied","standalone"),"")</f>
        <v/>
      </c>
    </row>
    <row r="14799" spans="6:14">
      <c r="F14799" s="6">
        <f>IF($M14799="PADD I","PADD 1",IF($M14799="PADD II","PADD 2",IF($M14799="PADD III","PADD 3",IF($M14799="PADD IV","PADD 4",IF($M14799="PADD V","PADD 5","")))))</f>
        <v/>
      </c>
      <c r="G14799" s="6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  <c r="N14799" s="6">
        <f>IF(OR($G14799="FCC",$G14799="Hydrocracker",$G14799="Reformer"),IF(COUNTIFS($D:$D,$D14799,$A:$A,$A14799,$B:$B,$B14799,$G:$G,"CDU",$J:$J,"PLANNED")&gt;0,"tied","standalone"),"")</f>
        <v/>
      </c>
    </row>
    <row r="14800" spans="6:14">
      <c r="F14800" s="6">
        <f>IF($M14800="PADD I","PADD 1",IF($M14800="PADD II","PADD 2",IF($M14800="PADD III","PADD 3",IF($M14800="PADD IV","PADD 4",IF($M14800="PADD V","PADD 5","")))))</f>
        <v/>
      </c>
      <c r="G14800" s="6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  <c r="N14800" s="6">
        <f>IF(OR($G14800="FCC",$G14800="Hydrocracker",$G14800="Reformer"),IF(COUNTIFS($D:$D,$D14800,$A:$A,$A14800,$B:$B,$B14800,$G:$G,"CDU",$J:$J,"PLANNED")&gt;0,"tied","standalone"),"")</f>
        <v/>
      </c>
    </row>
    <row r="14801" spans="6:14">
      <c r="F14801" s="6">
        <f>IF($M14801="PADD I","PADD 1",IF($M14801="PADD II","PADD 2",IF($M14801="PADD III","PADD 3",IF($M14801="PADD IV","PADD 4",IF($M14801="PADD V","PADD 5","")))))</f>
        <v/>
      </c>
      <c r="G14801" s="6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  <c r="N14801" s="6">
        <f>IF(OR($G14801="FCC",$G14801="Hydrocracker",$G14801="Reformer"),IF(COUNTIFS($D:$D,$D14801,$A:$A,$A14801,$B:$B,$B14801,$G:$G,"CDU",$J:$J,"PLANNED")&gt;0,"tied","standalone"),"")</f>
        <v/>
      </c>
    </row>
    <row r="14802" spans="6:14">
      <c r="F14802" s="6">
        <f>IF($M14802="PADD I","PADD 1",IF($M14802="PADD II","PADD 2",IF($M14802="PADD III","PADD 3",IF($M14802="PADD IV","PADD 4",IF($M14802="PADD V","PADD 5","")))))</f>
        <v/>
      </c>
      <c r="G14802" s="6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  <c r="N14802" s="6">
        <f>IF(OR($G14802="FCC",$G14802="Hydrocracker",$G14802="Reformer"),IF(COUNTIFS($D:$D,$D14802,$A:$A,$A14802,$B:$B,$B14802,$G:$G,"CDU",$J:$J,"PLANNED")&gt;0,"tied","standalone"),"")</f>
        <v/>
      </c>
    </row>
    <row r="14803" spans="6:14">
      <c r="F14803" s="6">
        <f>IF($M14803="PADD I","PADD 1",IF($M14803="PADD II","PADD 2",IF($M14803="PADD III","PADD 3",IF($M14803="PADD IV","PADD 4",IF($M14803="PADD V","PADD 5","")))))</f>
        <v/>
      </c>
      <c r="G14803" s="6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  <c r="N14803" s="6">
        <f>IF(OR($G14803="FCC",$G14803="Hydrocracker",$G14803="Reformer"),IF(COUNTIFS($D:$D,$D14803,$A:$A,$A14803,$B:$B,$B14803,$G:$G,"CDU",$J:$J,"PLANNED")&gt;0,"tied","standalone"),"")</f>
        <v/>
      </c>
    </row>
    <row r="14804" spans="6:14">
      <c r="F14804" s="6">
        <f>IF($M14804="PADD I","PADD 1",IF($M14804="PADD II","PADD 2",IF($M14804="PADD III","PADD 3",IF($M14804="PADD IV","PADD 4",IF($M14804="PADD V","PADD 5","")))))</f>
        <v/>
      </c>
      <c r="G14804" s="6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  <c r="N14804" s="6">
        <f>IF(OR($G14804="FCC",$G14804="Hydrocracker",$G14804="Reformer"),IF(COUNTIFS($D:$D,$D14804,$A:$A,$A14804,$B:$B,$B14804,$G:$G,"CDU",$J:$J,"PLANNED")&gt;0,"tied","standalone"),"")</f>
        <v/>
      </c>
    </row>
    <row r="14805" spans="6:14">
      <c r="F14805" s="6">
        <f>IF($M14805="PADD I","PADD 1",IF($M14805="PADD II","PADD 2",IF($M14805="PADD III","PADD 3",IF($M14805="PADD IV","PADD 4",IF($M14805="PADD V","PADD 5","")))))</f>
        <v/>
      </c>
      <c r="G14805" s="6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  <c r="N14805" s="6">
        <f>IF(OR($G14805="FCC",$G14805="Hydrocracker",$G14805="Reformer"),IF(COUNTIFS($D:$D,$D14805,$A:$A,$A14805,$B:$B,$B14805,$G:$G,"CDU",$J:$J,"PLANNED")&gt;0,"tied","standalone"),"")</f>
        <v/>
      </c>
    </row>
    <row r="14806" spans="6:14">
      <c r="F14806" s="6">
        <f>IF($M14806="PADD I","PADD 1",IF($M14806="PADD II","PADD 2",IF($M14806="PADD III","PADD 3",IF($M14806="PADD IV","PADD 4",IF($M14806="PADD V","PADD 5","")))))</f>
        <v/>
      </c>
      <c r="G14806" s="6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  <c r="N14806" s="6">
        <f>IF(OR($G14806="FCC",$G14806="Hydrocracker",$G14806="Reformer"),IF(COUNTIFS($D:$D,$D14806,$A:$A,$A14806,$B:$B,$B14806,$G:$G,"CDU",$J:$J,"PLANNED")&gt;0,"tied","standalone"),"")</f>
        <v/>
      </c>
    </row>
    <row r="14807" spans="6:14">
      <c r="F14807" s="6">
        <f>IF($M14807="PADD I","PADD 1",IF($M14807="PADD II","PADD 2",IF($M14807="PADD III","PADD 3",IF($M14807="PADD IV","PADD 4",IF($M14807="PADD V","PADD 5","")))))</f>
        <v/>
      </c>
      <c r="G14807" s="6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  <c r="N14807" s="6">
        <f>IF(OR($G14807="FCC",$G14807="Hydrocracker",$G14807="Reformer"),IF(COUNTIFS($D:$D,$D14807,$A:$A,$A14807,$B:$B,$B14807,$G:$G,"CDU",$J:$J,"PLANNED")&gt;0,"tied","standalone"),"")</f>
        <v/>
      </c>
    </row>
    <row r="14808" spans="6:14">
      <c r="F14808" s="6">
        <f>IF($M14808="PADD I","PADD 1",IF($M14808="PADD II","PADD 2",IF($M14808="PADD III","PADD 3",IF($M14808="PADD IV","PADD 4",IF($M14808="PADD V","PADD 5","")))))</f>
        <v/>
      </c>
      <c r="G14808" s="6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  <c r="N14808" s="6">
        <f>IF(OR($G14808="FCC",$G14808="Hydrocracker",$G14808="Reformer"),IF(COUNTIFS($D:$D,$D14808,$A:$A,$A14808,$B:$B,$B14808,$G:$G,"CDU",$J:$J,"PLANNED")&gt;0,"tied","standalone"),"")</f>
        <v/>
      </c>
    </row>
    <row r="14809" spans="6:14">
      <c r="F14809" s="6">
        <f>IF($M14809="PADD I","PADD 1",IF($M14809="PADD II","PADD 2",IF($M14809="PADD III","PADD 3",IF($M14809="PADD IV","PADD 4",IF($M14809="PADD V","PADD 5","")))))</f>
        <v/>
      </c>
      <c r="G14809" s="6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  <c r="N14809" s="6">
        <f>IF(OR($G14809="FCC",$G14809="Hydrocracker",$G14809="Reformer"),IF(COUNTIFS($D:$D,$D14809,$A:$A,$A14809,$B:$B,$B14809,$G:$G,"CDU",$J:$J,"PLANNED")&gt;0,"tied","standalone"),"")</f>
        <v/>
      </c>
    </row>
    <row r="14810" spans="6:14">
      <c r="F14810" s="6">
        <f>IF($M14810="PADD I","PADD 1",IF($M14810="PADD II","PADD 2",IF($M14810="PADD III","PADD 3",IF($M14810="PADD IV","PADD 4",IF($M14810="PADD V","PADD 5","")))))</f>
        <v/>
      </c>
      <c r="G14810" s="6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  <c r="N14810" s="6">
        <f>IF(OR($G14810="FCC",$G14810="Hydrocracker",$G14810="Reformer"),IF(COUNTIFS($D:$D,$D14810,$A:$A,$A14810,$B:$B,$B14810,$G:$G,"CDU",$J:$J,"PLANNED")&gt;0,"tied","standalone"),"")</f>
        <v/>
      </c>
    </row>
    <row r="14811" spans="6:14">
      <c r="F14811" s="6">
        <f>IF($M14811="PADD I","PADD 1",IF($M14811="PADD II","PADD 2",IF($M14811="PADD III","PADD 3",IF($M14811="PADD IV","PADD 4",IF($M14811="PADD V","PADD 5","")))))</f>
        <v/>
      </c>
      <c r="G14811" s="6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  <c r="N14811" s="6">
        <f>IF(OR($G14811="FCC",$G14811="Hydrocracker",$G14811="Reformer"),IF(COUNTIFS($D:$D,$D14811,$A:$A,$A14811,$B:$B,$B14811,$G:$G,"CDU",$J:$J,"PLANNED")&gt;0,"tied","standalone"),"")</f>
        <v/>
      </c>
    </row>
    <row r="14812" spans="6:14">
      <c r="F14812" s="6">
        <f>IF($M14812="PADD I","PADD 1",IF($M14812="PADD II","PADD 2",IF($M14812="PADD III","PADD 3",IF($M14812="PADD IV","PADD 4",IF($M14812="PADD V","PADD 5","")))))</f>
        <v/>
      </c>
      <c r="G14812" s="6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  <c r="N14812" s="6">
        <f>IF(OR($G14812="FCC",$G14812="Hydrocracker",$G14812="Reformer"),IF(COUNTIFS($D:$D,$D14812,$A:$A,$A14812,$B:$B,$B14812,$G:$G,"CDU",$J:$J,"PLANNED")&gt;0,"tied","standalone"),"")</f>
        <v/>
      </c>
    </row>
    <row r="14813" spans="6:14">
      <c r="F14813" s="6">
        <f>IF($M14813="PADD I","PADD 1",IF($M14813="PADD II","PADD 2",IF($M14813="PADD III","PADD 3",IF($M14813="PADD IV","PADD 4",IF($M14813="PADD V","PADD 5","")))))</f>
        <v/>
      </c>
      <c r="G14813" s="6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  <c r="N14813" s="6">
        <f>IF(OR($G14813="FCC",$G14813="Hydrocracker",$G14813="Reformer"),IF(COUNTIFS($D:$D,$D14813,$A:$A,$A14813,$B:$B,$B14813,$G:$G,"CDU",$J:$J,"PLANNED")&gt;0,"tied","standalone"),"")</f>
        <v/>
      </c>
    </row>
    <row r="14814" spans="6:14">
      <c r="F14814" s="6">
        <f>IF($M14814="PADD I","PADD 1",IF($M14814="PADD II","PADD 2",IF($M14814="PADD III","PADD 3",IF($M14814="PADD IV","PADD 4",IF($M14814="PADD V","PADD 5","")))))</f>
        <v/>
      </c>
      <c r="G14814" s="6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  <c r="N14814" s="6">
        <f>IF(OR($G14814="FCC",$G14814="Hydrocracker",$G14814="Reformer"),IF(COUNTIFS($D:$D,$D14814,$A:$A,$A14814,$B:$B,$B14814,$G:$G,"CDU",$J:$J,"PLANNED")&gt;0,"tied","standalone"),"")</f>
        <v/>
      </c>
    </row>
    <row r="14815" spans="6:14">
      <c r="F14815" s="6">
        <f>IF($M14815="PADD I","PADD 1",IF($M14815="PADD II","PADD 2",IF($M14815="PADD III","PADD 3",IF($M14815="PADD IV","PADD 4",IF($M14815="PADD V","PADD 5","")))))</f>
        <v/>
      </c>
      <c r="G14815" s="6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  <c r="N14815" s="6">
        <f>IF(OR($G14815="FCC",$G14815="Hydrocracker",$G14815="Reformer"),IF(COUNTIFS($D:$D,$D14815,$A:$A,$A14815,$B:$B,$B14815,$G:$G,"CDU",$J:$J,"PLANNED")&gt;0,"tied","standalone"),"")</f>
        <v/>
      </c>
    </row>
    <row r="14816" spans="6:14">
      <c r="F14816" s="6">
        <f>IF($M14816="PADD I","PADD 1",IF($M14816="PADD II","PADD 2",IF($M14816="PADD III","PADD 3",IF($M14816="PADD IV","PADD 4",IF($M14816="PADD V","PADD 5","")))))</f>
        <v/>
      </c>
      <c r="G14816" s="6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  <c r="N14816" s="6">
        <f>IF(OR($G14816="FCC",$G14816="Hydrocracker",$G14816="Reformer"),IF(COUNTIFS($D:$D,$D14816,$A:$A,$A14816,$B:$B,$B14816,$G:$G,"CDU",$J:$J,"PLANNED")&gt;0,"tied","standalone"),"")</f>
        <v/>
      </c>
    </row>
    <row r="14817" spans="6:14">
      <c r="F14817" s="6">
        <f>IF($M14817="PADD I","PADD 1",IF($M14817="PADD II","PADD 2",IF($M14817="PADD III","PADD 3",IF($M14817="PADD IV","PADD 4",IF($M14817="PADD V","PADD 5","")))))</f>
        <v/>
      </c>
      <c r="G14817" s="6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  <c r="N14817" s="6">
        <f>IF(OR($G14817="FCC",$G14817="Hydrocracker",$G14817="Reformer"),IF(COUNTIFS($D:$D,$D14817,$A:$A,$A14817,$B:$B,$B14817,$G:$G,"CDU",$J:$J,"PLANNED")&gt;0,"tied","standalone"),"")</f>
        <v/>
      </c>
    </row>
    <row r="14818" spans="6:14">
      <c r="F14818" s="6">
        <f>IF($M14818="PADD I","PADD 1",IF($M14818="PADD II","PADD 2",IF($M14818="PADD III","PADD 3",IF($M14818="PADD IV","PADD 4",IF($M14818="PADD V","PADD 5","")))))</f>
        <v/>
      </c>
      <c r="G14818" s="6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  <c r="N14818" s="6">
        <f>IF(OR($G14818="FCC",$G14818="Hydrocracker",$G14818="Reformer"),IF(COUNTIFS($D:$D,$D14818,$A:$A,$A14818,$B:$B,$B14818,$G:$G,"CDU",$J:$J,"PLANNED")&gt;0,"tied","standalone"),"")</f>
        <v/>
      </c>
    </row>
    <row r="14819" spans="6:14">
      <c r="F14819" s="6">
        <f>IF($M14819="PADD I","PADD 1",IF($M14819="PADD II","PADD 2",IF($M14819="PADD III","PADD 3",IF($M14819="PADD IV","PADD 4",IF($M14819="PADD V","PADD 5","")))))</f>
        <v/>
      </c>
      <c r="G14819" s="6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  <c r="N14819" s="6">
        <f>IF(OR($G14819="FCC",$G14819="Hydrocracker",$G14819="Reformer"),IF(COUNTIFS($D:$D,$D14819,$A:$A,$A14819,$B:$B,$B14819,$G:$G,"CDU",$J:$J,"PLANNED")&gt;0,"tied","standalone"),"")</f>
        <v/>
      </c>
    </row>
    <row r="14820" spans="6:14">
      <c r="F14820" s="6">
        <f>IF($M14820="PADD I","PADD 1",IF($M14820="PADD II","PADD 2",IF($M14820="PADD III","PADD 3",IF($M14820="PADD IV","PADD 4",IF($M14820="PADD V","PADD 5","")))))</f>
        <v/>
      </c>
      <c r="G14820" s="6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  <c r="N14820" s="6">
        <f>IF(OR($G14820="FCC",$G14820="Hydrocracker",$G14820="Reformer"),IF(COUNTIFS($D:$D,$D14820,$A:$A,$A14820,$B:$B,$B14820,$G:$G,"CDU",$J:$J,"PLANNED")&gt;0,"tied","standalone"),"")</f>
        <v/>
      </c>
    </row>
    <row r="14821" spans="6:14">
      <c r="F14821" s="6">
        <f>IF($M14821="PADD I","PADD 1",IF($M14821="PADD II","PADD 2",IF($M14821="PADD III","PADD 3",IF($M14821="PADD IV","PADD 4",IF($M14821="PADD V","PADD 5","")))))</f>
        <v/>
      </c>
      <c r="G14821" s="6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  <c r="N14821" s="6">
        <f>IF(OR($G14821="FCC",$G14821="Hydrocracker",$G14821="Reformer"),IF(COUNTIFS($D:$D,$D14821,$A:$A,$A14821,$B:$B,$B14821,$G:$G,"CDU",$J:$J,"PLANNED")&gt;0,"tied","standalone"),"")</f>
        <v/>
      </c>
    </row>
    <row r="14822" spans="6:14">
      <c r="F14822" s="6">
        <f>IF($M14822="PADD I","PADD 1",IF($M14822="PADD II","PADD 2",IF($M14822="PADD III","PADD 3",IF($M14822="PADD IV","PADD 4",IF($M14822="PADD V","PADD 5","")))))</f>
        <v/>
      </c>
      <c r="G14822" s="6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  <c r="N14822" s="6">
        <f>IF(OR($G14822="FCC",$G14822="Hydrocracker",$G14822="Reformer"),IF(COUNTIFS($D:$D,$D14822,$A:$A,$A14822,$B:$B,$B14822,$G:$G,"CDU",$J:$J,"PLANNED")&gt;0,"tied","standalone"),"")</f>
        <v/>
      </c>
    </row>
    <row r="14823" spans="6:14">
      <c r="F14823" s="6">
        <f>IF($M14823="PADD I","PADD 1",IF($M14823="PADD II","PADD 2",IF($M14823="PADD III","PADD 3",IF($M14823="PADD IV","PADD 4",IF($M14823="PADD V","PADD 5","")))))</f>
        <v/>
      </c>
      <c r="G14823" s="6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  <c r="N14823" s="6">
        <f>IF(OR($G14823="FCC",$G14823="Hydrocracker",$G14823="Reformer"),IF(COUNTIFS($D:$D,$D14823,$A:$A,$A14823,$B:$B,$B14823,$G:$G,"CDU",$J:$J,"PLANNED")&gt;0,"tied","standalone"),"")</f>
        <v/>
      </c>
    </row>
    <row r="14824" spans="6:14">
      <c r="F14824" s="6">
        <f>IF($M14824="PADD I","PADD 1",IF($M14824="PADD II","PADD 2",IF($M14824="PADD III","PADD 3",IF($M14824="PADD IV","PADD 4",IF($M14824="PADD V","PADD 5","")))))</f>
        <v/>
      </c>
      <c r="G14824" s="6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  <c r="N14824" s="6">
        <f>IF(OR($G14824="FCC",$G14824="Hydrocracker",$G14824="Reformer"),IF(COUNTIFS($D:$D,$D14824,$A:$A,$A14824,$B:$B,$B14824,$G:$G,"CDU",$J:$J,"PLANNED")&gt;0,"tied","standalone"),"")</f>
        <v/>
      </c>
    </row>
    <row r="14825" spans="6:14">
      <c r="F14825" s="6">
        <f>IF($M14825="PADD I","PADD 1",IF($M14825="PADD II","PADD 2",IF($M14825="PADD III","PADD 3",IF($M14825="PADD IV","PADD 4",IF($M14825="PADD V","PADD 5","")))))</f>
        <v/>
      </c>
      <c r="G14825" s="6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  <c r="N14825" s="6">
        <f>IF(OR($G14825="FCC",$G14825="Hydrocracker",$G14825="Reformer"),IF(COUNTIFS($D:$D,$D14825,$A:$A,$A14825,$B:$B,$B14825,$G:$G,"CDU",$J:$J,"PLANNED")&gt;0,"tied","standalone"),"")</f>
        <v/>
      </c>
    </row>
    <row r="14826" spans="6:14">
      <c r="F14826" s="6">
        <f>IF($M14826="PADD I","PADD 1",IF($M14826="PADD II","PADD 2",IF($M14826="PADD III","PADD 3",IF($M14826="PADD IV","PADD 4",IF($M14826="PADD V","PADD 5","")))))</f>
        <v/>
      </c>
      <c r="G14826" s="6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  <c r="N14826" s="6">
        <f>IF(OR($G14826="FCC",$G14826="Hydrocracker",$G14826="Reformer"),IF(COUNTIFS($D:$D,$D14826,$A:$A,$A14826,$B:$B,$B14826,$G:$G,"CDU",$J:$J,"PLANNED")&gt;0,"tied","standalone"),"")</f>
        <v/>
      </c>
    </row>
    <row r="14827" spans="6:14">
      <c r="F14827" s="6">
        <f>IF($M14827="PADD I","PADD 1",IF($M14827="PADD II","PADD 2",IF($M14827="PADD III","PADD 3",IF($M14827="PADD IV","PADD 4",IF($M14827="PADD V","PADD 5","")))))</f>
        <v/>
      </c>
      <c r="G14827" s="6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  <c r="N14827" s="6">
        <f>IF(OR($G14827="FCC",$G14827="Hydrocracker",$G14827="Reformer"),IF(COUNTIFS($D:$D,$D14827,$A:$A,$A14827,$B:$B,$B14827,$G:$G,"CDU",$J:$J,"PLANNED")&gt;0,"tied","standalone"),"")</f>
        <v/>
      </c>
    </row>
  </sheetData>
  <autoFilter ref="A4:N8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What's Changed</vt:lpstr>
      <vt:lpstr>Per-Unit</vt:lpstr>
      <vt:lpstr>Biggest</vt:lpstr>
      <vt:lpstr>H1 by Unit</vt:lpstr>
      <vt:lpstr>PADD by Unit</vt:lpstr>
      <vt:lpstr>ExxonMobil</vt:lpstr>
      <vt:lpstr>HVN</vt:lpstr>
      <vt:lpstr>Forecast</vt:lpstr>
      <vt:lpstr>Scenarios</vt:lpstr>
      <vt:lpstr>Historicals</vt:lpstr>
      <vt:lpstr>Data Quality</vt:lpstr>
      <vt:lpstr>Data</vt:lpstr>
      <vt:lpstr>conn_p1</vt:lpstr>
      <vt:lpstr>conn_p2</vt:lpstr>
      <vt:lpstr>conn_p3</vt:lpstr>
      <vt:lpstr>conn_p4</vt:lpstr>
      <vt:lpstr>conn_p5</vt:lpstr>
      <vt:lpstr>growth</vt:lpstr>
      <vt:lpstr>inv_amp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2026-06-30T13:48:32Z</dcterms:created>
  <dcterms:modified xsi:type="dcterms:W3CDTF">2026-06-30T13:48:32Z</dcterms:modified>
</cp:coreProperties>
</file>